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C60E0267-D69E-4CB1-BCBC-B4E8EB70B4EE}" xr6:coauthVersionLast="47" xr6:coauthVersionMax="47" xr10:uidLastSave="{00000000-0000-0000-0000-000000000000}"/>
  <bookViews>
    <workbookView xWindow="-110" yWindow="-110" windowWidth="19420" windowHeight="10300" tabRatio="905"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20" r:id="rId19"/>
    <sheet name="F4.2" sheetId="121" r:id="rId20"/>
    <sheet name="F4.3" sheetId="122" r:id="rId21"/>
    <sheet name="F5 (T)" sheetId="119" r:id="rId22"/>
    <sheet name="F5" sheetId="70" r:id="rId23"/>
    <sheet name="F5.1 (E)" sheetId="104" state="hidden" r:id="rId24"/>
    <sheet name="F5.1 (N)" sheetId="105" r:id="rId25"/>
    <sheet name="F6" sheetId="54" r:id="rId26"/>
    <sheet name="F7" sheetId="55" r:id="rId27"/>
    <sheet name="F8" sheetId="71" r:id="rId28"/>
    <sheet name="F9" sheetId="72" r:id="rId29"/>
    <sheet name="F9.1" sheetId="91" r:id="rId30"/>
    <sheet name="F9.2" sheetId="73" r:id="rId31"/>
    <sheet name="F9.3" sheetId="74" r:id="rId32"/>
    <sheet name="F10" sheetId="77" r:id="rId33"/>
    <sheet name="F11" sheetId="75" r:id="rId34"/>
    <sheet name="F12" sheetId="76" r:id="rId35"/>
    <sheet name="F13" sheetId="78" r:id="rId36"/>
    <sheet name="F14.1" sheetId="106" r:id="rId37"/>
    <sheet name="F14.2" sheetId="107" r:id="rId38"/>
    <sheet name="F14.3" sheetId="108" r:id="rId39"/>
    <sheet name="F14.4" sheetId="109" r:id="rId40"/>
    <sheet name="F14.5" sheetId="110" r:id="rId41"/>
    <sheet name="F14.6" sheetId="111" r:id="rId42"/>
    <sheet name="F 14.7" sheetId="112" r:id="rId43"/>
    <sheet name="F14.8" sheetId="113" r:id="rId44"/>
    <sheet name="F14.9" sheetId="114" r:id="rId45"/>
    <sheet name="F15" sheetId="115" r:id="rId46"/>
    <sheet name="F16" sheetId="98" r:id="rId47"/>
    <sheet name="F17" sheetId="99" r:id="rId48"/>
    <sheet name="F18" sheetId="117" r:id="rId49"/>
    <sheet name="F19" sheetId="11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 localSheetId="48">#REF!</definedName>
    <definedName name="\a" localSheetId="49">#REF!</definedName>
    <definedName name="\a">#REF!</definedName>
    <definedName name="\b" localSheetId="48">#REF!</definedName>
    <definedName name="\b" localSheetId="49">#REF!</definedName>
    <definedName name="\b">#REF!</definedName>
    <definedName name="\c" localSheetId="48">#REF!</definedName>
    <definedName name="\c" localSheetId="49">#REF!</definedName>
    <definedName name="\c">#REF!</definedName>
    <definedName name="\d" localSheetId="48">#REF!</definedName>
    <definedName name="\d" localSheetId="49">#REF!</definedName>
    <definedName name="\d">#REF!</definedName>
    <definedName name="\e" localSheetId="48">#REF!</definedName>
    <definedName name="\e" localSheetId="49">#REF!</definedName>
    <definedName name="\e">#REF!</definedName>
    <definedName name="\f" localSheetId="48">#REF!</definedName>
    <definedName name="\f" localSheetId="49">#REF!</definedName>
    <definedName name="\f">#REF!</definedName>
    <definedName name="\g" localSheetId="48">#REF!</definedName>
    <definedName name="\g" localSheetId="49">#REF!</definedName>
    <definedName name="\g">#REF!</definedName>
    <definedName name="\j" localSheetId="48">#REF!</definedName>
    <definedName name="\j" localSheetId="49">#REF!</definedName>
    <definedName name="\j">#REF!</definedName>
    <definedName name="\k" localSheetId="48">#REF!</definedName>
    <definedName name="\k" localSheetId="49">#REF!</definedName>
    <definedName name="\k">#REF!</definedName>
    <definedName name="\m" localSheetId="48">#REF!</definedName>
    <definedName name="\m" localSheetId="49">#REF!</definedName>
    <definedName name="\m">#REF!</definedName>
    <definedName name="\n" localSheetId="48">#REF!</definedName>
    <definedName name="\n" localSheetId="49">#REF!</definedName>
    <definedName name="\n">#REF!</definedName>
    <definedName name="\o" localSheetId="48">#REF!</definedName>
    <definedName name="\o" localSheetId="49">#REF!</definedName>
    <definedName name="\o">#REF!</definedName>
    <definedName name="\p" localSheetId="48">#REF!</definedName>
    <definedName name="\p" localSheetId="49">#REF!</definedName>
    <definedName name="\p">#REF!</definedName>
    <definedName name="\s" localSheetId="48">#REF!</definedName>
    <definedName name="\s" localSheetId="49">#REF!</definedName>
    <definedName name="\s">#REF!</definedName>
    <definedName name="\t" localSheetId="48">#REF!</definedName>
    <definedName name="\t" localSheetId="49">#REF!</definedName>
    <definedName name="\t">#REF!</definedName>
    <definedName name="\w" localSheetId="48">#REF!</definedName>
    <definedName name="\w" localSheetId="49">#REF!</definedName>
    <definedName name="\w">#REF!</definedName>
    <definedName name="\x" localSheetId="48">#REF!</definedName>
    <definedName name="\x" localSheetId="49">#REF!</definedName>
    <definedName name="\x">#REF!</definedName>
    <definedName name="\z" localSheetId="48">#REF!</definedName>
    <definedName name="\z" localSheetId="49">#REF!</definedName>
    <definedName name="\z">#REF!</definedName>
    <definedName name="_" localSheetId="48">#REF!</definedName>
    <definedName name="_" localSheetId="49">#REF!</definedName>
    <definedName name="_">#REF!</definedName>
    <definedName name="_.._D__D__D__D_" localSheetId="48">#REF!</definedName>
    <definedName name="_.._D__D__D__D_" localSheetId="49">#REF!</definedName>
    <definedName name="_.._D__D__D__D_">#REF!</definedName>
    <definedName name="_________XL__ENTER_UNIT" localSheetId="48">#REF!</definedName>
    <definedName name="_________XL__ENTER_UNIT" localSheetId="49">#REF!</definedName>
    <definedName name="_________XL__ENTER_UNIT">#REF!</definedName>
    <definedName name="_______SCH6" localSheetId="48">'[1]04REL'!#REF!</definedName>
    <definedName name="_______SCH6" localSheetId="49">'[1]04REL'!#REF!</definedName>
    <definedName name="_______SCH6">'[1]04REL'!#REF!</definedName>
    <definedName name="_______XL__ENTER_UNIT" localSheetId="48">#REF!</definedName>
    <definedName name="_______XL__ENTER_UNIT" localSheetId="49">#REF!</definedName>
    <definedName name="_______XL__ENTER_UNIT">#REF!</definedName>
    <definedName name="______SCH6" localSheetId="48">'[1]04REL'!#REF!</definedName>
    <definedName name="______SCH6" localSheetId="49">'[1]04REL'!#REF!</definedName>
    <definedName name="______SCH6">'[1]04REL'!#REF!</definedName>
    <definedName name="______XL__ENTER_UNIT" localSheetId="48">#REF!</definedName>
    <definedName name="______XL__ENTER_UNIT" localSheetId="49">#REF!</definedName>
    <definedName name="______XL__ENTER_UNIT">#REF!</definedName>
    <definedName name="_____SCH6" localSheetId="48">'[1]04REL'!#REF!</definedName>
    <definedName name="_____SCH6" localSheetId="49">'[1]04REL'!#REF!</definedName>
    <definedName name="_____SCH6">'[1]04REL'!#REF!</definedName>
    <definedName name="____SCH6" localSheetId="48">'[1]04REL'!#REF!</definedName>
    <definedName name="____SCH6" localSheetId="49">'[1]04REL'!#REF!</definedName>
    <definedName name="____SCH6">'[1]04REL'!#REF!</definedName>
    <definedName name="____XL__ENTER_UNIT" localSheetId="48">#REF!</definedName>
    <definedName name="____XL__ENTER_UNIT" localSheetId="49">#REF!</definedName>
    <definedName name="____XL__ENTER_UNIT">#REF!</definedName>
    <definedName name="___INDEX_SHEET___ASAP_Utilities" localSheetId="48">#REF!</definedName>
    <definedName name="___INDEX_SHEET___ASAP_Utilities" localSheetId="49">#REF!</definedName>
    <definedName name="___INDEX_SHEET___ASAP_Utilities">#REF!</definedName>
    <definedName name="___SCH6" localSheetId="48">'[1]04REL'!#REF!</definedName>
    <definedName name="___SCH6" localSheetId="49">'[1]04REL'!#REF!</definedName>
    <definedName name="___SCH6">'[1]04REL'!#REF!</definedName>
    <definedName name="___XL__ENTER_UNIT" localSheetId="48">#REF!</definedName>
    <definedName name="___XL__ENTER_UNIT" localSheetId="49">#REF!</definedName>
    <definedName name="___XL__ENTER_UNIT">#REF!</definedName>
    <definedName name="__123Graph_A" localSheetId="47" hidden="1">[2]CE!#REF!</definedName>
    <definedName name="__123Graph_A" localSheetId="48" hidden="1">[2]CE!#REF!</definedName>
    <definedName name="__123Graph_A" localSheetId="49" hidden="1">[2]CE!#REF!</definedName>
    <definedName name="__123Graph_A" localSheetId="17" hidden="1">[2]CE!#REF!</definedName>
    <definedName name="__123Graph_A" localSheetId="23" hidden="1">[2]CE!#REF!</definedName>
    <definedName name="__123Graph_A" hidden="1">[2]CE!#REF!</definedName>
    <definedName name="__123Graph_ASTNPLF" localSheetId="47" hidden="1">[2]CE!#REF!</definedName>
    <definedName name="__123Graph_ASTNPLF" localSheetId="48" hidden="1">[2]CE!#REF!</definedName>
    <definedName name="__123Graph_ASTNPLF" localSheetId="49" hidden="1">[2]CE!#REF!</definedName>
    <definedName name="__123Graph_ASTNPLF" localSheetId="17" hidden="1">[2]CE!#REF!</definedName>
    <definedName name="__123Graph_ASTNPLF" hidden="1">[2]CE!#REF!</definedName>
    <definedName name="__123Graph_B" localSheetId="47" hidden="1">[2]CE!#REF!</definedName>
    <definedName name="__123Graph_B" localSheetId="48" hidden="1">[2]CE!#REF!</definedName>
    <definedName name="__123Graph_B" localSheetId="49" hidden="1">[2]CE!#REF!</definedName>
    <definedName name="__123Graph_B" localSheetId="17" hidden="1">[2]CE!#REF!</definedName>
    <definedName name="__123Graph_B" hidden="1">[2]CE!#REF!</definedName>
    <definedName name="__123Graph_BSTNPLF" localSheetId="47" hidden="1">[2]CE!#REF!</definedName>
    <definedName name="__123Graph_BSTNPLF" localSheetId="48" hidden="1">[2]CE!#REF!</definedName>
    <definedName name="__123Graph_BSTNPLF" localSheetId="49" hidden="1">[2]CE!#REF!</definedName>
    <definedName name="__123Graph_BSTNPLF" localSheetId="17" hidden="1">[2]CE!#REF!</definedName>
    <definedName name="__123Graph_BSTNPLF" hidden="1">[2]CE!#REF!</definedName>
    <definedName name="__123Graph_C" localSheetId="47" hidden="1">[2]CE!#REF!</definedName>
    <definedName name="__123Graph_C" localSheetId="48" hidden="1">[2]CE!#REF!</definedName>
    <definedName name="__123Graph_C" localSheetId="49" hidden="1">[2]CE!#REF!</definedName>
    <definedName name="__123Graph_C" localSheetId="17" hidden="1">[2]CE!#REF!</definedName>
    <definedName name="__123Graph_C" hidden="1">[2]CE!#REF!</definedName>
    <definedName name="__123Graph_CSTNPLF" localSheetId="47" hidden="1">[2]CE!#REF!</definedName>
    <definedName name="__123Graph_CSTNPLF" localSheetId="48" hidden="1">[2]CE!#REF!</definedName>
    <definedName name="__123Graph_CSTNPLF" localSheetId="49" hidden="1">[2]CE!#REF!</definedName>
    <definedName name="__123Graph_CSTNPLF" localSheetId="17" hidden="1">[2]CE!#REF!</definedName>
    <definedName name="__123Graph_CSTNPLF" hidden="1">[2]CE!#REF!</definedName>
    <definedName name="__123Graph_X" localSheetId="47" hidden="1">[2]CE!#REF!</definedName>
    <definedName name="__123Graph_X" localSheetId="48" hidden="1">[2]CE!#REF!</definedName>
    <definedName name="__123Graph_X" localSheetId="49" hidden="1">[2]CE!#REF!</definedName>
    <definedName name="__123Graph_X" localSheetId="17" hidden="1">[2]CE!#REF!</definedName>
    <definedName name="__123Graph_X" hidden="1">[2]CE!#REF!</definedName>
    <definedName name="__123Graph_XSTNPLF" localSheetId="47" hidden="1">[2]CE!#REF!</definedName>
    <definedName name="__123Graph_XSTNPLF" localSheetId="48" hidden="1">[2]CE!#REF!</definedName>
    <definedName name="__123Graph_XSTNPLF" localSheetId="49" hidden="1">[2]CE!#REF!</definedName>
    <definedName name="__123Graph_XSTNPLF" localSheetId="17" hidden="1">[2]CE!#REF!</definedName>
    <definedName name="__123Graph_XSTNPLF" hidden="1">[2]CE!#REF!</definedName>
    <definedName name="__DOWN_10__GOTO" localSheetId="48">#REF!</definedName>
    <definedName name="__DOWN_10__GOTO" localSheetId="49">#REF!</definedName>
    <definedName name="__DOWN_10__GOTO">#REF!</definedName>
    <definedName name="__ES84__EW84_0." localSheetId="48">#REF!</definedName>
    <definedName name="__ES84__EW84_0." localSheetId="49">#REF!</definedName>
    <definedName name="__ES84__EW84_0.">#REF!</definedName>
    <definedName name="__GOTO_EP84__AV" localSheetId="48">#REF!</definedName>
    <definedName name="__GOTO_EP84__AV" localSheetId="49">#REF!</definedName>
    <definedName name="__GOTO_EP84__AV">#REF!</definedName>
    <definedName name="__SCH6" localSheetId="48">'[1]04REL'!#REF!</definedName>
    <definedName name="__SCH6" localSheetId="49">'[1]04REL'!#REF!</definedName>
    <definedName name="__SCH6">'[1]04REL'!#REF!</definedName>
    <definedName name="__SUM_CS57..CS6" localSheetId="48">#REF!</definedName>
    <definedName name="__SUM_CS57..CS6" localSheetId="49">#REF!</definedName>
    <definedName name="__SUM_CS57..CS6">#REF!</definedName>
    <definedName name="__SUM_CS65..CS7" localSheetId="48">#REF!</definedName>
    <definedName name="__SUM_CS65..CS7" localSheetId="49">#REF!</definedName>
    <definedName name="__SUM_CS65..CS7">#REF!</definedName>
    <definedName name="__SUM_FQ20..FQ2" localSheetId="48">#REF!</definedName>
    <definedName name="__SUM_FQ20..FQ2" localSheetId="49">#REF!</definedName>
    <definedName name="__SUM_FQ20..FQ2">#REF!</definedName>
    <definedName name="__SUM_FQ28..FQ3" localSheetId="48">#REF!</definedName>
    <definedName name="__SUM_FQ28..FQ3" localSheetId="49">#REF!</definedName>
    <definedName name="__SUM_FQ28..FQ3">#REF!</definedName>
    <definedName name="__XL__ENTER_UNIT" localSheetId="48">#REF!</definedName>
    <definedName name="__XL__ENTER_UNIT" localSheetId="49">#REF!</definedName>
    <definedName name="__XL__ENTER_UNIT">#REF!</definedName>
    <definedName name="_5" localSheetId="48">#REF!</definedName>
    <definedName name="_5" localSheetId="49">#REF!</definedName>
    <definedName name="_5">#REF!</definedName>
    <definedName name="_6" localSheetId="48">#REF!</definedName>
    <definedName name="_6" localSheetId="49">#REF!</definedName>
    <definedName name="_6">#REF!</definedName>
    <definedName name="_D___GOTO_GK112" localSheetId="48">#REF!</definedName>
    <definedName name="_D___GOTO_GK112" localSheetId="49">#REF!</definedName>
    <definedName name="_D___GOTO_GK112">#REF!</definedName>
    <definedName name="_D___GOTO_GK56_" localSheetId="48">#REF!</definedName>
    <definedName name="_D___GOTO_GK56_" localSheetId="49">#REF!</definedName>
    <definedName name="_D___GOTO_GK56_">#REF!</definedName>
    <definedName name="_D__D___L___GOT" localSheetId="48">#REF!</definedName>
    <definedName name="_D__D___L___GOT" localSheetId="49">#REF!</definedName>
    <definedName name="_D__D___L___GOT">#REF!</definedName>
    <definedName name="_D__D__D___D__D" localSheetId="48">#REF!</definedName>
    <definedName name="_D__D__D___D__D" localSheetId="49">#REF!</definedName>
    <definedName name="_D__D__D___D__D">#REF!</definedName>
    <definedName name="_D_19__U_19_" localSheetId="48">#REF!</definedName>
    <definedName name="_D_19__U_19_" localSheetId="49">#REF!</definedName>
    <definedName name="_D_19__U_19_">#REF!</definedName>
    <definedName name="_DOWN_9__RIGHT_" localSheetId="48">#REF!</definedName>
    <definedName name="_DOWN_9__RIGHT_" localSheetId="49">#REF!</definedName>
    <definedName name="_DOWN_9__RIGHT_">#REF!</definedName>
    <definedName name="_Fill" localSheetId="45" hidden="1">'F15'!#REF!</definedName>
    <definedName name="_Fill" localSheetId="47" hidden="1">#REF!</definedName>
    <definedName name="_Fill" localSheetId="48" hidden="1">#REF!</definedName>
    <definedName name="_Fill" localSheetId="49" hidden="1">#REF!</definedName>
    <definedName name="_Fill" localSheetId="17" hidden="1">#REF!</definedName>
    <definedName name="_Fill" hidden="1">#REF!</definedName>
    <definedName name="_xlnm._FilterDatabase" localSheetId="39" hidden="1">'F14.4'!$C$1:$C$60</definedName>
    <definedName name="_xlnm._FilterDatabase" localSheetId="4" hidden="1">'F2.1'!$A$10:$X$10</definedName>
    <definedName name="_xlnm._FilterDatabase" localSheetId="18" hidden="1">'F4.1'!$S$1:$S$299</definedName>
    <definedName name="_xlnm._FilterDatabase" localSheetId="19" hidden="1">'F4.2'!$AZ$8:$AZ$676</definedName>
    <definedName name="_FROM__R__R__08" localSheetId="48">#REF!</definedName>
    <definedName name="_FROM__R__R__08" localSheetId="49">#REF!</definedName>
    <definedName name="_FROM__R__R__08">#REF!</definedName>
    <definedName name="_FROM__R__R__16" localSheetId="48">#REF!</definedName>
    <definedName name="_FROM__R__R__16" localSheetId="49">#REF!</definedName>
    <definedName name="_FROM__R__R__16">#REF!</definedName>
    <definedName name="_GENERATION__R_" localSheetId="48">#REF!</definedName>
    <definedName name="_GENERATION__R_" localSheetId="49">#REF!</definedName>
    <definedName name="_GENERATION__R_">#REF!</definedName>
    <definedName name="_GOTO_BT49__R__" localSheetId="48">#REF!</definedName>
    <definedName name="_GOTO_BT49__R__" localSheetId="49">#REF!</definedName>
    <definedName name="_GOTO_BT49__R__">#REF!</definedName>
    <definedName name="_GOTO_CF11__?__" localSheetId="48">#REF!</definedName>
    <definedName name="_GOTO_CF11__?__" localSheetId="49">#REF!</definedName>
    <definedName name="_GOTO_CF11__?__">#REF!</definedName>
    <definedName name="_GOTO_EO75__WEK" localSheetId="48">#REF!</definedName>
    <definedName name="_GOTO_EO75__WEK" localSheetId="49">#REF!</definedName>
    <definedName name="_GOTO_EO75__WEK">#REF!</definedName>
    <definedName name="_GOTO_EP82__PEA" localSheetId="48">#REF!</definedName>
    <definedName name="_GOTO_EP82__PEA" localSheetId="49">#REF!</definedName>
    <definedName name="_GOTO_EP82__PEA">#REF!</definedName>
    <definedName name="_GOTO_EP86__PER" localSheetId="48">#REF!</definedName>
    <definedName name="_GOTO_EP86__PER" localSheetId="49">#REF!</definedName>
    <definedName name="_GOTO_EP86__PER">#REF!</definedName>
    <definedName name="_GOTO_FO112__RV" localSheetId="48">#REF!</definedName>
    <definedName name="_GOTO_FO112__RV" localSheetId="49">#REF!</definedName>
    <definedName name="_GOTO_FO112__RV">#REF!</definedName>
    <definedName name="_GOTO_FO56__RV_" localSheetId="48">#REF!</definedName>
    <definedName name="_GOTO_FO56__RV_" localSheetId="49">#REF!</definedName>
    <definedName name="_GOTO_FO56__RV_">#REF!</definedName>
    <definedName name="_HOME__GOTO_M14" localSheetId="48">#REF!</definedName>
    <definedName name="_HOME__GOTO_M14" localSheetId="49">#REF!</definedName>
    <definedName name="_HOME__GOTO_M14">#REF!</definedName>
    <definedName name="_Order1" hidden="1">255</definedName>
    <definedName name="_PLF__R__R___ES" localSheetId="48">#REF!</definedName>
    <definedName name="_PLF__R__R___ES" localSheetId="49">#REF!</definedName>
    <definedName name="_PLF__R__R___ES">#REF!</definedName>
    <definedName name="_RV_DOWN_6__LEF" localSheetId="48">#REF!</definedName>
    <definedName name="_RV_DOWN_6__LEF" localSheetId="49">#REF!</definedName>
    <definedName name="_RV_DOWN_6__LEF">#REF!</definedName>
    <definedName name="_SCH6" localSheetId="48">'[1]04REL'!#REF!</definedName>
    <definedName name="_SCH6" localSheetId="49">'[1]04REL'!#REF!</definedName>
    <definedName name="_SCH6">'[1]04REL'!#REF!</definedName>
    <definedName name="_SUM_DI14..DI21" localSheetId="48">#REF!</definedName>
    <definedName name="_SUM_DI14..DI21" localSheetId="49">#REF!</definedName>
    <definedName name="_SUM_DI14..DI21">#REF!</definedName>
    <definedName name="_SUM_DI22..DI29" localSheetId="48">#REF!</definedName>
    <definedName name="_SUM_DI22..DI29" localSheetId="49">#REF!</definedName>
    <definedName name="_SUM_DI22..DI29">#REF!</definedName>
    <definedName name="_U__END__U__D__" localSheetId="48">#REF!</definedName>
    <definedName name="_U__END__U__D__" localSheetId="49">#REF!</definedName>
    <definedName name="_U__END__U__D__">#REF!</definedName>
    <definedName name="_U__U__END__U__" localSheetId="48">#REF!</definedName>
    <definedName name="_U__U__END__U__" localSheetId="49">#REF!</definedName>
    <definedName name="_U__U__END__U__">#REF!</definedName>
    <definedName name="_U__U__U__U__U_" localSheetId="48">#REF!</definedName>
    <definedName name="_U__U__U__U__U_" localSheetId="49">#REF!</definedName>
    <definedName name="_U__U__U__U__U_">#REF!</definedName>
    <definedName name="_WGPD_GOTO_CO10" localSheetId="48">#REF!</definedName>
    <definedName name="_WGPD_GOTO_CO10" localSheetId="49">#REF!</definedName>
    <definedName name="_WGPD_GOTO_CO10">#REF!</definedName>
    <definedName name="A" localSheetId="48">#REF!</definedName>
    <definedName name="A" localSheetId="49">#REF!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48">#REF!</definedName>
    <definedName name="AV" localSheetId="49">#REF!</definedName>
    <definedName name="AV">#REF!</definedName>
    <definedName name="C_Data_1" localSheetId="48">'[5]2000-01'!#REF!</definedName>
    <definedName name="C_Data_1" localSheetId="49">'[5]2000-01'!#REF!</definedName>
    <definedName name="C_Data_1">'[5]2000-01'!#REF!</definedName>
    <definedName name="C_Data_2" localSheetId="48">'[5]2000-01'!#REF!</definedName>
    <definedName name="C_Data_2" localSheetId="49">'[5]2000-01'!#REF!</definedName>
    <definedName name="C_Data_2">'[5]2000-01'!#REF!</definedName>
    <definedName name="CM10_C_RIGHT___" localSheetId="48">#REF!</definedName>
    <definedName name="CM10_C_RIGHT___" localSheetId="49">#REF!</definedName>
    <definedName name="CM10_C_RIGHT___">#REF!</definedName>
    <definedName name="CV" localSheetId="48">#REF!</definedName>
    <definedName name="CV" localSheetId="49">#REF!</definedName>
    <definedName name="CV">#REF!</definedName>
    <definedName name="D">#N/A</definedName>
    <definedName name="Debt_Pct">[6]Assumptions!$B$13</definedName>
    <definedName name="dpc">'[7]dpc cost'!$D$1</definedName>
    <definedName name="E_315MVA_Addl_Page1" localSheetId="48">#REF!</definedName>
    <definedName name="E_315MVA_Addl_Page1" localSheetId="49">#REF!</definedName>
    <definedName name="E_315MVA_Addl_Page1">#REF!</definedName>
    <definedName name="E_315MVA_Addl_Page2" localSheetId="48">#REF!</definedName>
    <definedName name="E_315MVA_Addl_Page2" localSheetId="49">#REF!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48">#REF!</definedName>
    <definedName name="EscAGExp" localSheetId="49">#REF!</definedName>
    <definedName name="EscAGExp">#REF!</definedName>
    <definedName name="EscCoal" localSheetId="48">#REF!</definedName>
    <definedName name="EscCoal" localSheetId="49">#REF!</definedName>
    <definedName name="EscCoal">#REF!</definedName>
    <definedName name="EscDomGas" localSheetId="48">#REF!</definedName>
    <definedName name="EscDomGas" localSheetId="49">#REF!</definedName>
    <definedName name="EscDomGas">#REF!</definedName>
    <definedName name="EscEmpExp" localSheetId="48">#REF!</definedName>
    <definedName name="EscEmpExp" localSheetId="49">#REF!</definedName>
    <definedName name="EscEmpExp">#REF!</definedName>
    <definedName name="EscLNGas" localSheetId="48">#REF!</definedName>
    <definedName name="EscLNGas" localSheetId="49">#REF!</definedName>
    <definedName name="EscLNGas">#REF!</definedName>
    <definedName name="EscOil" localSheetId="48">#REF!</definedName>
    <definedName name="EscOil" localSheetId="49">#REF!</definedName>
    <definedName name="EscOil">#REF!</definedName>
    <definedName name="EscOtherIncome" localSheetId="48">#REF!</definedName>
    <definedName name="EscOtherIncome" localSheetId="49">#REF!</definedName>
    <definedName name="EscOtherIncome">#REF!</definedName>
    <definedName name="EscOtherVarCharge" localSheetId="48">#REF!</definedName>
    <definedName name="EscOtherVarCharge" localSheetId="49">#REF!</definedName>
    <definedName name="EscOtherVarCharge">#REF!</definedName>
    <definedName name="EscRMExp" localSheetId="48">#REF!</definedName>
    <definedName name="EscRMExp" localSheetId="49">#REF!</definedName>
    <definedName name="EscRMExp">#REF!</definedName>
    <definedName name="FAX" localSheetId="48">#REF!</definedName>
    <definedName name="FAX" localSheetId="49">#REF!</definedName>
    <definedName name="FAX">#REF!</definedName>
    <definedName name="FinCharge">[6]Assumptions!$B$25</definedName>
    <definedName name="Fuel_Exp_CY" localSheetId="48">#REF!</definedName>
    <definedName name="Fuel_Exp_CY" localSheetId="49">#REF!</definedName>
    <definedName name="Fuel_Exp_CY">#REF!</definedName>
    <definedName name="Fuel_Exp_EY" localSheetId="48">#REF!</definedName>
    <definedName name="Fuel_Exp_EY" localSheetId="49">#REF!</definedName>
    <definedName name="Fuel_Exp_EY">#REF!</definedName>
    <definedName name="Fuel_Exp_PY" localSheetId="48">#REF!</definedName>
    <definedName name="Fuel_Exp_PY" localSheetId="49">#REF!</definedName>
    <definedName name="Fuel_Exp_PY">#REF!</definedName>
    <definedName name="GR" localSheetId="48">#REF!</definedName>
    <definedName name="GR" localSheetId="49">#REF!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48">#REF!</definedName>
    <definedName name="IntRate12" localSheetId="49">#REF!</definedName>
    <definedName name="IntRate12">#REF!</definedName>
    <definedName name="IntRate13" localSheetId="48">#REF!</definedName>
    <definedName name="IntRate13" localSheetId="49">#REF!</definedName>
    <definedName name="IntRate13">#REF!</definedName>
    <definedName name="IntRateWC11" localSheetId="48">#REF!</definedName>
    <definedName name="IntRateWC11" localSheetId="49">#REF!</definedName>
    <definedName name="IntRateWC11">#REF!</definedName>
    <definedName name="IntRateWC12" localSheetId="48">#REF!</definedName>
    <definedName name="IntRateWC12" localSheetId="49">#REF!</definedName>
    <definedName name="IntRateWC12">#REF!</definedName>
    <definedName name="IntRateWC13" localSheetId="48">#REF!</definedName>
    <definedName name="IntRateWC13" localSheetId="49">#REF!</definedName>
    <definedName name="IntRateWC13">#REF!</definedName>
    <definedName name="Intt_Charge_cY" localSheetId="48">#REF!,#REF!</definedName>
    <definedName name="Intt_Charge_cY" localSheetId="49">#REF!,#REF!</definedName>
    <definedName name="Intt_Charge_cY">#REF!,#REF!</definedName>
    <definedName name="Intt_Charge_cy_1">'[10]A 3.7'!$H$35,'[10]A 3.7'!$H$44</definedName>
    <definedName name="Intt_Charge_eY" localSheetId="48">#REF!,#REF!</definedName>
    <definedName name="Intt_Charge_eY" localSheetId="49">#REF!,#REF!</definedName>
    <definedName name="Intt_Charge_eY">#REF!,#REF!</definedName>
    <definedName name="Intt_Charge_ey_1">'[10]A 3.7'!$I$35,'[10]A 3.7'!$I$44</definedName>
    <definedName name="Intt_Charge_PY" localSheetId="48">#REF!,#REF!</definedName>
    <definedName name="Intt_Charge_PY" localSheetId="49">#REF!,#REF!</definedName>
    <definedName name="Intt_Charge_PY">#REF!,#REF!</definedName>
    <definedName name="Intt_Charge_py_1">'[10]A 3.7'!$G$35,'[10]A 3.7'!$G$44</definedName>
    <definedName name="IsCircular" localSheetId="48">#REF!</definedName>
    <definedName name="IsCircular" localSheetId="49">#REF!</definedName>
    <definedName name="IsCircular">#REF!</definedName>
    <definedName name="K2000_">#N/A</definedName>
    <definedName name="LTR_M_NEW" localSheetId="48">#REF!</definedName>
    <definedName name="LTR_M_NEW" localSheetId="49">#REF!</definedName>
    <definedName name="LTR_M_NEW">#REF!</definedName>
    <definedName name="LTR_MOR" localSheetId="48">#REF!</definedName>
    <definedName name="LTR_MOR" localSheetId="49">#REF!</definedName>
    <definedName name="LTR_MOR">#REF!</definedName>
    <definedName name="new" localSheetId="45" hidden="1">[11]CE!#REF!</definedName>
    <definedName name="new" localSheetId="47" hidden="1">[11]CE!#REF!</definedName>
    <definedName name="new" localSheetId="48" hidden="1">[11]CE!#REF!</definedName>
    <definedName name="new" localSheetId="49" hidden="1">[11]CE!#REF!</definedName>
    <definedName name="new" localSheetId="17" hidden="1">[11]CE!#REF!</definedName>
    <definedName name="new" hidden="1">[11]CE!#REF!</definedName>
    <definedName name="O" localSheetId="48">#REF!</definedName>
    <definedName name="O" localSheetId="49">#REF!</definedName>
    <definedName name="O">#REF!</definedName>
    <definedName name="p" localSheetId="48">#REF!</definedName>
    <definedName name="p" localSheetId="49">#REF!</definedName>
    <definedName name="p">#REF!</definedName>
    <definedName name="PAGE1" localSheetId="48">#REF!</definedName>
    <definedName name="PAGE1" localSheetId="49">#REF!</definedName>
    <definedName name="PAGE1">#REF!</definedName>
    <definedName name="page10" localSheetId="48">#REF!</definedName>
    <definedName name="page10" localSheetId="49">#REF!</definedName>
    <definedName name="page10">#REF!</definedName>
    <definedName name="PAGE10_6" localSheetId="48">#REF!</definedName>
    <definedName name="PAGE10_6" localSheetId="49">#REF!</definedName>
    <definedName name="PAGE10_6">#REF!</definedName>
    <definedName name="PAGE11_6" localSheetId="48">#REF!</definedName>
    <definedName name="PAGE11_6" localSheetId="49">#REF!</definedName>
    <definedName name="PAGE11_6">#REF!</definedName>
    <definedName name="PAGE12_6" localSheetId="48">#REF!</definedName>
    <definedName name="PAGE12_6" localSheetId="49">#REF!</definedName>
    <definedName name="PAGE12_6">#REF!</definedName>
    <definedName name="PAGE14" localSheetId="48">#REF!</definedName>
    <definedName name="PAGE14" localSheetId="49">#REF!</definedName>
    <definedName name="PAGE14">#REF!</definedName>
    <definedName name="PAGE15" localSheetId="48">#REF!</definedName>
    <definedName name="PAGE15" localSheetId="49">#REF!</definedName>
    <definedName name="PAGE15">#REF!</definedName>
    <definedName name="PAGE16" localSheetId="48">#REF!</definedName>
    <definedName name="PAGE16" localSheetId="49">#REF!</definedName>
    <definedName name="PAGE16">#REF!</definedName>
    <definedName name="PAGE17" localSheetId="48">#REF!</definedName>
    <definedName name="PAGE17" localSheetId="49">#REF!</definedName>
    <definedName name="PAGE17">#REF!</definedName>
    <definedName name="PAGE18" localSheetId="48">#REF!</definedName>
    <definedName name="PAGE18" localSheetId="49">#REF!</definedName>
    <definedName name="PAGE18">#REF!</definedName>
    <definedName name="PAGE19" localSheetId="48">#REF!</definedName>
    <definedName name="PAGE19" localSheetId="49">#REF!</definedName>
    <definedName name="PAGE19">#REF!</definedName>
    <definedName name="PAGE2" localSheetId="48">#REF!</definedName>
    <definedName name="PAGE2" localSheetId="49">#REF!</definedName>
    <definedName name="PAGE2">#REF!</definedName>
    <definedName name="PAGE2_6" localSheetId="48">#REF!</definedName>
    <definedName name="PAGE2_6" localSheetId="49">#REF!</definedName>
    <definedName name="PAGE2_6">#REF!</definedName>
    <definedName name="PAGE20" localSheetId="48">#REF!</definedName>
    <definedName name="PAGE20" localSheetId="49">#REF!</definedName>
    <definedName name="PAGE20">#REF!</definedName>
    <definedName name="PAGE21" localSheetId="48">#REF!</definedName>
    <definedName name="PAGE21" localSheetId="49">#REF!</definedName>
    <definedName name="PAGE21">#REF!</definedName>
    <definedName name="PAGE210" localSheetId="48">#REF!</definedName>
    <definedName name="PAGE210" localSheetId="49">#REF!</definedName>
    <definedName name="PAGE210">#REF!</definedName>
    <definedName name="PAGE22" localSheetId="48">#REF!</definedName>
    <definedName name="PAGE22" localSheetId="49">#REF!</definedName>
    <definedName name="PAGE22">#REF!</definedName>
    <definedName name="PAGE23" localSheetId="48">#REF!</definedName>
    <definedName name="PAGE23" localSheetId="49">#REF!</definedName>
    <definedName name="PAGE23">#REF!</definedName>
    <definedName name="PAGE24" localSheetId="48">#REF!</definedName>
    <definedName name="PAGE24" localSheetId="49">#REF!</definedName>
    <definedName name="PAGE24">#REF!</definedName>
    <definedName name="PAGE25" localSheetId="48">#REF!</definedName>
    <definedName name="PAGE25" localSheetId="49">#REF!</definedName>
    <definedName name="PAGE25">#REF!</definedName>
    <definedName name="PAGE26" localSheetId="48">#REF!</definedName>
    <definedName name="PAGE26" localSheetId="49">#REF!</definedName>
    <definedName name="PAGE26">#REF!</definedName>
    <definedName name="PAGE27" localSheetId="48">#REF!</definedName>
    <definedName name="PAGE27" localSheetId="49">#REF!</definedName>
    <definedName name="PAGE27">#REF!</definedName>
    <definedName name="PAGE28" localSheetId="48">#REF!</definedName>
    <definedName name="PAGE28" localSheetId="49">#REF!</definedName>
    <definedName name="PAGE28">#REF!</definedName>
    <definedName name="PAGE29" localSheetId="48">#REF!</definedName>
    <definedName name="PAGE29" localSheetId="49">#REF!</definedName>
    <definedName name="PAGE29">#REF!</definedName>
    <definedName name="PAGE3_6" localSheetId="48">#REF!</definedName>
    <definedName name="PAGE3_6" localSheetId="49">#REF!</definedName>
    <definedName name="PAGE3_6">#REF!</definedName>
    <definedName name="page34" localSheetId="48">#REF!</definedName>
    <definedName name="page34" localSheetId="49">#REF!</definedName>
    <definedName name="page34">#REF!</definedName>
    <definedName name="Page35" localSheetId="48">#REF!</definedName>
    <definedName name="Page35" localSheetId="49">#REF!</definedName>
    <definedName name="Page35">#REF!</definedName>
    <definedName name="PAGE4_6" localSheetId="48">#REF!</definedName>
    <definedName name="PAGE4_6" localSheetId="49">#REF!</definedName>
    <definedName name="PAGE4_6">#REF!</definedName>
    <definedName name="PAGE5_6" localSheetId="48">#REF!</definedName>
    <definedName name="PAGE5_6" localSheetId="49">#REF!</definedName>
    <definedName name="PAGE5_6">#REF!</definedName>
    <definedName name="page50" localSheetId="48">#REF!</definedName>
    <definedName name="page50" localSheetId="49">#REF!</definedName>
    <definedName name="page50">#REF!</definedName>
    <definedName name="page51" localSheetId="48">#REF!</definedName>
    <definedName name="page51" localSheetId="49">#REF!</definedName>
    <definedName name="page51">#REF!</definedName>
    <definedName name="page52" localSheetId="48">#REF!</definedName>
    <definedName name="page52" localSheetId="49">#REF!</definedName>
    <definedName name="page52">#REF!</definedName>
    <definedName name="PAGE6" localSheetId="48">#REF!</definedName>
    <definedName name="PAGE6" localSheetId="49">#REF!</definedName>
    <definedName name="PAGE6">#REF!</definedName>
    <definedName name="PAGE6_6" localSheetId="48">#REF!</definedName>
    <definedName name="PAGE6_6" localSheetId="49">#REF!</definedName>
    <definedName name="PAGE6_6">#REF!</definedName>
    <definedName name="PAGE7" localSheetId="48">#REF!</definedName>
    <definedName name="PAGE7" localSheetId="49">#REF!</definedName>
    <definedName name="PAGE7">#REF!</definedName>
    <definedName name="PAGE7_6" localSheetId="48">#REF!</definedName>
    <definedName name="PAGE7_6" localSheetId="49">#REF!</definedName>
    <definedName name="PAGE7_6">#REF!</definedName>
    <definedName name="PAGE8" localSheetId="48">#REF!</definedName>
    <definedName name="PAGE8" localSheetId="49">#REF!</definedName>
    <definedName name="PAGE8">#REF!</definedName>
    <definedName name="PAGE8_6U1A" localSheetId="48">#REF!</definedName>
    <definedName name="PAGE8_6U1A" localSheetId="49">#REF!</definedName>
    <definedName name="PAGE8_6U1A">#REF!</definedName>
    <definedName name="PAGE8_6U1B" localSheetId="48">#REF!</definedName>
    <definedName name="PAGE8_6U1B" localSheetId="49">#REF!</definedName>
    <definedName name="PAGE8_6U1B">#REF!</definedName>
    <definedName name="PAGE8_6U2A" localSheetId="48">#REF!</definedName>
    <definedName name="PAGE8_6U2A" localSheetId="49">#REF!</definedName>
    <definedName name="PAGE8_6U2A">#REF!</definedName>
    <definedName name="PAGE8_6U2B" localSheetId="48">#REF!</definedName>
    <definedName name="PAGE8_6U2B" localSheetId="49">#REF!</definedName>
    <definedName name="PAGE8_6U2B">#REF!</definedName>
    <definedName name="PAGE8_6U3A" localSheetId="48">#REF!</definedName>
    <definedName name="PAGE8_6U3A" localSheetId="49">#REF!</definedName>
    <definedName name="PAGE8_6U3A">#REF!</definedName>
    <definedName name="PAGE8_6U3B" localSheetId="48">#REF!</definedName>
    <definedName name="PAGE8_6U3B" localSheetId="49">#REF!</definedName>
    <definedName name="PAGE8_6U3B">#REF!</definedName>
    <definedName name="PAGE9" localSheetId="48">#REF!</definedName>
    <definedName name="PAGE9" localSheetId="49">#REF!</definedName>
    <definedName name="PAGE9">#REF!</definedName>
    <definedName name="PAGE9_6" localSheetId="48">#REF!</definedName>
    <definedName name="PAGE9_6" localSheetId="49">#REF!</definedName>
    <definedName name="PAGE9_6">#REF!</definedName>
    <definedName name="Pop_Ratio" localSheetId="48">#REF!</definedName>
    <definedName name="Pop_Ratio" localSheetId="49">#REF!</definedName>
    <definedName name="Pop_Ratio">#REF!</definedName>
    <definedName name="PRF_1" localSheetId="48">#REF!</definedName>
    <definedName name="PRF_1" localSheetId="49">#REF!</definedName>
    <definedName name="PRF_1">#REF!</definedName>
    <definedName name="PRF_2_P1" localSheetId="48">#REF!</definedName>
    <definedName name="PRF_2_P1" localSheetId="49">#REF!</definedName>
    <definedName name="PRF_2_P1">#REF!</definedName>
    <definedName name="PRF_2_P2" localSheetId="48">#REF!</definedName>
    <definedName name="PRF_2_P2" localSheetId="49">#REF!</definedName>
    <definedName name="PRF_2_P2">#REF!</definedName>
    <definedName name="PRF_3_AN1" localSheetId="48">#REF!</definedName>
    <definedName name="PRF_3_AN1" localSheetId="49">#REF!</definedName>
    <definedName name="PRF_3_AN1">#REF!</definedName>
    <definedName name="PRF_3_AN2" localSheetId="48">#REF!</definedName>
    <definedName name="PRF_3_AN2" localSheetId="49">#REF!</definedName>
    <definedName name="PRF_3_AN2">#REF!</definedName>
    <definedName name="PRF_3_AN3" localSheetId="48">#REF!</definedName>
    <definedName name="PRF_3_AN3" localSheetId="49">#REF!</definedName>
    <definedName name="PRF_3_AN3">#REF!</definedName>
    <definedName name="_xlnm.Print_Area" localSheetId="2">'F1'!$A$1:$X$30</definedName>
    <definedName name="_xlnm.Print_Area" localSheetId="3">'F1.1'!$A$1:$Q$18</definedName>
    <definedName name="_xlnm.Print_Area" localSheetId="33">'F11'!$A$1:$T$29</definedName>
    <definedName name="_xlnm.Print_Area" localSheetId="39">'F14.4'!$A$1:$N$16</definedName>
    <definedName name="_xlnm.Print_Area" localSheetId="41">'F14.6'!$A$1:$C$41</definedName>
    <definedName name="_xlnm.Print_Area" localSheetId="47">'F17'!$A$1:$J$69</definedName>
    <definedName name="_xlnm.Print_Area" localSheetId="48">'F18'!$A$1:$N$29</definedName>
    <definedName name="_xlnm.Print_Area" localSheetId="49">#REF!</definedName>
    <definedName name="_xlnm.Print_Area" localSheetId="4">'F2.1'!$A$1:$X$68</definedName>
    <definedName name="_xlnm.Print_Area" localSheetId="5">'F2.2'!$A$1:$X$211</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'F3'!$A$1:$X$30</definedName>
    <definedName name="_xlnm.Print_Area" localSheetId="13">'F3.1'!$A$1:$AN$69</definedName>
    <definedName name="_xlnm.Print_Area" localSheetId="14">'F3.2'!$A$1:$M$79</definedName>
    <definedName name="_xlnm.Print_Area" localSheetId="18">'F4.1'!$A$1:$S$309</definedName>
    <definedName name="_xlnm.Print_Area" localSheetId="19">'F4.2'!$A$1:$AY$677</definedName>
    <definedName name="_xlnm.Print_Area" localSheetId="20">'F4.3'!$A$1:$N$5366</definedName>
    <definedName name="_xlnm.Print_Area" localSheetId="22">'F5'!$A$1:$AG$166</definedName>
    <definedName name="_xlnm.Print_Area" localSheetId="23">'F5.1 (E)'!$A$1:$Y$166</definedName>
    <definedName name="_xlnm.Print_Area" localSheetId="24">'F5.1 (N)'!$A$1:$AD$93</definedName>
    <definedName name="_xlnm.Print_Area" localSheetId="25">'F6'!$A$1:$R$325</definedName>
    <definedName name="_xlnm.Print_Area" localSheetId="26">'F7'!$A$1:$R$45</definedName>
    <definedName name="_xlnm.Print_Area" localSheetId="28">'F9'!$A$1:$N$31</definedName>
    <definedName name="_xlnm.Print_Area" localSheetId="0">Index!$A$1:$D$58</definedName>
    <definedName name="_xlnm.Print_Area">#REF!</definedName>
    <definedName name="PRINT_AREA_MI" localSheetId="48">#REF!</definedName>
    <definedName name="PRINT_AREA_MI" localSheetId="49">#REF!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'F4.1'!$1:$6</definedName>
    <definedName name="_xlnm.Print_Titles" localSheetId="19">'F4.2'!$A:$B,'F4.2'!$6:$8</definedName>
    <definedName name="_xlnm.Print_Titles" localSheetId="20">'F4.3'!$1:$6</definedName>
    <definedName name="q">'[12]A 3.7'!$I$35,'[12]A 3.7'!$I$44</definedName>
    <definedName name="S" localSheetId="48">#REF!</definedName>
    <definedName name="S" localSheetId="49">#REF!</definedName>
    <definedName name="S">#REF!</definedName>
    <definedName name="SECOAL" localSheetId="48">#REF!</definedName>
    <definedName name="SECOAL" localSheetId="49">#REF!</definedName>
    <definedName name="SECOAL">#REF!</definedName>
    <definedName name="SEOREP" localSheetId="48">#REF!</definedName>
    <definedName name="SEOREP" localSheetId="49">#REF!</definedName>
    <definedName name="SEOREP">#REF!</definedName>
    <definedName name="SEREPORT" localSheetId="48">#REF!</definedName>
    <definedName name="SEREPORT" localSheetId="49">#REF!</definedName>
    <definedName name="SEREPORT">#REF!</definedName>
    <definedName name="shft1">[7]SUMMERY!$P$1</definedName>
    <definedName name="shftI">[13]SUMMERY!$P$1</definedName>
    <definedName name="t" localSheetId="48">#REF!</definedName>
    <definedName name="t" localSheetId="49">#REF!</definedName>
    <definedName name="t">#REF!</definedName>
    <definedName name="TaxPaid10">[6]Assumptions!$B$22</definedName>
    <definedName name="TaxRate11">[6]Assumptions!$B$20</definedName>
    <definedName name="Taxrate12" localSheetId="48">#REF!</definedName>
    <definedName name="Taxrate12" localSheetId="49">#REF!</definedName>
    <definedName name="Taxrate12">#REF!</definedName>
    <definedName name="TotalRoE10">[6]Assumptions!$B$23</definedName>
    <definedName name="tripping" localSheetId="48">#REF!</definedName>
    <definedName name="tripping" localSheetId="49">#REF!</definedName>
    <definedName name="tripping">#REF!</definedName>
    <definedName name="uNIT1" localSheetId="48">#REF!</definedName>
    <definedName name="uNIT1" localSheetId="49">#REF!</definedName>
    <definedName name="uNIT1">#REF!</definedName>
    <definedName name="uNIT2" localSheetId="48">#REF!</definedName>
    <definedName name="uNIT2" localSheetId="49">#REF!</definedName>
    <definedName name="uNIT2">#REF!</definedName>
    <definedName name="uNIT3" localSheetId="48">#REF!</definedName>
    <definedName name="uNIT3" localSheetId="49">#REF!</definedName>
    <definedName name="uNIT3">#REF!</definedName>
    <definedName name="W" localSheetId="48">#REF!</definedName>
    <definedName name="W" localSheetId="49">#REF!</definedName>
    <definedName name="W">#REF!</definedName>
    <definedName name="WEEK_1A" localSheetId="48">#REF!</definedName>
    <definedName name="WEEK_1A" localSheetId="49">#REF!</definedName>
    <definedName name="WEEK_1A">#REF!</definedName>
    <definedName name="WEEK_1B" localSheetId="48">#REF!</definedName>
    <definedName name="WEEK_1B" localSheetId="49">#REF!</definedName>
    <definedName name="WEEK_1B">#REF!</definedName>
    <definedName name="WEEK_2A" localSheetId="48">#REF!</definedName>
    <definedName name="WEEK_2A" localSheetId="49">#REF!</definedName>
    <definedName name="WEEK_2A">#REF!</definedName>
    <definedName name="WEEK_2B" localSheetId="48">#REF!</definedName>
    <definedName name="WEEK_2B" localSheetId="49">#REF!</definedName>
    <definedName name="WEEK_2B">#REF!</definedName>
    <definedName name="Working_capital_Rate_of_Interest_for_FY_10_11">[4]Assumption_PwC!$C$116</definedName>
    <definedName name="X1_" localSheetId="48">#REF!</definedName>
    <definedName name="X1_" localSheetId="49">#REF!</definedName>
    <definedName name="X1_">#REF!</definedName>
    <definedName name="X11__?___QUIT_" localSheetId="48">#REF!</definedName>
    <definedName name="X11__?___QUIT_" localSheetId="49">#REF!</definedName>
    <definedName name="X11__?___QUIT_">#REF!</definedName>
    <definedName name="xxxx" localSheetId="47" hidden="1">[14]CE!#REF!</definedName>
    <definedName name="xxxx" localSheetId="48" hidden="1">[14]CE!#REF!</definedName>
    <definedName name="xxxx" localSheetId="49" hidden="1">[14]CE!#REF!</definedName>
    <definedName name="xxxx" localSheetId="17" hidden="1">[14]CE!#REF!</definedName>
    <definedName name="xxxx" localSheetId="23" hidden="1">[14]CE!#REF!</definedName>
    <definedName name="xxxx" hidden="1">[14]CE!#REF!</definedName>
    <definedName name="YEAR" localSheetId="48">#REF!</definedName>
    <definedName name="YEAR" localSheetId="49">#REF!</definedName>
    <definedName name="YEAR">#REF!</definedName>
    <definedName name="Year1" localSheetId="48">#REF!</definedName>
    <definedName name="Year1" localSheetId="49">#REF!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9" i="120" l="1"/>
  <c r="S309" i="120" s="1"/>
  <c r="G309" i="120"/>
  <c r="G308" i="120"/>
  <c r="G307" i="120"/>
  <c r="P307" i="120"/>
  <c r="S307" i="120" s="1"/>
  <c r="S306" i="120"/>
  <c r="P306" i="120"/>
  <c r="G306" i="120"/>
  <c r="G305" i="120"/>
  <c r="P305" i="120"/>
  <c r="S305" i="120" s="1"/>
  <c r="P304" i="120"/>
  <c r="S304" i="120" s="1"/>
  <c r="G304" i="120"/>
  <c r="G303" i="120"/>
  <c r="P303" i="120"/>
  <c r="S303" i="120" s="1"/>
  <c r="P302" i="120"/>
  <c r="S302" i="120" s="1"/>
  <c r="G302" i="120"/>
  <c r="P301" i="120"/>
  <c r="S301" i="120" s="1"/>
  <c r="G301" i="120"/>
  <c r="G300" i="120"/>
  <c r="G299" i="120"/>
  <c r="P299" i="120"/>
  <c r="S299" i="120" s="1"/>
  <c r="S298" i="120"/>
  <c r="P298" i="120"/>
  <c r="G298" i="120"/>
  <c r="G297" i="120"/>
  <c r="P297" i="120"/>
  <c r="S297" i="120" s="1"/>
  <c r="P296" i="120"/>
  <c r="S296" i="120" s="1"/>
  <c r="G296" i="120"/>
  <c r="G295" i="120"/>
  <c r="P295" i="120"/>
  <c r="S295" i="120" s="1"/>
  <c r="P294" i="120"/>
  <c r="S294" i="120" s="1"/>
  <c r="G294" i="120"/>
  <c r="P293" i="120"/>
  <c r="S293" i="120" s="1"/>
  <c r="G293" i="120"/>
  <c r="G292" i="120"/>
  <c r="G291" i="120"/>
  <c r="P291" i="120"/>
  <c r="S291" i="120" s="1"/>
  <c r="S290" i="120"/>
  <c r="P290" i="120"/>
  <c r="G290" i="120"/>
  <c r="G289" i="120"/>
  <c r="P289" i="120"/>
  <c r="S289" i="120" s="1"/>
  <c r="P288" i="120"/>
  <c r="S288" i="120" s="1"/>
  <c r="G288" i="120"/>
  <c r="G287" i="120"/>
  <c r="P287" i="120"/>
  <c r="S287" i="120" s="1"/>
  <c r="P286" i="120"/>
  <c r="S286" i="120" s="1"/>
  <c r="G286" i="120"/>
  <c r="P285" i="120"/>
  <c r="S285" i="120" s="1"/>
  <c r="G285" i="120"/>
  <c r="G284" i="120"/>
  <c r="G283" i="120"/>
  <c r="P283" i="120"/>
  <c r="S283" i="120" s="1"/>
  <c r="S282" i="120"/>
  <c r="P282" i="120"/>
  <c r="G282" i="120"/>
  <c r="G281" i="120"/>
  <c r="P281" i="120"/>
  <c r="S281" i="120" s="1"/>
  <c r="P280" i="120"/>
  <c r="S280" i="120" s="1"/>
  <c r="G280" i="120"/>
  <c r="G279" i="120"/>
  <c r="P279" i="120"/>
  <c r="S279" i="120" s="1"/>
  <c r="P278" i="120"/>
  <c r="S278" i="120" s="1"/>
  <c r="G278" i="120"/>
  <c r="P277" i="120"/>
  <c r="S277" i="120" s="1"/>
  <c r="G277" i="120"/>
  <c r="G276" i="120"/>
  <c r="G275" i="120"/>
  <c r="P275" i="120"/>
  <c r="S275" i="120" s="1"/>
  <c r="S274" i="120"/>
  <c r="P274" i="120"/>
  <c r="G274" i="120"/>
  <c r="G273" i="120"/>
  <c r="P273" i="120"/>
  <c r="S273" i="120" s="1"/>
  <c r="P272" i="120"/>
  <c r="S272" i="120" s="1"/>
  <c r="G272" i="120"/>
  <c r="G271" i="120"/>
  <c r="P271" i="120"/>
  <c r="S271" i="120" s="1"/>
  <c r="P270" i="120"/>
  <c r="S270" i="120" s="1"/>
  <c r="G270" i="120"/>
  <c r="P269" i="120"/>
  <c r="S269" i="120" s="1"/>
  <c r="G269" i="120"/>
  <c r="G268" i="120"/>
  <c r="G267" i="120"/>
  <c r="P267" i="120"/>
  <c r="S267" i="120" s="1"/>
  <c r="S266" i="120"/>
  <c r="P266" i="120"/>
  <c r="G266" i="120"/>
  <c r="G265" i="120"/>
  <c r="P265" i="120"/>
  <c r="S265" i="120" s="1"/>
  <c r="P264" i="120"/>
  <c r="S264" i="120" s="1"/>
  <c r="G264" i="120"/>
  <c r="G263" i="120"/>
  <c r="P263" i="120"/>
  <c r="S263" i="120" s="1"/>
  <c r="P262" i="120"/>
  <c r="S262" i="120" s="1"/>
  <c r="G262" i="120"/>
  <c r="P261" i="120"/>
  <c r="S261" i="120" s="1"/>
  <c r="G261" i="120"/>
  <c r="G260" i="120"/>
  <c r="G259" i="120"/>
  <c r="P259" i="120"/>
  <c r="S259" i="120" s="1"/>
  <c r="S258" i="120"/>
  <c r="P258" i="120"/>
  <c r="G258" i="120"/>
  <c r="G257" i="120"/>
  <c r="P257" i="120"/>
  <c r="S257" i="120" s="1"/>
  <c r="P256" i="120"/>
  <c r="S256" i="120" s="1"/>
  <c r="G256" i="120"/>
  <c r="G255" i="120"/>
  <c r="P255" i="120"/>
  <c r="S255" i="120" s="1"/>
  <c r="P254" i="120"/>
  <c r="S254" i="120" s="1"/>
  <c r="G254" i="120"/>
  <c r="P253" i="120"/>
  <c r="S253" i="120" s="1"/>
  <c r="G253" i="120"/>
  <c r="G252" i="120"/>
  <c r="G251" i="120"/>
  <c r="P251" i="120"/>
  <c r="S251" i="120" s="1"/>
  <c r="S250" i="120"/>
  <c r="P250" i="120"/>
  <c r="G250" i="120"/>
  <c r="G249" i="120"/>
  <c r="P249" i="120"/>
  <c r="S249" i="120" s="1"/>
  <c r="P248" i="120"/>
  <c r="S248" i="120" s="1"/>
  <c r="G248" i="120"/>
  <c r="G247" i="120"/>
  <c r="P247" i="120"/>
  <c r="S247" i="120" s="1"/>
  <c r="P246" i="120"/>
  <c r="S246" i="120" s="1"/>
  <c r="G246" i="120"/>
  <c r="P245" i="120"/>
  <c r="S245" i="120" s="1"/>
  <c r="G245" i="120"/>
  <c r="G244" i="120"/>
  <c r="P243" i="120"/>
  <c r="S243" i="120" s="1"/>
  <c r="G243" i="120"/>
  <c r="S242" i="120"/>
  <c r="P242" i="120"/>
  <c r="G242" i="120"/>
  <c r="G241" i="120"/>
  <c r="P241" i="120"/>
  <c r="S241" i="120" s="1"/>
  <c r="G240" i="120"/>
  <c r="P240" i="120"/>
  <c r="S240" i="120" s="1"/>
  <c r="G239" i="120"/>
  <c r="P239" i="120"/>
  <c r="S239" i="120" s="1"/>
  <c r="S238" i="120"/>
  <c r="P238" i="120"/>
  <c r="G238" i="120"/>
  <c r="S237" i="120"/>
  <c r="P237" i="120"/>
  <c r="G237" i="120"/>
  <c r="G236" i="120"/>
  <c r="P236" i="120"/>
  <c r="S236" i="120" s="1"/>
  <c r="G235" i="120"/>
  <c r="P235" i="120"/>
  <c r="S235" i="120" s="1"/>
  <c r="P234" i="120"/>
  <c r="S234" i="120" s="1"/>
  <c r="G234" i="120"/>
  <c r="P233" i="120"/>
  <c r="S233" i="120" s="1"/>
  <c r="G233" i="120"/>
  <c r="P232" i="120"/>
  <c r="S232" i="120" s="1"/>
  <c r="G232" i="120"/>
  <c r="G231" i="120"/>
  <c r="P231" i="120"/>
  <c r="S231" i="120" s="1"/>
  <c r="P230" i="120"/>
  <c r="S230" i="120" s="1"/>
  <c r="G230" i="120"/>
  <c r="S229" i="120"/>
  <c r="P229" i="120"/>
  <c r="G229" i="120"/>
  <c r="P228" i="120"/>
  <c r="S228" i="120" s="1"/>
  <c r="G228" i="120"/>
  <c r="G227" i="120"/>
  <c r="P227" i="120"/>
  <c r="S227" i="120" s="1"/>
  <c r="S226" i="120"/>
  <c r="P226" i="120"/>
  <c r="G226" i="120"/>
  <c r="S225" i="120"/>
  <c r="G225" i="120"/>
  <c r="P225" i="120"/>
  <c r="P224" i="120"/>
  <c r="S224" i="120" s="1"/>
  <c r="G224" i="120"/>
  <c r="G223" i="120"/>
  <c r="P223" i="120"/>
  <c r="S223" i="120" s="1"/>
  <c r="P222" i="120"/>
  <c r="S222" i="120" s="1"/>
  <c r="G222" i="120"/>
  <c r="P221" i="120"/>
  <c r="S221" i="120" s="1"/>
  <c r="G221" i="120"/>
  <c r="G220" i="120"/>
  <c r="P220" i="120"/>
  <c r="S220" i="120" s="1"/>
  <c r="G219" i="120"/>
  <c r="P219" i="120"/>
  <c r="S219" i="120" s="1"/>
  <c r="S218" i="120"/>
  <c r="P218" i="120"/>
  <c r="G218" i="120"/>
  <c r="S217" i="120"/>
  <c r="P217" i="120"/>
  <c r="G217" i="120"/>
  <c r="G216" i="120"/>
  <c r="P216" i="120"/>
  <c r="S216" i="120" s="1"/>
  <c r="P215" i="120"/>
  <c r="S215" i="120" s="1"/>
  <c r="G215" i="120"/>
  <c r="P214" i="120"/>
  <c r="S214" i="120" s="1"/>
  <c r="G214" i="120"/>
  <c r="P213" i="120"/>
  <c r="S213" i="120" s="1"/>
  <c r="G213" i="120"/>
  <c r="G212" i="120"/>
  <c r="P212" i="120"/>
  <c r="S212" i="120" s="1"/>
  <c r="G211" i="120"/>
  <c r="P211" i="120"/>
  <c r="S211" i="120" s="1"/>
  <c r="S210" i="120"/>
  <c r="P210" i="120"/>
  <c r="G210" i="120"/>
  <c r="G209" i="120"/>
  <c r="P209" i="120"/>
  <c r="S209" i="120" s="1"/>
  <c r="P208" i="120"/>
  <c r="S208" i="120" s="1"/>
  <c r="G208" i="120"/>
  <c r="G207" i="120"/>
  <c r="P207" i="120"/>
  <c r="S207" i="120" s="1"/>
  <c r="P206" i="120"/>
  <c r="S206" i="120" s="1"/>
  <c r="G206" i="120"/>
  <c r="S205" i="120"/>
  <c r="P205" i="120"/>
  <c r="G205" i="120"/>
  <c r="G204" i="120"/>
  <c r="P203" i="120"/>
  <c r="S203" i="120" s="1"/>
  <c r="G203" i="120"/>
  <c r="S202" i="120"/>
  <c r="P202" i="120"/>
  <c r="G202" i="120"/>
  <c r="G201" i="120"/>
  <c r="G200" i="120"/>
  <c r="P200" i="120"/>
  <c r="S200" i="120" s="1"/>
  <c r="P199" i="120"/>
  <c r="S199" i="120" s="1"/>
  <c r="G199" i="120"/>
  <c r="S198" i="120"/>
  <c r="P198" i="120"/>
  <c r="G198" i="120"/>
  <c r="P197" i="120"/>
  <c r="S197" i="120" s="1"/>
  <c r="G197" i="120"/>
  <c r="G196" i="120"/>
  <c r="P196" i="120"/>
  <c r="S196" i="120" s="1"/>
  <c r="P195" i="120"/>
  <c r="S195" i="120" s="1"/>
  <c r="G195" i="120"/>
  <c r="P194" i="120"/>
  <c r="S194" i="120" s="1"/>
  <c r="G194" i="120"/>
  <c r="G193" i="120"/>
  <c r="P193" i="120"/>
  <c r="S193" i="120" s="1"/>
  <c r="G192" i="120"/>
  <c r="G191" i="120"/>
  <c r="P191" i="120"/>
  <c r="S191" i="120" s="1"/>
  <c r="P190" i="120"/>
  <c r="S190" i="120" s="1"/>
  <c r="G190" i="120"/>
  <c r="S189" i="120"/>
  <c r="P189" i="120"/>
  <c r="G189" i="120"/>
  <c r="P188" i="120"/>
  <c r="S188" i="120" s="1"/>
  <c r="G188" i="120"/>
  <c r="G187" i="120"/>
  <c r="P187" i="120"/>
  <c r="S187" i="120" s="1"/>
  <c r="P186" i="120"/>
  <c r="S186" i="120" s="1"/>
  <c r="G186" i="120"/>
  <c r="G185" i="120"/>
  <c r="P185" i="120"/>
  <c r="S185" i="120" s="1"/>
  <c r="G184" i="120"/>
  <c r="G183" i="120"/>
  <c r="P183" i="120"/>
  <c r="S183" i="120" s="1"/>
  <c r="S182" i="120"/>
  <c r="P182" i="120"/>
  <c r="G182" i="120"/>
  <c r="S181" i="120"/>
  <c r="P181" i="120"/>
  <c r="G181" i="120"/>
  <c r="P180" i="120"/>
  <c r="S180" i="120" s="1"/>
  <c r="G180" i="120"/>
  <c r="P179" i="120"/>
  <c r="S179" i="120" s="1"/>
  <c r="G179" i="120"/>
  <c r="S178" i="120"/>
  <c r="P178" i="120"/>
  <c r="G178" i="120"/>
  <c r="P177" i="120"/>
  <c r="S177" i="120" s="1"/>
  <c r="G177" i="120"/>
  <c r="G176" i="120"/>
  <c r="P176" i="120"/>
  <c r="S176" i="120" s="1"/>
  <c r="G175" i="120"/>
  <c r="S174" i="120"/>
  <c r="P174" i="120"/>
  <c r="G174" i="120"/>
  <c r="S173" i="120"/>
  <c r="P173" i="120"/>
  <c r="G173" i="120"/>
  <c r="G172" i="120"/>
  <c r="P172" i="120"/>
  <c r="S172" i="120" s="1"/>
  <c r="G171" i="120"/>
  <c r="P170" i="120"/>
  <c r="S170" i="120" s="1"/>
  <c r="G170" i="120"/>
  <c r="P169" i="120"/>
  <c r="S169" i="120" s="1"/>
  <c r="G169" i="120"/>
  <c r="P168" i="120"/>
  <c r="S168" i="120" s="1"/>
  <c r="G168" i="120"/>
  <c r="G167" i="120"/>
  <c r="P167" i="120"/>
  <c r="S167" i="120" s="1"/>
  <c r="P166" i="120"/>
  <c r="S166" i="120" s="1"/>
  <c r="G166" i="120"/>
  <c r="S165" i="120"/>
  <c r="P165" i="120"/>
  <c r="G165" i="120"/>
  <c r="P164" i="120"/>
  <c r="S164" i="120" s="1"/>
  <c r="G164" i="120"/>
  <c r="G163" i="120"/>
  <c r="P163" i="120"/>
  <c r="S163" i="120" s="1"/>
  <c r="S162" i="120"/>
  <c r="P162" i="120"/>
  <c r="G162" i="120"/>
  <c r="S161" i="120"/>
  <c r="G161" i="120"/>
  <c r="P161" i="120"/>
  <c r="P160" i="120"/>
  <c r="S160" i="120" s="1"/>
  <c r="G160" i="120"/>
  <c r="G159" i="120"/>
  <c r="P159" i="120"/>
  <c r="S159" i="120" s="1"/>
  <c r="P158" i="120"/>
  <c r="S158" i="120" s="1"/>
  <c r="G158" i="120"/>
  <c r="P157" i="120"/>
  <c r="S157" i="120" s="1"/>
  <c r="G157" i="120"/>
  <c r="G156" i="120"/>
  <c r="P156" i="120"/>
  <c r="S156" i="120" s="1"/>
  <c r="G155" i="120"/>
  <c r="P155" i="120"/>
  <c r="S155" i="120" s="1"/>
  <c r="S154" i="120"/>
  <c r="P154" i="120"/>
  <c r="G154" i="120"/>
  <c r="S153" i="120"/>
  <c r="P153" i="120"/>
  <c r="G153" i="120"/>
  <c r="G152" i="120"/>
  <c r="P152" i="120"/>
  <c r="S152" i="120" s="1"/>
  <c r="P151" i="120"/>
  <c r="S151" i="120" s="1"/>
  <c r="G151" i="120"/>
  <c r="S150" i="120"/>
  <c r="P150" i="120"/>
  <c r="G150" i="120"/>
  <c r="P149" i="120"/>
  <c r="S149" i="120" s="1"/>
  <c r="G149" i="120"/>
  <c r="G148" i="120"/>
  <c r="P148" i="120"/>
  <c r="S148" i="120" s="1"/>
  <c r="G147" i="120"/>
  <c r="P147" i="120"/>
  <c r="S147" i="120" s="1"/>
  <c r="P146" i="120"/>
  <c r="S146" i="120" s="1"/>
  <c r="G146" i="120"/>
  <c r="G145" i="120"/>
  <c r="P145" i="120"/>
  <c r="S145" i="120" s="1"/>
  <c r="G144" i="120"/>
  <c r="P144" i="120"/>
  <c r="S144" i="120" s="1"/>
  <c r="G143" i="120"/>
  <c r="P143" i="120"/>
  <c r="S143" i="120" s="1"/>
  <c r="S142" i="120"/>
  <c r="P142" i="120"/>
  <c r="G142" i="120"/>
  <c r="G141" i="120"/>
  <c r="P141" i="120"/>
  <c r="S141" i="120" s="1"/>
  <c r="G140" i="120"/>
  <c r="P140" i="120"/>
  <c r="S140" i="120" s="1"/>
  <c r="G139" i="120"/>
  <c r="G138" i="120"/>
  <c r="P138" i="120"/>
  <c r="S138" i="120" s="1"/>
  <c r="P137" i="120"/>
  <c r="S137" i="120" s="1"/>
  <c r="G137" i="120"/>
  <c r="P136" i="120"/>
  <c r="S136" i="120" s="1"/>
  <c r="G136" i="120"/>
  <c r="P135" i="120"/>
  <c r="S135" i="120" s="1"/>
  <c r="G135" i="120"/>
  <c r="P134" i="120"/>
  <c r="S134" i="120" s="1"/>
  <c r="G134" i="120"/>
  <c r="G133" i="120"/>
  <c r="P133" i="120"/>
  <c r="S133" i="120" s="1"/>
  <c r="G132" i="120"/>
  <c r="P132" i="120"/>
  <c r="S132" i="120" s="1"/>
  <c r="G131" i="120"/>
  <c r="G130" i="120"/>
  <c r="P130" i="120"/>
  <c r="S130" i="120" s="1"/>
  <c r="G129" i="120"/>
  <c r="P129" i="120"/>
  <c r="S129" i="120" s="1"/>
  <c r="P128" i="120"/>
  <c r="S128" i="120" s="1"/>
  <c r="G128" i="120"/>
  <c r="P127" i="120"/>
  <c r="S127" i="120" s="1"/>
  <c r="G127" i="120"/>
  <c r="P126" i="120"/>
  <c r="S126" i="120" s="1"/>
  <c r="G126" i="120"/>
  <c r="G125" i="120"/>
  <c r="P125" i="120"/>
  <c r="S125" i="120" s="1"/>
  <c r="G124" i="120"/>
  <c r="P124" i="120"/>
  <c r="S124" i="120" s="1"/>
  <c r="G123" i="120"/>
  <c r="P123" i="120"/>
  <c r="S123" i="120" s="1"/>
  <c r="G122" i="120"/>
  <c r="P122" i="120"/>
  <c r="S122" i="120" s="1"/>
  <c r="G121" i="120"/>
  <c r="P121" i="120"/>
  <c r="S121" i="120" s="1"/>
  <c r="P120" i="120"/>
  <c r="S120" i="120" s="1"/>
  <c r="G120" i="120"/>
  <c r="G119" i="120"/>
  <c r="P119" i="120"/>
  <c r="S119" i="120" s="1"/>
  <c r="P118" i="120"/>
  <c r="S118" i="120" s="1"/>
  <c r="G118" i="120"/>
  <c r="G117" i="120"/>
  <c r="P117" i="120"/>
  <c r="S117" i="120" s="1"/>
  <c r="G116" i="120"/>
  <c r="P116" i="120"/>
  <c r="S116" i="120" s="1"/>
  <c r="G115" i="120"/>
  <c r="P115" i="120"/>
  <c r="S115" i="120" s="1"/>
  <c r="G114" i="120"/>
  <c r="P114" i="120"/>
  <c r="S114" i="120" s="1"/>
  <c r="P113" i="120"/>
  <c r="S113" i="120" s="1"/>
  <c r="G113" i="120"/>
  <c r="P112" i="120"/>
  <c r="S112" i="120" s="1"/>
  <c r="G112" i="120"/>
  <c r="P111" i="120"/>
  <c r="S111" i="120" s="1"/>
  <c r="G111" i="120"/>
  <c r="P110" i="120"/>
  <c r="S110" i="120" s="1"/>
  <c r="G110" i="120"/>
  <c r="G109" i="120"/>
  <c r="P109" i="120"/>
  <c r="S109" i="120" s="1"/>
  <c r="P108" i="120"/>
  <c r="S108" i="120" s="1"/>
  <c r="G108" i="120"/>
  <c r="G107" i="120"/>
  <c r="P107" i="120"/>
  <c r="S107" i="120" s="1"/>
  <c r="G106" i="120"/>
  <c r="P106" i="120"/>
  <c r="S106" i="120" s="1"/>
  <c r="G105" i="120"/>
  <c r="P105" i="120"/>
  <c r="S105" i="120" s="1"/>
  <c r="P104" i="120"/>
  <c r="S104" i="120" s="1"/>
  <c r="G104" i="120"/>
  <c r="G103" i="120"/>
  <c r="P103" i="120"/>
  <c r="S103" i="120" s="1"/>
  <c r="P102" i="120"/>
  <c r="S102" i="120" s="1"/>
  <c r="G102" i="120"/>
  <c r="P101" i="120"/>
  <c r="S101" i="120" s="1"/>
  <c r="G101" i="120"/>
  <c r="P100" i="120"/>
  <c r="S100" i="120" s="1"/>
  <c r="G100" i="120"/>
  <c r="G99" i="120"/>
  <c r="G98" i="120"/>
  <c r="P98" i="120"/>
  <c r="S98" i="120" s="1"/>
  <c r="P97" i="120"/>
  <c r="S97" i="120" s="1"/>
  <c r="G97" i="120"/>
  <c r="S96" i="120"/>
  <c r="P96" i="120"/>
  <c r="G96" i="120"/>
  <c r="P95" i="120"/>
  <c r="S95" i="120" s="1"/>
  <c r="G95" i="120"/>
  <c r="P94" i="120"/>
  <c r="S94" i="120" s="1"/>
  <c r="G94" i="120"/>
  <c r="G93" i="120"/>
  <c r="P93" i="120"/>
  <c r="S93" i="120" s="1"/>
  <c r="G92" i="120"/>
  <c r="P92" i="120"/>
  <c r="S92" i="120" s="1"/>
  <c r="G91" i="120"/>
  <c r="G90" i="120"/>
  <c r="P90" i="120"/>
  <c r="S90" i="120" s="1"/>
  <c r="P89" i="120"/>
  <c r="S89" i="120" s="1"/>
  <c r="G89" i="120"/>
  <c r="S88" i="120"/>
  <c r="P88" i="120"/>
  <c r="G88" i="120"/>
  <c r="P87" i="120"/>
  <c r="S87" i="120" s="1"/>
  <c r="G87" i="120"/>
  <c r="P86" i="120"/>
  <c r="S86" i="120" s="1"/>
  <c r="G86" i="120"/>
  <c r="G85" i="120"/>
  <c r="P85" i="120"/>
  <c r="S85" i="120" s="1"/>
  <c r="P84" i="120"/>
  <c r="S84" i="120" s="1"/>
  <c r="G84" i="120"/>
  <c r="G83" i="120"/>
  <c r="G82" i="120"/>
  <c r="P82" i="120"/>
  <c r="S82" i="120" s="1"/>
  <c r="P81" i="120"/>
  <c r="S81" i="120" s="1"/>
  <c r="G81" i="120"/>
  <c r="S80" i="120"/>
  <c r="P80" i="120"/>
  <c r="G80" i="120"/>
  <c r="P79" i="120"/>
  <c r="S79" i="120" s="1"/>
  <c r="G79" i="120"/>
  <c r="P78" i="120"/>
  <c r="S78" i="120" s="1"/>
  <c r="G78" i="120"/>
  <c r="S77" i="120"/>
  <c r="P77" i="120"/>
  <c r="G77" i="120"/>
  <c r="G76" i="120"/>
  <c r="P76" i="120"/>
  <c r="S76" i="120" s="1"/>
  <c r="G75" i="120"/>
  <c r="P75" i="120"/>
  <c r="S75" i="120" s="1"/>
  <c r="G74" i="120"/>
  <c r="P74" i="120"/>
  <c r="S74" i="120" s="1"/>
  <c r="G73" i="120"/>
  <c r="P72" i="120"/>
  <c r="S72" i="120" s="1"/>
  <c r="G72" i="120"/>
  <c r="P71" i="120"/>
  <c r="S71" i="120" s="1"/>
  <c r="G71" i="120"/>
  <c r="P70" i="120"/>
  <c r="S70" i="120" s="1"/>
  <c r="G70" i="120"/>
  <c r="S69" i="120"/>
  <c r="P69" i="120"/>
  <c r="G69" i="120"/>
  <c r="P68" i="120"/>
  <c r="S68" i="120" s="1"/>
  <c r="G68" i="120"/>
  <c r="G67" i="120"/>
  <c r="P67" i="120"/>
  <c r="S67" i="120" s="1"/>
  <c r="G66" i="120"/>
  <c r="P66" i="120"/>
  <c r="S66" i="120" s="1"/>
  <c r="G65" i="120"/>
  <c r="P65" i="120"/>
  <c r="S65" i="120" s="1"/>
  <c r="P64" i="120"/>
  <c r="S64" i="120" s="1"/>
  <c r="G64" i="120"/>
  <c r="G63" i="120"/>
  <c r="P63" i="120"/>
  <c r="S63" i="120" s="1"/>
  <c r="P62" i="120"/>
  <c r="S62" i="120" s="1"/>
  <c r="G62" i="120"/>
  <c r="S61" i="120"/>
  <c r="P61" i="120"/>
  <c r="G61" i="120"/>
  <c r="G60" i="120"/>
  <c r="P60" i="120"/>
  <c r="S60" i="120" s="1"/>
  <c r="G59" i="120"/>
  <c r="P59" i="120"/>
  <c r="S59" i="120" s="1"/>
  <c r="G58" i="120"/>
  <c r="P58" i="120"/>
  <c r="S58" i="120" s="1"/>
  <c r="G57" i="120"/>
  <c r="P57" i="120"/>
  <c r="S57" i="120" s="1"/>
  <c r="S56" i="120"/>
  <c r="P56" i="120"/>
  <c r="G56" i="120"/>
  <c r="G55" i="120"/>
  <c r="P55" i="120"/>
  <c r="S55" i="120" s="1"/>
  <c r="P54" i="120"/>
  <c r="S54" i="120" s="1"/>
  <c r="G54" i="120"/>
  <c r="P53" i="120"/>
  <c r="S53" i="120" s="1"/>
  <c r="G53" i="120"/>
  <c r="G52" i="120"/>
  <c r="P52" i="120"/>
  <c r="S52" i="120" s="1"/>
  <c r="G51" i="120"/>
  <c r="G50" i="120"/>
  <c r="P50" i="120"/>
  <c r="S50" i="120" s="1"/>
  <c r="P49" i="120"/>
  <c r="S49" i="120" s="1"/>
  <c r="G49" i="120"/>
  <c r="S48" i="120"/>
  <c r="P48" i="120"/>
  <c r="G48" i="120"/>
  <c r="P47" i="120"/>
  <c r="S47" i="120" s="1"/>
  <c r="G47" i="120"/>
  <c r="P46" i="120"/>
  <c r="S46" i="120" s="1"/>
  <c r="G46" i="120"/>
  <c r="P45" i="120"/>
  <c r="S45" i="120" s="1"/>
  <c r="G45" i="120"/>
  <c r="G44" i="120"/>
  <c r="P44" i="120"/>
  <c r="S44" i="120" s="1"/>
  <c r="G43" i="120"/>
  <c r="G42" i="120"/>
  <c r="P42" i="120"/>
  <c r="S42" i="120" s="1"/>
  <c r="P41" i="120"/>
  <c r="S41" i="120" s="1"/>
  <c r="G41" i="120"/>
  <c r="P40" i="120"/>
  <c r="S40" i="120" s="1"/>
  <c r="G40" i="120"/>
  <c r="P39" i="120"/>
  <c r="S39" i="120" s="1"/>
  <c r="G39" i="120"/>
  <c r="G38" i="120"/>
  <c r="P38" i="120"/>
  <c r="S38" i="120" s="1"/>
  <c r="G37" i="120"/>
  <c r="P37" i="120"/>
  <c r="S37" i="120" s="1"/>
  <c r="G36" i="120"/>
  <c r="P36" i="120"/>
  <c r="S36" i="120" s="1"/>
  <c r="P35" i="120"/>
  <c r="S35" i="120" s="1"/>
  <c r="G35" i="120"/>
  <c r="P34" i="120"/>
  <c r="S34" i="120" s="1"/>
  <c r="G34" i="120"/>
  <c r="P33" i="120"/>
  <c r="S33" i="120" s="1"/>
  <c r="G33" i="120"/>
  <c r="G32" i="120"/>
  <c r="P32" i="120"/>
  <c r="S32" i="120" s="1"/>
  <c r="P31" i="120"/>
  <c r="S31" i="120" s="1"/>
  <c r="G31" i="120"/>
  <c r="G30" i="120"/>
  <c r="P30" i="120"/>
  <c r="S30" i="120" s="1"/>
  <c r="G29" i="120"/>
  <c r="P29" i="120"/>
  <c r="S29" i="120" s="1"/>
  <c r="G28" i="120"/>
  <c r="P28" i="120"/>
  <c r="S28" i="120" s="1"/>
  <c r="P27" i="120"/>
  <c r="S27" i="120" s="1"/>
  <c r="G27" i="120"/>
  <c r="P26" i="120"/>
  <c r="S26" i="120" s="1"/>
  <c r="G26" i="120"/>
  <c r="P25" i="120"/>
  <c r="S25" i="120" s="1"/>
  <c r="G25" i="120"/>
  <c r="G24" i="120"/>
  <c r="P24" i="120"/>
  <c r="S24" i="120" s="1"/>
  <c r="P23" i="120"/>
  <c r="S23" i="120" s="1"/>
  <c r="G23" i="120"/>
  <c r="G22" i="120"/>
  <c r="P22" i="120"/>
  <c r="S22" i="120" s="1"/>
  <c r="G21" i="120"/>
  <c r="P21" i="120"/>
  <c r="S21" i="120" s="1"/>
  <c r="G20" i="120"/>
  <c r="P20" i="120"/>
  <c r="S20" i="120" s="1"/>
  <c r="P19" i="120"/>
  <c r="S19" i="120" s="1"/>
  <c r="G19" i="120"/>
  <c r="P18" i="120"/>
  <c r="S18" i="120" s="1"/>
  <c r="G18" i="120"/>
  <c r="P17" i="120"/>
  <c r="S17" i="120" s="1"/>
  <c r="G17" i="120"/>
  <c r="G16" i="120"/>
  <c r="P16" i="120"/>
  <c r="S16" i="120" s="1"/>
  <c r="P15" i="120"/>
  <c r="S15" i="120" s="1"/>
  <c r="G15" i="120"/>
  <c r="G14" i="120"/>
  <c r="P14" i="120"/>
  <c r="S14" i="120" s="1"/>
  <c r="G13" i="120"/>
  <c r="P13" i="120"/>
  <c r="S13" i="120" s="1"/>
  <c r="G12" i="120"/>
  <c r="P12" i="120"/>
  <c r="S12" i="120" s="1"/>
  <c r="P11" i="120"/>
  <c r="S11" i="120" s="1"/>
  <c r="G11" i="120"/>
  <c r="S10" i="120"/>
  <c r="G10" i="120"/>
  <c r="AW672" i="121"/>
  <c r="AV672" i="121"/>
  <c r="AU672" i="121"/>
  <c r="AT672" i="121"/>
  <c r="AS672" i="121"/>
  <c r="AR672" i="121"/>
  <c r="AM672" i="121"/>
  <c r="AL672" i="121"/>
  <c r="AK672" i="121"/>
  <c r="AJ672" i="121"/>
  <c r="AB672" i="121"/>
  <c r="S672" i="121"/>
  <c r="R672" i="121"/>
  <c r="Q672" i="121"/>
  <c r="P672" i="121"/>
  <c r="BB671" i="121"/>
  <c r="BA671" i="121"/>
  <c r="AZ671" i="121"/>
  <c r="AN671" i="121"/>
  <c r="T671" i="121"/>
  <c r="AZ670" i="121"/>
  <c r="AN670" i="121"/>
  <c r="BA670" i="121" s="1"/>
  <c r="T670" i="121"/>
  <c r="AZ669" i="121"/>
  <c r="AQ669" i="121"/>
  <c r="AN669" i="121"/>
  <c r="T669" i="121"/>
  <c r="H669" i="121" s="1"/>
  <c r="BB669" i="121" s="1"/>
  <c r="BB668" i="121"/>
  <c r="AZ668" i="121"/>
  <c r="AQ668" i="121"/>
  <c r="AN668" i="121"/>
  <c r="T668" i="121"/>
  <c r="H668" i="121"/>
  <c r="BB667" i="121"/>
  <c r="BA667" i="121"/>
  <c r="AZ667" i="121"/>
  <c r="AN667" i="121"/>
  <c r="T667" i="121"/>
  <c r="AZ666" i="121"/>
  <c r="AN666" i="121"/>
  <c r="T666" i="121"/>
  <c r="AZ665" i="121"/>
  <c r="AN665" i="121"/>
  <c r="T665" i="121"/>
  <c r="BB664" i="121"/>
  <c r="BA664" i="121"/>
  <c r="AZ664" i="121"/>
  <c r="AN664" i="121"/>
  <c r="T664" i="121"/>
  <c r="AZ663" i="121"/>
  <c r="AN663" i="121"/>
  <c r="BB663" i="121" s="1"/>
  <c r="T663" i="121"/>
  <c r="AZ662" i="121"/>
  <c r="AN662" i="121"/>
  <c r="T662" i="121"/>
  <c r="H662" i="121" s="1"/>
  <c r="BA662" i="121" s="1"/>
  <c r="BB661" i="121"/>
  <c r="BA661" i="121"/>
  <c r="AZ661" i="121"/>
  <c r="AN661" i="121"/>
  <c r="T661" i="121"/>
  <c r="AZ660" i="121"/>
  <c r="AN660" i="121"/>
  <c r="BB660" i="121" s="1"/>
  <c r="T660" i="121"/>
  <c r="AZ659" i="121"/>
  <c r="AN659" i="121"/>
  <c r="X659" i="121"/>
  <c r="X672" i="121" s="1"/>
  <c r="T659" i="121"/>
  <c r="H659" i="121"/>
  <c r="BA659" i="121" s="1"/>
  <c r="BB658" i="121"/>
  <c r="AZ658" i="121"/>
  <c r="AN658" i="121"/>
  <c r="X658" i="121"/>
  <c r="T658" i="121"/>
  <c r="H658" i="121" s="1"/>
  <c r="BA658" i="121" s="1"/>
  <c r="BB657" i="121"/>
  <c r="BA657" i="121"/>
  <c r="AZ657" i="121"/>
  <c r="AN657" i="121"/>
  <c r="T657" i="121"/>
  <c r="AZ656" i="121"/>
  <c r="AN656" i="121"/>
  <c r="W656" i="121"/>
  <c r="AQ656" i="121" s="1"/>
  <c r="BA656" i="121" s="1"/>
  <c r="T656" i="121"/>
  <c r="AZ655" i="121"/>
  <c r="AN655" i="121"/>
  <c r="W655" i="121"/>
  <c r="AQ655" i="121" s="1"/>
  <c r="T655" i="121"/>
  <c r="AZ654" i="121"/>
  <c r="AN654" i="121"/>
  <c r="T654" i="121"/>
  <c r="BB653" i="121"/>
  <c r="BA653" i="121"/>
  <c r="AZ653" i="121"/>
  <c r="AQ653" i="121"/>
  <c r="AN653" i="121"/>
  <c r="W653" i="121"/>
  <c r="T653" i="121"/>
  <c r="BA652" i="121"/>
  <c r="AZ652" i="121"/>
  <c r="AQ652" i="121"/>
  <c r="AN652" i="121"/>
  <c r="BB652" i="121" s="1"/>
  <c r="T652" i="121"/>
  <c r="AZ651" i="121"/>
  <c r="AN651" i="121"/>
  <c r="W651" i="121"/>
  <c r="W672" i="121" s="1"/>
  <c r="T651" i="121"/>
  <c r="BA650" i="121"/>
  <c r="AZ650" i="121"/>
  <c r="AN650" i="121"/>
  <c r="BB650" i="121" s="1"/>
  <c r="V650" i="121"/>
  <c r="T650" i="121"/>
  <c r="AZ649" i="121"/>
  <c r="AN649" i="121"/>
  <c r="V649" i="121"/>
  <c r="H649" i="121" s="1"/>
  <c r="BA649" i="121" s="1"/>
  <c r="T649" i="121"/>
  <c r="BB648" i="121"/>
  <c r="BA648" i="121"/>
  <c r="AZ648" i="121"/>
  <c r="AP648" i="121"/>
  <c r="AP675" i="121" s="1"/>
  <c r="AN648" i="121"/>
  <c r="V648" i="121"/>
  <c r="V672" i="121" s="1"/>
  <c r="U648" i="121"/>
  <c r="T648" i="121"/>
  <c r="BB647" i="121"/>
  <c r="BA647" i="121"/>
  <c r="AZ647" i="121"/>
  <c r="AN647" i="121"/>
  <c r="W647" i="121"/>
  <c r="T647" i="121"/>
  <c r="AZ646" i="121"/>
  <c r="AQ646" i="121"/>
  <c r="AN646" i="121"/>
  <c r="W646" i="121"/>
  <c r="T646" i="121"/>
  <c r="AZ645" i="121"/>
  <c r="AN645" i="121"/>
  <c r="BA645" i="121" s="1"/>
  <c r="U645" i="121"/>
  <c r="T645" i="121"/>
  <c r="BA644" i="121"/>
  <c r="AZ644" i="121"/>
  <c r="AN644" i="121"/>
  <c r="BB644" i="121" s="1"/>
  <c r="U644" i="121"/>
  <c r="T644" i="121"/>
  <c r="AZ643" i="121"/>
  <c r="AN643" i="121"/>
  <c r="U643" i="121"/>
  <c r="T643" i="121"/>
  <c r="H643" i="121"/>
  <c r="BA643" i="121" s="1"/>
  <c r="BA642" i="121"/>
  <c r="AZ642" i="121"/>
  <c r="AN642" i="121"/>
  <c r="U642" i="121"/>
  <c r="T642" i="121"/>
  <c r="H642" i="121" s="1"/>
  <c r="BB642" i="121" s="1"/>
  <c r="BB641" i="121"/>
  <c r="BA641" i="121"/>
  <c r="AZ641" i="121"/>
  <c r="AN641" i="121"/>
  <c r="U641" i="121"/>
  <c r="T641" i="121"/>
  <c r="H641" i="121"/>
  <c r="AZ640" i="121"/>
  <c r="AO640" i="121"/>
  <c r="BA640" i="121" s="1"/>
  <c r="AN640" i="121"/>
  <c r="T640" i="121"/>
  <c r="H640" i="121"/>
  <c r="AZ639" i="121"/>
  <c r="AO639" i="121"/>
  <c r="AN639" i="121"/>
  <c r="T639" i="121"/>
  <c r="AN638" i="121"/>
  <c r="T638" i="121"/>
  <c r="AN637" i="121"/>
  <c r="T637" i="121"/>
  <c r="AN636" i="121"/>
  <c r="T636" i="121"/>
  <c r="AN635" i="121"/>
  <c r="T635" i="121"/>
  <c r="AN634" i="121"/>
  <c r="T634" i="121"/>
  <c r="AN633" i="121"/>
  <c r="T633" i="121"/>
  <c r="AN632" i="121"/>
  <c r="T632" i="121"/>
  <c r="AN631" i="121"/>
  <c r="T631" i="121"/>
  <c r="AN630" i="121"/>
  <c r="T630" i="121"/>
  <c r="AN629" i="121"/>
  <c r="T629" i="121"/>
  <c r="AN628" i="121"/>
  <c r="T628" i="121"/>
  <c r="AN627" i="121"/>
  <c r="T627" i="121"/>
  <c r="AN626" i="121"/>
  <c r="Y626" i="121"/>
  <c r="T626" i="121"/>
  <c r="AN625" i="121"/>
  <c r="Y625" i="121"/>
  <c r="T625" i="121"/>
  <c r="AN624" i="121"/>
  <c r="Y624" i="121"/>
  <c r="T624" i="121"/>
  <c r="AN623" i="121"/>
  <c r="T623" i="121"/>
  <c r="AN622" i="121"/>
  <c r="T622" i="121"/>
  <c r="AN621" i="121"/>
  <c r="T621" i="121"/>
  <c r="AN620" i="121"/>
  <c r="T620" i="121"/>
  <c r="AN619" i="121"/>
  <c r="T619" i="121"/>
  <c r="AN618" i="121"/>
  <c r="T618" i="121"/>
  <c r="AN617" i="121"/>
  <c r="T617" i="121"/>
  <c r="H617" i="121"/>
  <c r="AN616" i="121"/>
  <c r="T616" i="121"/>
  <c r="AN615" i="121"/>
  <c r="T615" i="121"/>
  <c r="AN614" i="121"/>
  <c r="T614" i="121"/>
  <c r="AN613" i="121"/>
  <c r="T613" i="121"/>
  <c r="AN612" i="121"/>
  <c r="T612" i="121"/>
  <c r="AN611" i="121"/>
  <c r="T611" i="121"/>
  <c r="AN610" i="121"/>
  <c r="T610" i="121"/>
  <c r="H610" i="121"/>
  <c r="AN609" i="121"/>
  <c r="T609" i="121"/>
  <c r="BB608" i="121"/>
  <c r="AZ608" i="121"/>
  <c r="AN608" i="121"/>
  <c r="BA608" i="121" s="1"/>
  <c r="T608" i="121"/>
  <c r="H608" i="121"/>
  <c r="AZ607" i="121"/>
  <c r="AN607" i="121"/>
  <c r="BB607" i="121" s="1"/>
  <c r="T607" i="121"/>
  <c r="H607" i="121"/>
  <c r="BA607" i="121" s="1"/>
  <c r="BB606" i="121"/>
  <c r="BA606" i="121"/>
  <c r="AZ606" i="121"/>
  <c r="AN606" i="121"/>
  <c r="T606" i="121"/>
  <c r="AZ605" i="121"/>
  <c r="AN605" i="121"/>
  <c r="T605" i="121"/>
  <c r="H605" i="121"/>
  <c r="AZ604" i="121"/>
  <c r="AN604" i="121"/>
  <c r="T604" i="121"/>
  <c r="H604" i="121"/>
  <c r="AZ603" i="121"/>
  <c r="AN603" i="121"/>
  <c r="T603" i="121"/>
  <c r="H603" i="121"/>
  <c r="BB602" i="121"/>
  <c r="BA602" i="121"/>
  <c r="AZ602" i="121"/>
  <c r="AN602" i="121"/>
  <c r="T602" i="121"/>
  <c r="H602" i="121"/>
  <c r="BB601" i="121"/>
  <c r="BA601" i="121"/>
  <c r="AZ601" i="121"/>
  <c r="AN601" i="121"/>
  <c r="T601" i="121"/>
  <c r="AZ600" i="121"/>
  <c r="AN600" i="121"/>
  <c r="BB600" i="121" s="1"/>
  <c r="T600" i="121"/>
  <c r="H600" i="121"/>
  <c r="AZ599" i="121"/>
  <c r="AN599" i="121"/>
  <c r="T599" i="121"/>
  <c r="H599" i="121"/>
  <c r="BB598" i="121"/>
  <c r="BA598" i="121"/>
  <c r="AZ598" i="121"/>
  <c r="AN598" i="121"/>
  <c r="T598" i="121"/>
  <c r="H598" i="121"/>
  <c r="AZ597" i="121"/>
  <c r="AN597" i="121"/>
  <c r="T597" i="121"/>
  <c r="H597" i="121"/>
  <c r="AZ596" i="121"/>
  <c r="AN596" i="121"/>
  <c r="T596" i="121"/>
  <c r="H596" i="121"/>
  <c r="AZ595" i="121"/>
  <c r="AN595" i="121"/>
  <c r="T595" i="121"/>
  <c r="H595" i="121"/>
  <c r="BB594" i="121"/>
  <c r="BA594" i="121"/>
  <c r="AZ594" i="121"/>
  <c r="AN594" i="121"/>
  <c r="T594" i="121"/>
  <c r="H594" i="121"/>
  <c r="BB593" i="121"/>
  <c r="BA593" i="121"/>
  <c r="AZ593" i="121"/>
  <c r="AN593" i="121"/>
  <c r="T593" i="121"/>
  <c r="BB592" i="121"/>
  <c r="BA592" i="121"/>
  <c r="AZ592" i="121"/>
  <c r="AN592" i="121"/>
  <c r="T592" i="121"/>
  <c r="H592" i="121"/>
  <c r="BB591" i="121"/>
  <c r="AZ591" i="121"/>
  <c r="AN591" i="121"/>
  <c r="BA591" i="121" s="1"/>
  <c r="T591" i="121"/>
  <c r="H591" i="121"/>
  <c r="BB590" i="121"/>
  <c r="BA590" i="121"/>
  <c r="AZ590" i="121"/>
  <c r="AN590" i="121"/>
  <c r="T590" i="121"/>
  <c r="H590" i="121"/>
  <c r="BB589" i="121"/>
  <c r="AZ589" i="121"/>
  <c r="AN589" i="121"/>
  <c r="BA589" i="121" s="1"/>
  <c r="T589" i="121"/>
  <c r="H589" i="121"/>
  <c r="BB588" i="121"/>
  <c r="BA588" i="121"/>
  <c r="AZ588" i="121"/>
  <c r="AN588" i="121"/>
  <c r="AA588" i="121"/>
  <c r="Z588" i="121"/>
  <c r="H588" i="121" s="1"/>
  <c r="T588" i="121"/>
  <c r="BB587" i="121"/>
  <c r="AZ587" i="121"/>
  <c r="AN587" i="121"/>
  <c r="T587" i="121"/>
  <c r="H587" i="121"/>
  <c r="BA587" i="121" s="1"/>
  <c r="BB586" i="121"/>
  <c r="AZ586" i="121"/>
  <c r="AN586" i="121"/>
  <c r="AA586" i="121"/>
  <c r="Z586" i="121"/>
  <c r="Y586" i="121"/>
  <c r="T586" i="121"/>
  <c r="H586" i="121"/>
  <c r="BB585" i="121"/>
  <c r="BA585" i="121"/>
  <c r="AZ585" i="121"/>
  <c r="AN585" i="121"/>
  <c r="T585" i="121"/>
  <c r="BB584" i="121"/>
  <c r="AZ584" i="121"/>
  <c r="AN584" i="121"/>
  <c r="Y584" i="121"/>
  <c r="X584" i="121"/>
  <c r="H584" i="121" s="1"/>
  <c r="BA584" i="121" s="1"/>
  <c r="T584" i="121"/>
  <c r="BB583" i="121"/>
  <c r="AZ583" i="121"/>
  <c r="AN583" i="121"/>
  <c r="Y583" i="121"/>
  <c r="X583" i="121"/>
  <c r="H583" i="121" s="1"/>
  <c r="BA583" i="121" s="1"/>
  <c r="T583" i="121"/>
  <c r="BB582" i="121"/>
  <c r="BA582" i="121"/>
  <c r="AZ582" i="121"/>
  <c r="AN582" i="121"/>
  <c r="T582" i="121"/>
  <c r="H582" i="121"/>
  <c r="BB581" i="121"/>
  <c r="AZ581" i="121"/>
  <c r="AN581" i="121"/>
  <c r="BA581" i="121" s="1"/>
  <c r="T581" i="121"/>
  <c r="H581" i="121"/>
  <c r="BB580" i="121"/>
  <c r="AZ580" i="121"/>
  <c r="AN580" i="121"/>
  <c r="T580" i="121"/>
  <c r="H580" i="121"/>
  <c r="BA580" i="121" s="1"/>
  <c r="BB579" i="121"/>
  <c r="AZ579" i="121"/>
  <c r="AN579" i="121"/>
  <c r="BA579" i="121" s="1"/>
  <c r="T579" i="121"/>
  <c r="H579" i="121"/>
  <c r="BB578" i="121"/>
  <c r="BA578" i="121"/>
  <c r="AZ578" i="121"/>
  <c r="AN578" i="121"/>
  <c r="T578" i="121"/>
  <c r="AZ577" i="121"/>
  <c r="AN577" i="121"/>
  <c r="T577" i="121"/>
  <c r="H577" i="121"/>
  <c r="AZ576" i="121"/>
  <c r="AN576" i="121"/>
  <c r="T576" i="121"/>
  <c r="H576" i="121"/>
  <c r="BB575" i="121"/>
  <c r="BA575" i="121"/>
  <c r="AZ575" i="121"/>
  <c r="AN575" i="121"/>
  <c r="T575" i="121"/>
  <c r="AZ574" i="121"/>
  <c r="AN574" i="121"/>
  <c r="BA574" i="121" s="1"/>
  <c r="T574" i="121"/>
  <c r="H574" i="121"/>
  <c r="BB573" i="121"/>
  <c r="BA573" i="121"/>
  <c r="AZ573" i="121"/>
  <c r="AN573" i="121"/>
  <c r="T573" i="121"/>
  <c r="BB572" i="121"/>
  <c r="AZ572" i="121"/>
  <c r="AN572" i="121"/>
  <c r="T572" i="121"/>
  <c r="H572" i="121"/>
  <c r="BA572" i="121" s="1"/>
  <c r="BB571" i="121"/>
  <c r="BA571" i="121"/>
  <c r="AZ571" i="121"/>
  <c r="AN571" i="121"/>
  <c r="T571" i="121"/>
  <c r="BB570" i="121"/>
  <c r="AZ570" i="121"/>
  <c r="AN570" i="121"/>
  <c r="T570" i="121"/>
  <c r="H570" i="121"/>
  <c r="BA570" i="121" s="1"/>
  <c r="BB569" i="121"/>
  <c r="BA569" i="121"/>
  <c r="AZ569" i="121"/>
  <c r="AN569" i="121"/>
  <c r="T569" i="121"/>
  <c r="AZ568" i="121"/>
  <c r="AN568" i="121"/>
  <c r="T568" i="121"/>
  <c r="H568" i="121"/>
  <c r="BB567" i="121"/>
  <c r="BA567" i="121"/>
  <c r="AZ567" i="121"/>
  <c r="AN567" i="121"/>
  <c r="T567" i="121"/>
  <c r="BB566" i="121"/>
  <c r="BA566" i="121"/>
  <c r="AZ566" i="121"/>
  <c r="AN566" i="121"/>
  <c r="T566" i="121"/>
  <c r="AN565" i="121"/>
  <c r="T565" i="121"/>
  <c r="AN564" i="121"/>
  <c r="T564" i="121"/>
  <c r="AN563" i="121"/>
  <c r="T563" i="121"/>
  <c r="AN562" i="121"/>
  <c r="T562" i="121"/>
  <c r="AN561" i="121"/>
  <c r="T561" i="121"/>
  <c r="AN560" i="121"/>
  <c r="T560" i="121"/>
  <c r="AN559" i="121"/>
  <c r="T559" i="121"/>
  <c r="AN558" i="121"/>
  <c r="T558" i="121"/>
  <c r="BB557" i="121"/>
  <c r="BA557" i="121"/>
  <c r="AZ557" i="121"/>
  <c r="AN557" i="121"/>
  <c r="T557" i="121"/>
  <c r="BA556" i="121"/>
  <c r="AZ556" i="121"/>
  <c r="AN556" i="121"/>
  <c r="BB556" i="121" s="1"/>
  <c r="T556" i="121"/>
  <c r="BB555" i="121"/>
  <c r="BA555" i="121"/>
  <c r="AZ555" i="121"/>
  <c r="AN555" i="121"/>
  <c r="T555" i="121"/>
  <c r="AZ554" i="121"/>
  <c r="AN554" i="121"/>
  <c r="BA554" i="121" s="1"/>
  <c r="T554" i="121"/>
  <c r="H554" i="121"/>
  <c r="AZ553" i="121"/>
  <c r="AN553" i="121"/>
  <c r="BB553" i="121" s="1"/>
  <c r="T553" i="121"/>
  <c r="H553" i="121"/>
  <c r="BA553" i="121" s="1"/>
  <c r="BB552" i="121"/>
  <c r="BA552" i="121"/>
  <c r="AZ552" i="121"/>
  <c r="AN552" i="121"/>
  <c r="T552" i="121"/>
  <c r="AZ551" i="121"/>
  <c r="AN551" i="121"/>
  <c r="T551" i="121"/>
  <c r="H551" i="121"/>
  <c r="AZ550" i="121"/>
  <c r="AN550" i="121"/>
  <c r="T550" i="121"/>
  <c r="H550" i="121"/>
  <c r="AZ549" i="121"/>
  <c r="AN549" i="121"/>
  <c r="T549" i="121"/>
  <c r="H549" i="121"/>
  <c r="BB548" i="121"/>
  <c r="BA548" i="121"/>
  <c r="AZ548" i="121"/>
  <c r="AN548" i="121"/>
  <c r="T548" i="121"/>
  <c r="H548" i="121"/>
  <c r="BA547" i="121"/>
  <c r="AZ547" i="121"/>
  <c r="AN547" i="121"/>
  <c r="BB547" i="121" s="1"/>
  <c r="T547" i="121"/>
  <c r="H547" i="121"/>
  <c r="BB546" i="121"/>
  <c r="BA546" i="121"/>
  <c r="AZ546" i="121"/>
  <c r="AN546" i="121"/>
  <c r="T546" i="121"/>
  <c r="BB545" i="121"/>
  <c r="AZ545" i="121"/>
  <c r="AN545" i="121"/>
  <c r="BA545" i="121" s="1"/>
  <c r="T545" i="121"/>
  <c r="H545" i="121"/>
  <c r="BB544" i="121"/>
  <c r="BA544" i="121"/>
  <c r="AZ544" i="121"/>
  <c r="AN544" i="121"/>
  <c r="T544" i="121"/>
  <c r="H544" i="121"/>
  <c r="BB543" i="121"/>
  <c r="BA543" i="121"/>
  <c r="AZ543" i="121"/>
  <c r="AN543" i="121"/>
  <c r="T543" i="121"/>
  <c r="AZ542" i="121"/>
  <c r="AN542" i="121"/>
  <c r="T542" i="121"/>
  <c r="H542" i="121"/>
  <c r="BB541" i="121"/>
  <c r="AZ541" i="121"/>
  <c r="AN541" i="121"/>
  <c r="T541" i="121"/>
  <c r="H541" i="121"/>
  <c r="BA541" i="121" s="1"/>
  <c r="AZ540" i="121"/>
  <c r="AN540" i="121"/>
  <c r="T540" i="121"/>
  <c r="H540" i="121"/>
  <c r="AZ539" i="121"/>
  <c r="AN539" i="121"/>
  <c r="T539" i="121"/>
  <c r="H539" i="121"/>
  <c r="BB538" i="121"/>
  <c r="BA538" i="121"/>
  <c r="AZ538" i="121"/>
  <c r="AN538" i="121"/>
  <c r="T538" i="121"/>
  <c r="BB537" i="121"/>
  <c r="BA537" i="121"/>
  <c r="AZ537" i="121"/>
  <c r="AN537" i="121"/>
  <c r="T537" i="121"/>
  <c r="H537" i="121"/>
  <c r="AZ536" i="121"/>
  <c r="AN536" i="121"/>
  <c r="T536" i="121"/>
  <c r="H536" i="121"/>
  <c r="AZ535" i="121"/>
  <c r="AN535" i="121"/>
  <c r="BB535" i="121" s="1"/>
  <c r="T535" i="121"/>
  <c r="H535" i="121"/>
  <c r="BA535" i="121" s="1"/>
  <c r="BB534" i="121"/>
  <c r="BA534" i="121"/>
  <c r="AZ534" i="121"/>
  <c r="AN534" i="121"/>
  <c r="T534" i="121"/>
  <c r="BB533" i="121"/>
  <c r="BA533" i="121"/>
  <c r="AZ533" i="121"/>
  <c r="AN533" i="121"/>
  <c r="T533" i="121"/>
  <c r="BA532" i="121"/>
  <c r="AZ532" i="121"/>
  <c r="AN532" i="121"/>
  <c r="BB532" i="121" s="1"/>
  <c r="T532" i="121"/>
  <c r="H532" i="121"/>
  <c r="BB531" i="121"/>
  <c r="AZ531" i="121"/>
  <c r="AN531" i="121"/>
  <c r="BA531" i="121" s="1"/>
  <c r="T531" i="121"/>
  <c r="BB530" i="121"/>
  <c r="BA530" i="121"/>
  <c r="AZ530" i="121"/>
  <c r="AN530" i="121"/>
  <c r="T530" i="121"/>
  <c r="BB529" i="121"/>
  <c r="BA529" i="121"/>
  <c r="AZ529" i="121"/>
  <c r="AN529" i="121"/>
  <c r="T529" i="121"/>
  <c r="BB528" i="121"/>
  <c r="BA528" i="121"/>
  <c r="AZ528" i="121"/>
  <c r="AN528" i="121"/>
  <c r="T528" i="121"/>
  <c r="H528" i="121"/>
  <c r="BB527" i="121"/>
  <c r="BA527" i="121"/>
  <c r="AZ527" i="121"/>
  <c r="AN527" i="121"/>
  <c r="T527" i="121"/>
  <c r="AZ526" i="121"/>
  <c r="AN526" i="121"/>
  <c r="BB526" i="121" s="1"/>
  <c r="T526" i="121"/>
  <c r="H526" i="121"/>
  <c r="BB525" i="121"/>
  <c r="BA525" i="121"/>
  <c r="AZ525" i="121"/>
  <c r="AN525" i="121"/>
  <c r="T525" i="121"/>
  <c r="BB524" i="121"/>
  <c r="BA524" i="121"/>
  <c r="AZ524" i="121"/>
  <c r="AN524" i="121"/>
  <c r="T524" i="121"/>
  <c r="H524" i="121"/>
  <c r="AZ523" i="121"/>
  <c r="AN523" i="121"/>
  <c r="T523" i="121"/>
  <c r="H523" i="121"/>
  <c r="BB522" i="121"/>
  <c r="BA522" i="121"/>
  <c r="AZ522" i="121"/>
  <c r="AN522" i="121"/>
  <c r="T522" i="121"/>
  <c r="BB521" i="121"/>
  <c r="AZ521" i="121"/>
  <c r="AN521" i="121"/>
  <c r="T521" i="121"/>
  <c r="H521" i="121"/>
  <c r="BA521" i="121" s="1"/>
  <c r="BB520" i="121"/>
  <c r="BA520" i="121"/>
  <c r="AZ520" i="121"/>
  <c r="AN520" i="121"/>
  <c r="T520" i="121"/>
  <c r="AZ519" i="121"/>
  <c r="AN519" i="121"/>
  <c r="BB519" i="121" s="1"/>
  <c r="T519" i="121"/>
  <c r="H519" i="121"/>
  <c r="BA519" i="121" s="1"/>
  <c r="BB518" i="121"/>
  <c r="AZ518" i="121"/>
  <c r="AN518" i="121"/>
  <c r="BA518" i="121" s="1"/>
  <c r="T518" i="121"/>
  <c r="H518" i="121"/>
  <c r="BB517" i="121"/>
  <c r="BA517" i="121"/>
  <c r="AZ517" i="121"/>
  <c r="AN517" i="121"/>
  <c r="T517" i="121"/>
  <c r="H517" i="121"/>
  <c r="AZ516" i="121"/>
  <c r="AN516" i="121"/>
  <c r="BA516" i="121" s="1"/>
  <c r="T516" i="121"/>
  <c r="H516" i="121"/>
  <c r="AN515" i="121"/>
  <c r="T515" i="121"/>
  <c r="H515" i="121"/>
  <c r="AN514" i="121"/>
  <c r="Z514" i="121"/>
  <c r="Z672" i="121" s="1"/>
  <c r="Y514" i="121"/>
  <c r="T514" i="121"/>
  <c r="AZ513" i="121"/>
  <c r="AN513" i="121"/>
  <c r="T513" i="121"/>
  <c r="H513" i="121"/>
  <c r="H512" i="121" s="1"/>
  <c r="BB512" i="121"/>
  <c r="BA512" i="121"/>
  <c r="AZ512" i="121"/>
  <c r="AN512" i="121"/>
  <c r="T512" i="121"/>
  <c r="BB511" i="121"/>
  <c r="BA511" i="121"/>
  <c r="AZ511" i="121"/>
  <c r="AN511" i="121"/>
  <c r="T511" i="121"/>
  <c r="BA510" i="121"/>
  <c r="AZ510" i="121"/>
  <c r="AN510" i="121"/>
  <c r="BB510" i="121" s="1"/>
  <c r="T510" i="121"/>
  <c r="H510" i="121"/>
  <c r="BB509" i="121"/>
  <c r="AZ509" i="121"/>
  <c r="AN509" i="121"/>
  <c r="BA509" i="121" s="1"/>
  <c r="T509" i="121"/>
  <c r="H509" i="121"/>
  <c r="BB508" i="121"/>
  <c r="BA508" i="121"/>
  <c r="AZ508" i="121"/>
  <c r="AN508" i="121"/>
  <c r="T508" i="121"/>
  <c r="H508" i="121"/>
  <c r="BB507" i="121"/>
  <c r="AZ507" i="121"/>
  <c r="AN507" i="121"/>
  <c r="BA507" i="121" s="1"/>
  <c r="T507" i="121"/>
  <c r="H507" i="121"/>
  <c r="BA506" i="121"/>
  <c r="AZ506" i="121"/>
  <c r="AN506" i="121"/>
  <c r="BB506" i="121" s="1"/>
  <c r="T506" i="121"/>
  <c r="H506" i="121"/>
  <c r="BB505" i="121"/>
  <c r="BA505" i="121"/>
  <c r="AZ505" i="121"/>
  <c r="AN505" i="121"/>
  <c r="T505" i="121"/>
  <c r="BB504" i="121"/>
  <c r="BA504" i="121"/>
  <c r="AZ504" i="121"/>
  <c r="AN504" i="121"/>
  <c r="T504" i="121"/>
  <c r="H504" i="121"/>
  <c r="AZ503" i="121"/>
  <c r="AN503" i="121"/>
  <c r="BA503" i="121" s="1"/>
  <c r="T503" i="121"/>
  <c r="H503" i="121"/>
  <c r="AZ502" i="121"/>
  <c r="AN502" i="121"/>
  <c r="BB502" i="121" s="1"/>
  <c r="T502" i="121"/>
  <c r="H502" i="121"/>
  <c r="BB501" i="121"/>
  <c r="AZ501" i="121"/>
  <c r="AN501" i="121"/>
  <c r="BA501" i="121" s="1"/>
  <c r="T501" i="121"/>
  <c r="H501" i="121"/>
  <c r="BB500" i="121"/>
  <c r="BA500" i="121"/>
  <c r="AZ500" i="121"/>
  <c r="AN500" i="121"/>
  <c r="T500" i="121"/>
  <c r="H500" i="121"/>
  <c r="BB499" i="121"/>
  <c r="BA499" i="121"/>
  <c r="AZ499" i="121"/>
  <c r="AN499" i="121"/>
  <c r="T499" i="121"/>
  <c r="BA498" i="121"/>
  <c r="AZ498" i="121"/>
  <c r="AN498" i="121"/>
  <c r="BB498" i="121" s="1"/>
  <c r="T498" i="121"/>
  <c r="H498" i="121"/>
  <c r="BB497" i="121"/>
  <c r="BA497" i="121"/>
  <c r="AZ497" i="121"/>
  <c r="AN497" i="121"/>
  <c r="T497" i="121"/>
  <c r="BA496" i="121"/>
  <c r="AZ496" i="121"/>
  <c r="AN496" i="121"/>
  <c r="BB496" i="121" s="1"/>
  <c r="T496" i="121"/>
  <c r="H496" i="121"/>
  <c r="BB495" i="121"/>
  <c r="BA495" i="121"/>
  <c r="AZ495" i="121"/>
  <c r="AN495" i="121"/>
  <c r="T495" i="121"/>
  <c r="BB494" i="121"/>
  <c r="BA494" i="121"/>
  <c r="AZ494" i="121"/>
  <c r="AN494" i="121"/>
  <c r="T494" i="121"/>
  <c r="AN493" i="121"/>
  <c r="T493" i="121"/>
  <c r="H493" i="121"/>
  <c r="AN492" i="121"/>
  <c r="T492" i="121"/>
  <c r="BB491" i="121"/>
  <c r="BA491" i="121"/>
  <c r="AZ491" i="121"/>
  <c r="AN491" i="121"/>
  <c r="T491" i="121"/>
  <c r="H491" i="121"/>
  <c r="BB490" i="121"/>
  <c r="BA490" i="121"/>
  <c r="AZ490" i="121"/>
  <c r="AN490" i="121"/>
  <c r="T490" i="121"/>
  <c r="AZ489" i="121"/>
  <c r="AN489" i="121"/>
  <c r="BB489" i="121" s="1"/>
  <c r="T489" i="121"/>
  <c r="H489" i="121"/>
  <c r="BB488" i="121"/>
  <c r="BA488" i="121"/>
  <c r="AZ488" i="121"/>
  <c r="AN488" i="121"/>
  <c r="T488" i="121"/>
  <c r="BB487" i="121"/>
  <c r="BA487" i="121"/>
  <c r="AZ487" i="121"/>
  <c r="AN487" i="121"/>
  <c r="T487" i="121"/>
  <c r="H487" i="121"/>
  <c r="BB486" i="121"/>
  <c r="BA486" i="121"/>
  <c r="AZ486" i="121"/>
  <c r="AN486" i="121"/>
  <c r="T486" i="121"/>
  <c r="BA485" i="121"/>
  <c r="AZ485" i="121"/>
  <c r="AN485" i="121"/>
  <c r="BB485" i="121" s="1"/>
  <c r="T485" i="121"/>
  <c r="H485" i="121"/>
  <c r="AZ484" i="121"/>
  <c r="AN484" i="121"/>
  <c r="T484" i="121"/>
  <c r="H484" i="121"/>
  <c r="BB483" i="121"/>
  <c r="BA483" i="121"/>
  <c r="AZ483" i="121"/>
  <c r="AN483" i="121"/>
  <c r="T483" i="121"/>
  <c r="H483" i="121"/>
  <c r="BB482" i="121"/>
  <c r="BA482" i="121"/>
  <c r="AZ482" i="121"/>
  <c r="AN482" i="121"/>
  <c r="T482" i="121"/>
  <c r="BA481" i="121"/>
  <c r="AZ481" i="121"/>
  <c r="AN481" i="121"/>
  <c r="BB481" i="121" s="1"/>
  <c r="T481" i="121"/>
  <c r="H481" i="121"/>
  <c r="BB480" i="121"/>
  <c r="BA480" i="121"/>
  <c r="AZ480" i="121"/>
  <c r="AN480" i="121"/>
  <c r="T480" i="121"/>
  <c r="BB479" i="121"/>
  <c r="BA479" i="121"/>
  <c r="AZ479" i="121"/>
  <c r="AN479" i="121"/>
  <c r="T479" i="121"/>
  <c r="H479" i="121"/>
  <c r="BB478" i="121"/>
  <c r="BA478" i="121"/>
  <c r="AZ478" i="121"/>
  <c r="AN478" i="121"/>
  <c r="T478" i="121"/>
  <c r="AZ477" i="121"/>
  <c r="AN477" i="121"/>
  <c r="T477" i="121"/>
  <c r="H477" i="121"/>
  <c r="BB476" i="121"/>
  <c r="AZ476" i="121"/>
  <c r="AN476" i="121"/>
  <c r="T476" i="121"/>
  <c r="H476" i="121"/>
  <c r="BA476" i="121" s="1"/>
  <c r="BB475" i="121"/>
  <c r="BA475" i="121"/>
  <c r="AZ475" i="121"/>
  <c r="AN475" i="121"/>
  <c r="T475" i="121"/>
  <c r="BB474" i="121"/>
  <c r="BA474" i="121"/>
  <c r="AZ474" i="121"/>
  <c r="AN474" i="121"/>
  <c r="T474" i="121"/>
  <c r="BB473" i="121"/>
  <c r="BA473" i="121"/>
  <c r="AZ473" i="121"/>
  <c r="AN473" i="121"/>
  <c r="T473" i="121"/>
  <c r="H473" i="121"/>
  <c r="BB472" i="121"/>
  <c r="BA472" i="121"/>
  <c r="AZ472" i="121"/>
  <c r="AN472" i="121"/>
  <c r="T472" i="121"/>
  <c r="BB471" i="121"/>
  <c r="BA471" i="121"/>
  <c r="AZ471" i="121"/>
  <c r="AN471" i="121"/>
  <c r="T471" i="121"/>
  <c r="H471" i="121"/>
  <c r="BB470" i="121"/>
  <c r="BA470" i="121"/>
  <c r="AZ470" i="121"/>
  <c r="AN470" i="121"/>
  <c r="T470" i="121"/>
  <c r="AZ469" i="121"/>
  <c r="AN469" i="121"/>
  <c r="BB469" i="121" s="1"/>
  <c r="T469" i="121"/>
  <c r="H469" i="121"/>
  <c r="BB468" i="121"/>
  <c r="BA468" i="121"/>
  <c r="AZ468" i="121"/>
  <c r="AN468" i="121"/>
  <c r="T468" i="121"/>
  <c r="BB467" i="121"/>
  <c r="BA467" i="121"/>
  <c r="AZ467" i="121"/>
  <c r="AN467" i="121"/>
  <c r="T467" i="121"/>
  <c r="H467" i="121"/>
  <c r="BB466" i="121"/>
  <c r="BA466" i="121"/>
  <c r="AZ466" i="121"/>
  <c r="AN466" i="121"/>
  <c r="T466" i="121"/>
  <c r="H466" i="121"/>
  <c r="AZ465" i="121"/>
  <c r="AN465" i="121"/>
  <c r="BA465" i="121" s="1"/>
  <c r="T465" i="121"/>
  <c r="H465" i="121"/>
  <c r="AZ464" i="121"/>
  <c r="AN464" i="121"/>
  <c r="BB464" i="121" s="1"/>
  <c r="T464" i="121"/>
  <c r="H464" i="121"/>
  <c r="BB463" i="121"/>
  <c r="BA463" i="121"/>
  <c r="AZ463" i="121"/>
  <c r="AN463" i="121"/>
  <c r="T463" i="121"/>
  <c r="H463" i="121"/>
  <c r="BB462" i="121"/>
  <c r="BA462" i="121"/>
  <c r="AZ462" i="121"/>
  <c r="AN462" i="121"/>
  <c r="T462" i="121"/>
  <c r="H462" i="121"/>
  <c r="BB461" i="121"/>
  <c r="BA461" i="121"/>
  <c r="AZ461" i="121"/>
  <c r="AN461" i="121"/>
  <c r="T461" i="121"/>
  <c r="BB460" i="121"/>
  <c r="AZ460" i="121"/>
  <c r="AN460" i="121"/>
  <c r="T460" i="121"/>
  <c r="H460" i="121"/>
  <c r="BA460" i="121" s="1"/>
  <c r="BB459" i="121"/>
  <c r="BA459" i="121"/>
  <c r="AZ459" i="121"/>
  <c r="AN459" i="121"/>
  <c r="T459" i="121"/>
  <c r="H459" i="121"/>
  <c r="BB458" i="121"/>
  <c r="BA458" i="121"/>
  <c r="AZ458" i="121"/>
  <c r="AN458" i="121"/>
  <c r="T458" i="121"/>
  <c r="H458" i="121"/>
  <c r="BB457" i="121"/>
  <c r="AZ457" i="121"/>
  <c r="AN457" i="121"/>
  <c r="BA457" i="121" s="1"/>
  <c r="T457" i="121"/>
  <c r="H457" i="121"/>
  <c r="AZ456" i="121"/>
  <c r="AN456" i="121"/>
  <c r="BB456" i="121" s="1"/>
  <c r="T456" i="121"/>
  <c r="H456" i="121"/>
  <c r="BA456" i="121" s="1"/>
  <c r="BB455" i="121"/>
  <c r="BA455" i="121"/>
  <c r="AZ455" i="121"/>
  <c r="AN455" i="121"/>
  <c r="T455" i="121"/>
  <c r="BA454" i="121"/>
  <c r="AZ454" i="121"/>
  <c r="AN454" i="121"/>
  <c r="BB454" i="121" s="1"/>
  <c r="T454" i="121"/>
  <c r="H454" i="121"/>
  <c r="BB453" i="121"/>
  <c r="BA453" i="121"/>
  <c r="AZ453" i="121"/>
  <c r="AN453" i="121"/>
  <c r="T453" i="121"/>
  <c r="BB452" i="121"/>
  <c r="BA452" i="121"/>
  <c r="AZ452" i="121"/>
  <c r="AN452" i="121"/>
  <c r="T452" i="121"/>
  <c r="BB451" i="121"/>
  <c r="BA451" i="121"/>
  <c r="AZ451" i="121"/>
  <c r="AN451" i="121"/>
  <c r="T451" i="121"/>
  <c r="BB450" i="121"/>
  <c r="BA450" i="121"/>
  <c r="AZ450" i="121"/>
  <c r="AN450" i="121"/>
  <c r="T450" i="121"/>
  <c r="BB449" i="121"/>
  <c r="AZ449" i="121"/>
  <c r="AN449" i="121"/>
  <c r="T449" i="121"/>
  <c r="H449" i="121"/>
  <c r="BA449" i="121" s="1"/>
  <c r="BB448" i="121"/>
  <c r="BA448" i="121"/>
  <c r="AZ448" i="121"/>
  <c r="AN448" i="121"/>
  <c r="T448" i="121"/>
  <c r="AZ447" i="121"/>
  <c r="AN447" i="121"/>
  <c r="BB447" i="121" s="1"/>
  <c r="T447" i="121"/>
  <c r="H447" i="121"/>
  <c r="BA447" i="121" s="1"/>
  <c r="BB446" i="121"/>
  <c r="BA446" i="121"/>
  <c r="AZ446" i="121"/>
  <c r="AN446" i="121"/>
  <c r="T446" i="121"/>
  <c r="BA445" i="121"/>
  <c r="AZ445" i="121"/>
  <c r="AN445" i="121"/>
  <c r="BB445" i="121" s="1"/>
  <c r="T445" i="121"/>
  <c r="H445" i="121"/>
  <c r="BB444" i="121"/>
  <c r="BA444" i="121"/>
  <c r="AZ444" i="121"/>
  <c r="AN444" i="121"/>
  <c r="T444" i="121"/>
  <c r="BB443" i="121"/>
  <c r="BA443" i="121"/>
  <c r="AZ443" i="121"/>
  <c r="AN443" i="121"/>
  <c r="T443" i="121"/>
  <c r="H443" i="121"/>
  <c r="BB442" i="121"/>
  <c r="BA442" i="121"/>
  <c r="AZ442" i="121"/>
  <c r="AN442" i="121"/>
  <c r="T442" i="121"/>
  <c r="AZ441" i="121"/>
  <c r="AN441" i="121"/>
  <c r="BB441" i="121" s="1"/>
  <c r="T441" i="121"/>
  <c r="H441" i="121"/>
  <c r="BA441" i="121" s="1"/>
  <c r="BB440" i="121"/>
  <c r="BA440" i="121"/>
  <c r="AZ440" i="121"/>
  <c r="AN440" i="121"/>
  <c r="T440" i="121"/>
  <c r="BB439" i="121"/>
  <c r="BA439" i="121"/>
  <c r="AZ439" i="121"/>
  <c r="AN439" i="121"/>
  <c r="T439" i="121"/>
  <c r="H439" i="121"/>
  <c r="BB438" i="121"/>
  <c r="BA438" i="121"/>
  <c r="AZ438" i="121"/>
  <c r="AN438" i="121"/>
  <c r="T438" i="121"/>
  <c r="AZ437" i="121"/>
  <c r="AN437" i="121"/>
  <c r="T437" i="121"/>
  <c r="H437" i="121"/>
  <c r="BB436" i="121"/>
  <c r="BA436" i="121"/>
  <c r="AZ436" i="121"/>
  <c r="AN436" i="121"/>
  <c r="T436" i="121"/>
  <c r="BB435" i="121"/>
  <c r="AZ435" i="121"/>
  <c r="AN435" i="121"/>
  <c r="BA435" i="121" s="1"/>
  <c r="T435" i="121"/>
  <c r="H435" i="121"/>
  <c r="BB434" i="121"/>
  <c r="BA434" i="121"/>
  <c r="AZ434" i="121"/>
  <c r="AN434" i="121"/>
  <c r="T434" i="121"/>
  <c r="BB433" i="121"/>
  <c r="BA433" i="121"/>
  <c r="AZ433" i="121"/>
  <c r="AN433" i="121"/>
  <c r="T433" i="121"/>
  <c r="H433" i="121"/>
  <c r="BB432" i="121"/>
  <c r="BA432" i="121"/>
  <c r="AZ432" i="121"/>
  <c r="AN432" i="121"/>
  <c r="T432" i="121"/>
  <c r="BB431" i="121"/>
  <c r="AZ431" i="121"/>
  <c r="AN431" i="121"/>
  <c r="T431" i="121"/>
  <c r="H431" i="121"/>
  <c r="BA431" i="121" s="1"/>
  <c r="BB430" i="121"/>
  <c r="BA430" i="121"/>
  <c r="AZ430" i="121"/>
  <c r="AN430" i="121"/>
  <c r="T430" i="121"/>
  <c r="BB429" i="121"/>
  <c r="BA429" i="121"/>
  <c r="AZ429" i="121"/>
  <c r="AN429" i="121"/>
  <c r="T429" i="121"/>
  <c r="BB428" i="121"/>
  <c r="BA428" i="121"/>
  <c r="AZ428" i="121"/>
  <c r="AN428" i="121"/>
  <c r="T428" i="121"/>
  <c r="H428" i="121"/>
  <c r="BB427" i="121"/>
  <c r="BA427" i="121"/>
  <c r="AZ427" i="121"/>
  <c r="AN427" i="121"/>
  <c r="T427" i="121"/>
  <c r="H427" i="121"/>
  <c r="BB426" i="121"/>
  <c r="BA426" i="121"/>
  <c r="AZ426" i="121"/>
  <c r="AN426" i="121"/>
  <c r="T426" i="121"/>
  <c r="H426" i="121"/>
  <c r="AZ425" i="121"/>
  <c r="AN425" i="121"/>
  <c r="BA425" i="121" s="1"/>
  <c r="T425" i="121"/>
  <c r="H425" i="121"/>
  <c r="BB424" i="121"/>
  <c r="BA424" i="121"/>
  <c r="AZ424" i="121"/>
  <c r="AN424" i="121"/>
  <c r="T424" i="121"/>
  <c r="BB423" i="121"/>
  <c r="AZ423" i="121"/>
  <c r="AN423" i="121"/>
  <c r="T423" i="121"/>
  <c r="H423" i="121"/>
  <c r="BA423" i="121" s="1"/>
  <c r="BA422" i="121"/>
  <c r="AZ422" i="121"/>
  <c r="AN422" i="121"/>
  <c r="BB422" i="121" s="1"/>
  <c r="T422" i="121"/>
  <c r="H422" i="121"/>
  <c r="AZ421" i="121"/>
  <c r="AN421" i="121"/>
  <c r="BB421" i="121" s="1"/>
  <c r="T421" i="121"/>
  <c r="H421" i="121"/>
  <c r="AZ420" i="121"/>
  <c r="AN420" i="121"/>
  <c r="T420" i="121"/>
  <c r="H420" i="121"/>
  <c r="BB419" i="121"/>
  <c r="BA419" i="121"/>
  <c r="AZ419" i="121"/>
  <c r="AN419" i="121"/>
  <c r="T419" i="121"/>
  <c r="AZ418" i="121"/>
  <c r="AN418" i="121"/>
  <c r="T418" i="121"/>
  <c r="H418" i="121"/>
  <c r="AZ417" i="121"/>
  <c r="AN417" i="121"/>
  <c r="BB417" i="121" s="1"/>
  <c r="T417" i="121"/>
  <c r="H417" i="121"/>
  <c r="BA417" i="121" s="1"/>
  <c r="BB416" i="121"/>
  <c r="BA416" i="121"/>
  <c r="AZ416" i="121"/>
  <c r="AN416" i="121"/>
  <c r="T416" i="121"/>
  <c r="H416" i="121"/>
  <c r="BB415" i="121"/>
  <c r="BA415" i="121"/>
  <c r="AZ415" i="121"/>
  <c r="AN415" i="121"/>
  <c r="T415" i="121"/>
  <c r="BB414" i="121"/>
  <c r="BA414" i="121"/>
  <c r="AZ414" i="121"/>
  <c r="AN414" i="121"/>
  <c r="T414" i="121"/>
  <c r="BB413" i="121"/>
  <c r="BA413" i="121"/>
  <c r="AZ413" i="121"/>
  <c r="AN413" i="121"/>
  <c r="T413" i="121"/>
  <c r="H413" i="121"/>
  <c r="BB412" i="121"/>
  <c r="BA412" i="121"/>
  <c r="AZ412" i="121"/>
  <c r="AN412" i="121"/>
  <c r="T412" i="121"/>
  <c r="H412" i="121"/>
  <c r="BB411" i="121"/>
  <c r="AZ411" i="121"/>
  <c r="AN411" i="121"/>
  <c r="BA411" i="121" s="1"/>
  <c r="T411" i="121"/>
  <c r="H411" i="121"/>
  <c r="BB410" i="121"/>
  <c r="BA410" i="121"/>
  <c r="AZ410" i="121"/>
  <c r="AN410" i="121"/>
  <c r="T410" i="121"/>
  <c r="BB409" i="121"/>
  <c r="BA409" i="121"/>
  <c r="AZ409" i="121"/>
  <c r="AN409" i="121"/>
  <c r="T409" i="121"/>
  <c r="H409" i="121"/>
  <c r="BA408" i="121"/>
  <c r="AZ408" i="121"/>
  <c r="AN408" i="121"/>
  <c r="BB408" i="121" s="1"/>
  <c r="T408" i="121"/>
  <c r="BA407" i="121"/>
  <c r="AZ407" i="121"/>
  <c r="AN407" i="121"/>
  <c r="BB407" i="121" s="1"/>
  <c r="T407" i="121"/>
  <c r="H407" i="121"/>
  <c r="BB406" i="121"/>
  <c r="BA406" i="121"/>
  <c r="AZ406" i="121"/>
  <c r="AN406" i="121"/>
  <c r="T406" i="121"/>
  <c r="AZ405" i="121"/>
  <c r="AN405" i="121"/>
  <c r="T405" i="121"/>
  <c r="H405" i="121"/>
  <c r="AZ404" i="121"/>
  <c r="AN404" i="121"/>
  <c r="T404" i="121"/>
  <c r="H404" i="121"/>
  <c r="AZ403" i="121"/>
  <c r="AN403" i="121"/>
  <c r="T403" i="121"/>
  <c r="H403" i="121"/>
  <c r="BB402" i="121"/>
  <c r="BA402" i="121"/>
  <c r="AZ402" i="121"/>
  <c r="AN402" i="121"/>
  <c r="T402" i="121"/>
  <c r="H402" i="121"/>
  <c r="BA401" i="121"/>
  <c r="AZ401" i="121"/>
  <c r="AN401" i="121"/>
  <c r="BB401" i="121" s="1"/>
  <c r="T401" i="121"/>
  <c r="H401" i="121"/>
  <c r="BA400" i="121"/>
  <c r="AZ400" i="121"/>
  <c r="AN400" i="121"/>
  <c r="BB400" i="121" s="1"/>
  <c r="T400" i="121"/>
  <c r="H400" i="121"/>
  <c r="AZ399" i="121"/>
  <c r="AN399" i="121"/>
  <c r="T399" i="121"/>
  <c r="H399" i="121"/>
  <c r="H398" i="121" s="1"/>
  <c r="BB398" i="121"/>
  <c r="BA398" i="121"/>
  <c r="AZ398" i="121"/>
  <c r="AN398" i="121"/>
  <c r="T398" i="121"/>
  <c r="AZ397" i="121"/>
  <c r="AN397" i="121"/>
  <c r="T397" i="121"/>
  <c r="H397" i="121"/>
  <c r="BB396" i="121"/>
  <c r="BA396" i="121"/>
  <c r="AZ396" i="121"/>
  <c r="AN396" i="121"/>
  <c r="T396" i="121"/>
  <c r="H396" i="121"/>
  <c r="BB395" i="121"/>
  <c r="BA395" i="121"/>
  <c r="AZ395" i="121"/>
  <c r="AN395" i="121"/>
  <c r="T395" i="121"/>
  <c r="BB394" i="121"/>
  <c r="BA394" i="121"/>
  <c r="AZ394" i="121"/>
  <c r="AN394" i="121"/>
  <c r="T394" i="121"/>
  <c r="H394" i="121"/>
  <c r="BB393" i="121"/>
  <c r="AZ393" i="121"/>
  <c r="AN393" i="121"/>
  <c r="BA393" i="121" s="1"/>
  <c r="T393" i="121"/>
  <c r="H393" i="121"/>
  <c r="AZ392" i="121"/>
  <c r="AN392" i="121"/>
  <c r="BB392" i="121" s="1"/>
  <c r="T392" i="121"/>
  <c r="H392" i="121"/>
  <c r="BB391" i="121"/>
  <c r="BA391" i="121"/>
  <c r="AZ391" i="121"/>
  <c r="AN391" i="121"/>
  <c r="T391" i="121"/>
  <c r="H391" i="121"/>
  <c r="BB390" i="121"/>
  <c r="BA390" i="121"/>
  <c r="AZ390" i="121"/>
  <c r="AN390" i="121"/>
  <c r="T390" i="121"/>
  <c r="BB389" i="121"/>
  <c r="AZ389" i="121"/>
  <c r="AN389" i="121"/>
  <c r="BA389" i="121" s="1"/>
  <c r="T389" i="121"/>
  <c r="H389" i="121"/>
  <c r="AZ388" i="121"/>
  <c r="AN388" i="121"/>
  <c r="BB388" i="121" s="1"/>
  <c r="T388" i="121"/>
  <c r="H388" i="121"/>
  <c r="BB387" i="121"/>
  <c r="BA387" i="121"/>
  <c r="AZ387" i="121"/>
  <c r="AN387" i="121"/>
  <c r="T387" i="121"/>
  <c r="H387" i="121"/>
  <c r="BB386" i="121"/>
  <c r="BA386" i="121"/>
  <c r="AZ386" i="121"/>
  <c r="AN386" i="121"/>
  <c r="T386" i="121"/>
  <c r="BB385" i="121"/>
  <c r="AZ385" i="121"/>
  <c r="AN385" i="121"/>
  <c r="BA385" i="121" s="1"/>
  <c r="T385" i="121"/>
  <c r="H385" i="121"/>
  <c r="BB384" i="121"/>
  <c r="BA384" i="121"/>
  <c r="AZ384" i="121"/>
  <c r="AN384" i="121"/>
  <c r="T384" i="121"/>
  <c r="BB383" i="121"/>
  <c r="BA383" i="121"/>
  <c r="AZ383" i="121"/>
  <c r="AN383" i="121"/>
  <c r="T383" i="121"/>
  <c r="BB382" i="121"/>
  <c r="AZ382" i="121"/>
  <c r="AN382" i="121"/>
  <c r="BA382" i="121" s="1"/>
  <c r="T382" i="121"/>
  <c r="H382" i="121"/>
  <c r="AZ381" i="121"/>
  <c r="AN381" i="121"/>
  <c r="BB381" i="121" s="1"/>
  <c r="T381" i="121"/>
  <c r="H381" i="121"/>
  <c r="BA381" i="121" s="1"/>
  <c r="BB380" i="121"/>
  <c r="BA380" i="121"/>
  <c r="AZ380" i="121"/>
  <c r="AN380" i="121"/>
  <c r="T380" i="121"/>
  <c r="H380" i="121"/>
  <c r="BB379" i="121"/>
  <c r="BA379" i="121"/>
  <c r="AZ379" i="121"/>
  <c r="AN379" i="121"/>
  <c r="T379" i="121"/>
  <c r="BA378" i="121"/>
  <c r="AZ378" i="121"/>
  <c r="AN378" i="121"/>
  <c r="BB378" i="121" s="1"/>
  <c r="T378" i="121"/>
  <c r="H378" i="121"/>
  <c r="AZ377" i="121"/>
  <c r="AN377" i="121"/>
  <c r="T377" i="121"/>
  <c r="H377" i="121"/>
  <c r="BB376" i="121"/>
  <c r="AZ376" i="121"/>
  <c r="AN376" i="121"/>
  <c r="T376" i="121"/>
  <c r="H376" i="121"/>
  <c r="BA376" i="121" s="1"/>
  <c r="BB375" i="121"/>
  <c r="BA375" i="121"/>
  <c r="AZ375" i="121"/>
  <c r="AN375" i="121"/>
  <c r="T375" i="121"/>
  <c r="BB374" i="121"/>
  <c r="AZ374" i="121"/>
  <c r="AN374" i="121"/>
  <c r="T374" i="121"/>
  <c r="H374" i="121"/>
  <c r="BA374" i="121" s="1"/>
  <c r="BB373" i="121"/>
  <c r="BA373" i="121"/>
  <c r="AZ373" i="121"/>
  <c r="AN373" i="121"/>
  <c r="T373" i="121"/>
  <c r="H373" i="121"/>
  <c r="BB372" i="121"/>
  <c r="BA372" i="121"/>
  <c r="AZ372" i="121"/>
  <c r="AN372" i="121"/>
  <c r="T372" i="121"/>
  <c r="BB371" i="121"/>
  <c r="BA371" i="121"/>
  <c r="AZ371" i="121"/>
  <c r="AN371" i="121"/>
  <c r="T371" i="121"/>
  <c r="BB370" i="121"/>
  <c r="BA370" i="121"/>
  <c r="AZ370" i="121"/>
  <c r="AN370" i="121"/>
  <c r="T370" i="121"/>
  <c r="H370" i="121"/>
  <c r="BB369" i="121"/>
  <c r="BA369" i="121"/>
  <c r="AZ369" i="121"/>
  <c r="AN369" i="121"/>
  <c r="T369" i="121"/>
  <c r="AZ368" i="121"/>
  <c r="AN368" i="121"/>
  <c r="BB368" i="121" s="1"/>
  <c r="T368" i="121"/>
  <c r="H368" i="121"/>
  <c r="AZ367" i="121"/>
  <c r="AN367" i="121"/>
  <c r="T367" i="121"/>
  <c r="H367" i="121"/>
  <c r="BB366" i="121"/>
  <c r="BA366" i="121"/>
  <c r="AZ366" i="121"/>
  <c r="AN366" i="121"/>
  <c r="T366" i="121"/>
  <c r="AZ365" i="121"/>
  <c r="AN365" i="121"/>
  <c r="T365" i="121"/>
  <c r="H365" i="121"/>
  <c r="BB364" i="121"/>
  <c r="AZ364" i="121"/>
  <c r="AN364" i="121"/>
  <c r="T364" i="121"/>
  <c r="H364" i="121"/>
  <c r="BA364" i="121" s="1"/>
  <c r="BB363" i="121"/>
  <c r="BA363" i="121"/>
  <c r="AZ363" i="121"/>
  <c r="AN363" i="121"/>
  <c r="T363" i="121"/>
  <c r="AZ362" i="121"/>
  <c r="AN362" i="121"/>
  <c r="BB362" i="121" s="1"/>
  <c r="T362" i="121"/>
  <c r="H362" i="121"/>
  <c r="BA361" i="121"/>
  <c r="AZ361" i="121"/>
  <c r="AN361" i="121"/>
  <c r="BB361" i="121" s="1"/>
  <c r="T361" i="121"/>
  <c r="H361" i="121"/>
  <c r="BB360" i="121"/>
  <c r="BA360" i="121"/>
  <c r="AZ360" i="121"/>
  <c r="AN360" i="121"/>
  <c r="T360" i="121"/>
  <c r="BB359" i="121"/>
  <c r="BA359" i="121"/>
  <c r="AZ359" i="121"/>
  <c r="AN359" i="121"/>
  <c r="T359" i="121"/>
  <c r="BA358" i="121"/>
  <c r="AZ358" i="121"/>
  <c r="AN358" i="121"/>
  <c r="BB358" i="121" s="1"/>
  <c r="T358" i="121"/>
  <c r="H358" i="121"/>
  <c r="BB357" i="121"/>
  <c r="BA357" i="121"/>
  <c r="AZ357" i="121"/>
  <c r="AN357" i="121"/>
  <c r="T357" i="121"/>
  <c r="BB356" i="121"/>
  <c r="BA356" i="121"/>
  <c r="AZ356" i="121"/>
  <c r="AN356" i="121"/>
  <c r="T356" i="121"/>
  <c r="H356" i="121"/>
  <c r="BB355" i="121"/>
  <c r="BA355" i="121"/>
  <c r="AZ355" i="121"/>
  <c r="AN355" i="121"/>
  <c r="T355" i="121"/>
  <c r="BA354" i="121"/>
  <c r="AZ354" i="121"/>
  <c r="AN354" i="121"/>
  <c r="BB354" i="121" s="1"/>
  <c r="T354" i="121"/>
  <c r="H354" i="121"/>
  <c r="AZ353" i="121"/>
  <c r="AN353" i="121"/>
  <c r="T353" i="121"/>
  <c r="H353" i="121"/>
  <c r="BB352" i="121"/>
  <c r="BA352" i="121"/>
  <c r="AZ352" i="121"/>
  <c r="AN352" i="121"/>
  <c r="T352" i="121"/>
  <c r="AZ351" i="121"/>
  <c r="AN351" i="121"/>
  <c r="T351" i="121"/>
  <c r="H351" i="121"/>
  <c r="BB350" i="121"/>
  <c r="BA350" i="121"/>
  <c r="AZ350" i="121"/>
  <c r="AN350" i="121"/>
  <c r="T350" i="121"/>
  <c r="A350" i="121"/>
  <c r="A352" i="121" s="1"/>
  <c r="A355" i="121" s="1"/>
  <c r="A357" i="121" s="1"/>
  <c r="AN349" i="121"/>
  <c r="T349" i="121"/>
  <c r="H349" i="121"/>
  <c r="AN348" i="121"/>
  <c r="T348" i="121"/>
  <c r="A348" i="121"/>
  <c r="BB347" i="121"/>
  <c r="BA347" i="121"/>
  <c r="AZ347" i="121"/>
  <c r="AN347" i="121"/>
  <c r="T347" i="121"/>
  <c r="BB346" i="121"/>
  <c r="BA346" i="121"/>
  <c r="AZ346" i="121"/>
  <c r="AN346" i="121"/>
  <c r="T346" i="121"/>
  <c r="A346" i="121"/>
  <c r="BC345" i="121"/>
  <c r="BB345" i="121"/>
  <c r="BA345" i="121"/>
  <c r="AN345" i="121"/>
  <c r="T345" i="121"/>
  <c r="BC344" i="121"/>
  <c r="BB344" i="121"/>
  <c r="BA344" i="121"/>
  <c r="AN344" i="121"/>
  <c r="T344" i="121"/>
  <c r="BC343" i="121"/>
  <c r="BB343" i="121"/>
  <c r="BA343" i="121"/>
  <c r="AN343" i="121"/>
  <c r="T343" i="121"/>
  <c r="BB342" i="121"/>
  <c r="BA342" i="121"/>
  <c r="AZ342" i="121"/>
  <c r="AN342" i="121"/>
  <c r="T342" i="121"/>
  <c r="BB341" i="121"/>
  <c r="BA341" i="121"/>
  <c r="AZ341" i="121"/>
  <c r="AN341" i="121"/>
  <c r="T341" i="121"/>
  <c r="AN340" i="121"/>
  <c r="T340" i="121"/>
  <c r="AN339" i="121"/>
  <c r="T339" i="121"/>
  <c r="AN338" i="121"/>
  <c r="T338" i="121"/>
  <c r="AN337" i="121"/>
  <c r="T337" i="121"/>
  <c r="AN336" i="121"/>
  <c r="T336" i="121"/>
  <c r="AN335" i="121"/>
  <c r="T335" i="121"/>
  <c r="AN334" i="121"/>
  <c r="T334" i="121"/>
  <c r="AN333" i="121"/>
  <c r="T333" i="121"/>
  <c r="AN332" i="121"/>
  <c r="T332" i="121"/>
  <c r="AN331" i="121"/>
  <c r="T331" i="121"/>
  <c r="AN330" i="121"/>
  <c r="T330" i="121"/>
  <c r="AN329" i="121"/>
  <c r="T329" i="121"/>
  <c r="AN328" i="121"/>
  <c r="T328" i="121"/>
  <c r="AN327" i="121"/>
  <c r="T327" i="121"/>
  <c r="AN326" i="121"/>
  <c r="T326" i="121"/>
  <c r="AN325" i="121"/>
  <c r="T325" i="121"/>
  <c r="AN324" i="121"/>
  <c r="T324" i="121"/>
  <c r="AN323" i="121"/>
  <c r="T323" i="121"/>
  <c r="AN322" i="121"/>
  <c r="T322" i="121"/>
  <c r="BB321" i="121"/>
  <c r="BA321" i="121"/>
  <c r="AZ321" i="121"/>
  <c r="AN321" i="121"/>
  <c r="T321" i="121"/>
  <c r="BB320" i="121"/>
  <c r="BA320" i="121"/>
  <c r="AZ320" i="121"/>
  <c r="AN320" i="121"/>
  <c r="T320" i="121"/>
  <c r="AZ319" i="121"/>
  <c r="AN319" i="121"/>
  <c r="T319" i="121"/>
  <c r="BB318" i="121"/>
  <c r="BA318" i="121"/>
  <c r="AZ318" i="121"/>
  <c r="AN318" i="121"/>
  <c r="T318" i="121"/>
  <c r="BB317" i="121"/>
  <c r="BA317" i="121"/>
  <c r="AN317" i="121"/>
  <c r="T317" i="121"/>
  <c r="BB316" i="121"/>
  <c r="BA316" i="121"/>
  <c r="AZ316" i="121"/>
  <c r="AN316" i="121"/>
  <c r="T316" i="121"/>
  <c r="BB315" i="121"/>
  <c r="BA315" i="121"/>
  <c r="AZ315" i="121"/>
  <c r="AN315" i="121"/>
  <c r="Y315" i="121"/>
  <c r="T315" i="121"/>
  <c r="AZ314" i="121"/>
  <c r="AN314" i="121"/>
  <c r="Y314" i="121"/>
  <c r="T314" i="121"/>
  <c r="BB313" i="121"/>
  <c r="BA313" i="121"/>
  <c r="AZ313" i="121"/>
  <c r="AN313" i="121"/>
  <c r="Y313" i="121"/>
  <c r="T313" i="121"/>
  <c r="BB312" i="121"/>
  <c r="BA312" i="121"/>
  <c r="AZ312" i="121"/>
  <c r="AN312" i="121"/>
  <c r="Y312" i="121"/>
  <c r="Y672" i="121" s="1"/>
  <c r="T312" i="121"/>
  <c r="BB311" i="121"/>
  <c r="BA311" i="121"/>
  <c r="AZ311" i="121"/>
  <c r="AN311" i="121"/>
  <c r="T311" i="121"/>
  <c r="G311" i="121"/>
  <c r="BC310" i="121"/>
  <c r="BB310" i="121"/>
  <c r="AN310" i="121"/>
  <c r="T310" i="121"/>
  <c r="BC309" i="121"/>
  <c r="BB309" i="121"/>
  <c r="BA309" i="121"/>
  <c r="AN309" i="121"/>
  <c r="T309" i="121"/>
  <c r="BC308" i="121"/>
  <c r="BB308" i="121"/>
  <c r="AN308" i="121"/>
  <c r="T308" i="121"/>
  <c r="AN307" i="121"/>
  <c r="T307" i="121"/>
  <c r="AN306" i="121"/>
  <c r="T306" i="121"/>
  <c r="AN305" i="121"/>
  <c r="T305" i="121"/>
  <c r="AN304" i="121"/>
  <c r="T304" i="121"/>
  <c r="AN303" i="121"/>
  <c r="T303" i="121"/>
  <c r="AN302" i="121"/>
  <c r="T302" i="121"/>
  <c r="AN301" i="121"/>
  <c r="T301" i="121"/>
  <c r="AN300" i="121"/>
  <c r="T300" i="121"/>
  <c r="AN299" i="121"/>
  <c r="T299" i="121"/>
  <c r="E299" i="121"/>
  <c r="E300" i="121" s="1"/>
  <c r="E301" i="121" s="1"/>
  <c r="E302" i="121" s="1"/>
  <c r="AN298" i="121"/>
  <c r="T298" i="121"/>
  <c r="E298" i="121"/>
  <c r="AN297" i="121"/>
  <c r="T297" i="121"/>
  <c r="H297" i="121"/>
  <c r="G297" i="121"/>
  <c r="BD296" i="121"/>
  <c r="BC296" i="121"/>
  <c r="BB296" i="121"/>
  <c r="AZ296" i="121"/>
  <c r="AN296" i="121"/>
  <c r="T296" i="121"/>
  <c r="BD295" i="121"/>
  <c r="BB295" i="121"/>
  <c r="AN295" i="121"/>
  <c r="AZ295" i="121" s="1"/>
  <c r="BC295" i="121" s="1"/>
  <c r="T295" i="121"/>
  <c r="D295" i="121"/>
  <c r="D296" i="121" s="1"/>
  <c r="BD294" i="121"/>
  <c r="BC294" i="121"/>
  <c r="AN294" i="121"/>
  <c r="AZ294" i="121" s="1"/>
  <c r="BB294" i="121" s="1"/>
  <c r="T294" i="121"/>
  <c r="D294" i="121"/>
  <c r="BD293" i="121"/>
  <c r="AZ293" i="121"/>
  <c r="BB293" i="121" s="1"/>
  <c r="AN293" i="121"/>
  <c r="BC293" i="121" s="1"/>
  <c r="T293" i="121"/>
  <c r="AN292" i="121"/>
  <c r="T292" i="121"/>
  <c r="BC291" i="121"/>
  <c r="AZ291" i="121"/>
  <c r="BB291" i="121" s="1"/>
  <c r="AN291" i="121"/>
  <c r="BD291" i="121" s="1"/>
  <c r="T291" i="121"/>
  <c r="F291" i="121"/>
  <c r="F292" i="121" s="1"/>
  <c r="F293" i="121" s="1"/>
  <c r="F294" i="121" s="1"/>
  <c r="F295" i="121" s="1"/>
  <c r="F296" i="121" s="1"/>
  <c r="AN290" i="121"/>
  <c r="BD290" i="121" s="1"/>
  <c r="T290" i="121"/>
  <c r="D290" i="121"/>
  <c r="D291" i="121" s="1"/>
  <c r="D292" i="121" s="1"/>
  <c r="D293" i="121" s="1"/>
  <c r="BC289" i="121"/>
  <c r="BB289" i="121"/>
  <c r="AZ289" i="121"/>
  <c r="AN289" i="121"/>
  <c r="BD289" i="121" s="1"/>
  <c r="T289" i="121"/>
  <c r="F289" i="121"/>
  <c r="F290" i="121" s="1"/>
  <c r="E289" i="121"/>
  <c r="E290" i="121" s="1"/>
  <c r="E291" i="121" s="1"/>
  <c r="E292" i="121" s="1"/>
  <c r="E293" i="121" s="1"/>
  <c r="E294" i="121" s="1"/>
  <c r="E295" i="121" s="1"/>
  <c r="E296" i="121" s="1"/>
  <c r="D289" i="121"/>
  <c r="BD288" i="121"/>
  <c r="BC288" i="121"/>
  <c r="AN288" i="121"/>
  <c r="T288" i="121"/>
  <c r="G288" i="121"/>
  <c r="BD287" i="121"/>
  <c r="BC287" i="121"/>
  <c r="BA287" i="121"/>
  <c r="AZ287" i="121"/>
  <c r="BB287" i="121" s="1"/>
  <c r="AN287" i="121"/>
  <c r="T287" i="121"/>
  <c r="E287" i="121"/>
  <c r="BD286" i="121"/>
  <c r="BC286" i="121"/>
  <c r="BA286" i="121"/>
  <c r="AZ286" i="121"/>
  <c r="BB286" i="121" s="1"/>
  <c r="AN286" i="121"/>
  <c r="T286" i="121"/>
  <c r="F286" i="121"/>
  <c r="F287" i="121" s="1"/>
  <c r="E286" i="121"/>
  <c r="D286" i="121"/>
  <c r="D287" i="121" s="1"/>
  <c r="BD285" i="121"/>
  <c r="BC285" i="121"/>
  <c r="BA285" i="121"/>
  <c r="AN285" i="121"/>
  <c r="T285" i="121"/>
  <c r="G285" i="121"/>
  <c r="BD284" i="121"/>
  <c r="BC284" i="121"/>
  <c r="AN284" i="121"/>
  <c r="AZ284" i="121" s="1"/>
  <c r="BB284" i="121" s="1"/>
  <c r="T284" i="121"/>
  <c r="E284" i="121"/>
  <c r="BD283" i="121"/>
  <c r="BC283" i="121"/>
  <c r="BB283" i="121"/>
  <c r="AZ283" i="121"/>
  <c r="AN283" i="121"/>
  <c r="T283" i="121"/>
  <c r="BD282" i="121"/>
  <c r="BC282" i="121"/>
  <c r="BB282" i="121"/>
  <c r="AN282" i="121"/>
  <c r="AZ282" i="121" s="1"/>
  <c r="T282" i="121"/>
  <c r="E282" i="121"/>
  <c r="E283" i="121" s="1"/>
  <c r="BD281" i="121"/>
  <c r="AN281" i="121"/>
  <c r="T281" i="121"/>
  <c r="E281" i="121"/>
  <c r="D281" i="121"/>
  <c r="D282" i="121" s="1"/>
  <c r="D283" i="121" s="1"/>
  <c r="D284" i="121" s="1"/>
  <c r="BD280" i="121"/>
  <c r="AZ280" i="121"/>
  <c r="BB280" i="121" s="1"/>
  <c r="AN280" i="121"/>
  <c r="T280" i="121"/>
  <c r="F280" i="121"/>
  <c r="F281" i="121" s="1"/>
  <c r="F282" i="121" s="1"/>
  <c r="F283" i="121" s="1"/>
  <c r="F284" i="121" s="1"/>
  <c r="D280" i="121"/>
  <c r="AN279" i="121"/>
  <c r="T279" i="121"/>
  <c r="F279" i="121"/>
  <c r="E279" i="121"/>
  <c r="E280" i="121" s="1"/>
  <c r="D279" i="121"/>
  <c r="BD278" i="121"/>
  <c r="BC278" i="121"/>
  <c r="AN278" i="121"/>
  <c r="T278" i="121"/>
  <c r="H278" i="121"/>
  <c r="G278" i="121"/>
  <c r="BD277" i="121"/>
  <c r="BC277" i="121"/>
  <c r="BA277" i="121"/>
  <c r="AN277" i="121"/>
  <c r="AZ277" i="121" s="1"/>
  <c r="BB277" i="121" s="1"/>
  <c r="T277" i="121"/>
  <c r="F277" i="121"/>
  <c r="E277" i="121"/>
  <c r="AZ276" i="121"/>
  <c r="BB276" i="121" s="1"/>
  <c r="AN276" i="121"/>
  <c r="T276" i="121"/>
  <c r="F276" i="121"/>
  <c r="E276" i="121"/>
  <c r="BD275" i="121"/>
  <c r="BC275" i="121"/>
  <c r="BA275" i="121"/>
  <c r="AN275" i="121"/>
  <c r="T275" i="121"/>
  <c r="H275" i="121"/>
  <c r="AN274" i="121"/>
  <c r="T274" i="121"/>
  <c r="E274" i="121"/>
  <c r="AN273" i="121"/>
  <c r="T273" i="121"/>
  <c r="F273" i="121"/>
  <c r="F274" i="121" s="1"/>
  <c r="E273" i="121"/>
  <c r="D273" i="121"/>
  <c r="D274" i="121" s="1"/>
  <c r="AN272" i="121"/>
  <c r="T272" i="121"/>
  <c r="H272" i="121"/>
  <c r="G272" i="121"/>
  <c r="AN271" i="121"/>
  <c r="T271" i="121"/>
  <c r="AN270" i="121"/>
  <c r="T270" i="121"/>
  <c r="H270" i="121"/>
  <c r="H269" i="121" s="1"/>
  <c r="F270" i="121"/>
  <c r="F271" i="121" s="1"/>
  <c r="E270" i="121"/>
  <c r="E271" i="121" s="1"/>
  <c r="D270" i="121"/>
  <c r="D271" i="121" s="1"/>
  <c r="AN269" i="121"/>
  <c r="T269" i="121"/>
  <c r="G269" i="121"/>
  <c r="AN268" i="121"/>
  <c r="T268" i="121"/>
  <c r="AN267" i="121"/>
  <c r="T267" i="121"/>
  <c r="AN266" i="121"/>
  <c r="T266" i="121"/>
  <c r="AN265" i="121"/>
  <c r="T265" i="121"/>
  <c r="AN264" i="121"/>
  <c r="T264" i="121"/>
  <c r="F264" i="121"/>
  <c r="F265" i="121" s="1"/>
  <c r="F266" i="121" s="1"/>
  <c r="F267" i="121" s="1"/>
  <c r="F268" i="121" s="1"/>
  <c r="AN263" i="121"/>
  <c r="T263" i="121"/>
  <c r="AN262" i="121"/>
  <c r="T262" i="121"/>
  <c r="F262" i="121"/>
  <c r="F263" i="121" s="1"/>
  <c r="AN261" i="121"/>
  <c r="T261" i="121"/>
  <c r="AN260" i="121"/>
  <c r="T260" i="121"/>
  <c r="F260" i="121"/>
  <c r="F261" i="121" s="1"/>
  <c r="E260" i="121"/>
  <c r="E261" i="121" s="1"/>
  <c r="E262" i="121" s="1"/>
  <c r="E263" i="121" s="1"/>
  <c r="E264" i="121" s="1"/>
  <c r="E265" i="121" s="1"/>
  <c r="E266" i="121" s="1"/>
  <c r="E267" i="121" s="1"/>
  <c r="E268" i="121" s="1"/>
  <c r="D260" i="121"/>
  <c r="D261" i="121" s="1"/>
  <c r="D262" i="121" s="1"/>
  <c r="D263" i="121" s="1"/>
  <c r="D264" i="121" s="1"/>
  <c r="D265" i="121" s="1"/>
  <c r="D266" i="121" s="1"/>
  <c r="D267" i="121" s="1"/>
  <c r="D268" i="121" s="1"/>
  <c r="AN259" i="121"/>
  <c r="T259" i="121"/>
  <c r="H259" i="121"/>
  <c r="G259" i="121"/>
  <c r="AN258" i="121"/>
  <c r="T258" i="121"/>
  <c r="F258" i="121"/>
  <c r="AN257" i="121"/>
  <c r="T257" i="121"/>
  <c r="F257" i="121"/>
  <c r="E257" i="121"/>
  <c r="E258" i="121" s="1"/>
  <c r="D257" i="121"/>
  <c r="D258" i="121" s="1"/>
  <c r="AN256" i="121"/>
  <c r="T256" i="121"/>
  <c r="AN255" i="121"/>
  <c r="T255" i="121"/>
  <c r="AN254" i="121"/>
  <c r="T254" i="121"/>
  <c r="H254" i="121"/>
  <c r="G254" i="121"/>
  <c r="AN253" i="121"/>
  <c r="T253" i="121"/>
  <c r="H253" i="121"/>
  <c r="G253" i="121"/>
  <c r="F253" i="121"/>
  <c r="F254" i="121" s="1"/>
  <c r="AN252" i="121"/>
  <c r="T252" i="121"/>
  <c r="H252" i="121"/>
  <c r="H250" i="121" s="1"/>
  <c r="G252" i="121"/>
  <c r="E252" i="121"/>
  <c r="E255" i="121" s="1"/>
  <c r="AN251" i="121"/>
  <c r="T251" i="121"/>
  <c r="H251" i="121"/>
  <c r="G251" i="121"/>
  <c r="F251" i="121"/>
  <c r="F252" i="121" s="1"/>
  <c r="F255" i="121" s="1"/>
  <c r="E251" i="121"/>
  <c r="D251" i="121"/>
  <c r="D252" i="121" s="1"/>
  <c r="AN250" i="121"/>
  <c r="T250" i="121"/>
  <c r="AN249" i="121"/>
  <c r="T249" i="121"/>
  <c r="E249" i="121"/>
  <c r="D249" i="121"/>
  <c r="AN248" i="121"/>
  <c r="T248" i="121"/>
  <c r="H248" i="121"/>
  <c r="H247" i="121" s="1"/>
  <c r="G248" i="121"/>
  <c r="F248" i="121"/>
  <c r="F249" i="121" s="1"/>
  <c r="E248" i="121"/>
  <c r="D248" i="121"/>
  <c r="AN247" i="121"/>
  <c r="T247" i="121"/>
  <c r="G247" i="121"/>
  <c r="AN246" i="121"/>
  <c r="T246" i="121"/>
  <c r="H246" i="121"/>
  <c r="G246" i="121"/>
  <c r="F246" i="121"/>
  <c r="D246" i="121"/>
  <c r="AN245" i="121"/>
  <c r="T245" i="121"/>
  <c r="H245" i="121"/>
  <c r="G245" i="121"/>
  <c r="F245" i="121"/>
  <c r="E245" i="121"/>
  <c r="E246" i="121" s="1"/>
  <c r="D245" i="121"/>
  <c r="AN244" i="121"/>
  <c r="T244" i="121"/>
  <c r="H244" i="121"/>
  <c r="G244" i="121"/>
  <c r="AN243" i="121"/>
  <c r="T243" i="121"/>
  <c r="H243" i="121"/>
  <c r="G243" i="121"/>
  <c r="F243" i="121"/>
  <c r="D243" i="121"/>
  <c r="AN242" i="121"/>
  <c r="T242" i="121"/>
  <c r="H242" i="121"/>
  <c r="H241" i="121" s="1"/>
  <c r="G242" i="121"/>
  <c r="F242" i="121"/>
  <c r="E242" i="121"/>
  <c r="E243" i="121" s="1"/>
  <c r="D242" i="121"/>
  <c r="AN241" i="121"/>
  <c r="T241" i="121"/>
  <c r="G241" i="121"/>
  <c r="AN240" i="121"/>
  <c r="T240" i="121"/>
  <c r="D240" i="121"/>
  <c r="AN239" i="121"/>
  <c r="T239" i="121"/>
  <c r="AN238" i="121"/>
  <c r="T238" i="121"/>
  <c r="F238" i="121"/>
  <c r="F239" i="121" s="1"/>
  <c r="F240" i="121" s="1"/>
  <c r="AN237" i="121"/>
  <c r="T237" i="121"/>
  <c r="F237" i="121"/>
  <c r="E237" i="121"/>
  <c r="E238" i="121" s="1"/>
  <c r="E239" i="121" s="1"/>
  <c r="E240" i="121" s="1"/>
  <c r="D237" i="121"/>
  <c r="D238" i="121" s="1"/>
  <c r="D239" i="121" s="1"/>
  <c r="AN236" i="121"/>
  <c r="T236" i="121"/>
  <c r="H236" i="121"/>
  <c r="G236" i="121"/>
  <c r="AN235" i="121"/>
  <c r="T235" i="121"/>
  <c r="F235" i="121"/>
  <c r="AN234" i="121"/>
  <c r="T234" i="121"/>
  <c r="F234" i="121"/>
  <c r="AN233" i="121"/>
  <c r="T233" i="121"/>
  <c r="F233" i="121"/>
  <c r="E233" i="121"/>
  <c r="E234" i="121" s="1"/>
  <c r="E235" i="121" s="1"/>
  <c r="D233" i="121"/>
  <c r="D234" i="121" s="1"/>
  <c r="D235" i="121" s="1"/>
  <c r="AN232" i="121"/>
  <c r="T232" i="121"/>
  <c r="H232" i="121"/>
  <c r="G232" i="121"/>
  <c r="AN231" i="121"/>
  <c r="T231" i="121"/>
  <c r="AN230" i="121"/>
  <c r="T230" i="121"/>
  <c r="H230" i="121"/>
  <c r="G230" i="121"/>
  <c r="F230" i="121"/>
  <c r="F231" i="121" s="1"/>
  <c r="AN229" i="121"/>
  <c r="T229" i="121"/>
  <c r="H229" i="121"/>
  <c r="G229" i="121"/>
  <c r="F229" i="121"/>
  <c r="E229" i="121"/>
  <c r="E230" i="121" s="1"/>
  <c r="E231" i="121" s="1"/>
  <c r="D229" i="121"/>
  <c r="D230" i="121" s="1"/>
  <c r="D231" i="121" s="1"/>
  <c r="AN228" i="121"/>
  <c r="T228" i="121"/>
  <c r="H228" i="121"/>
  <c r="AN227" i="121"/>
  <c r="T227" i="121"/>
  <c r="AN226" i="121"/>
  <c r="T226" i="121"/>
  <c r="D226" i="121"/>
  <c r="D227" i="121" s="1"/>
  <c r="AN225" i="121"/>
  <c r="T225" i="121"/>
  <c r="F225" i="121"/>
  <c r="F226" i="121" s="1"/>
  <c r="F227" i="121" s="1"/>
  <c r="E225" i="121"/>
  <c r="E226" i="121" s="1"/>
  <c r="E227" i="121" s="1"/>
  <c r="D225" i="121"/>
  <c r="AN224" i="121"/>
  <c r="T224" i="121"/>
  <c r="H224" i="121"/>
  <c r="G224" i="121"/>
  <c r="AN223" i="121"/>
  <c r="T223" i="121"/>
  <c r="F223" i="121"/>
  <c r="E223" i="121"/>
  <c r="D223" i="121"/>
  <c r="AN222" i="121"/>
  <c r="T222" i="121"/>
  <c r="H222" i="121"/>
  <c r="G222" i="121"/>
  <c r="AN221" i="121"/>
  <c r="T221" i="121"/>
  <c r="F221" i="121"/>
  <c r="AN220" i="121"/>
  <c r="T220" i="121"/>
  <c r="H220" i="121"/>
  <c r="G220" i="121"/>
  <c r="F220" i="121"/>
  <c r="E220" i="121"/>
  <c r="E221" i="121" s="1"/>
  <c r="AN219" i="121"/>
  <c r="T219" i="121"/>
  <c r="H219" i="121"/>
  <c r="H218" i="121" s="1"/>
  <c r="G219" i="121"/>
  <c r="G218" i="121" s="1"/>
  <c r="F219" i="121"/>
  <c r="E219" i="121"/>
  <c r="D219" i="121"/>
  <c r="D220" i="121" s="1"/>
  <c r="D221" i="121" s="1"/>
  <c r="AN218" i="121"/>
  <c r="T218" i="121"/>
  <c r="AN217" i="121"/>
  <c r="T217" i="121"/>
  <c r="F217" i="121"/>
  <c r="E217" i="121"/>
  <c r="D217" i="121"/>
  <c r="AN216" i="121"/>
  <c r="T216" i="121"/>
  <c r="H216" i="121"/>
  <c r="G216" i="121"/>
  <c r="AN215" i="121"/>
  <c r="T215" i="121"/>
  <c r="F215" i="121"/>
  <c r="E215" i="121"/>
  <c r="D215" i="121"/>
  <c r="AN214" i="121"/>
  <c r="T214" i="121"/>
  <c r="H214" i="121"/>
  <c r="G214" i="121"/>
  <c r="AN213" i="121"/>
  <c r="T213" i="121"/>
  <c r="AN212" i="121"/>
  <c r="T212" i="121"/>
  <c r="F212" i="121"/>
  <c r="F213" i="121" s="1"/>
  <c r="E212" i="121"/>
  <c r="E213" i="121" s="1"/>
  <c r="D212" i="121"/>
  <c r="D213" i="121" s="1"/>
  <c r="AN211" i="121"/>
  <c r="T211" i="121"/>
  <c r="H211" i="121"/>
  <c r="G211" i="121"/>
  <c r="AN210" i="121"/>
  <c r="T210" i="121"/>
  <c r="D210" i="121"/>
  <c r="AN209" i="121"/>
  <c r="T209" i="121"/>
  <c r="F209" i="121"/>
  <c r="F210" i="121" s="1"/>
  <c r="E209" i="121"/>
  <c r="E210" i="121" s="1"/>
  <c r="D209" i="121"/>
  <c r="AN208" i="121"/>
  <c r="T208" i="121"/>
  <c r="H208" i="121"/>
  <c r="G208" i="121"/>
  <c r="AN207" i="121"/>
  <c r="T207" i="121"/>
  <c r="F207" i="121"/>
  <c r="E207" i="121"/>
  <c r="D207" i="121"/>
  <c r="AN206" i="121"/>
  <c r="T206" i="121"/>
  <c r="H206" i="121"/>
  <c r="G206" i="121"/>
  <c r="AN205" i="121"/>
  <c r="T205" i="121"/>
  <c r="F205" i="121"/>
  <c r="E205" i="121"/>
  <c r="AN204" i="121"/>
  <c r="T204" i="121"/>
  <c r="F204" i="121"/>
  <c r="E204" i="121"/>
  <c r="D204" i="121"/>
  <c r="D205" i="121" s="1"/>
  <c r="AN203" i="121"/>
  <c r="T203" i="121"/>
  <c r="H203" i="121"/>
  <c r="G203" i="121"/>
  <c r="BI202" i="121"/>
  <c r="BH202" i="121"/>
  <c r="BG202" i="121"/>
  <c r="BE202" i="121"/>
  <c r="BD202" i="121"/>
  <c r="AN202" i="121"/>
  <c r="T202" i="121"/>
  <c r="BD201" i="121"/>
  <c r="AN201" i="121"/>
  <c r="BI201" i="121" s="1"/>
  <c r="T201" i="121"/>
  <c r="AN200" i="121"/>
  <c r="T200" i="121"/>
  <c r="AN199" i="121"/>
  <c r="T199" i="121"/>
  <c r="H199" i="121"/>
  <c r="H197" i="121" s="1"/>
  <c r="G199" i="121"/>
  <c r="G197" i="121" s="1"/>
  <c r="F199" i="121"/>
  <c r="E199" i="121"/>
  <c r="AN198" i="121"/>
  <c r="T198" i="121"/>
  <c r="F198" i="121"/>
  <c r="E198" i="121"/>
  <c r="D198" i="121"/>
  <c r="D199" i="121" s="1"/>
  <c r="AN197" i="121"/>
  <c r="T197" i="121"/>
  <c r="AN196" i="121"/>
  <c r="T196" i="121"/>
  <c r="E196" i="121"/>
  <c r="D196" i="121"/>
  <c r="AN195" i="121"/>
  <c r="T195" i="121"/>
  <c r="F195" i="121"/>
  <c r="F196" i="121" s="1"/>
  <c r="E195" i="121"/>
  <c r="D195" i="121"/>
  <c r="AN194" i="121"/>
  <c r="T194" i="121"/>
  <c r="H194" i="121"/>
  <c r="G194" i="121"/>
  <c r="AN193" i="121"/>
  <c r="T193" i="121"/>
  <c r="D193" i="121"/>
  <c r="AN192" i="121"/>
  <c r="T192" i="121"/>
  <c r="F192" i="121"/>
  <c r="F193" i="121" s="1"/>
  <c r="E192" i="121"/>
  <c r="E193" i="121" s="1"/>
  <c r="D192" i="121"/>
  <c r="AN191" i="121"/>
  <c r="T191" i="121"/>
  <c r="H191" i="121"/>
  <c r="G191" i="121"/>
  <c r="AN190" i="121"/>
  <c r="T190" i="121"/>
  <c r="E190" i="121"/>
  <c r="AN189" i="121"/>
  <c r="T189" i="121"/>
  <c r="H189" i="121"/>
  <c r="H188" i="121" s="1"/>
  <c r="G189" i="121"/>
  <c r="F189" i="121"/>
  <c r="F190" i="121" s="1"/>
  <c r="E189" i="121"/>
  <c r="D189" i="121"/>
  <c r="D190" i="121" s="1"/>
  <c r="AN188" i="121"/>
  <c r="T188" i="121"/>
  <c r="G188" i="121"/>
  <c r="AN187" i="121"/>
  <c r="T187" i="121"/>
  <c r="D187" i="121"/>
  <c r="AN186" i="121"/>
  <c r="T186" i="121"/>
  <c r="F186" i="121"/>
  <c r="F187" i="121" s="1"/>
  <c r="E186" i="121"/>
  <c r="E187" i="121" s="1"/>
  <c r="D186" i="121"/>
  <c r="AN185" i="121"/>
  <c r="T185" i="121"/>
  <c r="H185" i="121"/>
  <c r="G185" i="121"/>
  <c r="AN184" i="121"/>
  <c r="T184" i="121"/>
  <c r="AN183" i="121"/>
  <c r="T183" i="121"/>
  <c r="E183" i="121"/>
  <c r="E184" i="121" s="1"/>
  <c r="D183" i="121"/>
  <c r="D184" i="121" s="1"/>
  <c r="AN182" i="121"/>
  <c r="T182" i="121"/>
  <c r="F182" i="121"/>
  <c r="F183" i="121" s="1"/>
  <c r="F184" i="121" s="1"/>
  <c r="E182" i="121"/>
  <c r="D182" i="121"/>
  <c r="AN181" i="121"/>
  <c r="T181" i="121"/>
  <c r="H181" i="121"/>
  <c r="G181" i="121"/>
  <c r="AN180" i="121"/>
  <c r="T180" i="121"/>
  <c r="G180" i="121"/>
  <c r="AN179" i="121"/>
  <c r="T179" i="121"/>
  <c r="G179" i="121"/>
  <c r="AN178" i="121"/>
  <c r="T178" i="121"/>
  <c r="G178" i="121"/>
  <c r="AN177" i="121"/>
  <c r="T177" i="121"/>
  <c r="G177" i="121"/>
  <c r="AN176" i="121"/>
  <c r="T176" i="121"/>
  <c r="G176" i="121"/>
  <c r="AN175" i="121"/>
  <c r="T175" i="121"/>
  <c r="G175" i="121"/>
  <c r="AN174" i="121"/>
  <c r="T174" i="121"/>
  <c r="G174" i="121"/>
  <c r="AN173" i="121"/>
  <c r="T173" i="121"/>
  <c r="G173" i="121"/>
  <c r="AN172" i="121"/>
  <c r="T172" i="121"/>
  <c r="G172" i="121"/>
  <c r="F172" i="121"/>
  <c r="F173" i="121" s="1"/>
  <c r="F174" i="121" s="1"/>
  <c r="F175" i="121" s="1"/>
  <c r="F176" i="121" s="1"/>
  <c r="F177" i="121" s="1"/>
  <c r="F178" i="121" s="1"/>
  <c r="F179" i="121" s="1"/>
  <c r="F180" i="121" s="1"/>
  <c r="AN171" i="121"/>
  <c r="T171" i="121"/>
  <c r="G171" i="121"/>
  <c r="AN170" i="121"/>
  <c r="T170" i="121"/>
  <c r="G170" i="121"/>
  <c r="G168" i="121" s="1"/>
  <c r="F170" i="121"/>
  <c r="F171" i="121" s="1"/>
  <c r="AN169" i="121"/>
  <c r="T169" i="121"/>
  <c r="G169" i="121"/>
  <c r="F169" i="121"/>
  <c r="E169" i="121"/>
  <c r="E170" i="121" s="1"/>
  <c r="E171" i="121" s="1"/>
  <c r="E172" i="121" s="1"/>
  <c r="E173" i="121" s="1"/>
  <c r="E174" i="121" s="1"/>
  <c r="E175" i="121" s="1"/>
  <c r="E176" i="121" s="1"/>
  <c r="E177" i="121" s="1"/>
  <c r="E178" i="121" s="1"/>
  <c r="E179" i="121" s="1"/>
  <c r="E180" i="121" s="1"/>
  <c r="D169" i="121"/>
  <c r="D170" i="121" s="1"/>
  <c r="D171" i="121" s="1"/>
  <c r="D172" i="121" s="1"/>
  <c r="D173" i="121" s="1"/>
  <c r="D174" i="121" s="1"/>
  <c r="D175" i="121" s="1"/>
  <c r="D176" i="121" s="1"/>
  <c r="D177" i="121" s="1"/>
  <c r="D178" i="121" s="1"/>
  <c r="D179" i="121" s="1"/>
  <c r="D180" i="121" s="1"/>
  <c r="AN168" i="121"/>
  <c r="T168" i="121"/>
  <c r="H168" i="121"/>
  <c r="AN167" i="121"/>
  <c r="T167" i="121"/>
  <c r="H167" i="121"/>
  <c r="AN166" i="121"/>
  <c r="T166" i="121"/>
  <c r="H166" i="121"/>
  <c r="G166" i="121"/>
  <c r="AN165" i="121"/>
  <c r="T165" i="121"/>
  <c r="H165" i="121"/>
  <c r="H162" i="121" s="1"/>
  <c r="G165" i="121"/>
  <c r="F165" i="121"/>
  <c r="F166" i="121" s="1"/>
  <c r="F167" i="121" s="1"/>
  <c r="AN164" i="121"/>
  <c r="T164" i="121"/>
  <c r="H164" i="121"/>
  <c r="G164" i="121"/>
  <c r="E164" i="121"/>
  <c r="E165" i="121" s="1"/>
  <c r="E166" i="121" s="1"/>
  <c r="E167" i="121" s="1"/>
  <c r="AN163" i="121"/>
  <c r="T163" i="121"/>
  <c r="H163" i="121"/>
  <c r="G163" i="121"/>
  <c r="F163" i="121"/>
  <c r="F164" i="121" s="1"/>
  <c r="E163" i="121"/>
  <c r="D163" i="121"/>
  <c r="D164" i="121" s="1"/>
  <c r="D165" i="121" s="1"/>
  <c r="D166" i="121" s="1"/>
  <c r="D167" i="121" s="1"/>
  <c r="AN162" i="121"/>
  <c r="T162" i="121"/>
  <c r="AN161" i="121"/>
  <c r="T161" i="121"/>
  <c r="AN160" i="121"/>
  <c r="T160" i="121"/>
  <c r="AN159" i="121"/>
  <c r="T159" i="121"/>
  <c r="E159" i="121"/>
  <c r="E160" i="121" s="1"/>
  <c r="E161" i="121" s="1"/>
  <c r="AN158" i="121"/>
  <c r="T158" i="121"/>
  <c r="F158" i="121"/>
  <c r="F159" i="121" s="1"/>
  <c r="F160" i="121" s="1"/>
  <c r="F161" i="121" s="1"/>
  <c r="E158" i="121"/>
  <c r="D158" i="121"/>
  <c r="D159" i="121" s="1"/>
  <c r="D160" i="121" s="1"/>
  <c r="D161" i="121" s="1"/>
  <c r="AN157" i="121"/>
  <c r="T157" i="121"/>
  <c r="H157" i="121"/>
  <c r="G157" i="121"/>
  <c r="AN156" i="121"/>
  <c r="T156" i="121"/>
  <c r="AN155" i="121"/>
  <c r="T155" i="121"/>
  <c r="AN154" i="121"/>
  <c r="T154" i="121"/>
  <c r="F154" i="121"/>
  <c r="F155" i="121" s="1"/>
  <c r="F156" i="121" s="1"/>
  <c r="E154" i="121"/>
  <c r="E155" i="121" s="1"/>
  <c r="E156" i="121" s="1"/>
  <c r="AN153" i="121"/>
  <c r="T153" i="121"/>
  <c r="F153" i="121"/>
  <c r="E153" i="121"/>
  <c r="D153" i="121"/>
  <c r="D154" i="121" s="1"/>
  <c r="D155" i="121" s="1"/>
  <c r="D156" i="121" s="1"/>
  <c r="AN152" i="121"/>
  <c r="T152" i="121"/>
  <c r="H152" i="121"/>
  <c r="G152" i="121"/>
  <c r="AN151" i="121"/>
  <c r="T151" i="121"/>
  <c r="AN150" i="121"/>
  <c r="T150" i="121"/>
  <c r="D150" i="121"/>
  <c r="D151" i="121" s="1"/>
  <c r="AN149" i="121"/>
  <c r="T149" i="121"/>
  <c r="G149" i="121"/>
  <c r="F149" i="121"/>
  <c r="F150" i="121" s="1"/>
  <c r="F151" i="121" s="1"/>
  <c r="E149" i="121"/>
  <c r="E150" i="121" s="1"/>
  <c r="E151" i="121" s="1"/>
  <c r="D149" i="121"/>
  <c r="AN148" i="121"/>
  <c r="T148" i="121"/>
  <c r="H148" i="121"/>
  <c r="G148" i="121"/>
  <c r="AN147" i="121"/>
  <c r="T147" i="121"/>
  <c r="F147" i="121"/>
  <c r="D147" i="121"/>
  <c r="AN146" i="121"/>
  <c r="T146" i="121"/>
  <c r="H146" i="121"/>
  <c r="G146" i="121"/>
  <c r="AN145" i="121"/>
  <c r="T145" i="121"/>
  <c r="F145" i="121"/>
  <c r="E145" i="121"/>
  <c r="D145" i="121"/>
  <c r="AN144" i="121"/>
  <c r="T144" i="121"/>
  <c r="H144" i="121"/>
  <c r="G144" i="121"/>
  <c r="AN143" i="121"/>
  <c r="T143" i="121"/>
  <c r="AN142" i="121"/>
  <c r="T142" i="121"/>
  <c r="AN141" i="121"/>
  <c r="T141" i="121"/>
  <c r="D141" i="121"/>
  <c r="D142" i="121" s="1"/>
  <c r="D143" i="121" s="1"/>
  <c r="AN140" i="121"/>
  <c r="T140" i="121"/>
  <c r="F140" i="121"/>
  <c r="F141" i="121" s="1"/>
  <c r="F142" i="121" s="1"/>
  <c r="F143" i="121" s="1"/>
  <c r="E140" i="121"/>
  <c r="E141" i="121" s="1"/>
  <c r="E142" i="121" s="1"/>
  <c r="E143" i="121" s="1"/>
  <c r="D140" i="121"/>
  <c r="AN139" i="121"/>
  <c r="T139" i="121"/>
  <c r="H139" i="121"/>
  <c r="G139" i="121"/>
  <c r="AN138" i="121"/>
  <c r="T138" i="121"/>
  <c r="AN137" i="121"/>
  <c r="T137" i="121"/>
  <c r="F137" i="121"/>
  <c r="F138" i="121" s="1"/>
  <c r="AN136" i="121"/>
  <c r="T136" i="121"/>
  <c r="F136" i="121"/>
  <c r="D136" i="121"/>
  <c r="D137" i="121" s="1"/>
  <c r="D138" i="121" s="1"/>
  <c r="AN135" i="121"/>
  <c r="T135" i="121"/>
  <c r="F135" i="121"/>
  <c r="E135" i="121"/>
  <c r="E136" i="121" s="1"/>
  <c r="E137" i="121" s="1"/>
  <c r="E138" i="121" s="1"/>
  <c r="D135" i="121"/>
  <c r="AN134" i="121"/>
  <c r="T134" i="121"/>
  <c r="H134" i="121"/>
  <c r="G134" i="121"/>
  <c r="AN133" i="121"/>
  <c r="T133" i="121"/>
  <c r="AN132" i="121"/>
  <c r="T132" i="121"/>
  <c r="F132" i="121"/>
  <c r="F133" i="121" s="1"/>
  <c r="D132" i="121"/>
  <c r="D133" i="121" s="1"/>
  <c r="AN131" i="121"/>
  <c r="T131" i="121"/>
  <c r="F131" i="121"/>
  <c r="D131" i="121"/>
  <c r="AN130" i="121"/>
  <c r="T130" i="121"/>
  <c r="H130" i="121"/>
  <c r="G130" i="121"/>
  <c r="F130" i="121"/>
  <c r="AN129" i="121"/>
  <c r="T129" i="121"/>
  <c r="H129" i="121"/>
  <c r="G129" i="121"/>
  <c r="G128" i="121" s="1"/>
  <c r="F129" i="121"/>
  <c r="E129" i="121"/>
  <c r="E131" i="121" s="1"/>
  <c r="E132" i="121" s="1"/>
  <c r="E133" i="121" s="1"/>
  <c r="D129" i="121"/>
  <c r="D130" i="121" s="1"/>
  <c r="AN128" i="121"/>
  <c r="T128" i="121"/>
  <c r="H128" i="121"/>
  <c r="AN127" i="121"/>
  <c r="T127" i="121"/>
  <c r="AN126" i="121"/>
  <c r="T126" i="121"/>
  <c r="AN125" i="121"/>
  <c r="T125" i="121"/>
  <c r="E125" i="121"/>
  <c r="E126" i="121" s="1"/>
  <c r="E127" i="121" s="1"/>
  <c r="AN124" i="121"/>
  <c r="T124" i="121"/>
  <c r="E124" i="121"/>
  <c r="D124" i="121"/>
  <c r="D125" i="121" s="1"/>
  <c r="D126" i="121" s="1"/>
  <c r="D127" i="121" s="1"/>
  <c r="AN123" i="121"/>
  <c r="T123" i="121"/>
  <c r="F123" i="121"/>
  <c r="F124" i="121" s="1"/>
  <c r="F125" i="121" s="1"/>
  <c r="F126" i="121" s="1"/>
  <c r="F127" i="121" s="1"/>
  <c r="E123" i="121"/>
  <c r="D123" i="121"/>
  <c r="AN122" i="121"/>
  <c r="T122" i="121"/>
  <c r="F122" i="121"/>
  <c r="E122" i="121"/>
  <c r="D122" i="121"/>
  <c r="AN121" i="121"/>
  <c r="T121" i="121"/>
  <c r="H121" i="121"/>
  <c r="G121" i="121"/>
  <c r="AN120" i="121"/>
  <c r="T120" i="121"/>
  <c r="AN119" i="121"/>
  <c r="T119" i="121"/>
  <c r="AN118" i="121"/>
  <c r="T118" i="121"/>
  <c r="F118" i="121"/>
  <c r="F119" i="121" s="1"/>
  <c r="F120" i="121" s="1"/>
  <c r="D118" i="121"/>
  <c r="D119" i="121" s="1"/>
  <c r="D120" i="121" s="1"/>
  <c r="AN117" i="121"/>
  <c r="T117" i="121"/>
  <c r="F117" i="121"/>
  <c r="D117" i="121"/>
  <c r="AN116" i="121"/>
  <c r="T116" i="121"/>
  <c r="F116" i="121"/>
  <c r="E116" i="121"/>
  <c r="E117" i="121" s="1"/>
  <c r="E118" i="121" s="1"/>
  <c r="E119" i="121" s="1"/>
  <c r="E120" i="121" s="1"/>
  <c r="D116" i="121"/>
  <c r="AN115" i="121"/>
  <c r="T115" i="121"/>
  <c r="H115" i="121"/>
  <c r="G115" i="121"/>
  <c r="AN114" i="121"/>
  <c r="T114" i="121"/>
  <c r="E114" i="121"/>
  <c r="AN113" i="121"/>
  <c r="T113" i="121"/>
  <c r="H113" i="121"/>
  <c r="H111" i="121" s="1"/>
  <c r="G113" i="121"/>
  <c r="F113" i="121"/>
  <c r="F114" i="121" s="1"/>
  <c r="AN112" i="121"/>
  <c r="T112" i="121"/>
  <c r="F112" i="121"/>
  <c r="E112" i="121"/>
  <c r="E113" i="121" s="1"/>
  <c r="D112" i="121"/>
  <c r="D113" i="121" s="1"/>
  <c r="D114" i="121" s="1"/>
  <c r="AN111" i="121"/>
  <c r="T111" i="121"/>
  <c r="G111" i="121"/>
  <c r="AN110" i="121"/>
  <c r="T110" i="121"/>
  <c r="E110" i="121"/>
  <c r="AN109" i="121"/>
  <c r="T109" i="121"/>
  <c r="AN108" i="121"/>
  <c r="T108" i="121"/>
  <c r="D108" i="121"/>
  <c r="D109" i="121" s="1"/>
  <c r="D110" i="121" s="1"/>
  <c r="AN107" i="121"/>
  <c r="T107" i="121"/>
  <c r="F107" i="121"/>
  <c r="F108" i="121" s="1"/>
  <c r="F109" i="121" s="1"/>
  <c r="F110" i="121" s="1"/>
  <c r="E107" i="121"/>
  <c r="E108" i="121" s="1"/>
  <c r="E109" i="121" s="1"/>
  <c r="D107" i="121"/>
  <c r="AN106" i="121"/>
  <c r="T106" i="121"/>
  <c r="H106" i="121"/>
  <c r="G106" i="121"/>
  <c r="AN105" i="121"/>
  <c r="T105" i="121"/>
  <c r="AN104" i="121"/>
  <c r="T104" i="121"/>
  <c r="H104" i="121"/>
  <c r="G104" i="121"/>
  <c r="F104" i="121"/>
  <c r="F105" i="121" s="1"/>
  <c r="AN103" i="121"/>
  <c r="T103" i="121"/>
  <c r="H103" i="121"/>
  <c r="G103" i="121"/>
  <c r="F103" i="121"/>
  <c r="E103" i="121"/>
  <c r="E104" i="121" s="1"/>
  <c r="E105" i="121" s="1"/>
  <c r="D103" i="121"/>
  <c r="D104" i="121" s="1"/>
  <c r="D105" i="121" s="1"/>
  <c r="AN102" i="121"/>
  <c r="T102" i="121"/>
  <c r="G102" i="121"/>
  <c r="AN101" i="121"/>
  <c r="T101" i="121"/>
  <c r="E101" i="121"/>
  <c r="AN100" i="121"/>
  <c r="T100" i="121"/>
  <c r="E100" i="121"/>
  <c r="AN99" i="121"/>
  <c r="T99" i="121"/>
  <c r="F99" i="121"/>
  <c r="F100" i="121" s="1"/>
  <c r="F101" i="121" s="1"/>
  <c r="E99" i="121"/>
  <c r="D99" i="121"/>
  <c r="D100" i="121" s="1"/>
  <c r="D101" i="121" s="1"/>
  <c r="AN98" i="121"/>
  <c r="T98" i="121"/>
  <c r="H98" i="121"/>
  <c r="G98" i="121"/>
  <c r="AN97" i="121"/>
  <c r="T97" i="121"/>
  <c r="D97" i="121"/>
  <c r="AN96" i="121"/>
  <c r="T96" i="121"/>
  <c r="F96" i="121"/>
  <c r="F97" i="121" s="1"/>
  <c r="E96" i="121"/>
  <c r="E97" i="121" s="1"/>
  <c r="D96" i="121"/>
  <c r="AN95" i="121"/>
  <c r="T95" i="121"/>
  <c r="F95" i="121"/>
  <c r="E95" i="121"/>
  <c r="D95" i="121"/>
  <c r="AN94" i="121"/>
  <c r="T94" i="121"/>
  <c r="H94" i="121"/>
  <c r="G94" i="121"/>
  <c r="AN93" i="121"/>
  <c r="T93" i="121"/>
  <c r="F93" i="121"/>
  <c r="D93" i="121"/>
  <c r="AN92" i="121"/>
  <c r="T92" i="121"/>
  <c r="F92" i="121"/>
  <c r="E92" i="121"/>
  <c r="E93" i="121" s="1"/>
  <c r="D92" i="121"/>
  <c r="AN91" i="121"/>
  <c r="T91" i="121"/>
  <c r="H91" i="121"/>
  <c r="G91" i="121"/>
  <c r="AN90" i="121"/>
  <c r="T90" i="121"/>
  <c r="AN89" i="121"/>
  <c r="T89" i="121"/>
  <c r="AN88" i="121"/>
  <c r="T88" i="121"/>
  <c r="AN87" i="121"/>
  <c r="T87" i="121"/>
  <c r="AN86" i="121"/>
  <c r="T86" i="121"/>
  <c r="AN85" i="121"/>
  <c r="T85" i="121"/>
  <c r="F85" i="121"/>
  <c r="F86" i="121" s="1"/>
  <c r="F87" i="121" s="1"/>
  <c r="F88" i="121" s="1"/>
  <c r="F89" i="121" s="1"/>
  <c r="F90" i="121" s="1"/>
  <c r="AN84" i="121"/>
  <c r="T84" i="121"/>
  <c r="F84" i="121"/>
  <c r="E84" i="121"/>
  <c r="E85" i="121" s="1"/>
  <c r="E86" i="121" s="1"/>
  <c r="E87" i="121" s="1"/>
  <c r="E88" i="121" s="1"/>
  <c r="E89" i="121" s="1"/>
  <c r="E90" i="121" s="1"/>
  <c r="D84" i="121"/>
  <c r="D85" i="121" s="1"/>
  <c r="D86" i="121" s="1"/>
  <c r="D87" i="121" s="1"/>
  <c r="D88" i="121" s="1"/>
  <c r="D89" i="121" s="1"/>
  <c r="D90" i="121" s="1"/>
  <c r="AN83" i="121"/>
  <c r="T83" i="121"/>
  <c r="H83" i="121"/>
  <c r="G83" i="121"/>
  <c r="AN82" i="121"/>
  <c r="T82" i="121"/>
  <c r="D82" i="121"/>
  <c r="AN81" i="121"/>
  <c r="T81" i="121"/>
  <c r="E81" i="121"/>
  <c r="E82" i="121" s="1"/>
  <c r="D81" i="121"/>
  <c r="AN80" i="121"/>
  <c r="T80" i="121"/>
  <c r="F80" i="121"/>
  <c r="F81" i="121" s="1"/>
  <c r="F82" i="121" s="1"/>
  <c r="E80" i="121"/>
  <c r="D80" i="121"/>
  <c r="AN79" i="121"/>
  <c r="T79" i="121"/>
  <c r="H79" i="121"/>
  <c r="G79" i="121"/>
  <c r="AN78" i="121"/>
  <c r="T78" i="121"/>
  <c r="AN77" i="121"/>
  <c r="T77" i="121"/>
  <c r="AN76" i="121"/>
  <c r="T76" i="121"/>
  <c r="AN75" i="121"/>
  <c r="T75" i="121"/>
  <c r="AN74" i="121"/>
  <c r="T74" i="121"/>
  <c r="AN73" i="121"/>
  <c r="T73" i="121"/>
  <c r="AN72" i="121"/>
  <c r="T72" i="121"/>
  <c r="AN71" i="121"/>
  <c r="T71" i="121"/>
  <c r="AN70" i="121"/>
  <c r="T70" i="121"/>
  <c r="D70" i="121"/>
  <c r="D71" i="121" s="1"/>
  <c r="D72" i="121" s="1"/>
  <c r="D73" i="121" s="1"/>
  <c r="D74" i="121" s="1"/>
  <c r="D75" i="121" s="1"/>
  <c r="D76" i="121" s="1"/>
  <c r="D77" i="121" s="1"/>
  <c r="D78" i="121" s="1"/>
  <c r="AN69" i="121"/>
  <c r="T69" i="121"/>
  <c r="F69" i="121"/>
  <c r="F70" i="121" s="1"/>
  <c r="F71" i="121" s="1"/>
  <c r="F72" i="121" s="1"/>
  <c r="F73" i="121" s="1"/>
  <c r="F74" i="121" s="1"/>
  <c r="F75" i="121" s="1"/>
  <c r="F76" i="121" s="1"/>
  <c r="F77" i="121" s="1"/>
  <c r="F78" i="121" s="1"/>
  <c r="E69" i="121"/>
  <c r="E70" i="121" s="1"/>
  <c r="E71" i="121" s="1"/>
  <c r="E72" i="121" s="1"/>
  <c r="E73" i="121" s="1"/>
  <c r="E74" i="121" s="1"/>
  <c r="E75" i="121" s="1"/>
  <c r="E76" i="121" s="1"/>
  <c r="E77" i="121" s="1"/>
  <c r="E78" i="121" s="1"/>
  <c r="D69" i="121"/>
  <c r="AN68" i="121"/>
  <c r="T68" i="121"/>
  <c r="H68" i="121"/>
  <c r="G68" i="121"/>
  <c r="AN67" i="121"/>
  <c r="T67" i="121"/>
  <c r="AN66" i="121"/>
  <c r="T66" i="121"/>
  <c r="F66" i="121"/>
  <c r="F67" i="121" s="1"/>
  <c r="AN65" i="121"/>
  <c r="T65" i="121"/>
  <c r="F65" i="121"/>
  <c r="D65" i="121"/>
  <c r="D66" i="121" s="1"/>
  <c r="D67" i="121" s="1"/>
  <c r="AN64" i="121"/>
  <c r="T64" i="121"/>
  <c r="F64" i="121"/>
  <c r="E64" i="121"/>
  <c r="E65" i="121" s="1"/>
  <c r="E66" i="121" s="1"/>
  <c r="E67" i="121" s="1"/>
  <c r="D64" i="121"/>
  <c r="AN63" i="121"/>
  <c r="T63" i="121"/>
  <c r="H63" i="121"/>
  <c r="G63" i="121"/>
  <c r="AN62" i="121"/>
  <c r="T62" i="121"/>
  <c r="E62" i="121"/>
  <c r="AN61" i="121"/>
  <c r="T61" i="121"/>
  <c r="F61" i="121"/>
  <c r="F62" i="121" s="1"/>
  <c r="E61" i="121"/>
  <c r="D61" i="121"/>
  <c r="D62" i="121" s="1"/>
  <c r="AN60" i="121"/>
  <c r="T60" i="121"/>
  <c r="H60" i="121"/>
  <c r="G60" i="121"/>
  <c r="AN59" i="121"/>
  <c r="T59" i="121"/>
  <c r="AN58" i="121"/>
  <c r="T58" i="121"/>
  <c r="D58" i="121"/>
  <c r="D59" i="121" s="1"/>
  <c r="AN57" i="121"/>
  <c r="T57" i="121"/>
  <c r="F57" i="121"/>
  <c r="F58" i="121" s="1"/>
  <c r="F59" i="121" s="1"/>
  <c r="E57" i="121"/>
  <c r="E58" i="121" s="1"/>
  <c r="E59" i="121" s="1"/>
  <c r="D57" i="121"/>
  <c r="AN56" i="121"/>
  <c r="T56" i="121"/>
  <c r="H56" i="121"/>
  <c r="G56" i="121"/>
  <c r="AN55" i="121"/>
  <c r="T55" i="121"/>
  <c r="H55" i="121"/>
  <c r="H52" i="121" s="1"/>
  <c r="G55" i="121"/>
  <c r="G52" i="121" s="1"/>
  <c r="AN54" i="121"/>
  <c r="T54" i="121"/>
  <c r="E54" i="121"/>
  <c r="E55" i="121" s="1"/>
  <c r="AN53" i="121"/>
  <c r="T53" i="121"/>
  <c r="F53" i="121"/>
  <c r="F54" i="121" s="1"/>
  <c r="F55" i="121" s="1"/>
  <c r="E53" i="121"/>
  <c r="D53" i="121"/>
  <c r="D54" i="121" s="1"/>
  <c r="D55" i="121" s="1"/>
  <c r="AN52" i="121"/>
  <c r="T52" i="121"/>
  <c r="AN51" i="121"/>
  <c r="T51" i="121"/>
  <c r="F51" i="121"/>
  <c r="E51" i="121"/>
  <c r="D51" i="121"/>
  <c r="AN50" i="121"/>
  <c r="T50" i="121"/>
  <c r="H50" i="121"/>
  <c r="G50" i="121"/>
  <c r="AN49" i="121"/>
  <c r="T49" i="121"/>
  <c r="F49" i="121"/>
  <c r="E49" i="121"/>
  <c r="D49" i="121"/>
  <c r="AN48" i="121"/>
  <c r="T48" i="121"/>
  <c r="H48" i="121"/>
  <c r="G48" i="121"/>
  <c r="AN47" i="121"/>
  <c r="T47" i="121"/>
  <c r="E47" i="121"/>
  <c r="D47" i="121"/>
  <c r="AN46" i="121"/>
  <c r="T46" i="121"/>
  <c r="F46" i="121"/>
  <c r="F47" i="121" s="1"/>
  <c r="E46" i="121"/>
  <c r="D46" i="121"/>
  <c r="AN45" i="121"/>
  <c r="T45" i="121"/>
  <c r="F45" i="121"/>
  <c r="E45" i="121"/>
  <c r="D45" i="121"/>
  <c r="AN44" i="121"/>
  <c r="T44" i="121"/>
  <c r="H44" i="121"/>
  <c r="G44" i="121"/>
  <c r="AN43" i="121"/>
  <c r="T43" i="121"/>
  <c r="AN42" i="121"/>
  <c r="T42" i="121"/>
  <c r="AN41" i="121"/>
  <c r="T41" i="121"/>
  <c r="F41" i="121"/>
  <c r="F42" i="121" s="1"/>
  <c r="F43" i="121" s="1"/>
  <c r="D41" i="121"/>
  <c r="D42" i="121" s="1"/>
  <c r="D43" i="121" s="1"/>
  <c r="AN40" i="121"/>
  <c r="T40" i="121"/>
  <c r="F40" i="121"/>
  <c r="D40" i="121"/>
  <c r="AN39" i="121"/>
  <c r="T39" i="121"/>
  <c r="F39" i="121"/>
  <c r="E39" i="121"/>
  <c r="E40" i="121" s="1"/>
  <c r="E41" i="121" s="1"/>
  <c r="E42" i="121" s="1"/>
  <c r="E43" i="121" s="1"/>
  <c r="D39" i="121"/>
  <c r="AN38" i="121"/>
  <c r="T38" i="121"/>
  <c r="H38" i="121"/>
  <c r="G38" i="121"/>
  <c r="AN37" i="121"/>
  <c r="T37" i="121"/>
  <c r="AN36" i="121"/>
  <c r="T36" i="121"/>
  <c r="AN35" i="121"/>
  <c r="T35" i="121"/>
  <c r="AN34" i="121"/>
  <c r="T34" i="121"/>
  <c r="AN33" i="121"/>
  <c r="T33" i="121"/>
  <c r="AN32" i="121"/>
  <c r="T32" i="121"/>
  <c r="AN31" i="121"/>
  <c r="T31" i="121"/>
  <c r="AN30" i="121"/>
  <c r="T30" i="121"/>
  <c r="AN29" i="121"/>
  <c r="T29" i="121"/>
  <c r="AN28" i="121"/>
  <c r="T28" i="121"/>
  <c r="F28" i="121"/>
  <c r="F29" i="121" s="1"/>
  <c r="F30" i="121" s="1"/>
  <c r="F31" i="121" s="1"/>
  <c r="F32" i="121" s="1"/>
  <c r="F33" i="121" s="1"/>
  <c r="F34" i="121" s="1"/>
  <c r="F35" i="121" s="1"/>
  <c r="F36" i="121" s="1"/>
  <c r="F37" i="121" s="1"/>
  <c r="D28" i="121"/>
  <c r="D29" i="121" s="1"/>
  <c r="D30" i="121" s="1"/>
  <c r="D31" i="121" s="1"/>
  <c r="D32" i="121" s="1"/>
  <c r="D33" i="121" s="1"/>
  <c r="D34" i="121" s="1"/>
  <c r="D35" i="121" s="1"/>
  <c r="D36" i="121" s="1"/>
  <c r="D37" i="121" s="1"/>
  <c r="AN27" i="121"/>
  <c r="T27" i="121"/>
  <c r="F27" i="121"/>
  <c r="D27" i="121"/>
  <c r="AN26" i="121"/>
  <c r="T26" i="121"/>
  <c r="F26" i="121"/>
  <c r="E26" i="121"/>
  <c r="E27" i="121" s="1"/>
  <c r="E28" i="121" s="1"/>
  <c r="E29" i="121" s="1"/>
  <c r="E30" i="121" s="1"/>
  <c r="E31" i="121" s="1"/>
  <c r="E32" i="121" s="1"/>
  <c r="E33" i="121" s="1"/>
  <c r="E34" i="121" s="1"/>
  <c r="E35" i="121" s="1"/>
  <c r="E36" i="121" s="1"/>
  <c r="E37" i="121" s="1"/>
  <c r="D26" i="121"/>
  <c r="AN25" i="121"/>
  <c r="T25" i="121"/>
  <c r="H25" i="121"/>
  <c r="G25" i="121"/>
  <c r="AN24" i="121"/>
  <c r="T24" i="121"/>
  <c r="AN23" i="121"/>
  <c r="T23" i="121"/>
  <c r="AN22" i="121"/>
  <c r="T22" i="121"/>
  <c r="AN21" i="121"/>
  <c r="T21" i="121"/>
  <c r="AN20" i="121"/>
  <c r="T20" i="121"/>
  <c r="AN19" i="121"/>
  <c r="T19" i="121"/>
  <c r="AN18" i="121"/>
  <c r="T18" i="121"/>
  <c r="AN17" i="121"/>
  <c r="T17" i="121"/>
  <c r="AN16" i="121"/>
  <c r="T16" i="121"/>
  <c r="AN15" i="121"/>
  <c r="T15" i="121"/>
  <c r="AN14" i="121"/>
  <c r="T14" i="121"/>
  <c r="AN13" i="121"/>
  <c r="T13" i="121"/>
  <c r="AN12" i="121"/>
  <c r="T12" i="121"/>
  <c r="AN11" i="121"/>
  <c r="T11" i="121"/>
  <c r="AN10" i="121"/>
  <c r="T10" i="121"/>
  <c r="AN9" i="121"/>
  <c r="T9" i="121"/>
  <c r="E9" i="121"/>
  <c r="E10" i="121" s="1"/>
  <c r="E11" i="121" s="1"/>
  <c r="E12" i="121" s="1"/>
  <c r="E13" i="121" s="1"/>
  <c r="E14" i="121" s="1"/>
  <c r="E15" i="121" s="1"/>
  <c r="E16" i="121" s="1"/>
  <c r="E17" i="121" s="1"/>
  <c r="E18" i="121" s="1"/>
  <c r="E19" i="121" s="1"/>
  <c r="E20" i="121" s="1"/>
  <c r="E21" i="121" s="1"/>
  <c r="E22" i="121" s="1"/>
  <c r="E23" i="121" s="1"/>
  <c r="E24" i="121" s="1"/>
  <c r="AN8" i="121"/>
  <c r="T8" i="121"/>
  <c r="F8" i="121"/>
  <c r="F9" i="121" s="1"/>
  <c r="F10" i="121" s="1"/>
  <c r="F11" i="121" s="1"/>
  <c r="F12" i="121" s="1"/>
  <c r="F13" i="121" s="1"/>
  <c r="F14" i="121" s="1"/>
  <c r="F15" i="121" s="1"/>
  <c r="F16" i="121" s="1"/>
  <c r="F17" i="121" s="1"/>
  <c r="F18" i="121" s="1"/>
  <c r="F19" i="121" s="1"/>
  <c r="F20" i="121" s="1"/>
  <c r="F21" i="121" s="1"/>
  <c r="F22" i="121" s="1"/>
  <c r="F23" i="121" s="1"/>
  <c r="F24" i="121" s="1"/>
  <c r="E8" i="121"/>
  <c r="D8" i="121"/>
  <c r="D9" i="121" s="1"/>
  <c r="D10" i="121" s="1"/>
  <c r="D11" i="121" s="1"/>
  <c r="D12" i="121" s="1"/>
  <c r="D13" i="121" s="1"/>
  <c r="D14" i="121" s="1"/>
  <c r="D15" i="121" s="1"/>
  <c r="D16" i="121" s="1"/>
  <c r="D17" i="121" s="1"/>
  <c r="D18" i="121" s="1"/>
  <c r="D19" i="121" s="1"/>
  <c r="D20" i="121" s="1"/>
  <c r="D21" i="121" s="1"/>
  <c r="D22" i="121" s="1"/>
  <c r="D23" i="121" s="1"/>
  <c r="D24" i="121" s="1"/>
  <c r="AN7" i="121"/>
  <c r="T7" i="121"/>
  <c r="T672" i="121" s="1"/>
  <c r="H7" i="121"/>
  <c r="G7" i="121"/>
  <c r="L5365" i="122"/>
  <c r="K5365" i="122"/>
  <c r="M5364" i="122"/>
  <c r="M5363" i="122"/>
  <c r="M5362" i="122"/>
  <c r="M5361" i="122"/>
  <c r="M5360" i="122"/>
  <c r="M5359" i="122"/>
  <c r="M5358" i="122"/>
  <c r="M5357" i="122"/>
  <c r="M5356" i="122"/>
  <c r="M5355" i="122"/>
  <c r="M5354" i="122"/>
  <c r="M5353" i="122"/>
  <c r="M5352" i="122"/>
  <c r="M5351" i="122"/>
  <c r="M5350" i="122"/>
  <c r="M5349" i="122"/>
  <c r="M5348" i="122"/>
  <c r="M5347" i="122"/>
  <c r="M5346" i="122"/>
  <c r="M5345" i="122"/>
  <c r="M5344" i="122"/>
  <c r="M5343" i="122"/>
  <c r="M5342" i="122"/>
  <c r="M5341" i="122"/>
  <c r="M5340" i="122"/>
  <c r="M5339" i="122"/>
  <c r="M5338" i="122"/>
  <c r="M5337" i="122"/>
  <c r="M5336" i="122"/>
  <c r="M5335" i="122"/>
  <c r="M5334" i="122"/>
  <c r="M5333" i="122"/>
  <c r="M5332" i="122"/>
  <c r="M5331" i="122"/>
  <c r="M5330" i="122"/>
  <c r="M5329" i="122"/>
  <c r="M5328" i="122"/>
  <c r="M5327" i="122"/>
  <c r="M5326" i="122"/>
  <c r="M5325" i="122"/>
  <c r="M5324" i="122"/>
  <c r="M5323" i="122"/>
  <c r="M5322" i="122"/>
  <c r="M5321" i="122"/>
  <c r="M5320" i="122"/>
  <c r="M5319" i="122"/>
  <c r="M5318" i="122"/>
  <c r="M5317" i="122"/>
  <c r="M5316" i="122"/>
  <c r="M5315" i="122"/>
  <c r="M5314" i="122"/>
  <c r="M5313" i="122"/>
  <c r="M5312" i="122"/>
  <c r="M5311" i="122"/>
  <c r="M5310" i="122"/>
  <c r="M5309" i="122"/>
  <c r="M5308" i="122"/>
  <c r="M5307" i="122"/>
  <c r="M5306" i="122"/>
  <c r="M5305" i="122"/>
  <c r="M5304" i="122"/>
  <c r="M5303" i="122"/>
  <c r="M5302" i="122"/>
  <c r="M5301" i="122"/>
  <c r="M5300" i="122"/>
  <c r="M5299" i="122"/>
  <c r="M5298" i="122"/>
  <c r="M5297" i="122"/>
  <c r="M5296" i="122"/>
  <c r="M5295" i="122"/>
  <c r="M5294" i="122"/>
  <c r="M5293" i="122"/>
  <c r="M5292" i="122"/>
  <c r="M5291" i="122"/>
  <c r="M5290" i="122"/>
  <c r="M5289" i="122"/>
  <c r="M5288" i="122"/>
  <c r="M5287" i="122"/>
  <c r="M5286" i="122"/>
  <c r="M5285" i="122"/>
  <c r="M5284" i="122"/>
  <c r="M5283" i="122"/>
  <c r="M5282" i="122"/>
  <c r="M5281" i="122"/>
  <c r="M5280" i="122"/>
  <c r="M5279" i="122"/>
  <c r="M5278" i="122"/>
  <c r="M5277" i="122"/>
  <c r="M5276" i="122"/>
  <c r="M5275" i="122"/>
  <c r="M5274" i="122"/>
  <c r="M5273" i="122"/>
  <c r="M5272" i="122"/>
  <c r="M5271" i="122"/>
  <c r="M5270" i="122"/>
  <c r="M5269" i="122"/>
  <c r="M5268" i="122"/>
  <c r="M5267" i="122"/>
  <c r="M5266" i="122"/>
  <c r="M5265" i="122"/>
  <c r="M5264" i="122"/>
  <c r="M5263" i="122"/>
  <c r="M5262" i="122"/>
  <c r="M5261" i="122"/>
  <c r="M5260" i="122"/>
  <c r="M5259" i="122"/>
  <c r="M5258" i="122"/>
  <c r="M5257" i="122"/>
  <c r="M5256" i="122"/>
  <c r="M5255" i="122"/>
  <c r="M5254" i="122"/>
  <c r="M5253" i="122"/>
  <c r="M5252" i="122"/>
  <c r="M5251" i="122"/>
  <c r="M5250" i="122"/>
  <c r="M5249" i="122"/>
  <c r="M5248" i="122"/>
  <c r="M5247" i="122"/>
  <c r="M5246" i="122"/>
  <c r="M5245" i="122"/>
  <c r="M5244" i="122"/>
  <c r="M5243" i="122"/>
  <c r="M5242" i="122"/>
  <c r="M5241" i="122"/>
  <c r="M5240" i="122"/>
  <c r="M5239" i="122"/>
  <c r="M5238" i="122"/>
  <c r="M5237" i="122"/>
  <c r="M5236" i="122"/>
  <c r="M5235" i="122"/>
  <c r="M5234" i="122"/>
  <c r="M5233" i="122"/>
  <c r="M5232" i="122"/>
  <c r="M5231" i="122"/>
  <c r="M5230" i="122"/>
  <c r="M5229" i="122"/>
  <c r="M5228" i="122"/>
  <c r="M5227" i="122"/>
  <c r="M5226" i="122"/>
  <c r="M5225" i="122"/>
  <c r="M5224" i="122"/>
  <c r="M5223" i="122"/>
  <c r="M5222" i="122"/>
  <c r="M5221" i="122"/>
  <c r="M5220" i="122"/>
  <c r="M5219" i="122"/>
  <c r="M5218" i="122"/>
  <c r="M5217" i="122"/>
  <c r="M5216" i="122"/>
  <c r="M5215" i="122"/>
  <c r="M5214" i="122"/>
  <c r="M5213" i="122"/>
  <c r="M5212" i="122"/>
  <c r="M5211" i="122"/>
  <c r="M5210" i="122"/>
  <c r="M5209" i="122"/>
  <c r="M5208" i="122"/>
  <c r="M5207" i="122"/>
  <c r="M5206" i="122"/>
  <c r="M5205" i="122"/>
  <c r="M5204" i="122"/>
  <c r="M5203" i="122"/>
  <c r="M5202" i="122"/>
  <c r="M5201" i="122"/>
  <c r="M5200" i="122"/>
  <c r="M5199" i="122"/>
  <c r="M5198" i="122"/>
  <c r="M5197" i="122"/>
  <c r="M5196" i="122"/>
  <c r="M5195" i="122"/>
  <c r="M5194" i="122"/>
  <c r="M5193" i="122"/>
  <c r="M5192" i="122"/>
  <c r="M5191" i="122"/>
  <c r="M5190" i="122"/>
  <c r="M5189" i="122"/>
  <c r="M5188" i="122"/>
  <c r="M5187" i="122"/>
  <c r="M5186" i="122"/>
  <c r="M5185" i="122"/>
  <c r="M5184" i="122"/>
  <c r="M5183" i="122"/>
  <c r="M5182" i="122"/>
  <c r="M5181" i="122"/>
  <c r="M5180" i="122"/>
  <c r="M5179" i="122"/>
  <c r="M5178" i="122"/>
  <c r="M5177" i="122"/>
  <c r="M5176" i="122"/>
  <c r="M5175" i="122"/>
  <c r="M5174" i="122"/>
  <c r="M5173" i="122"/>
  <c r="M5172" i="122"/>
  <c r="M5171" i="122"/>
  <c r="M5170" i="122"/>
  <c r="M5169" i="122"/>
  <c r="M5168" i="122"/>
  <c r="M5167" i="122"/>
  <c r="M5166" i="122"/>
  <c r="M5165" i="122"/>
  <c r="M5164" i="122"/>
  <c r="M5163" i="122"/>
  <c r="M5162" i="122"/>
  <c r="M5161" i="122"/>
  <c r="M5160" i="122"/>
  <c r="M5159" i="122"/>
  <c r="M5158" i="122"/>
  <c r="M5157" i="122"/>
  <c r="M5156" i="122"/>
  <c r="M5155" i="122"/>
  <c r="M5154" i="122"/>
  <c r="M5153" i="122"/>
  <c r="M5152" i="122"/>
  <c r="M5151" i="122"/>
  <c r="M5150" i="122"/>
  <c r="M5149" i="122"/>
  <c r="M5148" i="122"/>
  <c r="M5147" i="122"/>
  <c r="M5146" i="122"/>
  <c r="M5145" i="122"/>
  <c r="M5144" i="122"/>
  <c r="M5143" i="122"/>
  <c r="M5142" i="122"/>
  <c r="M5141" i="122"/>
  <c r="M5140" i="122"/>
  <c r="M5139" i="122"/>
  <c r="M5138" i="122"/>
  <c r="M5137" i="122"/>
  <c r="M5136" i="122"/>
  <c r="M5135" i="122"/>
  <c r="M5134" i="122"/>
  <c r="M5133" i="122"/>
  <c r="M5132" i="122"/>
  <c r="M5131" i="122"/>
  <c r="M5130" i="122"/>
  <c r="M5129" i="122"/>
  <c r="M5128" i="122"/>
  <c r="M5127" i="122"/>
  <c r="M5126" i="122"/>
  <c r="M5125" i="122"/>
  <c r="M5124" i="122"/>
  <c r="M5123" i="122"/>
  <c r="M5122" i="122"/>
  <c r="M5121" i="122"/>
  <c r="M5120" i="122"/>
  <c r="M5119" i="122"/>
  <c r="M5118" i="122"/>
  <c r="M5117" i="122"/>
  <c r="M5116" i="122"/>
  <c r="M5115" i="122"/>
  <c r="M5114" i="122"/>
  <c r="M5113" i="122"/>
  <c r="M5112" i="122"/>
  <c r="M5111" i="122"/>
  <c r="M5110" i="122"/>
  <c r="M5109" i="122"/>
  <c r="M5108" i="122"/>
  <c r="M5107" i="122"/>
  <c r="M5106" i="122"/>
  <c r="M5105" i="122"/>
  <c r="M5104" i="122"/>
  <c r="M5103" i="122"/>
  <c r="M5102" i="122"/>
  <c r="M5101" i="122"/>
  <c r="M5100" i="122"/>
  <c r="M5099" i="122"/>
  <c r="M5098" i="122"/>
  <c r="M5097" i="122"/>
  <c r="M5096" i="122"/>
  <c r="M5095" i="122"/>
  <c r="M5094" i="122"/>
  <c r="M5093" i="122"/>
  <c r="M5092" i="122"/>
  <c r="M5091" i="122"/>
  <c r="M5090" i="122"/>
  <c r="M5089" i="122"/>
  <c r="M5088" i="122"/>
  <c r="M5087" i="122"/>
  <c r="M5086" i="122"/>
  <c r="M5085" i="122"/>
  <c r="M5084" i="122"/>
  <c r="M5083" i="122"/>
  <c r="M5082" i="122"/>
  <c r="M5081" i="122"/>
  <c r="M5080" i="122"/>
  <c r="M5079" i="122"/>
  <c r="M5078" i="122"/>
  <c r="M5077" i="122"/>
  <c r="M5076" i="122"/>
  <c r="M5075" i="122"/>
  <c r="M5074" i="122"/>
  <c r="M5073" i="122"/>
  <c r="M5072" i="122"/>
  <c r="M5071" i="122"/>
  <c r="M5070" i="122"/>
  <c r="M5069" i="122"/>
  <c r="M5068" i="122"/>
  <c r="M5067" i="122"/>
  <c r="M5066" i="122"/>
  <c r="M5065" i="122"/>
  <c r="M5064" i="122"/>
  <c r="M5063" i="122"/>
  <c r="M5062" i="122"/>
  <c r="M5061" i="122"/>
  <c r="M5060" i="122"/>
  <c r="M5059" i="122"/>
  <c r="M5058" i="122"/>
  <c r="M5057" i="122"/>
  <c r="M5056" i="122"/>
  <c r="M5055" i="122"/>
  <c r="M5054" i="122"/>
  <c r="M5053" i="122"/>
  <c r="M5052" i="122"/>
  <c r="M5051" i="122"/>
  <c r="M5050" i="122"/>
  <c r="M5049" i="122"/>
  <c r="M5048" i="122"/>
  <c r="M5047" i="122"/>
  <c r="M5046" i="122"/>
  <c r="M5045" i="122"/>
  <c r="M5044" i="122"/>
  <c r="M5043" i="122"/>
  <c r="M5042" i="122"/>
  <c r="M5041" i="122"/>
  <c r="M5040" i="122"/>
  <c r="M5039" i="122"/>
  <c r="M5038" i="122"/>
  <c r="M5037" i="122"/>
  <c r="M5036" i="122"/>
  <c r="M5035" i="122"/>
  <c r="M5034" i="122"/>
  <c r="M5033" i="122"/>
  <c r="M5032" i="122"/>
  <c r="M5031" i="122"/>
  <c r="M5030" i="122"/>
  <c r="M5029" i="122"/>
  <c r="M5028" i="122"/>
  <c r="M5027" i="122"/>
  <c r="M5026" i="122"/>
  <c r="M5025" i="122"/>
  <c r="M5024" i="122"/>
  <c r="M5023" i="122"/>
  <c r="M5022" i="122"/>
  <c r="M5021" i="122"/>
  <c r="M5020" i="122"/>
  <c r="M5019" i="122"/>
  <c r="M5018" i="122"/>
  <c r="M5017" i="122"/>
  <c r="M5016" i="122"/>
  <c r="M5015" i="122"/>
  <c r="M5014" i="122"/>
  <c r="M5013" i="122"/>
  <c r="M5012" i="122"/>
  <c r="M5011" i="122"/>
  <c r="M5010" i="122"/>
  <c r="M5009" i="122"/>
  <c r="M5008" i="122"/>
  <c r="M5007" i="122"/>
  <c r="M5006" i="122"/>
  <c r="M5005" i="122"/>
  <c r="M5004" i="122"/>
  <c r="M5003" i="122"/>
  <c r="M5002" i="122"/>
  <c r="M5001" i="122"/>
  <c r="M5000" i="122"/>
  <c r="M4999" i="122"/>
  <c r="M4998" i="122"/>
  <c r="M4997" i="122"/>
  <c r="M4996" i="122"/>
  <c r="M4995" i="122"/>
  <c r="M4994" i="122"/>
  <c r="M4993" i="122"/>
  <c r="M4992" i="122"/>
  <c r="M4991" i="122"/>
  <c r="M4990" i="122"/>
  <c r="P4989" i="122"/>
  <c r="M4989" i="122"/>
  <c r="O4989" i="122" s="1"/>
  <c r="M4988" i="122"/>
  <c r="O4988" i="122" s="1"/>
  <c r="P4988" i="122" s="1"/>
  <c r="M4987" i="122"/>
  <c r="M4986" i="122"/>
  <c r="M4985" i="122"/>
  <c r="O4985" i="122" s="1"/>
  <c r="M4984" i="122"/>
  <c r="O4984" i="122" s="1"/>
  <c r="M4983" i="122"/>
  <c r="M4982" i="122"/>
  <c r="P4981" i="122"/>
  <c r="M4981" i="122"/>
  <c r="O4981" i="122" s="1"/>
  <c r="M4980" i="122"/>
  <c r="M4979" i="122"/>
  <c r="M4978" i="122"/>
  <c r="M4977" i="122"/>
  <c r="M4976" i="122"/>
  <c r="M4975" i="122"/>
  <c r="O4975" i="122" s="1"/>
  <c r="P4975" i="122" s="1"/>
  <c r="M4974" i="122"/>
  <c r="M4973" i="122"/>
  <c r="M4972" i="122"/>
  <c r="M4971" i="122"/>
  <c r="M4970" i="122"/>
  <c r="M4969" i="122"/>
  <c r="M4968" i="122"/>
  <c r="M4967" i="122"/>
  <c r="M4966" i="122"/>
  <c r="M4965" i="122"/>
  <c r="M4964" i="122"/>
  <c r="M4963" i="122"/>
  <c r="M4962" i="122"/>
  <c r="M4961" i="122"/>
  <c r="M4960" i="122"/>
  <c r="M4959" i="122"/>
  <c r="M4958" i="122"/>
  <c r="M4957" i="122"/>
  <c r="M4956" i="122"/>
  <c r="M4955" i="122"/>
  <c r="M4954" i="122"/>
  <c r="M4953" i="122"/>
  <c r="M4952" i="122"/>
  <c r="M4951" i="122"/>
  <c r="M4950" i="122"/>
  <c r="M4949" i="122"/>
  <c r="M4948" i="122"/>
  <c r="M4947" i="122"/>
  <c r="M4946" i="122"/>
  <c r="M4945" i="122"/>
  <c r="M4944" i="122"/>
  <c r="M4943" i="122"/>
  <c r="M4942" i="122"/>
  <c r="M4941" i="122"/>
  <c r="O4941" i="122" s="1"/>
  <c r="P4941" i="122" s="1"/>
  <c r="M4940" i="122"/>
  <c r="O4939" i="122"/>
  <c r="P4939" i="122" s="1"/>
  <c r="M4939" i="122"/>
  <c r="M4938" i="122"/>
  <c r="M4937" i="122"/>
  <c r="O4936" i="122"/>
  <c r="P4936" i="122" s="1"/>
  <c r="M4936" i="122"/>
  <c r="M4935" i="122"/>
  <c r="M4934" i="122"/>
  <c r="O4933" i="122"/>
  <c r="P4933" i="122" s="1"/>
  <c r="M4933" i="122"/>
  <c r="M4932" i="122"/>
  <c r="O4931" i="122"/>
  <c r="M4931" i="122"/>
  <c r="M4930" i="122"/>
  <c r="O4929" i="122"/>
  <c r="M4929" i="122"/>
  <c r="M4928" i="122"/>
  <c r="M4927" i="122"/>
  <c r="M4926" i="122"/>
  <c r="M4925" i="122"/>
  <c r="O4925" i="122" s="1"/>
  <c r="P4925" i="122" s="1"/>
  <c r="M4924" i="122"/>
  <c r="M4923" i="122"/>
  <c r="O4923" i="122" s="1"/>
  <c r="P4923" i="122" s="1"/>
  <c r="M4922" i="122"/>
  <c r="M4921" i="122"/>
  <c r="O4921" i="122" s="1"/>
  <c r="P4921" i="122" s="1"/>
  <c r="M4920" i="122"/>
  <c r="O4920" i="122" s="1"/>
  <c r="P4920" i="122" s="1"/>
  <c r="M4919" i="122"/>
  <c r="O4919" i="122" s="1"/>
  <c r="M4918" i="122"/>
  <c r="M4917" i="122"/>
  <c r="O4917" i="122" s="1"/>
  <c r="P4917" i="122" s="1"/>
  <c r="O4916" i="122"/>
  <c r="M4916" i="122"/>
  <c r="M4915" i="122"/>
  <c r="M4914" i="122"/>
  <c r="M4913" i="122"/>
  <c r="O4913" i="122" s="1"/>
  <c r="P4913" i="122" s="1"/>
  <c r="M4912" i="122"/>
  <c r="O4912" i="122" s="1"/>
  <c r="P4912" i="122" s="1"/>
  <c r="M4911" i="122"/>
  <c r="O4911" i="122" s="1"/>
  <c r="M4910" i="122"/>
  <c r="O4909" i="122"/>
  <c r="P4909" i="122" s="1"/>
  <c r="M4909" i="122"/>
  <c r="M4908" i="122"/>
  <c r="O4908" i="122" s="1"/>
  <c r="M4907" i="122"/>
  <c r="O4907" i="122" s="1"/>
  <c r="P4907" i="122" s="1"/>
  <c r="M4906" i="122"/>
  <c r="O4905" i="122"/>
  <c r="P4905" i="122" s="1"/>
  <c r="M4905" i="122"/>
  <c r="M4904" i="122"/>
  <c r="M4903" i="122"/>
  <c r="M4902" i="122"/>
  <c r="M4901" i="122"/>
  <c r="O4901" i="122" s="1"/>
  <c r="P4901" i="122" s="1"/>
  <c r="M4900" i="122"/>
  <c r="M4899" i="122"/>
  <c r="M4898" i="122"/>
  <c r="M4897" i="122"/>
  <c r="M4896" i="122"/>
  <c r="O4896" i="122" s="1"/>
  <c r="P4896" i="122" s="1"/>
  <c r="M4895" i="122"/>
  <c r="M4894" i="122"/>
  <c r="O4893" i="122"/>
  <c r="P4893" i="122" s="1"/>
  <c r="M4893" i="122"/>
  <c r="M4892" i="122"/>
  <c r="M4891" i="122"/>
  <c r="O4891" i="122" s="1"/>
  <c r="P4891" i="122" s="1"/>
  <c r="M4890" i="122"/>
  <c r="M4889" i="122"/>
  <c r="O4888" i="122"/>
  <c r="P4888" i="122" s="1"/>
  <c r="M4888" i="122"/>
  <c r="M4887" i="122"/>
  <c r="O4887" i="122" s="1"/>
  <c r="M4886" i="122"/>
  <c r="O4885" i="122"/>
  <c r="P4885" i="122" s="1"/>
  <c r="M4885" i="122"/>
  <c r="M4884" i="122"/>
  <c r="M4883" i="122"/>
  <c r="O4883" i="122" s="1"/>
  <c r="P4883" i="122" s="1"/>
  <c r="M4882" i="122"/>
  <c r="M4881" i="122"/>
  <c r="O4880" i="122"/>
  <c r="M4880" i="122"/>
  <c r="M4879" i="122"/>
  <c r="M4878" i="122"/>
  <c r="M4877" i="122"/>
  <c r="O4877" i="122" s="1"/>
  <c r="P4877" i="122" s="1"/>
  <c r="M4876" i="122"/>
  <c r="O4875" i="122"/>
  <c r="P4875" i="122" s="1"/>
  <c r="M4875" i="122"/>
  <c r="M4874" i="122"/>
  <c r="M4873" i="122"/>
  <c r="M4872" i="122"/>
  <c r="O4872" i="122" s="1"/>
  <c r="P4872" i="122" s="1"/>
  <c r="M4871" i="122"/>
  <c r="M4870" i="122"/>
  <c r="M4869" i="122"/>
  <c r="O4869" i="122" s="1"/>
  <c r="P4869" i="122" s="1"/>
  <c r="M4868" i="122"/>
  <c r="P4867" i="122"/>
  <c r="M4867" i="122"/>
  <c r="O4867" i="122" s="1"/>
  <c r="M4866" i="122"/>
  <c r="M4865" i="122"/>
  <c r="M4864" i="122"/>
  <c r="M4863" i="122"/>
  <c r="M4862" i="122"/>
  <c r="M4861" i="122"/>
  <c r="O4861" i="122" s="1"/>
  <c r="P4861" i="122" s="1"/>
  <c r="M4860" i="122"/>
  <c r="M4859" i="122"/>
  <c r="O4859" i="122" s="1"/>
  <c r="P4859" i="122" s="1"/>
  <c r="M4858" i="122"/>
  <c r="P4857" i="122"/>
  <c r="M4857" i="122"/>
  <c r="O4857" i="122" s="1"/>
  <c r="M4856" i="122"/>
  <c r="O4856" i="122" s="1"/>
  <c r="P4856" i="122" s="1"/>
  <c r="O4855" i="122"/>
  <c r="M4855" i="122"/>
  <c r="M4854" i="122"/>
  <c r="M4853" i="122"/>
  <c r="O4853" i="122" s="1"/>
  <c r="P4853" i="122" s="1"/>
  <c r="M4852" i="122"/>
  <c r="O4852" i="122" s="1"/>
  <c r="M4851" i="122"/>
  <c r="M4850" i="122"/>
  <c r="O4849" i="122"/>
  <c r="P4849" i="122" s="1"/>
  <c r="M4849" i="122"/>
  <c r="O4848" i="122"/>
  <c r="P4848" i="122" s="1"/>
  <c r="M4848" i="122"/>
  <c r="M4847" i="122"/>
  <c r="M4846" i="122"/>
  <c r="O4845" i="122"/>
  <c r="P4845" i="122" s="1"/>
  <c r="M4845" i="122"/>
  <c r="M4844" i="122"/>
  <c r="O4844" i="122" s="1"/>
  <c r="O4843" i="122"/>
  <c r="P4843" i="122" s="1"/>
  <c r="M4843" i="122"/>
  <c r="M4842" i="122"/>
  <c r="M4841" i="122"/>
  <c r="O4841" i="122" s="1"/>
  <c r="P4841" i="122" s="1"/>
  <c r="M4840" i="122"/>
  <c r="O4840" i="122" s="1"/>
  <c r="P4840" i="122" s="1"/>
  <c r="M4839" i="122"/>
  <c r="O4839" i="122" s="1"/>
  <c r="M4838" i="122"/>
  <c r="M4837" i="122"/>
  <c r="O4837" i="122" s="1"/>
  <c r="P4837" i="122" s="1"/>
  <c r="M4836" i="122"/>
  <c r="M4835" i="122"/>
  <c r="O4835" i="122" s="1"/>
  <c r="P4835" i="122" s="1"/>
  <c r="M4834" i="122"/>
  <c r="O4833" i="122"/>
  <c r="P4833" i="122" s="1"/>
  <c r="M4833" i="122"/>
  <c r="M4832" i="122"/>
  <c r="O4832" i="122" s="1"/>
  <c r="P4832" i="122" s="1"/>
  <c r="O4831" i="122"/>
  <c r="M4831" i="122"/>
  <c r="M4830" i="122"/>
  <c r="O4829" i="122"/>
  <c r="P4829" i="122" s="1"/>
  <c r="M4829" i="122"/>
  <c r="M4828" i="122"/>
  <c r="O4828" i="122" s="1"/>
  <c r="P4827" i="122"/>
  <c r="M4827" i="122"/>
  <c r="O4827" i="122" s="1"/>
  <c r="M4826" i="122"/>
  <c r="M4825" i="122"/>
  <c r="M4824" i="122"/>
  <c r="O4824" i="122" s="1"/>
  <c r="P4824" i="122" s="1"/>
  <c r="M4823" i="122"/>
  <c r="M4822" i="122"/>
  <c r="O4821" i="122"/>
  <c r="P4821" i="122" s="1"/>
  <c r="M4821" i="122"/>
  <c r="M4820" i="122"/>
  <c r="O4819" i="122"/>
  <c r="M4819" i="122"/>
  <c r="M4818" i="122"/>
  <c r="O4817" i="122"/>
  <c r="M4817" i="122"/>
  <c r="M4816" i="122"/>
  <c r="M4815" i="122"/>
  <c r="M4814" i="122"/>
  <c r="M4813" i="122"/>
  <c r="O4813" i="122" s="1"/>
  <c r="P4813" i="122" s="1"/>
  <c r="M4812" i="122"/>
  <c r="M4811" i="122"/>
  <c r="O4811" i="122" s="1"/>
  <c r="P4811" i="122" s="1"/>
  <c r="M4810" i="122"/>
  <c r="M4809" i="122"/>
  <c r="M4808" i="122"/>
  <c r="O4808" i="122" s="1"/>
  <c r="P4808" i="122" s="1"/>
  <c r="M4807" i="122"/>
  <c r="M4806" i="122"/>
  <c r="M4805" i="122"/>
  <c r="O4805" i="122" s="1"/>
  <c r="P4805" i="122" s="1"/>
  <c r="M4804" i="122"/>
  <c r="M4803" i="122"/>
  <c r="M4802" i="122"/>
  <c r="O4801" i="122"/>
  <c r="M4801" i="122"/>
  <c r="M4800" i="122"/>
  <c r="M4799" i="122"/>
  <c r="M4798" i="122"/>
  <c r="O4797" i="122"/>
  <c r="P4797" i="122" s="1"/>
  <c r="M4797" i="122"/>
  <c r="M4796" i="122"/>
  <c r="M4795" i="122"/>
  <c r="M4794" i="122"/>
  <c r="M4793" i="122"/>
  <c r="M4792" i="122"/>
  <c r="M4791" i="122"/>
  <c r="O4791" i="122" s="1"/>
  <c r="M4790" i="122"/>
  <c r="P4789" i="122"/>
  <c r="M4789" i="122"/>
  <c r="O4789" i="122" s="1"/>
  <c r="M4788" i="122"/>
  <c r="M4787" i="122"/>
  <c r="M4786" i="122"/>
  <c r="M4785" i="122"/>
  <c r="O4785" i="122" s="1"/>
  <c r="P4785" i="122" s="1"/>
  <c r="M4784" i="122"/>
  <c r="O4784" i="122" s="1"/>
  <c r="P4784" i="122" s="1"/>
  <c r="O4783" i="122"/>
  <c r="M4783" i="122"/>
  <c r="M4782" i="122"/>
  <c r="M4781" i="122"/>
  <c r="O4781" i="122" s="1"/>
  <c r="M4780" i="122"/>
  <c r="M4779" i="122"/>
  <c r="O4779" i="122" s="1"/>
  <c r="M4778" i="122"/>
  <c r="M4777" i="122"/>
  <c r="O4777" i="122" s="1"/>
  <c r="P4777" i="122" s="1"/>
  <c r="M4776" i="122"/>
  <c r="M4775" i="122"/>
  <c r="M4774" i="122"/>
  <c r="O4773" i="122"/>
  <c r="P4773" i="122" s="1"/>
  <c r="M4773" i="122"/>
  <c r="M4772" i="122"/>
  <c r="M4771" i="122"/>
  <c r="O4771" i="122" s="1"/>
  <c r="M4770" i="122"/>
  <c r="O4769" i="122"/>
  <c r="P4769" i="122" s="1"/>
  <c r="M4769" i="122"/>
  <c r="M4768" i="122"/>
  <c r="M4767" i="122"/>
  <c r="M4766" i="122"/>
  <c r="M4765" i="122"/>
  <c r="M4764" i="122"/>
  <c r="M4763" i="122"/>
  <c r="O4763" i="122" s="1"/>
  <c r="M4762" i="122"/>
  <c r="O4761" i="122"/>
  <c r="M4761" i="122"/>
  <c r="M4760" i="122"/>
  <c r="O4760" i="122" s="1"/>
  <c r="M4759" i="122"/>
  <c r="M4758" i="122"/>
  <c r="O4757" i="122"/>
  <c r="P4757" i="122" s="1"/>
  <c r="M4757" i="122"/>
  <c r="M4756" i="122"/>
  <c r="M4755" i="122"/>
  <c r="M4754" i="122"/>
  <c r="M4753" i="122"/>
  <c r="M4752" i="122"/>
  <c r="M4751" i="122"/>
  <c r="M4750" i="122"/>
  <c r="M4749" i="122"/>
  <c r="O4749" i="122" s="1"/>
  <c r="P4749" i="122" s="1"/>
  <c r="M4748" i="122"/>
  <c r="M4747" i="122"/>
  <c r="M4746" i="122"/>
  <c r="M4745" i="122"/>
  <c r="M4744" i="122"/>
  <c r="M4743" i="122"/>
  <c r="M4742" i="122"/>
  <c r="M4741" i="122"/>
  <c r="O4741" i="122" s="1"/>
  <c r="P4741" i="122" s="1"/>
  <c r="M4740" i="122"/>
  <c r="P4739" i="122"/>
  <c r="M4739" i="122"/>
  <c r="O4739" i="122" s="1"/>
  <c r="M4738" i="122"/>
  <c r="M4737" i="122"/>
  <c r="M4736" i="122"/>
  <c r="M4735" i="122"/>
  <c r="M4734" i="122"/>
  <c r="O4733" i="122"/>
  <c r="P4733" i="122" s="1"/>
  <c r="M4733" i="122"/>
  <c r="M4732" i="122"/>
  <c r="M4731" i="122"/>
  <c r="O4731" i="122" s="1"/>
  <c r="M4730" i="122"/>
  <c r="O4729" i="122"/>
  <c r="P4729" i="122" s="1"/>
  <c r="M4729" i="122"/>
  <c r="M4728" i="122"/>
  <c r="O4728" i="122" s="1"/>
  <c r="P4728" i="122" s="1"/>
  <c r="M4727" i="122"/>
  <c r="M4726" i="122"/>
  <c r="O4725" i="122"/>
  <c r="P4725" i="122" s="1"/>
  <c r="M4725" i="122"/>
  <c r="M4724" i="122"/>
  <c r="M4723" i="122"/>
  <c r="O4723" i="122" s="1"/>
  <c r="M4722" i="122"/>
  <c r="M4721" i="122"/>
  <c r="M4720" i="122"/>
  <c r="M4719" i="122"/>
  <c r="M4718" i="122"/>
  <c r="O4717" i="122"/>
  <c r="P4717" i="122" s="1"/>
  <c r="M4717" i="122"/>
  <c r="M4716" i="122"/>
  <c r="M4715" i="122"/>
  <c r="O4715" i="122" s="1"/>
  <c r="M4714" i="122"/>
  <c r="M4713" i="122"/>
  <c r="M4712" i="122"/>
  <c r="M4711" i="122"/>
  <c r="M4710" i="122"/>
  <c r="M4709" i="122"/>
  <c r="O4709" i="122" s="1"/>
  <c r="P4709" i="122" s="1"/>
  <c r="M4708" i="122"/>
  <c r="M4707" i="122"/>
  <c r="O4707" i="122" s="1"/>
  <c r="M4706" i="122"/>
  <c r="M4705" i="122"/>
  <c r="O4704" i="122"/>
  <c r="M4704" i="122"/>
  <c r="M4703" i="122"/>
  <c r="M4702" i="122"/>
  <c r="O4701" i="122"/>
  <c r="P4701" i="122" s="1"/>
  <c r="M4701" i="122"/>
  <c r="M4700" i="122"/>
  <c r="L4695" i="122"/>
  <c r="K4695" i="122"/>
  <c r="M4694" i="122"/>
  <c r="M4693" i="122"/>
  <c r="M4692" i="122"/>
  <c r="M4691" i="122"/>
  <c r="M4690" i="122"/>
  <c r="M4689" i="122"/>
  <c r="M4688" i="122"/>
  <c r="M4687" i="122"/>
  <c r="M4686" i="122"/>
  <c r="M4685" i="122"/>
  <c r="M4684" i="122"/>
  <c r="M4683" i="122"/>
  <c r="M4682" i="122"/>
  <c r="M4681" i="122"/>
  <c r="M4680" i="122"/>
  <c r="M4679" i="122"/>
  <c r="M4678" i="122"/>
  <c r="M4677" i="122"/>
  <c r="M4676" i="122"/>
  <c r="M4675" i="122"/>
  <c r="M4674" i="122"/>
  <c r="M4673" i="122"/>
  <c r="M4672" i="122"/>
  <c r="M4671" i="122"/>
  <c r="M4670" i="122"/>
  <c r="M4669" i="122"/>
  <c r="M4668" i="122"/>
  <c r="M4667" i="122"/>
  <c r="M4666" i="122"/>
  <c r="M4665" i="122"/>
  <c r="M4664" i="122"/>
  <c r="M4663" i="122"/>
  <c r="M4662" i="122"/>
  <c r="M4661" i="122"/>
  <c r="M4660" i="122"/>
  <c r="M4659" i="122"/>
  <c r="M4658" i="122"/>
  <c r="M4657" i="122"/>
  <c r="M4656" i="122"/>
  <c r="M4655" i="122"/>
  <c r="M4654" i="122"/>
  <c r="M4653" i="122"/>
  <c r="M4652" i="122"/>
  <c r="M4651" i="122"/>
  <c r="M4650" i="122"/>
  <c r="M4649" i="122"/>
  <c r="M4648" i="122"/>
  <c r="M4647" i="122"/>
  <c r="M4646" i="122"/>
  <c r="M4645" i="122"/>
  <c r="M4644" i="122"/>
  <c r="M4643" i="122"/>
  <c r="M4642" i="122"/>
  <c r="M4641" i="122"/>
  <c r="M4640" i="122"/>
  <c r="M4639" i="122"/>
  <c r="M4638" i="122"/>
  <c r="M4637" i="122"/>
  <c r="M4636" i="122"/>
  <c r="M4635" i="122"/>
  <c r="M4634" i="122"/>
  <c r="M4633" i="122"/>
  <c r="M4632" i="122"/>
  <c r="M4631" i="122"/>
  <c r="M4630" i="122"/>
  <c r="M4629" i="122"/>
  <c r="M4628" i="122"/>
  <c r="M4627" i="122"/>
  <c r="M4626" i="122"/>
  <c r="M4625" i="122"/>
  <c r="M4624" i="122"/>
  <c r="M4623" i="122"/>
  <c r="M4622" i="122"/>
  <c r="M4621" i="122"/>
  <c r="M4620" i="122"/>
  <c r="M4619" i="122"/>
  <c r="M4618" i="122"/>
  <c r="M4617" i="122"/>
  <c r="M4616" i="122"/>
  <c r="M4615" i="122"/>
  <c r="M4614" i="122"/>
  <c r="M4613" i="122"/>
  <c r="M4612" i="122"/>
  <c r="M4611" i="122"/>
  <c r="M4610" i="122"/>
  <c r="M4609" i="122"/>
  <c r="M4608" i="122"/>
  <c r="M4607" i="122"/>
  <c r="M4606" i="122"/>
  <c r="M4605" i="122"/>
  <c r="M4604" i="122"/>
  <c r="M4603" i="122"/>
  <c r="M4602" i="122"/>
  <c r="M4601" i="122"/>
  <c r="M4600" i="122"/>
  <c r="M4599" i="122"/>
  <c r="M4598" i="122"/>
  <c r="M4597" i="122"/>
  <c r="M4596" i="122"/>
  <c r="M4595" i="122"/>
  <c r="M4594" i="122"/>
  <c r="M4593" i="122"/>
  <c r="M4592" i="122"/>
  <c r="M4591" i="122"/>
  <c r="M4590" i="122"/>
  <c r="M4589" i="122"/>
  <c r="M4588" i="122"/>
  <c r="M4587" i="122"/>
  <c r="M4586" i="122"/>
  <c r="M4585" i="122"/>
  <c r="M4584" i="122"/>
  <c r="M4583" i="122"/>
  <c r="M4582" i="122"/>
  <c r="M4581" i="122"/>
  <c r="M4580" i="122"/>
  <c r="M4579" i="122"/>
  <c r="M4578" i="122"/>
  <c r="M4577" i="122"/>
  <c r="M4576" i="122"/>
  <c r="M4575" i="122"/>
  <c r="M4574" i="122"/>
  <c r="M4573" i="122"/>
  <c r="M4572" i="122"/>
  <c r="M4571" i="122"/>
  <c r="M4570" i="122"/>
  <c r="M4569" i="122"/>
  <c r="M4568" i="122"/>
  <c r="M4567" i="122"/>
  <c r="M4566" i="122"/>
  <c r="M4565" i="122"/>
  <c r="M4564" i="122"/>
  <c r="M4563" i="122"/>
  <c r="M4562" i="122"/>
  <c r="M4561" i="122"/>
  <c r="M4560" i="122"/>
  <c r="M4559" i="122"/>
  <c r="M4558" i="122"/>
  <c r="M4557" i="122"/>
  <c r="M4556" i="122"/>
  <c r="M4555" i="122"/>
  <c r="M4554" i="122"/>
  <c r="M4553" i="122"/>
  <c r="M4552" i="122"/>
  <c r="M4551" i="122"/>
  <c r="M4550" i="122"/>
  <c r="M4549" i="122"/>
  <c r="M4548" i="122"/>
  <c r="M4547" i="122"/>
  <c r="M4546" i="122"/>
  <c r="M4545" i="122"/>
  <c r="M4544" i="122"/>
  <c r="M4543" i="122"/>
  <c r="M4542" i="122"/>
  <c r="M4541" i="122"/>
  <c r="M4540" i="122"/>
  <c r="M4539" i="122"/>
  <c r="M4538" i="122"/>
  <c r="M4537" i="122"/>
  <c r="M4536" i="122"/>
  <c r="M4535" i="122"/>
  <c r="M4534" i="122"/>
  <c r="M4533" i="122"/>
  <c r="M4532" i="122"/>
  <c r="M4531" i="122"/>
  <c r="M4530" i="122"/>
  <c r="M4529" i="122"/>
  <c r="M4528" i="122"/>
  <c r="M4527" i="122"/>
  <c r="M4526" i="122"/>
  <c r="M4525" i="122"/>
  <c r="M4524" i="122"/>
  <c r="M4523" i="122"/>
  <c r="M4522" i="122"/>
  <c r="M4521" i="122"/>
  <c r="M4520" i="122"/>
  <c r="M4519" i="122"/>
  <c r="M4518" i="122"/>
  <c r="M4517" i="122"/>
  <c r="M4516" i="122"/>
  <c r="M4515" i="122"/>
  <c r="M4514" i="122"/>
  <c r="M4513" i="122"/>
  <c r="M4512" i="122"/>
  <c r="M4511" i="122"/>
  <c r="M4510" i="122"/>
  <c r="M4509" i="122"/>
  <c r="M4508" i="122"/>
  <c r="M4507" i="122"/>
  <c r="M4506" i="122"/>
  <c r="M4505" i="122"/>
  <c r="M4504" i="122"/>
  <c r="M4503" i="122"/>
  <c r="M4502" i="122"/>
  <c r="M4501" i="122"/>
  <c r="M4500" i="122"/>
  <c r="M4499" i="122"/>
  <c r="M4498" i="122"/>
  <c r="M4497" i="122"/>
  <c r="M4496" i="122"/>
  <c r="M4495" i="122"/>
  <c r="M4494" i="122"/>
  <c r="M4493" i="122"/>
  <c r="M4492" i="122"/>
  <c r="M4491" i="122"/>
  <c r="M4490" i="122"/>
  <c r="M4489" i="122"/>
  <c r="M4488" i="122"/>
  <c r="M4487" i="122"/>
  <c r="M4486" i="122"/>
  <c r="M4485" i="122"/>
  <c r="M4484" i="122"/>
  <c r="M4483" i="122"/>
  <c r="M4482" i="122"/>
  <c r="M4481" i="122"/>
  <c r="M4480" i="122"/>
  <c r="M4479" i="122"/>
  <c r="M4478" i="122"/>
  <c r="M4477" i="122"/>
  <c r="M4476" i="122"/>
  <c r="M4475" i="122"/>
  <c r="M4474" i="122"/>
  <c r="M4473" i="122"/>
  <c r="M4472" i="122"/>
  <c r="M4471" i="122"/>
  <c r="M4470" i="122"/>
  <c r="M4469" i="122"/>
  <c r="M4468" i="122"/>
  <c r="M4467" i="122"/>
  <c r="M4466" i="122"/>
  <c r="M4465" i="122"/>
  <c r="M4464" i="122"/>
  <c r="M4463" i="122"/>
  <c r="M4462" i="122"/>
  <c r="M4461" i="122"/>
  <c r="M4460" i="122"/>
  <c r="M4459" i="122"/>
  <c r="M4458" i="122"/>
  <c r="M4457" i="122"/>
  <c r="M4456" i="122"/>
  <c r="M4455" i="122"/>
  <c r="M4454" i="122"/>
  <c r="M4453" i="122"/>
  <c r="M4452" i="122"/>
  <c r="M4451" i="122"/>
  <c r="M4450" i="122"/>
  <c r="M4449" i="122"/>
  <c r="M4448" i="122"/>
  <c r="M4447" i="122"/>
  <c r="M4446" i="122"/>
  <c r="M4445" i="122"/>
  <c r="M4444" i="122"/>
  <c r="M4443" i="122"/>
  <c r="M4442" i="122"/>
  <c r="M4441" i="122"/>
  <c r="M4440" i="122"/>
  <c r="M4439" i="122"/>
  <c r="M4438" i="122"/>
  <c r="M4437" i="122"/>
  <c r="M4436" i="122"/>
  <c r="M4435" i="122"/>
  <c r="M4434" i="122"/>
  <c r="M4433" i="122"/>
  <c r="M4432" i="122"/>
  <c r="M4431" i="122"/>
  <c r="M4430" i="122"/>
  <c r="M4429" i="122"/>
  <c r="M4428" i="122"/>
  <c r="M4427" i="122"/>
  <c r="M4426" i="122"/>
  <c r="M4425" i="122"/>
  <c r="M4424" i="122"/>
  <c r="M4423" i="122"/>
  <c r="M4422" i="122"/>
  <c r="M4421" i="122"/>
  <c r="M4420" i="122"/>
  <c r="M4419" i="122"/>
  <c r="M4418" i="122"/>
  <c r="M4417" i="122"/>
  <c r="M4416" i="122"/>
  <c r="M4415" i="122"/>
  <c r="M4414" i="122"/>
  <c r="M4413" i="122"/>
  <c r="M4412" i="122"/>
  <c r="M4411" i="122"/>
  <c r="M4410" i="122"/>
  <c r="M4409" i="122"/>
  <c r="M4408" i="122"/>
  <c r="M4407" i="122"/>
  <c r="M4406" i="122"/>
  <c r="M4405" i="122"/>
  <c r="M4404" i="122"/>
  <c r="M4403" i="122"/>
  <c r="M4402" i="122"/>
  <c r="M4401" i="122"/>
  <c r="M4400" i="122"/>
  <c r="M4399" i="122"/>
  <c r="M4398" i="122"/>
  <c r="M4397" i="122"/>
  <c r="M4396" i="122"/>
  <c r="M4395" i="122"/>
  <c r="M4394" i="122"/>
  <c r="M4393" i="122"/>
  <c r="M4392" i="122"/>
  <c r="M4391" i="122"/>
  <c r="M4390" i="122"/>
  <c r="M4389" i="122"/>
  <c r="M4388" i="122"/>
  <c r="M4387" i="122"/>
  <c r="M4386" i="122"/>
  <c r="M4385" i="122"/>
  <c r="M4384" i="122"/>
  <c r="M4383" i="122"/>
  <c r="M4382" i="122"/>
  <c r="M4381" i="122"/>
  <c r="M4380" i="122"/>
  <c r="M4379" i="122"/>
  <c r="M4378" i="122"/>
  <c r="M4377" i="122"/>
  <c r="M4376" i="122"/>
  <c r="M4375" i="122"/>
  <c r="M4374" i="122"/>
  <c r="M4373" i="122"/>
  <c r="M4372" i="122"/>
  <c r="M4371" i="122"/>
  <c r="M4370" i="122"/>
  <c r="M4369" i="122"/>
  <c r="M4368" i="122"/>
  <c r="M4367" i="122"/>
  <c r="M4366" i="122"/>
  <c r="M4365" i="122"/>
  <c r="M4364" i="122"/>
  <c r="M4363" i="122"/>
  <c r="M4362" i="122"/>
  <c r="M4361" i="122"/>
  <c r="M4360" i="122"/>
  <c r="M4359" i="122"/>
  <c r="M4358" i="122"/>
  <c r="M4357" i="122"/>
  <c r="M4356" i="122"/>
  <c r="M4355" i="122"/>
  <c r="M4354" i="122"/>
  <c r="M4353" i="122"/>
  <c r="M4352" i="122"/>
  <c r="M4351" i="122"/>
  <c r="M4350" i="122"/>
  <c r="M4349" i="122"/>
  <c r="M4348" i="122"/>
  <c r="M4347" i="122"/>
  <c r="M4346" i="122"/>
  <c r="M4345" i="122"/>
  <c r="M4344" i="122"/>
  <c r="M4343" i="122"/>
  <c r="M4342" i="122"/>
  <c r="M4341" i="122"/>
  <c r="M4340" i="122"/>
  <c r="M4339" i="122"/>
  <c r="M4338" i="122"/>
  <c r="M4337" i="122"/>
  <c r="M4336" i="122"/>
  <c r="M4335" i="122"/>
  <c r="M4334" i="122"/>
  <c r="M4333" i="122"/>
  <c r="M4332" i="122"/>
  <c r="M4331" i="122"/>
  <c r="M4330" i="122"/>
  <c r="M4329" i="122"/>
  <c r="M4328" i="122"/>
  <c r="M4327" i="122"/>
  <c r="M4326" i="122"/>
  <c r="M4325" i="122"/>
  <c r="M4324" i="122"/>
  <c r="M4323" i="122"/>
  <c r="O4323" i="122" s="1"/>
  <c r="M4322" i="122"/>
  <c r="M4321" i="122"/>
  <c r="O4321" i="122" s="1"/>
  <c r="M4320" i="122"/>
  <c r="P4319" i="122"/>
  <c r="M4319" i="122"/>
  <c r="O4319" i="122" s="1"/>
  <c r="M4318" i="122"/>
  <c r="M4317" i="122"/>
  <c r="O4317" i="122" s="1"/>
  <c r="M4316" i="122"/>
  <c r="O4315" i="122"/>
  <c r="P4315" i="122" s="1"/>
  <c r="M4315" i="122"/>
  <c r="P4314" i="122"/>
  <c r="M4314" i="122"/>
  <c r="O4314" i="122" s="1"/>
  <c r="M4313" i="122"/>
  <c r="M4312" i="122"/>
  <c r="M4311" i="122"/>
  <c r="O4311" i="122" s="1"/>
  <c r="P4311" i="122" s="1"/>
  <c r="M4310" i="122"/>
  <c r="O4310" i="122" s="1"/>
  <c r="P4310" i="122" s="1"/>
  <c r="M4309" i="122"/>
  <c r="M4308" i="122"/>
  <c r="M4307" i="122"/>
  <c r="O4307" i="122" s="1"/>
  <c r="M4306" i="122"/>
  <c r="O4306" i="122" s="1"/>
  <c r="P4306" i="122" s="1"/>
  <c r="M4305" i="122"/>
  <c r="O4305" i="122" s="1"/>
  <c r="M4304" i="122"/>
  <c r="M4303" i="122"/>
  <c r="M4302" i="122"/>
  <c r="M4301" i="122"/>
  <c r="M4300" i="122"/>
  <c r="M4299" i="122"/>
  <c r="M4298" i="122"/>
  <c r="M4297" i="122"/>
  <c r="M4296" i="122"/>
  <c r="M4295" i="122"/>
  <c r="M4294" i="122"/>
  <c r="M4293" i="122"/>
  <c r="M4292" i="122"/>
  <c r="M4291" i="122"/>
  <c r="M4290" i="122"/>
  <c r="M4289" i="122"/>
  <c r="M4288" i="122"/>
  <c r="M4287" i="122"/>
  <c r="M4286" i="122"/>
  <c r="M4285" i="122"/>
  <c r="M4284" i="122"/>
  <c r="M4283" i="122"/>
  <c r="M4282" i="122"/>
  <c r="M4281" i="122"/>
  <c r="M4280" i="122"/>
  <c r="M4279" i="122"/>
  <c r="M4278" i="122"/>
  <c r="M4277" i="122"/>
  <c r="M4276" i="122"/>
  <c r="M4275" i="122"/>
  <c r="M4274" i="122"/>
  <c r="M4273" i="122"/>
  <c r="M4272" i="122"/>
  <c r="O4272" i="122" s="1"/>
  <c r="M4271" i="122"/>
  <c r="M4270" i="122"/>
  <c r="M4269" i="122"/>
  <c r="M4268" i="122"/>
  <c r="O4267" i="122"/>
  <c r="M4267" i="122"/>
  <c r="M4266" i="122"/>
  <c r="M4265" i="122"/>
  <c r="P4264" i="122"/>
  <c r="O4264" i="122"/>
  <c r="M4264" i="122"/>
  <c r="M4263" i="122"/>
  <c r="M4262" i="122"/>
  <c r="M4261" i="122"/>
  <c r="M4260" i="122"/>
  <c r="M4259" i="122"/>
  <c r="M4258" i="122"/>
  <c r="M4257" i="122"/>
  <c r="P4256" i="122"/>
  <c r="O4256" i="122"/>
  <c r="M4256" i="122"/>
  <c r="M4255" i="122"/>
  <c r="O4254" i="122"/>
  <c r="M4254" i="122"/>
  <c r="M4253" i="122"/>
  <c r="O4252" i="122"/>
  <c r="M4252" i="122"/>
  <c r="P4251" i="122"/>
  <c r="M4251" i="122"/>
  <c r="O4251" i="122" s="1"/>
  <c r="M4250" i="122"/>
  <c r="M4249" i="122"/>
  <c r="M4248" i="122"/>
  <c r="O4248" i="122" s="1"/>
  <c r="P4248" i="122" s="1"/>
  <c r="M4247" i="122"/>
  <c r="O4246" i="122"/>
  <c r="M4246" i="122"/>
  <c r="M4245" i="122"/>
  <c r="O4244" i="122"/>
  <c r="M4244" i="122"/>
  <c r="P4243" i="122"/>
  <c r="O4243" i="122"/>
  <c r="M4243" i="122"/>
  <c r="M4242" i="122"/>
  <c r="M4241" i="122"/>
  <c r="M4240" i="122"/>
  <c r="M4239" i="122"/>
  <c r="O4239" i="122" s="1"/>
  <c r="M4238" i="122"/>
  <c r="M4237" i="122"/>
  <c r="M4236" i="122"/>
  <c r="O4236" i="122" s="1"/>
  <c r="P4236" i="122" s="1"/>
  <c r="O4235" i="122"/>
  <c r="P4235" i="122" s="1"/>
  <c r="M4235" i="122"/>
  <c r="M4234" i="122"/>
  <c r="M4233" i="122"/>
  <c r="O4232" i="122"/>
  <c r="M4232" i="122"/>
  <c r="M4231" i="122"/>
  <c r="O4231" i="122" s="1"/>
  <c r="P4231" i="122" s="1"/>
  <c r="M4230" i="122"/>
  <c r="M4229" i="122"/>
  <c r="M4228" i="122"/>
  <c r="O4228" i="122" s="1"/>
  <c r="P4228" i="122" s="1"/>
  <c r="O4227" i="122"/>
  <c r="P4227" i="122" s="1"/>
  <c r="M4227" i="122"/>
  <c r="M4226" i="122"/>
  <c r="O4226" i="122" s="1"/>
  <c r="M4225" i="122"/>
  <c r="M4224" i="122"/>
  <c r="O4223" i="122"/>
  <c r="P4223" i="122" s="1"/>
  <c r="M4223" i="122"/>
  <c r="M4222" i="122"/>
  <c r="O4222" i="122" s="1"/>
  <c r="M4221" i="122"/>
  <c r="O4220" i="122"/>
  <c r="P4220" i="122" s="1"/>
  <c r="M4220" i="122"/>
  <c r="M4219" i="122"/>
  <c r="O4219" i="122" s="1"/>
  <c r="M4218" i="122"/>
  <c r="M4217" i="122"/>
  <c r="M4216" i="122"/>
  <c r="M4215" i="122"/>
  <c r="M4214" i="122"/>
  <c r="O4214" i="122" s="1"/>
  <c r="M4213" i="122"/>
  <c r="M4212" i="122"/>
  <c r="O4212" i="122" s="1"/>
  <c r="P4212" i="122" s="1"/>
  <c r="M4211" i="122"/>
  <c r="M4210" i="122"/>
  <c r="M4209" i="122"/>
  <c r="M4208" i="122"/>
  <c r="O4208" i="122" s="1"/>
  <c r="P4208" i="122" s="1"/>
  <c r="M4207" i="122"/>
  <c r="O4207" i="122" s="1"/>
  <c r="P4207" i="122" s="1"/>
  <c r="M4206" i="122"/>
  <c r="M4205" i="122"/>
  <c r="O4204" i="122"/>
  <c r="P4204" i="122" s="1"/>
  <c r="M4204" i="122"/>
  <c r="M4203" i="122"/>
  <c r="O4203" i="122" s="1"/>
  <c r="P4203" i="122" s="1"/>
  <c r="M4202" i="122"/>
  <c r="M4201" i="122"/>
  <c r="M4200" i="122"/>
  <c r="O4200" i="122" s="1"/>
  <c r="P4200" i="122" s="1"/>
  <c r="P4199" i="122"/>
  <c r="O4199" i="122"/>
  <c r="M4199" i="122"/>
  <c r="M4198" i="122"/>
  <c r="M4197" i="122"/>
  <c r="O4196" i="122"/>
  <c r="P4196" i="122" s="1"/>
  <c r="M4196" i="122"/>
  <c r="M4195" i="122"/>
  <c r="O4195" i="122" s="1"/>
  <c r="P4195" i="122" s="1"/>
  <c r="O4194" i="122"/>
  <c r="M4194" i="122"/>
  <c r="M4193" i="122"/>
  <c r="P4192" i="122"/>
  <c r="O4192" i="122"/>
  <c r="M4192" i="122"/>
  <c r="M4191" i="122"/>
  <c r="O4191" i="122" s="1"/>
  <c r="P4191" i="122" s="1"/>
  <c r="M4190" i="122"/>
  <c r="O4190" i="122" s="1"/>
  <c r="M4189" i="122"/>
  <c r="M4188" i="122"/>
  <c r="O4188" i="122" s="1"/>
  <c r="P4188" i="122" s="1"/>
  <c r="M4187" i="122"/>
  <c r="M4186" i="122"/>
  <c r="M4185" i="122"/>
  <c r="O4184" i="122"/>
  <c r="M4184" i="122"/>
  <c r="M4183" i="122"/>
  <c r="M4182" i="122"/>
  <c r="M4181" i="122"/>
  <c r="M4180" i="122"/>
  <c r="O4180" i="122" s="1"/>
  <c r="P4180" i="122" s="1"/>
  <c r="M4179" i="122"/>
  <c r="M4178" i="122"/>
  <c r="M4177" i="122"/>
  <c r="O4176" i="122"/>
  <c r="P4176" i="122" s="1"/>
  <c r="M4176" i="122"/>
  <c r="M4175" i="122"/>
  <c r="O4175" i="122" s="1"/>
  <c r="P4175" i="122" s="1"/>
  <c r="M4174" i="122"/>
  <c r="M4173" i="122"/>
  <c r="M4172" i="122"/>
  <c r="M4171" i="122"/>
  <c r="O4171" i="122" s="1"/>
  <c r="P4171" i="122" s="1"/>
  <c r="M4170" i="122"/>
  <c r="M4169" i="122"/>
  <c r="O4168" i="122"/>
  <c r="P4168" i="122" s="1"/>
  <c r="M4168" i="122"/>
  <c r="O4167" i="122"/>
  <c r="P4167" i="122" s="1"/>
  <c r="M4167" i="122"/>
  <c r="M4166" i="122"/>
  <c r="M4165" i="122"/>
  <c r="M4164" i="122"/>
  <c r="O4164" i="122" s="1"/>
  <c r="P4164" i="122" s="1"/>
  <c r="M4163" i="122"/>
  <c r="M4162" i="122"/>
  <c r="O4162" i="122" s="1"/>
  <c r="M4161" i="122"/>
  <c r="O4160" i="122"/>
  <c r="M4160" i="122"/>
  <c r="M4159" i="122"/>
  <c r="O4159" i="122" s="1"/>
  <c r="M4158" i="122"/>
  <c r="M4157" i="122"/>
  <c r="M4156" i="122"/>
  <c r="O4156" i="122" s="1"/>
  <c r="P4156" i="122" s="1"/>
  <c r="M4155" i="122"/>
  <c r="M4154" i="122"/>
  <c r="M4153" i="122"/>
  <c r="M4152" i="122"/>
  <c r="M4151" i="122"/>
  <c r="M4150" i="122"/>
  <c r="M4149" i="122"/>
  <c r="O4148" i="122"/>
  <c r="P4148" i="122" s="1"/>
  <c r="M4148" i="122"/>
  <c r="M4147" i="122"/>
  <c r="M4146" i="122"/>
  <c r="M4145" i="122"/>
  <c r="M4144" i="122"/>
  <c r="O4144" i="122" s="1"/>
  <c r="P4144" i="122" s="1"/>
  <c r="M4143" i="122"/>
  <c r="O4143" i="122" s="1"/>
  <c r="P4143" i="122" s="1"/>
  <c r="M4142" i="122"/>
  <c r="M4141" i="122"/>
  <c r="O4140" i="122"/>
  <c r="M4140" i="122"/>
  <c r="M4139" i="122"/>
  <c r="O4139" i="122" s="1"/>
  <c r="P4139" i="122" s="1"/>
  <c r="M4138" i="122"/>
  <c r="M4137" i="122"/>
  <c r="O4136" i="122"/>
  <c r="M4136" i="122"/>
  <c r="P4136" i="122" s="1"/>
  <c r="M4135" i="122"/>
  <c r="O4135" i="122" s="1"/>
  <c r="P4135" i="122" s="1"/>
  <c r="M4134" i="122"/>
  <c r="M4133" i="122"/>
  <c r="M4132" i="122"/>
  <c r="O4132" i="122" s="1"/>
  <c r="P4132" i="122" s="1"/>
  <c r="M4131" i="122"/>
  <c r="O4130" i="122"/>
  <c r="M4130" i="122"/>
  <c r="M4129" i="122"/>
  <c r="M4128" i="122"/>
  <c r="O4128" i="122" s="1"/>
  <c r="P4128" i="122" s="1"/>
  <c r="M4127" i="122"/>
  <c r="O4126" i="122"/>
  <c r="M4126" i="122"/>
  <c r="M4125" i="122"/>
  <c r="M4124" i="122"/>
  <c r="O4124" i="122" s="1"/>
  <c r="P4124" i="122" s="1"/>
  <c r="M4123" i="122"/>
  <c r="M4122" i="122"/>
  <c r="M4121" i="122"/>
  <c r="M4120" i="122"/>
  <c r="M4119" i="122"/>
  <c r="M4118" i="122"/>
  <c r="O4118" i="122" s="1"/>
  <c r="M4117" i="122"/>
  <c r="M4116" i="122"/>
  <c r="O4116" i="122" s="1"/>
  <c r="P4116" i="122" s="1"/>
  <c r="M4115" i="122"/>
  <c r="M4114" i="122"/>
  <c r="M4113" i="122"/>
  <c r="M4112" i="122"/>
  <c r="O4112" i="122" s="1"/>
  <c r="P4112" i="122" s="1"/>
  <c r="M4111" i="122"/>
  <c r="O4111" i="122" s="1"/>
  <c r="P4111" i="122" s="1"/>
  <c r="M4110" i="122"/>
  <c r="M4109" i="122"/>
  <c r="M4108" i="122"/>
  <c r="O4108" i="122" s="1"/>
  <c r="P4108" i="122" s="1"/>
  <c r="M4107" i="122"/>
  <c r="O4107" i="122" s="1"/>
  <c r="P4107" i="122" s="1"/>
  <c r="M4106" i="122"/>
  <c r="M4105" i="122"/>
  <c r="O4104" i="122"/>
  <c r="M4104" i="122"/>
  <c r="M4103" i="122"/>
  <c r="O4103" i="122" s="1"/>
  <c r="M4102" i="122"/>
  <c r="M4101" i="122"/>
  <c r="M4100" i="122"/>
  <c r="O4100" i="122" s="1"/>
  <c r="P4100" i="122" s="1"/>
  <c r="M4099" i="122"/>
  <c r="O4098" i="122"/>
  <c r="M4098" i="122"/>
  <c r="M4097" i="122"/>
  <c r="P4096" i="122"/>
  <c r="M4096" i="122"/>
  <c r="O4096" i="122" s="1"/>
  <c r="M4095" i="122"/>
  <c r="M4094" i="122"/>
  <c r="M4093" i="122"/>
  <c r="M4092" i="122"/>
  <c r="O4092" i="122" s="1"/>
  <c r="P4092" i="122" s="1"/>
  <c r="M4091" i="122"/>
  <c r="O4090" i="122"/>
  <c r="M4090" i="122"/>
  <c r="M4089" i="122"/>
  <c r="M4088" i="122"/>
  <c r="M4087" i="122"/>
  <c r="M4086" i="122"/>
  <c r="O4086" i="122" s="1"/>
  <c r="M4085" i="122"/>
  <c r="O4084" i="122"/>
  <c r="M4084" i="122"/>
  <c r="M4083" i="122"/>
  <c r="M4082" i="122"/>
  <c r="M4081" i="122"/>
  <c r="M4080" i="122"/>
  <c r="O4080" i="122" s="1"/>
  <c r="P4080" i="122" s="1"/>
  <c r="M4079" i="122"/>
  <c r="O4079" i="122" s="1"/>
  <c r="P4079" i="122" s="1"/>
  <c r="M4078" i="122"/>
  <c r="M4077" i="122"/>
  <c r="P4076" i="122"/>
  <c r="O4076" i="122"/>
  <c r="M4076" i="122"/>
  <c r="O4075" i="122"/>
  <c r="P4075" i="122" s="1"/>
  <c r="M4075" i="122"/>
  <c r="M4074" i="122"/>
  <c r="M4073" i="122"/>
  <c r="O4072" i="122"/>
  <c r="P4072" i="122" s="1"/>
  <c r="M4072" i="122"/>
  <c r="O4071" i="122"/>
  <c r="P4071" i="122" s="1"/>
  <c r="M4071" i="122"/>
  <c r="M4070" i="122"/>
  <c r="M4069" i="122"/>
  <c r="M4068" i="122"/>
  <c r="O4068" i="122" s="1"/>
  <c r="P4068" i="122" s="1"/>
  <c r="P4067" i="122"/>
  <c r="M4067" i="122"/>
  <c r="O4067" i="122" s="1"/>
  <c r="M4066" i="122"/>
  <c r="O4066" i="122" s="1"/>
  <c r="M4065" i="122"/>
  <c r="M4064" i="122"/>
  <c r="O4064" i="122" s="1"/>
  <c r="P4064" i="122" s="1"/>
  <c r="P4063" i="122"/>
  <c r="M4063" i="122"/>
  <c r="O4063" i="122" s="1"/>
  <c r="M4062" i="122"/>
  <c r="M4061" i="122"/>
  <c r="O4060" i="122"/>
  <c r="P4060" i="122" s="1"/>
  <c r="M4060" i="122"/>
  <c r="O4059" i="122"/>
  <c r="M4059" i="122"/>
  <c r="M4058" i="122"/>
  <c r="O4058" i="122" s="1"/>
  <c r="M4057" i="122"/>
  <c r="O4056" i="122"/>
  <c r="M4056" i="122"/>
  <c r="M4055" i="122"/>
  <c r="M4054" i="122"/>
  <c r="M4053" i="122"/>
  <c r="M4052" i="122"/>
  <c r="O4052" i="122" s="1"/>
  <c r="P4052" i="122" s="1"/>
  <c r="M4051" i="122"/>
  <c r="M4050" i="122"/>
  <c r="M4049" i="122"/>
  <c r="M4048" i="122"/>
  <c r="O4048" i="122" s="1"/>
  <c r="P4048" i="122" s="1"/>
  <c r="P4047" i="122"/>
  <c r="M4047" i="122"/>
  <c r="O4047" i="122" s="1"/>
  <c r="M4046" i="122"/>
  <c r="M4045" i="122"/>
  <c r="M4044" i="122"/>
  <c r="O4044" i="122" s="1"/>
  <c r="P4044" i="122" s="1"/>
  <c r="M4043" i="122"/>
  <c r="O4043" i="122" s="1"/>
  <c r="P4043" i="122" s="1"/>
  <c r="M4042" i="122"/>
  <c r="M4041" i="122"/>
  <c r="M4040" i="122"/>
  <c r="O4040" i="122" s="1"/>
  <c r="P4040" i="122" s="1"/>
  <c r="P4039" i="122"/>
  <c r="O4039" i="122"/>
  <c r="M4039" i="122"/>
  <c r="M4038" i="122"/>
  <c r="M4037" i="122"/>
  <c r="O4036" i="122"/>
  <c r="P4036" i="122" s="1"/>
  <c r="M4036" i="122"/>
  <c r="M4035" i="122"/>
  <c r="O4034" i="122"/>
  <c r="M4034" i="122"/>
  <c r="M4033" i="122"/>
  <c r="O4032" i="122"/>
  <c r="M4032" i="122"/>
  <c r="M4031" i="122"/>
  <c r="O4031" i="122" s="1"/>
  <c r="P4031" i="122" s="1"/>
  <c r="L4025" i="122"/>
  <c r="K4025" i="122"/>
  <c r="M4024" i="122"/>
  <c r="M4023" i="122"/>
  <c r="M4022" i="122"/>
  <c r="M4021" i="122"/>
  <c r="M4020" i="122"/>
  <c r="M4019" i="122"/>
  <c r="M4018" i="122"/>
  <c r="M4017" i="122"/>
  <c r="M4016" i="122"/>
  <c r="M4015" i="122"/>
  <c r="M4014" i="122"/>
  <c r="M4013" i="122"/>
  <c r="M4012" i="122"/>
  <c r="M4011" i="122"/>
  <c r="M4010" i="122"/>
  <c r="M4009" i="122"/>
  <c r="M4008" i="122"/>
  <c r="M4007" i="122"/>
  <c r="M4006" i="122"/>
  <c r="M4005" i="122"/>
  <c r="M4004" i="122"/>
  <c r="M4003" i="122"/>
  <c r="M4002" i="122"/>
  <c r="M4001" i="122"/>
  <c r="M4000" i="122"/>
  <c r="M3999" i="122"/>
  <c r="M3998" i="122"/>
  <c r="M3997" i="122"/>
  <c r="M3996" i="122"/>
  <c r="M3995" i="122"/>
  <c r="M3994" i="122"/>
  <c r="M3993" i="122"/>
  <c r="M3992" i="122"/>
  <c r="M3991" i="122"/>
  <c r="M3990" i="122"/>
  <c r="M3989" i="122"/>
  <c r="M3988" i="122"/>
  <c r="M3987" i="122"/>
  <c r="M3986" i="122"/>
  <c r="M3985" i="122"/>
  <c r="M3984" i="122"/>
  <c r="M3983" i="122"/>
  <c r="M3982" i="122"/>
  <c r="M3981" i="122"/>
  <c r="M3980" i="122"/>
  <c r="M3979" i="122"/>
  <c r="M3978" i="122"/>
  <c r="M3977" i="122"/>
  <c r="M3976" i="122"/>
  <c r="M3975" i="122"/>
  <c r="M3974" i="122"/>
  <c r="M3973" i="122"/>
  <c r="M3972" i="122"/>
  <c r="M3971" i="122"/>
  <c r="M3970" i="122"/>
  <c r="M3969" i="122"/>
  <c r="M3968" i="122"/>
  <c r="M3967" i="122"/>
  <c r="M3966" i="122"/>
  <c r="M3965" i="122"/>
  <c r="M3964" i="122"/>
  <c r="M3963" i="122"/>
  <c r="M3962" i="122"/>
  <c r="M3961" i="122"/>
  <c r="M3960" i="122"/>
  <c r="M3959" i="122"/>
  <c r="M3958" i="122"/>
  <c r="M3957" i="122"/>
  <c r="M3956" i="122"/>
  <c r="M3955" i="122"/>
  <c r="M3954" i="122"/>
  <c r="M3953" i="122"/>
  <c r="M3952" i="122"/>
  <c r="M3951" i="122"/>
  <c r="M3950" i="122"/>
  <c r="M3949" i="122"/>
  <c r="M3948" i="122"/>
  <c r="M3947" i="122"/>
  <c r="M3946" i="122"/>
  <c r="M3945" i="122"/>
  <c r="M3944" i="122"/>
  <c r="M3943" i="122"/>
  <c r="M3942" i="122"/>
  <c r="M3941" i="122"/>
  <c r="M3940" i="122"/>
  <c r="M3939" i="122"/>
  <c r="M3938" i="122"/>
  <c r="M3937" i="122"/>
  <c r="M3936" i="122"/>
  <c r="M3935" i="122"/>
  <c r="M3934" i="122"/>
  <c r="M3933" i="122"/>
  <c r="M3932" i="122"/>
  <c r="M3931" i="122"/>
  <c r="M3930" i="122"/>
  <c r="M3929" i="122"/>
  <c r="M3928" i="122"/>
  <c r="M3927" i="122"/>
  <c r="M3926" i="122"/>
  <c r="M3925" i="122"/>
  <c r="M3924" i="122"/>
  <c r="M3923" i="122"/>
  <c r="M3922" i="122"/>
  <c r="M3921" i="122"/>
  <c r="M3920" i="122"/>
  <c r="M3919" i="122"/>
  <c r="M3918" i="122"/>
  <c r="M3917" i="122"/>
  <c r="M3916" i="122"/>
  <c r="M3915" i="122"/>
  <c r="M3914" i="122"/>
  <c r="M3913" i="122"/>
  <c r="M3912" i="122"/>
  <c r="M3911" i="122"/>
  <c r="M3910" i="122"/>
  <c r="M3909" i="122"/>
  <c r="M3908" i="122"/>
  <c r="M3907" i="122"/>
  <c r="M3906" i="122"/>
  <c r="M3905" i="122"/>
  <c r="M3904" i="122"/>
  <c r="M3903" i="122"/>
  <c r="M3902" i="122"/>
  <c r="M3901" i="122"/>
  <c r="M3900" i="122"/>
  <c r="M3899" i="122"/>
  <c r="M3898" i="122"/>
  <c r="M3897" i="122"/>
  <c r="M3896" i="122"/>
  <c r="M3895" i="122"/>
  <c r="M3894" i="122"/>
  <c r="M3893" i="122"/>
  <c r="M3892" i="122"/>
  <c r="M3891" i="122"/>
  <c r="M3890" i="122"/>
  <c r="M3889" i="122"/>
  <c r="M3888" i="122"/>
  <c r="M3887" i="122"/>
  <c r="M3886" i="122"/>
  <c r="M3885" i="122"/>
  <c r="M3884" i="122"/>
  <c r="M3883" i="122"/>
  <c r="M3882" i="122"/>
  <c r="M3881" i="122"/>
  <c r="M3880" i="122"/>
  <c r="M3879" i="122"/>
  <c r="M3878" i="122"/>
  <c r="M3877" i="122"/>
  <c r="M3876" i="122"/>
  <c r="M3875" i="122"/>
  <c r="M3874" i="122"/>
  <c r="M3873" i="122"/>
  <c r="M3872" i="122"/>
  <c r="M3871" i="122"/>
  <c r="M3870" i="122"/>
  <c r="M3869" i="122"/>
  <c r="M3868" i="122"/>
  <c r="M3867" i="122"/>
  <c r="M3866" i="122"/>
  <c r="M3865" i="122"/>
  <c r="M3864" i="122"/>
  <c r="M3863" i="122"/>
  <c r="M3862" i="122"/>
  <c r="M3861" i="122"/>
  <c r="M3860" i="122"/>
  <c r="M3859" i="122"/>
  <c r="M3858" i="122"/>
  <c r="M3857" i="122"/>
  <c r="M3856" i="122"/>
  <c r="M3855" i="122"/>
  <c r="M3854" i="122"/>
  <c r="M3853" i="122"/>
  <c r="M3852" i="122"/>
  <c r="M3851" i="122"/>
  <c r="M3850" i="122"/>
  <c r="M3849" i="122"/>
  <c r="M3848" i="122"/>
  <c r="M3847" i="122"/>
  <c r="M3846" i="122"/>
  <c r="M3845" i="122"/>
  <c r="M3844" i="122"/>
  <c r="M3843" i="122"/>
  <c r="M3842" i="122"/>
  <c r="M3841" i="122"/>
  <c r="M3840" i="122"/>
  <c r="M3839" i="122"/>
  <c r="M3838" i="122"/>
  <c r="M3837" i="122"/>
  <c r="M3836" i="122"/>
  <c r="M3835" i="122"/>
  <c r="M3834" i="122"/>
  <c r="M3833" i="122"/>
  <c r="M3832" i="122"/>
  <c r="M3831" i="122"/>
  <c r="M3830" i="122"/>
  <c r="M3829" i="122"/>
  <c r="M3828" i="122"/>
  <c r="M3827" i="122"/>
  <c r="M3826" i="122"/>
  <c r="M3825" i="122"/>
  <c r="M3824" i="122"/>
  <c r="M3823" i="122"/>
  <c r="M3822" i="122"/>
  <c r="M3821" i="122"/>
  <c r="M3820" i="122"/>
  <c r="M3819" i="122"/>
  <c r="M3818" i="122"/>
  <c r="M3817" i="122"/>
  <c r="M3816" i="122"/>
  <c r="M3815" i="122"/>
  <c r="M3814" i="122"/>
  <c r="M3813" i="122"/>
  <c r="M3812" i="122"/>
  <c r="M3811" i="122"/>
  <c r="M3810" i="122"/>
  <c r="M3809" i="122"/>
  <c r="M3808" i="122"/>
  <c r="M3807" i="122"/>
  <c r="M3806" i="122"/>
  <c r="M3805" i="122"/>
  <c r="M3804" i="122"/>
  <c r="M3803" i="122"/>
  <c r="M3802" i="122"/>
  <c r="M3801" i="122"/>
  <c r="M3800" i="122"/>
  <c r="M3799" i="122"/>
  <c r="M3798" i="122"/>
  <c r="M3797" i="122"/>
  <c r="M3796" i="122"/>
  <c r="M3795" i="122"/>
  <c r="M3794" i="122"/>
  <c r="M3793" i="122"/>
  <c r="M3792" i="122"/>
  <c r="M3791" i="122"/>
  <c r="M3790" i="122"/>
  <c r="M3789" i="122"/>
  <c r="M3788" i="122"/>
  <c r="M3787" i="122"/>
  <c r="M3786" i="122"/>
  <c r="M3785" i="122"/>
  <c r="M3784" i="122"/>
  <c r="M3783" i="122"/>
  <c r="M3782" i="122"/>
  <c r="M3781" i="122"/>
  <c r="M3780" i="122"/>
  <c r="M3779" i="122"/>
  <c r="M3778" i="122"/>
  <c r="M3777" i="122"/>
  <c r="M3776" i="122"/>
  <c r="M3775" i="122"/>
  <c r="M3774" i="122"/>
  <c r="M3773" i="122"/>
  <c r="M3772" i="122"/>
  <c r="M3771" i="122"/>
  <c r="M3770" i="122"/>
  <c r="M3769" i="122"/>
  <c r="M3768" i="122"/>
  <c r="M3767" i="122"/>
  <c r="M3766" i="122"/>
  <c r="M3765" i="122"/>
  <c r="M3764" i="122"/>
  <c r="M3763" i="122"/>
  <c r="M3762" i="122"/>
  <c r="M3761" i="122"/>
  <c r="M3760" i="122"/>
  <c r="M3759" i="122"/>
  <c r="M3758" i="122"/>
  <c r="M3757" i="122"/>
  <c r="M3756" i="122"/>
  <c r="M3755" i="122"/>
  <c r="M3754" i="122"/>
  <c r="M3753" i="122"/>
  <c r="M3752" i="122"/>
  <c r="M3751" i="122"/>
  <c r="M3750" i="122"/>
  <c r="M3749" i="122"/>
  <c r="M3748" i="122"/>
  <c r="M3747" i="122"/>
  <c r="M3746" i="122"/>
  <c r="M3745" i="122"/>
  <c r="M3744" i="122"/>
  <c r="M3743" i="122"/>
  <c r="M3742" i="122"/>
  <c r="M3741" i="122"/>
  <c r="M3740" i="122"/>
  <c r="M3739" i="122"/>
  <c r="M3738" i="122"/>
  <c r="M3737" i="122"/>
  <c r="M3736" i="122"/>
  <c r="M3735" i="122"/>
  <c r="M3734" i="122"/>
  <c r="M3733" i="122"/>
  <c r="M3732" i="122"/>
  <c r="M3731" i="122"/>
  <c r="M3730" i="122"/>
  <c r="M3729" i="122"/>
  <c r="M3728" i="122"/>
  <c r="M3727" i="122"/>
  <c r="M3726" i="122"/>
  <c r="M3725" i="122"/>
  <c r="M3724" i="122"/>
  <c r="M3723" i="122"/>
  <c r="M3722" i="122"/>
  <c r="M3721" i="122"/>
  <c r="M3720" i="122"/>
  <c r="M3719" i="122"/>
  <c r="M3718" i="122"/>
  <c r="M3717" i="122"/>
  <c r="M3716" i="122"/>
  <c r="M3715" i="122"/>
  <c r="M3714" i="122"/>
  <c r="M3713" i="122"/>
  <c r="M3712" i="122"/>
  <c r="M3711" i="122"/>
  <c r="M3710" i="122"/>
  <c r="M3709" i="122"/>
  <c r="M3708" i="122"/>
  <c r="M3707" i="122"/>
  <c r="M3706" i="122"/>
  <c r="M3705" i="122"/>
  <c r="M3704" i="122"/>
  <c r="M3703" i="122"/>
  <c r="M3702" i="122"/>
  <c r="M3701" i="122"/>
  <c r="M3700" i="122"/>
  <c r="M3699" i="122"/>
  <c r="M3698" i="122"/>
  <c r="M3697" i="122"/>
  <c r="M3696" i="122"/>
  <c r="M3695" i="122"/>
  <c r="M3694" i="122"/>
  <c r="M3693" i="122"/>
  <c r="M3692" i="122"/>
  <c r="M3691" i="122"/>
  <c r="M3690" i="122"/>
  <c r="M3689" i="122"/>
  <c r="M3688" i="122"/>
  <c r="M3687" i="122"/>
  <c r="M3686" i="122"/>
  <c r="M3685" i="122"/>
  <c r="M3684" i="122"/>
  <c r="M3683" i="122"/>
  <c r="M3682" i="122"/>
  <c r="M3681" i="122"/>
  <c r="M3680" i="122"/>
  <c r="M3679" i="122"/>
  <c r="M3678" i="122"/>
  <c r="M3677" i="122"/>
  <c r="M3676" i="122"/>
  <c r="M3675" i="122"/>
  <c r="M3674" i="122"/>
  <c r="M3673" i="122"/>
  <c r="M3672" i="122"/>
  <c r="M3671" i="122"/>
  <c r="M3670" i="122"/>
  <c r="M3669" i="122"/>
  <c r="M3668" i="122"/>
  <c r="M3667" i="122"/>
  <c r="M3666" i="122"/>
  <c r="M3665" i="122"/>
  <c r="M3664" i="122"/>
  <c r="M3663" i="122"/>
  <c r="M3662" i="122"/>
  <c r="M3661" i="122"/>
  <c r="M3660" i="122"/>
  <c r="M3659" i="122"/>
  <c r="M3658" i="122"/>
  <c r="M3657" i="122"/>
  <c r="M3656" i="122"/>
  <c r="M3655" i="122"/>
  <c r="M3654" i="122"/>
  <c r="M3653" i="122"/>
  <c r="M3652" i="122"/>
  <c r="O3652" i="122" s="1"/>
  <c r="M3651" i="122"/>
  <c r="M3650" i="122"/>
  <c r="M3649" i="122"/>
  <c r="M3648" i="122"/>
  <c r="M3647" i="122"/>
  <c r="O3647" i="122" s="1"/>
  <c r="P3647" i="122" s="1"/>
  <c r="M3646" i="122"/>
  <c r="M3645" i="122"/>
  <c r="M3644" i="122"/>
  <c r="O3644" i="122" s="1"/>
  <c r="M3643" i="122"/>
  <c r="O3643" i="122" s="1"/>
  <c r="P3643" i="122" s="1"/>
  <c r="O3642" i="122"/>
  <c r="M3642" i="122"/>
  <c r="M3641" i="122"/>
  <c r="M3640" i="122"/>
  <c r="O3639" i="122"/>
  <c r="P3639" i="122" s="1"/>
  <c r="M3639" i="122"/>
  <c r="M3638" i="122"/>
  <c r="M3637" i="122"/>
  <c r="O3637" i="122" s="1"/>
  <c r="M3636" i="122"/>
  <c r="M3635" i="122"/>
  <c r="O3635" i="122" s="1"/>
  <c r="P3635" i="122" s="1"/>
  <c r="P3634" i="122"/>
  <c r="M3634" i="122"/>
  <c r="O3634" i="122" s="1"/>
  <c r="M3633" i="122"/>
  <c r="M3632" i="122"/>
  <c r="O3632" i="122" s="1"/>
  <c r="M3631" i="122"/>
  <c r="M3630" i="122"/>
  <c r="M3629" i="122"/>
  <c r="M3628" i="122"/>
  <c r="M3627" i="122"/>
  <c r="M3626" i="122"/>
  <c r="M3625" i="122"/>
  <c r="M3624" i="122"/>
  <c r="M3623" i="122"/>
  <c r="M3622" i="122"/>
  <c r="M3621" i="122"/>
  <c r="M3620" i="122"/>
  <c r="M3619" i="122"/>
  <c r="M3618" i="122"/>
  <c r="M3617" i="122"/>
  <c r="M3616" i="122"/>
  <c r="M3615" i="122"/>
  <c r="M3614" i="122"/>
  <c r="M3613" i="122"/>
  <c r="M3612" i="122"/>
  <c r="M3611" i="122"/>
  <c r="M3610" i="122"/>
  <c r="M3609" i="122"/>
  <c r="M3608" i="122"/>
  <c r="M3607" i="122"/>
  <c r="M3606" i="122"/>
  <c r="M3605" i="122"/>
  <c r="M3604" i="122"/>
  <c r="M3603" i="122"/>
  <c r="O3602" i="122"/>
  <c r="M3602" i="122"/>
  <c r="M3601" i="122"/>
  <c r="M3600" i="122"/>
  <c r="M3599" i="122"/>
  <c r="M3598" i="122"/>
  <c r="M3597" i="122"/>
  <c r="M3596" i="122"/>
  <c r="O3596" i="122" s="1"/>
  <c r="P3595" i="122"/>
  <c r="M3595" i="122"/>
  <c r="O3595" i="122" s="1"/>
  <c r="M3594" i="122"/>
  <c r="M3593" i="122"/>
  <c r="O3592" i="122"/>
  <c r="M3592" i="122"/>
  <c r="M3591" i="122"/>
  <c r="M3590" i="122"/>
  <c r="M3589" i="122"/>
  <c r="O3589" i="122" s="1"/>
  <c r="M3588" i="122"/>
  <c r="O3588" i="122" s="1"/>
  <c r="P3588" i="122" s="1"/>
  <c r="M3587" i="122"/>
  <c r="M3586" i="122"/>
  <c r="O3586" i="122" s="1"/>
  <c r="P3585" i="122"/>
  <c r="M3585" i="122"/>
  <c r="O3585" i="122" s="1"/>
  <c r="M3584" i="122"/>
  <c r="O3584" i="122" s="1"/>
  <c r="P3584" i="122" s="1"/>
  <c r="P3583" i="122"/>
  <c r="M3583" i="122"/>
  <c r="O3583" i="122" s="1"/>
  <c r="M3582" i="122"/>
  <c r="M3581" i="122"/>
  <c r="O3581" i="122" s="1"/>
  <c r="O3580" i="122"/>
  <c r="P3580" i="122" s="1"/>
  <c r="M3580" i="122"/>
  <c r="M3579" i="122"/>
  <c r="M3578" i="122"/>
  <c r="M3577" i="122"/>
  <c r="O3576" i="122"/>
  <c r="P3576" i="122" s="1"/>
  <c r="M3576" i="122"/>
  <c r="M3575" i="122"/>
  <c r="O3575" i="122" s="1"/>
  <c r="O3574" i="122"/>
  <c r="M3574" i="122"/>
  <c r="M3573" i="122"/>
  <c r="M3572" i="122"/>
  <c r="M3571" i="122"/>
  <c r="M3570" i="122"/>
  <c r="M3569" i="122"/>
  <c r="O3569" i="122" s="1"/>
  <c r="M3568" i="122"/>
  <c r="O3568" i="122" s="1"/>
  <c r="P3568" i="122" s="1"/>
  <c r="M3567" i="122"/>
  <c r="M3566" i="122"/>
  <c r="O3566" i="122" s="1"/>
  <c r="M3565" i="122"/>
  <c r="M3564" i="122"/>
  <c r="O3564" i="122" s="1"/>
  <c r="P3564" i="122" s="1"/>
  <c r="M3563" i="122"/>
  <c r="M3562" i="122"/>
  <c r="M3561" i="122"/>
  <c r="M3560" i="122"/>
  <c r="O3560" i="122" s="1"/>
  <c r="P3560" i="122" s="1"/>
  <c r="O3559" i="122"/>
  <c r="M3559" i="122"/>
  <c r="O3558" i="122"/>
  <c r="M3558" i="122"/>
  <c r="M3557" i="122"/>
  <c r="M3556" i="122"/>
  <c r="M3555" i="122"/>
  <c r="O3555" i="122" s="1"/>
  <c r="M3554" i="122"/>
  <c r="M3553" i="122"/>
  <c r="O3553" i="122" s="1"/>
  <c r="M3552" i="122"/>
  <c r="O3552" i="122" s="1"/>
  <c r="P3552" i="122" s="1"/>
  <c r="M3551" i="122"/>
  <c r="M3550" i="122"/>
  <c r="M3549" i="122"/>
  <c r="P3548" i="122"/>
  <c r="M3548" i="122"/>
  <c r="O3548" i="122" s="1"/>
  <c r="P3547" i="122"/>
  <c r="M3547" i="122"/>
  <c r="O3547" i="122" s="1"/>
  <c r="M3546" i="122"/>
  <c r="M3545" i="122"/>
  <c r="M3544" i="122"/>
  <c r="O3544" i="122" s="1"/>
  <c r="P3544" i="122" s="1"/>
  <c r="M3543" i="122"/>
  <c r="O3543" i="122" s="1"/>
  <c r="M3542" i="122"/>
  <c r="M3541" i="122"/>
  <c r="O3541" i="122" s="1"/>
  <c r="M3540" i="122"/>
  <c r="O3539" i="122"/>
  <c r="M3539" i="122"/>
  <c r="M3538" i="122"/>
  <c r="M3537" i="122"/>
  <c r="O3537" i="122" s="1"/>
  <c r="M3536" i="122"/>
  <c r="O3535" i="122"/>
  <c r="M3535" i="122"/>
  <c r="M3534" i="122"/>
  <c r="M3533" i="122"/>
  <c r="M3532" i="122"/>
  <c r="O3532" i="122" s="1"/>
  <c r="P3532" i="122" s="1"/>
  <c r="M3531" i="122"/>
  <c r="O3531" i="122" s="1"/>
  <c r="O3530" i="122"/>
  <c r="M3530" i="122"/>
  <c r="P3529" i="122"/>
  <c r="M3529" i="122"/>
  <c r="O3529" i="122" s="1"/>
  <c r="O3528" i="122"/>
  <c r="P3528" i="122" s="1"/>
  <c r="M3528" i="122"/>
  <c r="M3527" i="122"/>
  <c r="O3527" i="122" s="1"/>
  <c r="P3527" i="122" s="1"/>
  <c r="M3526" i="122"/>
  <c r="M3525" i="122"/>
  <c r="O3525" i="122" s="1"/>
  <c r="M3524" i="122"/>
  <c r="O3524" i="122" s="1"/>
  <c r="P3524" i="122" s="1"/>
  <c r="M3523" i="122"/>
  <c r="O3522" i="122"/>
  <c r="M3522" i="122"/>
  <c r="M3521" i="122"/>
  <c r="P3520" i="122"/>
  <c r="O3520" i="122"/>
  <c r="M3520" i="122"/>
  <c r="M3519" i="122"/>
  <c r="M3518" i="122"/>
  <c r="M3517" i="122"/>
  <c r="O3517" i="122" s="1"/>
  <c r="M3516" i="122"/>
  <c r="O3516" i="122" s="1"/>
  <c r="P3516" i="122" s="1"/>
  <c r="M3515" i="122"/>
  <c r="M3514" i="122"/>
  <c r="M3513" i="122"/>
  <c r="M3512" i="122"/>
  <c r="M3511" i="122"/>
  <c r="O3511" i="122" s="1"/>
  <c r="M3510" i="122"/>
  <c r="M3509" i="122"/>
  <c r="M3508" i="122"/>
  <c r="O3508" i="122" s="1"/>
  <c r="O3507" i="122"/>
  <c r="M3507" i="122"/>
  <c r="M3506" i="122"/>
  <c r="M3505" i="122"/>
  <c r="O3505" i="122" s="1"/>
  <c r="M3504" i="122"/>
  <c r="M3503" i="122"/>
  <c r="M3502" i="122"/>
  <c r="M3501" i="122"/>
  <c r="M3500" i="122"/>
  <c r="M3499" i="122"/>
  <c r="O3499" i="122" s="1"/>
  <c r="P3499" i="122" s="1"/>
  <c r="M3498" i="122"/>
  <c r="M3497" i="122"/>
  <c r="M3496" i="122"/>
  <c r="M3495" i="122"/>
  <c r="M3494" i="122"/>
  <c r="M3493" i="122"/>
  <c r="O3492" i="122"/>
  <c r="M3492" i="122"/>
  <c r="M3491" i="122"/>
  <c r="O3490" i="122"/>
  <c r="M3490" i="122"/>
  <c r="M3489" i="122"/>
  <c r="O3488" i="122"/>
  <c r="M3488" i="122"/>
  <c r="M3487" i="122"/>
  <c r="M3486" i="122"/>
  <c r="M3485" i="122"/>
  <c r="P3484" i="122"/>
  <c r="M3484" i="122"/>
  <c r="O3484" i="122" s="1"/>
  <c r="O3483" i="122"/>
  <c r="M3483" i="122"/>
  <c r="M3482" i="122"/>
  <c r="M3481" i="122"/>
  <c r="M3480" i="122"/>
  <c r="M3479" i="122"/>
  <c r="M3478" i="122"/>
  <c r="M3477" i="122"/>
  <c r="M3476" i="122"/>
  <c r="M3475" i="122"/>
  <c r="M3474" i="122"/>
  <c r="M3473" i="122"/>
  <c r="O3472" i="122"/>
  <c r="P3472" i="122" s="1"/>
  <c r="M3472" i="122"/>
  <c r="M3471" i="122"/>
  <c r="M3470" i="122"/>
  <c r="O3470" i="122" s="1"/>
  <c r="M3469" i="122"/>
  <c r="M3468" i="122"/>
  <c r="M3467" i="122"/>
  <c r="O3466" i="122"/>
  <c r="P3466" i="122" s="1"/>
  <c r="M3466" i="122"/>
  <c r="M3465" i="122"/>
  <c r="M3464" i="122"/>
  <c r="M3463" i="122"/>
  <c r="M3462" i="122"/>
  <c r="M3461" i="122"/>
  <c r="M3460" i="122"/>
  <c r="M3459" i="122"/>
  <c r="M3458" i="122"/>
  <c r="M3457" i="122"/>
  <c r="M3456" i="122"/>
  <c r="M3455" i="122"/>
  <c r="M3454" i="122"/>
  <c r="M3453" i="122"/>
  <c r="M3452" i="122"/>
  <c r="O3452" i="122" s="1"/>
  <c r="P3452" i="122" s="1"/>
  <c r="M3451" i="122"/>
  <c r="M3450" i="122"/>
  <c r="M3449" i="122"/>
  <c r="O3448" i="122"/>
  <c r="P3448" i="122" s="1"/>
  <c r="M3448" i="122"/>
  <c r="M3447" i="122"/>
  <c r="M3446" i="122"/>
  <c r="M3445" i="122"/>
  <c r="O3444" i="122"/>
  <c r="M3444" i="122"/>
  <c r="M3443" i="122"/>
  <c r="O3443" i="122" s="1"/>
  <c r="P3443" i="122" s="1"/>
  <c r="M3442" i="122"/>
  <c r="M3441" i="122"/>
  <c r="O3440" i="122"/>
  <c r="M3440" i="122"/>
  <c r="M3439" i="122"/>
  <c r="O3439" i="122" s="1"/>
  <c r="M3438" i="122"/>
  <c r="M3437" i="122"/>
  <c r="O3436" i="122"/>
  <c r="P3436" i="122" s="1"/>
  <c r="M3436" i="122"/>
  <c r="M3435" i="122"/>
  <c r="M3434" i="122"/>
  <c r="M3433" i="122"/>
  <c r="M3432" i="122"/>
  <c r="M3431" i="122"/>
  <c r="O3431" i="122" s="1"/>
  <c r="M3430" i="122"/>
  <c r="O3430" i="122" s="1"/>
  <c r="M3429" i="122"/>
  <c r="M3428" i="122"/>
  <c r="M3427" i="122"/>
  <c r="M3426" i="122"/>
  <c r="O3426" i="122" s="1"/>
  <c r="M3425" i="122"/>
  <c r="M3424" i="122"/>
  <c r="M3423" i="122"/>
  <c r="O3423" i="122" s="1"/>
  <c r="M3422" i="122"/>
  <c r="M3421" i="122"/>
  <c r="M3420" i="122"/>
  <c r="M3419" i="122"/>
  <c r="O3419" i="122" s="1"/>
  <c r="P3419" i="122" s="1"/>
  <c r="M3418" i="122"/>
  <c r="M3417" i="122"/>
  <c r="M3416" i="122"/>
  <c r="M3415" i="122"/>
  <c r="M3414" i="122"/>
  <c r="O3414" i="122" s="1"/>
  <c r="M3413" i="122"/>
  <c r="O3412" i="122"/>
  <c r="M3412" i="122"/>
  <c r="P3412" i="122" s="1"/>
  <c r="P3411" i="122"/>
  <c r="M3411" i="122"/>
  <c r="O3411" i="122" s="1"/>
  <c r="M3410" i="122"/>
  <c r="M3409" i="122"/>
  <c r="M3408" i="122"/>
  <c r="M3407" i="122"/>
  <c r="P3406" i="122"/>
  <c r="M3406" i="122"/>
  <c r="O3406" i="122" s="1"/>
  <c r="M3405" i="122"/>
  <c r="O3404" i="122"/>
  <c r="M3404" i="122"/>
  <c r="M3403" i="122"/>
  <c r="O3403" i="122" s="1"/>
  <c r="P3403" i="122" s="1"/>
  <c r="M3402" i="122"/>
  <c r="P3401" i="122"/>
  <c r="M3401" i="122"/>
  <c r="O3401" i="122" s="1"/>
  <c r="M3400" i="122"/>
  <c r="M3399" i="122"/>
  <c r="M3398" i="122"/>
  <c r="O3398" i="122" s="1"/>
  <c r="M3397" i="122"/>
  <c r="M3396" i="122"/>
  <c r="M3395" i="122"/>
  <c r="M3394" i="122"/>
  <c r="P3393" i="122"/>
  <c r="M3393" i="122"/>
  <c r="O3393" i="122" s="1"/>
  <c r="M3392" i="122"/>
  <c r="M3391" i="122"/>
  <c r="M3390" i="122"/>
  <c r="M3389" i="122"/>
  <c r="M3388" i="122"/>
  <c r="O3388" i="122" s="1"/>
  <c r="P3388" i="122" s="1"/>
  <c r="P3387" i="122"/>
  <c r="M3387" i="122"/>
  <c r="O3387" i="122" s="1"/>
  <c r="M3386" i="122"/>
  <c r="M3385" i="122"/>
  <c r="M3384" i="122"/>
  <c r="M3383" i="122"/>
  <c r="O3383" i="122" s="1"/>
  <c r="M3382" i="122"/>
  <c r="O3382" i="122" s="1"/>
  <c r="M3381" i="122"/>
  <c r="M3380" i="122"/>
  <c r="M3379" i="122"/>
  <c r="O3379" i="122" s="1"/>
  <c r="M3378" i="122"/>
  <c r="P3377" i="122"/>
  <c r="M3377" i="122"/>
  <c r="O3377" i="122" s="1"/>
  <c r="M3376" i="122"/>
  <c r="M3375" i="122"/>
  <c r="M3374" i="122"/>
  <c r="M3373" i="122"/>
  <c r="M3372" i="122"/>
  <c r="O3372" i="122" s="1"/>
  <c r="P3372" i="122" s="1"/>
  <c r="M3371" i="122"/>
  <c r="O3371" i="122" s="1"/>
  <c r="M3370" i="122"/>
  <c r="M3369" i="122"/>
  <c r="M3368" i="122"/>
  <c r="M3367" i="122"/>
  <c r="O3367" i="122" s="1"/>
  <c r="M3366" i="122"/>
  <c r="M3365" i="122"/>
  <c r="M3364" i="122"/>
  <c r="M3363" i="122"/>
  <c r="O3363" i="122" s="1"/>
  <c r="M3362" i="122"/>
  <c r="M3361" i="122"/>
  <c r="M3360" i="122"/>
  <c r="L3355" i="122"/>
  <c r="K3355" i="122"/>
  <c r="M3354" i="122"/>
  <c r="M3353" i="122"/>
  <c r="M3352" i="122"/>
  <c r="M3351" i="122"/>
  <c r="M3350" i="122"/>
  <c r="M3349" i="122"/>
  <c r="M3348" i="122"/>
  <c r="M3347" i="122"/>
  <c r="M3346" i="122"/>
  <c r="M3345" i="122"/>
  <c r="M3344" i="122"/>
  <c r="M3343" i="122"/>
  <c r="M3342" i="122"/>
  <c r="M3341" i="122"/>
  <c r="M3340" i="122"/>
  <c r="M3339" i="122"/>
  <c r="M3338" i="122"/>
  <c r="M3337" i="122"/>
  <c r="M3336" i="122"/>
  <c r="M3335" i="122"/>
  <c r="M3334" i="122"/>
  <c r="M3333" i="122"/>
  <c r="M3332" i="122"/>
  <c r="M3331" i="122"/>
  <c r="M3330" i="122"/>
  <c r="M3329" i="122"/>
  <c r="M3328" i="122"/>
  <c r="M3327" i="122"/>
  <c r="M3326" i="122"/>
  <c r="M3325" i="122"/>
  <c r="M3324" i="122"/>
  <c r="M3323" i="122"/>
  <c r="M3322" i="122"/>
  <c r="M3321" i="122"/>
  <c r="M3320" i="122"/>
  <c r="M3319" i="122"/>
  <c r="M3318" i="122"/>
  <c r="M3317" i="122"/>
  <c r="M3316" i="122"/>
  <c r="M3315" i="122"/>
  <c r="M3314" i="122"/>
  <c r="M3313" i="122"/>
  <c r="M3312" i="122"/>
  <c r="M3311" i="122"/>
  <c r="M3310" i="122"/>
  <c r="M3309" i="122"/>
  <c r="M3308" i="122"/>
  <c r="M3307" i="122"/>
  <c r="M3306" i="122"/>
  <c r="M3305" i="122"/>
  <c r="M3304" i="122"/>
  <c r="M3303" i="122"/>
  <c r="M3302" i="122"/>
  <c r="M3301" i="122"/>
  <c r="M3300" i="122"/>
  <c r="M3299" i="122"/>
  <c r="M3298" i="122"/>
  <c r="M3297" i="122"/>
  <c r="M3296" i="122"/>
  <c r="M3295" i="122"/>
  <c r="M3294" i="122"/>
  <c r="M3293" i="122"/>
  <c r="M3292" i="122"/>
  <c r="M3291" i="122"/>
  <c r="M3290" i="122"/>
  <c r="M3289" i="122"/>
  <c r="M3288" i="122"/>
  <c r="M3287" i="122"/>
  <c r="M3286" i="122"/>
  <c r="M3285" i="122"/>
  <c r="M3284" i="122"/>
  <c r="M3283" i="122"/>
  <c r="M3282" i="122"/>
  <c r="M3281" i="122"/>
  <c r="M3280" i="122"/>
  <c r="M3279" i="122"/>
  <c r="M3278" i="122"/>
  <c r="M3277" i="122"/>
  <c r="M3276" i="122"/>
  <c r="M3275" i="122"/>
  <c r="M3274" i="122"/>
  <c r="M3273" i="122"/>
  <c r="M3272" i="122"/>
  <c r="M3271" i="122"/>
  <c r="M3270" i="122"/>
  <c r="M3269" i="122"/>
  <c r="M3268" i="122"/>
  <c r="M3267" i="122"/>
  <c r="M3266" i="122"/>
  <c r="M3265" i="122"/>
  <c r="M3264" i="122"/>
  <c r="M3263" i="122"/>
  <c r="M3262" i="122"/>
  <c r="M3261" i="122"/>
  <c r="M3260" i="122"/>
  <c r="M3259" i="122"/>
  <c r="M3258" i="122"/>
  <c r="M3257" i="122"/>
  <c r="M3256" i="122"/>
  <c r="M3255" i="122"/>
  <c r="M3254" i="122"/>
  <c r="M3253" i="122"/>
  <c r="M3252" i="122"/>
  <c r="M3251" i="122"/>
  <c r="M3250" i="122"/>
  <c r="M3249" i="122"/>
  <c r="M3248" i="122"/>
  <c r="M3247" i="122"/>
  <c r="M3246" i="122"/>
  <c r="M3245" i="122"/>
  <c r="M3244" i="122"/>
  <c r="M3243" i="122"/>
  <c r="M3242" i="122"/>
  <c r="M3241" i="122"/>
  <c r="M3240" i="122"/>
  <c r="M3239" i="122"/>
  <c r="M3238" i="122"/>
  <c r="M3237" i="122"/>
  <c r="M3236" i="122"/>
  <c r="M3235" i="122"/>
  <c r="M3234" i="122"/>
  <c r="M3233" i="122"/>
  <c r="M3232" i="122"/>
  <c r="M3231" i="122"/>
  <c r="M3230" i="122"/>
  <c r="M3229" i="122"/>
  <c r="M3228" i="122"/>
  <c r="M3227" i="122"/>
  <c r="M3226" i="122"/>
  <c r="M3225" i="122"/>
  <c r="M3224" i="122"/>
  <c r="M3223" i="122"/>
  <c r="M3222" i="122"/>
  <c r="M3221" i="122"/>
  <c r="M3220" i="122"/>
  <c r="M3219" i="122"/>
  <c r="M3218" i="122"/>
  <c r="M3217" i="122"/>
  <c r="M3216" i="122"/>
  <c r="M3215" i="122"/>
  <c r="M3214" i="122"/>
  <c r="M3213" i="122"/>
  <c r="M3212" i="122"/>
  <c r="M3211" i="122"/>
  <c r="M3210" i="122"/>
  <c r="M3209" i="122"/>
  <c r="M3208" i="122"/>
  <c r="M3207" i="122"/>
  <c r="M3206" i="122"/>
  <c r="M3205" i="122"/>
  <c r="M3204" i="122"/>
  <c r="M3203" i="122"/>
  <c r="M3202" i="122"/>
  <c r="M3201" i="122"/>
  <c r="M3200" i="122"/>
  <c r="M3199" i="122"/>
  <c r="M3198" i="122"/>
  <c r="M3197" i="122"/>
  <c r="M3196" i="122"/>
  <c r="M3195" i="122"/>
  <c r="M3194" i="122"/>
  <c r="M3193" i="122"/>
  <c r="M3192" i="122"/>
  <c r="M3191" i="122"/>
  <c r="M3190" i="122"/>
  <c r="M3189" i="122"/>
  <c r="M3188" i="122"/>
  <c r="M3187" i="122"/>
  <c r="M3186" i="122"/>
  <c r="M3185" i="122"/>
  <c r="M3184" i="122"/>
  <c r="M3183" i="122"/>
  <c r="M3182" i="122"/>
  <c r="M3181" i="122"/>
  <c r="M3180" i="122"/>
  <c r="M3179" i="122"/>
  <c r="M3178" i="122"/>
  <c r="M3177" i="122"/>
  <c r="M3176" i="122"/>
  <c r="M3175" i="122"/>
  <c r="M3174" i="122"/>
  <c r="M3173" i="122"/>
  <c r="M3172" i="122"/>
  <c r="M3171" i="122"/>
  <c r="M3170" i="122"/>
  <c r="M3169" i="122"/>
  <c r="M3168" i="122"/>
  <c r="M3167" i="122"/>
  <c r="M3166" i="122"/>
  <c r="M3165" i="122"/>
  <c r="M3164" i="122"/>
  <c r="M3163" i="122"/>
  <c r="M3162" i="122"/>
  <c r="M3161" i="122"/>
  <c r="M3160" i="122"/>
  <c r="M3159" i="122"/>
  <c r="M3158" i="122"/>
  <c r="M3157" i="122"/>
  <c r="M3156" i="122"/>
  <c r="M3155" i="122"/>
  <c r="M3154" i="122"/>
  <c r="M3153" i="122"/>
  <c r="M3152" i="122"/>
  <c r="M3151" i="122"/>
  <c r="M3150" i="122"/>
  <c r="M3149" i="122"/>
  <c r="M3148" i="122"/>
  <c r="M3147" i="122"/>
  <c r="M3146" i="122"/>
  <c r="M3145" i="122"/>
  <c r="M3144" i="122"/>
  <c r="M3143" i="122"/>
  <c r="M3142" i="122"/>
  <c r="M3141" i="122"/>
  <c r="M3140" i="122"/>
  <c r="M3139" i="122"/>
  <c r="M3138" i="122"/>
  <c r="M3137" i="122"/>
  <c r="M3136" i="122"/>
  <c r="M3135" i="122"/>
  <c r="M3134" i="122"/>
  <c r="M3133" i="122"/>
  <c r="M3132" i="122"/>
  <c r="M3131" i="122"/>
  <c r="M3130" i="122"/>
  <c r="M3129" i="122"/>
  <c r="M3128" i="122"/>
  <c r="M3127" i="122"/>
  <c r="M3126" i="122"/>
  <c r="M3125" i="122"/>
  <c r="M3124" i="122"/>
  <c r="M3123" i="122"/>
  <c r="M3122" i="122"/>
  <c r="M3121" i="122"/>
  <c r="M3120" i="122"/>
  <c r="M3119" i="122"/>
  <c r="M3118" i="122"/>
  <c r="M3117" i="122"/>
  <c r="M3116" i="122"/>
  <c r="M3115" i="122"/>
  <c r="M3114" i="122"/>
  <c r="M3113" i="122"/>
  <c r="M3112" i="122"/>
  <c r="M3111" i="122"/>
  <c r="M3110" i="122"/>
  <c r="M3109" i="122"/>
  <c r="M3108" i="122"/>
  <c r="M3107" i="122"/>
  <c r="M3106" i="122"/>
  <c r="M3105" i="122"/>
  <c r="M3104" i="122"/>
  <c r="M3103" i="122"/>
  <c r="M3102" i="122"/>
  <c r="M3101" i="122"/>
  <c r="M3100" i="122"/>
  <c r="M3099" i="122"/>
  <c r="M3098" i="122"/>
  <c r="M3097" i="122"/>
  <c r="M3096" i="122"/>
  <c r="M3095" i="122"/>
  <c r="M3094" i="122"/>
  <c r="M3093" i="122"/>
  <c r="M3092" i="122"/>
  <c r="M3091" i="122"/>
  <c r="M3090" i="122"/>
  <c r="M3089" i="122"/>
  <c r="M3088" i="122"/>
  <c r="M3087" i="122"/>
  <c r="M3086" i="122"/>
  <c r="M3085" i="122"/>
  <c r="M3084" i="122"/>
  <c r="M3083" i="122"/>
  <c r="M3082" i="122"/>
  <c r="M3081" i="122"/>
  <c r="M3080" i="122"/>
  <c r="M3079" i="122"/>
  <c r="M3078" i="122"/>
  <c r="M3077" i="122"/>
  <c r="M3076" i="122"/>
  <c r="M3075" i="122"/>
  <c r="M3074" i="122"/>
  <c r="M3073" i="122"/>
  <c r="M3072" i="122"/>
  <c r="M3071" i="122"/>
  <c r="M3070" i="122"/>
  <c r="M3069" i="122"/>
  <c r="M3068" i="122"/>
  <c r="M3067" i="122"/>
  <c r="M3066" i="122"/>
  <c r="M3065" i="122"/>
  <c r="M3064" i="122"/>
  <c r="M3063" i="122"/>
  <c r="M3062" i="122"/>
  <c r="M3061" i="122"/>
  <c r="M3060" i="122"/>
  <c r="M3059" i="122"/>
  <c r="M3058" i="122"/>
  <c r="M3057" i="122"/>
  <c r="M3056" i="122"/>
  <c r="M3055" i="122"/>
  <c r="M3054" i="122"/>
  <c r="M3053" i="122"/>
  <c r="M3052" i="122"/>
  <c r="M3051" i="122"/>
  <c r="M3050" i="122"/>
  <c r="M3049" i="122"/>
  <c r="M3048" i="122"/>
  <c r="M3047" i="122"/>
  <c r="M3046" i="122"/>
  <c r="M3045" i="122"/>
  <c r="M3044" i="122"/>
  <c r="M3043" i="122"/>
  <c r="M3042" i="122"/>
  <c r="M3041" i="122"/>
  <c r="M3040" i="122"/>
  <c r="M3039" i="122"/>
  <c r="M3038" i="122"/>
  <c r="M3037" i="122"/>
  <c r="M3036" i="122"/>
  <c r="M3035" i="122"/>
  <c r="M3034" i="122"/>
  <c r="M3033" i="122"/>
  <c r="M3032" i="122"/>
  <c r="M3031" i="122"/>
  <c r="M3030" i="122"/>
  <c r="M3029" i="122"/>
  <c r="M3028" i="122"/>
  <c r="M3027" i="122"/>
  <c r="M3026" i="122"/>
  <c r="M3025" i="122"/>
  <c r="M3024" i="122"/>
  <c r="M3023" i="122"/>
  <c r="M3022" i="122"/>
  <c r="M3021" i="122"/>
  <c r="M3020" i="122"/>
  <c r="M3019" i="122"/>
  <c r="M3018" i="122"/>
  <c r="M3017" i="122"/>
  <c r="M3016" i="122"/>
  <c r="M3015" i="122"/>
  <c r="M3014" i="122"/>
  <c r="M3013" i="122"/>
  <c r="M3012" i="122"/>
  <c r="M3011" i="122"/>
  <c r="M3010" i="122"/>
  <c r="M3009" i="122"/>
  <c r="M3008" i="122"/>
  <c r="M3007" i="122"/>
  <c r="M3006" i="122"/>
  <c r="M3005" i="122"/>
  <c r="M3004" i="122"/>
  <c r="M3003" i="122"/>
  <c r="M3002" i="122"/>
  <c r="M3001" i="122"/>
  <c r="M3000" i="122"/>
  <c r="M2999" i="122"/>
  <c r="M2998" i="122"/>
  <c r="M2997" i="122"/>
  <c r="M2996" i="122"/>
  <c r="M2995" i="122"/>
  <c r="M2994" i="122"/>
  <c r="M2993" i="122"/>
  <c r="M2992" i="122"/>
  <c r="M2991" i="122"/>
  <c r="M2990" i="122"/>
  <c r="M2989" i="122"/>
  <c r="M2988" i="122"/>
  <c r="M2987" i="122"/>
  <c r="M2986" i="122"/>
  <c r="M2985" i="122"/>
  <c r="M2984" i="122"/>
  <c r="M2983" i="122"/>
  <c r="P2982" i="122"/>
  <c r="M2982" i="122"/>
  <c r="O2982" i="122" s="1"/>
  <c r="O2981" i="122"/>
  <c r="M2981" i="122"/>
  <c r="M2980" i="122"/>
  <c r="M2979" i="122"/>
  <c r="P2978" i="122"/>
  <c r="M2978" i="122"/>
  <c r="O2978" i="122" s="1"/>
  <c r="M2977" i="122"/>
  <c r="M2976" i="122"/>
  <c r="M2975" i="122"/>
  <c r="M2974" i="122"/>
  <c r="O2974" i="122" s="1"/>
  <c r="M2973" i="122"/>
  <c r="O2973" i="122" s="1"/>
  <c r="P2973" i="122" s="1"/>
  <c r="M2972" i="122"/>
  <c r="M2971" i="122"/>
  <c r="M2970" i="122"/>
  <c r="O2970" i="122" s="1"/>
  <c r="M2969" i="122"/>
  <c r="M2968" i="122"/>
  <c r="M2967" i="122"/>
  <c r="M2966" i="122"/>
  <c r="M2965" i="122"/>
  <c r="M2964" i="122"/>
  <c r="M2963" i="122"/>
  <c r="M2962" i="122"/>
  <c r="M2961" i="122"/>
  <c r="M2960" i="122"/>
  <c r="M2959" i="122"/>
  <c r="M2958" i="122"/>
  <c r="M2957" i="122"/>
  <c r="M2956" i="122"/>
  <c r="M2955" i="122"/>
  <c r="M2954" i="122"/>
  <c r="M2953" i="122"/>
  <c r="M2952" i="122"/>
  <c r="M2951" i="122"/>
  <c r="M2950" i="122"/>
  <c r="M2949" i="122"/>
  <c r="M2948" i="122"/>
  <c r="M2947" i="122"/>
  <c r="M2946" i="122"/>
  <c r="M2945" i="122"/>
  <c r="M2944" i="122"/>
  <c r="M2943" i="122"/>
  <c r="M2942" i="122"/>
  <c r="M2941" i="122"/>
  <c r="M2940" i="122"/>
  <c r="M2939" i="122"/>
  <c r="M2938" i="122"/>
  <c r="M2937" i="122"/>
  <c r="M2936" i="122"/>
  <c r="M2935" i="122"/>
  <c r="M2934" i="122"/>
  <c r="M2933" i="122"/>
  <c r="M2932" i="122"/>
  <c r="P2931" i="122"/>
  <c r="M2931" i="122"/>
  <c r="O2931" i="122" s="1"/>
  <c r="M2930" i="122"/>
  <c r="O2930" i="122" s="1"/>
  <c r="P2930" i="122" s="1"/>
  <c r="M2929" i="122"/>
  <c r="M2928" i="122"/>
  <c r="M2927" i="122"/>
  <c r="O2927" i="122" s="1"/>
  <c r="O2926" i="122"/>
  <c r="M2926" i="122"/>
  <c r="M2925" i="122"/>
  <c r="M2924" i="122"/>
  <c r="P2923" i="122"/>
  <c r="M2923" i="122"/>
  <c r="O2923" i="122" s="1"/>
  <c r="P2922" i="122"/>
  <c r="M2922" i="122"/>
  <c r="O2922" i="122" s="1"/>
  <c r="M2921" i="122"/>
  <c r="M2920" i="122"/>
  <c r="M2919" i="122"/>
  <c r="M2918" i="122"/>
  <c r="O2918" i="122" s="1"/>
  <c r="P2918" i="122" s="1"/>
  <c r="M2917" i="122"/>
  <c r="O2917" i="122" s="1"/>
  <c r="P2917" i="122" s="1"/>
  <c r="M2916" i="122"/>
  <c r="M2915" i="122"/>
  <c r="O2915" i="122" s="1"/>
  <c r="O2914" i="122"/>
  <c r="P2914" i="122" s="1"/>
  <c r="M2914" i="122"/>
  <c r="M2913" i="122"/>
  <c r="M2912" i="122"/>
  <c r="P2911" i="122"/>
  <c r="M2911" i="122"/>
  <c r="O2911" i="122" s="1"/>
  <c r="P2910" i="122"/>
  <c r="M2910" i="122"/>
  <c r="O2910" i="122" s="1"/>
  <c r="M2909" i="122"/>
  <c r="O2909" i="122" s="1"/>
  <c r="M2908" i="122"/>
  <c r="M2907" i="122"/>
  <c r="M2906" i="122"/>
  <c r="M2905" i="122"/>
  <c r="M2904" i="122"/>
  <c r="P2903" i="122"/>
  <c r="M2903" i="122"/>
  <c r="O2903" i="122" s="1"/>
  <c r="P2902" i="122"/>
  <c r="M2902" i="122"/>
  <c r="O2902" i="122" s="1"/>
  <c r="M2901" i="122"/>
  <c r="M2900" i="122"/>
  <c r="M2899" i="122"/>
  <c r="O2899" i="122" s="1"/>
  <c r="M2898" i="122"/>
  <c r="M2897" i="122"/>
  <c r="M2896" i="122"/>
  <c r="P2895" i="122"/>
  <c r="M2895" i="122"/>
  <c r="O2895" i="122" s="1"/>
  <c r="M2894" i="122"/>
  <c r="O2894" i="122" s="1"/>
  <c r="P2894" i="122" s="1"/>
  <c r="M2893" i="122"/>
  <c r="M2892" i="122"/>
  <c r="M2891" i="122"/>
  <c r="M2890" i="122"/>
  <c r="M2889" i="122"/>
  <c r="O2889" i="122" s="1"/>
  <c r="M2888" i="122"/>
  <c r="M2887" i="122"/>
  <c r="M2886" i="122"/>
  <c r="O2886" i="122" s="1"/>
  <c r="P2886" i="122" s="1"/>
  <c r="M2885" i="122"/>
  <c r="O2885" i="122" s="1"/>
  <c r="P2885" i="122" s="1"/>
  <c r="M2884" i="122"/>
  <c r="M2883" i="122"/>
  <c r="O2883" i="122" s="1"/>
  <c r="O2882" i="122"/>
  <c r="P2882" i="122" s="1"/>
  <c r="M2882" i="122"/>
  <c r="M2881" i="122"/>
  <c r="M2880" i="122"/>
  <c r="P2879" i="122"/>
  <c r="M2879" i="122"/>
  <c r="O2879" i="122" s="1"/>
  <c r="P2878" i="122"/>
  <c r="M2878" i="122"/>
  <c r="O2878" i="122" s="1"/>
  <c r="M2877" i="122"/>
  <c r="M2876" i="122"/>
  <c r="P2875" i="122"/>
  <c r="M2875" i="122"/>
  <c r="O2875" i="122" s="1"/>
  <c r="M2874" i="122"/>
  <c r="M2873" i="122"/>
  <c r="M2872" i="122"/>
  <c r="M2871" i="122"/>
  <c r="M2870" i="122"/>
  <c r="O2870" i="122" s="1"/>
  <c r="P2870" i="122" s="1"/>
  <c r="M2869" i="122"/>
  <c r="M2868" i="122"/>
  <c r="M2867" i="122"/>
  <c r="O2867" i="122" s="1"/>
  <c r="M2866" i="122"/>
  <c r="M2865" i="122"/>
  <c r="M2864" i="122"/>
  <c r="P2863" i="122"/>
  <c r="M2863" i="122"/>
  <c r="O2863" i="122" s="1"/>
  <c r="O2862" i="122"/>
  <c r="M2862" i="122"/>
  <c r="M2861" i="122"/>
  <c r="M2860" i="122"/>
  <c r="M2859" i="122"/>
  <c r="O2859" i="122" s="1"/>
  <c r="M2858" i="122"/>
  <c r="O2858" i="122" s="1"/>
  <c r="P2858" i="122" s="1"/>
  <c r="M2857" i="122"/>
  <c r="M2856" i="122"/>
  <c r="M2855" i="122"/>
  <c r="M2854" i="122"/>
  <c r="O2854" i="122" s="1"/>
  <c r="P2854" i="122" s="1"/>
  <c r="P2853" i="122"/>
  <c r="M2853" i="122"/>
  <c r="O2853" i="122" s="1"/>
  <c r="M2852" i="122"/>
  <c r="M2851" i="122"/>
  <c r="O2851" i="122" s="1"/>
  <c r="M2850" i="122"/>
  <c r="O2850" i="122" s="1"/>
  <c r="P2850" i="122" s="1"/>
  <c r="M2849" i="122"/>
  <c r="O2849" i="122" s="1"/>
  <c r="M2848" i="122"/>
  <c r="M2847" i="122"/>
  <c r="M2846" i="122"/>
  <c r="M2845" i="122"/>
  <c r="M2844" i="122"/>
  <c r="M2843" i="122"/>
  <c r="M2842" i="122"/>
  <c r="O2842" i="122" s="1"/>
  <c r="P2842" i="122" s="1"/>
  <c r="M2841" i="122"/>
  <c r="O2841" i="122" s="1"/>
  <c r="M2840" i="122"/>
  <c r="M2839" i="122"/>
  <c r="P2838" i="122"/>
  <c r="M2838" i="122"/>
  <c r="O2838" i="122" s="1"/>
  <c r="M2837" i="122"/>
  <c r="M2836" i="122"/>
  <c r="M2835" i="122"/>
  <c r="O2835" i="122" s="1"/>
  <c r="M2834" i="122"/>
  <c r="O2834" i="122" s="1"/>
  <c r="P2834" i="122" s="1"/>
  <c r="M2833" i="122"/>
  <c r="M2832" i="122"/>
  <c r="P2831" i="122"/>
  <c r="M2831" i="122"/>
  <c r="O2831" i="122" s="1"/>
  <c r="M2830" i="122"/>
  <c r="O2830" i="122" s="1"/>
  <c r="P2830" i="122" s="1"/>
  <c r="M2829" i="122"/>
  <c r="O2829" i="122" s="1"/>
  <c r="M2828" i="122"/>
  <c r="M2827" i="122"/>
  <c r="O2826" i="122"/>
  <c r="P2826" i="122" s="1"/>
  <c r="M2826" i="122"/>
  <c r="O2825" i="122"/>
  <c r="M2825" i="122"/>
  <c r="M2824" i="122"/>
  <c r="M2823" i="122"/>
  <c r="O2822" i="122"/>
  <c r="P2822" i="122" s="1"/>
  <c r="M2822" i="122"/>
  <c r="M2821" i="122"/>
  <c r="O2821" i="122" s="1"/>
  <c r="P2821" i="122" s="1"/>
  <c r="M2820" i="122"/>
  <c r="M2819" i="122"/>
  <c r="O2819" i="122" s="1"/>
  <c r="O2818" i="122"/>
  <c r="P2818" i="122" s="1"/>
  <c r="M2818" i="122"/>
  <c r="M2817" i="122"/>
  <c r="O2817" i="122" s="1"/>
  <c r="P2817" i="122" s="1"/>
  <c r="M2816" i="122"/>
  <c r="P2815" i="122"/>
  <c r="M2815" i="122"/>
  <c r="O2815" i="122" s="1"/>
  <c r="P2814" i="122"/>
  <c r="O2814" i="122"/>
  <c r="M2814" i="122"/>
  <c r="M2813" i="122"/>
  <c r="M2812" i="122"/>
  <c r="P2811" i="122"/>
  <c r="M2811" i="122"/>
  <c r="O2811" i="122" s="1"/>
  <c r="M2810" i="122"/>
  <c r="M2809" i="122"/>
  <c r="M2808" i="122"/>
  <c r="M2807" i="122"/>
  <c r="O2807" i="122" s="1"/>
  <c r="P2806" i="122"/>
  <c r="M2806" i="122"/>
  <c r="O2806" i="122" s="1"/>
  <c r="M2805" i="122"/>
  <c r="M2804" i="122"/>
  <c r="M2803" i="122"/>
  <c r="M2802" i="122"/>
  <c r="O2802" i="122" s="1"/>
  <c r="P2802" i="122" s="1"/>
  <c r="M2801" i="122"/>
  <c r="M2800" i="122"/>
  <c r="M2799" i="122"/>
  <c r="O2799" i="122" s="1"/>
  <c r="O2798" i="122"/>
  <c r="P2798" i="122" s="1"/>
  <c r="M2798" i="122"/>
  <c r="M2797" i="122"/>
  <c r="M2796" i="122"/>
  <c r="M2795" i="122"/>
  <c r="O2795" i="122" s="1"/>
  <c r="M2794" i="122"/>
  <c r="M2793" i="122"/>
  <c r="M2792" i="122"/>
  <c r="M2791" i="122"/>
  <c r="M2790" i="122"/>
  <c r="O2790" i="122" s="1"/>
  <c r="P2790" i="122" s="1"/>
  <c r="M2789" i="122"/>
  <c r="M2788" i="122"/>
  <c r="M2787" i="122"/>
  <c r="O2787" i="122" s="1"/>
  <c r="M2786" i="122"/>
  <c r="O2786" i="122" s="1"/>
  <c r="P2786" i="122" s="1"/>
  <c r="M2785" i="122"/>
  <c r="O2785" i="122" s="1"/>
  <c r="P2785" i="122" s="1"/>
  <c r="M2784" i="122"/>
  <c r="P2783" i="122"/>
  <c r="M2783" i="122"/>
  <c r="O2783" i="122" s="1"/>
  <c r="M2782" i="122"/>
  <c r="P2781" i="122"/>
  <c r="M2781" i="122"/>
  <c r="O2781" i="122" s="1"/>
  <c r="M2780" i="122"/>
  <c r="P2779" i="122"/>
  <c r="M2779" i="122"/>
  <c r="O2779" i="122" s="1"/>
  <c r="M2778" i="122"/>
  <c r="M2777" i="122"/>
  <c r="O2777" i="122" s="1"/>
  <c r="M2776" i="122"/>
  <c r="M2775" i="122"/>
  <c r="O2775" i="122" s="1"/>
  <c r="M2774" i="122"/>
  <c r="O2774" i="122" s="1"/>
  <c r="P2774" i="122" s="1"/>
  <c r="M2773" i="122"/>
  <c r="M2772" i="122"/>
  <c r="M2771" i="122"/>
  <c r="O2771" i="122" s="1"/>
  <c r="O2770" i="122"/>
  <c r="M2770" i="122"/>
  <c r="M2769" i="122"/>
  <c r="M2768" i="122"/>
  <c r="M2767" i="122"/>
  <c r="O2766" i="122"/>
  <c r="P2766" i="122" s="1"/>
  <c r="M2766" i="122"/>
  <c r="M2765" i="122"/>
  <c r="O2765" i="122" s="1"/>
  <c r="M2764" i="122"/>
  <c r="M2763" i="122"/>
  <c r="O2763" i="122" s="1"/>
  <c r="M2762" i="122"/>
  <c r="O2762" i="122" s="1"/>
  <c r="P2762" i="122" s="1"/>
  <c r="M2761" i="122"/>
  <c r="M2760" i="122"/>
  <c r="M2759" i="122"/>
  <c r="M2758" i="122"/>
  <c r="O2758" i="122" s="1"/>
  <c r="P2758" i="122" s="1"/>
  <c r="O2757" i="122"/>
  <c r="P2757" i="122" s="1"/>
  <c r="M2757" i="122"/>
  <c r="M2756" i="122"/>
  <c r="M2755" i="122"/>
  <c r="O2755" i="122" s="1"/>
  <c r="O2754" i="122"/>
  <c r="P2754" i="122" s="1"/>
  <c r="M2754" i="122"/>
  <c r="M2753" i="122"/>
  <c r="M2752" i="122"/>
  <c r="M2751" i="122"/>
  <c r="M2750" i="122"/>
  <c r="M2749" i="122"/>
  <c r="M2748" i="122"/>
  <c r="P2747" i="122"/>
  <c r="M2747" i="122"/>
  <c r="O2747" i="122" s="1"/>
  <c r="M2746" i="122"/>
  <c r="O2745" i="122"/>
  <c r="M2745" i="122"/>
  <c r="M2744" i="122"/>
  <c r="M2743" i="122"/>
  <c r="O2743" i="122" s="1"/>
  <c r="O2742" i="122"/>
  <c r="P2742" i="122" s="1"/>
  <c r="M2742" i="122"/>
  <c r="M2741" i="122"/>
  <c r="M2740" i="122"/>
  <c r="M2739" i="122"/>
  <c r="O2739" i="122" s="1"/>
  <c r="M2738" i="122"/>
  <c r="O2738" i="122" s="1"/>
  <c r="P2738" i="122" s="1"/>
  <c r="M2737" i="122"/>
  <c r="M2736" i="122"/>
  <c r="M2735" i="122"/>
  <c r="O2735" i="122" s="1"/>
  <c r="M2734" i="122"/>
  <c r="M2733" i="122"/>
  <c r="M2732" i="122"/>
  <c r="M2731" i="122"/>
  <c r="O2731" i="122" s="1"/>
  <c r="M2730" i="122"/>
  <c r="O2729" i="122"/>
  <c r="P2729" i="122" s="1"/>
  <c r="M2729" i="122"/>
  <c r="M2728" i="122"/>
  <c r="M2727" i="122"/>
  <c r="M2726" i="122"/>
  <c r="O2726" i="122" s="1"/>
  <c r="P2726" i="122" s="1"/>
  <c r="M2725" i="122"/>
  <c r="M2724" i="122"/>
  <c r="M2723" i="122"/>
  <c r="O2723" i="122" s="1"/>
  <c r="M2722" i="122"/>
  <c r="O2722" i="122" s="1"/>
  <c r="P2722" i="122" s="1"/>
  <c r="P2721" i="122"/>
  <c r="O2721" i="122"/>
  <c r="M2721" i="122"/>
  <c r="M2720" i="122"/>
  <c r="P2719" i="122"/>
  <c r="M2719" i="122"/>
  <c r="O2719" i="122" s="1"/>
  <c r="M2718" i="122"/>
  <c r="M2717" i="122"/>
  <c r="M2716" i="122"/>
  <c r="M2715" i="122"/>
  <c r="O2714" i="122"/>
  <c r="P2714" i="122" s="1"/>
  <c r="M2714" i="122"/>
  <c r="M2713" i="122"/>
  <c r="M2712" i="122"/>
  <c r="M2711" i="122"/>
  <c r="O2711" i="122" s="1"/>
  <c r="P2710" i="122"/>
  <c r="M2710" i="122"/>
  <c r="O2710" i="122" s="1"/>
  <c r="M2709" i="122"/>
  <c r="M2708" i="122"/>
  <c r="M2707" i="122"/>
  <c r="O2707" i="122" s="1"/>
  <c r="M2706" i="122"/>
  <c r="M2705" i="122"/>
  <c r="M2704" i="122"/>
  <c r="M2703" i="122"/>
  <c r="O2703" i="122" s="1"/>
  <c r="M2702" i="122"/>
  <c r="O2702" i="122" s="1"/>
  <c r="P2702" i="122" s="1"/>
  <c r="M2701" i="122"/>
  <c r="O2701" i="122" s="1"/>
  <c r="M2700" i="122"/>
  <c r="P2699" i="122"/>
  <c r="M2699" i="122"/>
  <c r="O2699" i="122" s="1"/>
  <c r="M2698" i="122"/>
  <c r="M2697" i="122"/>
  <c r="O2697" i="122" s="1"/>
  <c r="P2697" i="122" s="1"/>
  <c r="M2696" i="122"/>
  <c r="M2695" i="122"/>
  <c r="M2694" i="122"/>
  <c r="O2694" i="122" s="1"/>
  <c r="P2694" i="122" s="1"/>
  <c r="M2693" i="122"/>
  <c r="M2692" i="122"/>
  <c r="M2691" i="122"/>
  <c r="O2691" i="122" s="1"/>
  <c r="M2690" i="122"/>
  <c r="O2690" i="122" s="1"/>
  <c r="P2690" i="122" s="1"/>
  <c r="L2685" i="122"/>
  <c r="K2685" i="122"/>
  <c r="M2684" i="122"/>
  <c r="M2683" i="122"/>
  <c r="M2682" i="122"/>
  <c r="M2681" i="122"/>
  <c r="M2680" i="122"/>
  <c r="M2679" i="122"/>
  <c r="M2678" i="122"/>
  <c r="M2677" i="122"/>
  <c r="M2676" i="122"/>
  <c r="M2675" i="122"/>
  <c r="M2674" i="122"/>
  <c r="M2673" i="122"/>
  <c r="M2672" i="122"/>
  <c r="M2671" i="122"/>
  <c r="M2670" i="122"/>
  <c r="M2669" i="122"/>
  <c r="M2668" i="122"/>
  <c r="M2667" i="122"/>
  <c r="M2666" i="122"/>
  <c r="M2665" i="122"/>
  <c r="M2664" i="122"/>
  <c r="M2663" i="122"/>
  <c r="M2662" i="122"/>
  <c r="M2661" i="122"/>
  <c r="M2660" i="122"/>
  <c r="M2659" i="122"/>
  <c r="M2658" i="122"/>
  <c r="M2657" i="122"/>
  <c r="M2656" i="122"/>
  <c r="M2655" i="122"/>
  <c r="M2654" i="122"/>
  <c r="M2653" i="122"/>
  <c r="M2652" i="122"/>
  <c r="M2651" i="122"/>
  <c r="M2650" i="122"/>
  <c r="M2649" i="122"/>
  <c r="C2649" i="122"/>
  <c r="C3319" i="122" s="1"/>
  <c r="C3989" i="122" s="1"/>
  <c r="C4659" i="122" s="1"/>
  <c r="C5329" i="122" s="1"/>
  <c r="M2648" i="122"/>
  <c r="M2647" i="122"/>
  <c r="M2646" i="122"/>
  <c r="M2645" i="122"/>
  <c r="M2644" i="122"/>
  <c r="M2643" i="122"/>
  <c r="M2642" i="122"/>
  <c r="M2641" i="122"/>
  <c r="M2640" i="122"/>
  <c r="M2639" i="122"/>
  <c r="M2638" i="122"/>
  <c r="M2637" i="122"/>
  <c r="M2636" i="122"/>
  <c r="M2635" i="122"/>
  <c r="M2634" i="122"/>
  <c r="M2633" i="122"/>
  <c r="M2632" i="122"/>
  <c r="M2631" i="122"/>
  <c r="M2630" i="122"/>
  <c r="M2629" i="122"/>
  <c r="M2628" i="122"/>
  <c r="M2627" i="122"/>
  <c r="M2626" i="122"/>
  <c r="M2625" i="122"/>
  <c r="M2624" i="122"/>
  <c r="M2623" i="122"/>
  <c r="M2622" i="122"/>
  <c r="M2621" i="122"/>
  <c r="M2620" i="122"/>
  <c r="M2619" i="122"/>
  <c r="M2618" i="122"/>
  <c r="M2617" i="122"/>
  <c r="M2616" i="122"/>
  <c r="M2615" i="122"/>
  <c r="A2615" i="122"/>
  <c r="A3285" i="122" s="1"/>
  <c r="A3955" i="122" s="1"/>
  <c r="A4625" i="122" s="1"/>
  <c r="A5295" i="122" s="1"/>
  <c r="M2614" i="122"/>
  <c r="M2613" i="122"/>
  <c r="M2612" i="122"/>
  <c r="M2611" i="122"/>
  <c r="M2610" i="122"/>
  <c r="M2609" i="122"/>
  <c r="M2608" i="122"/>
  <c r="M2607" i="122"/>
  <c r="M2606" i="122"/>
  <c r="M2605" i="122"/>
  <c r="M2604" i="122"/>
  <c r="M2603" i="122"/>
  <c r="M2602" i="122"/>
  <c r="M2601" i="122"/>
  <c r="M2600" i="122"/>
  <c r="M2599" i="122"/>
  <c r="M2598" i="122"/>
  <c r="M2597" i="122"/>
  <c r="M2596" i="122"/>
  <c r="M2595" i="122"/>
  <c r="M2594" i="122"/>
  <c r="M2593" i="122"/>
  <c r="M2592" i="122"/>
  <c r="M2591" i="122"/>
  <c r="M2590" i="122"/>
  <c r="M2589" i="122"/>
  <c r="M2588" i="122"/>
  <c r="M2587" i="122"/>
  <c r="M2586" i="122"/>
  <c r="M2585" i="122"/>
  <c r="M2584" i="122"/>
  <c r="M2583" i="122"/>
  <c r="M2582" i="122"/>
  <c r="M2581" i="122"/>
  <c r="M2580" i="122"/>
  <c r="M2579" i="122"/>
  <c r="M2578" i="122"/>
  <c r="M2577" i="122"/>
  <c r="M2576" i="122"/>
  <c r="M2575" i="122"/>
  <c r="M2574" i="122"/>
  <c r="M2573" i="122"/>
  <c r="M2572" i="122"/>
  <c r="M2571" i="122"/>
  <c r="M2570" i="122"/>
  <c r="M2569" i="122"/>
  <c r="M2568" i="122"/>
  <c r="M2567" i="122"/>
  <c r="M2566" i="122"/>
  <c r="M2565" i="122"/>
  <c r="M2564" i="122"/>
  <c r="M2563" i="122"/>
  <c r="M2562" i="122"/>
  <c r="M2561" i="122"/>
  <c r="M2560" i="122"/>
  <c r="M2559" i="122"/>
  <c r="M2558" i="122"/>
  <c r="M2557" i="122"/>
  <c r="M2556" i="122"/>
  <c r="M2555" i="122"/>
  <c r="M2554" i="122"/>
  <c r="M2553" i="122"/>
  <c r="M2552" i="122"/>
  <c r="M2551" i="122"/>
  <c r="M2550" i="122"/>
  <c r="M2549" i="122"/>
  <c r="M2548" i="122"/>
  <c r="M2547" i="122"/>
  <c r="M2546" i="122"/>
  <c r="M2545" i="122"/>
  <c r="M2544" i="122"/>
  <c r="M2543" i="122"/>
  <c r="M2542" i="122"/>
  <c r="M2541" i="122"/>
  <c r="M2540" i="122"/>
  <c r="M2539" i="122"/>
  <c r="M2538" i="122"/>
  <c r="M2537" i="122"/>
  <c r="M2536" i="122"/>
  <c r="M2535" i="122"/>
  <c r="M2534" i="122"/>
  <c r="M2533" i="122"/>
  <c r="M2532" i="122"/>
  <c r="M2531" i="122"/>
  <c r="M2530" i="122"/>
  <c r="M2529" i="122"/>
  <c r="M2528" i="122"/>
  <c r="M2527" i="122"/>
  <c r="M2526" i="122"/>
  <c r="M2525" i="122"/>
  <c r="M2524" i="122"/>
  <c r="M2523" i="122"/>
  <c r="M2522" i="122"/>
  <c r="M2521" i="122"/>
  <c r="M2520" i="122"/>
  <c r="M2519" i="122"/>
  <c r="M2518" i="122"/>
  <c r="M2517" i="122"/>
  <c r="M2516" i="122"/>
  <c r="M2515" i="122"/>
  <c r="M2514" i="122"/>
  <c r="M2513" i="122"/>
  <c r="M2512" i="122"/>
  <c r="M2511" i="122"/>
  <c r="M2510" i="122"/>
  <c r="M2509" i="122"/>
  <c r="M2508" i="122"/>
  <c r="M2507" i="122"/>
  <c r="M2506" i="122"/>
  <c r="M2505" i="122"/>
  <c r="M2504" i="122"/>
  <c r="M2503" i="122"/>
  <c r="M2502" i="122"/>
  <c r="M2501" i="122"/>
  <c r="M2500" i="122"/>
  <c r="M2499" i="122"/>
  <c r="M2498" i="122"/>
  <c r="M2497" i="122"/>
  <c r="M2496" i="122"/>
  <c r="M2495" i="122"/>
  <c r="M2494" i="122"/>
  <c r="M2493" i="122"/>
  <c r="M2492" i="122"/>
  <c r="M2491" i="122"/>
  <c r="M2490" i="122"/>
  <c r="M2489" i="122"/>
  <c r="M2488" i="122"/>
  <c r="M2487" i="122"/>
  <c r="M2486" i="122"/>
  <c r="M2485" i="122"/>
  <c r="M2484" i="122"/>
  <c r="M2483" i="122"/>
  <c r="M2482" i="122"/>
  <c r="M2481" i="122"/>
  <c r="M2480" i="122"/>
  <c r="M2479" i="122"/>
  <c r="M2478" i="122"/>
  <c r="M2477" i="122"/>
  <c r="M2476" i="122"/>
  <c r="M2475" i="122"/>
  <c r="M2474" i="122"/>
  <c r="M2473" i="122"/>
  <c r="M2472" i="122"/>
  <c r="M2471" i="122"/>
  <c r="M2470" i="122"/>
  <c r="M2469" i="122"/>
  <c r="M2468" i="122"/>
  <c r="M2467" i="122"/>
  <c r="M2466" i="122"/>
  <c r="M2465" i="122"/>
  <c r="M2464" i="122"/>
  <c r="M2463" i="122"/>
  <c r="M2462" i="122"/>
  <c r="M2461" i="122"/>
  <c r="M2460" i="122"/>
  <c r="M2459" i="122"/>
  <c r="M2458" i="122"/>
  <c r="M2457" i="122"/>
  <c r="M2456" i="122"/>
  <c r="M2455" i="122"/>
  <c r="M2454" i="122"/>
  <c r="M2453" i="122"/>
  <c r="M2452" i="122"/>
  <c r="M2451" i="122"/>
  <c r="M2450" i="122"/>
  <c r="M2449" i="122"/>
  <c r="M2448" i="122"/>
  <c r="M2447" i="122"/>
  <c r="M2446" i="122"/>
  <c r="M2445" i="122"/>
  <c r="M2444" i="122"/>
  <c r="M2443" i="122"/>
  <c r="M2442" i="122"/>
  <c r="M2441" i="122"/>
  <c r="M2440" i="122"/>
  <c r="M2439" i="122"/>
  <c r="M2438" i="122"/>
  <c r="M2437" i="122"/>
  <c r="M2436" i="122"/>
  <c r="M2435" i="122"/>
  <c r="M2434" i="122"/>
  <c r="M2433" i="122"/>
  <c r="M2432" i="122"/>
  <c r="M2431" i="122"/>
  <c r="M2430" i="122"/>
  <c r="M2429" i="122"/>
  <c r="M2428" i="122"/>
  <c r="M2427" i="122"/>
  <c r="M2426" i="122"/>
  <c r="M2425" i="122"/>
  <c r="M2424" i="122"/>
  <c r="M2423" i="122"/>
  <c r="M2422" i="122"/>
  <c r="M2421" i="122"/>
  <c r="M2420" i="122"/>
  <c r="M2419" i="122"/>
  <c r="M2418" i="122"/>
  <c r="M2417" i="122"/>
  <c r="M2416" i="122"/>
  <c r="M2415" i="122"/>
  <c r="M2414" i="122"/>
  <c r="M2413" i="122"/>
  <c r="M2412" i="122"/>
  <c r="M2411" i="122"/>
  <c r="M2410" i="122"/>
  <c r="M2409" i="122"/>
  <c r="M2408" i="122"/>
  <c r="M2407" i="122"/>
  <c r="M2406" i="122"/>
  <c r="M2405" i="122"/>
  <c r="M2404" i="122"/>
  <c r="M2403" i="122"/>
  <c r="M2402" i="122"/>
  <c r="M2401" i="122"/>
  <c r="M2400" i="122"/>
  <c r="M2399" i="122"/>
  <c r="M2398" i="122"/>
  <c r="M2397" i="122"/>
  <c r="M2396" i="122"/>
  <c r="M2395" i="122"/>
  <c r="M2394" i="122"/>
  <c r="M2393" i="122"/>
  <c r="M2392" i="122"/>
  <c r="M2391" i="122"/>
  <c r="M2390" i="122"/>
  <c r="M2389" i="122"/>
  <c r="M2388" i="122"/>
  <c r="M2387" i="122"/>
  <c r="M2386" i="122"/>
  <c r="M2385" i="122"/>
  <c r="M2384" i="122"/>
  <c r="M2383" i="122"/>
  <c r="M2382" i="122"/>
  <c r="M2381" i="122"/>
  <c r="M2380" i="122"/>
  <c r="M2379" i="122"/>
  <c r="M2378" i="122"/>
  <c r="M2377" i="122"/>
  <c r="M2376" i="122"/>
  <c r="M2375" i="122"/>
  <c r="M2374" i="122"/>
  <c r="M2373" i="122"/>
  <c r="M2372" i="122"/>
  <c r="M2371" i="122"/>
  <c r="M2370" i="122"/>
  <c r="M2369" i="122"/>
  <c r="M2368" i="122"/>
  <c r="M2367" i="122"/>
  <c r="M2366" i="122"/>
  <c r="M2365" i="122"/>
  <c r="M2364" i="122"/>
  <c r="M2363" i="122"/>
  <c r="M2362" i="122"/>
  <c r="M2361" i="122"/>
  <c r="M2360" i="122"/>
  <c r="M2359" i="122"/>
  <c r="M2358" i="122"/>
  <c r="M2357" i="122"/>
  <c r="M2356" i="122"/>
  <c r="M2355" i="122"/>
  <c r="M2354" i="122"/>
  <c r="M2353" i="122"/>
  <c r="M2352" i="122"/>
  <c r="M2351" i="122"/>
  <c r="M2350" i="122"/>
  <c r="M2349" i="122"/>
  <c r="M2348" i="122"/>
  <c r="M2347" i="122"/>
  <c r="M2346" i="122"/>
  <c r="M2345" i="122"/>
  <c r="M2344" i="122"/>
  <c r="M2343" i="122"/>
  <c r="M2342" i="122"/>
  <c r="M2341" i="122"/>
  <c r="M2340" i="122"/>
  <c r="M2339" i="122"/>
  <c r="M2338" i="122"/>
  <c r="M2337" i="122"/>
  <c r="M2336" i="122"/>
  <c r="M2335" i="122"/>
  <c r="M2334" i="122"/>
  <c r="M2333" i="122"/>
  <c r="M2332" i="122"/>
  <c r="M2331" i="122"/>
  <c r="M2330" i="122"/>
  <c r="M2329" i="122"/>
  <c r="M2328" i="122"/>
  <c r="M2327" i="122"/>
  <c r="M2326" i="122"/>
  <c r="M2325" i="122"/>
  <c r="M2324" i="122"/>
  <c r="M2323" i="122"/>
  <c r="M2322" i="122"/>
  <c r="M2321" i="122"/>
  <c r="M2320" i="122"/>
  <c r="M2319" i="122"/>
  <c r="M2318" i="122"/>
  <c r="M2317" i="122"/>
  <c r="M2316" i="122"/>
  <c r="M2315" i="122"/>
  <c r="O2314" i="122"/>
  <c r="M2314" i="122"/>
  <c r="M2313" i="122"/>
  <c r="M2312" i="122"/>
  <c r="M2311" i="122"/>
  <c r="M2310" i="122"/>
  <c r="O2310" i="122" s="1"/>
  <c r="P2310" i="122" s="1"/>
  <c r="M2309" i="122"/>
  <c r="M2308" i="122"/>
  <c r="M2307" i="122"/>
  <c r="M2306" i="122"/>
  <c r="M2305" i="122"/>
  <c r="M2304" i="122"/>
  <c r="M2303" i="122"/>
  <c r="M2302" i="122"/>
  <c r="M2301" i="122"/>
  <c r="O2301" i="122" s="1"/>
  <c r="M2300" i="122"/>
  <c r="M2299" i="122"/>
  <c r="M2298" i="122"/>
  <c r="O2298" i="122" s="1"/>
  <c r="P2298" i="122" s="1"/>
  <c r="M2297" i="122"/>
  <c r="O2297" i="122" s="1"/>
  <c r="P2297" i="122" s="1"/>
  <c r="M2296" i="122"/>
  <c r="M2295" i="122"/>
  <c r="O2295" i="122" s="1"/>
  <c r="M2294" i="122"/>
  <c r="O2294" i="122" s="1"/>
  <c r="P2294" i="122" s="1"/>
  <c r="M2293" i="122"/>
  <c r="O2293" i="122" s="1"/>
  <c r="P2293" i="122" s="1"/>
  <c r="M2292" i="122"/>
  <c r="M2291" i="122"/>
  <c r="M2290" i="122"/>
  <c r="M2289" i="122"/>
  <c r="M2288" i="122"/>
  <c r="M2287" i="122"/>
  <c r="M2286" i="122"/>
  <c r="M2285" i="122"/>
  <c r="M2284" i="122"/>
  <c r="M2283" i="122"/>
  <c r="M2282" i="122"/>
  <c r="M2281" i="122"/>
  <c r="M2280" i="122"/>
  <c r="M2279" i="122"/>
  <c r="M2278" i="122"/>
  <c r="M2277" i="122"/>
  <c r="M2276" i="122"/>
  <c r="M2275" i="122"/>
  <c r="M2274" i="122"/>
  <c r="M2273" i="122"/>
  <c r="M2272" i="122"/>
  <c r="M2271" i="122"/>
  <c r="M2270" i="122"/>
  <c r="M2269" i="122"/>
  <c r="M2268" i="122"/>
  <c r="M2267" i="122"/>
  <c r="M2266" i="122"/>
  <c r="M2265" i="122"/>
  <c r="M2264" i="122"/>
  <c r="M2263" i="122"/>
  <c r="M2262" i="122"/>
  <c r="O2262" i="122" s="1"/>
  <c r="P2262" i="122" s="1"/>
  <c r="M2261" i="122"/>
  <c r="M2260" i="122"/>
  <c r="O2260" i="122" s="1"/>
  <c r="M2259" i="122"/>
  <c r="O2259" i="122" s="1"/>
  <c r="P2259" i="122" s="1"/>
  <c r="M2258" i="122"/>
  <c r="M2257" i="122"/>
  <c r="P2256" i="122"/>
  <c r="M2256" i="122"/>
  <c r="O2256" i="122" s="1"/>
  <c r="M2255" i="122"/>
  <c r="M2254" i="122"/>
  <c r="M2253" i="122"/>
  <c r="M2252" i="122"/>
  <c r="M2251" i="122"/>
  <c r="M2250" i="122"/>
  <c r="O2250" i="122" s="1"/>
  <c r="M2249" i="122"/>
  <c r="M2248" i="122"/>
  <c r="O2248" i="122" s="1"/>
  <c r="P2248" i="122" s="1"/>
  <c r="M2247" i="122"/>
  <c r="O2247" i="122" s="1"/>
  <c r="M2246" i="122"/>
  <c r="O2246" i="122" s="1"/>
  <c r="M2245" i="122"/>
  <c r="M2244" i="122"/>
  <c r="O2244" i="122" s="1"/>
  <c r="P2244" i="122" s="1"/>
  <c r="P2243" i="122"/>
  <c r="M2243" i="122"/>
  <c r="O2243" i="122" s="1"/>
  <c r="M2242" i="122"/>
  <c r="M2241" i="122"/>
  <c r="M2240" i="122"/>
  <c r="O2240" i="122" s="1"/>
  <c r="P2240" i="122" s="1"/>
  <c r="M2239" i="122"/>
  <c r="M2238" i="122"/>
  <c r="O2238" i="122" s="1"/>
  <c r="M2237" i="122"/>
  <c r="M2236" i="122"/>
  <c r="M2235" i="122"/>
  <c r="M2234" i="122"/>
  <c r="M2233" i="122"/>
  <c r="M2232" i="122"/>
  <c r="O2232" i="122" s="1"/>
  <c r="P2232" i="122" s="1"/>
  <c r="M2231" i="122"/>
  <c r="O2231" i="122" s="1"/>
  <c r="M2230" i="122"/>
  <c r="M2229" i="122"/>
  <c r="M2228" i="122"/>
  <c r="O2227" i="122"/>
  <c r="P2227" i="122" s="1"/>
  <c r="M2227" i="122"/>
  <c r="M2226" i="122"/>
  <c r="M2225" i="122"/>
  <c r="M2224" i="122"/>
  <c r="O2224" i="122" s="1"/>
  <c r="P2224" i="122" s="1"/>
  <c r="M2223" i="122"/>
  <c r="O2223" i="122" s="1"/>
  <c r="P2222" i="122"/>
  <c r="M2222" i="122"/>
  <c r="O2222" i="122" s="1"/>
  <c r="M2221" i="122"/>
  <c r="M2220" i="122"/>
  <c r="O2220" i="122" s="1"/>
  <c r="M2219" i="122"/>
  <c r="M2218" i="122"/>
  <c r="M2217" i="122"/>
  <c r="M2216" i="122"/>
  <c r="O2216" i="122" s="1"/>
  <c r="P2216" i="122" s="1"/>
  <c r="O2215" i="122"/>
  <c r="M2215" i="122"/>
  <c r="M2214" i="122"/>
  <c r="M2213" i="122"/>
  <c r="M2212" i="122"/>
  <c r="M2211" i="122"/>
  <c r="M2210" i="122"/>
  <c r="M2209" i="122"/>
  <c r="M2208" i="122"/>
  <c r="M2207" i="122"/>
  <c r="O2207" i="122" s="1"/>
  <c r="M2206" i="122"/>
  <c r="O2206" i="122" s="1"/>
  <c r="M2205" i="122"/>
  <c r="M2204" i="122"/>
  <c r="O2204" i="122" s="1"/>
  <c r="P2204" i="122" s="1"/>
  <c r="O2203" i="122"/>
  <c r="M2203" i="122"/>
  <c r="M2202" i="122"/>
  <c r="M2201" i="122"/>
  <c r="M2200" i="122"/>
  <c r="O2200" i="122" s="1"/>
  <c r="P2200" i="122" s="1"/>
  <c r="M2199" i="122"/>
  <c r="M2198" i="122"/>
  <c r="M2197" i="122"/>
  <c r="O2196" i="122"/>
  <c r="P2196" i="122" s="1"/>
  <c r="M2196" i="122"/>
  <c r="M2195" i="122"/>
  <c r="M2194" i="122"/>
  <c r="O2194" i="122" s="1"/>
  <c r="M2193" i="122"/>
  <c r="M2192" i="122"/>
  <c r="M2191" i="122"/>
  <c r="M2190" i="122"/>
  <c r="M2189" i="122"/>
  <c r="M2188" i="122"/>
  <c r="M2187" i="122"/>
  <c r="M2186" i="122"/>
  <c r="M2185" i="122"/>
  <c r="M2184" i="122"/>
  <c r="M2183" i="122"/>
  <c r="M2182" i="122"/>
  <c r="M2181" i="122"/>
  <c r="M2180" i="122"/>
  <c r="O2180" i="122" s="1"/>
  <c r="M2179" i="122"/>
  <c r="M2178" i="122"/>
  <c r="M2177" i="122"/>
  <c r="M2176" i="122"/>
  <c r="O2176" i="122" s="1"/>
  <c r="P2176" i="122" s="1"/>
  <c r="M2175" i="122"/>
  <c r="O2175" i="122" s="1"/>
  <c r="M2174" i="122"/>
  <c r="O2174" i="122" s="1"/>
  <c r="P2174" i="122" s="1"/>
  <c r="M2173" i="122"/>
  <c r="M2172" i="122"/>
  <c r="O2172" i="122" s="1"/>
  <c r="M2171" i="122"/>
  <c r="M2170" i="122"/>
  <c r="M2169" i="122"/>
  <c r="M2168" i="122"/>
  <c r="O2168" i="122" s="1"/>
  <c r="P2168" i="122" s="1"/>
  <c r="O2167" i="122"/>
  <c r="M2167" i="122"/>
  <c r="M2166" i="122"/>
  <c r="M2165" i="122"/>
  <c r="M2164" i="122"/>
  <c r="M2163" i="122"/>
  <c r="M2162" i="122"/>
  <c r="M2161" i="122"/>
  <c r="M2160" i="122"/>
  <c r="O2160" i="122" s="1"/>
  <c r="P2160" i="122" s="1"/>
  <c r="O2159" i="122"/>
  <c r="M2159" i="122"/>
  <c r="M2158" i="122"/>
  <c r="O2158" i="122" s="1"/>
  <c r="M2157" i="122"/>
  <c r="M2156" i="122"/>
  <c r="O2156" i="122" s="1"/>
  <c r="P2156" i="122" s="1"/>
  <c r="M2155" i="122"/>
  <c r="M2154" i="122"/>
  <c r="M2153" i="122"/>
  <c r="M2152" i="122"/>
  <c r="O2152" i="122" s="1"/>
  <c r="P2152" i="122" s="1"/>
  <c r="M2151" i="122"/>
  <c r="M2150" i="122"/>
  <c r="M2149" i="122"/>
  <c r="M2148" i="122"/>
  <c r="M2147" i="122"/>
  <c r="O2146" i="122"/>
  <c r="M2146" i="122"/>
  <c r="M2145" i="122"/>
  <c r="M2144" i="122"/>
  <c r="O2144" i="122" s="1"/>
  <c r="P2144" i="122" s="1"/>
  <c r="M2143" i="122"/>
  <c r="M2142" i="122"/>
  <c r="O2142" i="122" s="1"/>
  <c r="M2141" i="122"/>
  <c r="M2140" i="122"/>
  <c r="M2139" i="122"/>
  <c r="M2138" i="122"/>
  <c r="O2138" i="122" s="1"/>
  <c r="M2137" i="122"/>
  <c r="M2136" i="122"/>
  <c r="O2136" i="122" s="1"/>
  <c r="P2136" i="122" s="1"/>
  <c r="M2135" i="122"/>
  <c r="O2135" i="122" s="1"/>
  <c r="M2134" i="122"/>
  <c r="O2134" i="122" s="1"/>
  <c r="M2133" i="122"/>
  <c r="O2132" i="122"/>
  <c r="P2132" i="122" s="1"/>
  <c r="M2132" i="122"/>
  <c r="P2131" i="122"/>
  <c r="M2131" i="122"/>
  <c r="O2131" i="122" s="1"/>
  <c r="M2130" i="122"/>
  <c r="M2129" i="122"/>
  <c r="M2128" i="122"/>
  <c r="O2128" i="122" s="1"/>
  <c r="P2128" i="122" s="1"/>
  <c r="M2127" i="122"/>
  <c r="M2126" i="122"/>
  <c r="O2126" i="122" s="1"/>
  <c r="M2125" i="122"/>
  <c r="M2124" i="122"/>
  <c r="O2124" i="122" s="1"/>
  <c r="M2123" i="122"/>
  <c r="M2122" i="122"/>
  <c r="M2121" i="122"/>
  <c r="M2120" i="122"/>
  <c r="O2120" i="122" s="1"/>
  <c r="P2120" i="122" s="1"/>
  <c r="M2119" i="122"/>
  <c r="O2119" i="122" s="1"/>
  <c r="P2118" i="122"/>
  <c r="M2118" i="122"/>
  <c r="O2118" i="122" s="1"/>
  <c r="M2117" i="122"/>
  <c r="M2116" i="122"/>
  <c r="P2115" i="122"/>
  <c r="O2115" i="122"/>
  <c r="M2115" i="122"/>
  <c r="M2114" i="122"/>
  <c r="M2113" i="122"/>
  <c r="M2112" i="122"/>
  <c r="O2112" i="122" s="1"/>
  <c r="P2112" i="122" s="1"/>
  <c r="M2111" i="122"/>
  <c r="O2111" i="122" s="1"/>
  <c r="P2110" i="122"/>
  <c r="M2110" i="122"/>
  <c r="O2110" i="122" s="1"/>
  <c r="M2109" i="122"/>
  <c r="M2108" i="122"/>
  <c r="O2108" i="122" s="1"/>
  <c r="M2107" i="122"/>
  <c r="M2106" i="122"/>
  <c r="M2105" i="122"/>
  <c r="M2104" i="122"/>
  <c r="O2104" i="122" s="1"/>
  <c r="P2104" i="122" s="1"/>
  <c r="M2103" i="122"/>
  <c r="O2103" i="122" s="1"/>
  <c r="P2102" i="122"/>
  <c r="M2102" i="122"/>
  <c r="O2102" i="122" s="1"/>
  <c r="M2101" i="122"/>
  <c r="M2100" i="122"/>
  <c r="O2099" i="122"/>
  <c r="P2099" i="122" s="1"/>
  <c r="M2099" i="122"/>
  <c r="M2098" i="122"/>
  <c r="M2097" i="122"/>
  <c r="M2096" i="122"/>
  <c r="O2096" i="122" s="1"/>
  <c r="P2096" i="122" s="1"/>
  <c r="M2095" i="122"/>
  <c r="O2095" i="122" s="1"/>
  <c r="M2094" i="122"/>
  <c r="M2093" i="122"/>
  <c r="M2092" i="122"/>
  <c r="O2092" i="122" s="1"/>
  <c r="P2092" i="122" s="1"/>
  <c r="M2091" i="122"/>
  <c r="M2090" i="122"/>
  <c r="M2089" i="122"/>
  <c r="M2088" i="122"/>
  <c r="O2088" i="122" s="1"/>
  <c r="P2088" i="122" s="1"/>
  <c r="M2087" i="122"/>
  <c r="M2086" i="122"/>
  <c r="M2085" i="122"/>
  <c r="M2084" i="122"/>
  <c r="M2083" i="122"/>
  <c r="O2083" i="122" s="1"/>
  <c r="P2083" i="122" s="1"/>
  <c r="M2082" i="122"/>
  <c r="O2082" i="122" s="1"/>
  <c r="M2081" i="122"/>
  <c r="M2080" i="122"/>
  <c r="O2080" i="122" s="1"/>
  <c r="P2080" i="122" s="1"/>
  <c r="M2079" i="122"/>
  <c r="M2078" i="122"/>
  <c r="O2078" i="122" s="1"/>
  <c r="M2077" i="122"/>
  <c r="P2076" i="122"/>
  <c r="O2076" i="122"/>
  <c r="M2076" i="122"/>
  <c r="M2075" i="122"/>
  <c r="M2074" i="122"/>
  <c r="O2074" i="122" s="1"/>
  <c r="M2073" i="122"/>
  <c r="M2072" i="122"/>
  <c r="O2072" i="122" s="1"/>
  <c r="P2072" i="122" s="1"/>
  <c r="M2071" i="122"/>
  <c r="O2071" i="122" s="1"/>
  <c r="M2070" i="122"/>
  <c r="O2070" i="122" s="1"/>
  <c r="M2069" i="122"/>
  <c r="O2068" i="122"/>
  <c r="P2068" i="122" s="1"/>
  <c r="M2068" i="122"/>
  <c r="M2067" i="122"/>
  <c r="M2066" i="122"/>
  <c r="M2065" i="122"/>
  <c r="M2064" i="122"/>
  <c r="M2063" i="122"/>
  <c r="O2063" i="122" s="1"/>
  <c r="M2062" i="122"/>
  <c r="O2062" i="122" s="1"/>
  <c r="M2061" i="122"/>
  <c r="O2060" i="122"/>
  <c r="M2060" i="122"/>
  <c r="M2059" i="122"/>
  <c r="M2058" i="122"/>
  <c r="M2057" i="122"/>
  <c r="M2056" i="122"/>
  <c r="O2056" i="122" s="1"/>
  <c r="P2056" i="122" s="1"/>
  <c r="M2055" i="122"/>
  <c r="O2055" i="122" s="1"/>
  <c r="M2054" i="122"/>
  <c r="M2053" i="122"/>
  <c r="M2052" i="122"/>
  <c r="P2051" i="122"/>
  <c r="M2051" i="122"/>
  <c r="O2051" i="122" s="1"/>
  <c r="M2050" i="122"/>
  <c r="M2049" i="122"/>
  <c r="M2048" i="122"/>
  <c r="O2048" i="122" s="1"/>
  <c r="P2048" i="122" s="1"/>
  <c r="M2047" i="122"/>
  <c r="O2047" i="122" s="1"/>
  <c r="M2046" i="122"/>
  <c r="O2046" i="122" s="1"/>
  <c r="M2045" i="122"/>
  <c r="M2044" i="122"/>
  <c r="O2044" i="122" s="1"/>
  <c r="O2043" i="122"/>
  <c r="P2043" i="122" s="1"/>
  <c r="M2043" i="122"/>
  <c r="M2042" i="122"/>
  <c r="M2041" i="122"/>
  <c r="M2040" i="122"/>
  <c r="O2040" i="122" s="1"/>
  <c r="P2040" i="122" s="1"/>
  <c r="M2039" i="122"/>
  <c r="O2039" i="122" s="1"/>
  <c r="M2038" i="122"/>
  <c r="M2037" i="122"/>
  <c r="M2036" i="122"/>
  <c r="M2035" i="122"/>
  <c r="M2034" i="122"/>
  <c r="M2033" i="122"/>
  <c r="M2032" i="122"/>
  <c r="O2032" i="122" s="1"/>
  <c r="P2032" i="122" s="1"/>
  <c r="M2031" i="122"/>
  <c r="O2031" i="122" s="1"/>
  <c r="M2030" i="122"/>
  <c r="O2030" i="122" s="1"/>
  <c r="M2029" i="122"/>
  <c r="M2028" i="122"/>
  <c r="O2028" i="122" s="1"/>
  <c r="P2028" i="122" s="1"/>
  <c r="M2027" i="122"/>
  <c r="M2026" i="122"/>
  <c r="M2025" i="122"/>
  <c r="M2024" i="122"/>
  <c r="O2024" i="122" s="1"/>
  <c r="P2024" i="122" s="1"/>
  <c r="M2023" i="122"/>
  <c r="M2022" i="122"/>
  <c r="M2021" i="122"/>
  <c r="L2015" i="122"/>
  <c r="K2015" i="122"/>
  <c r="M2014" i="122"/>
  <c r="M2013" i="122"/>
  <c r="M2010" i="122"/>
  <c r="M2009" i="122"/>
  <c r="M2008" i="122"/>
  <c r="M2007" i="122"/>
  <c r="M2006" i="122"/>
  <c r="M2005" i="122"/>
  <c r="M2004" i="122"/>
  <c r="M2003" i="122"/>
  <c r="M2002" i="122"/>
  <c r="M2001" i="122"/>
  <c r="M2000" i="122"/>
  <c r="M1997" i="122"/>
  <c r="M1993" i="122"/>
  <c r="M1992" i="122"/>
  <c r="M1991" i="122"/>
  <c r="M1990" i="122"/>
  <c r="M1988" i="122"/>
  <c r="M1987" i="122"/>
  <c r="M1986" i="122"/>
  <c r="M1985" i="122"/>
  <c r="M1984" i="122"/>
  <c r="M1983" i="122"/>
  <c r="M1982" i="122"/>
  <c r="M1981" i="122"/>
  <c r="M1980" i="122"/>
  <c r="M1979" i="122"/>
  <c r="M1978" i="122"/>
  <c r="M1977" i="122"/>
  <c r="M1976" i="122"/>
  <c r="M1975" i="122"/>
  <c r="M1974" i="122"/>
  <c r="M1973" i="122"/>
  <c r="M1972" i="122"/>
  <c r="M1971" i="122"/>
  <c r="M1970" i="122"/>
  <c r="M1969" i="122"/>
  <c r="M1968" i="122"/>
  <c r="M1967" i="122"/>
  <c r="M1966" i="122"/>
  <c r="M1965" i="122"/>
  <c r="M1964" i="122"/>
  <c r="M1963" i="122"/>
  <c r="M1962" i="122"/>
  <c r="M1961" i="122"/>
  <c r="M1960" i="122"/>
  <c r="M1959" i="122"/>
  <c r="M1958" i="122"/>
  <c r="M1957" i="122"/>
  <c r="M1956" i="122"/>
  <c r="M1955" i="122"/>
  <c r="M1954" i="122"/>
  <c r="M1953" i="122"/>
  <c r="M1952" i="122"/>
  <c r="M1951" i="122"/>
  <c r="M1950" i="122"/>
  <c r="M1949" i="122"/>
  <c r="M1948" i="122"/>
  <c r="M1947" i="122"/>
  <c r="M1946" i="122"/>
  <c r="M1945" i="122"/>
  <c r="M1944" i="122"/>
  <c r="M1943" i="122"/>
  <c r="M1942" i="122"/>
  <c r="M1941" i="122"/>
  <c r="M1940" i="122"/>
  <c r="M1939" i="122"/>
  <c r="C1939" i="122"/>
  <c r="C2609" i="122" s="1"/>
  <c r="C3279" i="122" s="1"/>
  <c r="C3949" i="122" s="1"/>
  <c r="C4619" i="122" s="1"/>
  <c r="C5289" i="122" s="1"/>
  <c r="M1938" i="122"/>
  <c r="M1937" i="122"/>
  <c r="M1936" i="122"/>
  <c r="M1935" i="122"/>
  <c r="M1934" i="122"/>
  <c r="M1933" i="122"/>
  <c r="M1932" i="122"/>
  <c r="M1931" i="122"/>
  <c r="M1930" i="122"/>
  <c r="M1929" i="122"/>
  <c r="M1928" i="122"/>
  <c r="M1927" i="122"/>
  <c r="M1926" i="122"/>
  <c r="M1925" i="122"/>
  <c r="M1924" i="122"/>
  <c r="M1923" i="122"/>
  <c r="M1922" i="122"/>
  <c r="M1921" i="122"/>
  <c r="M1920" i="122"/>
  <c r="M1919" i="122"/>
  <c r="M1918" i="122"/>
  <c r="M1917" i="122"/>
  <c r="M1916" i="122"/>
  <c r="M1915" i="122"/>
  <c r="M1914" i="122"/>
  <c r="M1913" i="122"/>
  <c r="M1912" i="122"/>
  <c r="M1911" i="122"/>
  <c r="M1910" i="122"/>
  <c r="M1909" i="122"/>
  <c r="M1908" i="122"/>
  <c r="M1907" i="122"/>
  <c r="M1906" i="122"/>
  <c r="M1905" i="122"/>
  <c r="M1904" i="122"/>
  <c r="M1903" i="122"/>
  <c r="M1902" i="122"/>
  <c r="M1901" i="122"/>
  <c r="M1900" i="122"/>
  <c r="M1899" i="122"/>
  <c r="M1898" i="122"/>
  <c r="M1897" i="122"/>
  <c r="M1896" i="122"/>
  <c r="M1895" i="122"/>
  <c r="M1894" i="122"/>
  <c r="M1893" i="122"/>
  <c r="M1892" i="122"/>
  <c r="M1891" i="122"/>
  <c r="M1890" i="122"/>
  <c r="M1889" i="122"/>
  <c r="M1888" i="122"/>
  <c r="M1887" i="122"/>
  <c r="M1886" i="122"/>
  <c r="M1885" i="122"/>
  <c r="M1884" i="122"/>
  <c r="M1883" i="122"/>
  <c r="M1882" i="122"/>
  <c r="M1881" i="122"/>
  <c r="M1880" i="122"/>
  <c r="M1879" i="122"/>
  <c r="M1878" i="122"/>
  <c r="M1877" i="122"/>
  <c r="M1876" i="122"/>
  <c r="M1875" i="122"/>
  <c r="M1874" i="122"/>
  <c r="M1873" i="122"/>
  <c r="M1872" i="122"/>
  <c r="M1871" i="122"/>
  <c r="M1870" i="122"/>
  <c r="M1869" i="122"/>
  <c r="M1868" i="122"/>
  <c r="M1867" i="122"/>
  <c r="M1866" i="122"/>
  <c r="M1865" i="122"/>
  <c r="M1864" i="122"/>
  <c r="M1863" i="122"/>
  <c r="M1862" i="122"/>
  <c r="M1861" i="122"/>
  <c r="M1860" i="122"/>
  <c r="M1859" i="122"/>
  <c r="M1858" i="122"/>
  <c r="M1857" i="122"/>
  <c r="M1856" i="122"/>
  <c r="M1855" i="122"/>
  <c r="M1854" i="122"/>
  <c r="M1853" i="122"/>
  <c r="M1852" i="122"/>
  <c r="M1851" i="122"/>
  <c r="M1850" i="122"/>
  <c r="M1849" i="122"/>
  <c r="M1848" i="122"/>
  <c r="M1847" i="122"/>
  <c r="M1846" i="122"/>
  <c r="M1845" i="122"/>
  <c r="M1844" i="122"/>
  <c r="M1843" i="122"/>
  <c r="M1842" i="122"/>
  <c r="M1841" i="122"/>
  <c r="M1840" i="122"/>
  <c r="M1839" i="122"/>
  <c r="M1838" i="122"/>
  <c r="M1837" i="122"/>
  <c r="M1836" i="122"/>
  <c r="M1835" i="122"/>
  <c r="M1834" i="122"/>
  <c r="M1833" i="122"/>
  <c r="M1832" i="122"/>
  <c r="M1831" i="122"/>
  <c r="M1830" i="122"/>
  <c r="M1829" i="122"/>
  <c r="M1828" i="122"/>
  <c r="M1827" i="122"/>
  <c r="M1826" i="122"/>
  <c r="M1825" i="122"/>
  <c r="M1824" i="122"/>
  <c r="M1823" i="122"/>
  <c r="M1822" i="122"/>
  <c r="M1821" i="122"/>
  <c r="M1820" i="122"/>
  <c r="M1819" i="122"/>
  <c r="M1818" i="122"/>
  <c r="M1817" i="122"/>
  <c r="M1816" i="122"/>
  <c r="M1815" i="122"/>
  <c r="M1814" i="122"/>
  <c r="M1813" i="122"/>
  <c r="M1812" i="122"/>
  <c r="M1811" i="122"/>
  <c r="M1810" i="122"/>
  <c r="M1809" i="122"/>
  <c r="M1808" i="122"/>
  <c r="M1807" i="122"/>
  <c r="M1806" i="122"/>
  <c r="M1805" i="122"/>
  <c r="M1804" i="122"/>
  <c r="M1803" i="122"/>
  <c r="M1802" i="122"/>
  <c r="M1801" i="122"/>
  <c r="M1800" i="122"/>
  <c r="M1799" i="122"/>
  <c r="M1798" i="122"/>
  <c r="M1797" i="122"/>
  <c r="M1796" i="122"/>
  <c r="M1795" i="122"/>
  <c r="M1794" i="122"/>
  <c r="M1793" i="122"/>
  <c r="M1792" i="122"/>
  <c r="M1791" i="122"/>
  <c r="M1790" i="122"/>
  <c r="M1789" i="122"/>
  <c r="M1788" i="122"/>
  <c r="M1787" i="122"/>
  <c r="M1786" i="122"/>
  <c r="M1785" i="122"/>
  <c r="M1784" i="122"/>
  <c r="M1783" i="122"/>
  <c r="M1782" i="122"/>
  <c r="M1781" i="122"/>
  <c r="M1780" i="122"/>
  <c r="M1779" i="122"/>
  <c r="M1778" i="122"/>
  <c r="M1777" i="122"/>
  <c r="M1776" i="122"/>
  <c r="M1775" i="122"/>
  <c r="M1774" i="122"/>
  <c r="M1773" i="122"/>
  <c r="M1772" i="122"/>
  <c r="M1771" i="122"/>
  <c r="M1770" i="122"/>
  <c r="M1769" i="122"/>
  <c r="M1768" i="122"/>
  <c r="M1767" i="122"/>
  <c r="M1766" i="122"/>
  <c r="M1765" i="122"/>
  <c r="M1764" i="122"/>
  <c r="M1763" i="122"/>
  <c r="M1762" i="122"/>
  <c r="M1761" i="122"/>
  <c r="M1760" i="122"/>
  <c r="M1759" i="122"/>
  <c r="M1758" i="122"/>
  <c r="M1757" i="122"/>
  <c r="M1756" i="122"/>
  <c r="M1755" i="122"/>
  <c r="M1754" i="122"/>
  <c r="M1753" i="122"/>
  <c r="M1752" i="122"/>
  <c r="M1751" i="122"/>
  <c r="M1750" i="122"/>
  <c r="M1749" i="122"/>
  <c r="M1748" i="122"/>
  <c r="M1747" i="122"/>
  <c r="M1746" i="122"/>
  <c r="M1745" i="122"/>
  <c r="M1744" i="122"/>
  <c r="M1743" i="122"/>
  <c r="M1742" i="122"/>
  <c r="M1741" i="122"/>
  <c r="M1740" i="122"/>
  <c r="M1739" i="122"/>
  <c r="M1738" i="122"/>
  <c r="M1737" i="122"/>
  <c r="M1736" i="122"/>
  <c r="M1735" i="122"/>
  <c r="M1734" i="122"/>
  <c r="M1733" i="122"/>
  <c r="M1732" i="122"/>
  <c r="M1731" i="122"/>
  <c r="M1730" i="122"/>
  <c r="M1729" i="122"/>
  <c r="M1728" i="122"/>
  <c r="M1727" i="122"/>
  <c r="M1726" i="122"/>
  <c r="M1725" i="122"/>
  <c r="M1724" i="122"/>
  <c r="M1723" i="122"/>
  <c r="M1722" i="122"/>
  <c r="M1721" i="122"/>
  <c r="M1720" i="122"/>
  <c r="M1719" i="122"/>
  <c r="M1718" i="122"/>
  <c r="M1717" i="122"/>
  <c r="M1716" i="122"/>
  <c r="M1715" i="122"/>
  <c r="M1714" i="122"/>
  <c r="M1713" i="122"/>
  <c r="M1712" i="122"/>
  <c r="M1711" i="122"/>
  <c r="M1710" i="122"/>
  <c r="M1709" i="122"/>
  <c r="M1708" i="122"/>
  <c r="M1707" i="122"/>
  <c r="M1706" i="122"/>
  <c r="M1705" i="122"/>
  <c r="M1704" i="122"/>
  <c r="M1703" i="122"/>
  <c r="M1702" i="122"/>
  <c r="M1701" i="122"/>
  <c r="M1700" i="122"/>
  <c r="M1699" i="122"/>
  <c r="M1698" i="122"/>
  <c r="M1697" i="122"/>
  <c r="M1696" i="122"/>
  <c r="M1695" i="122"/>
  <c r="M1694" i="122"/>
  <c r="M1693" i="122"/>
  <c r="M1692" i="122"/>
  <c r="M1691" i="122"/>
  <c r="M1690" i="122"/>
  <c r="M1689" i="122"/>
  <c r="M1688" i="122"/>
  <c r="M1687" i="122"/>
  <c r="M1686" i="122"/>
  <c r="M1685" i="122"/>
  <c r="M1684" i="122"/>
  <c r="M1683" i="122"/>
  <c r="M1682" i="122"/>
  <c r="M1681" i="122"/>
  <c r="M1680" i="122"/>
  <c r="M1679" i="122"/>
  <c r="M1678" i="122"/>
  <c r="M1677" i="122"/>
  <c r="M1676" i="122"/>
  <c r="M1675" i="122"/>
  <c r="M1674" i="122"/>
  <c r="M1673" i="122"/>
  <c r="M1672" i="122"/>
  <c r="M1671" i="122"/>
  <c r="M1670" i="122"/>
  <c r="M1669" i="122"/>
  <c r="M1668" i="122"/>
  <c r="M1667" i="122"/>
  <c r="M1666" i="122"/>
  <c r="M1665" i="122"/>
  <c r="M1664" i="122"/>
  <c r="M1663" i="122"/>
  <c r="M1662" i="122"/>
  <c r="M1661" i="122"/>
  <c r="M1660" i="122"/>
  <c r="M1659" i="122"/>
  <c r="M1658" i="122"/>
  <c r="M1657" i="122"/>
  <c r="M1656" i="122"/>
  <c r="M1655" i="122"/>
  <c r="M1654" i="122"/>
  <c r="M1653" i="122"/>
  <c r="M1652" i="122"/>
  <c r="M1651" i="122"/>
  <c r="M1650" i="122"/>
  <c r="M1649" i="122"/>
  <c r="M1648" i="122"/>
  <c r="M1647" i="122"/>
  <c r="M1646" i="122"/>
  <c r="M1645" i="122"/>
  <c r="M1644" i="122"/>
  <c r="M1643" i="122"/>
  <c r="O1643" i="122" s="1"/>
  <c r="P1643" i="122" s="1"/>
  <c r="M1642" i="122"/>
  <c r="M1641" i="122"/>
  <c r="M1640" i="122"/>
  <c r="O1640" i="122" s="1"/>
  <c r="M1639" i="122"/>
  <c r="O1639" i="122" s="1"/>
  <c r="P1639" i="122" s="1"/>
  <c r="M1638" i="122"/>
  <c r="O1638" i="122" s="1"/>
  <c r="M1637" i="122"/>
  <c r="M1636" i="122"/>
  <c r="O1636" i="122" s="1"/>
  <c r="O1635" i="122"/>
  <c r="P1635" i="122" s="1"/>
  <c r="M1635" i="122"/>
  <c r="M1634" i="122"/>
  <c r="M1633" i="122"/>
  <c r="M1632" i="122"/>
  <c r="O1632" i="122" s="1"/>
  <c r="M1631" i="122"/>
  <c r="O1631" i="122" s="1"/>
  <c r="P1631" i="122" s="1"/>
  <c r="M1630" i="122"/>
  <c r="O1630" i="122" s="1"/>
  <c r="P1630" i="122" s="1"/>
  <c r="M1629" i="122"/>
  <c r="M1628" i="122"/>
  <c r="O1628" i="122" s="1"/>
  <c r="M1627" i="122"/>
  <c r="M1626" i="122"/>
  <c r="M1625" i="122"/>
  <c r="M1624" i="122"/>
  <c r="O1624" i="122" s="1"/>
  <c r="P1623" i="122"/>
  <c r="O1623" i="122"/>
  <c r="M1623" i="122"/>
  <c r="M1622" i="122"/>
  <c r="M1621" i="122"/>
  <c r="M1620" i="122"/>
  <c r="M1619" i="122"/>
  <c r="M1618" i="122"/>
  <c r="M1617" i="122"/>
  <c r="M1616" i="122"/>
  <c r="M1615" i="122"/>
  <c r="M1614" i="122"/>
  <c r="M1613" i="122"/>
  <c r="M1612" i="122"/>
  <c r="M1611" i="122"/>
  <c r="M1610" i="122"/>
  <c r="M1609" i="122"/>
  <c r="M1608" i="122"/>
  <c r="M1607" i="122"/>
  <c r="M1606" i="122"/>
  <c r="M1605" i="122"/>
  <c r="M1604" i="122"/>
  <c r="M1603" i="122"/>
  <c r="M1602" i="122"/>
  <c r="M1601" i="122"/>
  <c r="M1600" i="122"/>
  <c r="M1599" i="122"/>
  <c r="M1598" i="122"/>
  <c r="M1597" i="122"/>
  <c r="M1596" i="122"/>
  <c r="M1595" i="122"/>
  <c r="M1594" i="122"/>
  <c r="M1593" i="122"/>
  <c r="M1592" i="122"/>
  <c r="O1592" i="122" s="1"/>
  <c r="P1592" i="122" s="1"/>
  <c r="M1591" i="122"/>
  <c r="M1590" i="122"/>
  <c r="M1589" i="122"/>
  <c r="O1589" i="122" s="1"/>
  <c r="M1588" i="122"/>
  <c r="M1587" i="122"/>
  <c r="O1587" i="122" s="1"/>
  <c r="M1586" i="122"/>
  <c r="M1585" i="122"/>
  <c r="M1584" i="122"/>
  <c r="O1584" i="122" s="1"/>
  <c r="P1584" i="122" s="1"/>
  <c r="O1583" i="122"/>
  <c r="P1583" i="122" s="1"/>
  <c r="M1583" i="122"/>
  <c r="M1582" i="122"/>
  <c r="M1581" i="122"/>
  <c r="M1580" i="122"/>
  <c r="M1579" i="122"/>
  <c r="O1579" i="122" s="1"/>
  <c r="P1579" i="122" s="1"/>
  <c r="M1578" i="122"/>
  <c r="M1577" i="122"/>
  <c r="O1577" i="122" s="1"/>
  <c r="M1576" i="122"/>
  <c r="O1576" i="122" s="1"/>
  <c r="P1576" i="122" s="1"/>
  <c r="M1575" i="122"/>
  <c r="M1574" i="122"/>
  <c r="P1573" i="122"/>
  <c r="M1573" i="122"/>
  <c r="O1573" i="122" s="1"/>
  <c r="M1572" i="122"/>
  <c r="M1571" i="122"/>
  <c r="M1570" i="122"/>
  <c r="M1569" i="122"/>
  <c r="O1568" i="122"/>
  <c r="M1568" i="122"/>
  <c r="M1567" i="122"/>
  <c r="M1566" i="122"/>
  <c r="M1565" i="122"/>
  <c r="O1565" i="122" s="1"/>
  <c r="M1564" i="122"/>
  <c r="O1564" i="122" s="1"/>
  <c r="P1564" i="122" s="1"/>
  <c r="M1563" i="122"/>
  <c r="M1562" i="122"/>
  <c r="M1561" i="122"/>
  <c r="M1560" i="122"/>
  <c r="O1560" i="122" s="1"/>
  <c r="P1560" i="122" s="1"/>
  <c r="M1559" i="122"/>
  <c r="M1558" i="122"/>
  <c r="M1557" i="122"/>
  <c r="O1557" i="122" s="1"/>
  <c r="M1556" i="122"/>
  <c r="O1556" i="122" s="1"/>
  <c r="P1556" i="122" s="1"/>
  <c r="M1555" i="122"/>
  <c r="O1555" i="122" s="1"/>
  <c r="M1554" i="122"/>
  <c r="M1553" i="122"/>
  <c r="O1553" i="122" s="1"/>
  <c r="M1552" i="122"/>
  <c r="O1552" i="122" s="1"/>
  <c r="P1552" i="122" s="1"/>
  <c r="M1551" i="122"/>
  <c r="O1551" i="122" s="1"/>
  <c r="P1551" i="122" s="1"/>
  <c r="M1550" i="122"/>
  <c r="M1549" i="122"/>
  <c r="O1549" i="122" s="1"/>
  <c r="M1548" i="122"/>
  <c r="O1548" i="122" s="1"/>
  <c r="P1548" i="122" s="1"/>
  <c r="M1547" i="122"/>
  <c r="O1547" i="122" s="1"/>
  <c r="P1547" i="122" s="1"/>
  <c r="M1546" i="122"/>
  <c r="P1545" i="122"/>
  <c r="M1545" i="122"/>
  <c r="O1545" i="122" s="1"/>
  <c r="M1544" i="122"/>
  <c r="M1543" i="122"/>
  <c r="M1542" i="122"/>
  <c r="P1541" i="122"/>
  <c r="M1541" i="122"/>
  <c r="O1541" i="122" s="1"/>
  <c r="M1540" i="122"/>
  <c r="M1539" i="122"/>
  <c r="M1538" i="122"/>
  <c r="P1537" i="122"/>
  <c r="M1537" i="122"/>
  <c r="O1537" i="122" s="1"/>
  <c r="M1536" i="122"/>
  <c r="O1536" i="122" s="1"/>
  <c r="M1535" i="122"/>
  <c r="M1534" i="122"/>
  <c r="M1533" i="122"/>
  <c r="O1533" i="122" s="1"/>
  <c r="O1532" i="122"/>
  <c r="P1532" i="122" s="1"/>
  <c r="M1532" i="122"/>
  <c r="M1531" i="122"/>
  <c r="M1530" i="122"/>
  <c r="M1529" i="122"/>
  <c r="M1528" i="122"/>
  <c r="O1528" i="122" s="1"/>
  <c r="P1528" i="122" s="1"/>
  <c r="M1527" i="122"/>
  <c r="M1526" i="122"/>
  <c r="M1525" i="122"/>
  <c r="M1524" i="122"/>
  <c r="O1524" i="122" s="1"/>
  <c r="P1524" i="122" s="1"/>
  <c r="M1523" i="122"/>
  <c r="O1523" i="122" s="1"/>
  <c r="M1522" i="122"/>
  <c r="M1521" i="122"/>
  <c r="O1521" i="122" s="1"/>
  <c r="M1520" i="122"/>
  <c r="O1520" i="122" s="1"/>
  <c r="P1520" i="122" s="1"/>
  <c r="M1519" i="122"/>
  <c r="O1519" i="122" s="1"/>
  <c r="P1519" i="122" s="1"/>
  <c r="M1518" i="122"/>
  <c r="M1517" i="122"/>
  <c r="O1517" i="122" s="1"/>
  <c r="O1516" i="122"/>
  <c r="P1516" i="122" s="1"/>
  <c r="M1516" i="122"/>
  <c r="M1515" i="122"/>
  <c r="O1515" i="122" s="1"/>
  <c r="P1515" i="122" s="1"/>
  <c r="M1514" i="122"/>
  <c r="M1513" i="122"/>
  <c r="O1512" i="122"/>
  <c r="M1512" i="122"/>
  <c r="P1512" i="122" s="1"/>
  <c r="M1511" i="122"/>
  <c r="M1510" i="122"/>
  <c r="M1509" i="122"/>
  <c r="M1508" i="122"/>
  <c r="M1507" i="122"/>
  <c r="M1506" i="122"/>
  <c r="P1505" i="122"/>
  <c r="M1505" i="122"/>
  <c r="O1505" i="122" s="1"/>
  <c r="M1504" i="122"/>
  <c r="O1504" i="122" s="1"/>
  <c r="P1504" i="122" s="1"/>
  <c r="M1503" i="122"/>
  <c r="M1502" i="122"/>
  <c r="M1501" i="122"/>
  <c r="O1501" i="122" s="1"/>
  <c r="M1500" i="122"/>
  <c r="M1499" i="122"/>
  <c r="M1498" i="122"/>
  <c r="M1497" i="122"/>
  <c r="O1496" i="122"/>
  <c r="P1496" i="122" s="1"/>
  <c r="M1496" i="122"/>
  <c r="M1495" i="122"/>
  <c r="M1494" i="122"/>
  <c r="M1493" i="122"/>
  <c r="O1493" i="122" s="1"/>
  <c r="M1492" i="122"/>
  <c r="O1492" i="122" s="1"/>
  <c r="P1492" i="122" s="1"/>
  <c r="M1491" i="122"/>
  <c r="O1491" i="122" s="1"/>
  <c r="M1490" i="122"/>
  <c r="M1489" i="122"/>
  <c r="O1489" i="122" s="1"/>
  <c r="M1488" i="122"/>
  <c r="M1487" i="122"/>
  <c r="O1487" i="122" s="1"/>
  <c r="P1487" i="122" s="1"/>
  <c r="M1486" i="122"/>
  <c r="M1485" i="122"/>
  <c r="O1485" i="122" s="1"/>
  <c r="M1484" i="122"/>
  <c r="O1484" i="122" s="1"/>
  <c r="P1484" i="122" s="1"/>
  <c r="M1483" i="122"/>
  <c r="O1483" i="122" s="1"/>
  <c r="P1483" i="122" s="1"/>
  <c r="M1482" i="122"/>
  <c r="M1481" i="122"/>
  <c r="O1481" i="122" s="1"/>
  <c r="P1480" i="122"/>
  <c r="O1480" i="122"/>
  <c r="M1480" i="122"/>
  <c r="M1479" i="122"/>
  <c r="M1478" i="122"/>
  <c r="M1477" i="122"/>
  <c r="O1477" i="122" s="1"/>
  <c r="M1476" i="122"/>
  <c r="O1476" i="122" s="1"/>
  <c r="P1476" i="122" s="1"/>
  <c r="M1475" i="122"/>
  <c r="M1474" i="122"/>
  <c r="M1473" i="122"/>
  <c r="O1473" i="122" s="1"/>
  <c r="P1472" i="122"/>
  <c r="O1472" i="122"/>
  <c r="M1472" i="122"/>
  <c r="M1471" i="122"/>
  <c r="M1470" i="122"/>
  <c r="M1469" i="122"/>
  <c r="O1469" i="122" s="1"/>
  <c r="M1468" i="122"/>
  <c r="O1468" i="122" s="1"/>
  <c r="P1468" i="122" s="1"/>
  <c r="M1467" i="122"/>
  <c r="M1466" i="122"/>
  <c r="M1465" i="122"/>
  <c r="M1464" i="122"/>
  <c r="O1464" i="122" s="1"/>
  <c r="P1464" i="122" s="1"/>
  <c r="M1463" i="122"/>
  <c r="M1462" i="122"/>
  <c r="M1461" i="122"/>
  <c r="O1461" i="122" s="1"/>
  <c r="M1460" i="122"/>
  <c r="O1460" i="122" s="1"/>
  <c r="P1460" i="122" s="1"/>
  <c r="M1459" i="122"/>
  <c r="O1459" i="122" s="1"/>
  <c r="M1458" i="122"/>
  <c r="M1457" i="122"/>
  <c r="O1457" i="122" s="1"/>
  <c r="M1456" i="122"/>
  <c r="O1456" i="122" s="1"/>
  <c r="P1456" i="122" s="1"/>
  <c r="M1455" i="122"/>
  <c r="O1455" i="122" s="1"/>
  <c r="P1455" i="122" s="1"/>
  <c r="M1454" i="122"/>
  <c r="M1453" i="122"/>
  <c r="O1453" i="122" s="1"/>
  <c r="M1452" i="122"/>
  <c r="O1452" i="122" s="1"/>
  <c r="P1452" i="122" s="1"/>
  <c r="M1451" i="122"/>
  <c r="O1451" i="122" s="1"/>
  <c r="P1451" i="122" s="1"/>
  <c r="M1450" i="122"/>
  <c r="M1449" i="122"/>
  <c r="O1449" i="122" s="1"/>
  <c r="O1448" i="122"/>
  <c r="M1448" i="122"/>
  <c r="M1447" i="122"/>
  <c r="M1446" i="122"/>
  <c r="M1445" i="122"/>
  <c r="P1444" i="122"/>
  <c r="M1444" i="122"/>
  <c r="O1444" i="122" s="1"/>
  <c r="M1443" i="122"/>
  <c r="M1442" i="122"/>
  <c r="M1441" i="122"/>
  <c r="M1440" i="122"/>
  <c r="M1439" i="122"/>
  <c r="M1438" i="122"/>
  <c r="M1437" i="122"/>
  <c r="O1437" i="122" s="1"/>
  <c r="M1436" i="122"/>
  <c r="O1436" i="122" s="1"/>
  <c r="P1436" i="122" s="1"/>
  <c r="M1435" i="122"/>
  <c r="M1434" i="122"/>
  <c r="M1433" i="122"/>
  <c r="O1432" i="122"/>
  <c r="P1432" i="122" s="1"/>
  <c r="M1432" i="122"/>
  <c r="M1431" i="122"/>
  <c r="M1430" i="122"/>
  <c r="M1429" i="122"/>
  <c r="O1429" i="122" s="1"/>
  <c r="M1428" i="122"/>
  <c r="O1428" i="122" s="1"/>
  <c r="P1428" i="122" s="1"/>
  <c r="M1427" i="122"/>
  <c r="O1427" i="122" s="1"/>
  <c r="M1426" i="122"/>
  <c r="M1425" i="122"/>
  <c r="O1425" i="122" s="1"/>
  <c r="M1424" i="122"/>
  <c r="O1424" i="122" s="1"/>
  <c r="P1424" i="122" s="1"/>
  <c r="O1423" i="122"/>
  <c r="P1423" i="122" s="1"/>
  <c r="M1423" i="122"/>
  <c r="M1422" i="122"/>
  <c r="M1421" i="122"/>
  <c r="O1421" i="122" s="1"/>
  <c r="M1420" i="122"/>
  <c r="O1420" i="122" s="1"/>
  <c r="P1420" i="122" s="1"/>
  <c r="O1419" i="122"/>
  <c r="P1419" i="122" s="1"/>
  <c r="M1419" i="122"/>
  <c r="M1418" i="122"/>
  <c r="M1417" i="122"/>
  <c r="M1416" i="122"/>
  <c r="O1416" i="122" s="1"/>
  <c r="P1416" i="122" s="1"/>
  <c r="M1415" i="122"/>
  <c r="M1414" i="122"/>
  <c r="M1413" i="122"/>
  <c r="O1413" i="122" s="1"/>
  <c r="M1412" i="122"/>
  <c r="M1411" i="122"/>
  <c r="M1410" i="122"/>
  <c r="P1409" i="122"/>
  <c r="M1409" i="122"/>
  <c r="O1409" i="122" s="1"/>
  <c r="M1408" i="122"/>
  <c r="M1407" i="122"/>
  <c r="M1406" i="122"/>
  <c r="M1405" i="122"/>
  <c r="O1405" i="122" s="1"/>
  <c r="O1404" i="122"/>
  <c r="P1404" i="122" s="1"/>
  <c r="M1404" i="122"/>
  <c r="M1403" i="122"/>
  <c r="M1402" i="122"/>
  <c r="M1401" i="122"/>
  <c r="M1400" i="122"/>
  <c r="O1400" i="122" s="1"/>
  <c r="P1400" i="122" s="1"/>
  <c r="M1399" i="122"/>
  <c r="M1398" i="122"/>
  <c r="M1397" i="122"/>
  <c r="O1397" i="122" s="1"/>
  <c r="O1396" i="122"/>
  <c r="P1396" i="122" s="1"/>
  <c r="M1396" i="122"/>
  <c r="M1395" i="122"/>
  <c r="O1395" i="122" s="1"/>
  <c r="M1394" i="122"/>
  <c r="M1393" i="122"/>
  <c r="O1393" i="122" s="1"/>
  <c r="M1392" i="122"/>
  <c r="O1392" i="122" s="1"/>
  <c r="P1392" i="122" s="1"/>
  <c r="O1391" i="122"/>
  <c r="P1391" i="122" s="1"/>
  <c r="M1391" i="122"/>
  <c r="M1390" i="122"/>
  <c r="M1389" i="122"/>
  <c r="M1388" i="122"/>
  <c r="O1388" i="122" s="1"/>
  <c r="P1388" i="122" s="1"/>
  <c r="M1387" i="122"/>
  <c r="O1387" i="122" s="1"/>
  <c r="P1387" i="122" s="1"/>
  <c r="M1386" i="122"/>
  <c r="M1385" i="122"/>
  <c r="O1385" i="122" s="1"/>
  <c r="M1384" i="122"/>
  <c r="M1383" i="122"/>
  <c r="M1382" i="122"/>
  <c r="M1381" i="122"/>
  <c r="M1380" i="122"/>
  <c r="O1380" i="122" s="1"/>
  <c r="P1380" i="122" s="1"/>
  <c r="M1379" i="122"/>
  <c r="M1378" i="122"/>
  <c r="M1377" i="122"/>
  <c r="P1376" i="122"/>
  <c r="M1376" i="122"/>
  <c r="O1376" i="122" s="1"/>
  <c r="M1375" i="122"/>
  <c r="M1374" i="122"/>
  <c r="M1373" i="122"/>
  <c r="O1373" i="122" s="1"/>
  <c r="O1372" i="122"/>
  <c r="P1372" i="122" s="1"/>
  <c r="M1372" i="122"/>
  <c r="M1371" i="122"/>
  <c r="M1370" i="122"/>
  <c r="M1369" i="122"/>
  <c r="M1368" i="122"/>
  <c r="O1368" i="122" s="1"/>
  <c r="P1368" i="122" s="1"/>
  <c r="M1367" i="122"/>
  <c r="M1366" i="122"/>
  <c r="M1365" i="122"/>
  <c r="O1365" i="122" s="1"/>
  <c r="M1364" i="122"/>
  <c r="O1364" i="122" s="1"/>
  <c r="P1364" i="122" s="1"/>
  <c r="M1363" i="122"/>
  <c r="O1363" i="122" s="1"/>
  <c r="M1362" i="122"/>
  <c r="M1361" i="122"/>
  <c r="O1361" i="122" s="1"/>
  <c r="O1360" i="122"/>
  <c r="P1360" i="122" s="1"/>
  <c r="M1360" i="122"/>
  <c r="M1359" i="122"/>
  <c r="O1359" i="122" s="1"/>
  <c r="P1359" i="122" s="1"/>
  <c r="M1358" i="122"/>
  <c r="M1357" i="122"/>
  <c r="O1357" i="122" s="1"/>
  <c r="M1356" i="122"/>
  <c r="O1356" i="122" s="1"/>
  <c r="P1356" i="122" s="1"/>
  <c r="M1355" i="122"/>
  <c r="O1355" i="122" s="1"/>
  <c r="P1355" i="122" s="1"/>
  <c r="M1354" i="122"/>
  <c r="M1353" i="122"/>
  <c r="P1352" i="122"/>
  <c r="M1352" i="122"/>
  <c r="O1352" i="122" s="1"/>
  <c r="M1351" i="122"/>
  <c r="M1350" i="122"/>
  <c r="L1345" i="122"/>
  <c r="K1345" i="122"/>
  <c r="B1345" i="122"/>
  <c r="B2015" i="122" s="1"/>
  <c r="B2685" i="122" s="1"/>
  <c r="B3355" i="122" s="1"/>
  <c r="B4025" i="122" s="1"/>
  <c r="B4695" i="122" s="1"/>
  <c r="B5365" i="122" s="1"/>
  <c r="M1344" i="122"/>
  <c r="M1343" i="122"/>
  <c r="M1342" i="122"/>
  <c r="M1341" i="122"/>
  <c r="M1340" i="122"/>
  <c r="A1340" i="122"/>
  <c r="A2010" i="122" s="1"/>
  <c r="A2680" i="122" s="1"/>
  <c r="A3350" i="122" s="1"/>
  <c r="A4020" i="122" s="1"/>
  <c r="A4690" i="122" s="1"/>
  <c r="A5360" i="122" s="1"/>
  <c r="M1339" i="122"/>
  <c r="M1338" i="122"/>
  <c r="M1337" i="122"/>
  <c r="M1336" i="122"/>
  <c r="M1335" i="122"/>
  <c r="M1334" i="122"/>
  <c r="M1333" i="122"/>
  <c r="M1332" i="122"/>
  <c r="M1331" i="122"/>
  <c r="M1330" i="122"/>
  <c r="A1330" i="122"/>
  <c r="A2000" i="122" s="1"/>
  <c r="A2670" i="122" s="1"/>
  <c r="A3340" i="122" s="1"/>
  <c r="A4010" i="122" s="1"/>
  <c r="A4680" i="122" s="1"/>
  <c r="A5350" i="122" s="1"/>
  <c r="M1329" i="122"/>
  <c r="M1328" i="122"/>
  <c r="B1328" i="122"/>
  <c r="B1998" i="122" s="1"/>
  <c r="B2668" i="122" s="1"/>
  <c r="B3338" i="122" s="1"/>
  <c r="B4008" i="122" s="1"/>
  <c r="B4678" i="122" s="1"/>
  <c r="B5348" i="122" s="1"/>
  <c r="M1327" i="122"/>
  <c r="M1326" i="122"/>
  <c r="C1326" i="122"/>
  <c r="C1996" i="122" s="1"/>
  <c r="C2666" i="122" s="1"/>
  <c r="C3336" i="122" s="1"/>
  <c r="C4006" i="122" s="1"/>
  <c r="C4676" i="122" s="1"/>
  <c r="C5346" i="122" s="1"/>
  <c r="B1326" i="122"/>
  <c r="B1996" i="122" s="1"/>
  <c r="B2666" i="122" s="1"/>
  <c r="B3336" i="122" s="1"/>
  <c r="B4006" i="122" s="1"/>
  <c r="B4676" i="122" s="1"/>
  <c r="B5346" i="122" s="1"/>
  <c r="M1325" i="122"/>
  <c r="M1324" i="122"/>
  <c r="M1323" i="122"/>
  <c r="M1322" i="122"/>
  <c r="M1321" i="122"/>
  <c r="M1320" i="122"/>
  <c r="M1319" i="122"/>
  <c r="M1318" i="122"/>
  <c r="A1318" i="122"/>
  <c r="A1988" i="122" s="1"/>
  <c r="A2658" i="122" s="1"/>
  <c r="A3328" i="122" s="1"/>
  <c r="A3998" i="122" s="1"/>
  <c r="A4668" i="122" s="1"/>
  <c r="A5338" i="122" s="1"/>
  <c r="M1317" i="122"/>
  <c r="M1316" i="122"/>
  <c r="M1315" i="122"/>
  <c r="D1315" i="122"/>
  <c r="D1985" i="122" s="1"/>
  <c r="D2655" i="122" s="1"/>
  <c r="D3325" i="122" s="1"/>
  <c r="D3995" i="122" s="1"/>
  <c r="D4665" i="122" s="1"/>
  <c r="D5335" i="122" s="1"/>
  <c r="M1314" i="122"/>
  <c r="M1313" i="122"/>
  <c r="D1313" i="122"/>
  <c r="D1983" i="122" s="1"/>
  <c r="D2653" i="122" s="1"/>
  <c r="D3323" i="122" s="1"/>
  <c r="D3993" i="122" s="1"/>
  <c r="D4663" i="122" s="1"/>
  <c r="D5333" i="122" s="1"/>
  <c r="M1312" i="122"/>
  <c r="M1311" i="122"/>
  <c r="M1310" i="122"/>
  <c r="M1309" i="122"/>
  <c r="M1308" i="122"/>
  <c r="M1307" i="122"/>
  <c r="M1306" i="122"/>
  <c r="M1305" i="122"/>
  <c r="M1304" i="122"/>
  <c r="M1303" i="122"/>
  <c r="M1302" i="122"/>
  <c r="M1301" i="122"/>
  <c r="M1300" i="122"/>
  <c r="M1299" i="122"/>
  <c r="M1298" i="122"/>
  <c r="M1297" i="122"/>
  <c r="M1296" i="122"/>
  <c r="M1295" i="122"/>
  <c r="M1294" i="122"/>
  <c r="B1294" i="122"/>
  <c r="B1964" i="122" s="1"/>
  <c r="B2634" i="122" s="1"/>
  <c r="B3304" i="122" s="1"/>
  <c r="B3974" i="122" s="1"/>
  <c r="B4644" i="122" s="1"/>
  <c r="B5314" i="122" s="1"/>
  <c r="M1293" i="122"/>
  <c r="M1292" i="122"/>
  <c r="M1291" i="122"/>
  <c r="M1290" i="122"/>
  <c r="M1289" i="122"/>
  <c r="M1288" i="122"/>
  <c r="M1287" i="122"/>
  <c r="M1286" i="122"/>
  <c r="M1285" i="122"/>
  <c r="M1284" i="122"/>
  <c r="M1283" i="122"/>
  <c r="M1282" i="122"/>
  <c r="M1281" i="122"/>
  <c r="M1280" i="122"/>
  <c r="M1279" i="122"/>
  <c r="M1278" i="122"/>
  <c r="M1277" i="122"/>
  <c r="M1276" i="122"/>
  <c r="M1275" i="122"/>
  <c r="M1274" i="122"/>
  <c r="M1273" i="122"/>
  <c r="M1272" i="122"/>
  <c r="M1271" i="122"/>
  <c r="M1270" i="122"/>
  <c r="M1269" i="122"/>
  <c r="M1268" i="122"/>
  <c r="M1267" i="122"/>
  <c r="M1266" i="122"/>
  <c r="M1265" i="122"/>
  <c r="M1264" i="122"/>
  <c r="M1263" i="122"/>
  <c r="M1262" i="122"/>
  <c r="M1261" i="122"/>
  <c r="M1260" i="122"/>
  <c r="M1259" i="122"/>
  <c r="M1258" i="122"/>
  <c r="M1257" i="122"/>
  <c r="M1256" i="122"/>
  <c r="M1255" i="122"/>
  <c r="M1254" i="122"/>
  <c r="M1253" i="122"/>
  <c r="M1252" i="122"/>
  <c r="M1251" i="122"/>
  <c r="M1250" i="122"/>
  <c r="M1249" i="122"/>
  <c r="M1248" i="122"/>
  <c r="M1247" i="122"/>
  <c r="M1246" i="122"/>
  <c r="M1245" i="122"/>
  <c r="M1244" i="122"/>
  <c r="B1244" i="122"/>
  <c r="B1914" i="122" s="1"/>
  <c r="B2584" i="122" s="1"/>
  <c r="B3254" i="122" s="1"/>
  <c r="B3924" i="122" s="1"/>
  <c r="B4594" i="122" s="1"/>
  <c r="B5264" i="122" s="1"/>
  <c r="M1243" i="122"/>
  <c r="M1242" i="122"/>
  <c r="B1242" i="122"/>
  <c r="B1912" i="122" s="1"/>
  <c r="B2582" i="122" s="1"/>
  <c r="B3252" i="122" s="1"/>
  <c r="B3922" i="122" s="1"/>
  <c r="B4592" i="122" s="1"/>
  <c r="B5262" i="122" s="1"/>
  <c r="M1241" i="122"/>
  <c r="M1240" i="122"/>
  <c r="M1239" i="122"/>
  <c r="M1238" i="122"/>
  <c r="M1237" i="122"/>
  <c r="M1236" i="122"/>
  <c r="M1235" i="122"/>
  <c r="M1234" i="122"/>
  <c r="M1233" i="122"/>
  <c r="M1232" i="122"/>
  <c r="M1231" i="122"/>
  <c r="M1230" i="122"/>
  <c r="M1229" i="122"/>
  <c r="M1228" i="122"/>
  <c r="M1227" i="122"/>
  <c r="M1226" i="122"/>
  <c r="M1225" i="122"/>
  <c r="M1224" i="122"/>
  <c r="M1223" i="122"/>
  <c r="M1222" i="122"/>
  <c r="M1221" i="122"/>
  <c r="M1220" i="122"/>
  <c r="M1219" i="122"/>
  <c r="M1218" i="122"/>
  <c r="M1217" i="122"/>
  <c r="M1216" i="122"/>
  <c r="M1215" i="122"/>
  <c r="M1214" i="122"/>
  <c r="M1213" i="122"/>
  <c r="M1212" i="122"/>
  <c r="M1211" i="122"/>
  <c r="M1210" i="122"/>
  <c r="M1209" i="122"/>
  <c r="M1208" i="122"/>
  <c r="M1207" i="122"/>
  <c r="M1206" i="122"/>
  <c r="M1205" i="122"/>
  <c r="M1204" i="122"/>
  <c r="M1203" i="122"/>
  <c r="M1202" i="122"/>
  <c r="M1201" i="122"/>
  <c r="M1200" i="122"/>
  <c r="B1200" i="122"/>
  <c r="B1870" i="122" s="1"/>
  <c r="B2540" i="122" s="1"/>
  <c r="B3210" i="122" s="1"/>
  <c r="B3880" i="122" s="1"/>
  <c r="B4550" i="122" s="1"/>
  <c r="B5220" i="122" s="1"/>
  <c r="M1199" i="122"/>
  <c r="M1198" i="122"/>
  <c r="M1197" i="122"/>
  <c r="M1196" i="122"/>
  <c r="M1195" i="122"/>
  <c r="M1194" i="122"/>
  <c r="M1193" i="122"/>
  <c r="M1192" i="122"/>
  <c r="B1192" i="122"/>
  <c r="B1862" i="122" s="1"/>
  <c r="B2532" i="122" s="1"/>
  <c r="B3202" i="122" s="1"/>
  <c r="B3872" i="122" s="1"/>
  <c r="B4542" i="122" s="1"/>
  <c r="B5212" i="122" s="1"/>
  <c r="M1191" i="122"/>
  <c r="M1190" i="122"/>
  <c r="M1189" i="122"/>
  <c r="M1188" i="122"/>
  <c r="M1187" i="122"/>
  <c r="M1186" i="122"/>
  <c r="M1185" i="122"/>
  <c r="M1184" i="122"/>
  <c r="M1183" i="122"/>
  <c r="M1182" i="122"/>
  <c r="M1181" i="122"/>
  <c r="M1180" i="122"/>
  <c r="M1179" i="122"/>
  <c r="M1178" i="122"/>
  <c r="M1177" i="122"/>
  <c r="M1176" i="122"/>
  <c r="M1175" i="122"/>
  <c r="M1174" i="122"/>
  <c r="M1173" i="122"/>
  <c r="M1172" i="122"/>
  <c r="M1171" i="122"/>
  <c r="M1170" i="122"/>
  <c r="M1169" i="122"/>
  <c r="M1168" i="122"/>
  <c r="M1167" i="122"/>
  <c r="M1166" i="122"/>
  <c r="M1165" i="122"/>
  <c r="M1164" i="122"/>
  <c r="M1163" i="122"/>
  <c r="M1162" i="122"/>
  <c r="M1161" i="122"/>
  <c r="M1160" i="122"/>
  <c r="M1159" i="122"/>
  <c r="M1158" i="122"/>
  <c r="M1157" i="122"/>
  <c r="M1156" i="122"/>
  <c r="M1155" i="122"/>
  <c r="M1154" i="122"/>
  <c r="M1153" i="122"/>
  <c r="M1152" i="122"/>
  <c r="M1151" i="122"/>
  <c r="E1151" i="122"/>
  <c r="E1821" i="122" s="1"/>
  <c r="E2491" i="122" s="1"/>
  <c r="E3161" i="122" s="1"/>
  <c r="E3831" i="122" s="1"/>
  <c r="E4501" i="122" s="1"/>
  <c r="E5171" i="122" s="1"/>
  <c r="M1150" i="122"/>
  <c r="M1149" i="122"/>
  <c r="M1148" i="122"/>
  <c r="M1147" i="122"/>
  <c r="M1146" i="122"/>
  <c r="M1145" i="122"/>
  <c r="M1144" i="122"/>
  <c r="M1143" i="122"/>
  <c r="M1142" i="122"/>
  <c r="M1141" i="122"/>
  <c r="M1140" i="122"/>
  <c r="M1139" i="122"/>
  <c r="M1138" i="122"/>
  <c r="M1137" i="122"/>
  <c r="M1136" i="122"/>
  <c r="M1135" i="122"/>
  <c r="M1134" i="122"/>
  <c r="M1133" i="122"/>
  <c r="M1132" i="122"/>
  <c r="M1131" i="122"/>
  <c r="M1130" i="122"/>
  <c r="M1129" i="122"/>
  <c r="M1128" i="122"/>
  <c r="M1127" i="122"/>
  <c r="M1126" i="122"/>
  <c r="M1125" i="122"/>
  <c r="M1124" i="122"/>
  <c r="M1123" i="122"/>
  <c r="M1122" i="122"/>
  <c r="M1121" i="122"/>
  <c r="M1120" i="122"/>
  <c r="M1119" i="122"/>
  <c r="M1118" i="122"/>
  <c r="M1117" i="122"/>
  <c r="M1116" i="122"/>
  <c r="M1115" i="122"/>
  <c r="M1114" i="122"/>
  <c r="M1113" i="122"/>
  <c r="M1112" i="122"/>
  <c r="M1111" i="122"/>
  <c r="M1110" i="122"/>
  <c r="M1109" i="122"/>
  <c r="M1108" i="122"/>
  <c r="M1107" i="122"/>
  <c r="M1106" i="122"/>
  <c r="M1105" i="122"/>
  <c r="M1104" i="122"/>
  <c r="M1103" i="122"/>
  <c r="M1102" i="122"/>
  <c r="M1101" i="122"/>
  <c r="M1100" i="122"/>
  <c r="M1099" i="122"/>
  <c r="M1098" i="122"/>
  <c r="M1097" i="122"/>
  <c r="M1096" i="122"/>
  <c r="D1096" i="122"/>
  <c r="D1766" i="122" s="1"/>
  <c r="D2436" i="122" s="1"/>
  <c r="D3106" i="122" s="1"/>
  <c r="D3776" i="122" s="1"/>
  <c r="D4446" i="122" s="1"/>
  <c r="D5116" i="122" s="1"/>
  <c r="C1096" i="122"/>
  <c r="C1766" i="122" s="1"/>
  <c r="C2436" i="122" s="1"/>
  <c r="C3106" i="122" s="1"/>
  <c r="C3776" i="122" s="1"/>
  <c r="C4446" i="122" s="1"/>
  <c r="C5116" i="122" s="1"/>
  <c r="M1095" i="122"/>
  <c r="M1094" i="122"/>
  <c r="M1093" i="122"/>
  <c r="M1092" i="122"/>
  <c r="M1091" i="122"/>
  <c r="M1090" i="122"/>
  <c r="M1089" i="122"/>
  <c r="M1088" i="122"/>
  <c r="M1087" i="122"/>
  <c r="D1087" i="122"/>
  <c r="D1757" i="122" s="1"/>
  <c r="D2427" i="122" s="1"/>
  <c r="D3097" i="122" s="1"/>
  <c r="D3767" i="122" s="1"/>
  <c r="D4437" i="122" s="1"/>
  <c r="D5107" i="122" s="1"/>
  <c r="M1086" i="122"/>
  <c r="M1085" i="122"/>
  <c r="M1084" i="122"/>
  <c r="M1083" i="122"/>
  <c r="M1082" i="122"/>
  <c r="M1081" i="122"/>
  <c r="M1080" i="122"/>
  <c r="M1079" i="122"/>
  <c r="M1078" i="122"/>
  <c r="M1077" i="122"/>
  <c r="D1077" i="122"/>
  <c r="D1747" i="122" s="1"/>
  <c r="D2417" i="122" s="1"/>
  <c r="D3087" i="122" s="1"/>
  <c r="D3757" i="122" s="1"/>
  <c r="D4427" i="122" s="1"/>
  <c r="D5097" i="122" s="1"/>
  <c r="M1076" i="122"/>
  <c r="M1075" i="122"/>
  <c r="M1074" i="122"/>
  <c r="M1073" i="122"/>
  <c r="M1072" i="122"/>
  <c r="M1071" i="122"/>
  <c r="M1070" i="122"/>
  <c r="M1069" i="122"/>
  <c r="M1068" i="122"/>
  <c r="M1067" i="122"/>
  <c r="M1066" i="122"/>
  <c r="M1065" i="122"/>
  <c r="M1064" i="122"/>
  <c r="M1063" i="122"/>
  <c r="M1062" i="122"/>
  <c r="M1061" i="122"/>
  <c r="M1060" i="122"/>
  <c r="M1059" i="122"/>
  <c r="M1058" i="122"/>
  <c r="M1057" i="122"/>
  <c r="M1056" i="122"/>
  <c r="M1055" i="122"/>
  <c r="M1054" i="122"/>
  <c r="M1053" i="122"/>
  <c r="M1052" i="122"/>
  <c r="M1051" i="122"/>
  <c r="M1050" i="122"/>
  <c r="M1049" i="122"/>
  <c r="M1048" i="122"/>
  <c r="M1047" i="122"/>
  <c r="M1046" i="122"/>
  <c r="M1045" i="122"/>
  <c r="M1044" i="122"/>
  <c r="M1043" i="122"/>
  <c r="M1042" i="122"/>
  <c r="M1041" i="122"/>
  <c r="M1040" i="122"/>
  <c r="M1039" i="122"/>
  <c r="D1039" i="122"/>
  <c r="D1709" i="122" s="1"/>
  <c r="D2379" i="122" s="1"/>
  <c r="D3049" i="122" s="1"/>
  <c r="D3719" i="122" s="1"/>
  <c r="D4389" i="122" s="1"/>
  <c r="D5059" i="122" s="1"/>
  <c r="M1038" i="122"/>
  <c r="M1037" i="122"/>
  <c r="M1036" i="122"/>
  <c r="M1035" i="122"/>
  <c r="M1034" i="122"/>
  <c r="M1033" i="122"/>
  <c r="M1032" i="122"/>
  <c r="M1031" i="122"/>
  <c r="M1030" i="122"/>
  <c r="M1029" i="122"/>
  <c r="M1028" i="122"/>
  <c r="M1027" i="122"/>
  <c r="M1026" i="122"/>
  <c r="M1025" i="122"/>
  <c r="M1024" i="122"/>
  <c r="M1023" i="122"/>
  <c r="M1022" i="122"/>
  <c r="M1021" i="122"/>
  <c r="M1020" i="122"/>
  <c r="M1019" i="122"/>
  <c r="M1018" i="122"/>
  <c r="M1017" i="122"/>
  <c r="M1016" i="122"/>
  <c r="M1015" i="122"/>
  <c r="M1014" i="122"/>
  <c r="D1014" i="122"/>
  <c r="D1684" i="122" s="1"/>
  <c r="D2354" i="122" s="1"/>
  <c r="D3024" i="122" s="1"/>
  <c r="D3694" i="122" s="1"/>
  <c r="D4364" i="122" s="1"/>
  <c r="D5034" i="122" s="1"/>
  <c r="M1013" i="122"/>
  <c r="M1012" i="122"/>
  <c r="M1011" i="122"/>
  <c r="M1010" i="122"/>
  <c r="M1009" i="122"/>
  <c r="M1008" i="122"/>
  <c r="M1007" i="122"/>
  <c r="M1006" i="122"/>
  <c r="M1005" i="122"/>
  <c r="M1004" i="122"/>
  <c r="M1003" i="122"/>
  <c r="M1002" i="122"/>
  <c r="A1002" i="122"/>
  <c r="A1672" i="122" s="1"/>
  <c r="A2342" i="122" s="1"/>
  <c r="A3012" i="122" s="1"/>
  <c r="A3682" i="122" s="1"/>
  <c r="A4352" i="122" s="1"/>
  <c r="A5022" i="122" s="1"/>
  <c r="M1001" i="122"/>
  <c r="M1000" i="122"/>
  <c r="B1000" i="122"/>
  <c r="B1670" i="122" s="1"/>
  <c r="B2340" i="122" s="1"/>
  <c r="B3010" i="122" s="1"/>
  <c r="B3680" i="122" s="1"/>
  <c r="B4350" i="122" s="1"/>
  <c r="B5020" i="122" s="1"/>
  <c r="A1000" i="122"/>
  <c r="A1670" i="122" s="1"/>
  <c r="A2340" i="122" s="1"/>
  <c r="A3010" i="122" s="1"/>
  <c r="A3680" i="122" s="1"/>
  <c r="A4350" i="122" s="1"/>
  <c r="A5020" i="122" s="1"/>
  <c r="M999" i="122"/>
  <c r="M998" i="122"/>
  <c r="M997" i="122"/>
  <c r="M996" i="122"/>
  <c r="M995" i="122"/>
  <c r="M994" i="122"/>
  <c r="M993" i="122"/>
  <c r="M992" i="122"/>
  <c r="M991" i="122"/>
  <c r="M990" i="122"/>
  <c r="M989" i="122"/>
  <c r="M988" i="122"/>
  <c r="M987" i="122"/>
  <c r="M986" i="122"/>
  <c r="M985" i="122"/>
  <c r="M984" i="122"/>
  <c r="M983" i="122"/>
  <c r="M982" i="122"/>
  <c r="M981" i="122"/>
  <c r="M980" i="122"/>
  <c r="M979" i="122"/>
  <c r="M978" i="122"/>
  <c r="M977" i="122"/>
  <c r="M976" i="122"/>
  <c r="M975" i="122"/>
  <c r="M974" i="122"/>
  <c r="M973" i="122"/>
  <c r="M972" i="122"/>
  <c r="M971" i="122"/>
  <c r="O971" i="122" s="1"/>
  <c r="P971" i="122" s="1"/>
  <c r="M970" i="122"/>
  <c r="M969" i="122"/>
  <c r="M968" i="122"/>
  <c r="O968" i="122" s="1"/>
  <c r="M967" i="122"/>
  <c r="O967" i="122" s="1"/>
  <c r="P967" i="122" s="1"/>
  <c r="M966" i="122"/>
  <c r="O966" i="122" s="1"/>
  <c r="M965" i="122"/>
  <c r="M964" i="122"/>
  <c r="O964" i="122" s="1"/>
  <c r="M963" i="122"/>
  <c r="O963" i="122" s="1"/>
  <c r="P963" i="122" s="1"/>
  <c r="M962" i="122"/>
  <c r="M961" i="122"/>
  <c r="M960" i="122"/>
  <c r="O960" i="122" s="1"/>
  <c r="M959" i="122"/>
  <c r="O959" i="122" s="1"/>
  <c r="P959" i="122" s="1"/>
  <c r="O958" i="122"/>
  <c r="P958" i="122" s="1"/>
  <c r="M958" i="122"/>
  <c r="M957" i="122"/>
  <c r="M956" i="122"/>
  <c r="M955" i="122"/>
  <c r="M954" i="122"/>
  <c r="M953" i="122"/>
  <c r="M952" i="122"/>
  <c r="O952" i="122" s="1"/>
  <c r="M951" i="122"/>
  <c r="M950" i="122"/>
  <c r="M949" i="122"/>
  <c r="M948" i="122"/>
  <c r="M947" i="122"/>
  <c r="M946" i="122"/>
  <c r="M945" i="122"/>
  <c r="M944" i="122"/>
  <c r="M943" i="122"/>
  <c r="M942" i="122"/>
  <c r="M941" i="122"/>
  <c r="M940" i="122"/>
  <c r="M939" i="122"/>
  <c r="M938" i="122"/>
  <c r="M937" i="122"/>
  <c r="M936" i="122"/>
  <c r="M935" i="122"/>
  <c r="M934" i="122"/>
  <c r="M933" i="122"/>
  <c r="M932" i="122"/>
  <c r="M931" i="122"/>
  <c r="M930" i="122"/>
  <c r="M929" i="122"/>
  <c r="M928" i="122"/>
  <c r="M927" i="122"/>
  <c r="M926" i="122"/>
  <c r="M925" i="122"/>
  <c r="M924" i="122"/>
  <c r="M923" i="122"/>
  <c r="M922" i="122"/>
  <c r="M921" i="122"/>
  <c r="O921" i="122" s="1"/>
  <c r="M920" i="122"/>
  <c r="O920" i="122" s="1"/>
  <c r="P920" i="122" s="1"/>
  <c r="O919" i="122"/>
  <c r="P919" i="122" s="1"/>
  <c r="M919" i="122"/>
  <c r="M918" i="122"/>
  <c r="P917" i="122"/>
  <c r="M917" i="122"/>
  <c r="O917" i="122" s="1"/>
  <c r="M916" i="122"/>
  <c r="M915" i="122"/>
  <c r="M914" i="122"/>
  <c r="M913" i="122"/>
  <c r="M912" i="122"/>
  <c r="M911" i="122"/>
  <c r="M910" i="122"/>
  <c r="P909" i="122"/>
  <c r="M909" i="122"/>
  <c r="O909" i="122" s="1"/>
  <c r="M908" i="122"/>
  <c r="O908" i="122" s="1"/>
  <c r="P908" i="122" s="1"/>
  <c r="M907" i="122"/>
  <c r="M906" i="122"/>
  <c r="P905" i="122"/>
  <c r="M905" i="122"/>
  <c r="O905" i="122" s="1"/>
  <c r="M904" i="122"/>
  <c r="O904" i="122" s="1"/>
  <c r="P904" i="122" s="1"/>
  <c r="M903" i="122"/>
  <c r="M902" i="122"/>
  <c r="M901" i="122"/>
  <c r="M900" i="122"/>
  <c r="O900" i="122" s="1"/>
  <c r="P900" i="122" s="1"/>
  <c r="M899" i="122"/>
  <c r="M898" i="122"/>
  <c r="M897" i="122"/>
  <c r="O897" i="122" s="1"/>
  <c r="M896" i="122"/>
  <c r="M895" i="122"/>
  <c r="O895" i="122" s="1"/>
  <c r="M894" i="122"/>
  <c r="M893" i="122"/>
  <c r="O893" i="122" s="1"/>
  <c r="M892" i="122"/>
  <c r="O892" i="122" s="1"/>
  <c r="P892" i="122" s="1"/>
  <c r="M891" i="122"/>
  <c r="M890" i="122"/>
  <c r="M889" i="122"/>
  <c r="O889" i="122" s="1"/>
  <c r="M888" i="122"/>
  <c r="O888" i="122" s="1"/>
  <c r="P888" i="122" s="1"/>
  <c r="M887" i="122"/>
  <c r="O887" i="122" s="1"/>
  <c r="P887" i="122" s="1"/>
  <c r="M886" i="122"/>
  <c r="M885" i="122"/>
  <c r="O885" i="122" s="1"/>
  <c r="M884" i="122"/>
  <c r="O884" i="122" s="1"/>
  <c r="M883" i="122"/>
  <c r="M882" i="122"/>
  <c r="M881" i="122"/>
  <c r="M880" i="122"/>
  <c r="M879" i="122"/>
  <c r="M878" i="122"/>
  <c r="M877" i="122"/>
  <c r="O876" i="122"/>
  <c r="M876" i="122"/>
  <c r="M875" i="122"/>
  <c r="M874" i="122"/>
  <c r="M873" i="122"/>
  <c r="O873" i="122" s="1"/>
  <c r="M872" i="122"/>
  <c r="O872" i="122" s="1"/>
  <c r="P872" i="122" s="1"/>
  <c r="M871" i="122"/>
  <c r="M870" i="122"/>
  <c r="M869" i="122"/>
  <c r="O868" i="122"/>
  <c r="P868" i="122" s="1"/>
  <c r="M868" i="122"/>
  <c r="M867" i="122"/>
  <c r="M866" i="122"/>
  <c r="M865" i="122"/>
  <c r="O865" i="122" s="1"/>
  <c r="M864" i="122"/>
  <c r="O864" i="122" s="1"/>
  <c r="P864" i="122" s="1"/>
  <c r="M863" i="122"/>
  <c r="O863" i="122" s="1"/>
  <c r="M862" i="122"/>
  <c r="M861" i="122"/>
  <c r="O861" i="122" s="1"/>
  <c r="M860" i="122"/>
  <c r="O860" i="122" s="1"/>
  <c r="P860" i="122" s="1"/>
  <c r="M859" i="122"/>
  <c r="M858" i="122"/>
  <c r="M857" i="122"/>
  <c r="O857" i="122" s="1"/>
  <c r="M856" i="122"/>
  <c r="O856" i="122" s="1"/>
  <c r="P856" i="122" s="1"/>
  <c r="M855" i="122"/>
  <c r="M854" i="122"/>
  <c r="M853" i="122"/>
  <c r="O853" i="122" s="1"/>
  <c r="M852" i="122"/>
  <c r="O852" i="122" s="1"/>
  <c r="P852" i="122" s="1"/>
  <c r="M851" i="122"/>
  <c r="M850" i="122"/>
  <c r="M849" i="122"/>
  <c r="O849" i="122" s="1"/>
  <c r="M848" i="122"/>
  <c r="M847" i="122"/>
  <c r="M846" i="122"/>
  <c r="P845" i="122"/>
  <c r="M845" i="122"/>
  <c r="O845" i="122" s="1"/>
  <c r="M844" i="122"/>
  <c r="M843" i="122"/>
  <c r="M842" i="122"/>
  <c r="M841" i="122"/>
  <c r="O841" i="122" s="1"/>
  <c r="M840" i="122"/>
  <c r="M839" i="122"/>
  <c r="M838" i="122"/>
  <c r="M837" i="122"/>
  <c r="M836" i="122"/>
  <c r="M835" i="122"/>
  <c r="M834" i="122"/>
  <c r="M833" i="122"/>
  <c r="O833" i="122" s="1"/>
  <c r="M832" i="122"/>
  <c r="O832" i="122" s="1"/>
  <c r="P832" i="122" s="1"/>
  <c r="M831" i="122"/>
  <c r="M830" i="122"/>
  <c r="M829" i="122"/>
  <c r="O829" i="122" s="1"/>
  <c r="M828" i="122"/>
  <c r="O828" i="122" s="1"/>
  <c r="P828" i="122" s="1"/>
  <c r="M827" i="122"/>
  <c r="O827" i="122" s="1"/>
  <c r="M826" i="122"/>
  <c r="M825" i="122"/>
  <c r="O825" i="122" s="1"/>
  <c r="M824" i="122"/>
  <c r="O824" i="122" s="1"/>
  <c r="P824" i="122" s="1"/>
  <c r="M823" i="122"/>
  <c r="O823" i="122" s="1"/>
  <c r="P823" i="122" s="1"/>
  <c r="M822" i="122"/>
  <c r="M821" i="122"/>
  <c r="O821" i="122" s="1"/>
  <c r="M820" i="122"/>
  <c r="M819" i="122"/>
  <c r="M818" i="122"/>
  <c r="P817" i="122"/>
  <c r="M817" i="122"/>
  <c r="O817" i="122" s="1"/>
  <c r="M816" i="122"/>
  <c r="O816" i="122" s="1"/>
  <c r="P816" i="122" s="1"/>
  <c r="M815" i="122"/>
  <c r="M814" i="122"/>
  <c r="P813" i="122"/>
  <c r="M813" i="122"/>
  <c r="O813" i="122" s="1"/>
  <c r="M812" i="122"/>
  <c r="O812" i="122" s="1"/>
  <c r="M811" i="122"/>
  <c r="M810" i="122"/>
  <c r="M809" i="122"/>
  <c r="O809" i="122" s="1"/>
  <c r="M808" i="122"/>
  <c r="M807" i="122"/>
  <c r="M806" i="122"/>
  <c r="M805" i="122"/>
  <c r="O804" i="122"/>
  <c r="P804" i="122" s="1"/>
  <c r="M804" i="122"/>
  <c r="M803" i="122"/>
  <c r="M802" i="122"/>
  <c r="M801" i="122"/>
  <c r="O801" i="122" s="1"/>
  <c r="M800" i="122"/>
  <c r="O800" i="122" s="1"/>
  <c r="P800" i="122" s="1"/>
  <c r="M799" i="122"/>
  <c r="O799" i="122" s="1"/>
  <c r="M798" i="122"/>
  <c r="M797" i="122"/>
  <c r="O797" i="122" s="1"/>
  <c r="M796" i="122"/>
  <c r="O796" i="122" s="1"/>
  <c r="P796" i="122" s="1"/>
  <c r="M795" i="122"/>
  <c r="O795" i="122" s="1"/>
  <c r="M794" i="122"/>
  <c r="M793" i="122"/>
  <c r="O793" i="122" s="1"/>
  <c r="M792" i="122"/>
  <c r="O792" i="122" s="1"/>
  <c r="P792" i="122" s="1"/>
  <c r="M791" i="122"/>
  <c r="O791" i="122" s="1"/>
  <c r="P791" i="122" s="1"/>
  <c r="M790" i="122"/>
  <c r="M789" i="122"/>
  <c r="O789" i="122" s="1"/>
  <c r="M788" i="122"/>
  <c r="O788" i="122" s="1"/>
  <c r="P788" i="122" s="1"/>
  <c r="M787" i="122"/>
  <c r="M786" i="122"/>
  <c r="P785" i="122"/>
  <c r="M785" i="122"/>
  <c r="O785" i="122" s="1"/>
  <c r="M784" i="122"/>
  <c r="M783" i="122"/>
  <c r="M782" i="122"/>
  <c r="M781" i="122"/>
  <c r="O781" i="122" s="1"/>
  <c r="M780" i="122"/>
  <c r="M779" i="122"/>
  <c r="M778" i="122"/>
  <c r="P777" i="122"/>
  <c r="M777" i="122"/>
  <c r="O777" i="122" s="1"/>
  <c r="M776" i="122"/>
  <c r="O776" i="122" s="1"/>
  <c r="P776" i="122" s="1"/>
  <c r="M775" i="122"/>
  <c r="M774" i="122"/>
  <c r="M773" i="122"/>
  <c r="M772" i="122"/>
  <c r="O772" i="122" s="1"/>
  <c r="P772" i="122" s="1"/>
  <c r="M771" i="122"/>
  <c r="M770" i="122"/>
  <c r="M769" i="122"/>
  <c r="O769" i="122" s="1"/>
  <c r="M768" i="122"/>
  <c r="O768" i="122" s="1"/>
  <c r="P768" i="122" s="1"/>
  <c r="M767" i="122"/>
  <c r="O767" i="122" s="1"/>
  <c r="M766" i="122"/>
  <c r="M765" i="122"/>
  <c r="O765" i="122" s="1"/>
  <c r="M764" i="122"/>
  <c r="O764" i="122" s="1"/>
  <c r="P764" i="122" s="1"/>
  <c r="M763" i="122"/>
  <c r="O763" i="122" s="1"/>
  <c r="P763" i="122" s="1"/>
  <c r="M762" i="122"/>
  <c r="M761" i="122"/>
  <c r="O761" i="122" s="1"/>
  <c r="M760" i="122"/>
  <c r="O760" i="122" s="1"/>
  <c r="P760" i="122" s="1"/>
  <c r="M759" i="122"/>
  <c r="O759" i="122" s="1"/>
  <c r="P759" i="122" s="1"/>
  <c r="M758" i="122"/>
  <c r="M757" i="122"/>
  <c r="O757" i="122" s="1"/>
  <c r="M756" i="122"/>
  <c r="O756" i="122" s="1"/>
  <c r="P756" i="122" s="1"/>
  <c r="M755" i="122"/>
  <c r="O755" i="122" s="1"/>
  <c r="M754" i="122"/>
  <c r="M753" i="122"/>
  <c r="P752" i="122"/>
  <c r="M752" i="122"/>
  <c r="O752" i="122" s="1"/>
  <c r="M751" i="122"/>
  <c r="M750" i="122"/>
  <c r="M749" i="122"/>
  <c r="M748" i="122"/>
  <c r="M747" i="122"/>
  <c r="M746" i="122"/>
  <c r="M745" i="122"/>
  <c r="O745" i="122" s="1"/>
  <c r="M744" i="122"/>
  <c r="M743" i="122"/>
  <c r="M742" i="122"/>
  <c r="P741" i="122"/>
  <c r="M741" i="122"/>
  <c r="O741" i="122" s="1"/>
  <c r="O740" i="122"/>
  <c r="P740" i="122" s="1"/>
  <c r="M740" i="122"/>
  <c r="M739" i="122"/>
  <c r="M738" i="122"/>
  <c r="M737" i="122"/>
  <c r="M736" i="122"/>
  <c r="O736" i="122" s="1"/>
  <c r="P736" i="122" s="1"/>
  <c r="M735" i="122"/>
  <c r="O735" i="122" s="1"/>
  <c r="M734" i="122"/>
  <c r="M733" i="122"/>
  <c r="O733" i="122" s="1"/>
  <c r="O732" i="122"/>
  <c r="P732" i="122" s="1"/>
  <c r="M732" i="122"/>
  <c r="M731" i="122"/>
  <c r="M730" i="122"/>
  <c r="M729" i="122"/>
  <c r="O729" i="122" s="1"/>
  <c r="M728" i="122"/>
  <c r="O728" i="122" s="1"/>
  <c r="P728" i="122" s="1"/>
  <c r="M727" i="122"/>
  <c r="O727" i="122" s="1"/>
  <c r="P727" i="122" s="1"/>
  <c r="M726" i="122"/>
  <c r="M725" i="122"/>
  <c r="O725" i="122" s="1"/>
  <c r="O724" i="122"/>
  <c r="P724" i="122" s="1"/>
  <c r="M724" i="122"/>
  <c r="M723" i="122"/>
  <c r="O723" i="122" s="1"/>
  <c r="M722" i="122"/>
  <c r="P721" i="122"/>
  <c r="M721" i="122"/>
  <c r="O721" i="122" s="1"/>
  <c r="M720" i="122"/>
  <c r="O720" i="122" s="1"/>
  <c r="P720" i="122" s="1"/>
  <c r="M719" i="122"/>
  <c r="M718" i="122"/>
  <c r="M717" i="122"/>
  <c r="M716" i="122"/>
  <c r="M715" i="122"/>
  <c r="M714" i="122"/>
  <c r="M713" i="122"/>
  <c r="M712" i="122"/>
  <c r="M711" i="122"/>
  <c r="M710" i="122"/>
  <c r="M709" i="122"/>
  <c r="O709" i="122" s="1"/>
  <c r="M708" i="122"/>
  <c r="O708" i="122" s="1"/>
  <c r="P708" i="122" s="1"/>
  <c r="M707" i="122"/>
  <c r="M706" i="122"/>
  <c r="M705" i="122"/>
  <c r="O704" i="122"/>
  <c r="P704" i="122" s="1"/>
  <c r="M704" i="122"/>
  <c r="M703" i="122"/>
  <c r="O703" i="122" s="1"/>
  <c r="M702" i="122"/>
  <c r="M701" i="122"/>
  <c r="O701" i="122" s="1"/>
  <c r="M700" i="122"/>
  <c r="O700" i="122" s="1"/>
  <c r="P700" i="122" s="1"/>
  <c r="O699" i="122"/>
  <c r="P699" i="122" s="1"/>
  <c r="M699" i="122"/>
  <c r="M698" i="122"/>
  <c r="M697" i="122"/>
  <c r="O697" i="122" s="1"/>
  <c r="M696" i="122"/>
  <c r="O696" i="122" s="1"/>
  <c r="P696" i="122" s="1"/>
  <c r="M695" i="122"/>
  <c r="M694" i="122"/>
  <c r="M693" i="122"/>
  <c r="O693" i="122" s="1"/>
  <c r="M692" i="122"/>
  <c r="O692" i="122" s="1"/>
  <c r="P692" i="122" s="1"/>
  <c r="M691" i="122"/>
  <c r="O691" i="122" s="1"/>
  <c r="M690" i="122"/>
  <c r="P689" i="122"/>
  <c r="M689" i="122"/>
  <c r="O689" i="122" s="1"/>
  <c r="M688" i="122"/>
  <c r="M687" i="122"/>
  <c r="M686" i="122"/>
  <c r="M685" i="122"/>
  <c r="M684" i="122"/>
  <c r="M683" i="122"/>
  <c r="M682" i="122"/>
  <c r="M680" i="122"/>
  <c r="O680" i="122" s="1"/>
  <c r="P680" i="122" s="1"/>
  <c r="B678" i="122"/>
  <c r="B1348" i="122" s="1"/>
  <c r="B2018" i="122" s="1"/>
  <c r="B2688" i="122" s="1"/>
  <c r="B3358" i="122" s="1"/>
  <c r="B4028" i="122" s="1"/>
  <c r="B4698" i="122" s="1"/>
  <c r="L675" i="122"/>
  <c r="K675" i="122"/>
  <c r="M674" i="122"/>
  <c r="E1344" i="122"/>
  <c r="E2014" i="122" s="1"/>
  <c r="E2684" i="122" s="1"/>
  <c r="E3354" i="122" s="1"/>
  <c r="E4024" i="122" s="1"/>
  <c r="E4694" i="122" s="1"/>
  <c r="E5364" i="122" s="1"/>
  <c r="D1344" i="122"/>
  <c r="D2014" i="122" s="1"/>
  <c r="D2684" i="122" s="1"/>
  <c r="D3354" i="122" s="1"/>
  <c r="D4024" i="122" s="1"/>
  <c r="D4694" i="122" s="1"/>
  <c r="D5364" i="122" s="1"/>
  <c r="C1344" i="122"/>
  <c r="C2014" i="122" s="1"/>
  <c r="C2684" i="122" s="1"/>
  <c r="C3354" i="122" s="1"/>
  <c r="C4024" i="122" s="1"/>
  <c r="C4694" i="122" s="1"/>
  <c r="C5364" i="122" s="1"/>
  <c r="B1344" i="122"/>
  <c r="B2014" i="122" s="1"/>
  <c r="B2684" i="122" s="1"/>
  <c r="B3354" i="122" s="1"/>
  <c r="B4024" i="122" s="1"/>
  <c r="B4694" i="122" s="1"/>
  <c r="B5364" i="122" s="1"/>
  <c r="A1344" i="122"/>
  <c r="A2014" i="122" s="1"/>
  <c r="A2684" i="122" s="1"/>
  <c r="A3354" i="122" s="1"/>
  <c r="A4024" i="122" s="1"/>
  <c r="A4694" i="122" s="1"/>
  <c r="A5364" i="122" s="1"/>
  <c r="M673" i="122"/>
  <c r="E1343" i="122"/>
  <c r="E2013" i="122" s="1"/>
  <c r="E2683" i="122" s="1"/>
  <c r="E3353" i="122" s="1"/>
  <c r="E4023" i="122" s="1"/>
  <c r="E4693" i="122" s="1"/>
  <c r="E5363" i="122" s="1"/>
  <c r="D1343" i="122"/>
  <c r="D2013" i="122" s="1"/>
  <c r="D2683" i="122" s="1"/>
  <c r="D3353" i="122" s="1"/>
  <c r="D4023" i="122" s="1"/>
  <c r="D4693" i="122" s="1"/>
  <c r="D5363" i="122" s="1"/>
  <c r="C1343" i="122"/>
  <c r="C2013" i="122" s="1"/>
  <c r="C2683" i="122" s="1"/>
  <c r="C3353" i="122" s="1"/>
  <c r="C4023" i="122" s="1"/>
  <c r="C4693" i="122" s="1"/>
  <c r="C5363" i="122" s="1"/>
  <c r="B1343" i="122"/>
  <c r="B2013" i="122" s="1"/>
  <c r="B2683" i="122" s="1"/>
  <c r="B3353" i="122" s="1"/>
  <c r="B4023" i="122" s="1"/>
  <c r="B4693" i="122" s="1"/>
  <c r="B5363" i="122" s="1"/>
  <c r="A1343" i="122"/>
  <c r="A2013" i="122" s="1"/>
  <c r="A2683" i="122" s="1"/>
  <c r="A3353" i="122" s="1"/>
  <c r="A4023" i="122" s="1"/>
  <c r="A4693" i="122" s="1"/>
  <c r="A5363" i="122" s="1"/>
  <c r="M672" i="122"/>
  <c r="D1342" i="122"/>
  <c r="D2012" i="122" s="1"/>
  <c r="D2682" i="122" s="1"/>
  <c r="D3352" i="122" s="1"/>
  <c r="D4022" i="122" s="1"/>
  <c r="D4692" i="122" s="1"/>
  <c r="D5362" i="122" s="1"/>
  <c r="C1342" i="122"/>
  <c r="C2012" i="122" s="1"/>
  <c r="C2682" i="122" s="1"/>
  <c r="C3352" i="122" s="1"/>
  <c r="C4022" i="122" s="1"/>
  <c r="C4692" i="122" s="1"/>
  <c r="C5362" i="122" s="1"/>
  <c r="B1342" i="122"/>
  <c r="B2012" i="122" s="1"/>
  <c r="B2682" i="122" s="1"/>
  <c r="B3352" i="122" s="1"/>
  <c r="B4022" i="122" s="1"/>
  <c r="B4692" i="122" s="1"/>
  <c r="B5362" i="122" s="1"/>
  <c r="A1342" i="122"/>
  <c r="A2012" i="122" s="1"/>
  <c r="A2682" i="122" s="1"/>
  <c r="A3352" i="122" s="1"/>
  <c r="A4022" i="122" s="1"/>
  <c r="A4692" i="122" s="1"/>
  <c r="A5362" i="122" s="1"/>
  <c r="M671" i="122"/>
  <c r="D1341" i="122"/>
  <c r="D2011" i="122" s="1"/>
  <c r="D2681" i="122" s="1"/>
  <c r="D3351" i="122" s="1"/>
  <c r="D4021" i="122" s="1"/>
  <c r="D4691" i="122" s="1"/>
  <c r="D5361" i="122" s="1"/>
  <c r="C1341" i="122"/>
  <c r="C2011" i="122" s="1"/>
  <c r="C2681" i="122" s="1"/>
  <c r="C3351" i="122" s="1"/>
  <c r="C4021" i="122" s="1"/>
  <c r="C4691" i="122" s="1"/>
  <c r="C5361" i="122" s="1"/>
  <c r="B1341" i="122"/>
  <c r="B2011" i="122" s="1"/>
  <c r="B2681" i="122" s="1"/>
  <c r="B3351" i="122" s="1"/>
  <c r="B4021" i="122" s="1"/>
  <c r="B4691" i="122" s="1"/>
  <c r="B5361" i="122" s="1"/>
  <c r="A1341" i="122"/>
  <c r="A2011" i="122" s="1"/>
  <c r="A2681" i="122" s="1"/>
  <c r="A3351" i="122" s="1"/>
  <c r="A4021" i="122" s="1"/>
  <c r="A4691" i="122" s="1"/>
  <c r="A5361" i="122" s="1"/>
  <c r="M670" i="122"/>
  <c r="E1340" i="122"/>
  <c r="E2010" i="122" s="1"/>
  <c r="E2680" i="122" s="1"/>
  <c r="E3350" i="122" s="1"/>
  <c r="E4020" i="122" s="1"/>
  <c r="E4690" i="122" s="1"/>
  <c r="E5360" i="122" s="1"/>
  <c r="D1340" i="122"/>
  <c r="D2010" i="122" s="1"/>
  <c r="D2680" i="122" s="1"/>
  <c r="D3350" i="122" s="1"/>
  <c r="D4020" i="122" s="1"/>
  <c r="D4690" i="122" s="1"/>
  <c r="D5360" i="122" s="1"/>
  <c r="C1340" i="122"/>
  <c r="C2010" i="122" s="1"/>
  <c r="C2680" i="122" s="1"/>
  <c r="C3350" i="122" s="1"/>
  <c r="C4020" i="122" s="1"/>
  <c r="C4690" i="122" s="1"/>
  <c r="C5360" i="122" s="1"/>
  <c r="B1340" i="122"/>
  <c r="B2010" i="122" s="1"/>
  <c r="B2680" i="122" s="1"/>
  <c r="B3350" i="122" s="1"/>
  <c r="B4020" i="122" s="1"/>
  <c r="B4690" i="122" s="1"/>
  <c r="B5360" i="122" s="1"/>
  <c r="M669" i="122"/>
  <c r="E1339" i="122"/>
  <c r="E2009" i="122" s="1"/>
  <c r="E2679" i="122" s="1"/>
  <c r="E3349" i="122" s="1"/>
  <c r="E4019" i="122" s="1"/>
  <c r="E4689" i="122" s="1"/>
  <c r="E5359" i="122" s="1"/>
  <c r="D1339" i="122"/>
  <c r="D2009" i="122" s="1"/>
  <c r="D2679" i="122" s="1"/>
  <c r="D3349" i="122" s="1"/>
  <c r="D4019" i="122" s="1"/>
  <c r="D4689" i="122" s="1"/>
  <c r="D5359" i="122" s="1"/>
  <c r="C1339" i="122"/>
  <c r="C2009" i="122" s="1"/>
  <c r="C2679" i="122" s="1"/>
  <c r="C3349" i="122" s="1"/>
  <c r="C4019" i="122" s="1"/>
  <c r="C4689" i="122" s="1"/>
  <c r="C5359" i="122" s="1"/>
  <c r="B1339" i="122"/>
  <c r="B2009" i="122" s="1"/>
  <c r="B2679" i="122" s="1"/>
  <c r="B3349" i="122" s="1"/>
  <c r="B4019" i="122" s="1"/>
  <c r="B4689" i="122" s="1"/>
  <c r="B5359" i="122" s="1"/>
  <c r="A1339" i="122"/>
  <c r="A2009" i="122" s="1"/>
  <c r="A2679" i="122" s="1"/>
  <c r="A3349" i="122" s="1"/>
  <c r="A4019" i="122" s="1"/>
  <c r="A4689" i="122" s="1"/>
  <c r="A5359" i="122" s="1"/>
  <c r="M668" i="122"/>
  <c r="E1338" i="122"/>
  <c r="E2008" i="122" s="1"/>
  <c r="E2678" i="122" s="1"/>
  <c r="E3348" i="122" s="1"/>
  <c r="E4018" i="122" s="1"/>
  <c r="E4688" i="122" s="1"/>
  <c r="E5358" i="122" s="1"/>
  <c r="D1338" i="122"/>
  <c r="D2008" i="122" s="1"/>
  <c r="D2678" i="122" s="1"/>
  <c r="D3348" i="122" s="1"/>
  <c r="D4018" i="122" s="1"/>
  <c r="D4688" i="122" s="1"/>
  <c r="D5358" i="122" s="1"/>
  <c r="C1338" i="122"/>
  <c r="C2008" i="122" s="1"/>
  <c r="C2678" i="122" s="1"/>
  <c r="C3348" i="122" s="1"/>
  <c r="C4018" i="122" s="1"/>
  <c r="C4688" i="122" s="1"/>
  <c r="C5358" i="122" s="1"/>
  <c r="B1338" i="122"/>
  <c r="B2008" i="122" s="1"/>
  <c r="B2678" i="122" s="1"/>
  <c r="B3348" i="122" s="1"/>
  <c r="B4018" i="122" s="1"/>
  <c r="B4688" i="122" s="1"/>
  <c r="B5358" i="122" s="1"/>
  <c r="A1338" i="122"/>
  <c r="A2008" i="122" s="1"/>
  <c r="A2678" i="122" s="1"/>
  <c r="A3348" i="122" s="1"/>
  <c r="A4018" i="122" s="1"/>
  <c r="A4688" i="122" s="1"/>
  <c r="A5358" i="122" s="1"/>
  <c r="M667" i="122"/>
  <c r="E1337" i="122"/>
  <c r="E2007" i="122" s="1"/>
  <c r="E2677" i="122" s="1"/>
  <c r="E3347" i="122" s="1"/>
  <c r="E4017" i="122" s="1"/>
  <c r="E4687" i="122" s="1"/>
  <c r="E5357" i="122" s="1"/>
  <c r="D1337" i="122"/>
  <c r="D2007" i="122" s="1"/>
  <c r="D2677" i="122" s="1"/>
  <c r="D3347" i="122" s="1"/>
  <c r="D4017" i="122" s="1"/>
  <c r="D4687" i="122" s="1"/>
  <c r="D5357" i="122" s="1"/>
  <c r="C1337" i="122"/>
  <c r="C2007" i="122" s="1"/>
  <c r="C2677" i="122" s="1"/>
  <c r="C3347" i="122" s="1"/>
  <c r="C4017" i="122" s="1"/>
  <c r="C4687" i="122" s="1"/>
  <c r="C5357" i="122" s="1"/>
  <c r="B1337" i="122"/>
  <c r="B2007" i="122" s="1"/>
  <c r="B2677" i="122" s="1"/>
  <c r="B3347" i="122" s="1"/>
  <c r="B4017" i="122" s="1"/>
  <c r="B4687" i="122" s="1"/>
  <c r="B5357" i="122" s="1"/>
  <c r="A1337" i="122"/>
  <c r="A2007" i="122" s="1"/>
  <c r="A2677" i="122" s="1"/>
  <c r="A3347" i="122" s="1"/>
  <c r="A4017" i="122" s="1"/>
  <c r="A4687" i="122" s="1"/>
  <c r="A5357" i="122" s="1"/>
  <c r="M666" i="122"/>
  <c r="E1336" i="122"/>
  <c r="E2006" i="122" s="1"/>
  <c r="E2676" i="122" s="1"/>
  <c r="E3346" i="122" s="1"/>
  <c r="E4016" i="122" s="1"/>
  <c r="E4686" i="122" s="1"/>
  <c r="E5356" i="122" s="1"/>
  <c r="D1336" i="122"/>
  <c r="D2006" i="122" s="1"/>
  <c r="D2676" i="122" s="1"/>
  <c r="D3346" i="122" s="1"/>
  <c r="D4016" i="122" s="1"/>
  <c r="D4686" i="122" s="1"/>
  <c r="D5356" i="122" s="1"/>
  <c r="C1336" i="122"/>
  <c r="C2006" i="122" s="1"/>
  <c r="C2676" i="122" s="1"/>
  <c r="C3346" i="122" s="1"/>
  <c r="C4016" i="122" s="1"/>
  <c r="C4686" i="122" s="1"/>
  <c r="C5356" i="122" s="1"/>
  <c r="B1336" i="122"/>
  <c r="B2006" i="122" s="1"/>
  <c r="B2676" i="122" s="1"/>
  <c r="B3346" i="122" s="1"/>
  <c r="B4016" i="122" s="1"/>
  <c r="B4686" i="122" s="1"/>
  <c r="B5356" i="122" s="1"/>
  <c r="A1336" i="122"/>
  <c r="A2006" i="122" s="1"/>
  <c r="A2676" i="122" s="1"/>
  <c r="A3346" i="122" s="1"/>
  <c r="A4016" i="122" s="1"/>
  <c r="A4686" i="122" s="1"/>
  <c r="A5356" i="122" s="1"/>
  <c r="M665" i="122"/>
  <c r="D1335" i="122"/>
  <c r="D2005" i="122" s="1"/>
  <c r="D2675" i="122" s="1"/>
  <c r="D3345" i="122" s="1"/>
  <c r="D4015" i="122" s="1"/>
  <c r="D4685" i="122" s="1"/>
  <c r="D5355" i="122" s="1"/>
  <c r="C1335" i="122"/>
  <c r="C2005" i="122" s="1"/>
  <c r="C2675" i="122" s="1"/>
  <c r="C3345" i="122" s="1"/>
  <c r="C4015" i="122" s="1"/>
  <c r="C4685" i="122" s="1"/>
  <c r="C5355" i="122" s="1"/>
  <c r="B1335" i="122"/>
  <c r="B2005" i="122" s="1"/>
  <c r="B2675" i="122" s="1"/>
  <c r="B3345" i="122" s="1"/>
  <c r="B4015" i="122" s="1"/>
  <c r="B4685" i="122" s="1"/>
  <c r="B5355" i="122" s="1"/>
  <c r="A1335" i="122"/>
  <c r="A2005" i="122" s="1"/>
  <c r="A2675" i="122" s="1"/>
  <c r="A3345" i="122" s="1"/>
  <c r="A4015" i="122" s="1"/>
  <c r="A4685" i="122" s="1"/>
  <c r="A5355" i="122" s="1"/>
  <c r="M664" i="122"/>
  <c r="E1334" i="122"/>
  <c r="E2004" i="122" s="1"/>
  <c r="E2674" i="122" s="1"/>
  <c r="E3344" i="122" s="1"/>
  <c r="E4014" i="122" s="1"/>
  <c r="E4684" i="122" s="1"/>
  <c r="E5354" i="122" s="1"/>
  <c r="D1334" i="122"/>
  <c r="D2004" i="122" s="1"/>
  <c r="D2674" i="122" s="1"/>
  <c r="D3344" i="122" s="1"/>
  <c r="D4014" i="122" s="1"/>
  <c r="D4684" i="122" s="1"/>
  <c r="D5354" i="122" s="1"/>
  <c r="C1334" i="122"/>
  <c r="C2004" i="122" s="1"/>
  <c r="C2674" i="122" s="1"/>
  <c r="C3344" i="122" s="1"/>
  <c r="C4014" i="122" s="1"/>
  <c r="C4684" i="122" s="1"/>
  <c r="C5354" i="122" s="1"/>
  <c r="B1334" i="122"/>
  <c r="B2004" i="122" s="1"/>
  <c r="B2674" i="122" s="1"/>
  <c r="B3344" i="122" s="1"/>
  <c r="B4014" i="122" s="1"/>
  <c r="B4684" i="122" s="1"/>
  <c r="B5354" i="122" s="1"/>
  <c r="A1334" i="122"/>
  <c r="A2004" i="122" s="1"/>
  <c r="A2674" i="122" s="1"/>
  <c r="A3344" i="122" s="1"/>
  <c r="A4014" i="122" s="1"/>
  <c r="A4684" i="122" s="1"/>
  <c r="A5354" i="122" s="1"/>
  <c r="M663" i="122"/>
  <c r="E1333" i="122"/>
  <c r="E2003" i="122" s="1"/>
  <c r="E2673" i="122" s="1"/>
  <c r="E3343" i="122" s="1"/>
  <c r="E4013" i="122" s="1"/>
  <c r="E4683" i="122" s="1"/>
  <c r="E5353" i="122" s="1"/>
  <c r="D1333" i="122"/>
  <c r="D2003" i="122" s="1"/>
  <c r="D2673" i="122" s="1"/>
  <c r="D3343" i="122" s="1"/>
  <c r="D4013" i="122" s="1"/>
  <c r="D4683" i="122" s="1"/>
  <c r="D5353" i="122" s="1"/>
  <c r="C1333" i="122"/>
  <c r="C2003" i="122" s="1"/>
  <c r="C2673" i="122" s="1"/>
  <c r="C3343" i="122" s="1"/>
  <c r="C4013" i="122" s="1"/>
  <c r="C4683" i="122" s="1"/>
  <c r="C5353" i="122" s="1"/>
  <c r="B1333" i="122"/>
  <c r="B2003" i="122" s="1"/>
  <c r="B2673" i="122" s="1"/>
  <c r="B3343" i="122" s="1"/>
  <c r="B4013" i="122" s="1"/>
  <c r="B4683" i="122" s="1"/>
  <c r="B5353" i="122" s="1"/>
  <c r="A1333" i="122"/>
  <c r="A2003" i="122" s="1"/>
  <c r="A2673" i="122" s="1"/>
  <c r="A3343" i="122" s="1"/>
  <c r="A4013" i="122" s="1"/>
  <c r="A4683" i="122" s="1"/>
  <c r="A5353" i="122" s="1"/>
  <c r="M662" i="122"/>
  <c r="D1332" i="122"/>
  <c r="D2002" i="122" s="1"/>
  <c r="D2672" i="122" s="1"/>
  <c r="D3342" i="122" s="1"/>
  <c r="D4012" i="122" s="1"/>
  <c r="D4682" i="122" s="1"/>
  <c r="D5352" i="122" s="1"/>
  <c r="C1332" i="122"/>
  <c r="C2002" i="122" s="1"/>
  <c r="C2672" i="122" s="1"/>
  <c r="C3342" i="122" s="1"/>
  <c r="C4012" i="122" s="1"/>
  <c r="C4682" i="122" s="1"/>
  <c r="C5352" i="122" s="1"/>
  <c r="B1332" i="122"/>
  <c r="B2002" i="122" s="1"/>
  <c r="B2672" i="122" s="1"/>
  <c r="B3342" i="122" s="1"/>
  <c r="B4012" i="122" s="1"/>
  <c r="B4682" i="122" s="1"/>
  <c r="B5352" i="122" s="1"/>
  <c r="A1332" i="122"/>
  <c r="A2002" i="122" s="1"/>
  <c r="A2672" i="122" s="1"/>
  <c r="A3342" i="122" s="1"/>
  <c r="A4012" i="122" s="1"/>
  <c r="A4682" i="122" s="1"/>
  <c r="A5352" i="122" s="1"/>
  <c r="M661" i="122"/>
  <c r="D1331" i="122"/>
  <c r="D2001" i="122" s="1"/>
  <c r="D2671" i="122" s="1"/>
  <c r="D3341" i="122" s="1"/>
  <c r="D4011" i="122" s="1"/>
  <c r="D4681" i="122" s="1"/>
  <c r="D5351" i="122" s="1"/>
  <c r="C1331" i="122"/>
  <c r="C2001" i="122" s="1"/>
  <c r="C2671" i="122" s="1"/>
  <c r="C3341" i="122" s="1"/>
  <c r="C4011" i="122" s="1"/>
  <c r="C4681" i="122" s="1"/>
  <c r="C5351" i="122" s="1"/>
  <c r="B1331" i="122"/>
  <c r="B2001" i="122" s="1"/>
  <c r="B2671" i="122" s="1"/>
  <c r="B3341" i="122" s="1"/>
  <c r="B4011" i="122" s="1"/>
  <c r="B4681" i="122" s="1"/>
  <c r="B5351" i="122" s="1"/>
  <c r="A1331" i="122"/>
  <c r="A2001" i="122" s="1"/>
  <c r="A2671" i="122" s="1"/>
  <c r="A3341" i="122" s="1"/>
  <c r="A4011" i="122" s="1"/>
  <c r="A4681" i="122" s="1"/>
  <c r="A5351" i="122" s="1"/>
  <c r="M660" i="122"/>
  <c r="E1330" i="122"/>
  <c r="E2000" i="122" s="1"/>
  <c r="E2670" i="122" s="1"/>
  <c r="E3340" i="122" s="1"/>
  <c r="E4010" i="122" s="1"/>
  <c r="E4680" i="122" s="1"/>
  <c r="E5350" i="122" s="1"/>
  <c r="D1330" i="122"/>
  <c r="D2000" i="122" s="1"/>
  <c r="D2670" i="122" s="1"/>
  <c r="D3340" i="122" s="1"/>
  <c r="D4010" i="122" s="1"/>
  <c r="D4680" i="122" s="1"/>
  <c r="D5350" i="122" s="1"/>
  <c r="C1330" i="122"/>
  <c r="C2000" i="122" s="1"/>
  <c r="C2670" i="122" s="1"/>
  <c r="C3340" i="122" s="1"/>
  <c r="C4010" i="122" s="1"/>
  <c r="C4680" i="122" s="1"/>
  <c r="C5350" i="122" s="1"/>
  <c r="B1330" i="122"/>
  <c r="B2000" i="122" s="1"/>
  <c r="B2670" i="122" s="1"/>
  <c r="B3340" i="122" s="1"/>
  <c r="B4010" i="122" s="1"/>
  <c r="B4680" i="122" s="1"/>
  <c r="B5350" i="122" s="1"/>
  <c r="M659" i="122"/>
  <c r="E1329" i="122"/>
  <c r="E1999" i="122" s="1"/>
  <c r="E2669" i="122" s="1"/>
  <c r="E3339" i="122" s="1"/>
  <c r="E4009" i="122" s="1"/>
  <c r="E4679" i="122" s="1"/>
  <c r="E5349" i="122" s="1"/>
  <c r="D1329" i="122"/>
  <c r="D1999" i="122" s="1"/>
  <c r="D2669" i="122" s="1"/>
  <c r="D3339" i="122" s="1"/>
  <c r="D4009" i="122" s="1"/>
  <c r="D4679" i="122" s="1"/>
  <c r="D5349" i="122" s="1"/>
  <c r="C1329" i="122"/>
  <c r="C1999" i="122" s="1"/>
  <c r="C2669" i="122" s="1"/>
  <c r="C3339" i="122" s="1"/>
  <c r="C4009" i="122" s="1"/>
  <c r="C4679" i="122" s="1"/>
  <c r="C5349" i="122" s="1"/>
  <c r="B1329" i="122"/>
  <c r="B1999" i="122" s="1"/>
  <c r="B2669" i="122" s="1"/>
  <c r="B3339" i="122" s="1"/>
  <c r="B4009" i="122" s="1"/>
  <c r="B4679" i="122" s="1"/>
  <c r="B5349" i="122" s="1"/>
  <c r="A1329" i="122"/>
  <c r="A1999" i="122" s="1"/>
  <c r="A2669" i="122" s="1"/>
  <c r="A3339" i="122" s="1"/>
  <c r="A4009" i="122" s="1"/>
  <c r="A4679" i="122" s="1"/>
  <c r="A5349" i="122" s="1"/>
  <c r="M658" i="122"/>
  <c r="E1328" i="122"/>
  <c r="E1998" i="122" s="1"/>
  <c r="E2668" i="122" s="1"/>
  <c r="E3338" i="122" s="1"/>
  <c r="E4008" i="122" s="1"/>
  <c r="E4678" i="122" s="1"/>
  <c r="E5348" i="122" s="1"/>
  <c r="D1328" i="122"/>
  <c r="D1998" i="122" s="1"/>
  <c r="D2668" i="122" s="1"/>
  <c r="D3338" i="122" s="1"/>
  <c r="D4008" i="122" s="1"/>
  <c r="D4678" i="122" s="1"/>
  <c r="D5348" i="122" s="1"/>
  <c r="C1328" i="122"/>
  <c r="C1998" i="122" s="1"/>
  <c r="C2668" i="122" s="1"/>
  <c r="C3338" i="122" s="1"/>
  <c r="C4008" i="122" s="1"/>
  <c r="C4678" i="122" s="1"/>
  <c r="C5348" i="122" s="1"/>
  <c r="A1328" i="122"/>
  <c r="A1998" i="122" s="1"/>
  <c r="A2668" i="122" s="1"/>
  <c r="A3338" i="122" s="1"/>
  <c r="A4008" i="122" s="1"/>
  <c r="A4678" i="122" s="1"/>
  <c r="A5348" i="122" s="1"/>
  <c r="M657" i="122"/>
  <c r="E1327" i="122"/>
  <c r="E1997" i="122" s="1"/>
  <c r="E2667" i="122" s="1"/>
  <c r="E3337" i="122" s="1"/>
  <c r="E4007" i="122" s="1"/>
  <c r="E4677" i="122" s="1"/>
  <c r="E5347" i="122" s="1"/>
  <c r="D1327" i="122"/>
  <c r="D1997" i="122" s="1"/>
  <c r="D2667" i="122" s="1"/>
  <c r="D3337" i="122" s="1"/>
  <c r="D4007" i="122" s="1"/>
  <c r="D4677" i="122" s="1"/>
  <c r="D5347" i="122" s="1"/>
  <c r="C1327" i="122"/>
  <c r="C1997" i="122" s="1"/>
  <c r="C2667" i="122" s="1"/>
  <c r="C3337" i="122" s="1"/>
  <c r="C4007" i="122" s="1"/>
  <c r="C4677" i="122" s="1"/>
  <c r="C5347" i="122" s="1"/>
  <c r="B1327" i="122"/>
  <c r="B1997" i="122" s="1"/>
  <c r="B2667" i="122" s="1"/>
  <c r="B3337" i="122" s="1"/>
  <c r="B4007" i="122" s="1"/>
  <c r="B4677" i="122" s="1"/>
  <c r="B5347" i="122" s="1"/>
  <c r="A1327" i="122"/>
  <c r="A1997" i="122" s="1"/>
  <c r="A2667" i="122" s="1"/>
  <c r="A3337" i="122" s="1"/>
  <c r="A4007" i="122" s="1"/>
  <c r="A4677" i="122" s="1"/>
  <c r="A5347" i="122" s="1"/>
  <c r="M656" i="122"/>
  <c r="E1326" i="122"/>
  <c r="E1996" i="122" s="1"/>
  <c r="E2666" i="122" s="1"/>
  <c r="E3336" i="122" s="1"/>
  <c r="E4006" i="122" s="1"/>
  <c r="E4676" i="122" s="1"/>
  <c r="E5346" i="122" s="1"/>
  <c r="D1326" i="122"/>
  <c r="D1996" i="122" s="1"/>
  <c r="D2666" i="122" s="1"/>
  <c r="D3336" i="122" s="1"/>
  <c r="D4006" i="122" s="1"/>
  <c r="D4676" i="122" s="1"/>
  <c r="D5346" i="122" s="1"/>
  <c r="A1326" i="122"/>
  <c r="A1996" i="122" s="1"/>
  <c r="A2666" i="122" s="1"/>
  <c r="A3336" i="122" s="1"/>
  <c r="A4006" i="122" s="1"/>
  <c r="A4676" i="122" s="1"/>
  <c r="A5346" i="122" s="1"/>
  <c r="M655" i="122"/>
  <c r="E1325" i="122"/>
  <c r="E1995" i="122" s="1"/>
  <c r="E2665" i="122" s="1"/>
  <c r="E3335" i="122" s="1"/>
  <c r="E4005" i="122" s="1"/>
  <c r="E4675" i="122" s="1"/>
  <c r="E5345" i="122" s="1"/>
  <c r="D1325" i="122"/>
  <c r="D1995" i="122" s="1"/>
  <c r="D2665" i="122" s="1"/>
  <c r="D3335" i="122" s="1"/>
  <c r="D4005" i="122" s="1"/>
  <c r="D4675" i="122" s="1"/>
  <c r="D5345" i="122" s="1"/>
  <c r="C1325" i="122"/>
  <c r="C1995" i="122" s="1"/>
  <c r="C2665" i="122" s="1"/>
  <c r="C3335" i="122" s="1"/>
  <c r="C4005" i="122" s="1"/>
  <c r="C4675" i="122" s="1"/>
  <c r="C5345" i="122" s="1"/>
  <c r="B1325" i="122"/>
  <c r="B1995" i="122" s="1"/>
  <c r="B2665" i="122" s="1"/>
  <c r="B3335" i="122" s="1"/>
  <c r="B4005" i="122" s="1"/>
  <c r="B4675" i="122" s="1"/>
  <c r="B5345" i="122" s="1"/>
  <c r="A1325" i="122"/>
  <c r="A1995" i="122" s="1"/>
  <c r="A2665" i="122" s="1"/>
  <c r="A3335" i="122" s="1"/>
  <c r="A4005" i="122" s="1"/>
  <c r="A4675" i="122" s="1"/>
  <c r="A5345" i="122" s="1"/>
  <c r="M654" i="122"/>
  <c r="E1324" i="122"/>
  <c r="E1994" i="122" s="1"/>
  <c r="E2664" i="122" s="1"/>
  <c r="E3334" i="122" s="1"/>
  <c r="E4004" i="122" s="1"/>
  <c r="E4674" i="122" s="1"/>
  <c r="E5344" i="122" s="1"/>
  <c r="D1324" i="122"/>
  <c r="D1994" i="122" s="1"/>
  <c r="D2664" i="122" s="1"/>
  <c r="D3334" i="122" s="1"/>
  <c r="D4004" i="122" s="1"/>
  <c r="D4674" i="122" s="1"/>
  <c r="D5344" i="122" s="1"/>
  <c r="C1324" i="122"/>
  <c r="C1994" i="122" s="1"/>
  <c r="C2664" i="122" s="1"/>
  <c r="C3334" i="122" s="1"/>
  <c r="C4004" i="122" s="1"/>
  <c r="C4674" i="122" s="1"/>
  <c r="C5344" i="122" s="1"/>
  <c r="B1324" i="122"/>
  <c r="B1994" i="122" s="1"/>
  <c r="B2664" i="122" s="1"/>
  <c r="B3334" i="122" s="1"/>
  <c r="B4004" i="122" s="1"/>
  <c r="B4674" i="122" s="1"/>
  <c r="B5344" i="122" s="1"/>
  <c r="A1324" i="122"/>
  <c r="A1994" i="122" s="1"/>
  <c r="A2664" i="122" s="1"/>
  <c r="A3334" i="122" s="1"/>
  <c r="A4004" i="122" s="1"/>
  <c r="A4674" i="122" s="1"/>
  <c r="A5344" i="122" s="1"/>
  <c r="M653" i="122"/>
  <c r="E1323" i="122"/>
  <c r="E1993" i="122" s="1"/>
  <c r="E2663" i="122" s="1"/>
  <c r="E3333" i="122" s="1"/>
  <c r="E4003" i="122" s="1"/>
  <c r="E4673" i="122" s="1"/>
  <c r="E5343" i="122" s="1"/>
  <c r="D1323" i="122"/>
  <c r="D1993" i="122" s="1"/>
  <c r="D2663" i="122" s="1"/>
  <c r="D3333" i="122" s="1"/>
  <c r="D4003" i="122" s="1"/>
  <c r="D4673" i="122" s="1"/>
  <c r="D5343" i="122" s="1"/>
  <c r="C1323" i="122"/>
  <c r="C1993" i="122" s="1"/>
  <c r="C2663" i="122" s="1"/>
  <c r="C3333" i="122" s="1"/>
  <c r="C4003" i="122" s="1"/>
  <c r="C4673" i="122" s="1"/>
  <c r="C5343" i="122" s="1"/>
  <c r="B1323" i="122"/>
  <c r="B1993" i="122" s="1"/>
  <c r="B2663" i="122" s="1"/>
  <c r="B3333" i="122" s="1"/>
  <c r="B4003" i="122" s="1"/>
  <c r="B4673" i="122" s="1"/>
  <c r="B5343" i="122" s="1"/>
  <c r="A1323" i="122"/>
  <c r="A1993" i="122" s="1"/>
  <c r="A2663" i="122" s="1"/>
  <c r="A3333" i="122" s="1"/>
  <c r="A4003" i="122" s="1"/>
  <c r="A4673" i="122" s="1"/>
  <c r="A5343" i="122" s="1"/>
  <c r="M652" i="122"/>
  <c r="D1322" i="122"/>
  <c r="D1992" i="122" s="1"/>
  <c r="D2662" i="122" s="1"/>
  <c r="D3332" i="122" s="1"/>
  <c r="D4002" i="122" s="1"/>
  <c r="D4672" i="122" s="1"/>
  <c r="D5342" i="122" s="1"/>
  <c r="C1322" i="122"/>
  <c r="C1992" i="122" s="1"/>
  <c r="C2662" i="122" s="1"/>
  <c r="C3332" i="122" s="1"/>
  <c r="C4002" i="122" s="1"/>
  <c r="C4672" i="122" s="1"/>
  <c r="C5342" i="122" s="1"/>
  <c r="B1322" i="122"/>
  <c r="B1992" i="122" s="1"/>
  <c r="B2662" i="122" s="1"/>
  <c r="B3332" i="122" s="1"/>
  <c r="B4002" i="122" s="1"/>
  <c r="B4672" i="122" s="1"/>
  <c r="B5342" i="122" s="1"/>
  <c r="A1322" i="122"/>
  <c r="A1992" i="122" s="1"/>
  <c r="A2662" i="122" s="1"/>
  <c r="A3332" i="122" s="1"/>
  <c r="A4002" i="122" s="1"/>
  <c r="A4672" i="122" s="1"/>
  <c r="A5342" i="122" s="1"/>
  <c r="M651" i="122"/>
  <c r="E1321" i="122"/>
  <c r="E1991" i="122" s="1"/>
  <c r="E2661" i="122" s="1"/>
  <c r="E3331" i="122" s="1"/>
  <c r="E4001" i="122" s="1"/>
  <c r="E4671" i="122" s="1"/>
  <c r="E5341" i="122" s="1"/>
  <c r="D1321" i="122"/>
  <c r="D1991" i="122" s="1"/>
  <c r="D2661" i="122" s="1"/>
  <c r="D3331" i="122" s="1"/>
  <c r="D4001" i="122" s="1"/>
  <c r="D4671" i="122" s="1"/>
  <c r="D5341" i="122" s="1"/>
  <c r="C1321" i="122"/>
  <c r="C1991" i="122" s="1"/>
  <c r="C2661" i="122" s="1"/>
  <c r="C3331" i="122" s="1"/>
  <c r="C4001" i="122" s="1"/>
  <c r="C4671" i="122" s="1"/>
  <c r="C5341" i="122" s="1"/>
  <c r="B1321" i="122"/>
  <c r="B1991" i="122" s="1"/>
  <c r="B2661" i="122" s="1"/>
  <c r="B3331" i="122" s="1"/>
  <c r="B4001" i="122" s="1"/>
  <c r="B4671" i="122" s="1"/>
  <c r="B5341" i="122" s="1"/>
  <c r="A1321" i="122"/>
  <c r="A1991" i="122" s="1"/>
  <c r="A2661" i="122" s="1"/>
  <c r="A3331" i="122" s="1"/>
  <c r="A4001" i="122" s="1"/>
  <c r="A4671" i="122" s="1"/>
  <c r="A5341" i="122" s="1"/>
  <c r="M650" i="122"/>
  <c r="E1320" i="122"/>
  <c r="E1990" i="122" s="1"/>
  <c r="E2660" i="122" s="1"/>
  <c r="E3330" i="122" s="1"/>
  <c r="E4000" i="122" s="1"/>
  <c r="E4670" i="122" s="1"/>
  <c r="E5340" i="122" s="1"/>
  <c r="D1320" i="122"/>
  <c r="D1990" i="122" s="1"/>
  <c r="D2660" i="122" s="1"/>
  <c r="D3330" i="122" s="1"/>
  <c r="D4000" i="122" s="1"/>
  <c r="D4670" i="122" s="1"/>
  <c r="D5340" i="122" s="1"/>
  <c r="C1320" i="122"/>
  <c r="C1990" i="122" s="1"/>
  <c r="C2660" i="122" s="1"/>
  <c r="C3330" i="122" s="1"/>
  <c r="C4000" i="122" s="1"/>
  <c r="C4670" i="122" s="1"/>
  <c r="C5340" i="122" s="1"/>
  <c r="B1320" i="122"/>
  <c r="B1990" i="122" s="1"/>
  <c r="B2660" i="122" s="1"/>
  <c r="B3330" i="122" s="1"/>
  <c r="B4000" i="122" s="1"/>
  <c r="B4670" i="122" s="1"/>
  <c r="B5340" i="122" s="1"/>
  <c r="A1320" i="122"/>
  <c r="A1990" i="122" s="1"/>
  <c r="A2660" i="122" s="1"/>
  <c r="A3330" i="122" s="1"/>
  <c r="A4000" i="122" s="1"/>
  <c r="A4670" i="122" s="1"/>
  <c r="A5340" i="122" s="1"/>
  <c r="M649" i="122"/>
  <c r="E1319" i="122"/>
  <c r="E1989" i="122" s="1"/>
  <c r="E2659" i="122" s="1"/>
  <c r="E3329" i="122" s="1"/>
  <c r="E3999" i="122" s="1"/>
  <c r="E4669" i="122" s="1"/>
  <c r="E5339" i="122" s="1"/>
  <c r="D1319" i="122"/>
  <c r="D1989" i="122" s="1"/>
  <c r="D2659" i="122" s="1"/>
  <c r="D3329" i="122" s="1"/>
  <c r="D3999" i="122" s="1"/>
  <c r="D4669" i="122" s="1"/>
  <c r="D5339" i="122" s="1"/>
  <c r="C1319" i="122"/>
  <c r="C1989" i="122" s="1"/>
  <c r="C2659" i="122" s="1"/>
  <c r="C3329" i="122" s="1"/>
  <c r="C3999" i="122" s="1"/>
  <c r="C4669" i="122" s="1"/>
  <c r="C5339" i="122" s="1"/>
  <c r="B1319" i="122"/>
  <c r="B1989" i="122" s="1"/>
  <c r="B2659" i="122" s="1"/>
  <c r="B3329" i="122" s="1"/>
  <c r="B3999" i="122" s="1"/>
  <c r="B4669" i="122" s="1"/>
  <c r="B5339" i="122" s="1"/>
  <c r="A1319" i="122"/>
  <c r="A1989" i="122" s="1"/>
  <c r="A2659" i="122" s="1"/>
  <c r="A3329" i="122" s="1"/>
  <c r="A3999" i="122" s="1"/>
  <c r="A4669" i="122" s="1"/>
  <c r="A5339" i="122" s="1"/>
  <c r="M648" i="122"/>
  <c r="E1318" i="122"/>
  <c r="E1988" i="122" s="1"/>
  <c r="E2658" i="122" s="1"/>
  <c r="E3328" i="122" s="1"/>
  <c r="E3998" i="122" s="1"/>
  <c r="E4668" i="122" s="1"/>
  <c r="E5338" i="122" s="1"/>
  <c r="D1318" i="122"/>
  <c r="D1988" i="122" s="1"/>
  <c r="D2658" i="122" s="1"/>
  <c r="D3328" i="122" s="1"/>
  <c r="D3998" i="122" s="1"/>
  <c r="D4668" i="122" s="1"/>
  <c r="D5338" i="122" s="1"/>
  <c r="C1318" i="122"/>
  <c r="C1988" i="122" s="1"/>
  <c r="C2658" i="122" s="1"/>
  <c r="C3328" i="122" s="1"/>
  <c r="C3998" i="122" s="1"/>
  <c r="C4668" i="122" s="1"/>
  <c r="C5338" i="122" s="1"/>
  <c r="B1318" i="122"/>
  <c r="B1988" i="122" s="1"/>
  <c r="B2658" i="122" s="1"/>
  <c r="B3328" i="122" s="1"/>
  <c r="B3998" i="122" s="1"/>
  <c r="B4668" i="122" s="1"/>
  <c r="B5338" i="122" s="1"/>
  <c r="M647" i="122"/>
  <c r="E1317" i="122"/>
  <c r="E1987" i="122" s="1"/>
  <c r="E2657" i="122" s="1"/>
  <c r="E3327" i="122" s="1"/>
  <c r="E3997" i="122" s="1"/>
  <c r="E4667" i="122" s="1"/>
  <c r="E5337" i="122" s="1"/>
  <c r="D1317" i="122"/>
  <c r="D1987" i="122" s="1"/>
  <c r="D2657" i="122" s="1"/>
  <c r="D3327" i="122" s="1"/>
  <c r="D3997" i="122" s="1"/>
  <c r="D4667" i="122" s="1"/>
  <c r="D5337" i="122" s="1"/>
  <c r="C1317" i="122"/>
  <c r="C1987" i="122" s="1"/>
  <c r="C2657" i="122" s="1"/>
  <c r="C3327" i="122" s="1"/>
  <c r="C3997" i="122" s="1"/>
  <c r="C4667" i="122" s="1"/>
  <c r="C5337" i="122" s="1"/>
  <c r="B1317" i="122"/>
  <c r="B1987" i="122" s="1"/>
  <c r="B2657" i="122" s="1"/>
  <c r="B3327" i="122" s="1"/>
  <c r="B3997" i="122" s="1"/>
  <c r="B4667" i="122" s="1"/>
  <c r="B5337" i="122" s="1"/>
  <c r="A1317" i="122"/>
  <c r="A1987" i="122" s="1"/>
  <c r="A2657" i="122" s="1"/>
  <c r="A3327" i="122" s="1"/>
  <c r="A3997" i="122" s="1"/>
  <c r="A4667" i="122" s="1"/>
  <c r="A5337" i="122" s="1"/>
  <c r="M646" i="122"/>
  <c r="D1316" i="122"/>
  <c r="D1986" i="122" s="1"/>
  <c r="D2656" i="122" s="1"/>
  <c r="D3326" i="122" s="1"/>
  <c r="D3996" i="122" s="1"/>
  <c r="D4666" i="122" s="1"/>
  <c r="D5336" i="122" s="1"/>
  <c r="C1316" i="122"/>
  <c r="C1986" i="122" s="1"/>
  <c r="C2656" i="122" s="1"/>
  <c r="C3326" i="122" s="1"/>
  <c r="C3996" i="122" s="1"/>
  <c r="C4666" i="122" s="1"/>
  <c r="C5336" i="122" s="1"/>
  <c r="B1316" i="122"/>
  <c r="B1986" i="122" s="1"/>
  <c r="B2656" i="122" s="1"/>
  <c r="B3326" i="122" s="1"/>
  <c r="B3996" i="122" s="1"/>
  <c r="B4666" i="122" s="1"/>
  <c r="B5336" i="122" s="1"/>
  <c r="A1316" i="122"/>
  <c r="A1986" i="122" s="1"/>
  <c r="A2656" i="122" s="1"/>
  <c r="A3326" i="122" s="1"/>
  <c r="A3996" i="122" s="1"/>
  <c r="A4666" i="122" s="1"/>
  <c r="A5336" i="122" s="1"/>
  <c r="M645" i="122"/>
  <c r="C1315" i="122"/>
  <c r="C1985" i="122" s="1"/>
  <c r="C2655" i="122" s="1"/>
  <c r="C3325" i="122" s="1"/>
  <c r="C3995" i="122" s="1"/>
  <c r="C4665" i="122" s="1"/>
  <c r="C5335" i="122" s="1"/>
  <c r="B1315" i="122"/>
  <c r="B1985" i="122" s="1"/>
  <c r="B2655" i="122" s="1"/>
  <c r="B3325" i="122" s="1"/>
  <c r="B3995" i="122" s="1"/>
  <c r="B4665" i="122" s="1"/>
  <c r="B5335" i="122" s="1"/>
  <c r="A1315" i="122"/>
  <c r="A1985" i="122" s="1"/>
  <c r="A2655" i="122" s="1"/>
  <c r="A3325" i="122" s="1"/>
  <c r="A3995" i="122" s="1"/>
  <c r="A4665" i="122" s="1"/>
  <c r="A5335" i="122" s="1"/>
  <c r="M644" i="122"/>
  <c r="D1314" i="122"/>
  <c r="D1984" i="122" s="1"/>
  <c r="D2654" i="122" s="1"/>
  <c r="D3324" i="122" s="1"/>
  <c r="D3994" i="122" s="1"/>
  <c r="D4664" i="122" s="1"/>
  <c r="D5334" i="122" s="1"/>
  <c r="C1314" i="122"/>
  <c r="C1984" i="122" s="1"/>
  <c r="C2654" i="122" s="1"/>
  <c r="C3324" i="122" s="1"/>
  <c r="C3994" i="122" s="1"/>
  <c r="C4664" i="122" s="1"/>
  <c r="C5334" i="122" s="1"/>
  <c r="B1314" i="122"/>
  <c r="B1984" i="122" s="1"/>
  <c r="B2654" i="122" s="1"/>
  <c r="B3324" i="122" s="1"/>
  <c r="B3994" i="122" s="1"/>
  <c r="B4664" i="122" s="1"/>
  <c r="B5334" i="122" s="1"/>
  <c r="A1314" i="122"/>
  <c r="A1984" i="122" s="1"/>
  <c r="A2654" i="122" s="1"/>
  <c r="A3324" i="122" s="1"/>
  <c r="A3994" i="122" s="1"/>
  <c r="A4664" i="122" s="1"/>
  <c r="A5334" i="122" s="1"/>
  <c r="C1313" i="122"/>
  <c r="C1983" i="122" s="1"/>
  <c r="C2653" i="122" s="1"/>
  <c r="C3323" i="122" s="1"/>
  <c r="C3993" i="122" s="1"/>
  <c r="C4663" i="122" s="1"/>
  <c r="C5333" i="122" s="1"/>
  <c r="B1313" i="122"/>
  <c r="B1983" i="122" s="1"/>
  <c r="B2653" i="122" s="1"/>
  <c r="B3323" i="122" s="1"/>
  <c r="B3993" i="122" s="1"/>
  <c r="B4663" i="122" s="1"/>
  <c r="B5333" i="122" s="1"/>
  <c r="A1313" i="122"/>
  <c r="A1983" i="122" s="1"/>
  <c r="A2653" i="122" s="1"/>
  <c r="A3323" i="122" s="1"/>
  <c r="A3993" i="122" s="1"/>
  <c r="A4663" i="122" s="1"/>
  <c r="A5333" i="122" s="1"/>
  <c r="M642" i="122"/>
  <c r="E1312" i="122"/>
  <c r="E1982" i="122" s="1"/>
  <c r="E2652" i="122" s="1"/>
  <c r="E3322" i="122" s="1"/>
  <c r="E3992" i="122" s="1"/>
  <c r="E4662" i="122" s="1"/>
  <c r="E5332" i="122" s="1"/>
  <c r="D1312" i="122"/>
  <c r="D1982" i="122" s="1"/>
  <c r="D2652" i="122" s="1"/>
  <c r="D3322" i="122" s="1"/>
  <c r="D3992" i="122" s="1"/>
  <c r="D4662" i="122" s="1"/>
  <c r="D5332" i="122" s="1"/>
  <c r="C1312" i="122"/>
  <c r="C1982" i="122" s="1"/>
  <c r="C2652" i="122" s="1"/>
  <c r="C3322" i="122" s="1"/>
  <c r="C3992" i="122" s="1"/>
  <c r="C4662" i="122" s="1"/>
  <c r="C5332" i="122" s="1"/>
  <c r="B1312" i="122"/>
  <c r="B1982" i="122" s="1"/>
  <c r="B2652" i="122" s="1"/>
  <c r="B3322" i="122" s="1"/>
  <c r="B3992" i="122" s="1"/>
  <c r="B4662" i="122" s="1"/>
  <c r="B5332" i="122" s="1"/>
  <c r="A1312" i="122"/>
  <c r="A1982" i="122" s="1"/>
  <c r="A2652" i="122" s="1"/>
  <c r="A3322" i="122" s="1"/>
  <c r="A3992" i="122" s="1"/>
  <c r="A4662" i="122" s="1"/>
  <c r="A5332" i="122" s="1"/>
  <c r="M641" i="122"/>
  <c r="E1311" i="122"/>
  <c r="E1981" i="122" s="1"/>
  <c r="E2651" i="122" s="1"/>
  <c r="E3321" i="122" s="1"/>
  <c r="E3991" i="122" s="1"/>
  <c r="E4661" i="122" s="1"/>
  <c r="E5331" i="122" s="1"/>
  <c r="D1311" i="122"/>
  <c r="D1981" i="122" s="1"/>
  <c r="D2651" i="122" s="1"/>
  <c r="D3321" i="122" s="1"/>
  <c r="D3991" i="122" s="1"/>
  <c r="D4661" i="122" s="1"/>
  <c r="D5331" i="122" s="1"/>
  <c r="C1311" i="122"/>
  <c r="C1981" i="122" s="1"/>
  <c r="C2651" i="122" s="1"/>
  <c r="C3321" i="122" s="1"/>
  <c r="C3991" i="122" s="1"/>
  <c r="C4661" i="122" s="1"/>
  <c r="C5331" i="122" s="1"/>
  <c r="B1311" i="122"/>
  <c r="B1981" i="122" s="1"/>
  <c r="B2651" i="122" s="1"/>
  <c r="B3321" i="122" s="1"/>
  <c r="B3991" i="122" s="1"/>
  <c r="B4661" i="122" s="1"/>
  <c r="B5331" i="122" s="1"/>
  <c r="A1311" i="122"/>
  <c r="A1981" i="122" s="1"/>
  <c r="A2651" i="122" s="1"/>
  <c r="A3321" i="122" s="1"/>
  <c r="A3991" i="122" s="1"/>
  <c r="A4661" i="122" s="1"/>
  <c r="A5331" i="122" s="1"/>
  <c r="M640" i="122"/>
  <c r="E1310" i="122"/>
  <c r="E1980" i="122" s="1"/>
  <c r="E2650" i="122" s="1"/>
  <c r="E3320" i="122" s="1"/>
  <c r="E3990" i="122" s="1"/>
  <c r="E4660" i="122" s="1"/>
  <c r="E5330" i="122" s="1"/>
  <c r="D1310" i="122"/>
  <c r="D1980" i="122" s="1"/>
  <c r="D2650" i="122" s="1"/>
  <c r="D3320" i="122" s="1"/>
  <c r="D3990" i="122" s="1"/>
  <c r="D4660" i="122" s="1"/>
  <c r="D5330" i="122" s="1"/>
  <c r="C1310" i="122"/>
  <c r="C1980" i="122" s="1"/>
  <c r="C2650" i="122" s="1"/>
  <c r="C3320" i="122" s="1"/>
  <c r="C3990" i="122" s="1"/>
  <c r="C4660" i="122" s="1"/>
  <c r="C5330" i="122" s="1"/>
  <c r="B1310" i="122"/>
  <c r="B1980" i="122" s="1"/>
  <c r="B2650" i="122" s="1"/>
  <c r="B3320" i="122" s="1"/>
  <c r="B3990" i="122" s="1"/>
  <c r="B4660" i="122" s="1"/>
  <c r="B5330" i="122" s="1"/>
  <c r="A1310" i="122"/>
  <c r="A1980" i="122" s="1"/>
  <c r="A2650" i="122" s="1"/>
  <c r="A3320" i="122" s="1"/>
  <c r="A3990" i="122" s="1"/>
  <c r="A4660" i="122" s="1"/>
  <c r="A5330" i="122" s="1"/>
  <c r="M639" i="122"/>
  <c r="E1309" i="122"/>
  <c r="E1979" i="122" s="1"/>
  <c r="E2649" i="122" s="1"/>
  <c r="E3319" i="122" s="1"/>
  <c r="E3989" i="122" s="1"/>
  <c r="E4659" i="122" s="1"/>
  <c r="E5329" i="122" s="1"/>
  <c r="D1309" i="122"/>
  <c r="D1979" i="122" s="1"/>
  <c r="D2649" i="122" s="1"/>
  <c r="D3319" i="122" s="1"/>
  <c r="D3989" i="122" s="1"/>
  <c r="D4659" i="122" s="1"/>
  <c r="D5329" i="122" s="1"/>
  <c r="C1309" i="122"/>
  <c r="C1979" i="122" s="1"/>
  <c r="B1309" i="122"/>
  <c r="B1979" i="122" s="1"/>
  <c r="B2649" i="122" s="1"/>
  <c r="B3319" i="122" s="1"/>
  <c r="B3989" i="122" s="1"/>
  <c r="B4659" i="122" s="1"/>
  <c r="B5329" i="122" s="1"/>
  <c r="A1309" i="122"/>
  <c r="A1979" i="122" s="1"/>
  <c r="A2649" i="122" s="1"/>
  <c r="A3319" i="122" s="1"/>
  <c r="A3989" i="122" s="1"/>
  <c r="A4659" i="122" s="1"/>
  <c r="A5329" i="122" s="1"/>
  <c r="M638" i="122"/>
  <c r="E1308" i="122"/>
  <c r="E1978" i="122" s="1"/>
  <c r="E2648" i="122" s="1"/>
  <c r="E3318" i="122" s="1"/>
  <c r="E3988" i="122" s="1"/>
  <c r="E4658" i="122" s="1"/>
  <c r="E5328" i="122" s="1"/>
  <c r="D1308" i="122"/>
  <c r="D1978" i="122" s="1"/>
  <c r="D2648" i="122" s="1"/>
  <c r="D3318" i="122" s="1"/>
  <c r="D3988" i="122" s="1"/>
  <c r="D4658" i="122" s="1"/>
  <c r="D5328" i="122" s="1"/>
  <c r="C1308" i="122"/>
  <c r="C1978" i="122" s="1"/>
  <c r="C2648" i="122" s="1"/>
  <c r="C3318" i="122" s="1"/>
  <c r="C3988" i="122" s="1"/>
  <c r="C4658" i="122" s="1"/>
  <c r="C5328" i="122" s="1"/>
  <c r="B1308" i="122"/>
  <c r="B1978" i="122" s="1"/>
  <c r="B2648" i="122" s="1"/>
  <c r="B3318" i="122" s="1"/>
  <c r="B3988" i="122" s="1"/>
  <c r="B4658" i="122" s="1"/>
  <c r="B5328" i="122" s="1"/>
  <c r="A1308" i="122"/>
  <c r="A1978" i="122" s="1"/>
  <c r="A2648" i="122" s="1"/>
  <c r="A3318" i="122" s="1"/>
  <c r="A3988" i="122" s="1"/>
  <c r="A4658" i="122" s="1"/>
  <c r="A5328" i="122" s="1"/>
  <c r="M637" i="122"/>
  <c r="E1307" i="122"/>
  <c r="E1977" i="122" s="1"/>
  <c r="E2647" i="122" s="1"/>
  <c r="E3317" i="122" s="1"/>
  <c r="E3987" i="122" s="1"/>
  <c r="E4657" i="122" s="1"/>
  <c r="E5327" i="122" s="1"/>
  <c r="D1307" i="122"/>
  <c r="D1977" i="122" s="1"/>
  <c r="D2647" i="122" s="1"/>
  <c r="D3317" i="122" s="1"/>
  <c r="D3987" i="122" s="1"/>
  <c r="D4657" i="122" s="1"/>
  <c r="D5327" i="122" s="1"/>
  <c r="C1307" i="122"/>
  <c r="C1977" i="122" s="1"/>
  <c r="C2647" i="122" s="1"/>
  <c r="C3317" i="122" s="1"/>
  <c r="C3987" i="122" s="1"/>
  <c r="C4657" i="122" s="1"/>
  <c r="C5327" i="122" s="1"/>
  <c r="B1307" i="122"/>
  <c r="B1977" i="122" s="1"/>
  <c r="B2647" i="122" s="1"/>
  <c r="B3317" i="122" s="1"/>
  <c r="B3987" i="122" s="1"/>
  <c r="B4657" i="122" s="1"/>
  <c r="B5327" i="122" s="1"/>
  <c r="A1307" i="122"/>
  <c r="A1977" i="122" s="1"/>
  <c r="A2647" i="122" s="1"/>
  <c r="A3317" i="122" s="1"/>
  <c r="A3987" i="122" s="1"/>
  <c r="A4657" i="122" s="1"/>
  <c r="A5327" i="122" s="1"/>
  <c r="M636" i="122"/>
  <c r="E1306" i="122"/>
  <c r="E1976" i="122" s="1"/>
  <c r="E2646" i="122" s="1"/>
  <c r="E3316" i="122" s="1"/>
  <c r="E3986" i="122" s="1"/>
  <c r="E4656" i="122" s="1"/>
  <c r="E5326" i="122" s="1"/>
  <c r="D1306" i="122"/>
  <c r="D1976" i="122" s="1"/>
  <c r="D2646" i="122" s="1"/>
  <c r="D3316" i="122" s="1"/>
  <c r="D3986" i="122" s="1"/>
  <c r="D4656" i="122" s="1"/>
  <c r="D5326" i="122" s="1"/>
  <c r="C1306" i="122"/>
  <c r="C1976" i="122" s="1"/>
  <c r="C2646" i="122" s="1"/>
  <c r="C3316" i="122" s="1"/>
  <c r="C3986" i="122" s="1"/>
  <c r="C4656" i="122" s="1"/>
  <c r="C5326" i="122" s="1"/>
  <c r="B1306" i="122"/>
  <c r="B1976" i="122" s="1"/>
  <c r="B2646" i="122" s="1"/>
  <c r="B3316" i="122" s="1"/>
  <c r="B3986" i="122" s="1"/>
  <c r="B4656" i="122" s="1"/>
  <c r="B5326" i="122" s="1"/>
  <c r="A1306" i="122"/>
  <c r="A1976" i="122" s="1"/>
  <c r="A2646" i="122" s="1"/>
  <c r="A3316" i="122" s="1"/>
  <c r="A3986" i="122" s="1"/>
  <c r="A4656" i="122" s="1"/>
  <c r="A5326" i="122" s="1"/>
  <c r="M635" i="122"/>
  <c r="E1305" i="122"/>
  <c r="E1975" i="122" s="1"/>
  <c r="E2645" i="122" s="1"/>
  <c r="E3315" i="122" s="1"/>
  <c r="E3985" i="122" s="1"/>
  <c r="E4655" i="122" s="1"/>
  <c r="E5325" i="122" s="1"/>
  <c r="D1305" i="122"/>
  <c r="D1975" i="122" s="1"/>
  <c r="D2645" i="122" s="1"/>
  <c r="D3315" i="122" s="1"/>
  <c r="D3985" i="122" s="1"/>
  <c r="D4655" i="122" s="1"/>
  <c r="D5325" i="122" s="1"/>
  <c r="C1305" i="122"/>
  <c r="C1975" i="122" s="1"/>
  <c r="C2645" i="122" s="1"/>
  <c r="C3315" i="122" s="1"/>
  <c r="C3985" i="122" s="1"/>
  <c r="C4655" i="122" s="1"/>
  <c r="C5325" i="122" s="1"/>
  <c r="B1305" i="122"/>
  <c r="B1975" i="122" s="1"/>
  <c r="B2645" i="122" s="1"/>
  <c r="B3315" i="122" s="1"/>
  <c r="B3985" i="122" s="1"/>
  <c r="B4655" i="122" s="1"/>
  <c r="B5325" i="122" s="1"/>
  <c r="A1305" i="122"/>
  <c r="A1975" i="122" s="1"/>
  <c r="A2645" i="122" s="1"/>
  <c r="A3315" i="122" s="1"/>
  <c r="A3985" i="122" s="1"/>
  <c r="A4655" i="122" s="1"/>
  <c r="A5325" i="122" s="1"/>
  <c r="M634" i="122"/>
  <c r="E1304" i="122"/>
  <c r="E1974" i="122" s="1"/>
  <c r="E2644" i="122" s="1"/>
  <c r="E3314" i="122" s="1"/>
  <c r="E3984" i="122" s="1"/>
  <c r="E4654" i="122" s="1"/>
  <c r="E5324" i="122" s="1"/>
  <c r="D1304" i="122"/>
  <c r="D1974" i="122" s="1"/>
  <c r="D2644" i="122" s="1"/>
  <c r="D3314" i="122" s="1"/>
  <c r="D3984" i="122" s="1"/>
  <c r="D4654" i="122" s="1"/>
  <c r="D5324" i="122" s="1"/>
  <c r="C1304" i="122"/>
  <c r="C1974" i="122" s="1"/>
  <c r="C2644" i="122" s="1"/>
  <c r="C3314" i="122" s="1"/>
  <c r="C3984" i="122" s="1"/>
  <c r="C4654" i="122" s="1"/>
  <c r="C5324" i="122" s="1"/>
  <c r="B1304" i="122"/>
  <c r="B1974" i="122" s="1"/>
  <c r="B2644" i="122" s="1"/>
  <c r="B3314" i="122" s="1"/>
  <c r="B3984" i="122" s="1"/>
  <c r="B4654" i="122" s="1"/>
  <c r="B5324" i="122" s="1"/>
  <c r="A1304" i="122"/>
  <c r="A1974" i="122" s="1"/>
  <c r="A2644" i="122" s="1"/>
  <c r="A3314" i="122" s="1"/>
  <c r="A3984" i="122" s="1"/>
  <c r="A4654" i="122" s="1"/>
  <c r="A5324" i="122" s="1"/>
  <c r="M633" i="122"/>
  <c r="E1303" i="122"/>
  <c r="E1973" i="122" s="1"/>
  <c r="E2643" i="122" s="1"/>
  <c r="E3313" i="122" s="1"/>
  <c r="E3983" i="122" s="1"/>
  <c r="E4653" i="122" s="1"/>
  <c r="E5323" i="122" s="1"/>
  <c r="D1303" i="122"/>
  <c r="D1973" i="122" s="1"/>
  <c r="D2643" i="122" s="1"/>
  <c r="D3313" i="122" s="1"/>
  <c r="D3983" i="122" s="1"/>
  <c r="D4653" i="122" s="1"/>
  <c r="D5323" i="122" s="1"/>
  <c r="C1303" i="122"/>
  <c r="C1973" i="122" s="1"/>
  <c r="C2643" i="122" s="1"/>
  <c r="C3313" i="122" s="1"/>
  <c r="C3983" i="122" s="1"/>
  <c r="C4653" i="122" s="1"/>
  <c r="C5323" i="122" s="1"/>
  <c r="B1303" i="122"/>
  <c r="B1973" i="122" s="1"/>
  <c r="B2643" i="122" s="1"/>
  <c r="B3313" i="122" s="1"/>
  <c r="B3983" i="122" s="1"/>
  <c r="B4653" i="122" s="1"/>
  <c r="B5323" i="122" s="1"/>
  <c r="A1303" i="122"/>
  <c r="A1973" i="122" s="1"/>
  <c r="A2643" i="122" s="1"/>
  <c r="A3313" i="122" s="1"/>
  <c r="A3983" i="122" s="1"/>
  <c r="A4653" i="122" s="1"/>
  <c r="A5323" i="122" s="1"/>
  <c r="M632" i="122"/>
  <c r="E1302" i="122"/>
  <c r="E1972" i="122" s="1"/>
  <c r="E2642" i="122" s="1"/>
  <c r="E3312" i="122" s="1"/>
  <c r="E3982" i="122" s="1"/>
  <c r="E4652" i="122" s="1"/>
  <c r="E5322" i="122" s="1"/>
  <c r="D1302" i="122"/>
  <c r="D1972" i="122" s="1"/>
  <c r="D2642" i="122" s="1"/>
  <c r="D3312" i="122" s="1"/>
  <c r="D3982" i="122" s="1"/>
  <c r="D4652" i="122" s="1"/>
  <c r="D5322" i="122" s="1"/>
  <c r="C1302" i="122"/>
  <c r="C1972" i="122" s="1"/>
  <c r="C2642" i="122" s="1"/>
  <c r="C3312" i="122" s="1"/>
  <c r="C3982" i="122" s="1"/>
  <c r="C4652" i="122" s="1"/>
  <c r="C5322" i="122" s="1"/>
  <c r="B1302" i="122"/>
  <c r="B1972" i="122" s="1"/>
  <c r="B2642" i="122" s="1"/>
  <c r="B3312" i="122" s="1"/>
  <c r="B3982" i="122" s="1"/>
  <c r="B4652" i="122" s="1"/>
  <c r="B5322" i="122" s="1"/>
  <c r="A1302" i="122"/>
  <c r="A1972" i="122" s="1"/>
  <c r="A2642" i="122" s="1"/>
  <c r="A3312" i="122" s="1"/>
  <c r="A3982" i="122" s="1"/>
  <c r="A4652" i="122" s="1"/>
  <c r="A5322" i="122" s="1"/>
  <c r="M631" i="122"/>
  <c r="E1301" i="122"/>
  <c r="E1971" i="122" s="1"/>
  <c r="E2641" i="122" s="1"/>
  <c r="E3311" i="122" s="1"/>
  <c r="E3981" i="122" s="1"/>
  <c r="E4651" i="122" s="1"/>
  <c r="E5321" i="122" s="1"/>
  <c r="D1301" i="122"/>
  <c r="D1971" i="122" s="1"/>
  <c r="D2641" i="122" s="1"/>
  <c r="D3311" i="122" s="1"/>
  <c r="D3981" i="122" s="1"/>
  <c r="D4651" i="122" s="1"/>
  <c r="D5321" i="122" s="1"/>
  <c r="C1301" i="122"/>
  <c r="C1971" i="122" s="1"/>
  <c r="C2641" i="122" s="1"/>
  <c r="C3311" i="122" s="1"/>
  <c r="C3981" i="122" s="1"/>
  <c r="C4651" i="122" s="1"/>
  <c r="C5321" i="122" s="1"/>
  <c r="B1301" i="122"/>
  <c r="B1971" i="122" s="1"/>
  <c r="B2641" i="122" s="1"/>
  <c r="B3311" i="122" s="1"/>
  <c r="B3981" i="122" s="1"/>
  <c r="B4651" i="122" s="1"/>
  <c r="B5321" i="122" s="1"/>
  <c r="A1301" i="122"/>
  <c r="A1971" i="122" s="1"/>
  <c r="A2641" i="122" s="1"/>
  <c r="A3311" i="122" s="1"/>
  <c r="A3981" i="122" s="1"/>
  <c r="A4651" i="122" s="1"/>
  <c r="A5321" i="122" s="1"/>
  <c r="M630" i="122"/>
  <c r="E1300" i="122"/>
  <c r="E1970" i="122" s="1"/>
  <c r="E2640" i="122" s="1"/>
  <c r="E3310" i="122" s="1"/>
  <c r="E3980" i="122" s="1"/>
  <c r="E4650" i="122" s="1"/>
  <c r="E5320" i="122" s="1"/>
  <c r="D1300" i="122"/>
  <c r="D1970" i="122" s="1"/>
  <c r="D2640" i="122" s="1"/>
  <c r="D3310" i="122" s="1"/>
  <c r="D3980" i="122" s="1"/>
  <c r="D4650" i="122" s="1"/>
  <c r="D5320" i="122" s="1"/>
  <c r="C1300" i="122"/>
  <c r="C1970" i="122" s="1"/>
  <c r="C2640" i="122" s="1"/>
  <c r="C3310" i="122" s="1"/>
  <c r="C3980" i="122" s="1"/>
  <c r="C4650" i="122" s="1"/>
  <c r="C5320" i="122" s="1"/>
  <c r="B1300" i="122"/>
  <c r="B1970" i="122" s="1"/>
  <c r="B2640" i="122" s="1"/>
  <c r="B3310" i="122" s="1"/>
  <c r="B3980" i="122" s="1"/>
  <c r="B4650" i="122" s="1"/>
  <c r="B5320" i="122" s="1"/>
  <c r="A1300" i="122"/>
  <c r="A1970" i="122" s="1"/>
  <c r="A2640" i="122" s="1"/>
  <c r="A3310" i="122" s="1"/>
  <c r="A3980" i="122" s="1"/>
  <c r="A4650" i="122" s="1"/>
  <c r="A5320" i="122" s="1"/>
  <c r="M629" i="122"/>
  <c r="E1299" i="122"/>
  <c r="E1969" i="122" s="1"/>
  <c r="E2639" i="122" s="1"/>
  <c r="E3309" i="122" s="1"/>
  <c r="E3979" i="122" s="1"/>
  <c r="E4649" i="122" s="1"/>
  <c r="E5319" i="122" s="1"/>
  <c r="D1299" i="122"/>
  <c r="D1969" i="122" s="1"/>
  <c r="D2639" i="122" s="1"/>
  <c r="D3309" i="122" s="1"/>
  <c r="D3979" i="122" s="1"/>
  <c r="D4649" i="122" s="1"/>
  <c r="D5319" i="122" s="1"/>
  <c r="C1299" i="122"/>
  <c r="C1969" i="122" s="1"/>
  <c r="C2639" i="122" s="1"/>
  <c r="C3309" i="122" s="1"/>
  <c r="C3979" i="122" s="1"/>
  <c r="C4649" i="122" s="1"/>
  <c r="C5319" i="122" s="1"/>
  <c r="B1299" i="122"/>
  <c r="B1969" i="122" s="1"/>
  <c r="B2639" i="122" s="1"/>
  <c r="B3309" i="122" s="1"/>
  <c r="B3979" i="122" s="1"/>
  <c r="B4649" i="122" s="1"/>
  <c r="B5319" i="122" s="1"/>
  <c r="A1299" i="122"/>
  <c r="A1969" i="122" s="1"/>
  <c r="A2639" i="122" s="1"/>
  <c r="A3309" i="122" s="1"/>
  <c r="A3979" i="122" s="1"/>
  <c r="A4649" i="122" s="1"/>
  <c r="A5319" i="122" s="1"/>
  <c r="M628" i="122"/>
  <c r="E1298" i="122"/>
  <c r="E1968" i="122" s="1"/>
  <c r="E2638" i="122" s="1"/>
  <c r="E3308" i="122" s="1"/>
  <c r="E3978" i="122" s="1"/>
  <c r="E4648" i="122" s="1"/>
  <c r="E5318" i="122" s="1"/>
  <c r="D1298" i="122"/>
  <c r="D1968" i="122" s="1"/>
  <c r="D2638" i="122" s="1"/>
  <c r="D3308" i="122" s="1"/>
  <c r="D3978" i="122" s="1"/>
  <c r="D4648" i="122" s="1"/>
  <c r="D5318" i="122" s="1"/>
  <c r="C1298" i="122"/>
  <c r="C1968" i="122" s="1"/>
  <c r="C2638" i="122" s="1"/>
  <c r="C3308" i="122" s="1"/>
  <c r="C3978" i="122" s="1"/>
  <c r="C4648" i="122" s="1"/>
  <c r="C5318" i="122" s="1"/>
  <c r="B1298" i="122"/>
  <c r="B1968" i="122" s="1"/>
  <c r="B2638" i="122" s="1"/>
  <c r="B3308" i="122" s="1"/>
  <c r="B3978" i="122" s="1"/>
  <c r="B4648" i="122" s="1"/>
  <c r="B5318" i="122" s="1"/>
  <c r="A1298" i="122"/>
  <c r="A1968" i="122" s="1"/>
  <c r="A2638" i="122" s="1"/>
  <c r="A3308" i="122" s="1"/>
  <c r="A3978" i="122" s="1"/>
  <c r="A4648" i="122" s="1"/>
  <c r="A5318" i="122" s="1"/>
  <c r="M627" i="122"/>
  <c r="E1297" i="122"/>
  <c r="E1967" i="122" s="1"/>
  <c r="E2637" i="122" s="1"/>
  <c r="E3307" i="122" s="1"/>
  <c r="E3977" i="122" s="1"/>
  <c r="E4647" i="122" s="1"/>
  <c r="E5317" i="122" s="1"/>
  <c r="D1297" i="122"/>
  <c r="D1967" i="122" s="1"/>
  <c r="D2637" i="122" s="1"/>
  <c r="D3307" i="122" s="1"/>
  <c r="D3977" i="122" s="1"/>
  <c r="D4647" i="122" s="1"/>
  <c r="D5317" i="122" s="1"/>
  <c r="C1297" i="122"/>
  <c r="C1967" i="122" s="1"/>
  <c r="C2637" i="122" s="1"/>
  <c r="C3307" i="122" s="1"/>
  <c r="C3977" i="122" s="1"/>
  <c r="C4647" i="122" s="1"/>
  <c r="C5317" i="122" s="1"/>
  <c r="B1297" i="122"/>
  <c r="B1967" i="122" s="1"/>
  <c r="B2637" i="122" s="1"/>
  <c r="B3307" i="122" s="1"/>
  <c r="B3977" i="122" s="1"/>
  <c r="B4647" i="122" s="1"/>
  <c r="B5317" i="122" s="1"/>
  <c r="A1297" i="122"/>
  <c r="A1967" i="122" s="1"/>
  <c r="A2637" i="122" s="1"/>
  <c r="A3307" i="122" s="1"/>
  <c r="A3977" i="122" s="1"/>
  <c r="A4647" i="122" s="1"/>
  <c r="A5317" i="122" s="1"/>
  <c r="M626" i="122"/>
  <c r="E1296" i="122"/>
  <c r="E1966" i="122" s="1"/>
  <c r="E2636" i="122" s="1"/>
  <c r="E3306" i="122" s="1"/>
  <c r="E3976" i="122" s="1"/>
  <c r="E4646" i="122" s="1"/>
  <c r="E5316" i="122" s="1"/>
  <c r="D1296" i="122"/>
  <c r="D1966" i="122" s="1"/>
  <c r="D2636" i="122" s="1"/>
  <c r="D3306" i="122" s="1"/>
  <c r="D3976" i="122" s="1"/>
  <c r="D4646" i="122" s="1"/>
  <c r="D5316" i="122" s="1"/>
  <c r="C1296" i="122"/>
  <c r="C1966" i="122" s="1"/>
  <c r="C2636" i="122" s="1"/>
  <c r="C3306" i="122" s="1"/>
  <c r="C3976" i="122" s="1"/>
  <c r="C4646" i="122" s="1"/>
  <c r="C5316" i="122" s="1"/>
  <c r="B1296" i="122"/>
  <c r="B1966" i="122" s="1"/>
  <c r="B2636" i="122" s="1"/>
  <c r="B3306" i="122" s="1"/>
  <c r="B3976" i="122" s="1"/>
  <c r="B4646" i="122" s="1"/>
  <c r="B5316" i="122" s="1"/>
  <c r="A1296" i="122"/>
  <c r="A1966" i="122" s="1"/>
  <c r="A2636" i="122" s="1"/>
  <c r="A3306" i="122" s="1"/>
  <c r="A3976" i="122" s="1"/>
  <c r="A4646" i="122" s="1"/>
  <c r="A5316" i="122" s="1"/>
  <c r="M625" i="122"/>
  <c r="E1295" i="122"/>
  <c r="E1965" i="122" s="1"/>
  <c r="E2635" i="122" s="1"/>
  <c r="E3305" i="122" s="1"/>
  <c r="E3975" i="122" s="1"/>
  <c r="E4645" i="122" s="1"/>
  <c r="E5315" i="122" s="1"/>
  <c r="D1295" i="122"/>
  <c r="D1965" i="122" s="1"/>
  <c r="D2635" i="122" s="1"/>
  <c r="D3305" i="122" s="1"/>
  <c r="D3975" i="122" s="1"/>
  <c r="D4645" i="122" s="1"/>
  <c r="D5315" i="122" s="1"/>
  <c r="C1295" i="122"/>
  <c r="C1965" i="122" s="1"/>
  <c r="C2635" i="122" s="1"/>
  <c r="C3305" i="122" s="1"/>
  <c r="C3975" i="122" s="1"/>
  <c r="C4645" i="122" s="1"/>
  <c r="C5315" i="122" s="1"/>
  <c r="B1295" i="122"/>
  <c r="B1965" i="122" s="1"/>
  <c r="B2635" i="122" s="1"/>
  <c r="B3305" i="122" s="1"/>
  <c r="B3975" i="122" s="1"/>
  <c r="B4645" i="122" s="1"/>
  <c r="B5315" i="122" s="1"/>
  <c r="A1295" i="122"/>
  <c r="A1965" i="122" s="1"/>
  <c r="A2635" i="122" s="1"/>
  <c r="A3305" i="122" s="1"/>
  <c r="A3975" i="122" s="1"/>
  <c r="A4645" i="122" s="1"/>
  <c r="A5315" i="122" s="1"/>
  <c r="M624" i="122"/>
  <c r="E1294" i="122"/>
  <c r="E1964" i="122" s="1"/>
  <c r="E2634" i="122" s="1"/>
  <c r="E3304" i="122" s="1"/>
  <c r="E3974" i="122" s="1"/>
  <c r="E4644" i="122" s="1"/>
  <c r="E5314" i="122" s="1"/>
  <c r="D1294" i="122"/>
  <c r="D1964" i="122" s="1"/>
  <c r="D2634" i="122" s="1"/>
  <c r="D3304" i="122" s="1"/>
  <c r="D3974" i="122" s="1"/>
  <c r="D4644" i="122" s="1"/>
  <c r="D5314" i="122" s="1"/>
  <c r="C1294" i="122"/>
  <c r="C1964" i="122" s="1"/>
  <c r="C2634" i="122" s="1"/>
  <c r="C3304" i="122" s="1"/>
  <c r="C3974" i="122" s="1"/>
  <c r="C4644" i="122" s="1"/>
  <c r="C5314" i="122" s="1"/>
  <c r="A1294" i="122"/>
  <c r="A1964" i="122" s="1"/>
  <c r="A2634" i="122" s="1"/>
  <c r="A3304" i="122" s="1"/>
  <c r="A3974" i="122" s="1"/>
  <c r="A4644" i="122" s="1"/>
  <c r="A5314" i="122" s="1"/>
  <c r="M623" i="122"/>
  <c r="E1293" i="122"/>
  <c r="E1963" i="122" s="1"/>
  <c r="E2633" i="122" s="1"/>
  <c r="E3303" i="122" s="1"/>
  <c r="E3973" i="122" s="1"/>
  <c r="E4643" i="122" s="1"/>
  <c r="E5313" i="122" s="1"/>
  <c r="D1293" i="122"/>
  <c r="D1963" i="122" s="1"/>
  <c r="D2633" i="122" s="1"/>
  <c r="D3303" i="122" s="1"/>
  <c r="D3973" i="122" s="1"/>
  <c r="D4643" i="122" s="1"/>
  <c r="D5313" i="122" s="1"/>
  <c r="C1293" i="122"/>
  <c r="C1963" i="122" s="1"/>
  <c r="C2633" i="122" s="1"/>
  <c r="C3303" i="122" s="1"/>
  <c r="C3973" i="122" s="1"/>
  <c r="C4643" i="122" s="1"/>
  <c r="C5313" i="122" s="1"/>
  <c r="B1293" i="122"/>
  <c r="B1963" i="122" s="1"/>
  <c r="B2633" i="122" s="1"/>
  <c r="B3303" i="122" s="1"/>
  <c r="B3973" i="122" s="1"/>
  <c r="B4643" i="122" s="1"/>
  <c r="B5313" i="122" s="1"/>
  <c r="A1293" i="122"/>
  <c r="A1963" i="122" s="1"/>
  <c r="A2633" i="122" s="1"/>
  <c r="A3303" i="122" s="1"/>
  <c r="A3973" i="122" s="1"/>
  <c r="A4643" i="122" s="1"/>
  <c r="A5313" i="122" s="1"/>
  <c r="M622" i="122"/>
  <c r="E1292" i="122"/>
  <c r="E1962" i="122" s="1"/>
  <c r="E2632" i="122" s="1"/>
  <c r="E3302" i="122" s="1"/>
  <c r="E3972" i="122" s="1"/>
  <c r="E4642" i="122" s="1"/>
  <c r="E5312" i="122" s="1"/>
  <c r="D1292" i="122"/>
  <c r="D1962" i="122" s="1"/>
  <c r="D2632" i="122" s="1"/>
  <c r="D3302" i="122" s="1"/>
  <c r="D3972" i="122" s="1"/>
  <c r="D4642" i="122" s="1"/>
  <c r="D5312" i="122" s="1"/>
  <c r="C1292" i="122"/>
  <c r="C1962" i="122" s="1"/>
  <c r="C2632" i="122" s="1"/>
  <c r="C3302" i="122" s="1"/>
  <c r="C3972" i="122" s="1"/>
  <c r="C4642" i="122" s="1"/>
  <c r="C5312" i="122" s="1"/>
  <c r="B1292" i="122"/>
  <c r="B1962" i="122" s="1"/>
  <c r="B2632" i="122" s="1"/>
  <c r="B3302" i="122" s="1"/>
  <c r="B3972" i="122" s="1"/>
  <c r="B4642" i="122" s="1"/>
  <c r="B5312" i="122" s="1"/>
  <c r="A1292" i="122"/>
  <c r="A1962" i="122" s="1"/>
  <c r="A2632" i="122" s="1"/>
  <c r="A3302" i="122" s="1"/>
  <c r="A3972" i="122" s="1"/>
  <c r="A4642" i="122" s="1"/>
  <c r="A5312" i="122" s="1"/>
  <c r="M621" i="122"/>
  <c r="E1291" i="122"/>
  <c r="E1961" i="122" s="1"/>
  <c r="E2631" i="122" s="1"/>
  <c r="E3301" i="122" s="1"/>
  <c r="E3971" i="122" s="1"/>
  <c r="E4641" i="122" s="1"/>
  <c r="E5311" i="122" s="1"/>
  <c r="D1291" i="122"/>
  <c r="D1961" i="122" s="1"/>
  <c r="D2631" i="122" s="1"/>
  <c r="D3301" i="122" s="1"/>
  <c r="D3971" i="122" s="1"/>
  <c r="D4641" i="122" s="1"/>
  <c r="D5311" i="122" s="1"/>
  <c r="C1291" i="122"/>
  <c r="C1961" i="122" s="1"/>
  <c r="C2631" i="122" s="1"/>
  <c r="C3301" i="122" s="1"/>
  <c r="C3971" i="122" s="1"/>
  <c r="C4641" i="122" s="1"/>
  <c r="C5311" i="122" s="1"/>
  <c r="B1291" i="122"/>
  <c r="B1961" i="122" s="1"/>
  <c r="B2631" i="122" s="1"/>
  <c r="B3301" i="122" s="1"/>
  <c r="B3971" i="122" s="1"/>
  <c r="B4641" i="122" s="1"/>
  <c r="B5311" i="122" s="1"/>
  <c r="A1291" i="122"/>
  <c r="A1961" i="122" s="1"/>
  <c r="A2631" i="122" s="1"/>
  <c r="A3301" i="122" s="1"/>
  <c r="A3971" i="122" s="1"/>
  <c r="A4641" i="122" s="1"/>
  <c r="A5311" i="122" s="1"/>
  <c r="M620" i="122"/>
  <c r="D1290" i="122"/>
  <c r="D1960" i="122" s="1"/>
  <c r="D2630" i="122" s="1"/>
  <c r="D3300" i="122" s="1"/>
  <c r="D3970" i="122" s="1"/>
  <c r="D4640" i="122" s="1"/>
  <c r="D5310" i="122" s="1"/>
  <c r="C1290" i="122"/>
  <c r="C1960" i="122" s="1"/>
  <c r="C2630" i="122" s="1"/>
  <c r="C3300" i="122" s="1"/>
  <c r="C3970" i="122" s="1"/>
  <c r="C4640" i="122" s="1"/>
  <c r="C5310" i="122" s="1"/>
  <c r="B1290" i="122"/>
  <c r="B1960" i="122" s="1"/>
  <c r="B2630" i="122" s="1"/>
  <c r="B3300" i="122" s="1"/>
  <c r="B3970" i="122" s="1"/>
  <c r="B4640" i="122" s="1"/>
  <c r="B5310" i="122" s="1"/>
  <c r="A1290" i="122"/>
  <c r="A1960" i="122" s="1"/>
  <c r="A2630" i="122" s="1"/>
  <c r="A3300" i="122" s="1"/>
  <c r="A3970" i="122" s="1"/>
  <c r="A4640" i="122" s="1"/>
  <c r="A5310" i="122" s="1"/>
  <c r="M619" i="122"/>
  <c r="E1289" i="122"/>
  <c r="E1959" i="122" s="1"/>
  <c r="E2629" i="122" s="1"/>
  <c r="E3299" i="122" s="1"/>
  <c r="E3969" i="122" s="1"/>
  <c r="E4639" i="122" s="1"/>
  <c r="E5309" i="122" s="1"/>
  <c r="D1289" i="122"/>
  <c r="D1959" i="122" s="1"/>
  <c r="D2629" i="122" s="1"/>
  <c r="D3299" i="122" s="1"/>
  <c r="D3969" i="122" s="1"/>
  <c r="D4639" i="122" s="1"/>
  <c r="D5309" i="122" s="1"/>
  <c r="C1289" i="122"/>
  <c r="C1959" i="122" s="1"/>
  <c r="C2629" i="122" s="1"/>
  <c r="C3299" i="122" s="1"/>
  <c r="C3969" i="122" s="1"/>
  <c r="C4639" i="122" s="1"/>
  <c r="C5309" i="122" s="1"/>
  <c r="B1289" i="122"/>
  <c r="B1959" i="122" s="1"/>
  <c r="B2629" i="122" s="1"/>
  <c r="B3299" i="122" s="1"/>
  <c r="B3969" i="122" s="1"/>
  <c r="B4639" i="122" s="1"/>
  <c r="B5309" i="122" s="1"/>
  <c r="A1289" i="122"/>
  <c r="A1959" i="122" s="1"/>
  <c r="A2629" i="122" s="1"/>
  <c r="A3299" i="122" s="1"/>
  <c r="A3969" i="122" s="1"/>
  <c r="A4639" i="122" s="1"/>
  <c r="A5309" i="122" s="1"/>
  <c r="M618" i="122"/>
  <c r="E1288" i="122"/>
  <c r="E1958" i="122" s="1"/>
  <c r="E2628" i="122" s="1"/>
  <c r="E3298" i="122" s="1"/>
  <c r="E3968" i="122" s="1"/>
  <c r="E4638" i="122" s="1"/>
  <c r="E5308" i="122" s="1"/>
  <c r="D1288" i="122"/>
  <c r="D1958" i="122" s="1"/>
  <c r="D2628" i="122" s="1"/>
  <c r="D3298" i="122" s="1"/>
  <c r="D3968" i="122" s="1"/>
  <c r="D4638" i="122" s="1"/>
  <c r="D5308" i="122" s="1"/>
  <c r="C1288" i="122"/>
  <c r="C1958" i="122" s="1"/>
  <c r="C2628" i="122" s="1"/>
  <c r="C3298" i="122" s="1"/>
  <c r="C3968" i="122" s="1"/>
  <c r="C4638" i="122" s="1"/>
  <c r="C5308" i="122" s="1"/>
  <c r="B1288" i="122"/>
  <c r="B1958" i="122" s="1"/>
  <c r="B2628" i="122" s="1"/>
  <c r="B3298" i="122" s="1"/>
  <c r="B3968" i="122" s="1"/>
  <c r="B4638" i="122" s="1"/>
  <c r="B5308" i="122" s="1"/>
  <c r="A1288" i="122"/>
  <c r="A1958" i="122" s="1"/>
  <c r="A2628" i="122" s="1"/>
  <c r="A3298" i="122" s="1"/>
  <c r="A3968" i="122" s="1"/>
  <c r="A4638" i="122" s="1"/>
  <c r="A5308" i="122" s="1"/>
  <c r="M617" i="122"/>
  <c r="E1287" i="122"/>
  <c r="E1957" i="122" s="1"/>
  <c r="E2627" i="122" s="1"/>
  <c r="E3297" i="122" s="1"/>
  <c r="E3967" i="122" s="1"/>
  <c r="E4637" i="122" s="1"/>
  <c r="E5307" i="122" s="1"/>
  <c r="D1287" i="122"/>
  <c r="D1957" i="122" s="1"/>
  <c r="D2627" i="122" s="1"/>
  <c r="D3297" i="122" s="1"/>
  <c r="D3967" i="122" s="1"/>
  <c r="D4637" i="122" s="1"/>
  <c r="D5307" i="122" s="1"/>
  <c r="C1287" i="122"/>
  <c r="C1957" i="122" s="1"/>
  <c r="C2627" i="122" s="1"/>
  <c r="C3297" i="122" s="1"/>
  <c r="C3967" i="122" s="1"/>
  <c r="C4637" i="122" s="1"/>
  <c r="C5307" i="122" s="1"/>
  <c r="B1287" i="122"/>
  <c r="B1957" i="122" s="1"/>
  <c r="B2627" i="122" s="1"/>
  <c r="B3297" i="122" s="1"/>
  <c r="B3967" i="122" s="1"/>
  <c r="B4637" i="122" s="1"/>
  <c r="B5307" i="122" s="1"/>
  <c r="A1287" i="122"/>
  <c r="A1957" i="122" s="1"/>
  <c r="A2627" i="122" s="1"/>
  <c r="A3297" i="122" s="1"/>
  <c r="A3967" i="122" s="1"/>
  <c r="A4637" i="122" s="1"/>
  <c r="A5307" i="122" s="1"/>
  <c r="M616" i="122"/>
  <c r="E1286" i="122"/>
  <c r="E1956" i="122" s="1"/>
  <c r="E2626" i="122" s="1"/>
  <c r="E3296" i="122" s="1"/>
  <c r="E3966" i="122" s="1"/>
  <c r="E4636" i="122" s="1"/>
  <c r="E5306" i="122" s="1"/>
  <c r="D1286" i="122"/>
  <c r="D1956" i="122" s="1"/>
  <c r="D2626" i="122" s="1"/>
  <c r="D3296" i="122" s="1"/>
  <c r="D3966" i="122" s="1"/>
  <c r="D4636" i="122" s="1"/>
  <c r="D5306" i="122" s="1"/>
  <c r="C1286" i="122"/>
  <c r="C1956" i="122" s="1"/>
  <c r="C2626" i="122" s="1"/>
  <c r="C3296" i="122" s="1"/>
  <c r="C3966" i="122" s="1"/>
  <c r="C4636" i="122" s="1"/>
  <c r="C5306" i="122" s="1"/>
  <c r="B1286" i="122"/>
  <c r="B1956" i="122" s="1"/>
  <c r="B2626" i="122" s="1"/>
  <c r="B3296" i="122" s="1"/>
  <c r="B3966" i="122" s="1"/>
  <c r="B4636" i="122" s="1"/>
  <c r="B5306" i="122" s="1"/>
  <c r="A1286" i="122"/>
  <c r="A1956" i="122" s="1"/>
  <c r="A2626" i="122" s="1"/>
  <c r="A3296" i="122" s="1"/>
  <c r="A3966" i="122" s="1"/>
  <c r="A4636" i="122" s="1"/>
  <c r="A5306" i="122" s="1"/>
  <c r="M615" i="122"/>
  <c r="E1285" i="122"/>
  <c r="E1955" i="122" s="1"/>
  <c r="E2625" i="122" s="1"/>
  <c r="E3295" i="122" s="1"/>
  <c r="E3965" i="122" s="1"/>
  <c r="E4635" i="122" s="1"/>
  <c r="E5305" i="122" s="1"/>
  <c r="D1285" i="122"/>
  <c r="D1955" i="122" s="1"/>
  <c r="D2625" i="122" s="1"/>
  <c r="D3295" i="122" s="1"/>
  <c r="D3965" i="122" s="1"/>
  <c r="D4635" i="122" s="1"/>
  <c r="D5305" i="122" s="1"/>
  <c r="C1285" i="122"/>
  <c r="C1955" i="122" s="1"/>
  <c r="C2625" i="122" s="1"/>
  <c r="C3295" i="122" s="1"/>
  <c r="C3965" i="122" s="1"/>
  <c r="C4635" i="122" s="1"/>
  <c r="C5305" i="122" s="1"/>
  <c r="B1285" i="122"/>
  <c r="B1955" i="122" s="1"/>
  <c r="B2625" i="122" s="1"/>
  <c r="B3295" i="122" s="1"/>
  <c r="B3965" i="122" s="1"/>
  <c r="B4635" i="122" s="1"/>
  <c r="B5305" i="122" s="1"/>
  <c r="A1285" i="122"/>
  <c r="A1955" i="122" s="1"/>
  <c r="A2625" i="122" s="1"/>
  <c r="A3295" i="122" s="1"/>
  <c r="A3965" i="122" s="1"/>
  <c r="A4635" i="122" s="1"/>
  <c r="A5305" i="122" s="1"/>
  <c r="M614" i="122"/>
  <c r="E1284" i="122"/>
  <c r="E1954" i="122" s="1"/>
  <c r="E2624" i="122" s="1"/>
  <c r="E3294" i="122" s="1"/>
  <c r="E3964" i="122" s="1"/>
  <c r="E4634" i="122" s="1"/>
  <c r="E5304" i="122" s="1"/>
  <c r="D1284" i="122"/>
  <c r="D1954" i="122" s="1"/>
  <c r="D2624" i="122" s="1"/>
  <c r="D3294" i="122" s="1"/>
  <c r="D3964" i="122" s="1"/>
  <c r="D4634" i="122" s="1"/>
  <c r="D5304" i="122" s="1"/>
  <c r="C1284" i="122"/>
  <c r="C1954" i="122" s="1"/>
  <c r="C2624" i="122" s="1"/>
  <c r="C3294" i="122" s="1"/>
  <c r="C3964" i="122" s="1"/>
  <c r="C4634" i="122" s="1"/>
  <c r="C5304" i="122" s="1"/>
  <c r="B1284" i="122"/>
  <c r="B1954" i="122" s="1"/>
  <c r="B2624" i="122" s="1"/>
  <c r="B3294" i="122" s="1"/>
  <c r="B3964" i="122" s="1"/>
  <c r="B4634" i="122" s="1"/>
  <c r="B5304" i="122" s="1"/>
  <c r="A1284" i="122"/>
  <c r="A1954" i="122" s="1"/>
  <c r="A2624" i="122" s="1"/>
  <c r="A3294" i="122" s="1"/>
  <c r="A3964" i="122" s="1"/>
  <c r="A4634" i="122" s="1"/>
  <c r="A5304" i="122" s="1"/>
  <c r="M613" i="122"/>
  <c r="D1283" i="122"/>
  <c r="D1953" i="122" s="1"/>
  <c r="D2623" i="122" s="1"/>
  <c r="D3293" i="122" s="1"/>
  <c r="D3963" i="122" s="1"/>
  <c r="D4633" i="122" s="1"/>
  <c r="D5303" i="122" s="1"/>
  <c r="C1283" i="122"/>
  <c r="C1953" i="122" s="1"/>
  <c r="C2623" i="122" s="1"/>
  <c r="C3293" i="122" s="1"/>
  <c r="C3963" i="122" s="1"/>
  <c r="C4633" i="122" s="1"/>
  <c r="C5303" i="122" s="1"/>
  <c r="B1283" i="122"/>
  <c r="B1953" i="122" s="1"/>
  <c r="B2623" i="122" s="1"/>
  <c r="B3293" i="122" s="1"/>
  <c r="B3963" i="122" s="1"/>
  <c r="B4633" i="122" s="1"/>
  <c r="B5303" i="122" s="1"/>
  <c r="A1283" i="122"/>
  <c r="A1953" i="122" s="1"/>
  <c r="A2623" i="122" s="1"/>
  <c r="A3293" i="122" s="1"/>
  <c r="A3963" i="122" s="1"/>
  <c r="A4633" i="122" s="1"/>
  <c r="A5303" i="122" s="1"/>
  <c r="M612" i="122"/>
  <c r="E1282" i="122"/>
  <c r="E1952" i="122" s="1"/>
  <c r="E2622" i="122" s="1"/>
  <c r="E3292" i="122" s="1"/>
  <c r="E3962" i="122" s="1"/>
  <c r="E4632" i="122" s="1"/>
  <c r="E5302" i="122" s="1"/>
  <c r="D1282" i="122"/>
  <c r="D1952" i="122" s="1"/>
  <c r="D2622" i="122" s="1"/>
  <c r="D3292" i="122" s="1"/>
  <c r="D3962" i="122" s="1"/>
  <c r="D4632" i="122" s="1"/>
  <c r="D5302" i="122" s="1"/>
  <c r="C1282" i="122"/>
  <c r="C1952" i="122" s="1"/>
  <c r="C2622" i="122" s="1"/>
  <c r="C3292" i="122" s="1"/>
  <c r="C3962" i="122" s="1"/>
  <c r="C4632" i="122" s="1"/>
  <c r="C5302" i="122" s="1"/>
  <c r="B1282" i="122"/>
  <c r="B1952" i="122" s="1"/>
  <c r="B2622" i="122" s="1"/>
  <c r="B3292" i="122" s="1"/>
  <c r="B3962" i="122" s="1"/>
  <c r="B4632" i="122" s="1"/>
  <c r="B5302" i="122" s="1"/>
  <c r="A1282" i="122"/>
  <c r="A1952" i="122" s="1"/>
  <c r="A2622" i="122" s="1"/>
  <c r="A3292" i="122" s="1"/>
  <c r="A3962" i="122" s="1"/>
  <c r="A4632" i="122" s="1"/>
  <c r="A5302" i="122" s="1"/>
  <c r="M611" i="122"/>
  <c r="D1281" i="122"/>
  <c r="D1951" i="122" s="1"/>
  <c r="D2621" i="122" s="1"/>
  <c r="D3291" i="122" s="1"/>
  <c r="D3961" i="122" s="1"/>
  <c r="D4631" i="122" s="1"/>
  <c r="D5301" i="122" s="1"/>
  <c r="C1281" i="122"/>
  <c r="C1951" i="122" s="1"/>
  <c r="C2621" i="122" s="1"/>
  <c r="C3291" i="122" s="1"/>
  <c r="C3961" i="122" s="1"/>
  <c r="C4631" i="122" s="1"/>
  <c r="C5301" i="122" s="1"/>
  <c r="B1281" i="122"/>
  <c r="B1951" i="122" s="1"/>
  <c r="B2621" i="122" s="1"/>
  <c r="B3291" i="122" s="1"/>
  <c r="B3961" i="122" s="1"/>
  <c r="B4631" i="122" s="1"/>
  <c r="B5301" i="122" s="1"/>
  <c r="A1281" i="122"/>
  <c r="A1951" i="122" s="1"/>
  <c r="A2621" i="122" s="1"/>
  <c r="A3291" i="122" s="1"/>
  <c r="A3961" i="122" s="1"/>
  <c r="A4631" i="122" s="1"/>
  <c r="A5301" i="122" s="1"/>
  <c r="M610" i="122"/>
  <c r="D1280" i="122"/>
  <c r="D1950" i="122" s="1"/>
  <c r="D2620" i="122" s="1"/>
  <c r="D3290" i="122" s="1"/>
  <c r="D3960" i="122" s="1"/>
  <c r="D4630" i="122" s="1"/>
  <c r="D5300" i="122" s="1"/>
  <c r="C1280" i="122"/>
  <c r="C1950" i="122" s="1"/>
  <c r="C2620" i="122" s="1"/>
  <c r="C3290" i="122" s="1"/>
  <c r="C3960" i="122" s="1"/>
  <c r="C4630" i="122" s="1"/>
  <c r="C5300" i="122" s="1"/>
  <c r="B1280" i="122"/>
  <c r="B1950" i="122" s="1"/>
  <c r="B2620" i="122" s="1"/>
  <c r="B3290" i="122" s="1"/>
  <c r="B3960" i="122" s="1"/>
  <c r="B4630" i="122" s="1"/>
  <c r="B5300" i="122" s="1"/>
  <c r="A1280" i="122"/>
  <c r="A1950" i="122" s="1"/>
  <c r="A2620" i="122" s="1"/>
  <c r="A3290" i="122" s="1"/>
  <c r="A3960" i="122" s="1"/>
  <c r="A4630" i="122" s="1"/>
  <c r="A5300" i="122" s="1"/>
  <c r="M609" i="122"/>
  <c r="E1279" i="122"/>
  <c r="E1949" i="122" s="1"/>
  <c r="E2619" i="122" s="1"/>
  <c r="E3289" i="122" s="1"/>
  <c r="E3959" i="122" s="1"/>
  <c r="E4629" i="122" s="1"/>
  <c r="E5299" i="122" s="1"/>
  <c r="D1279" i="122"/>
  <c r="D1949" i="122" s="1"/>
  <c r="D2619" i="122" s="1"/>
  <c r="D3289" i="122" s="1"/>
  <c r="D3959" i="122" s="1"/>
  <c r="D4629" i="122" s="1"/>
  <c r="D5299" i="122" s="1"/>
  <c r="C1279" i="122"/>
  <c r="C1949" i="122" s="1"/>
  <c r="C2619" i="122" s="1"/>
  <c r="C3289" i="122" s="1"/>
  <c r="C3959" i="122" s="1"/>
  <c r="C4629" i="122" s="1"/>
  <c r="C5299" i="122" s="1"/>
  <c r="B1279" i="122"/>
  <c r="B1949" i="122" s="1"/>
  <c r="B2619" i="122" s="1"/>
  <c r="B3289" i="122" s="1"/>
  <c r="B3959" i="122" s="1"/>
  <c r="B4629" i="122" s="1"/>
  <c r="B5299" i="122" s="1"/>
  <c r="A1279" i="122"/>
  <c r="A1949" i="122" s="1"/>
  <c r="A2619" i="122" s="1"/>
  <c r="A3289" i="122" s="1"/>
  <c r="A3959" i="122" s="1"/>
  <c r="A4629" i="122" s="1"/>
  <c r="A5299" i="122" s="1"/>
  <c r="M608" i="122"/>
  <c r="D1278" i="122"/>
  <c r="D1948" i="122" s="1"/>
  <c r="D2618" i="122" s="1"/>
  <c r="D3288" i="122" s="1"/>
  <c r="D3958" i="122" s="1"/>
  <c r="D4628" i="122" s="1"/>
  <c r="D5298" i="122" s="1"/>
  <c r="C1278" i="122"/>
  <c r="C1948" i="122" s="1"/>
  <c r="C2618" i="122" s="1"/>
  <c r="C3288" i="122" s="1"/>
  <c r="C3958" i="122" s="1"/>
  <c r="C4628" i="122" s="1"/>
  <c r="C5298" i="122" s="1"/>
  <c r="B1278" i="122"/>
  <c r="B1948" i="122" s="1"/>
  <c r="B2618" i="122" s="1"/>
  <c r="B3288" i="122" s="1"/>
  <c r="B3958" i="122" s="1"/>
  <c r="B4628" i="122" s="1"/>
  <c r="B5298" i="122" s="1"/>
  <c r="A1278" i="122"/>
  <c r="A1948" i="122" s="1"/>
  <c r="A2618" i="122" s="1"/>
  <c r="A3288" i="122" s="1"/>
  <c r="A3958" i="122" s="1"/>
  <c r="A4628" i="122" s="1"/>
  <c r="A5298" i="122" s="1"/>
  <c r="M607" i="122"/>
  <c r="D1277" i="122"/>
  <c r="D1947" i="122" s="1"/>
  <c r="D2617" i="122" s="1"/>
  <c r="D3287" i="122" s="1"/>
  <c r="D3957" i="122" s="1"/>
  <c r="D4627" i="122" s="1"/>
  <c r="D5297" i="122" s="1"/>
  <c r="C1277" i="122"/>
  <c r="C1947" i="122" s="1"/>
  <c r="C2617" i="122" s="1"/>
  <c r="C3287" i="122" s="1"/>
  <c r="C3957" i="122" s="1"/>
  <c r="C4627" i="122" s="1"/>
  <c r="C5297" i="122" s="1"/>
  <c r="B1277" i="122"/>
  <c r="B1947" i="122" s="1"/>
  <c r="B2617" i="122" s="1"/>
  <c r="B3287" i="122" s="1"/>
  <c r="B3957" i="122" s="1"/>
  <c r="B4627" i="122" s="1"/>
  <c r="B5297" i="122" s="1"/>
  <c r="A1277" i="122"/>
  <c r="A1947" i="122" s="1"/>
  <c r="A2617" i="122" s="1"/>
  <c r="A3287" i="122" s="1"/>
  <c r="A3957" i="122" s="1"/>
  <c r="A4627" i="122" s="1"/>
  <c r="A5297" i="122" s="1"/>
  <c r="M606" i="122"/>
  <c r="D1276" i="122"/>
  <c r="D1946" i="122" s="1"/>
  <c r="D2616" i="122" s="1"/>
  <c r="D3286" i="122" s="1"/>
  <c r="D3956" i="122" s="1"/>
  <c r="D4626" i="122" s="1"/>
  <c r="D5296" i="122" s="1"/>
  <c r="C1276" i="122"/>
  <c r="C1946" i="122" s="1"/>
  <c r="C2616" i="122" s="1"/>
  <c r="C3286" i="122" s="1"/>
  <c r="C3956" i="122" s="1"/>
  <c r="C4626" i="122" s="1"/>
  <c r="C5296" i="122" s="1"/>
  <c r="B1276" i="122"/>
  <c r="B1946" i="122" s="1"/>
  <c r="B2616" i="122" s="1"/>
  <c r="B3286" i="122" s="1"/>
  <c r="B3956" i="122" s="1"/>
  <c r="B4626" i="122" s="1"/>
  <c r="B5296" i="122" s="1"/>
  <c r="A1276" i="122"/>
  <c r="A1946" i="122" s="1"/>
  <c r="A2616" i="122" s="1"/>
  <c r="A3286" i="122" s="1"/>
  <c r="A3956" i="122" s="1"/>
  <c r="A4626" i="122" s="1"/>
  <c r="A5296" i="122" s="1"/>
  <c r="M605" i="122"/>
  <c r="D1275" i="122"/>
  <c r="D1945" i="122" s="1"/>
  <c r="D2615" i="122" s="1"/>
  <c r="D3285" i="122" s="1"/>
  <c r="D3955" i="122" s="1"/>
  <c r="D4625" i="122" s="1"/>
  <c r="D5295" i="122" s="1"/>
  <c r="C1275" i="122"/>
  <c r="C1945" i="122" s="1"/>
  <c r="C2615" i="122" s="1"/>
  <c r="C3285" i="122" s="1"/>
  <c r="C3955" i="122" s="1"/>
  <c r="C4625" i="122" s="1"/>
  <c r="C5295" i="122" s="1"/>
  <c r="B1275" i="122"/>
  <c r="B1945" i="122" s="1"/>
  <c r="B2615" i="122" s="1"/>
  <c r="B3285" i="122" s="1"/>
  <c r="B3955" i="122" s="1"/>
  <c r="B4625" i="122" s="1"/>
  <c r="B5295" i="122" s="1"/>
  <c r="A1275" i="122"/>
  <c r="A1945" i="122" s="1"/>
  <c r="M604" i="122"/>
  <c r="D1274" i="122"/>
  <c r="D1944" i="122" s="1"/>
  <c r="D2614" i="122" s="1"/>
  <c r="D3284" i="122" s="1"/>
  <c r="D3954" i="122" s="1"/>
  <c r="D4624" i="122" s="1"/>
  <c r="D5294" i="122" s="1"/>
  <c r="C1274" i="122"/>
  <c r="C1944" i="122" s="1"/>
  <c r="C2614" i="122" s="1"/>
  <c r="C3284" i="122" s="1"/>
  <c r="C3954" i="122" s="1"/>
  <c r="C4624" i="122" s="1"/>
  <c r="C5294" i="122" s="1"/>
  <c r="B1274" i="122"/>
  <c r="B1944" i="122" s="1"/>
  <c r="B2614" i="122" s="1"/>
  <c r="B3284" i="122" s="1"/>
  <c r="B3954" i="122" s="1"/>
  <c r="B4624" i="122" s="1"/>
  <c r="B5294" i="122" s="1"/>
  <c r="A1274" i="122"/>
  <c r="A1944" i="122" s="1"/>
  <c r="A2614" i="122" s="1"/>
  <c r="A3284" i="122" s="1"/>
  <c r="A3954" i="122" s="1"/>
  <c r="A4624" i="122" s="1"/>
  <c r="A5294" i="122" s="1"/>
  <c r="M603" i="122"/>
  <c r="D1273" i="122"/>
  <c r="D1943" i="122" s="1"/>
  <c r="D2613" i="122" s="1"/>
  <c r="D3283" i="122" s="1"/>
  <c r="D3953" i="122" s="1"/>
  <c r="D4623" i="122" s="1"/>
  <c r="D5293" i="122" s="1"/>
  <c r="C1273" i="122"/>
  <c r="C1943" i="122" s="1"/>
  <c r="C2613" i="122" s="1"/>
  <c r="C3283" i="122" s="1"/>
  <c r="C3953" i="122" s="1"/>
  <c r="C4623" i="122" s="1"/>
  <c r="C5293" i="122" s="1"/>
  <c r="B1273" i="122"/>
  <c r="B1943" i="122" s="1"/>
  <c r="B2613" i="122" s="1"/>
  <c r="B3283" i="122" s="1"/>
  <c r="B3953" i="122" s="1"/>
  <c r="B4623" i="122" s="1"/>
  <c r="B5293" i="122" s="1"/>
  <c r="A1273" i="122"/>
  <c r="A1943" i="122" s="1"/>
  <c r="A2613" i="122" s="1"/>
  <c r="A3283" i="122" s="1"/>
  <c r="A3953" i="122" s="1"/>
  <c r="A4623" i="122" s="1"/>
  <c r="A5293" i="122" s="1"/>
  <c r="M602" i="122"/>
  <c r="D1272" i="122"/>
  <c r="D1942" i="122" s="1"/>
  <c r="D2612" i="122" s="1"/>
  <c r="D3282" i="122" s="1"/>
  <c r="D3952" i="122" s="1"/>
  <c r="D4622" i="122" s="1"/>
  <c r="D5292" i="122" s="1"/>
  <c r="C1272" i="122"/>
  <c r="C1942" i="122" s="1"/>
  <c r="C2612" i="122" s="1"/>
  <c r="C3282" i="122" s="1"/>
  <c r="C3952" i="122" s="1"/>
  <c r="C4622" i="122" s="1"/>
  <c r="C5292" i="122" s="1"/>
  <c r="B1272" i="122"/>
  <c r="B1942" i="122" s="1"/>
  <c r="B2612" i="122" s="1"/>
  <c r="B3282" i="122" s="1"/>
  <c r="B3952" i="122" s="1"/>
  <c r="B4622" i="122" s="1"/>
  <c r="B5292" i="122" s="1"/>
  <c r="A1272" i="122"/>
  <c r="A1942" i="122" s="1"/>
  <c r="A2612" i="122" s="1"/>
  <c r="A3282" i="122" s="1"/>
  <c r="A3952" i="122" s="1"/>
  <c r="A4622" i="122" s="1"/>
  <c r="A5292" i="122" s="1"/>
  <c r="M601" i="122"/>
  <c r="D1271" i="122"/>
  <c r="D1941" i="122" s="1"/>
  <c r="D2611" i="122" s="1"/>
  <c r="D3281" i="122" s="1"/>
  <c r="D3951" i="122" s="1"/>
  <c r="D4621" i="122" s="1"/>
  <c r="D5291" i="122" s="1"/>
  <c r="C1271" i="122"/>
  <c r="C1941" i="122" s="1"/>
  <c r="C2611" i="122" s="1"/>
  <c r="C3281" i="122" s="1"/>
  <c r="C3951" i="122" s="1"/>
  <c r="C4621" i="122" s="1"/>
  <c r="C5291" i="122" s="1"/>
  <c r="B1271" i="122"/>
  <c r="B1941" i="122" s="1"/>
  <c r="B2611" i="122" s="1"/>
  <c r="B3281" i="122" s="1"/>
  <c r="B3951" i="122" s="1"/>
  <c r="B4621" i="122" s="1"/>
  <c r="B5291" i="122" s="1"/>
  <c r="A1271" i="122"/>
  <c r="A1941" i="122" s="1"/>
  <c r="A2611" i="122" s="1"/>
  <c r="A3281" i="122" s="1"/>
  <c r="A3951" i="122" s="1"/>
  <c r="A4621" i="122" s="1"/>
  <c r="A5291" i="122" s="1"/>
  <c r="M600" i="122"/>
  <c r="D1270" i="122"/>
  <c r="D1940" i="122" s="1"/>
  <c r="D2610" i="122" s="1"/>
  <c r="D3280" i="122" s="1"/>
  <c r="D3950" i="122" s="1"/>
  <c r="D4620" i="122" s="1"/>
  <c r="D5290" i="122" s="1"/>
  <c r="C1270" i="122"/>
  <c r="C1940" i="122" s="1"/>
  <c r="C2610" i="122" s="1"/>
  <c r="C3280" i="122" s="1"/>
  <c r="C3950" i="122" s="1"/>
  <c r="C4620" i="122" s="1"/>
  <c r="C5290" i="122" s="1"/>
  <c r="B1270" i="122"/>
  <c r="B1940" i="122" s="1"/>
  <c r="B2610" i="122" s="1"/>
  <c r="B3280" i="122" s="1"/>
  <c r="B3950" i="122" s="1"/>
  <c r="B4620" i="122" s="1"/>
  <c r="B5290" i="122" s="1"/>
  <c r="A1270" i="122"/>
  <c r="A1940" i="122" s="1"/>
  <c r="A2610" i="122" s="1"/>
  <c r="A3280" i="122" s="1"/>
  <c r="A3950" i="122" s="1"/>
  <c r="A4620" i="122" s="1"/>
  <c r="A5290" i="122" s="1"/>
  <c r="M599" i="122"/>
  <c r="D1269" i="122"/>
  <c r="D1939" i="122" s="1"/>
  <c r="D2609" i="122" s="1"/>
  <c r="D3279" i="122" s="1"/>
  <c r="D3949" i="122" s="1"/>
  <c r="D4619" i="122" s="1"/>
  <c r="D5289" i="122" s="1"/>
  <c r="C1269" i="122"/>
  <c r="B1269" i="122"/>
  <c r="B1939" i="122" s="1"/>
  <c r="B2609" i="122" s="1"/>
  <c r="B3279" i="122" s="1"/>
  <c r="B3949" i="122" s="1"/>
  <c r="B4619" i="122" s="1"/>
  <c r="B5289" i="122" s="1"/>
  <c r="A1269" i="122"/>
  <c r="A1939" i="122" s="1"/>
  <c r="A2609" i="122" s="1"/>
  <c r="A3279" i="122" s="1"/>
  <c r="A3949" i="122" s="1"/>
  <c r="A4619" i="122" s="1"/>
  <c r="A5289" i="122" s="1"/>
  <c r="M598" i="122"/>
  <c r="D1268" i="122"/>
  <c r="D1938" i="122" s="1"/>
  <c r="D2608" i="122" s="1"/>
  <c r="D3278" i="122" s="1"/>
  <c r="D3948" i="122" s="1"/>
  <c r="D4618" i="122" s="1"/>
  <c r="D5288" i="122" s="1"/>
  <c r="C1268" i="122"/>
  <c r="C1938" i="122" s="1"/>
  <c r="C2608" i="122" s="1"/>
  <c r="C3278" i="122" s="1"/>
  <c r="C3948" i="122" s="1"/>
  <c r="C4618" i="122" s="1"/>
  <c r="C5288" i="122" s="1"/>
  <c r="B1268" i="122"/>
  <c r="B1938" i="122" s="1"/>
  <c r="B2608" i="122" s="1"/>
  <c r="B3278" i="122" s="1"/>
  <c r="B3948" i="122" s="1"/>
  <c r="B4618" i="122" s="1"/>
  <c r="B5288" i="122" s="1"/>
  <c r="A1268" i="122"/>
  <c r="A1938" i="122" s="1"/>
  <c r="A2608" i="122" s="1"/>
  <c r="A3278" i="122" s="1"/>
  <c r="A3948" i="122" s="1"/>
  <c r="A4618" i="122" s="1"/>
  <c r="A5288" i="122" s="1"/>
  <c r="M597" i="122"/>
  <c r="D1267" i="122"/>
  <c r="D1937" i="122" s="1"/>
  <c r="D2607" i="122" s="1"/>
  <c r="D3277" i="122" s="1"/>
  <c r="D3947" i="122" s="1"/>
  <c r="D4617" i="122" s="1"/>
  <c r="D5287" i="122" s="1"/>
  <c r="C1267" i="122"/>
  <c r="C1937" i="122" s="1"/>
  <c r="C2607" i="122" s="1"/>
  <c r="C3277" i="122" s="1"/>
  <c r="C3947" i="122" s="1"/>
  <c r="C4617" i="122" s="1"/>
  <c r="C5287" i="122" s="1"/>
  <c r="B1267" i="122"/>
  <c r="B1937" i="122" s="1"/>
  <c r="B2607" i="122" s="1"/>
  <c r="B3277" i="122" s="1"/>
  <c r="B3947" i="122" s="1"/>
  <c r="B4617" i="122" s="1"/>
  <c r="B5287" i="122" s="1"/>
  <c r="A1267" i="122"/>
  <c r="A1937" i="122" s="1"/>
  <c r="A2607" i="122" s="1"/>
  <c r="A3277" i="122" s="1"/>
  <c r="A3947" i="122" s="1"/>
  <c r="A4617" i="122" s="1"/>
  <c r="A5287" i="122" s="1"/>
  <c r="M596" i="122"/>
  <c r="E1266" i="122"/>
  <c r="E1936" i="122" s="1"/>
  <c r="E2606" i="122" s="1"/>
  <c r="E3276" i="122" s="1"/>
  <c r="E3946" i="122" s="1"/>
  <c r="E4616" i="122" s="1"/>
  <c r="E5286" i="122" s="1"/>
  <c r="D1266" i="122"/>
  <c r="D1936" i="122" s="1"/>
  <c r="D2606" i="122" s="1"/>
  <c r="D3276" i="122" s="1"/>
  <c r="D3946" i="122" s="1"/>
  <c r="D4616" i="122" s="1"/>
  <c r="D5286" i="122" s="1"/>
  <c r="C1266" i="122"/>
  <c r="C1936" i="122" s="1"/>
  <c r="C2606" i="122" s="1"/>
  <c r="C3276" i="122" s="1"/>
  <c r="C3946" i="122" s="1"/>
  <c r="C4616" i="122" s="1"/>
  <c r="C5286" i="122" s="1"/>
  <c r="B1266" i="122"/>
  <c r="B1936" i="122" s="1"/>
  <c r="B2606" i="122" s="1"/>
  <c r="B3276" i="122" s="1"/>
  <c r="B3946" i="122" s="1"/>
  <c r="B4616" i="122" s="1"/>
  <c r="B5286" i="122" s="1"/>
  <c r="A1266" i="122"/>
  <c r="A1936" i="122" s="1"/>
  <c r="A2606" i="122" s="1"/>
  <c r="A3276" i="122" s="1"/>
  <c r="A3946" i="122" s="1"/>
  <c r="A4616" i="122" s="1"/>
  <c r="A5286" i="122" s="1"/>
  <c r="M595" i="122"/>
  <c r="D1265" i="122"/>
  <c r="D1935" i="122" s="1"/>
  <c r="D2605" i="122" s="1"/>
  <c r="D3275" i="122" s="1"/>
  <c r="D3945" i="122" s="1"/>
  <c r="D4615" i="122" s="1"/>
  <c r="D5285" i="122" s="1"/>
  <c r="C1265" i="122"/>
  <c r="C1935" i="122" s="1"/>
  <c r="C2605" i="122" s="1"/>
  <c r="C3275" i="122" s="1"/>
  <c r="C3945" i="122" s="1"/>
  <c r="C4615" i="122" s="1"/>
  <c r="C5285" i="122" s="1"/>
  <c r="B1265" i="122"/>
  <c r="B1935" i="122" s="1"/>
  <c r="B2605" i="122" s="1"/>
  <c r="B3275" i="122" s="1"/>
  <c r="B3945" i="122" s="1"/>
  <c r="B4615" i="122" s="1"/>
  <c r="B5285" i="122" s="1"/>
  <c r="A1265" i="122"/>
  <c r="A1935" i="122" s="1"/>
  <c r="A2605" i="122" s="1"/>
  <c r="A3275" i="122" s="1"/>
  <c r="A3945" i="122" s="1"/>
  <c r="A4615" i="122" s="1"/>
  <c r="A5285" i="122" s="1"/>
  <c r="M594" i="122"/>
  <c r="D1264" i="122"/>
  <c r="D1934" i="122" s="1"/>
  <c r="D2604" i="122" s="1"/>
  <c r="D3274" i="122" s="1"/>
  <c r="D3944" i="122" s="1"/>
  <c r="D4614" i="122" s="1"/>
  <c r="D5284" i="122" s="1"/>
  <c r="C1264" i="122"/>
  <c r="C1934" i="122" s="1"/>
  <c r="C2604" i="122" s="1"/>
  <c r="C3274" i="122" s="1"/>
  <c r="C3944" i="122" s="1"/>
  <c r="C4614" i="122" s="1"/>
  <c r="C5284" i="122" s="1"/>
  <c r="B1264" i="122"/>
  <c r="B1934" i="122" s="1"/>
  <c r="B2604" i="122" s="1"/>
  <c r="B3274" i="122" s="1"/>
  <c r="B3944" i="122" s="1"/>
  <c r="B4614" i="122" s="1"/>
  <c r="B5284" i="122" s="1"/>
  <c r="A1264" i="122"/>
  <c r="A1934" i="122" s="1"/>
  <c r="A2604" i="122" s="1"/>
  <c r="A3274" i="122" s="1"/>
  <c r="A3944" i="122" s="1"/>
  <c r="A4614" i="122" s="1"/>
  <c r="A5284" i="122" s="1"/>
  <c r="M593" i="122"/>
  <c r="D1263" i="122"/>
  <c r="D1933" i="122" s="1"/>
  <c r="D2603" i="122" s="1"/>
  <c r="D3273" i="122" s="1"/>
  <c r="D3943" i="122" s="1"/>
  <c r="D4613" i="122" s="1"/>
  <c r="D5283" i="122" s="1"/>
  <c r="C1263" i="122"/>
  <c r="C1933" i="122" s="1"/>
  <c r="C2603" i="122" s="1"/>
  <c r="C3273" i="122" s="1"/>
  <c r="C3943" i="122" s="1"/>
  <c r="C4613" i="122" s="1"/>
  <c r="C5283" i="122" s="1"/>
  <c r="B1263" i="122"/>
  <c r="B1933" i="122" s="1"/>
  <c r="B2603" i="122" s="1"/>
  <c r="B3273" i="122" s="1"/>
  <c r="B3943" i="122" s="1"/>
  <c r="B4613" i="122" s="1"/>
  <c r="B5283" i="122" s="1"/>
  <c r="A1263" i="122"/>
  <c r="A1933" i="122" s="1"/>
  <c r="A2603" i="122" s="1"/>
  <c r="A3273" i="122" s="1"/>
  <c r="A3943" i="122" s="1"/>
  <c r="A4613" i="122" s="1"/>
  <c r="A5283" i="122" s="1"/>
  <c r="M592" i="122"/>
  <c r="D1262" i="122"/>
  <c r="D1932" i="122" s="1"/>
  <c r="D2602" i="122" s="1"/>
  <c r="D3272" i="122" s="1"/>
  <c r="D3942" i="122" s="1"/>
  <c r="D4612" i="122" s="1"/>
  <c r="D5282" i="122" s="1"/>
  <c r="C1262" i="122"/>
  <c r="C1932" i="122" s="1"/>
  <c r="C2602" i="122" s="1"/>
  <c r="C3272" i="122" s="1"/>
  <c r="C3942" i="122" s="1"/>
  <c r="C4612" i="122" s="1"/>
  <c r="C5282" i="122" s="1"/>
  <c r="B1262" i="122"/>
  <c r="B1932" i="122" s="1"/>
  <c r="B2602" i="122" s="1"/>
  <c r="B3272" i="122" s="1"/>
  <c r="B3942" i="122" s="1"/>
  <c r="B4612" i="122" s="1"/>
  <c r="B5282" i="122" s="1"/>
  <c r="A1262" i="122"/>
  <c r="A1932" i="122" s="1"/>
  <c r="A2602" i="122" s="1"/>
  <c r="A3272" i="122" s="1"/>
  <c r="A3942" i="122" s="1"/>
  <c r="A4612" i="122" s="1"/>
  <c r="A5282" i="122" s="1"/>
  <c r="M591" i="122"/>
  <c r="D1261" i="122"/>
  <c r="D1931" i="122" s="1"/>
  <c r="D2601" i="122" s="1"/>
  <c r="D3271" i="122" s="1"/>
  <c r="D3941" i="122" s="1"/>
  <c r="D4611" i="122" s="1"/>
  <c r="D5281" i="122" s="1"/>
  <c r="C1261" i="122"/>
  <c r="C1931" i="122" s="1"/>
  <c r="C2601" i="122" s="1"/>
  <c r="C3271" i="122" s="1"/>
  <c r="C3941" i="122" s="1"/>
  <c r="C4611" i="122" s="1"/>
  <c r="C5281" i="122" s="1"/>
  <c r="B1261" i="122"/>
  <c r="B1931" i="122" s="1"/>
  <c r="B2601" i="122" s="1"/>
  <c r="B3271" i="122" s="1"/>
  <c r="B3941" i="122" s="1"/>
  <c r="B4611" i="122" s="1"/>
  <c r="B5281" i="122" s="1"/>
  <c r="A1261" i="122"/>
  <c r="A1931" i="122" s="1"/>
  <c r="A2601" i="122" s="1"/>
  <c r="A3271" i="122" s="1"/>
  <c r="A3941" i="122" s="1"/>
  <c r="A4611" i="122" s="1"/>
  <c r="A5281" i="122" s="1"/>
  <c r="M590" i="122"/>
  <c r="D1260" i="122"/>
  <c r="D1930" i="122" s="1"/>
  <c r="D2600" i="122" s="1"/>
  <c r="D3270" i="122" s="1"/>
  <c r="D3940" i="122" s="1"/>
  <c r="D4610" i="122" s="1"/>
  <c r="D5280" i="122" s="1"/>
  <c r="C1260" i="122"/>
  <c r="C1930" i="122" s="1"/>
  <c r="C2600" i="122" s="1"/>
  <c r="C3270" i="122" s="1"/>
  <c r="C3940" i="122" s="1"/>
  <c r="C4610" i="122" s="1"/>
  <c r="C5280" i="122" s="1"/>
  <c r="B1260" i="122"/>
  <c r="B1930" i="122" s="1"/>
  <c r="B2600" i="122" s="1"/>
  <c r="B3270" i="122" s="1"/>
  <c r="B3940" i="122" s="1"/>
  <c r="B4610" i="122" s="1"/>
  <c r="B5280" i="122" s="1"/>
  <c r="A1260" i="122"/>
  <c r="A1930" i="122" s="1"/>
  <c r="A2600" i="122" s="1"/>
  <c r="A3270" i="122" s="1"/>
  <c r="A3940" i="122" s="1"/>
  <c r="A4610" i="122" s="1"/>
  <c r="A5280" i="122" s="1"/>
  <c r="M589" i="122"/>
  <c r="D1259" i="122"/>
  <c r="D1929" i="122" s="1"/>
  <c r="D2599" i="122" s="1"/>
  <c r="D3269" i="122" s="1"/>
  <c r="D3939" i="122" s="1"/>
  <c r="D4609" i="122" s="1"/>
  <c r="D5279" i="122" s="1"/>
  <c r="C1259" i="122"/>
  <c r="C1929" i="122" s="1"/>
  <c r="C2599" i="122" s="1"/>
  <c r="C3269" i="122" s="1"/>
  <c r="C3939" i="122" s="1"/>
  <c r="C4609" i="122" s="1"/>
  <c r="C5279" i="122" s="1"/>
  <c r="B1259" i="122"/>
  <c r="B1929" i="122" s="1"/>
  <c r="B2599" i="122" s="1"/>
  <c r="B3269" i="122" s="1"/>
  <c r="B3939" i="122" s="1"/>
  <c r="B4609" i="122" s="1"/>
  <c r="B5279" i="122" s="1"/>
  <c r="A1259" i="122"/>
  <c r="A1929" i="122" s="1"/>
  <c r="A2599" i="122" s="1"/>
  <c r="A3269" i="122" s="1"/>
  <c r="A3939" i="122" s="1"/>
  <c r="A4609" i="122" s="1"/>
  <c r="A5279" i="122" s="1"/>
  <c r="M588" i="122"/>
  <c r="E1258" i="122"/>
  <c r="E1928" i="122" s="1"/>
  <c r="E2598" i="122" s="1"/>
  <c r="E3268" i="122" s="1"/>
  <c r="E3938" i="122" s="1"/>
  <c r="E4608" i="122" s="1"/>
  <c r="E5278" i="122" s="1"/>
  <c r="D1258" i="122"/>
  <c r="D1928" i="122" s="1"/>
  <c r="D2598" i="122" s="1"/>
  <c r="D3268" i="122" s="1"/>
  <c r="D3938" i="122" s="1"/>
  <c r="D4608" i="122" s="1"/>
  <c r="D5278" i="122" s="1"/>
  <c r="C1258" i="122"/>
  <c r="C1928" i="122" s="1"/>
  <c r="C2598" i="122" s="1"/>
  <c r="C3268" i="122" s="1"/>
  <c r="C3938" i="122" s="1"/>
  <c r="C4608" i="122" s="1"/>
  <c r="C5278" i="122" s="1"/>
  <c r="B1258" i="122"/>
  <c r="B1928" i="122" s="1"/>
  <c r="B2598" i="122" s="1"/>
  <c r="B3268" i="122" s="1"/>
  <c r="B3938" i="122" s="1"/>
  <c r="B4608" i="122" s="1"/>
  <c r="B5278" i="122" s="1"/>
  <c r="A1258" i="122"/>
  <c r="A1928" i="122" s="1"/>
  <c r="A2598" i="122" s="1"/>
  <c r="A3268" i="122" s="1"/>
  <c r="A3938" i="122" s="1"/>
  <c r="A4608" i="122" s="1"/>
  <c r="A5278" i="122" s="1"/>
  <c r="M587" i="122"/>
  <c r="D1257" i="122"/>
  <c r="D1927" i="122" s="1"/>
  <c r="D2597" i="122" s="1"/>
  <c r="D3267" i="122" s="1"/>
  <c r="D3937" i="122" s="1"/>
  <c r="D4607" i="122" s="1"/>
  <c r="D5277" i="122" s="1"/>
  <c r="C1257" i="122"/>
  <c r="C1927" i="122" s="1"/>
  <c r="C2597" i="122" s="1"/>
  <c r="C3267" i="122" s="1"/>
  <c r="C3937" i="122" s="1"/>
  <c r="C4607" i="122" s="1"/>
  <c r="C5277" i="122" s="1"/>
  <c r="B1257" i="122"/>
  <c r="B1927" i="122" s="1"/>
  <c r="B2597" i="122" s="1"/>
  <c r="B3267" i="122" s="1"/>
  <c r="B3937" i="122" s="1"/>
  <c r="B4607" i="122" s="1"/>
  <c r="B5277" i="122" s="1"/>
  <c r="A1257" i="122"/>
  <c r="A1927" i="122" s="1"/>
  <c r="A2597" i="122" s="1"/>
  <c r="A3267" i="122" s="1"/>
  <c r="A3937" i="122" s="1"/>
  <c r="A4607" i="122" s="1"/>
  <c r="A5277" i="122" s="1"/>
  <c r="M586" i="122"/>
  <c r="D1256" i="122"/>
  <c r="D1926" i="122" s="1"/>
  <c r="D2596" i="122" s="1"/>
  <c r="D3266" i="122" s="1"/>
  <c r="D3936" i="122" s="1"/>
  <c r="D4606" i="122" s="1"/>
  <c r="D5276" i="122" s="1"/>
  <c r="C1256" i="122"/>
  <c r="C1926" i="122" s="1"/>
  <c r="C2596" i="122" s="1"/>
  <c r="C3266" i="122" s="1"/>
  <c r="C3936" i="122" s="1"/>
  <c r="C4606" i="122" s="1"/>
  <c r="C5276" i="122" s="1"/>
  <c r="B1256" i="122"/>
  <c r="B1926" i="122" s="1"/>
  <c r="B2596" i="122" s="1"/>
  <c r="B3266" i="122" s="1"/>
  <c r="B3936" i="122" s="1"/>
  <c r="B4606" i="122" s="1"/>
  <c r="B5276" i="122" s="1"/>
  <c r="A1256" i="122"/>
  <c r="A1926" i="122" s="1"/>
  <c r="A2596" i="122" s="1"/>
  <c r="A3266" i="122" s="1"/>
  <c r="A3936" i="122" s="1"/>
  <c r="A4606" i="122" s="1"/>
  <c r="A5276" i="122" s="1"/>
  <c r="M585" i="122"/>
  <c r="D1255" i="122"/>
  <c r="D1925" i="122" s="1"/>
  <c r="D2595" i="122" s="1"/>
  <c r="D3265" i="122" s="1"/>
  <c r="D3935" i="122" s="1"/>
  <c r="D4605" i="122" s="1"/>
  <c r="D5275" i="122" s="1"/>
  <c r="C1255" i="122"/>
  <c r="C1925" i="122" s="1"/>
  <c r="C2595" i="122" s="1"/>
  <c r="C3265" i="122" s="1"/>
  <c r="C3935" i="122" s="1"/>
  <c r="C4605" i="122" s="1"/>
  <c r="C5275" i="122" s="1"/>
  <c r="B1255" i="122"/>
  <c r="B1925" i="122" s="1"/>
  <c r="B2595" i="122" s="1"/>
  <c r="B3265" i="122" s="1"/>
  <c r="B3935" i="122" s="1"/>
  <c r="B4605" i="122" s="1"/>
  <c r="B5275" i="122" s="1"/>
  <c r="A1255" i="122"/>
  <c r="A1925" i="122" s="1"/>
  <c r="A2595" i="122" s="1"/>
  <c r="A3265" i="122" s="1"/>
  <c r="A3935" i="122" s="1"/>
  <c r="A4605" i="122" s="1"/>
  <c r="A5275" i="122" s="1"/>
  <c r="M584" i="122"/>
  <c r="D1254" i="122"/>
  <c r="D1924" i="122" s="1"/>
  <c r="D2594" i="122" s="1"/>
  <c r="D3264" i="122" s="1"/>
  <c r="D3934" i="122" s="1"/>
  <c r="D4604" i="122" s="1"/>
  <c r="D5274" i="122" s="1"/>
  <c r="C1254" i="122"/>
  <c r="C1924" i="122" s="1"/>
  <c r="C2594" i="122" s="1"/>
  <c r="C3264" i="122" s="1"/>
  <c r="C3934" i="122" s="1"/>
  <c r="C4604" i="122" s="1"/>
  <c r="C5274" i="122" s="1"/>
  <c r="B1254" i="122"/>
  <c r="B1924" i="122" s="1"/>
  <c r="B2594" i="122" s="1"/>
  <c r="B3264" i="122" s="1"/>
  <c r="B3934" i="122" s="1"/>
  <c r="B4604" i="122" s="1"/>
  <c r="B5274" i="122" s="1"/>
  <c r="A1254" i="122"/>
  <c r="A1924" i="122" s="1"/>
  <c r="A2594" i="122" s="1"/>
  <c r="A3264" i="122" s="1"/>
  <c r="A3934" i="122" s="1"/>
  <c r="A4604" i="122" s="1"/>
  <c r="A5274" i="122" s="1"/>
  <c r="M583" i="122"/>
  <c r="D1253" i="122"/>
  <c r="D1923" i="122" s="1"/>
  <c r="D2593" i="122" s="1"/>
  <c r="D3263" i="122" s="1"/>
  <c r="D3933" i="122" s="1"/>
  <c r="D4603" i="122" s="1"/>
  <c r="D5273" i="122" s="1"/>
  <c r="C1253" i="122"/>
  <c r="C1923" i="122" s="1"/>
  <c r="C2593" i="122" s="1"/>
  <c r="C3263" i="122" s="1"/>
  <c r="C3933" i="122" s="1"/>
  <c r="C4603" i="122" s="1"/>
  <c r="C5273" i="122" s="1"/>
  <c r="B1253" i="122"/>
  <c r="B1923" i="122" s="1"/>
  <c r="B2593" i="122" s="1"/>
  <c r="B3263" i="122" s="1"/>
  <c r="B3933" i="122" s="1"/>
  <c r="B4603" i="122" s="1"/>
  <c r="B5273" i="122" s="1"/>
  <c r="A1253" i="122"/>
  <c r="A1923" i="122" s="1"/>
  <c r="A2593" i="122" s="1"/>
  <c r="A3263" i="122" s="1"/>
  <c r="A3933" i="122" s="1"/>
  <c r="A4603" i="122" s="1"/>
  <c r="A5273" i="122" s="1"/>
  <c r="M582" i="122"/>
  <c r="D1252" i="122"/>
  <c r="D1922" i="122" s="1"/>
  <c r="D2592" i="122" s="1"/>
  <c r="D3262" i="122" s="1"/>
  <c r="D3932" i="122" s="1"/>
  <c r="D4602" i="122" s="1"/>
  <c r="D5272" i="122" s="1"/>
  <c r="C1252" i="122"/>
  <c r="C1922" i="122" s="1"/>
  <c r="C2592" i="122" s="1"/>
  <c r="C3262" i="122" s="1"/>
  <c r="C3932" i="122" s="1"/>
  <c r="C4602" i="122" s="1"/>
  <c r="C5272" i="122" s="1"/>
  <c r="B1252" i="122"/>
  <c r="B1922" i="122" s="1"/>
  <c r="B2592" i="122" s="1"/>
  <c r="B3262" i="122" s="1"/>
  <c r="B3932" i="122" s="1"/>
  <c r="B4602" i="122" s="1"/>
  <c r="B5272" i="122" s="1"/>
  <c r="A1252" i="122"/>
  <c r="A1922" i="122" s="1"/>
  <c r="A2592" i="122" s="1"/>
  <c r="A3262" i="122" s="1"/>
  <c r="A3932" i="122" s="1"/>
  <c r="A4602" i="122" s="1"/>
  <c r="A5272" i="122" s="1"/>
  <c r="M581" i="122"/>
  <c r="E1251" i="122"/>
  <c r="E1921" i="122" s="1"/>
  <c r="E2591" i="122" s="1"/>
  <c r="E3261" i="122" s="1"/>
  <c r="E3931" i="122" s="1"/>
  <c r="E4601" i="122" s="1"/>
  <c r="E5271" i="122" s="1"/>
  <c r="D1251" i="122"/>
  <c r="D1921" i="122" s="1"/>
  <c r="D2591" i="122" s="1"/>
  <c r="D3261" i="122" s="1"/>
  <c r="D3931" i="122" s="1"/>
  <c r="D4601" i="122" s="1"/>
  <c r="D5271" i="122" s="1"/>
  <c r="C1251" i="122"/>
  <c r="C1921" i="122" s="1"/>
  <c r="C2591" i="122" s="1"/>
  <c r="C3261" i="122" s="1"/>
  <c r="C3931" i="122" s="1"/>
  <c r="C4601" i="122" s="1"/>
  <c r="C5271" i="122" s="1"/>
  <c r="B1251" i="122"/>
  <c r="B1921" i="122" s="1"/>
  <c r="B2591" i="122" s="1"/>
  <c r="B3261" i="122" s="1"/>
  <c r="B3931" i="122" s="1"/>
  <c r="B4601" i="122" s="1"/>
  <c r="B5271" i="122" s="1"/>
  <c r="A1251" i="122"/>
  <c r="A1921" i="122" s="1"/>
  <c r="A2591" i="122" s="1"/>
  <c r="A3261" i="122" s="1"/>
  <c r="A3931" i="122" s="1"/>
  <c r="A4601" i="122" s="1"/>
  <c r="A5271" i="122" s="1"/>
  <c r="M580" i="122"/>
  <c r="D1250" i="122"/>
  <c r="D1920" i="122" s="1"/>
  <c r="D2590" i="122" s="1"/>
  <c r="D3260" i="122" s="1"/>
  <c r="D3930" i="122" s="1"/>
  <c r="D4600" i="122" s="1"/>
  <c r="D5270" i="122" s="1"/>
  <c r="C1250" i="122"/>
  <c r="C1920" i="122" s="1"/>
  <c r="C2590" i="122" s="1"/>
  <c r="C3260" i="122" s="1"/>
  <c r="C3930" i="122" s="1"/>
  <c r="C4600" i="122" s="1"/>
  <c r="C5270" i="122" s="1"/>
  <c r="B1250" i="122"/>
  <c r="B1920" i="122" s="1"/>
  <c r="B2590" i="122" s="1"/>
  <c r="B3260" i="122" s="1"/>
  <c r="B3930" i="122" s="1"/>
  <c r="B4600" i="122" s="1"/>
  <c r="B5270" i="122" s="1"/>
  <c r="A1250" i="122"/>
  <c r="A1920" i="122" s="1"/>
  <c r="A2590" i="122" s="1"/>
  <c r="A3260" i="122" s="1"/>
  <c r="A3930" i="122" s="1"/>
  <c r="A4600" i="122" s="1"/>
  <c r="A5270" i="122" s="1"/>
  <c r="M579" i="122"/>
  <c r="D1249" i="122"/>
  <c r="D1919" i="122" s="1"/>
  <c r="D2589" i="122" s="1"/>
  <c r="D3259" i="122" s="1"/>
  <c r="D3929" i="122" s="1"/>
  <c r="D4599" i="122" s="1"/>
  <c r="D5269" i="122" s="1"/>
  <c r="C1249" i="122"/>
  <c r="C1919" i="122" s="1"/>
  <c r="C2589" i="122" s="1"/>
  <c r="C3259" i="122" s="1"/>
  <c r="C3929" i="122" s="1"/>
  <c r="C4599" i="122" s="1"/>
  <c r="C5269" i="122" s="1"/>
  <c r="B1249" i="122"/>
  <c r="B1919" i="122" s="1"/>
  <c r="B2589" i="122" s="1"/>
  <c r="B3259" i="122" s="1"/>
  <c r="B3929" i="122" s="1"/>
  <c r="B4599" i="122" s="1"/>
  <c r="B5269" i="122" s="1"/>
  <c r="A1249" i="122"/>
  <c r="A1919" i="122" s="1"/>
  <c r="A2589" i="122" s="1"/>
  <c r="A3259" i="122" s="1"/>
  <c r="A3929" i="122" s="1"/>
  <c r="A4599" i="122" s="1"/>
  <c r="A5269" i="122" s="1"/>
  <c r="M578" i="122"/>
  <c r="E1248" i="122"/>
  <c r="E1918" i="122" s="1"/>
  <c r="E2588" i="122" s="1"/>
  <c r="E3258" i="122" s="1"/>
  <c r="E3928" i="122" s="1"/>
  <c r="E4598" i="122" s="1"/>
  <c r="E5268" i="122" s="1"/>
  <c r="D1248" i="122"/>
  <c r="D1918" i="122" s="1"/>
  <c r="D2588" i="122" s="1"/>
  <c r="D3258" i="122" s="1"/>
  <c r="D3928" i="122" s="1"/>
  <c r="D4598" i="122" s="1"/>
  <c r="D5268" i="122" s="1"/>
  <c r="C1248" i="122"/>
  <c r="C1918" i="122" s="1"/>
  <c r="C2588" i="122" s="1"/>
  <c r="C3258" i="122" s="1"/>
  <c r="C3928" i="122" s="1"/>
  <c r="C4598" i="122" s="1"/>
  <c r="C5268" i="122" s="1"/>
  <c r="B1248" i="122"/>
  <c r="B1918" i="122" s="1"/>
  <c r="B2588" i="122" s="1"/>
  <c r="B3258" i="122" s="1"/>
  <c r="B3928" i="122" s="1"/>
  <c r="B4598" i="122" s="1"/>
  <c r="B5268" i="122" s="1"/>
  <c r="A1248" i="122"/>
  <c r="A1918" i="122" s="1"/>
  <c r="A2588" i="122" s="1"/>
  <c r="A3258" i="122" s="1"/>
  <c r="A3928" i="122" s="1"/>
  <c r="A4598" i="122" s="1"/>
  <c r="A5268" i="122" s="1"/>
  <c r="M577" i="122"/>
  <c r="D1247" i="122"/>
  <c r="D1917" i="122" s="1"/>
  <c r="D2587" i="122" s="1"/>
  <c r="D3257" i="122" s="1"/>
  <c r="D3927" i="122" s="1"/>
  <c r="D4597" i="122" s="1"/>
  <c r="D5267" i="122" s="1"/>
  <c r="C1247" i="122"/>
  <c r="C1917" i="122" s="1"/>
  <c r="C2587" i="122" s="1"/>
  <c r="C3257" i="122" s="1"/>
  <c r="C3927" i="122" s="1"/>
  <c r="C4597" i="122" s="1"/>
  <c r="C5267" i="122" s="1"/>
  <c r="B1247" i="122"/>
  <c r="B1917" i="122" s="1"/>
  <c r="B2587" i="122" s="1"/>
  <c r="B3257" i="122" s="1"/>
  <c r="B3927" i="122" s="1"/>
  <c r="B4597" i="122" s="1"/>
  <c r="B5267" i="122" s="1"/>
  <c r="A1247" i="122"/>
  <c r="A1917" i="122" s="1"/>
  <c r="A2587" i="122" s="1"/>
  <c r="A3257" i="122" s="1"/>
  <c r="A3927" i="122" s="1"/>
  <c r="A4597" i="122" s="1"/>
  <c r="A5267" i="122" s="1"/>
  <c r="M576" i="122"/>
  <c r="E1246" i="122"/>
  <c r="E1916" i="122" s="1"/>
  <c r="E2586" i="122" s="1"/>
  <c r="E3256" i="122" s="1"/>
  <c r="E3926" i="122" s="1"/>
  <c r="E4596" i="122" s="1"/>
  <c r="E5266" i="122" s="1"/>
  <c r="D1246" i="122"/>
  <c r="D1916" i="122" s="1"/>
  <c r="D2586" i="122" s="1"/>
  <c r="D3256" i="122" s="1"/>
  <c r="D3926" i="122" s="1"/>
  <c r="D4596" i="122" s="1"/>
  <c r="D5266" i="122" s="1"/>
  <c r="C1246" i="122"/>
  <c r="C1916" i="122" s="1"/>
  <c r="C2586" i="122" s="1"/>
  <c r="C3256" i="122" s="1"/>
  <c r="C3926" i="122" s="1"/>
  <c r="C4596" i="122" s="1"/>
  <c r="C5266" i="122" s="1"/>
  <c r="B1246" i="122"/>
  <c r="B1916" i="122" s="1"/>
  <c r="B2586" i="122" s="1"/>
  <c r="B3256" i="122" s="1"/>
  <c r="B3926" i="122" s="1"/>
  <c r="B4596" i="122" s="1"/>
  <c r="B5266" i="122" s="1"/>
  <c r="A1246" i="122"/>
  <c r="A1916" i="122" s="1"/>
  <c r="A2586" i="122" s="1"/>
  <c r="A3256" i="122" s="1"/>
  <c r="A3926" i="122" s="1"/>
  <c r="A4596" i="122" s="1"/>
  <c r="A5266" i="122" s="1"/>
  <c r="M575" i="122"/>
  <c r="D1245" i="122"/>
  <c r="D1915" i="122" s="1"/>
  <c r="D2585" i="122" s="1"/>
  <c r="D3255" i="122" s="1"/>
  <c r="D3925" i="122" s="1"/>
  <c r="D4595" i="122" s="1"/>
  <c r="D5265" i="122" s="1"/>
  <c r="C1245" i="122"/>
  <c r="C1915" i="122" s="1"/>
  <c r="C2585" i="122" s="1"/>
  <c r="C3255" i="122" s="1"/>
  <c r="C3925" i="122" s="1"/>
  <c r="C4595" i="122" s="1"/>
  <c r="C5265" i="122" s="1"/>
  <c r="B1245" i="122"/>
  <c r="B1915" i="122" s="1"/>
  <c r="B2585" i="122" s="1"/>
  <c r="B3255" i="122" s="1"/>
  <c r="B3925" i="122" s="1"/>
  <c r="B4595" i="122" s="1"/>
  <c r="B5265" i="122" s="1"/>
  <c r="A1245" i="122"/>
  <c r="A1915" i="122" s="1"/>
  <c r="A2585" i="122" s="1"/>
  <c r="A3255" i="122" s="1"/>
  <c r="A3925" i="122" s="1"/>
  <c r="A4595" i="122" s="1"/>
  <c r="A5265" i="122" s="1"/>
  <c r="M574" i="122"/>
  <c r="E1244" i="122"/>
  <c r="E1914" i="122" s="1"/>
  <c r="E2584" i="122" s="1"/>
  <c r="E3254" i="122" s="1"/>
  <c r="E3924" i="122" s="1"/>
  <c r="E4594" i="122" s="1"/>
  <c r="E5264" i="122" s="1"/>
  <c r="D1244" i="122"/>
  <c r="D1914" i="122" s="1"/>
  <c r="D2584" i="122" s="1"/>
  <c r="D3254" i="122" s="1"/>
  <c r="D3924" i="122" s="1"/>
  <c r="D4594" i="122" s="1"/>
  <c r="D5264" i="122" s="1"/>
  <c r="C1244" i="122"/>
  <c r="C1914" i="122" s="1"/>
  <c r="C2584" i="122" s="1"/>
  <c r="C3254" i="122" s="1"/>
  <c r="C3924" i="122" s="1"/>
  <c r="C4594" i="122" s="1"/>
  <c r="C5264" i="122" s="1"/>
  <c r="A1244" i="122"/>
  <c r="A1914" i="122" s="1"/>
  <c r="A2584" i="122" s="1"/>
  <c r="A3254" i="122" s="1"/>
  <c r="A3924" i="122" s="1"/>
  <c r="A4594" i="122" s="1"/>
  <c r="A5264" i="122" s="1"/>
  <c r="M573" i="122"/>
  <c r="D1243" i="122"/>
  <c r="D1913" i="122" s="1"/>
  <c r="D2583" i="122" s="1"/>
  <c r="D3253" i="122" s="1"/>
  <c r="D3923" i="122" s="1"/>
  <c r="D4593" i="122" s="1"/>
  <c r="D5263" i="122" s="1"/>
  <c r="C1243" i="122"/>
  <c r="C1913" i="122" s="1"/>
  <c r="C2583" i="122" s="1"/>
  <c r="C3253" i="122" s="1"/>
  <c r="C3923" i="122" s="1"/>
  <c r="C4593" i="122" s="1"/>
  <c r="C5263" i="122" s="1"/>
  <c r="B1243" i="122"/>
  <c r="B1913" i="122" s="1"/>
  <c r="B2583" i="122" s="1"/>
  <c r="B3253" i="122" s="1"/>
  <c r="B3923" i="122" s="1"/>
  <c r="B4593" i="122" s="1"/>
  <c r="B5263" i="122" s="1"/>
  <c r="A1243" i="122"/>
  <c r="A1913" i="122" s="1"/>
  <c r="A2583" i="122" s="1"/>
  <c r="A3253" i="122" s="1"/>
  <c r="A3923" i="122" s="1"/>
  <c r="A4593" i="122" s="1"/>
  <c r="A5263" i="122" s="1"/>
  <c r="M572" i="122"/>
  <c r="E1242" i="122"/>
  <c r="E1912" i="122" s="1"/>
  <c r="E2582" i="122" s="1"/>
  <c r="E3252" i="122" s="1"/>
  <c r="E3922" i="122" s="1"/>
  <c r="E4592" i="122" s="1"/>
  <c r="E5262" i="122" s="1"/>
  <c r="D1242" i="122"/>
  <c r="D1912" i="122" s="1"/>
  <c r="D2582" i="122" s="1"/>
  <c r="D3252" i="122" s="1"/>
  <c r="D3922" i="122" s="1"/>
  <c r="D4592" i="122" s="1"/>
  <c r="D5262" i="122" s="1"/>
  <c r="C1242" i="122"/>
  <c r="C1912" i="122" s="1"/>
  <c r="C2582" i="122" s="1"/>
  <c r="C3252" i="122" s="1"/>
  <c r="C3922" i="122" s="1"/>
  <c r="C4592" i="122" s="1"/>
  <c r="C5262" i="122" s="1"/>
  <c r="A1242" i="122"/>
  <c r="A1912" i="122" s="1"/>
  <c r="A2582" i="122" s="1"/>
  <c r="A3252" i="122" s="1"/>
  <c r="A3922" i="122" s="1"/>
  <c r="A4592" i="122" s="1"/>
  <c r="A5262" i="122" s="1"/>
  <c r="M571" i="122"/>
  <c r="D1241" i="122"/>
  <c r="D1911" i="122" s="1"/>
  <c r="D2581" i="122" s="1"/>
  <c r="D3251" i="122" s="1"/>
  <c r="D3921" i="122" s="1"/>
  <c r="D4591" i="122" s="1"/>
  <c r="D5261" i="122" s="1"/>
  <c r="C1241" i="122"/>
  <c r="C1911" i="122" s="1"/>
  <c r="C2581" i="122" s="1"/>
  <c r="C3251" i="122" s="1"/>
  <c r="C3921" i="122" s="1"/>
  <c r="C4591" i="122" s="1"/>
  <c r="C5261" i="122" s="1"/>
  <c r="B1241" i="122"/>
  <c r="B1911" i="122" s="1"/>
  <c r="B2581" i="122" s="1"/>
  <c r="B3251" i="122" s="1"/>
  <c r="B3921" i="122" s="1"/>
  <c r="B4591" i="122" s="1"/>
  <c r="B5261" i="122" s="1"/>
  <c r="A1241" i="122"/>
  <c r="A1911" i="122" s="1"/>
  <c r="A2581" i="122" s="1"/>
  <c r="A3251" i="122" s="1"/>
  <c r="A3921" i="122" s="1"/>
  <c r="A4591" i="122" s="1"/>
  <c r="A5261" i="122" s="1"/>
  <c r="M570" i="122"/>
  <c r="E1240" i="122"/>
  <c r="E1910" i="122" s="1"/>
  <c r="E2580" i="122" s="1"/>
  <c r="E3250" i="122" s="1"/>
  <c r="E3920" i="122" s="1"/>
  <c r="E4590" i="122" s="1"/>
  <c r="E5260" i="122" s="1"/>
  <c r="D1240" i="122"/>
  <c r="D1910" i="122" s="1"/>
  <c r="D2580" i="122" s="1"/>
  <c r="D3250" i="122" s="1"/>
  <c r="D3920" i="122" s="1"/>
  <c r="D4590" i="122" s="1"/>
  <c r="D5260" i="122" s="1"/>
  <c r="C1240" i="122"/>
  <c r="C1910" i="122" s="1"/>
  <c r="C2580" i="122" s="1"/>
  <c r="C3250" i="122" s="1"/>
  <c r="C3920" i="122" s="1"/>
  <c r="C4590" i="122" s="1"/>
  <c r="C5260" i="122" s="1"/>
  <c r="B1240" i="122"/>
  <c r="B1910" i="122" s="1"/>
  <c r="B2580" i="122" s="1"/>
  <c r="B3250" i="122" s="1"/>
  <c r="B3920" i="122" s="1"/>
  <c r="B4590" i="122" s="1"/>
  <c r="B5260" i="122" s="1"/>
  <c r="A1240" i="122"/>
  <c r="A1910" i="122" s="1"/>
  <c r="A2580" i="122" s="1"/>
  <c r="A3250" i="122" s="1"/>
  <c r="A3920" i="122" s="1"/>
  <c r="A4590" i="122" s="1"/>
  <c r="A5260" i="122" s="1"/>
  <c r="M569" i="122"/>
  <c r="E1239" i="122"/>
  <c r="E1909" i="122" s="1"/>
  <c r="E2579" i="122" s="1"/>
  <c r="E3249" i="122" s="1"/>
  <c r="E3919" i="122" s="1"/>
  <c r="E4589" i="122" s="1"/>
  <c r="E5259" i="122" s="1"/>
  <c r="D1239" i="122"/>
  <c r="D1909" i="122" s="1"/>
  <c r="D2579" i="122" s="1"/>
  <c r="D3249" i="122" s="1"/>
  <c r="D3919" i="122" s="1"/>
  <c r="D4589" i="122" s="1"/>
  <c r="D5259" i="122" s="1"/>
  <c r="C1239" i="122"/>
  <c r="C1909" i="122" s="1"/>
  <c r="C2579" i="122" s="1"/>
  <c r="C3249" i="122" s="1"/>
  <c r="C3919" i="122" s="1"/>
  <c r="C4589" i="122" s="1"/>
  <c r="C5259" i="122" s="1"/>
  <c r="B1239" i="122"/>
  <c r="B1909" i="122" s="1"/>
  <c r="B2579" i="122" s="1"/>
  <c r="B3249" i="122" s="1"/>
  <c r="B3919" i="122" s="1"/>
  <c r="B4589" i="122" s="1"/>
  <c r="B5259" i="122" s="1"/>
  <c r="A1239" i="122"/>
  <c r="A1909" i="122" s="1"/>
  <c r="A2579" i="122" s="1"/>
  <c r="A3249" i="122" s="1"/>
  <c r="A3919" i="122" s="1"/>
  <c r="A4589" i="122" s="1"/>
  <c r="A5259" i="122" s="1"/>
  <c r="M568" i="122"/>
  <c r="E1238" i="122"/>
  <c r="E1908" i="122" s="1"/>
  <c r="E2578" i="122" s="1"/>
  <c r="E3248" i="122" s="1"/>
  <c r="E3918" i="122" s="1"/>
  <c r="E4588" i="122" s="1"/>
  <c r="E5258" i="122" s="1"/>
  <c r="D1238" i="122"/>
  <c r="D1908" i="122" s="1"/>
  <c r="D2578" i="122" s="1"/>
  <c r="D3248" i="122" s="1"/>
  <c r="D3918" i="122" s="1"/>
  <c r="D4588" i="122" s="1"/>
  <c r="D5258" i="122" s="1"/>
  <c r="C1238" i="122"/>
  <c r="C1908" i="122" s="1"/>
  <c r="C2578" i="122" s="1"/>
  <c r="C3248" i="122" s="1"/>
  <c r="C3918" i="122" s="1"/>
  <c r="C4588" i="122" s="1"/>
  <c r="C5258" i="122" s="1"/>
  <c r="B1238" i="122"/>
  <c r="B1908" i="122" s="1"/>
  <c r="B2578" i="122" s="1"/>
  <c r="B3248" i="122" s="1"/>
  <c r="B3918" i="122" s="1"/>
  <c r="B4588" i="122" s="1"/>
  <c r="B5258" i="122" s="1"/>
  <c r="A1238" i="122"/>
  <c r="A1908" i="122" s="1"/>
  <c r="A2578" i="122" s="1"/>
  <c r="A3248" i="122" s="1"/>
  <c r="A3918" i="122" s="1"/>
  <c r="A4588" i="122" s="1"/>
  <c r="A5258" i="122" s="1"/>
  <c r="M567" i="122"/>
  <c r="E1237" i="122"/>
  <c r="E1907" i="122" s="1"/>
  <c r="E2577" i="122" s="1"/>
  <c r="E3247" i="122" s="1"/>
  <c r="E3917" i="122" s="1"/>
  <c r="E4587" i="122" s="1"/>
  <c r="E5257" i="122" s="1"/>
  <c r="D1237" i="122"/>
  <c r="D1907" i="122" s="1"/>
  <c r="D2577" i="122" s="1"/>
  <c r="D3247" i="122" s="1"/>
  <c r="D3917" i="122" s="1"/>
  <c r="D4587" i="122" s="1"/>
  <c r="D5257" i="122" s="1"/>
  <c r="C1237" i="122"/>
  <c r="C1907" i="122" s="1"/>
  <c r="C2577" i="122" s="1"/>
  <c r="C3247" i="122" s="1"/>
  <c r="C3917" i="122" s="1"/>
  <c r="C4587" i="122" s="1"/>
  <c r="C5257" i="122" s="1"/>
  <c r="B1237" i="122"/>
  <c r="B1907" i="122" s="1"/>
  <c r="B2577" i="122" s="1"/>
  <c r="B3247" i="122" s="1"/>
  <c r="B3917" i="122" s="1"/>
  <c r="B4587" i="122" s="1"/>
  <c r="B5257" i="122" s="1"/>
  <c r="A1237" i="122"/>
  <c r="A1907" i="122" s="1"/>
  <c r="A2577" i="122" s="1"/>
  <c r="A3247" i="122" s="1"/>
  <c r="A3917" i="122" s="1"/>
  <c r="A4587" i="122" s="1"/>
  <c r="A5257" i="122" s="1"/>
  <c r="M566" i="122"/>
  <c r="E1236" i="122"/>
  <c r="E1906" i="122" s="1"/>
  <c r="E2576" i="122" s="1"/>
  <c r="E3246" i="122" s="1"/>
  <c r="E3916" i="122" s="1"/>
  <c r="E4586" i="122" s="1"/>
  <c r="E5256" i="122" s="1"/>
  <c r="D1236" i="122"/>
  <c r="D1906" i="122" s="1"/>
  <c r="D2576" i="122" s="1"/>
  <c r="D3246" i="122" s="1"/>
  <c r="D3916" i="122" s="1"/>
  <c r="D4586" i="122" s="1"/>
  <c r="D5256" i="122" s="1"/>
  <c r="C1236" i="122"/>
  <c r="C1906" i="122" s="1"/>
  <c r="C2576" i="122" s="1"/>
  <c r="C3246" i="122" s="1"/>
  <c r="C3916" i="122" s="1"/>
  <c r="C4586" i="122" s="1"/>
  <c r="C5256" i="122" s="1"/>
  <c r="B1236" i="122"/>
  <c r="B1906" i="122" s="1"/>
  <c r="B2576" i="122" s="1"/>
  <c r="B3246" i="122" s="1"/>
  <c r="B3916" i="122" s="1"/>
  <c r="B4586" i="122" s="1"/>
  <c r="B5256" i="122" s="1"/>
  <c r="A1236" i="122"/>
  <c r="A1906" i="122" s="1"/>
  <c r="A2576" i="122" s="1"/>
  <c r="A3246" i="122" s="1"/>
  <c r="A3916" i="122" s="1"/>
  <c r="A4586" i="122" s="1"/>
  <c r="A5256" i="122" s="1"/>
  <c r="M565" i="122"/>
  <c r="E1235" i="122"/>
  <c r="E1905" i="122" s="1"/>
  <c r="E2575" i="122" s="1"/>
  <c r="E3245" i="122" s="1"/>
  <c r="E3915" i="122" s="1"/>
  <c r="E4585" i="122" s="1"/>
  <c r="E5255" i="122" s="1"/>
  <c r="D1235" i="122"/>
  <c r="D1905" i="122" s="1"/>
  <c r="D2575" i="122" s="1"/>
  <c r="D3245" i="122" s="1"/>
  <c r="D3915" i="122" s="1"/>
  <c r="D4585" i="122" s="1"/>
  <c r="D5255" i="122" s="1"/>
  <c r="C1235" i="122"/>
  <c r="C1905" i="122" s="1"/>
  <c r="C2575" i="122" s="1"/>
  <c r="C3245" i="122" s="1"/>
  <c r="C3915" i="122" s="1"/>
  <c r="C4585" i="122" s="1"/>
  <c r="C5255" i="122" s="1"/>
  <c r="B1235" i="122"/>
  <c r="B1905" i="122" s="1"/>
  <c r="B2575" i="122" s="1"/>
  <c r="B3245" i="122" s="1"/>
  <c r="B3915" i="122" s="1"/>
  <c r="B4585" i="122" s="1"/>
  <c r="B5255" i="122" s="1"/>
  <c r="A1235" i="122"/>
  <c r="A1905" i="122" s="1"/>
  <c r="A2575" i="122" s="1"/>
  <c r="A3245" i="122" s="1"/>
  <c r="A3915" i="122" s="1"/>
  <c r="A4585" i="122" s="1"/>
  <c r="A5255" i="122" s="1"/>
  <c r="M564" i="122"/>
  <c r="E1234" i="122"/>
  <c r="E1904" i="122" s="1"/>
  <c r="E2574" i="122" s="1"/>
  <c r="E3244" i="122" s="1"/>
  <c r="E3914" i="122" s="1"/>
  <c r="E4584" i="122" s="1"/>
  <c r="E5254" i="122" s="1"/>
  <c r="D1234" i="122"/>
  <c r="D1904" i="122" s="1"/>
  <c r="D2574" i="122" s="1"/>
  <c r="D3244" i="122" s="1"/>
  <c r="D3914" i="122" s="1"/>
  <c r="D4584" i="122" s="1"/>
  <c r="D5254" i="122" s="1"/>
  <c r="C1234" i="122"/>
  <c r="C1904" i="122" s="1"/>
  <c r="C2574" i="122" s="1"/>
  <c r="C3244" i="122" s="1"/>
  <c r="C3914" i="122" s="1"/>
  <c r="C4584" i="122" s="1"/>
  <c r="C5254" i="122" s="1"/>
  <c r="B1234" i="122"/>
  <c r="B1904" i="122" s="1"/>
  <c r="B2574" i="122" s="1"/>
  <c r="B3244" i="122" s="1"/>
  <c r="B3914" i="122" s="1"/>
  <c r="B4584" i="122" s="1"/>
  <c r="B5254" i="122" s="1"/>
  <c r="A1234" i="122"/>
  <c r="A1904" i="122" s="1"/>
  <c r="A2574" i="122" s="1"/>
  <c r="A3244" i="122" s="1"/>
  <c r="A3914" i="122" s="1"/>
  <c r="A4584" i="122" s="1"/>
  <c r="A5254" i="122" s="1"/>
  <c r="M563" i="122"/>
  <c r="E1233" i="122"/>
  <c r="E1903" i="122" s="1"/>
  <c r="E2573" i="122" s="1"/>
  <c r="E3243" i="122" s="1"/>
  <c r="E3913" i="122" s="1"/>
  <c r="E4583" i="122" s="1"/>
  <c r="E5253" i="122" s="1"/>
  <c r="D1233" i="122"/>
  <c r="D1903" i="122" s="1"/>
  <c r="D2573" i="122" s="1"/>
  <c r="D3243" i="122" s="1"/>
  <c r="D3913" i="122" s="1"/>
  <c r="D4583" i="122" s="1"/>
  <c r="D5253" i="122" s="1"/>
  <c r="C1233" i="122"/>
  <c r="C1903" i="122" s="1"/>
  <c r="C2573" i="122" s="1"/>
  <c r="C3243" i="122" s="1"/>
  <c r="C3913" i="122" s="1"/>
  <c r="C4583" i="122" s="1"/>
  <c r="C5253" i="122" s="1"/>
  <c r="B1233" i="122"/>
  <c r="B1903" i="122" s="1"/>
  <c r="B2573" i="122" s="1"/>
  <c r="B3243" i="122" s="1"/>
  <c r="B3913" i="122" s="1"/>
  <c r="B4583" i="122" s="1"/>
  <c r="B5253" i="122" s="1"/>
  <c r="A1233" i="122"/>
  <c r="A1903" i="122" s="1"/>
  <c r="A2573" i="122" s="1"/>
  <c r="A3243" i="122" s="1"/>
  <c r="A3913" i="122" s="1"/>
  <c r="A4583" i="122" s="1"/>
  <c r="A5253" i="122" s="1"/>
  <c r="M562" i="122"/>
  <c r="E1232" i="122"/>
  <c r="E1902" i="122" s="1"/>
  <c r="E2572" i="122" s="1"/>
  <c r="E3242" i="122" s="1"/>
  <c r="E3912" i="122" s="1"/>
  <c r="E4582" i="122" s="1"/>
  <c r="E5252" i="122" s="1"/>
  <c r="D1232" i="122"/>
  <c r="D1902" i="122" s="1"/>
  <c r="D2572" i="122" s="1"/>
  <c r="D3242" i="122" s="1"/>
  <c r="D3912" i="122" s="1"/>
  <c r="D4582" i="122" s="1"/>
  <c r="D5252" i="122" s="1"/>
  <c r="C1232" i="122"/>
  <c r="C1902" i="122" s="1"/>
  <c r="C2572" i="122" s="1"/>
  <c r="C3242" i="122" s="1"/>
  <c r="C3912" i="122" s="1"/>
  <c r="C4582" i="122" s="1"/>
  <c r="C5252" i="122" s="1"/>
  <c r="B1232" i="122"/>
  <c r="B1902" i="122" s="1"/>
  <c r="B2572" i="122" s="1"/>
  <c r="B3242" i="122" s="1"/>
  <c r="B3912" i="122" s="1"/>
  <c r="B4582" i="122" s="1"/>
  <c r="B5252" i="122" s="1"/>
  <c r="A1232" i="122"/>
  <c r="A1902" i="122" s="1"/>
  <c r="A2572" i="122" s="1"/>
  <c r="A3242" i="122" s="1"/>
  <c r="A3912" i="122" s="1"/>
  <c r="A4582" i="122" s="1"/>
  <c r="A5252" i="122" s="1"/>
  <c r="M561" i="122"/>
  <c r="E1231" i="122"/>
  <c r="E1901" i="122" s="1"/>
  <c r="E2571" i="122" s="1"/>
  <c r="E3241" i="122" s="1"/>
  <c r="E3911" i="122" s="1"/>
  <c r="E4581" i="122" s="1"/>
  <c r="E5251" i="122" s="1"/>
  <c r="D1231" i="122"/>
  <c r="D1901" i="122" s="1"/>
  <c r="D2571" i="122" s="1"/>
  <c r="D3241" i="122" s="1"/>
  <c r="D3911" i="122" s="1"/>
  <c r="D4581" i="122" s="1"/>
  <c r="D5251" i="122" s="1"/>
  <c r="C1231" i="122"/>
  <c r="C1901" i="122" s="1"/>
  <c r="C2571" i="122" s="1"/>
  <c r="C3241" i="122" s="1"/>
  <c r="C3911" i="122" s="1"/>
  <c r="C4581" i="122" s="1"/>
  <c r="C5251" i="122" s="1"/>
  <c r="B1231" i="122"/>
  <c r="B1901" i="122" s="1"/>
  <c r="B2571" i="122" s="1"/>
  <c r="B3241" i="122" s="1"/>
  <c r="B3911" i="122" s="1"/>
  <c r="B4581" i="122" s="1"/>
  <c r="B5251" i="122" s="1"/>
  <c r="A1231" i="122"/>
  <c r="A1901" i="122" s="1"/>
  <c r="A2571" i="122" s="1"/>
  <c r="A3241" i="122" s="1"/>
  <c r="A3911" i="122" s="1"/>
  <c r="A4581" i="122" s="1"/>
  <c r="A5251" i="122" s="1"/>
  <c r="M560" i="122"/>
  <c r="E1230" i="122"/>
  <c r="E1900" i="122" s="1"/>
  <c r="E2570" i="122" s="1"/>
  <c r="E3240" i="122" s="1"/>
  <c r="E3910" i="122" s="1"/>
  <c r="E4580" i="122" s="1"/>
  <c r="E5250" i="122" s="1"/>
  <c r="D1230" i="122"/>
  <c r="D1900" i="122" s="1"/>
  <c r="D2570" i="122" s="1"/>
  <c r="D3240" i="122" s="1"/>
  <c r="D3910" i="122" s="1"/>
  <c r="D4580" i="122" s="1"/>
  <c r="D5250" i="122" s="1"/>
  <c r="C1230" i="122"/>
  <c r="C1900" i="122" s="1"/>
  <c r="C2570" i="122" s="1"/>
  <c r="C3240" i="122" s="1"/>
  <c r="C3910" i="122" s="1"/>
  <c r="C4580" i="122" s="1"/>
  <c r="C5250" i="122" s="1"/>
  <c r="B1230" i="122"/>
  <c r="B1900" i="122" s="1"/>
  <c r="B2570" i="122" s="1"/>
  <c r="B3240" i="122" s="1"/>
  <c r="B3910" i="122" s="1"/>
  <c r="B4580" i="122" s="1"/>
  <c r="B5250" i="122" s="1"/>
  <c r="A1230" i="122"/>
  <c r="A1900" i="122" s="1"/>
  <c r="A2570" i="122" s="1"/>
  <c r="A3240" i="122" s="1"/>
  <c r="A3910" i="122" s="1"/>
  <c r="A4580" i="122" s="1"/>
  <c r="A5250" i="122" s="1"/>
  <c r="M559" i="122"/>
  <c r="E1229" i="122"/>
  <c r="E1899" i="122" s="1"/>
  <c r="E2569" i="122" s="1"/>
  <c r="E3239" i="122" s="1"/>
  <c r="E3909" i="122" s="1"/>
  <c r="E4579" i="122" s="1"/>
  <c r="E5249" i="122" s="1"/>
  <c r="D1229" i="122"/>
  <c r="D1899" i="122" s="1"/>
  <c r="D2569" i="122" s="1"/>
  <c r="D3239" i="122" s="1"/>
  <c r="D3909" i="122" s="1"/>
  <c r="D4579" i="122" s="1"/>
  <c r="D5249" i="122" s="1"/>
  <c r="C1229" i="122"/>
  <c r="C1899" i="122" s="1"/>
  <c r="C2569" i="122" s="1"/>
  <c r="C3239" i="122" s="1"/>
  <c r="C3909" i="122" s="1"/>
  <c r="C4579" i="122" s="1"/>
  <c r="C5249" i="122" s="1"/>
  <c r="B1229" i="122"/>
  <c r="B1899" i="122" s="1"/>
  <c r="B2569" i="122" s="1"/>
  <c r="B3239" i="122" s="1"/>
  <c r="B3909" i="122" s="1"/>
  <c r="B4579" i="122" s="1"/>
  <c r="B5249" i="122" s="1"/>
  <c r="A1229" i="122"/>
  <c r="A1899" i="122" s="1"/>
  <c r="A2569" i="122" s="1"/>
  <c r="A3239" i="122" s="1"/>
  <c r="A3909" i="122" s="1"/>
  <c r="A4579" i="122" s="1"/>
  <c r="A5249" i="122" s="1"/>
  <c r="M558" i="122"/>
  <c r="E1228" i="122"/>
  <c r="E1898" i="122" s="1"/>
  <c r="E2568" i="122" s="1"/>
  <c r="E3238" i="122" s="1"/>
  <c r="E3908" i="122" s="1"/>
  <c r="E4578" i="122" s="1"/>
  <c r="E5248" i="122" s="1"/>
  <c r="D1228" i="122"/>
  <c r="D1898" i="122" s="1"/>
  <c r="D2568" i="122" s="1"/>
  <c r="D3238" i="122" s="1"/>
  <c r="D3908" i="122" s="1"/>
  <c r="D4578" i="122" s="1"/>
  <c r="D5248" i="122" s="1"/>
  <c r="C1228" i="122"/>
  <c r="C1898" i="122" s="1"/>
  <c r="C2568" i="122" s="1"/>
  <c r="C3238" i="122" s="1"/>
  <c r="C3908" i="122" s="1"/>
  <c r="C4578" i="122" s="1"/>
  <c r="C5248" i="122" s="1"/>
  <c r="B1228" i="122"/>
  <c r="B1898" i="122" s="1"/>
  <c r="B2568" i="122" s="1"/>
  <c r="B3238" i="122" s="1"/>
  <c r="B3908" i="122" s="1"/>
  <c r="B4578" i="122" s="1"/>
  <c r="B5248" i="122" s="1"/>
  <c r="A1228" i="122"/>
  <c r="A1898" i="122" s="1"/>
  <c r="A2568" i="122" s="1"/>
  <c r="A3238" i="122" s="1"/>
  <c r="A3908" i="122" s="1"/>
  <c r="A4578" i="122" s="1"/>
  <c r="A5248" i="122" s="1"/>
  <c r="M557" i="122"/>
  <c r="D1227" i="122"/>
  <c r="D1897" i="122" s="1"/>
  <c r="D2567" i="122" s="1"/>
  <c r="D3237" i="122" s="1"/>
  <c r="D3907" i="122" s="1"/>
  <c r="D4577" i="122" s="1"/>
  <c r="D5247" i="122" s="1"/>
  <c r="C1227" i="122"/>
  <c r="C1897" i="122" s="1"/>
  <c r="C2567" i="122" s="1"/>
  <c r="C3237" i="122" s="1"/>
  <c r="C3907" i="122" s="1"/>
  <c r="C4577" i="122" s="1"/>
  <c r="C5247" i="122" s="1"/>
  <c r="B1227" i="122"/>
  <c r="B1897" i="122" s="1"/>
  <c r="B2567" i="122" s="1"/>
  <c r="B3237" i="122" s="1"/>
  <c r="B3907" i="122" s="1"/>
  <c r="B4577" i="122" s="1"/>
  <c r="B5247" i="122" s="1"/>
  <c r="A1227" i="122"/>
  <c r="A1897" i="122" s="1"/>
  <c r="A2567" i="122" s="1"/>
  <c r="A3237" i="122" s="1"/>
  <c r="A3907" i="122" s="1"/>
  <c r="A4577" i="122" s="1"/>
  <c r="A5247" i="122" s="1"/>
  <c r="M556" i="122"/>
  <c r="D1226" i="122"/>
  <c r="D1896" i="122" s="1"/>
  <c r="D2566" i="122" s="1"/>
  <c r="D3236" i="122" s="1"/>
  <c r="D3906" i="122" s="1"/>
  <c r="D4576" i="122" s="1"/>
  <c r="D5246" i="122" s="1"/>
  <c r="C1226" i="122"/>
  <c r="C1896" i="122" s="1"/>
  <c r="C2566" i="122" s="1"/>
  <c r="C3236" i="122" s="1"/>
  <c r="C3906" i="122" s="1"/>
  <c r="C4576" i="122" s="1"/>
  <c r="C5246" i="122" s="1"/>
  <c r="B1226" i="122"/>
  <c r="B1896" i="122" s="1"/>
  <c r="B2566" i="122" s="1"/>
  <c r="B3236" i="122" s="1"/>
  <c r="B3906" i="122" s="1"/>
  <c r="B4576" i="122" s="1"/>
  <c r="B5246" i="122" s="1"/>
  <c r="A1226" i="122"/>
  <c r="A1896" i="122" s="1"/>
  <c r="A2566" i="122" s="1"/>
  <c r="A3236" i="122" s="1"/>
  <c r="A3906" i="122" s="1"/>
  <c r="A4576" i="122" s="1"/>
  <c r="A5246" i="122" s="1"/>
  <c r="M555" i="122"/>
  <c r="E1225" i="122"/>
  <c r="E1895" i="122" s="1"/>
  <c r="E2565" i="122" s="1"/>
  <c r="E3235" i="122" s="1"/>
  <c r="E3905" i="122" s="1"/>
  <c r="E4575" i="122" s="1"/>
  <c r="E5245" i="122" s="1"/>
  <c r="D1225" i="122"/>
  <c r="D1895" i="122" s="1"/>
  <c r="D2565" i="122" s="1"/>
  <c r="D3235" i="122" s="1"/>
  <c r="D3905" i="122" s="1"/>
  <c r="D4575" i="122" s="1"/>
  <c r="D5245" i="122" s="1"/>
  <c r="C1225" i="122"/>
  <c r="C1895" i="122" s="1"/>
  <c r="C2565" i="122" s="1"/>
  <c r="C3235" i="122" s="1"/>
  <c r="C3905" i="122" s="1"/>
  <c r="C4575" i="122" s="1"/>
  <c r="C5245" i="122" s="1"/>
  <c r="B1225" i="122"/>
  <c r="B1895" i="122" s="1"/>
  <c r="B2565" i="122" s="1"/>
  <c r="B3235" i="122" s="1"/>
  <c r="B3905" i="122" s="1"/>
  <c r="B4575" i="122" s="1"/>
  <c r="B5245" i="122" s="1"/>
  <c r="A1225" i="122"/>
  <c r="A1895" i="122" s="1"/>
  <c r="A2565" i="122" s="1"/>
  <c r="A3235" i="122" s="1"/>
  <c r="A3905" i="122" s="1"/>
  <c r="A4575" i="122" s="1"/>
  <c r="A5245" i="122" s="1"/>
  <c r="M554" i="122"/>
  <c r="D1224" i="122"/>
  <c r="D1894" i="122" s="1"/>
  <c r="D2564" i="122" s="1"/>
  <c r="D3234" i="122" s="1"/>
  <c r="D3904" i="122" s="1"/>
  <c r="D4574" i="122" s="1"/>
  <c r="D5244" i="122" s="1"/>
  <c r="C1224" i="122"/>
  <c r="C1894" i="122" s="1"/>
  <c r="C2564" i="122" s="1"/>
  <c r="C3234" i="122" s="1"/>
  <c r="C3904" i="122" s="1"/>
  <c r="C4574" i="122" s="1"/>
  <c r="C5244" i="122" s="1"/>
  <c r="B1224" i="122"/>
  <c r="B1894" i="122" s="1"/>
  <c r="B2564" i="122" s="1"/>
  <c r="B3234" i="122" s="1"/>
  <c r="B3904" i="122" s="1"/>
  <c r="B4574" i="122" s="1"/>
  <c r="B5244" i="122" s="1"/>
  <c r="A1224" i="122"/>
  <c r="A1894" i="122" s="1"/>
  <c r="A2564" i="122" s="1"/>
  <c r="A3234" i="122" s="1"/>
  <c r="A3904" i="122" s="1"/>
  <c r="A4574" i="122" s="1"/>
  <c r="A5244" i="122" s="1"/>
  <c r="M553" i="122"/>
  <c r="D1223" i="122"/>
  <c r="D1893" i="122" s="1"/>
  <c r="D2563" i="122" s="1"/>
  <c r="D3233" i="122" s="1"/>
  <c r="D3903" i="122" s="1"/>
  <c r="D4573" i="122" s="1"/>
  <c r="D5243" i="122" s="1"/>
  <c r="C1223" i="122"/>
  <c r="C1893" i="122" s="1"/>
  <c r="C2563" i="122" s="1"/>
  <c r="C3233" i="122" s="1"/>
  <c r="C3903" i="122" s="1"/>
  <c r="C4573" i="122" s="1"/>
  <c r="C5243" i="122" s="1"/>
  <c r="B1223" i="122"/>
  <c r="B1893" i="122" s="1"/>
  <c r="B2563" i="122" s="1"/>
  <c r="B3233" i="122" s="1"/>
  <c r="B3903" i="122" s="1"/>
  <c r="B4573" i="122" s="1"/>
  <c r="B5243" i="122" s="1"/>
  <c r="A1223" i="122"/>
  <c r="A1893" i="122" s="1"/>
  <c r="A2563" i="122" s="1"/>
  <c r="A3233" i="122" s="1"/>
  <c r="A3903" i="122" s="1"/>
  <c r="A4573" i="122" s="1"/>
  <c r="A5243" i="122" s="1"/>
  <c r="M552" i="122"/>
  <c r="D1222" i="122"/>
  <c r="D1892" i="122" s="1"/>
  <c r="D2562" i="122" s="1"/>
  <c r="D3232" i="122" s="1"/>
  <c r="D3902" i="122" s="1"/>
  <c r="D4572" i="122" s="1"/>
  <c r="D5242" i="122" s="1"/>
  <c r="C1222" i="122"/>
  <c r="C1892" i="122" s="1"/>
  <c r="C2562" i="122" s="1"/>
  <c r="C3232" i="122" s="1"/>
  <c r="C3902" i="122" s="1"/>
  <c r="C4572" i="122" s="1"/>
  <c r="C5242" i="122" s="1"/>
  <c r="B1222" i="122"/>
  <c r="B1892" i="122" s="1"/>
  <c r="B2562" i="122" s="1"/>
  <c r="B3232" i="122" s="1"/>
  <c r="B3902" i="122" s="1"/>
  <c r="B4572" i="122" s="1"/>
  <c r="B5242" i="122" s="1"/>
  <c r="A1222" i="122"/>
  <c r="A1892" i="122" s="1"/>
  <c r="A2562" i="122" s="1"/>
  <c r="A3232" i="122" s="1"/>
  <c r="A3902" i="122" s="1"/>
  <c r="A4572" i="122" s="1"/>
  <c r="A5242" i="122" s="1"/>
  <c r="M551" i="122"/>
  <c r="D1221" i="122"/>
  <c r="D1891" i="122" s="1"/>
  <c r="D2561" i="122" s="1"/>
  <c r="D3231" i="122" s="1"/>
  <c r="D3901" i="122" s="1"/>
  <c r="D4571" i="122" s="1"/>
  <c r="D5241" i="122" s="1"/>
  <c r="C1221" i="122"/>
  <c r="C1891" i="122" s="1"/>
  <c r="C2561" i="122" s="1"/>
  <c r="C3231" i="122" s="1"/>
  <c r="C3901" i="122" s="1"/>
  <c r="C4571" i="122" s="1"/>
  <c r="C5241" i="122" s="1"/>
  <c r="B1221" i="122"/>
  <c r="B1891" i="122" s="1"/>
  <c r="B2561" i="122" s="1"/>
  <c r="B3231" i="122" s="1"/>
  <c r="B3901" i="122" s="1"/>
  <c r="B4571" i="122" s="1"/>
  <c r="B5241" i="122" s="1"/>
  <c r="A1221" i="122"/>
  <c r="A1891" i="122" s="1"/>
  <c r="A2561" i="122" s="1"/>
  <c r="A3231" i="122" s="1"/>
  <c r="A3901" i="122" s="1"/>
  <c r="A4571" i="122" s="1"/>
  <c r="A5241" i="122" s="1"/>
  <c r="M550" i="122"/>
  <c r="D1220" i="122"/>
  <c r="D1890" i="122" s="1"/>
  <c r="D2560" i="122" s="1"/>
  <c r="D3230" i="122" s="1"/>
  <c r="D3900" i="122" s="1"/>
  <c r="D4570" i="122" s="1"/>
  <c r="D5240" i="122" s="1"/>
  <c r="C1220" i="122"/>
  <c r="C1890" i="122" s="1"/>
  <c r="C2560" i="122" s="1"/>
  <c r="C3230" i="122" s="1"/>
  <c r="C3900" i="122" s="1"/>
  <c r="C4570" i="122" s="1"/>
  <c r="C5240" i="122" s="1"/>
  <c r="B1220" i="122"/>
  <c r="B1890" i="122" s="1"/>
  <c r="B2560" i="122" s="1"/>
  <c r="B3230" i="122" s="1"/>
  <c r="B3900" i="122" s="1"/>
  <c r="B4570" i="122" s="1"/>
  <c r="B5240" i="122" s="1"/>
  <c r="A1220" i="122"/>
  <c r="A1890" i="122" s="1"/>
  <c r="A2560" i="122" s="1"/>
  <c r="A3230" i="122" s="1"/>
  <c r="A3900" i="122" s="1"/>
  <c r="A4570" i="122" s="1"/>
  <c r="A5240" i="122" s="1"/>
  <c r="M549" i="122"/>
  <c r="E1219" i="122"/>
  <c r="E1889" i="122" s="1"/>
  <c r="E2559" i="122" s="1"/>
  <c r="E3229" i="122" s="1"/>
  <c r="E3899" i="122" s="1"/>
  <c r="E4569" i="122" s="1"/>
  <c r="E5239" i="122" s="1"/>
  <c r="D1219" i="122"/>
  <c r="D1889" i="122" s="1"/>
  <c r="D2559" i="122" s="1"/>
  <c r="D3229" i="122" s="1"/>
  <c r="D3899" i="122" s="1"/>
  <c r="D4569" i="122" s="1"/>
  <c r="D5239" i="122" s="1"/>
  <c r="C1219" i="122"/>
  <c r="C1889" i="122" s="1"/>
  <c r="C2559" i="122" s="1"/>
  <c r="C3229" i="122" s="1"/>
  <c r="C3899" i="122" s="1"/>
  <c r="C4569" i="122" s="1"/>
  <c r="C5239" i="122" s="1"/>
  <c r="B1219" i="122"/>
  <c r="B1889" i="122" s="1"/>
  <c r="B2559" i="122" s="1"/>
  <c r="B3229" i="122" s="1"/>
  <c r="B3899" i="122" s="1"/>
  <c r="B4569" i="122" s="1"/>
  <c r="B5239" i="122" s="1"/>
  <c r="A1219" i="122"/>
  <c r="A1889" i="122" s="1"/>
  <c r="A2559" i="122" s="1"/>
  <c r="A3229" i="122" s="1"/>
  <c r="A3899" i="122" s="1"/>
  <c r="A4569" i="122" s="1"/>
  <c r="A5239" i="122" s="1"/>
  <c r="M548" i="122"/>
  <c r="D1218" i="122"/>
  <c r="D1888" i="122" s="1"/>
  <c r="D2558" i="122" s="1"/>
  <c r="D3228" i="122" s="1"/>
  <c r="D3898" i="122" s="1"/>
  <c r="D4568" i="122" s="1"/>
  <c r="D5238" i="122" s="1"/>
  <c r="C1218" i="122"/>
  <c r="C1888" i="122" s="1"/>
  <c r="C2558" i="122" s="1"/>
  <c r="C3228" i="122" s="1"/>
  <c r="C3898" i="122" s="1"/>
  <c r="C4568" i="122" s="1"/>
  <c r="C5238" i="122" s="1"/>
  <c r="B1218" i="122"/>
  <c r="B1888" i="122" s="1"/>
  <c r="B2558" i="122" s="1"/>
  <c r="B3228" i="122" s="1"/>
  <c r="B3898" i="122" s="1"/>
  <c r="B4568" i="122" s="1"/>
  <c r="B5238" i="122" s="1"/>
  <c r="A1218" i="122"/>
  <c r="A1888" i="122" s="1"/>
  <c r="A2558" i="122" s="1"/>
  <c r="A3228" i="122" s="1"/>
  <c r="A3898" i="122" s="1"/>
  <c r="A4568" i="122" s="1"/>
  <c r="A5238" i="122" s="1"/>
  <c r="M547" i="122"/>
  <c r="D1217" i="122"/>
  <c r="D1887" i="122" s="1"/>
  <c r="D2557" i="122" s="1"/>
  <c r="D3227" i="122" s="1"/>
  <c r="D3897" i="122" s="1"/>
  <c r="D4567" i="122" s="1"/>
  <c r="D5237" i="122" s="1"/>
  <c r="C1217" i="122"/>
  <c r="C1887" i="122" s="1"/>
  <c r="C2557" i="122" s="1"/>
  <c r="C3227" i="122" s="1"/>
  <c r="C3897" i="122" s="1"/>
  <c r="C4567" i="122" s="1"/>
  <c r="C5237" i="122" s="1"/>
  <c r="B1217" i="122"/>
  <c r="B1887" i="122" s="1"/>
  <c r="B2557" i="122" s="1"/>
  <c r="B3227" i="122" s="1"/>
  <c r="B3897" i="122" s="1"/>
  <c r="B4567" i="122" s="1"/>
  <c r="B5237" i="122" s="1"/>
  <c r="A1217" i="122"/>
  <c r="A1887" i="122" s="1"/>
  <c r="A2557" i="122" s="1"/>
  <c r="A3227" i="122" s="1"/>
  <c r="A3897" i="122" s="1"/>
  <c r="A4567" i="122" s="1"/>
  <c r="A5237" i="122" s="1"/>
  <c r="M546" i="122"/>
  <c r="E1216" i="122"/>
  <c r="E1886" i="122" s="1"/>
  <c r="E2556" i="122" s="1"/>
  <c r="E3226" i="122" s="1"/>
  <c r="E3896" i="122" s="1"/>
  <c r="E4566" i="122" s="1"/>
  <c r="E5236" i="122" s="1"/>
  <c r="D1216" i="122"/>
  <c r="D1886" i="122" s="1"/>
  <c r="D2556" i="122" s="1"/>
  <c r="D3226" i="122" s="1"/>
  <c r="D3896" i="122" s="1"/>
  <c r="D4566" i="122" s="1"/>
  <c r="D5236" i="122" s="1"/>
  <c r="C1216" i="122"/>
  <c r="C1886" i="122" s="1"/>
  <c r="C2556" i="122" s="1"/>
  <c r="C3226" i="122" s="1"/>
  <c r="C3896" i="122" s="1"/>
  <c r="C4566" i="122" s="1"/>
  <c r="C5236" i="122" s="1"/>
  <c r="B1216" i="122"/>
  <c r="B1886" i="122" s="1"/>
  <c r="B2556" i="122" s="1"/>
  <c r="B3226" i="122" s="1"/>
  <c r="B3896" i="122" s="1"/>
  <c r="B4566" i="122" s="1"/>
  <c r="B5236" i="122" s="1"/>
  <c r="A1216" i="122"/>
  <c r="A1886" i="122" s="1"/>
  <c r="A2556" i="122" s="1"/>
  <c r="A3226" i="122" s="1"/>
  <c r="A3896" i="122" s="1"/>
  <c r="A4566" i="122" s="1"/>
  <c r="A5236" i="122" s="1"/>
  <c r="M545" i="122"/>
  <c r="D1215" i="122"/>
  <c r="D1885" i="122" s="1"/>
  <c r="D2555" i="122" s="1"/>
  <c r="D3225" i="122" s="1"/>
  <c r="D3895" i="122" s="1"/>
  <c r="D4565" i="122" s="1"/>
  <c r="D5235" i="122" s="1"/>
  <c r="C1215" i="122"/>
  <c r="C1885" i="122" s="1"/>
  <c r="C2555" i="122" s="1"/>
  <c r="C3225" i="122" s="1"/>
  <c r="C3895" i="122" s="1"/>
  <c r="C4565" i="122" s="1"/>
  <c r="C5235" i="122" s="1"/>
  <c r="B1215" i="122"/>
  <c r="B1885" i="122" s="1"/>
  <c r="B2555" i="122" s="1"/>
  <c r="B3225" i="122" s="1"/>
  <c r="B3895" i="122" s="1"/>
  <c r="B4565" i="122" s="1"/>
  <c r="B5235" i="122" s="1"/>
  <c r="A1215" i="122"/>
  <c r="A1885" i="122" s="1"/>
  <c r="A2555" i="122" s="1"/>
  <c r="A3225" i="122" s="1"/>
  <c r="A3895" i="122" s="1"/>
  <c r="A4565" i="122" s="1"/>
  <c r="A5235" i="122" s="1"/>
  <c r="M544" i="122"/>
  <c r="D1214" i="122"/>
  <c r="D1884" i="122" s="1"/>
  <c r="D2554" i="122" s="1"/>
  <c r="D3224" i="122" s="1"/>
  <c r="D3894" i="122" s="1"/>
  <c r="D4564" i="122" s="1"/>
  <c r="D5234" i="122" s="1"/>
  <c r="C1214" i="122"/>
  <c r="C1884" i="122" s="1"/>
  <c r="C2554" i="122" s="1"/>
  <c r="C3224" i="122" s="1"/>
  <c r="C3894" i="122" s="1"/>
  <c r="C4564" i="122" s="1"/>
  <c r="C5234" i="122" s="1"/>
  <c r="B1214" i="122"/>
  <c r="B1884" i="122" s="1"/>
  <c r="B2554" i="122" s="1"/>
  <c r="B3224" i="122" s="1"/>
  <c r="B3894" i="122" s="1"/>
  <c r="B4564" i="122" s="1"/>
  <c r="B5234" i="122" s="1"/>
  <c r="A1214" i="122"/>
  <c r="A1884" i="122" s="1"/>
  <c r="A2554" i="122" s="1"/>
  <c r="A3224" i="122" s="1"/>
  <c r="A3894" i="122" s="1"/>
  <c r="A4564" i="122" s="1"/>
  <c r="A5234" i="122" s="1"/>
  <c r="M543" i="122"/>
  <c r="D1213" i="122"/>
  <c r="D1883" i="122" s="1"/>
  <c r="D2553" i="122" s="1"/>
  <c r="D3223" i="122" s="1"/>
  <c r="D3893" i="122" s="1"/>
  <c r="D4563" i="122" s="1"/>
  <c r="D5233" i="122" s="1"/>
  <c r="C1213" i="122"/>
  <c r="C1883" i="122" s="1"/>
  <c r="C2553" i="122" s="1"/>
  <c r="C3223" i="122" s="1"/>
  <c r="C3893" i="122" s="1"/>
  <c r="C4563" i="122" s="1"/>
  <c r="C5233" i="122" s="1"/>
  <c r="B1213" i="122"/>
  <c r="B1883" i="122" s="1"/>
  <c r="B2553" i="122" s="1"/>
  <c r="B3223" i="122" s="1"/>
  <c r="B3893" i="122" s="1"/>
  <c r="B4563" i="122" s="1"/>
  <c r="B5233" i="122" s="1"/>
  <c r="A1213" i="122"/>
  <c r="A1883" i="122" s="1"/>
  <c r="A2553" i="122" s="1"/>
  <c r="A3223" i="122" s="1"/>
  <c r="A3893" i="122" s="1"/>
  <c r="A4563" i="122" s="1"/>
  <c r="A5233" i="122" s="1"/>
  <c r="M542" i="122"/>
  <c r="D1212" i="122"/>
  <c r="D1882" i="122" s="1"/>
  <c r="D2552" i="122" s="1"/>
  <c r="D3222" i="122" s="1"/>
  <c r="D3892" i="122" s="1"/>
  <c r="D4562" i="122" s="1"/>
  <c r="D5232" i="122" s="1"/>
  <c r="C1212" i="122"/>
  <c r="C1882" i="122" s="1"/>
  <c r="C2552" i="122" s="1"/>
  <c r="C3222" i="122" s="1"/>
  <c r="C3892" i="122" s="1"/>
  <c r="C4562" i="122" s="1"/>
  <c r="C5232" i="122" s="1"/>
  <c r="B1212" i="122"/>
  <c r="B1882" i="122" s="1"/>
  <c r="B2552" i="122" s="1"/>
  <c r="B3222" i="122" s="1"/>
  <c r="B3892" i="122" s="1"/>
  <c r="B4562" i="122" s="1"/>
  <c r="B5232" i="122" s="1"/>
  <c r="A1212" i="122"/>
  <c r="A1882" i="122" s="1"/>
  <c r="A2552" i="122" s="1"/>
  <c r="A3222" i="122" s="1"/>
  <c r="A3892" i="122" s="1"/>
  <c r="A4562" i="122" s="1"/>
  <c r="A5232" i="122" s="1"/>
  <c r="M541" i="122"/>
  <c r="E1211" i="122"/>
  <c r="E1881" i="122" s="1"/>
  <c r="E2551" i="122" s="1"/>
  <c r="E3221" i="122" s="1"/>
  <c r="E3891" i="122" s="1"/>
  <c r="E4561" i="122" s="1"/>
  <c r="E5231" i="122" s="1"/>
  <c r="D1211" i="122"/>
  <c r="D1881" i="122" s="1"/>
  <c r="D2551" i="122" s="1"/>
  <c r="D3221" i="122" s="1"/>
  <c r="D3891" i="122" s="1"/>
  <c r="D4561" i="122" s="1"/>
  <c r="D5231" i="122" s="1"/>
  <c r="C1211" i="122"/>
  <c r="C1881" i="122" s="1"/>
  <c r="C2551" i="122" s="1"/>
  <c r="C3221" i="122" s="1"/>
  <c r="C3891" i="122" s="1"/>
  <c r="C4561" i="122" s="1"/>
  <c r="C5231" i="122" s="1"/>
  <c r="B1211" i="122"/>
  <c r="B1881" i="122" s="1"/>
  <c r="B2551" i="122" s="1"/>
  <c r="B3221" i="122" s="1"/>
  <c r="B3891" i="122" s="1"/>
  <c r="B4561" i="122" s="1"/>
  <c r="B5231" i="122" s="1"/>
  <c r="A1211" i="122"/>
  <c r="A1881" i="122" s="1"/>
  <c r="A2551" i="122" s="1"/>
  <c r="A3221" i="122" s="1"/>
  <c r="A3891" i="122" s="1"/>
  <c r="A4561" i="122" s="1"/>
  <c r="A5231" i="122" s="1"/>
  <c r="M540" i="122"/>
  <c r="D1210" i="122"/>
  <c r="D1880" i="122" s="1"/>
  <c r="D2550" i="122" s="1"/>
  <c r="D3220" i="122" s="1"/>
  <c r="D3890" i="122" s="1"/>
  <c r="D4560" i="122" s="1"/>
  <c r="D5230" i="122" s="1"/>
  <c r="C1210" i="122"/>
  <c r="C1880" i="122" s="1"/>
  <c r="C2550" i="122" s="1"/>
  <c r="C3220" i="122" s="1"/>
  <c r="C3890" i="122" s="1"/>
  <c r="C4560" i="122" s="1"/>
  <c r="C5230" i="122" s="1"/>
  <c r="B1210" i="122"/>
  <c r="B1880" i="122" s="1"/>
  <c r="B2550" i="122" s="1"/>
  <c r="B3220" i="122" s="1"/>
  <c r="B3890" i="122" s="1"/>
  <c r="B4560" i="122" s="1"/>
  <c r="B5230" i="122" s="1"/>
  <c r="A1210" i="122"/>
  <c r="A1880" i="122" s="1"/>
  <c r="A2550" i="122" s="1"/>
  <c r="A3220" i="122" s="1"/>
  <c r="A3890" i="122" s="1"/>
  <c r="A4560" i="122" s="1"/>
  <c r="A5230" i="122" s="1"/>
  <c r="M539" i="122"/>
  <c r="D1209" i="122"/>
  <c r="D1879" i="122" s="1"/>
  <c r="D2549" i="122" s="1"/>
  <c r="D3219" i="122" s="1"/>
  <c r="D3889" i="122" s="1"/>
  <c r="D4559" i="122" s="1"/>
  <c r="D5229" i="122" s="1"/>
  <c r="C1209" i="122"/>
  <c r="C1879" i="122" s="1"/>
  <c r="C2549" i="122" s="1"/>
  <c r="C3219" i="122" s="1"/>
  <c r="C3889" i="122" s="1"/>
  <c r="C4559" i="122" s="1"/>
  <c r="C5229" i="122" s="1"/>
  <c r="B1209" i="122"/>
  <c r="B1879" i="122" s="1"/>
  <c r="B2549" i="122" s="1"/>
  <c r="B3219" i="122" s="1"/>
  <c r="B3889" i="122" s="1"/>
  <c r="B4559" i="122" s="1"/>
  <c r="B5229" i="122" s="1"/>
  <c r="A1209" i="122"/>
  <c r="A1879" i="122" s="1"/>
  <c r="A2549" i="122" s="1"/>
  <c r="A3219" i="122" s="1"/>
  <c r="A3889" i="122" s="1"/>
  <c r="A4559" i="122" s="1"/>
  <c r="A5229" i="122" s="1"/>
  <c r="M538" i="122"/>
  <c r="D1208" i="122"/>
  <c r="D1878" i="122" s="1"/>
  <c r="D2548" i="122" s="1"/>
  <c r="D3218" i="122" s="1"/>
  <c r="D3888" i="122" s="1"/>
  <c r="D4558" i="122" s="1"/>
  <c r="D5228" i="122" s="1"/>
  <c r="C1208" i="122"/>
  <c r="C1878" i="122" s="1"/>
  <c r="C2548" i="122" s="1"/>
  <c r="C3218" i="122" s="1"/>
  <c r="C3888" i="122" s="1"/>
  <c r="C4558" i="122" s="1"/>
  <c r="C5228" i="122" s="1"/>
  <c r="B1208" i="122"/>
  <c r="B1878" i="122" s="1"/>
  <c r="B2548" i="122" s="1"/>
  <c r="B3218" i="122" s="1"/>
  <c r="B3888" i="122" s="1"/>
  <c r="B4558" i="122" s="1"/>
  <c r="B5228" i="122" s="1"/>
  <c r="A1208" i="122"/>
  <c r="A1878" i="122" s="1"/>
  <c r="A2548" i="122" s="1"/>
  <c r="A3218" i="122" s="1"/>
  <c r="A3888" i="122" s="1"/>
  <c r="A4558" i="122" s="1"/>
  <c r="A5228" i="122" s="1"/>
  <c r="M537" i="122"/>
  <c r="E1207" i="122"/>
  <c r="E1877" i="122" s="1"/>
  <c r="E2547" i="122" s="1"/>
  <c r="E3217" i="122" s="1"/>
  <c r="E3887" i="122" s="1"/>
  <c r="E4557" i="122" s="1"/>
  <c r="E5227" i="122" s="1"/>
  <c r="D1207" i="122"/>
  <c r="D1877" i="122" s="1"/>
  <c r="D2547" i="122" s="1"/>
  <c r="D3217" i="122" s="1"/>
  <c r="D3887" i="122" s="1"/>
  <c r="D4557" i="122" s="1"/>
  <c r="D5227" i="122" s="1"/>
  <c r="C1207" i="122"/>
  <c r="C1877" i="122" s="1"/>
  <c r="C2547" i="122" s="1"/>
  <c r="C3217" i="122" s="1"/>
  <c r="C3887" i="122" s="1"/>
  <c r="C4557" i="122" s="1"/>
  <c r="C5227" i="122" s="1"/>
  <c r="B1207" i="122"/>
  <c r="B1877" i="122" s="1"/>
  <c r="B2547" i="122" s="1"/>
  <c r="B3217" i="122" s="1"/>
  <c r="B3887" i="122" s="1"/>
  <c r="B4557" i="122" s="1"/>
  <c r="B5227" i="122" s="1"/>
  <c r="A1207" i="122"/>
  <c r="A1877" i="122" s="1"/>
  <c r="A2547" i="122" s="1"/>
  <c r="A3217" i="122" s="1"/>
  <c r="A3887" i="122" s="1"/>
  <c r="A4557" i="122" s="1"/>
  <c r="A5227" i="122" s="1"/>
  <c r="M536" i="122"/>
  <c r="E1206" i="122"/>
  <c r="E1876" i="122" s="1"/>
  <c r="E2546" i="122" s="1"/>
  <c r="E3216" i="122" s="1"/>
  <c r="E3886" i="122" s="1"/>
  <c r="E4556" i="122" s="1"/>
  <c r="E5226" i="122" s="1"/>
  <c r="D1206" i="122"/>
  <c r="D1876" i="122" s="1"/>
  <c r="D2546" i="122" s="1"/>
  <c r="D3216" i="122" s="1"/>
  <c r="D3886" i="122" s="1"/>
  <c r="D4556" i="122" s="1"/>
  <c r="D5226" i="122" s="1"/>
  <c r="C1206" i="122"/>
  <c r="C1876" i="122" s="1"/>
  <c r="C2546" i="122" s="1"/>
  <c r="C3216" i="122" s="1"/>
  <c r="C3886" i="122" s="1"/>
  <c r="C4556" i="122" s="1"/>
  <c r="C5226" i="122" s="1"/>
  <c r="B1206" i="122"/>
  <c r="B1876" i="122" s="1"/>
  <c r="B2546" i="122" s="1"/>
  <c r="B3216" i="122" s="1"/>
  <c r="B3886" i="122" s="1"/>
  <c r="B4556" i="122" s="1"/>
  <c r="B5226" i="122" s="1"/>
  <c r="A1206" i="122"/>
  <c r="A1876" i="122" s="1"/>
  <c r="A2546" i="122" s="1"/>
  <c r="A3216" i="122" s="1"/>
  <c r="A3886" i="122" s="1"/>
  <c r="A4556" i="122" s="1"/>
  <c r="A5226" i="122" s="1"/>
  <c r="M535" i="122"/>
  <c r="D1205" i="122"/>
  <c r="D1875" i="122" s="1"/>
  <c r="D2545" i="122" s="1"/>
  <c r="D3215" i="122" s="1"/>
  <c r="D3885" i="122" s="1"/>
  <c r="D4555" i="122" s="1"/>
  <c r="D5225" i="122" s="1"/>
  <c r="C1205" i="122"/>
  <c r="C1875" i="122" s="1"/>
  <c r="C2545" i="122" s="1"/>
  <c r="C3215" i="122" s="1"/>
  <c r="C3885" i="122" s="1"/>
  <c r="C4555" i="122" s="1"/>
  <c r="C5225" i="122" s="1"/>
  <c r="B1205" i="122"/>
  <c r="B1875" i="122" s="1"/>
  <c r="B2545" i="122" s="1"/>
  <c r="B3215" i="122" s="1"/>
  <c r="B3885" i="122" s="1"/>
  <c r="B4555" i="122" s="1"/>
  <c r="B5225" i="122" s="1"/>
  <c r="A1205" i="122"/>
  <c r="A1875" i="122" s="1"/>
  <c r="A2545" i="122" s="1"/>
  <c r="A3215" i="122" s="1"/>
  <c r="A3885" i="122" s="1"/>
  <c r="A4555" i="122" s="1"/>
  <c r="A5225" i="122" s="1"/>
  <c r="M534" i="122"/>
  <c r="E1204" i="122"/>
  <c r="E1874" i="122" s="1"/>
  <c r="E2544" i="122" s="1"/>
  <c r="E3214" i="122" s="1"/>
  <c r="E3884" i="122" s="1"/>
  <c r="E4554" i="122" s="1"/>
  <c r="E5224" i="122" s="1"/>
  <c r="D1204" i="122"/>
  <c r="D1874" i="122" s="1"/>
  <c r="D2544" i="122" s="1"/>
  <c r="D3214" i="122" s="1"/>
  <c r="D3884" i="122" s="1"/>
  <c r="D4554" i="122" s="1"/>
  <c r="D5224" i="122" s="1"/>
  <c r="C1204" i="122"/>
  <c r="C1874" i="122" s="1"/>
  <c r="C2544" i="122" s="1"/>
  <c r="C3214" i="122" s="1"/>
  <c r="C3884" i="122" s="1"/>
  <c r="C4554" i="122" s="1"/>
  <c r="C5224" i="122" s="1"/>
  <c r="B1204" i="122"/>
  <c r="B1874" i="122" s="1"/>
  <c r="B2544" i="122" s="1"/>
  <c r="B3214" i="122" s="1"/>
  <c r="B3884" i="122" s="1"/>
  <c r="B4554" i="122" s="1"/>
  <c r="B5224" i="122" s="1"/>
  <c r="A1204" i="122"/>
  <c r="A1874" i="122" s="1"/>
  <c r="A2544" i="122" s="1"/>
  <c r="A3214" i="122" s="1"/>
  <c r="A3884" i="122" s="1"/>
  <c r="A4554" i="122" s="1"/>
  <c r="A5224" i="122" s="1"/>
  <c r="M533" i="122"/>
  <c r="E1203" i="122"/>
  <c r="E1873" i="122" s="1"/>
  <c r="E2543" i="122" s="1"/>
  <c r="E3213" i="122" s="1"/>
  <c r="E3883" i="122" s="1"/>
  <c r="E4553" i="122" s="1"/>
  <c r="E5223" i="122" s="1"/>
  <c r="D1203" i="122"/>
  <c r="D1873" i="122" s="1"/>
  <c r="D2543" i="122" s="1"/>
  <c r="D3213" i="122" s="1"/>
  <c r="D3883" i="122" s="1"/>
  <c r="D4553" i="122" s="1"/>
  <c r="D5223" i="122" s="1"/>
  <c r="C1203" i="122"/>
  <c r="C1873" i="122" s="1"/>
  <c r="C2543" i="122" s="1"/>
  <c r="C3213" i="122" s="1"/>
  <c r="C3883" i="122" s="1"/>
  <c r="C4553" i="122" s="1"/>
  <c r="C5223" i="122" s="1"/>
  <c r="B1203" i="122"/>
  <c r="B1873" i="122" s="1"/>
  <c r="B2543" i="122" s="1"/>
  <c r="B3213" i="122" s="1"/>
  <c r="B3883" i="122" s="1"/>
  <c r="B4553" i="122" s="1"/>
  <c r="B5223" i="122" s="1"/>
  <c r="A1203" i="122"/>
  <c r="A1873" i="122" s="1"/>
  <c r="A2543" i="122" s="1"/>
  <c r="A3213" i="122" s="1"/>
  <c r="A3883" i="122" s="1"/>
  <c r="A4553" i="122" s="1"/>
  <c r="A5223" i="122" s="1"/>
  <c r="M532" i="122"/>
  <c r="E1202" i="122"/>
  <c r="E1872" i="122" s="1"/>
  <c r="E2542" i="122" s="1"/>
  <c r="E3212" i="122" s="1"/>
  <c r="E3882" i="122" s="1"/>
  <c r="E4552" i="122" s="1"/>
  <c r="E5222" i="122" s="1"/>
  <c r="D1202" i="122"/>
  <c r="D1872" i="122" s="1"/>
  <c r="D2542" i="122" s="1"/>
  <c r="D3212" i="122" s="1"/>
  <c r="D3882" i="122" s="1"/>
  <c r="D4552" i="122" s="1"/>
  <c r="D5222" i="122" s="1"/>
  <c r="C1202" i="122"/>
  <c r="C1872" i="122" s="1"/>
  <c r="C2542" i="122" s="1"/>
  <c r="C3212" i="122" s="1"/>
  <c r="C3882" i="122" s="1"/>
  <c r="C4552" i="122" s="1"/>
  <c r="C5222" i="122" s="1"/>
  <c r="B1202" i="122"/>
  <c r="B1872" i="122" s="1"/>
  <c r="B2542" i="122" s="1"/>
  <c r="B3212" i="122" s="1"/>
  <c r="B3882" i="122" s="1"/>
  <c r="B4552" i="122" s="1"/>
  <c r="B5222" i="122" s="1"/>
  <c r="A1202" i="122"/>
  <c r="A1872" i="122" s="1"/>
  <c r="A2542" i="122" s="1"/>
  <c r="A3212" i="122" s="1"/>
  <c r="A3882" i="122" s="1"/>
  <c r="A4552" i="122" s="1"/>
  <c r="A5222" i="122" s="1"/>
  <c r="M531" i="122"/>
  <c r="D1201" i="122"/>
  <c r="D1871" i="122" s="1"/>
  <c r="D2541" i="122" s="1"/>
  <c r="D3211" i="122" s="1"/>
  <c r="D3881" i="122" s="1"/>
  <c r="D4551" i="122" s="1"/>
  <c r="D5221" i="122" s="1"/>
  <c r="C1201" i="122"/>
  <c r="C1871" i="122" s="1"/>
  <c r="C2541" i="122" s="1"/>
  <c r="C3211" i="122" s="1"/>
  <c r="C3881" i="122" s="1"/>
  <c r="C4551" i="122" s="1"/>
  <c r="C5221" i="122" s="1"/>
  <c r="B1201" i="122"/>
  <c r="B1871" i="122" s="1"/>
  <c r="B2541" i="122" s="1"/>
  <c r="B3211" i="122" s="1"/>
  <c r="B3881" i="122" s="1"/>
  <c r="B4551" i="122" s="1"/>
  <c r="B5221" i="122" s="1"/>
  <c r="A1201" i="122"/>
  <c r="A1871" i="122" s="1"/>
  <c r="A2541" i="122" s="1"/>
  <c r="A3211" i="122" s="1"/>
  <c r="A3881" i="122" s="1"/>
  <c r="A4551" i="122" s="1"/>
  <c r="A5221" i="122" s="1"/>
  <c r="M530" i="122"/>
  <c r="E1200" i="122"/>
  <c r="E1870" i="122" s="1"/>
  <c r="E2540" i="122" s="1"/>
  <c r="E3210" i="122" s="1"/>
  <c r="E3880" i="122" s="1"/>
  <c r="E4550" i="122" s="1"/>
  <c r="E5220" i="122" s="1"/>
  <c r="D1200" i="122"/>
  <c r="D1870" i="122" s="1"/>
  <c r="D2540" i="122" s="1"/>
  <c r="D3210" i="122" s="1"/>
  <c r="D3880" i="122" s="1"/>
  <c r="D4550" i="122" s="1"/>
  <c r="D5220" i="122" s="1"/>
  <c r="C1200" i="122"/>
  <c r="C1870" i="122" s="1"/>
  <c r="C2540" i="122" s="1"/>
  <c r="C3210" i="122" s="1"/>
  <c r="C3880" i="122" s="1"/>
  <c r="C4550" i="122" s="1"/>
  <c r="C5220" i="122" s="1"/>
  <c r="A1200" i="122"/>
  <c r="A1870" i="122" s="1"/>
  <c r="A2540" i="122" s="1"/>
  <c r="A3210" i="122" s="1"/>
  <c r="A3880" i="122" s="1"/>
  <c r="A4550" i="122" s="1"/>
  <c r="A5220" i="122" s="1"/>
  <c r="M529" i="122"/>
  <c r="D1199" i="122"/>
  <c r="D1869" i="122" s="1"/>
  <c r="D2539" i="122" s="1"/>
  <c r="D3209" i="122" s="1"/>
  <c r="D3879" i="122" s="1"/>
  <c r="D4549" i="122" s="1"/>
  <c r="D5219" i="122" s="1"/>
  <c r="C1199" i="122"/>
  <c r="C1869" i="122" s="1"/>
  <c r="C2539" i="122" s="1"/>
  <c r="C3209" i="122" s="1"/>
  <c r="C3879" i="122" s="1"/>
  <c r="C4549" i="122" s="1"/>
  <c r="C5219" i="122" s="1"/>
  <c r="B1199" i="122"/>
  <c r="B1869" i="122" s="1"/>
  <c r="B2539" i="122" s="1"/>
  <c r="B3209" i="122" s="1"/>
  <c r="B3879" i="122" s="1"/>
  <c r="B4549" i="122" s="1"/>
  <c r="B5219" i="122" s="1"/>
  <c r="A1199" i="122"/>
  <c r="A1869" i="122" s="1"/>
  <c r="A2539" i="122" s="1"/>
  <c r="A3209" i="122" s="1"/>
  <c r="A3879" i="122" s="1"/>
  <c r="A4549" i="122" s="1"/>
  <c r="A5219" i="122" s="1"/>
  <c r="M528" i="122"/>
  <c r="D1198" i="122"/>
  <c r="D1868" i="122" s="1"/>
  <c r="D2538" i="122" s="1"/>
  <c r="D3208" i="122" s="1"/>
  <c r="D3878" i="122" s="1"/>
  <c r="D4548" i="122" s="1"/>
  <c r="D5218" i="122" s="1"/>
  <c r="C1198" i="122"/>
  <c r="C1868" i="122" s="1"/>
  <c r="C2538" i="122" s="1"/>
  <c r="C3208" i="122" s="1"/>
  <c r="C3878" i="122" s="1"/>
  <c r="C4548" i="122" s="1"/>
  <c r="C5218" i="122" s="1"/>
  <c r="B1198" i="122"/>
  <c r="B1868" i="122" s="1"/>
  <c r="B2538" i="122" s="1"/>
  <c r="B3208" i="122" s="1"/>
  <c r="B3878" i="122" s="1"/>
  <c r="B4548" i="122" s="1"/>
  <c r="B5218" i="122" s="1"/>
  <c r="A1198" i="122"/>
  <c r="A1868" i="122" s="1"/>
  <c r="A2538" i="122" s="1"/>
  <c r="A3208" i="122" s="1"/>
  <c r="A3878" i="122" s="1"/>
  <c r="A4548" i="122" s="1"/>
  <c r="A5218" i="122" s="1"/>
  <c r="M527" i="122"/>
  <c r="D1197" i="122"/>
  <c r="D1867" i="122" s="1"/>
  <c r="D2537" i="122" s="1"/>
  <c r="D3207" i="122" s="1"/>
  <c r="D3877" i="122" s="1"/>
  <c r="D4547" i="122" s="1"/>
  <c r="D5217" i="122" s="1"/>
  <c r="C1197" i="122"/>
  <c r="C1867" i="122" s="1"/>
  <c r="C2537" i="122" s="1"/>
  <c r="C3207" i="122" s="1"/>
  <c r="C3877" i="122" s="1"/>
  <c r="C4547" i="122" s="1"/>
  <c r="C5217" i="122" s="1"/>
  <c r="B1197" i="122"/>
  <c r="B1867" i="122" s="1"/>
  <c r="B2537" i="122" s="1"/>
  <c r="B3207" i="122" s="1"/>
  <c r="B3877" i="122" s="1"/>
  <c r="B4547" i="122" s="1"/>
  <c r="B5217" i="122" s="1"/>
  <c r="A1197" i="122"/>
  <c r="A1867" i="122" s="1"/>
  <c r="A2537" i="122" s="1"/>
  <c r="A3207" i="122" s="1"/>
  <c r="A3877" i="122" s="1"/>
  <c r="A4547" i="122" s="1"/>
  <c r="A5217" i="122" s="1"/>
  <c r="M526" i="122"/>
  <c r="D1196" i="122"/>
  <c r="D1866" i="122" s="1"/>
  <c r="D2536" i="122" s="1"/>
  <c r="D3206" i="122" s="1"/>
  <c r="D3876" i="122" s="1"/>
  <c r="D4546" i="122" s="1"/>
  <c r="D5216" i="122" s="1"/>
  <c r="C1196" i="122"/>
  <c r="C1866" i="122" s="1"/>
  <c r="C2536" i="122" s="1"/>
  <c r="C3206" i="122" s="1"/>
  <c r="C3876" i="122" s="1"/>
  <c r="C4546" i="122" s="1"/>
  <c r="C5216" i="122" s="1"/>
  <c r="B1196" i="122"/>
  <c r="B1866" i="122" s="1"/>
  <c r="B2536" i="122" s="1"/>
  <c r="B3206" i="122" s="1"/>
  <c r="B3876" i="122" s="1"/>
  <c r="B4546" i="122" s="1"/>
  <c r="B5216" i="122" s="1"/>
  <c r="A1196" i="122"/>
  <c r="A1866" i="122" s="1"/>
  <c r="A2536" i="122" s="1"/>
  <c r="A3206" i="122" s="1"/>
  <c r="A3876" i="122" s="1"/>
  <c r="A4546" i="122" s="1"/>
  <c r="A5216" i="122" s="1"/>
  <c r="M525" i="122"/>
  <c r="E1195" i="122"/>
  <c r="E1865" i="122" s="1"/>
  <c r="E2535" i="122" s="1"/>
  <c r="E3205" i="122" s="1"/>
  <c r="E3875" i="122" s="1"/>
  <c r="E4545" i="122" s="1"/>
  <c r="E5215" i="122" s="1"/>
  <c r="D1195" i="122"/>
  <c r="D1865" i="122" s="1"/>
  <c r="D2535" i="122" s="1"/>
  <c r="D3205" i="122" s="1"/>
  <c r="D3875" i="122" s="1"/>
  <c r="D4545" i="122" s="1"/>
  <c r="D5215" i="122" s="1"/>
  <c r="C1195" i="122"/>
  <c r="C1865" i="122" s="1"/>
  <c r="C2535" i="122" s="1"/>
  <c r="C3205" i="122" s="1"/>
  <c r="C3875" i="122" s="1"/>
  <c r="C4545" i="122" s="1"/>
  <c r="C5215" i="122" s="1"/>
  <c r="B1195" i="122"/>
  <c r="B1865" i="122" s="1"/>
  <c r="B2535" i="122" s="1"/>
  <c r="B3205" i="122" s="1"/>
  <c r="B3875" i="122" s="1"/>
  <c r="B4545" i="122" s="1"/>
  <c r="B5215" i="122" s="1"/>
  <c r="A1195" i="122"/>
  <c r="A1865" i="122" s="1"/>
  <c r="A2535" i="122" s="1"/>
  <c r="A3205" i="122" s="1"/>
  <c r="A3875" i="122" s="1"/>
  <c r="A4545" i="122" s="1"/>
  <c r="A5215" i="122" s="1"/>
  <c r="M524" i="122"/>
  <c r="D1194" i="122"/>
  <c r="D1864" i="122" s="1"/>
  <c r="D2534" i="122" s="1"/>
  <c r="D3204" i="122" s="1"/>
  <c r="D3874" i="122" s="1"/>
  <c r="D4544" i="122" s="1"/>
  <c r="D5214" i="122" s="1"/>
  <c r="C1194" i="122"/>
  <c r="C1864" i="122" s="1"/>
  <c r="C2534" i="122" s="1"/>
  <c r="C3204" i="122" s="1"/>
  <c r="C3874" i="122" s="1"/>
  <c r="C4544" i="122" s="1"/>
  <c r="C5214" i="122" s="1"/>
  <c r="B1194" i="122"/>
  <c r="B1864" i="122" s="1"/>
  <c r="B2534" i="122" s="1"/>
  <c r="B3204" i="122" s="1"/>
  <c r="B3874" i="122" s="1"/>
  <c r="B4544" i="122" s="1"/>
  <c r="B5214" i="122" s="1"/>
  <c r="A1194" i="122"/>
  <c r="A1864" i="122" s="1"/>
  <c r="A2534" i="122" s="1"/>
  <c r="A3204" i="122" s="1"/>
  <c r="A3874" i="122" s="1"/>
  <c r="A4544" i="122" s="1"/>
  <c r="A5214" i="122" s="1"/>
  <c r="M523" i="122"/>
  <c r="E1193" i="122"/>
  <c r="E1863" i="122" s="1"/>
  <c r="E2533" i="122" s="1"/>
  <c r="E3203" i="122" s="1"/>
  <c r="E3873" i="122" s="1"/>
  <c r="E4543" i="122" s="1"/>
  <c r="E5213" i="122" s="1"/>
  <c r="D1193" i="122"/>
  <c r="D1863" i="122" s="1"/>
  <c r="D2533" i="122" s="1"/>
  <c r="D3203" i="122" s="1"/>
  <c r="D3873" i="122" s="1"/>
  <c r="D4543" i="122" s="1"/>
  <c r="D5213" i="122" s="1"/>
  <c r="C1193" i="122"/>
  <c r="C1863" i="122" s="1"/>
  <c r="C2533" i="122" s="1"/>
  <c r="C3203" i="122" s="1"/>
  <c r="C3873" i="122" s="1"/>
  <c r="C4543" i="122" s="1"/>
  <c r="C5213" i="122" s="1"/>
  <c r="B1193" i="122"/>
  <c r="B1863" i="122" s="1"/>
  <c r="B2533" i="122" s="1"/>
  <c r="B3203" i="122" s="1"/>
  <c r="B3873" i="122" s="1"/>
  <c r="B4543" i="122" s="1"/>
  <c r="B5213" i="122" s="1"/>
  <c r="A1193" i="122"/>
  <c r="A1863" i="122" s="1"/>
  <c r="A2533" i="122" s="1"/>
  <c r="A3203" i="122" s="1"/>
  <c r="A3873" i="122" s="1"/>
  <c r="A4543" i="122" s="1"/>
  <c r="A5213" i="122" s="1"/>
  <c r="M522" i="122"/>
  <c r="D1192" i="122"/>
  <c r="D1862" i="122" s="1"/>
  <c r="D2532" i="122" s="1"/>
  <c r="D3202" i="122" s="1"/>
  <c r="D3872" i="122" s="1"/>
  <c r="D4542" i="122" s="1"/>
  <c r="D5212" i="122" s="1"/>
  <c r="C1192" i="122"/>
  <c r="C1862" i="122" s="1"/>
  <c r="C2532" i="122" s="1"/>
  <c r="C3202" i="122" s="1"/>
  <c r="C3872" i="122" s="1"/>
  <c r="C4542" i="122" s="1"/>
  <c r="C5212" i="122" s="1"/>
  <c r="A1192" i="122"/>
  <c r="A1862" i="122" s="1"/>
  <c r="A2532" i="122" s="1"/>
  <c r="A3202" i="122" s="1"/>
  <c r="A3872" i="122" s="1"/>
  <c r="A4542" i="122" s="1"/>
  <c r="A5212" i="122" s="1"/>
  <c r="M521" i="122"/>
  <c r="D1191" i="122"/>
  <c r="D1861" i="122" s="1"/>
  <c r="D2531" i="122" s="1"/>
  <c r="D3201" i="122" s="1"/>
  <c r="D3871" i="122" s="1"/>
  <c r="D4541" i="122" s="1"/>
  <c r="D5211" i="122" s="1"/>
  <c r="C1191" i="122"/>
  <c r="C1861" i="122" s="1"/>
  <c r="C2531" i="122" s="1"/>
  <c r="C3201" i="122" s="1"/>
  <c r="C3871" i="122" s="1"/>
  <c r="C4541" i="122" s="1"/>
  <c r="C5211" i="122" s="1"/>
  <c r="B1191" i="122"/>
  <c r="B1861" i="122" s="1"/>
  <c r="B2531" i="122" s="1"/>
  <c r="B3201" i="122" s="1"/>
  <c r="B3871" i="122" s="1"/>
  <c r="B4541" i="122" s="1"/>
  <c r="B5211" i="122" s="1"/>
  <c r="A1191" i="122"/>
  <c r="A1861" i="122" s="1"/>
  <c r="A2531" i="122" s="1"/>
  <c r="A3201" i="122" s="1"/>
  <c r="A3871" i="122" s="1"/>
  <c r="A4541" i="122" s="1"/>
  <c r="A5211" i="122" s="1"/>
  <c r="M520" i="122"/>
  <c r="D1190" i="122"/>
  <c r="D1860" i="122" s="1"/>
  <c r="D2530" i="122" s="1"/>
  <c r="D3200" i="122" s="1"/>
  <c r="D3870" i="122" s="1"/>
  <c r="D4540" i="122" s="1"/>
  <c r="D5210" i="122" s="1"/>
  <c r="C1190" i="122"/>
  <c r="C1860" i="122" s="1"/>
  <c r="C2530" i="122" s="1"/>
  <c r="C3200" i="122" s="1"/>
  <c r="C3870" i="122" s="1"/>
  <c r="C4540" i="122" s="1"/>
  <c r="C5210" i="122" s="1"/>
  <c r="B1190" i="122"/>
  <c r="B1860" i="122" s="1"/>
  <c r="B2530" i="122" s="1"/>
  <c r="B3200" i="122" s="1"/>
  <c r="B3870" i="122" s="1"/>
  <c r="B4540" i="122" s="1"/>
  <c r="B5210" i="122" s="1"/>
  <c r="A1190" i="122"/>
  <c r="A1860" i="122" s="1"/>
  <c r="A2530" i="122" s="1"/>
  <c r="A3200" i="122" s="1"/>
  <c r="A3870" i="122" s="1"/>
  <c r="A4540" i="122" s="1"/>
  <c r="A5210" i="122" s="1"/>
  <c r="M519" i="122"/>
  <c r="D1189" i="122"/>
  <c r="D1859" i="122" s="1"/>
  <c r="D2529" i="122" s="1"/>
  <c r="D3199" i="122" s="1"/>
  <c r="D3869" i="122" s="1"/>
  <c r="D4539" i="122" s="1"/>
  <c r="D5209" i="122" s="1"/>
  <c r="C1189" i="122"/>
  <c r="C1859" i="122" s="1"/>
  <c r="C2529" i="122" s="1"/>
  <c r="C3199" i="122" s="1"/>
  <c r="C3869" i="122" s="1"/>
  <c r="C4539" i="122" s="1"/>
  <c r="C5209" i="122" s="1"/>
  <c r="B1189" i="122"/>
  <c r="B1859" i="122" s="1"/>
  <c r="B2529" i="122" s="1"/>
  <c r="B3199" i="122" s="1"/>
  <c r="B3869" i="122" s="1"/>
  <c r="B4539" i="122" s="1"/>
  <c r="B5209" i="122" s="1"/>
  <c r="A1189" i="122"/>
  <c r="A1859" i="122" s="1"/>
  <c r="A2529" i="122" s="1"/>
  <c r="A3199" i="122" s="1"/>
  <c r="A3869" i="122" s="1"/>
  <c r="A4539" i="122" s="1"/>
  <c r="A5209" i="122" s="1"/>
  <c r="M518" i="122"/>
  <c r="D1188" i="122"/>
  <c r="D1858" i="122" s="1"/>
  <c r="D2528" i="122" s="1"/>
  <c r="D3198" i="122" s="1"/>
  <c r="D3868" i="122" s="1"/>
  <c r="D4538" i="122" s="1"/>
  <c r="D5208" i="122" s="1"/>
  <c r="C1188" i="122"/>
  <c r="C1858" i="122" s="1"/>
  <c r="C2528" i="122" s="1"/>
  <c r="C3198" i="122" s="1"/>
  <c r="C3868" i="122" s="1"/>
  <c r="C4538" i="122" s="1"/>
  <c r="C5208" i="122" s="1"/>
  <c r="B1188" i="122"/>
  <c r="B1858" i="122" s="1"/>
  <c r="B2528" i="122" s="1"/>
  <c r="B3198" i="122" s="1"/>
  <c r="B3868" i="122" s="1"/>
  <c r="B4538" i="122" s="1"/>
  <c r="B5208" i="122" s="1"/>
  <c r="A1188" i="122"/>
  <c r="A1858" i="122" s="1"/>
  <c r="A2528" i="122" s="1"/>
  <c r="A3198" i="122" s="1"/>
  <c r="A3868" i="122" s="1"/>
  <c r="A4538" i="122" s="1"/>
  <c r="A5208" i="122" s="1"/>
  <c r="M517" i="122"/>
  <c r="E1187" i="122"/>
  <c r="E1857" i="122" s="1"/>
  <c r="E2527" i="122" s="1"/>
  <c r="E3197" i="122" s="1"/>
  <c r="E3867" i="122" s="1"/>
  <c r="E4537" i="122" s="1"/>
  <c r="E5207" i="122" s="1"/>
  <c r="D1187" i="122"/>
  <c r="D1857" i="122" s="1"/>
  <c r="D2527" i="122" s="1"/>
  <c r="D3197" i="122" s="1"/>
  <c r="D3867" i="122" s="1"/>
  <c r="D4537" i="122" s="1"/>
  <c r="D5207" i="122" s="1"/>
  <c r="C1187" i="122"/>
  <c r="C1857" i="122" s="1"/>
  <c r="C2527" i="122" s="1"/>
  <c r="C3197" i="122" s="1"/>
  <c r="C3867" i="122" s="1"/>
  <c r="C4537" i="122" s="1"/>
  <c r="C5207" i="122" s="1"/>
  <c r="B1187" i="122"/>
  <c r="B1857" i="122" s="1"/>
  <c r="B2527" i="122" s="1"/>
  <c r="B3197" i="122" s="1"/>
  <c r="B3867" i="122" s="1"/>
  <c r="B4537" i="122" s="1"/>
  <c r="B5207" i="122" s="1"/>
  <c r="A1187" i="122"/>
  <c r="A1857" i="122" s="1"/>
  <c r="A2527" i="122" s="1"/>
  <c r="A3197" i="122" s="1"/>
  <c r="A3867" i="122" s="1"/>
  <c r="A4537" i="122" s="1"/>
  <c r="A5207" i="122" s="1"/>
  <c r="M516" i="122"/>
  <c r="D1186" i="122"/>
  <c r="D1856" i="122" s="1"/>
  <c r="D2526" i="122" s="1"/>
  <c r="D3196" i="122" s="1"/>
  <c r="D3866" i="122" s="1"/>
  <c r="D4536" i="122" s="1"/>
  <c r="D5206" i="122" s="1"/>
  <c r="C1186" i="122"/>
  <c r="C1856" i="122" s="1"/>
  <c r="C2526" i="122" s="1"/>
  <c r="C3196" i="122" s="1"/>
  <c r="C3866" i="122" s="1"/>
  <c r="C4536" i="122" s="1"/>
  <c r="C5206" i="122" s="1"/>
  <c r="B1186" i="122"/>
  <c r="B1856" i="122" s="1"/>
  <c r="B2526" i="122" s="1"/>
  <c r="B3196" i="122" s="1"/>
  <c r="B3866" i="122" s="1"/>
  <c r="B4536" i="122" s="1"/>
  <c r="B5206" i="122" s="1"/>
  <c r="A1186" i="122"/>
  <c r="A1856" i="122" s="1"/>
  <c r="A2526" i="122" s="1"/>
  <c r="A3196" i="122" s="1"/>
  <c r="A3866" i="122" s="1"/>
  <c r="A4536" i="122" s="1"/>
  <c r="A5206" i="122" s="1"/>
  <c r="M515" i="122"/>
  <c r="D1185" i="122"/>
  <c r="D1855" i="122" s="1"/>
  <c r="D2525" i="122" s="1"/>
  <c r="D3195" i="122" s="1"/>
  <c r="D3865" i="122" s="1"/>
  <c r="D4535" i="122" s="1"/>
  <c r="D5205" i="122" s="1"/>
  <c r="C1185" i="122"/>
  <c r="C1855" i="122" s="1"/>
  <c r="C2525" i="122" s="1"/>
  <c r="C3195" i="122" s="1"/>
  <c r="C3865" i="122" s="1"/>
  <c r="C4535" i="122" s="1"/>
  <c r="C5205" i="122" s="1"/>
  <c r="B1185" i="122"/>
  <c r="B1855" i="122" s="1"/>
  <c r="B2525" i="122" s="1"/>
  <c r="B3195" i="122" s="1"/>
  <c r="B3865" i="122" s="1"/>
  <c r="B4535" i="122" s="1"/>
  <c r="B5205" i="122" s="1"/>
  <c r="A1185" i="122"/>
  <c r="A1855" i="122" s="1"/>
  <c r="A2525" i="122" s="1"/>
  <c r="A3195" i="122" s="1"/>
  <c r="A3865" i="122" s="1"/>
  <c r="A4535" i="122" s="1"/>
  <c r="A5205" i="122" s="1"/>
  <c r="M514" i="122"/>
  <c r="E1184" i="122"/>
  <c r="E1854" i="122" s="1"/>
  <c r="E2524" i="122" s="1"/>
  <c r="E3194" i="122" s="1"/>
  <c r="E3864" i="122" s="1"/>
  <c r="E4534" i="122" s="1"/>
  <c r="E5204" i="122" s="1"/>
  <c r="D1184" i="122"/>
  <c r="D1854" i="122" s="1"/>
  <c r="D2524" i="122" s="1"/>
  <c r="D3194" i="122" s="1"/>
  <c r="D3864" i="122" s="1"/>
  <c r="D4534" i="122" s="1"/>
  <c r="D5204" i="122" s="1"/>
  <c r="C1184" i="122"/>
  <c r="C1854" i="122" s="1"/>
  <c r="C2524" i="122" s="1"/>
  <c r="C3194" i="122" s="1"/>
  <c r="C3864" i="122" s="1"/>
  <c r="C4534" i="122" s="1"/>
  <c r="C5204" i="122" s="1"/>
  <c r="B1184" i="122"/>
  <c r="B1854" i="122" s="1"/>
  <c r="B2524" i="122" s="1"/>
  <c r="B3194" i="122" s="1"/>
  <c r="B3864" i="122" s="1"/>
  <c r="B4534" i="122" s="1"/>
  <c r="B5204" i="122" s="1"/>
  <c r="A1184" i="122"/>
  <c r="A1854" i="122" s="1"/>
  <c r="A2524" i="122" s="1"/>
  <c r="A3194" i="122" s="1"/>
  <c r="A3864" i="122" s="1"/>
  <c r="A4534" i="122" s="1"/>
  <c r="A5204" i="122" s="1"/>
  <c r="M513" i="122"/>
  <c r="D1183" i="122"/>
  <c r="D1853" i="122" s="1"/>
  <c r="D2523" i="122" s="1"/>
  <c r="D3193" i="122" s="1"/>
  <c r="D3863" i="122" s="1"/>
  <c r="D4533" i="122" s="1"/>
  <c r="D5203" i="122" s="1"/>
  <c r="C1183" i="122"/>
  <c r="C1853" i="122" s="1"/>
  <c r="C2523" i="122" s="1"/>
  <c r="C3193" i="122" s="1"/>
  <c r="C3863" i="122" s="1"/>
  <c r="C4533" i="122" s="1"/>
  <c r="C5203" i="122" s="1"/>
  <c r="B1183" i="122"/>
  <c r="B1853" i="122" s="1"/>
  <c r="B2523" i="122" s="1"/>
  <c r="B3193" i="122" s="1"/>
  <c r="B3863" i="122" s="1"/>
  <c r="B4533" i="122" s="1"/>
  <c r="B5203" i="122" s="1"/>
  <c r="A1183" i="122"/>
  <c r="A1853" i="122" s="1"/>
  <c r="A2523" i="122" s="1"/>
  <c r="A3193" i="122" s="1"/>
  <c r="A3863" i="122" s="1"/>
  <c r="A4533" i="122" s="1"/>
  <c r="A5203" i="122" s="1"/>
  <c r="M512" i="122"/>
  <c r="D1182" i="122"/>
  <c r="D1852" i="122" s="1"/>
  <c r="D2522" i="122" s="1"/>
  <c r="D3192" i="122" s="1"/>
  <c r="D3862" i="122" s="1"/>
  <c r="D4532" i="122" s="1"/>
  <c r="D5202" i="122" s="1"/>
  <c r="C1182" i="122"/>
  <c r="C1852" i="122" s="1"/>
  <c r="C2522" i="122" s="1"/>
  <c r="C3192" i="122" s="1"/>
  <c r="C3862" i="122" s="1"/>
  <c r="C4532" i="122" s="1"/>
  <c r="C5202" i="122" s="1"/>
  <c r="B1182" i="122"/>
  <c r="B1852" i="122" s="1"/>
  <c r="B2522" i="122" s="1"/>
  <c r="B3192" i="122" s="1"/>
  <c r="B3862" i="122" s="1"/>
  <c r="B4532" i="122" s="1"/>
  <c r="B5202" i="122" s="1"/>
  <c r="A1182" i="122"/>
  <c r="A1852" i="122" s="1"/>
  <c r="A2522" i="122" s="1"/>
  <c r="A3192" i="122" s="1"/>
  <c r="A3862" i="122" s="1"/>
  <c r="A4532" i="122" s="1"/>
  <c r="A5202" i="122" s="1"/>
  <c r="M511" i="122"/>
  <c r="D1181" i="122"/>
  <c r="D1851" i="122" s="1"/>
  <c r="D2521" i="122" s="1"/>
  <c r="D3191" i="122" s="1"/>
  <c r="D3861" i="122" s="1"/>
  <c r="D4531" i="122" s="1"/>
  <c r="D5201" i="122" s="1"/>
  <c r="C1181" i="122"/>
  <c r="C1851" i="122" s="1"/>
  <c r="C2521" i="122" s="1"/>
  <c r="C3191" i="122" s="1"/>
  <c r="C3861" i="122" s="1"/>
  <c r="C4531" i="122" s="1"/>
  <c r="C5201" i="122" s="1"/>
  <c r="B1181" i="122"/>
  <c r="B1851" i="122" s="1"/>
  <c r="B2521" i="122" s="1"/>
  <c r="B3191" i="122" s="1"/>
  <c r="B3861" i="122" s="1"/>
  <c r="B4531" i="122" s="1"/>
  <c r="B5201" i="122" s="1"/>
  <c r="A1181" i="122"/>
  <c r="A1851" i="122" s="1"/>
  <c r="A2521" i="122" s="1"/>
  <c r="A3191" i="122" s="1"/>
  <c r="A3861" i="122" s="1"/>
  <c r="A4531" i="122" s="1"/>
  <c r="A5201" i="122" s="1"/>
  <c r="M510" i="122"/>
  <c r="D1180" i="122"/>
  <c r="D1850" i="122" s="1"/>
  <c r="D2520" i="122" s="1"/>
  <c r="D3190" i="122" s="1"/>
  <c r="D3860" i="122" s="1"/>
  <c r="D4530" i="122" s="1"/>
  <c r="D5200" i="122" s="1"/>
  <c r="C1180" i="122"/>
  <c r="C1850" i="122" s="1"/>
  <c r="C2520" i="122" s="1"/>
  <c r="C3190" i="122" s="1"/>
  <c r="C3860" i="122" s="1"/>
  <c r="C4530" i="122" s="1"/>
  <c r="C5200" i="122" s="1"/>
  <c r="B1180" i="122"/>
  <c r="B1850" i="122" s="1"/>
  <c r="B2520" i="122" s="1"/>
  <c r="B3190" i="122" s="1"/>
  <c r="B3860" i="122" s="1"/>
  <c r="B4530" i="122" s="1"/>
  <c r="B5200" i="122" s="1"/>
  <c r="A1180" i="122"/>
  <c r="A1850" i="122" s="1"/>
  <c r="A2520" i="122" s="1"/>
  <c r="A3190" i="122" s="1"/>
  <c r="A3860" i="122" s="1"/>
  <c r="A4530" i="122" s="1"/>
  <c r="A5200" i="122" s="1"/>
  <c r="M509" i="122"/>
  <c r="D1179" i="122"/>
  <c r="D1849" i="122" s="1"/>
  <c r="D2519" i="122" s="1"/>
  <c r="D3189" i="122" s="1"/>
  <c r="D3859" i="122" s="1"/>
  <c r="D4529" i="122" s="1"/>
  <c r="D5199" i="122" s="1"/>
  <c r="C1179" i="122"/>
  <c r="C1849" i="122" s="1"/>
  <c r="C2519" i="122" s="1"/>
  <c r="C3189" i="122" s="1"/>
  <c r="C3859" i="122" s="1"/>
  <c r="C4529" i="122" s="1"/>
  <c r="C5199" i="122" s="1"/>
  <c r="B1179" i="122"/>
  <c r="B1849" i="122" s="1"/>
  <c r="B2519" i="122" s="1"/>
  <c r="B3189" i="122" s="1"/>
  <c r="B3859" i="122" s="1"/>
  <c r="B4529" i="122" s="1"/>
  <c r="B5199" i="122" s="1"/>
  <c r="A1179" i="122"/>
  <c r="A1849" i="122" s="1"/>
  <c r="A2519" i="122" s="1"/>
  <c r="A3189" i="122" s="1"/>
  <c r="A3859" i="122" s="1"/>
  <c r="A4529" i="122" s="1"/>
  <c r="A5199" i="122" s="1"/>
  <c r="M508" i="122"/>
  <c r="D1178" i="122"/>
  <c r="D1848" i="122" s="1"/>
  <c r="D2518" i="122" s="1"/>
  <c r="D3188" i="122" s="1"/>
  <c r="D3858" i="122" s="1"/>
  <c r="D4528" i="122" s="1"/>
  <c r="D5198" i="122" s="1"/>
  <c r="C1178" i="122"/>
  <c r="C1848" i="122" s="1"/>
  <c r="C2518" i="122" s="1"/>
  <c r="C3188" i="122" s="1"/>
  <c r="C3858" i="122" s="1"/>
  <c r="C4528" i="122" s="1"/>
  <c r="C5198" i="122" s="1"/>
  <c r="B1178" i="122"/>
  <c r="B1848" i="122" s="1"/>
  <c r="B2518" i="122" s="1"/>
  <c r="B3188" i="122" s="1"/>
  <c r="B3858" i="122" s="1"/>
  <c r="B4528" i="122" s="1"/>
  <c r="B5198" i="122" s="1"/>
  <c r="A1178" i="122"/>
  <c r="A1848" i="122" s="1"/>
  <c r="A2518" i="122" s="1"/>
  <c r="A3188" i="122" s="1"/>
  <c r="A3858" i="122" s="1"/>
  <c r="A4528" i="122" s="1"/>
  <c r="A5198" i="122" s="1"/>
  <c r="M507" i="122"/>
  <c r="D1177" i="122"/>
  <c r="D1847" i="122" s="1"/>
  <c r="D2517" i="122" s="1"/>
  <c r="D3187" i="122" s="1"/>
  <c r="D3857" i="122" s="1"/>
  <c r="D4527" i="122" s="1"/>
  <c r="D5197" i="122" s="1"/>
  <c r="C1177" i="122"/>
  <c r="C1847" i="122" s="1"/>
  <c r="C2517" i="122" s="1"/>
  <c r="C3187" i="122" s="1"/>
  <c r="C3857" i="122" s="1"/>
  <c r="C4527" i="122" s="1"/>
  <c r="C5197" i="122" s="1"/>
  <c r="B1177" i="122"/>
  <c r="B1847" i="122" s="1"/>
  <c r="B2517" i="122" s="1"/>
  <c r="B3187" i="122" s="1"/>
  <c r="B3857" i="122" s="1"/>
  <c r="B4527" i="122" s="1"/>
  <c r="B5197" i="122" s="1"/>
  <c r="A1177" i="122"/>
  <c r="A1847" i="122" s="1"/>
  <c r="A2517" i="122" s="1"/>
  <c r="A3187" i="122" s="1"/>
  <c r="A3857" i="122" s="1"/>
  <c r="A4527" i="122" s="1"/>
  <c r="A5197" i="122" s="1"/>
  <c r="M506" i="122"/>
  <c r="D1176" i="122"/>
  <c r="D1846" i="122" s="1"/>
  <c r="D2516" i="122" s="1"/>
  <c r="D3186" i="122" s="1"/>
  <c r="D3856" i="122" s="1"/>
  <c r="D4526" i="122" s="1"/>
  <c r="D5196" i="122" s="1"/>
  <c r="C1176" i="122"/>
  <c r="C1846" i="122" s="1"/>
  <c r="C2516" i="122" s="1"/>
  <c r="C3186" i="122" s="1"/>
  <c r="C3856" i="122" s="1"/>
  <c r="C4526" i="122" s="1"/>
  <c r="C5196" i="122" s="1"/>
  <c r="B1176" i="122"/>
  <c r="B1846" i="122" s="1"/>
  <c r="B2516" i="122" s="1"/>
  <c r="B3186" i="122" s="1"/>
  <c r="B3856" i="122" s="1"/>
  <c r="B4526" i="122" s="1"/>
  <c r="B5196" i="122" s="1"/>
  <c r="A1176" i="122"/>
  <c r="A1846" i="122" s="1"/>
  <c r="A2516" i="122" s="1"/>
  <c r="A3186" i="122" s="1"/>
  <c r="A3856" i="122" s="1"/>
  <c r="A4526" i="122" s="1"/>
  <c r="A5196" i="122" s="1"/>
  <c r="M505" i="122"/>
  <c r="D1175" i="122"/>
  <c r="D1845" i="122" s="1"/>
  <c r="D2515" i="122" s="1"/>
  <c r="D3185" i="122" s="1"/>
  <c r="D3855" i="122" s="1"/>
  <c r="D4525" i="122" s="1"/>
  <c r="D5195" i="122" s="1"/>
  <c r="C1175" i="122"/>
  <c r="C1845" i="122" s="1"/>
  <c r="C2515" i="122" s="1"/>
  <c r="C3185" i="122" s="1"/>
  <c r="C3855" i="122" s="1"/>
  <c r="C4525" i="122" s="1"/>
  <c r="C5195" i="122" s="1"/>
  <c r="B1175" i="122"/>
  <c r="B1845" i="122" s="1"/>
  <c r="B2515" i="122" s="1"/>
  <c r="B3185" i="122" s="1"/>
  <c r="B3855" i="122" s="1"/>
  <c r="B4525" i="122" s="1"/>
  <c r="B5195" i="122" s="1"/>
  <c r="A1175" i="122"/>
  <c r="A1845" i="122" s="1"/>
  <c r="A2515" i="122" s="1"/>
  <c r="A3185" i="122" s="1"/>
  <c r="A3855" i="122" s="1"/>
  <c r="A4525" i="122" s="1"/>
  <c r="A5195" i="122" s="1"/>
  <c r="M504" i="122"/>
  <c r="D1174" i="122"/>
  <c r="D1844" i="122" s="1"/>
  <c r="D2514" i="122" s="1"/>
  <c r="D3184" i="122" s="1"/>
  <c r="D3854" i="122" s="1"/>
  <c r="D4524" i="122" s="1"/>
  <c r="D5194" i="122" s="1"/>
  <c r="C1174" i="122"/>
  <c r="C1844" i="122" s="1"/>
  <c r="C2514" i="122" s="1"/>
  <c r="C3184" i="122" s="1"/>
  <c r="C3854" i="122" s="1"/>
  <c r="C4524" i="122" s="1"/>
  <c r="C5194" i="122" s="1"/>
  <c r="B1174" i="122"/>
  <c r="B1844" i="122" s="1"/>
  <c r="B2514" i="122" s="1"/>
  <c r="B3184" i="122" s="1"/>
  <c r="B3854" i="122" s="1"/>
  <c r="B4524" i="122" s="1"/>
  <c r="B5194" i="122" s="1"/>
  <c r="A1174" i="122"/>
  <c r="A1844" i="122" s="1"/>
  <c r="A2514" i="122" s="1"/>
  <c r="A3184" i="122" s="1"/>
  <c r="A3854" i="122" s="1"/>
  <c r="A4524" i="122" s="1"/>
  <c r="A5194" i="122" s="1"/>
  <c r="M503" i="122"/>
  <c r="D1173" i="122"/>
  <c r="D1843" i="122" s="1"/>
  <c r="D2513" i="122" s="1"/>
  <c r="D3183" i="122" s="1"/>
  <c r="D3853" i="122" s="1"/>
  <c r="D4523" i="122" s="1"/>
  <c r="D5193" i="122" s="1"/>
  <c r="C1173" i="122"/>
  <c r="C1843" i="122" s="1"/>
  <c r="C2513" i="122" s="1"/>
  <c r="C3183" i="122" s="1"/>
  <c r="C3853" i="122" s="1"/>
  <c r="C4523" i="122" s="1"/>
  <c r="C5193" i="122" s="1"/>
  <c r="B1173" i="122"/>
  <c r="B1843" i="122" s="1"/>
  <c r="B2513" i="122" s="1"/>
  <c r="B3183" i="122" s="1"/>
  <c r="B3853" i="122" s="1"/>
  <c r="B4523" i="122" s="1"/>
  <c r="B5193" i="122" s="1"/>
  <c r="A1173" i="122"/>
  <c r="A1843" i="122" s="1"/>
  <c r="A2513" i="122" s="1"/>
  <c r="A3183" i="122" s="1"/>
  <c r="A3853" i="122" s="1"/>
  <c r="A4523" i="122" s="1"/>
  <c r="A5193" i="122" s="1"/>
  <c r="M502" i="122"/>
  <c r="D1172" i="122"/>
  <c r="D1842" i="122" s="1"/>
  <c r="D2512" i="122" s="1"/>
  <c r="D3182" i="122" s="1"/>
  <c r="D3852" i="122" s="1"/>
  <c r="D4522" i="122" s="1"/>
  <c r="D5192" i="122" s="1"/>
  <c r="C1172" i="122"/>
  <c r="C1842" i="122" s="1"/>
  <c r="C2512" i="122" s="1"/>
  <c r="C3182" i="122" s="1"/>
  <c r="C3852" i="122" s="1"/>
  <c r="C4522" i="122" s="1"/>
  <c r="C5192" i="122" s="1"/>
  <c r="B1172" i="122"/>
  <c r="B1842" i="122" s="1"/>
  <c r="B2512" i="122" s="1"/>
  <c r="B3182" i="122" s="1"/>
  <c r="B3852" i="122" s="1"/>
  <c r="B4522" i="122" s="1"/>
  <c r="B5192" i="122" s="1"/>
  <c r="A1172" i="122"/>
  <c r="A1842" i="122" s="1"/>
  <c r="A2512" i="122" s="1"/>
  <c r="A3182" i="122" s="1"/>
  <c r="A3852" i="122" s="1"/>
  <c r="A4522" i="122" s="1"/>
  <c r="A5192" i="122" s="1"/>
  <c r="M501" i="122"/>
  <c r="D1171" i="122"/>
  <c r="D1841" i="122" s="1"/>
  <c r="D2511" i="122" s="1"/>
  <c r="D3181" i="122" s="1"/>
  <c r="D3851" i="122" s="1"/>
  <c r="D4521" i="122" s="1"/>
  <c r="D5191" i="122" s="1"/>
  <c r="C1171" i="122"/>
  <c r="C1841" i="122" s="1"/>
  <c r="C2511" i="122" s="1"/>
  <c r="C3181" i="122" s="1"/>
  <c r="C3851" i="122" s="1"/>
  <c r="C4521" i="122" s="1"/>
  <c r="C5191" i="122" s="1"/>
  <c r="B1171" i="122"/>
  <c r="B1841" i="122" s="1"/>
  <c r="B2511" i="122" s="1"/>
  <c r="B3181" i="122" s="1"/>
  <c r="B3851" i="122" s="1"/>
  <c r="B4521" i="122" s="1"/>
  <c r="B5191" i="122" s="1"/>
  <c r="A1171" i="122"/>
  <c r="A1841" i="122" s="1"/>
  <c r="A2511" i="122" s="1"/>
  <c r="A3181" i="122" s="1"/>
  <c r="A3851" i="122" s="1"/>
  <c r="A4521" i="122" s="1"/>
  <c r="A5191" i="122" s="1"/>
  <c r="M500" i="122"/>
  <c r="E1170" i="122"/>
  <c r="E1840" i="122" s="1"/>
  <c r="E2510" i="122" s="1"/>
  <c r="E3180" i="122" s="1"/>
  <c r="E3850" i="122" s="1"/>
  <c r="E4520" i="122" s="1"/>
  <c r="E5190" i="122" s="1"/>
  <c r="D1170" i="122"/>
  <c r="D1840" i="122" s="1"/>
  <c r="D2510" i="122" s="1"/>
  <c r="D3180" i="122" s="1"/>
  <c r="D3850" i="122" s="1"/>
  <c r="D4520" i="122" s="1"/>
  <c r="D5190" i="122" s="1"/>
  <c r="C1170" i="122"/>
  <c r="C1840" i="122" s="1"/>
  <c r="C2510" i="122" s="1"/>
  <c r="C3180" i="122" s="1"/>
  <c r="C3850" i="122" s="1"/>
  <c r="C4520" i="122" s="1"/>
  <c r="C5190" i="122" s="1"/>
  <c r="B1170" i="122"/>
  <c r="B1840" i="122" s="1"/>
  <c r="B2510" i="122" s="1"/>
  <c r="B3180" i="122" s="1"/>
  <c r="B3850" i="122" s="1"/>
  <c r="B4520" i="122" s="1"/>
  <c r="B5190" i="122" s="1"/>
  <c r="A1170" i="122"/>
  <c r="A1840" i="122" s="1"/>
  <c r="A2510" i="122" s="1"/>
  <c r="A3180" i="122" s="1"/>
  <c r="A3850" i="122" s="1"/>
  <c r="A4520" i="122" s="1"/>
  <c r="A5190" i="122" s="1"/>
  <c r="M499" i="122"/>
  <c r="D1169" i="122"/>
  <c r="D1839" i="122" s="1"/>
  <c r="D2509" i="122" s="1"/>
  <c r="D3179" i="122" s="1"/>
  <c r="D3849" i="122" s="1"/>
  <c r="D4519" i="122" s="1"/>
  <c r="D5189" i="122" s="1"/>
  <c r="C1169" i="122"/>
  <c r="C1839" i="122" s="1"/>
  <c r="C2509" i="122" s="1"/>
  <c r="C3179" i="122" s="1"/>
  <c r="C3849" i="122" s="1"/>
  <c r="C4519" i="122" s="1"/>
  <c r="C5189" i="122" s="1"/>
  <c r="B1169" i="122"/>
  <c r="B1839" i="122" s="1"/>
  <c r="B2509" i="122" s="1"/>
  <c r="B3179" i="122" s="1"/>
  <c r="B3849" i="122" s="1"/>
  <c r="B4519" i="122" s="1"/>
  <c r="B5189" i="122" s="1"/>
  <c r="A1169" i="122"/>
  <c r="A1839" i="122" s="1"/>
  <c r="A2509" i="122" s="1"/>
  <c r="A3179" i="122" s="1"/>
  <c r="A3849" i="122" s="1"/>
  <c r="A4519" i="122" s="1"/>
  <c r="A5189" i="122" s="1"/>
  <c r="M498" i="122"/>
  <c r="E1168" i="122"/>
  <c r="E1838" i="122" s="1"/>
  <c r="E2508" i="122" s="1"/>
  <c r="E3178" i="122" s="1"/>
  <c r="E3848" i="122" s="1"/>
  <c r="E4518" i="122" s="1"/>
  <c r="E5188" i="122" s="1"/>
  <c r="D1168" i="122"/>
  <c r="D1838" i="122" s="1"/>
  <c r="D2508" i="122" s="1"/>
  <c r="D3178" i="122" s="1"/>
  <c r="D3848" i="122" s="1"/>
  <c r="D4518" i="122" s="1"/>
  <c r="D5188" i="122" s="1"/>
  <c r="C1168" i="122"/>
  <c r="C1838" i="122" s="1"/>
  <c r="C2508" i="122" s="1"/>
  <c r="C3178" i="122" s="1"/>
  <c r="C3848" i="122" s="1"/>
  <c r="C4518" i="122" s="1"/>
  <c r="C5188" i="122" s="1"/>
  <c r="B1168" i="122"/>
  <c r="B1838" i="122" s="1"/>
  <c r="B2508" i="122" s="1"/>
  <c r="B3178" i="122" s="1"/>
  <c r="B3848" i="122" s="1"/>
  <c r="B4518" i="122" s="1"/>
  <c r="B5188" i="122" s="1"/>
  <c r="A1168" i="122"/>
  <c r="A1838" i="122" s="1"/>
  <c r="A2508" i="122" s="1"/>
  <c r="A3178" i="122" s="1"/>
  <c r="A3848" i="122" s="1"/>
  <c r="A4518" i="122" s="1"/>
  <c r="A5188" i="122" s="1"/>
  <c r="M497" i="122"/>
  <c r="E1167" i="122"/>
  <c r="E1837" i="122" s="1"/>
  <c r="E2507" i="122" s="1"/>
  <c r="E3177" i="122" s="1"/>
  <c r="E3847" i="122" s="1"/>
  <c r="E4517" i="122" s="1"/>
  <c r="E5187" i="122" s="1"/>
  <c r="D1167" i="122"/>
  <c r="D1837" i="122" s="1"/>
  <c r="D2507" i="122" s="1"/>
  <c r="D3177" i="122" s="1"/>
  <c r="D3847" i="122" s="1"/>
  <c r="D4517" i="122" s="1"/>
  <c r="D5187" i="122" s="1"/>
  <c r="C1167" i="122"/>
  <c r="C1837" i="122" s="1"/>
  <c r="C2507" i="122" s="1"/>
  <c r="C3177" i="122" s="1"/>
  <c r="C3847" i="122" s="1"/>
  <c r="C4517" i="122" s="1"/>
  <c r="C5187" i="122" s="1"/>
  <c r="B1167" i="122"/>
  <c r="B1837" i="122" s="1"/>
  <c r="B2507" i="122" s="1"/>
  <c r="B3177" i="122" s="1"/>
  <c r="B3847" i="122" s="1"/>
  <c r="B4517" i="122" s="1"/>
  <c r="B5187" i="122" s="1"/>
  <c r="A1167" i="122"/>
  <c r="A1837" i="122" s="1"/>
  <c r="A2507" i="122" s="1"/>
  <c r="A3177" i="122" s="1"/>
  <c r="A3847" i="122" s="1"/>
  <c r="A4517" i="122" s="1"/>
  <c r="A5187" i="122" s="1"/>
  <c r="M496" i="122"/>
  <c r="D1166" i="122"/>
  <c r="D1836" i="122" s="1"/>
  <c r="D2506" i="122" s="1"/>
  <c r="D3176" i="122" s="1"/>
  <c r="D3846" i="122" s="1"/>
  <c r="D4516" i="122" s="1"/>
  <c r="D5186" i="122" s="1"/>
  <c r="C1166" i="122"/>
  <c r="C1836" i="122" s="1"/>
  <c r="C2506" i="122" s="1"/>
  <c r="C3176" i="122" s="1"/>
  <c r="C3846" i="122" s="1"/>
  <c r="C4516" i="122" s="1"/>
  <c r="C5186" i="122" s="1"/>
  <c r="B1166" i="122"/>
  <c r="B1836" i="122" s="1"/>
  <c r="B2506" i="122" s="1"/>
  <c r="B3176" i="122" s="1"/>
  <c r="B3846" i="122" s="1"/>
  <c r="B4516" i="122" s="1"/>
  <c r="B5186" i="122" s="1"/>
  <c r="A1166" i="122"/>
  <c r="A1836" i="122" s="1"/>
  <c r="A2506" i="122" s="1"/>
  <c r="A3176" i="122" s="1"/>
  <c r="A3846" i="122" s="1"/>
  <c r="A4516" i="122" s="1"/>
  <c r="A5186" i="122" s="1"/>
  <c r="M495" i="122"/>
  <c r="E1165" i="122"/>
  <c r="E1835" i="122" s="1"/>
  <c r="E2505" i="122" s="1"/>
  <c r="E3175" i="122" s="1"/>
  <c r="E3845" i="122" s="1"/>
  <c r="E4515" i="122" s="1"/>
  <c r="E5185" i="122" s="1"/>
  <c r="D1165" i="122"/>
  <c r="D1835" i="122" s="1"/>
  <c r="D2505" i="122" s="1"/>
  <c r="D3175" i="122" s="1"/>
  <c r="D3845" i="122" s="1"/>
  <c r="D4515" i="122" s="1"/>
  <c r="D5185" i="122" s="1"/>
  <c r="C1165" i="122"/>
  <c r="C1835" i="122" s="1"/>
  <c r="C2505" i="122" s="1"/>
  <c r="C3175" i="122" s="1"/>
  <c r="C3845" i="122" s="1"/>
  <c r="C4515" i="122" s="1"/>
  <c r="C5185" i="122" s="1"/>
  <c r="B1165" i="122"/>
  <c r="B1835" i="122" s="1"/>
  <c r="B2505" i="122" s="1"/>
  <c r="B3175" i="122" s="1"/>
  <c r="B3845" i="122" s="1"/>
  <c r="B4515" i="122" s="1"/>
  <c r="B5185" i="122" s="1"/>
  <c r="A1165" i="122"/>
  <c r="A1835" i="122" s="1"/>
  <c r="A2505" i="122" s="1"/>
  <c r="A3175" i="122" s="1"/>
  <c r="A3845" i="122" s="1"/>
  <c r="A4515" i="122" s="1"/>
  <c r="A5185" i="122" s="1"/>
  <c r="M494" i="122"/>
  <c r="D1164" i="122"/>
  <c r="D1834" i="122" s="1"/>
  <c r="D2504" i="122" s="1"/>
  <c r="D3174" i="122" s="1"/>
  <c r="D3844" i="122" s="1"/>
  <c r="D4514" i="122" s="1"/>
  <c r="D5184" i="122" s="1"/>
  <c r="C1164" i="122"/>
  <c r="C1834" i="122" s="1"/>
  <c r="C2504" i="122" s="1"/>
  <c r="C3174" i="122" s="1"/>
  <c r="C3844" i="122" s="1"/>
  <c r="C4514" i="122" s="1"/>
  <c r="C5184" i="122" s="1"/>
  <c r="B1164" i="122"/>
  <c r="B1834" i="122" s="1"/>
  <c r="B2504" i="122" s="1"/>
  <c r="B3174" i="122" s="1"/>
  <c r="B3844" i="122" s="1"/>
  <c r="B4514" i="122" s="1"/>
  <c r="B5184" i="122" s="1"/>
  <c r="A1164" i="122"/>
  <c r="A1834" i="122" s="1"/>
  <c r="A2504" i="122" s="1"/>
  <c r="A3174" i="122" s="1"/>
  <c r="A3844" i="122" s="1"/>
  <c r="A4514" i="122" s="1"/>
  <c r="A5184" i="122" s="1"/>
  <c r="M493" i="122"/>
  <c r="E1163" i="122"/>
  <c r="E1833" i="122" s="1"/>
  <c r="E2503" i="122" s="1"/>
  <c r="E3173" i="122" s="1"/>
  <c r="E3843" i="122" s="1"/>
  <c r="E4513" i="122" s="1"/>
  <c r="E5183" i="122" s="1"/>
  <c r="D1163" i="122"/>
  <c r="D1833" i="122" s="1"/>
  <c r="D2503" i="122" s="1"/>
  <c r="D3173" i="122" s="1"/>
  <c r="D3843" i="122" s="1"/>
  <c r="D4513" i="122" s="1"/>
  <c r="D5183" i="122" s="1"/>
  <c r="C1163" i="122"/>
  <c r="C1833" i="122" s="1"/>
  <c r="C2503" i="122" s="1"/>
  <c r="C3173" i="122" s="1"/>
  <c r="C3843" i="122" s="1"/>
  <c r="C4513" i="122" s="1"/>
  <c r="C5183" i="122" s="1"/>
  <c r="B1163" i="122"/>
  <c r="B1833" i="122" s="1"/>
  <c r="B2503" i="122" s="1"/>
  <c r="B3173" i="122" s="1"/>
  <c r="B3843" i="122" s="1"/>
  <c r="B4513" i="122" s="1"/>
  <c r="B5183" i="122" s="1"/>
  <c r="A1163" i="122"/>
  <c r="A1833" i="122" s="1"/>
  <c r="A2503" i="122" s="1"/>
  <c r="A3173" i="122" s="1"/>
  <c r="A3843" i="122" s="1"/>
  <c r="A4513" i="122" s="1"/>
  <c r="A5183" i="122" s="1"/>
  <c r="M492" i="122"/>
  <c r="D1162" i="122"/>
  <c r="D1832" i="122" s="1"/>
  <c r="D2502" i="122" s="1"/>
  <c r="D3172" i="122" s="1"/>
  <c r="D3842" i="122" s="1"/>
  <c r="D4512" i="122" s="1"/>
  <c r="D5182" i="122" s="1"/>
  <c r="C1162" i="122"/>
  <c r="C1832" i="122" s="1"/>
  <c r="C2502" i="122" s="1"/>
  <c r="C3172" i="122" s="1"/>
  <c r="C3842" i="122" s="1"/>
  <c r="C4512" i="122" s="1"/>
  <c r="C5182" i="122" s="1"/>
  <c r="B1162" i="122"/>
  <c r="B1832" i="122" s="1"/>
  <c r="B2502" i="122" s="1"/>
  <c r="B3172" i="122" s="1"/>
  <c r="B3842" i="122" s="1"/>
  <c r="B4512" i="122" s="1"/>
  <c r="B5182" i="122" s="1"/>
  <c r="A1162" i="122"/>
  <c r="A1832" i="122" s="1"/>
  <c r="A2502" i="122" s="1"/>
  <c r="A3172" i="122" s="1"/>
  <c r="A3842" i="122" s="1"/>
  <c r="A4512" i="122" s="1"/>
  <c r="A5182" i="122" s="1"/>
  <c r="M491" i="122"/>
  <c r="E1161" i="122"/>
  <c r="E1831" i="122" s="1"/>
  <c r="E2501" i="122" s="1"/>
  <c r="E3171" i="122" s="1"/>
  <c r="E3841" i="122" s="1"/>
  <c r="E4511" i="122" s="1"/>
  <c r="E5181" i="122" s="1"/>
  <c r="D1161" i="122"/>
  <c r="D1831" i="122" s="1"/>
  <c r="D2501" i="122" s="1"/>
  <c r="D3171" i="122" s="1"/>
  <c r="D3841" i="122" s="1"/>
  <c r="D4511" i="122" s="1"/>
  <c r="D5181" i="122" s="1"/>
  <c r="C1161" i="122"/>
  <c r="C1831" i="122" s="1"/>
  <c r="C2501" i="122" s="1"/>
  <c r="C3171" i="122" s="1"/>
  <c r="C3841" i="122" s="1"/>
  <c r="C4511" i="122" s="1"/>
  <c r="C5181" i="122" s="1"/>
  <c r="B1161" i="122"/>
  <c r="B1831" i="122" s="1"/>
  <c r="B2501" i="122" s="1"/>
  <c r="B3171" i="122" s="1"/>
  <c r="B3841" i="122" s="1"/>
  <c r="B4511" i="122" s="1"/>
  <c r="B5181" i="122" s="1"/>
  <c r="A1161" i="122"/>
  <c r="A1831" i="122" s="1"/>
  <c r="A2501" i="122" s="1"/>
  <c r="A3171" i="122" s="1"/>
  <c r="A3841" i="122" s="1"/>
  <c r="A4511" i="122" s="1"/>
  <c r="A5181" i="122" s="1"/>
  <c r="M490" i="122"/>
  <c r="D1160" i="122"/>
  <c r="D1830" i="122" s="1"/>
  <c r="D2500" i="122" s="1"/>
  <c r="D3170" i="122" s="1"/>
  <c r="D3840" i="122" s="1"/>
  <c r="D4510" i="122" s="1"/>
  <c r="D5180" i="122" s="1"/>
  <c r="C1160" i="122"/>
  <c r="C1830" i="122" s="1"/>
  <c r="C2500" i="122" s="1"/>
  <c r="C3170" i="122" s="1"/>
  <c r="C3840" i="122" s="1"/>
  <c r="C4510" i="122" s="1"/>
  <c r="C5180" i="122" s="1"/>
  <c r="B1160" i="122"/>
  <c r="B1830" i="122" s="1"/>
  <c r="B2500" i="122" s="1"/>
  <c r="B3170" i="122" s="1"/>
  <c r="B3840" i="122" s="1"/>
  <c r="B4510" i="122" s="1"/>
  <c r="B5180" i="122" s="1"/>
  <c r="A1160" i="122"/>
  <c r="A1830" i="122" s="1"/>
  <c r="A2500" i="122" s="1"/>
  <c r="A3170" i="122" s="1"/>
  <c r="A3840" i="122" s="1"/>
  <c r="A4510" i="122" s="1"/>
  <c r="A5180" i="122" s="1"/>
  <c r="M489" i="122"/>
  <c r="E1159" i="122"/>
  <c r="E1829" i="122" s="1"/>
  <c r="E2499" i="122" s="1"/>
  <c r="E3169" i="122" s="1"/>
  <c r="E3839" i="122" s="1"/>
  <c r="E4509" i="122" s="1"/>
  <c r="E5179" i="122" s="1"/>
  <c r="D1159" i="122"/>
  <c r="D1829" i="122" s="1"/>
  <c r="D2499" i="122" s="1"/>
  <c r="D3169" i="122" s="1"/>
  <c r="D3839" i="122" s="1"/>
  <c r="D4509" i="122" s="1"/>
  <c r="D5179" i="122" s="1"/>
  <c r="C1159" i="122"/>
  <c r="C1829" i="122" s="1"/>
  <c r="C2499" i="122" s="1"/>
  <c r="C3169" i="122" s="1"/>
  <c r="C3839" i="122" s="1"/>
  <c r="C4509" i="122" s="1"/>
  <c r="C5179" i="122" s="1"/>
  <c r="B1159" i="122"/>
  <c r="B1829" i="122" s="1"/>
  <c r="B2499" i="122" s="1"/>
  <c r="B3169" i="122" s="1"/>
  <c r="B3839" i="122" s="1"/>
  <c r="B4509" i="122" s="1"/>
  <c r="B5179" i="122" s="1"/>
  <c r="A1159" i="122"/>
  <c r="A1829" i="122" s="1"/>
  <c r="A2499" i="122" s="1"/>
  <c r="A3169" i="122" s="1"/>
  <c r="A3839" i="122" s="1"/>
  <c r="A4509" i="122" s="1"/>
  <c r="A5179" i="122" s="1"/>
  <c r="M488" i="122"/>
  <c r="D1158" i="122"/>
  <c r="D1828" i="122" s="1"/>
  <c r="D2498" i="122" s="1"/>
  <c r="D3168" i="122" s="1"/>
  <c r="D3838" i="122" s="1"/>
  <c r="D4508" i="122" s="1"/>
  <c r="D5178" i="122" s="1"/>
  <c r="C1158" i="122"/>
  <c r="C1828" i="122" s="1"/>
  <c r="C2498" i="122" s="1"/>
  <c r="C3168" i="122" s="1"/>
  <c r="C3838" i="122" s="1"/>
  <c r="C4508" i="122" s="1"/>
  <c r="C5178" i="122" s="1"/>
  <c r="B1158" i="122"/>
  <c r="B1828" i="122" s="1"/>
  <c r="B2498" i="122" s="1"/>
  <c r="B3168" i="122" s="1"/>
  <c r="B3838" i="122" s="1"/>
  <c r="B4508" i="122" s="1"/>
  <c r="B5178" i="122" s="1"/>
  <c r="A1158" i="122"/>
  <c r="A1828" i="122" s="1"/>
  <c r="A2498" i="122" s="1"/>
  <c r="A3168" i="122" s="1"/>
  <c r="A3838" i="122" s="1"/>
  <c r="A4508" i="122" s="1"/>
  <c r="A5178" i="122" s="1"/>
  <c r="M487" i="122"/>
  <c r="D1157" i="122"/>
  <c r="D1827" i="122" s="1"/>
  <c r="D2497" i="122" s="1"/>
  <c r="D3167" i="122" s="1"/>
  <c r="D3837" i="122" s="1"/>
  <c r="D4507" i="122" s="1"/>
  <c r="D5177" i="122" s="1"/>
  <c r="C1157" i="122"/>
  <c r="C1827" i="122" s="1"/>
  <c r="C2497" i="122" s="1"/>
  <c r="C3167" i="122" s="1"/>
  <c r="C3837" i="122" s="1"/>
  <c r="C4507" i="122" s="1"/>
  <c r="C5177" i="122" s="1"/>
  <c r="B1157" i="122"/>
  <c r="B1827" i="122" s="1"/>
  <c r="B2497" i="122" s="1"/>
  <c r="B3167" i="122" s="1"/>
  <c r="B3837" i="122" s="1"/>
  <c r="B4507" i="122" s="1"/>
  <c r="B5177" i="122" s="1"/>
  <c r="A1157" i="122"/>
  <c r="A1827" i="122" s="1"/>
  <c r="A2497" i="122" s="1"/>
  <c r="A3167" i="122" s="1"/>
  <c r="A3837" i="122" s="1"/>
  <c r="A4507" i="122" s="1"/>
  <c r="A5177" i="122" s="1"/>
  <c r="M486" i="122"/>
  <c r="D1156" i="122"/>
  <c r="D1826" i="122" s="1"/>
  <c r="D2496" i="122" s="1"/>
  <c r="D3166" i="122" s="1"/>
  <c r="D3836" i="122" s="1"/>
  <c r="D4506" i="122" s="1"/>
  <c r="D5176" i="122" s="1"/>
  <c r="C1156" i="122"/>
  <c r="C1826" i="122" s="1"/>
  <c r="C2496" i="122" s="1"/>
  <c r="C3166" i="122" s="1"/>
  <c r="C3836" i="122" s="1"/>
  <c r="C4506" i="122" s="1"/>
  <c r="C5176" i="122" s="1"/>
  <c r="B1156" i="122"/>
  <c r="B1826" i="122" s="1"/>
  <c r="B2496" i="122" s="1"/>
  <c r="B3166" i="122" s="1"/>
  <c r="B3836" i="122" s="1"/>
  <c r="B4506" i="122" s="1"/>
  <c r="B5176" i="122" s="1"/>
  <c r="A1156" i="122"/>
  <c r="A1826" i="122" s="1"/>
  <c r="A2496" i="122" s="1"/>
  <c r="A3166" i="122" s="1"/>
  <c r="A3836" i="122" s="1"/>
  <c r="A4506" i="122" s="1"/>
  <c r="A5176" i="122" s="1"/>
  <c r="M485" i="122"/>
  <c r="D1155" i="122"/>
  <c r="D1825" i="122" s="1"/>
  <c r="D2495" i="122" s="1"/>
  <c r="D3165" i="122" s="1"/>
  <c r="D3835" i="122" s="1"/>
  <c r="D4505" i="122" s="1"/>
  <c r="D5175" i="122" s="1"/>
  <c r="C1155" i="122"/>
  <c r="C1825" i="122" s="1"/>
  <c r="C2495" i="122" s="1"/>
  <c r="C3165" i="122" s="1"/>
  <c r="C3835" i="122" s="1"/>
  <c r="C4505" i="122" s="1"/>
  <c r="C5175" i="122" s="1"/>
  <c r="B1155" i="122"/>
  <c r="B1825" i="122" s="1"/>
  <c r="B2495" i="122" s="1"/>
  <c r="B3165" i="122" s="1"/>
  <c r="B3835" i="122" s="1"/>
  <c r="B4505" i="122" s="1"/>
  <c r="B5175" i="122" s="1"/>
  <c r="A1155" i="122"/>
  <c r="A1825" i="122" s="1"/>
  <c r="A2495" i="122" s="1"/>
  <c r="A3165" i="122" s="1"/>
  <c r="A3835" i="122" s="1"/>
  <c r="A4505" i="122" s="1"/>
  <c r="A5175" i="122" s="1"/>
  <c r="M484" i="122"/>
  <c r="D1154" i="122"/>
  <c r="D1824" i="122" s="1"/>
  <c r="D2494" i="122" s="1"/>
  <c r="D3164" i="122" s="1"/>
  <c r="D3834" i="122" s="1"/>
  <c r="D4504" i="122" s="1"/>
  <c r="D5174" i="122" s="1"/>
  <c r="C1154" i="122"/>
  <c r="C1824" i="122" s="1"/>
  <c r="C2494" i="122" s="1"/>
  <c r="C3164" i="122" s="1"/>
  <c r="C3834" i="122" s="1"/>
  <c r="C4504" i="122" s="1"/>
  <c r="C5174" i="122" s="1"/>
  <c r="B1154" i="122"/>
  <c r="B1824" i="122" s="1"/>
  <c r="B2494" i="122" s="1"/>
  <c r="B3164" i="122" s="1"/>
  <c r="B3834" i="122" s="1"/>
  <c r="B4504" i="122" s="1"/>
  <c r="B5174" i="122" s="1"/>
  <c r="A1154" i="122"/>
  <c r="A1824" i="122" s="1"/>
  <c r="A2494" i="122" s="1"/>
  <c r="A3164" i="122" s="1"/>
  <c r="A3834" i="122" s="1"/>
  <c r="A4504" i="122" s="1"/>
  <c r="A5174" i="122" s="1"/>
  <c r="M483" i="122"/>
  <c r="E1153" i="122"/>
  <c r="E1823" i="122" s="1"/>
  <c r="E2493" i="122" s="1"/>
  <c r="E3163" i="122" s="1"/>
  <c r="E3833" i="122" s="1"/>
  <c r="E4503" i="122" s="1"/>
  <c r="E5173" i="122" s="1"/>
  <c r="D1153" i="122"/>
  <c r="D1823" i="122" s="1"/>
  <c r="D2493" i="122" s="1"/>
  <c r="D3163" i="122" s="1"/>
  <c r="D3833" i="122" s="1"/>
  <c r="D4503" i="122" s="1"/>
  <c r="D5173" i="122" s="1"/>
  <c r="C1153" i="122"/>
  <c r="C1823" i="122" s="1"/>
  <c r="C2493" i="122" s="1"/>
  <c r="C3163" i="122" s="1"/>
  <c r="C3833" i="122" s="1"/>
  <c r="C4503" i="122" s="1"/>
  <c r="C5173" i="122" s="1"/>
  <c r="B1153" i="122"/>
  <c r="B1823" i="122" s="1"/>
  <c r="B2493" i="122" s="1"/>
  <c r="B3163" i="122" s="1"/>
  <c r="B3833" i="122" s="1"/>
  <c r="B4503" i="122" s="1"/>
  <c r="B5173" i="122" s="1"/>
  <c r="A1153" i="122"/>
  <c r="A1823" i="122" s="1"/>
  <c r="A2493" i="122" s="1"/>
  <c r="A3163" i="122" s="1"/>
  <c r="A3833" i="122" s="1"/>
  <c r="A4503" i="122" s="1"/>
  <c r="A5173" i="122" s="1"/>
  <c r="M482" i="122"/>
  <c r="D1152" i="122"/>
  <c r="D1822" i="122" s="1"/>
  <c r="D2492" i="122" s="1"/>
  <c r="D3162" i="122" s="1"/>
  <c r="D3832" i="122" s="1"/>
  <c r="D4502" i="122" s="1"/>
  <c r="D5172" i="122" s="1"/>
  <c r="C1152" i="122"/>
  <c r="C1822" i="122" s="1"/>
  <c r="C2492" i="122" s="1"/>
  <c r="C3162" i="122" s="1"/>
  <c r="C3832" i="122" s="1"/>
  <c r="C4502" i="122" s="1"/>
  <c r="C5172" i="122" s="1"/>
  <c r="B1152" i="122"/>
  <c r="B1822" i="122" s="1"/>
  <c r="B2492" i="122" s="1"/>
  <c r="B3162" i="122" s="1"/>
  <c r="B3832" i="122" s="1"/>
  <c r="B4502" i="122" s="1"/>
  <c r="B5172" i="122" s="1"/>
  <c r="A1152" i="122"/>
  <c r="A1822" i="122" s="1"/>
  <c r="A2492" i="122" s="1"/>
  <c r="A3162" i="122" s="1"/>
  <c r="A3832" i="122" s="1"/>
  <c r="A4502" i="122" s="1"/>
  <c r="A5172" i="122" s="1"/>
  <c r="M481" i="122"/>
  <c r="D1151" i="122"/>
  <c r="D1821" i="122" s="1"/>
  <c r="D2491" i="122" s="1"/>
  <c r="D3161" i="122" s="1"/>
  <c r="D3831" i="122" s="1"/>
  <c r="D4501" i="122" s="1"/>
  <c r="D5171" i="122" s="1"/>
  <c r="C1151" i="122"/>
  <c r="C1821" i="122" s="1"/>
  <c r="C2491" i="122" s="1"/>
  <c r="C3161" i="122" s="1"/>
  <c r="C3831" i="122" s="1"/>
  <c r="C4501" i="122" s="1"/>
  <c r="C5171" i="122" s="1"/>
  <c r="B1151" i="122"/>
  <c r="B1821" i="122" s="1"/>
  <c r="B2491" i="122" s="1"/>
  <c r="B3161" i="122" s="1"/>
  <c r="B3831" i="122" s="1"/>
  <c r="B4501" i="122" s="1"/>
  <c r="B5171" i="122" s="1"/>
  <c r="A1151" i="122"/>
  <c r="A1821" i="122" s="1"/>
  <c r="A2491" i="122" s="1"/>
  <c r="A3161" i="122" s="1"/>
  <c r="A3831" i="122" s="1"/>
  <c r="A4501" i="122" s="1"/>
  <c r="A5171" i="122" s="1"/>
  <c r="M480" i="122"/>
  <c r="D1150" i="122"/>
  <c r="D1820" i="122" s="1"/>
  <c r="D2490" i="122" s="1"/>
  <c r="D3160" i="122" s="1"/>
  <c r="D3830" i="122" s="1"/>
  <c r="D4500" i="122" s="1"/>
  <c r="D5170" i="122" s="1"/>
  <c r="C1150" i="122"/>
  <c r="C1820" i="122" s="1"/>
  <c r="C2490" i="122" s="1"/>
  <c r="C3160" i="122" s="1"/>
  <c r="C3830" i="122" s="1"/>
  <c r="C4500" i="122" s="1"/>
  <c r="C5170" i="122" s="1"/>
  <c r="B1150" i="122"/>
  <c r="B1820" i="122" s="1"/>
  <c r="B2490" i="122" s="1"/>
  <c r="B3160" i="122" s="1"/>
  <c r="B3830" i="122" s="1"/>
  <c r="B4500" i="122" s="1"/>
  <c r="B5170" i="122" s="1"/>
  <c r="A1150" i="122"/>
  <c r="A1820" i="122" s="1"/>
  <c r="A2490" i="122" s="1"/>
  <c r="A3160" i="122" s="1"/>
  <c r="A3830" i="122" s="1"/>
  <c r="A4500" i="122" s="1"/>
  <c r="A5170" i="122" s="1"/>
  <c r="M479" i="122"/>
  <c r="D1149" i="122"/>
  <c r="D1819" i="122" s="1"/>
  <c r="D2489" i="122" s="1"/>
  <c r="D3159" i="122" s="1"/>
  <c r="D3829" i="122" s="1"/>
  <c r="D4499" i="122" s="1"/>
  <c r="D5169" i="122" s="1"/>
  <c r="C1149" i="122"/>
  <c r="C1819" i="122" s="1"/>
  <c r="C2489" i="122" s="1"/>
  <c r="C3159" i="122" s="1"/>
  <c r="C3829" i="122" s="1"/>
  <c r="C4499" i="122" s="1"/>
  <c r="C5169" i="122" s="1"/>
  <c r="B1149" i="122"/>
  <c r="B1819" i="122" s="1"/>
  <c r="B2489" i="122" s="1"/>
  <c r="B3159" i="122" s="1"/>
  <c r="B3829" i="122" s="1"/>
  <c r="B4499" i="122" s="1"/>
  <c r="B5169" i="122" s="1"/>
  <c r="A1149" i="122"/>
  <c r="A1819" i="122" s="1"/>
  <c r="A2489" i="122" s="1"/>
  <c r="A3159" i="122" s="1"/>
  <c r="A3829" i="122" s="1"/>
  <c r="A4499" i="122" s="1"/>
  <c r="A5169" i="122" s="1"/>
  <c r="M478" i="122"/>
  <c r="E1148" i="122"/>
  <c r="E1818" i="122" s="1"/>
  <c r="E2488" i="122" s="1"/>
  <c r="E3158" i="122" s="1"/>
  <c r="E3828" i="122" s="1"/>
  <c r="E4498" i="122" s="1"/>
  <c r="E5168" i="122" s="1"/>
  <c r="D1148" i="122"/>
  <c r="D1818" i="122" s="1"/>
  <c r="D2488" i="122" s="1"/>
  <c r="D3158" i="122" s="1"/>
  <c r="D3828" i="122" s="1"/>
  <c r="D4498" i="122" s="1"/>
  <c r="D5168" i="122" s="1"/>
  <c r="C1148" i="122"/>
  <c r="C1818" i="122" s="1"/>
  <c r="C2488" i="122" s="1"/>
  <c r="C3158" i="122" s="1"/>
  <c r="C3828" i="122" s="1"/>
  <c r="C4498" i="122" s="1"/>
  <c r="C5168" i="122" s="1"/>
  <c r="B1148" i="122"/>
  <c r="B1818" i="122" s="1"/>
  <c r="B2488" i="122" s="1"/>
  <c r="B3158" i="122" s="1"/>
  <c r="B3828" i="122" s="1"/>
  <c r="B4498" i="122" s="1"/>
  <c r="B5168" i="122" s="1"/>
  <c r="A1148" i="122"/>
  <c r="A1818" i="122" s="1"/>
  <c r="A2488" i="122" s="1"/>
  <c r="A3158" i="122" s="1"/>
  <c r="A3828" i="122" s="1"/>
  <c r="A4498" i="122" s="1"/>
  <c r="A5168" i="122" s="1"/>
  <c r="M477" i="122"/>
  <c r="E1147" i="122"/>
  <c r="E1817" i="122" s="1"/>
  <c r="E2487" i="122" s="1"/>
  <c r="E3157" i="122" s="1"/>
  <c r="E3827" i="122" s="1"/>
  <c r="E4497" i="122" s="1"/>
  <c r="E5167" i="122" s="1"/>
  <c r="D1147" i="122"/>
  <c r="D1817" i="122" s="1"/>
  <c r="D2487" i="122" s="1"/>
  <c r="D3157" i="122" s="1"/>
  <c r="D3827" i="122" s="1"/>
  <c r="D4497" i="122" s="1"/>
  <c r="D5167" i="122" s="1"/>
  <c r="C1147" i="122"/>
  <c r="C1817" i="122" s="1"/>
  <c r="C2487" i="122" s="1"/>
  <c r="C3157" i="122" s="1"/>
  <c r="C3827" i="122" s="1"/>
  <c r="C4497" i="122" s="1"/>
  <c r="C5167" i="122" s="1"/>
  <c r="B1147" i="122"/>
  <c r="B1817" i="122" s="1"/>
  <c r="B2487" i="122" s="1"/>
  <c r="B3157" i="122" s="1"/>
  <c r="B3827" i="122" s="1"/>
  <c r="B4497" i="122" s="1"/>
  <c r="B5167" i="122" s="1"/>
  <c r="A1147" i="122"/>
  <c r="A1817" i="122" s="1"/>
  <c r="A2487" i="122" s="1"/>
  <c r="A3157" i="122" s="1"/>
  <c r="A3827" i="122" s="1"/>
  <c r="A4497" i="122" s="1"/>
  <c r="A5167" i="122" s="1"/>
  <c r="M476" i="122"/>
  <c r="D1146" i="122"/>
  <c r="D1816" i="122" s="1"/>
  <c r="D2486" i="122" s="1"/>
  <c r="D3156" i="122" s="1"/>
  <c r="D3826" i="122" s="1"/>
  <c r="D4496" i="122" s="1"/>
  <c r="D5166" i="122" s="1"/>
  <c r="C1146" i="122"/>
  <c r="C1816" i="122" s="1"/>
  <c r="C2486" i="122" s="1"/>
  <c r="C3156" i="122" s="1"/>
  <c r="C3826" i="122" s="1"/>
  <c r="C4496" i="122" s="1"/>
  <c r="C5166" i="122" s="1"/>
  <c r="B1146" i="122"/>
  <c r="B1816" i="122" s="1"/>
  <c r="B2486" i="122" s="1"/>
  <c r="B3156" i="122" s="1"/>
  <c r="B3826" i="122" s="1"/>
  <c r="B4496" i="122" s="1"/>
  <c r="B5166" i="122" s="1"/>
  <c r="A1146" i="122"/>
  <c r="A1816" i="122" s="1"/>
  <c r="A2486" i="122" s="1"/>
  <c r="A3156" i="122" s="1"/>
  <c r="A3826" i="122" s="1"/>
  <c r="A4496" i="122" s="1"/>
  <c r="A5166" i="122" s="1"/>
  <c r="M475" i="122"/>
  <c r="E1145" i="122"/>
  <c r="E1815" i="122" s="1"/>
  <c r="E2485" i="122" s="1"/>
  <c r="E3155" i="122" s="1"/>
  <c r="E3825" i="122" s="1"/>
  <c r="E4495" i="122" s="1"/>
  <c r="E5165" i="122" s="1"/>
  <c r="D1145" i="122"/>
  <c r="D1815" i="122" s="1"/>
  <c r="D2485" i="122" s="1"/>
  <c r="D3155" i="122" s="1"/>
  <c r="D3825" i="122" s="1"/>
  <c r="D4495" i="122" s="1"/>
  <c r="D5165" i="122" s="1"/>
  <c r="C1145" i="122"/>
  <c r="C1815" i="122" s="1"/>
  <c r="C2485" i="122" s="1"/>
  <c r="C3155" i="122" s="1"/>
  <c r="C3825" i="122" s="1"/>
  <c r="C4495" i="122" s="1"/>
  <c r="C5165" i="122" s="1"/>
  <c r="B1145" i="122"/>
  <c r="B1815" i="122" s="1"/>
  <c r="B2485" i="122" s="1"/>
  <c r="B3155" i="122" s="1"/>
  <c r="B3825" i="122" s="1"/>
  <c r="B4495" i="122" s="1"/>
  <c r="B5165" i="122" s="1"/>
  <c r="A1145" i="122"/>
  <c r="A1815" i="122" s="1"/>
  <c r="A2485" i="122" s="1"/>
  <c r="A3155" i="122" s="1"/>
  <c r="A3825" i="122" s="1"/>
  <c r="A4495" i="122" s="1"/>
  <c r="A5165" i="122" s="1"/>
  <c r="M474" i="122"/>
  <c r="D1144" i="122"/>
  <c r="D1814" i="122" s="1"/>
  <c r="D2484" i="122" s="1"/>
  <c r="D3154" i="122" s="1"/>
  <c r="D3824" i="122" s="1"/>
  <c r="D4494" i="122" s="1"/>
  <c r="D5164" i="122" s="1"/>
  <c r="C1144" i="122"/>
  <c r="C1814" i="122" s="1"/>
  <c r="C2484" i="122" s="1"/>
  <c r="C3154" i="122" s="1"/>
  <c r="C3824" i="122" s="1"/>
  <c r="C4494" i="122" s="1"/>
  <c r="C5164" i="122" s="1"/>
  <c r="B1144" i="122"/>
  <c r="B1814" i="122" s="1"/>
  <c r="B2484" i="122" s="1"/>
  <c r="B3154" i="122" s="1"/>
  <c r="B3824" i="122" s="1"/>
  <c r="B4494" i="122" s="1"/>
  <c r="B5164" i="122" s="1"/>
  <c r="A1144" i="122"/>
  <c r="A1814" i="122" s="1"/>
  <c r="A2484" i="122" s="1"/>
  <c r="A3154" i="122" s="1"/>
  <c r="A3824" i="122" s="1"/>
  <c r="A4494" i="122" s="1"/>
  <c r="A5164" i="122" s="1"/>
  <c r="M473" i="122"/>
  <c r="E1143" i="122"/>
  <c r="E1813" i="122" s="1"/>
  <c r="E2483" i="122" s="1"/>
  <c r="E3153" i="122" s="1"/>
  <c r="E3823" i="122" s="1"/>
  <c r="E4493" i="122" s="1"/>
  <c r="E5163" i="122" s="1"/>
  <c r="D1143" i="122"/>
  <c r="D1813" i="122" s="1"/>
  <c r="D2483" i="122" s="1"/>
  <c r="D3153" i="122" s="1"/>
  <c r="D3823" i="122" s="1"/>
  <c r="D4493" i="122" s="1"/>
  <c r="D5163" i="122" s="1"/>
  <c r="C1143" i="122"/>
  <c r="C1813" i="122" s="1"/>
  <c r="C2483" i="122" s="1"/>
  <c r="C3153" i="122" s="1"/>
  <c r="C3823" i="122" s="1"/>
  <c r="C4493" i="122" s="1"/>
  <c r="C5163" i="122" s="1"/>
  <c r="B1143" i="122"/>
  <c r="B1813" i="122" s="1"/>
  <c r="B2483" i="122" s="1"/>
  <c r="B3153" i="122" s="1"/>
  <c r="B3823" i="122" s="1"/>
  <c r="B4493" i="122" s="1"/>
  <c r="B5163" i="122" s="1"/>
  <c r="A1143" i="122"/>
  <c r="A1813" i="122" s="1"/>
  <c r="A2483" i="122" s="1"/>
  <c r="A3153" i="122" s="1"/>
  <c r="A3823" i="122" s="1"/>
  <c r="A4493" i="122" s="1"/>
  <c r="A5163" i="122" s="1"/>
  <c r="M472" i="122"/>
  <c r="D1142" i="122"/>
  <c r="D1812" i="122" s="1"/>
  <c r="D2482" i="122" s="1"/>
  <c r="D3152" i="122" s="1"/>
  <c r="D3822" i="122" s="1"/>
  <c r="D4492" i="122" s="1"/>
  <c r="D5162" i="122" s="1"/>
  <c r="C1142" i="122"/>
  <c r="C1812" i="122" s="1"/>
  <c r="C2482" i="122" s="1"/>
  <c r="C3152" i="122" s="1"/>
  <c r="C3822" i="122" s="1"/>
  <c r="C4492" i="122" s="1"/>
  <c r="C5162" i="122" s="1"/>
  <c r="B1142" i="122"/>
  <c r="B1812" i="122" s="1"/>
  <c r="B2482" i="122" s="1"/>
  <c r="B3152" i="122" s="1"/>
  <c r="B3822" i="122" s="1"/>
  <c r="B4492" i="122" s="1"/>
  <c r="B5162" i="122" s="1"/>
  <c r="A1142" i="122"/>
  <c r="A1812" i="122" s="1"/>
  <c r="A2482" i="122" s="1"/>
  <c r="A3152" i="122" s="1"/>
  <c r="A3822" i="122" s="1"/>
  <c r="A4492" i="122" s="1"/>
  <c r="A5162" i="122" s="1"/>
  <c r="M471" i="122"/>
  <c r="E1141" i="122"/>
  <c r="E1811" i="122" s="1"/>
  <c r="E2481" i="122" s="1"/>
  <c r="E3151" i="122" s="1"/>
  <c r="E3821" i="122" s="1"/>
  <c r="E4491" i="122" s="1"/>
  <c r="E5161" i="122" s="1"/>
  <c r="D1141" i="122"/>
  <c r="D1811" i="122" s="1"/>
  <c r="D2481" i="122" s="1"/>
  <c r="D3151" i="122" s="1"/>
  <c r="D3821" i="122" s="1"/>
  <c r="D4491" i="122" s="1"/>
  <c r="D5161" i="122" s="1"/>
  <c r="C1141" i="122"/>
  <c r="C1811" i="122" s="1"/>
  <c r="C2481" i="122" s="1"/>
  <c r="C3151" i="122" s="1"/>
  <c r="C3821" i="122" s="1"/>
  <c r="C4491" i="122" s="1"/>
  <c r="C5161" i="122" s="1"/>
  <c r="B1141" i="122"/>
  <c r="B1811" i="122" s="1"/>
  <c r="B2481" i="122" s="1"/>
  <c r="B3151" i="122" s="1"/>
  <c r="B3821" i="122" s="1"/>
  <c r="B4491" i="122" s="1"/>
  <c r="B5161" i="122" s="1"/>
  <c r="A1141" i="122"/>
  <c r="A1811" i="122" s="1"/>
  <c r="A2481" i="122" s="1"/>
  <c r="A3151" i="122" s="1"/>
  <c r="A3821" i="122" s="1"/>
  <c r="A4491" i="122" s="1"/>
  <c r="A5161" i="122" s="1"/>
  <c r="M470" i="122"/>
  <c r="D1140" i="122"/>
  <c r="D1810" i="122" s="1"/>
  <c r="D2480" i="122" s="1"/>
  <c r="D3150" i="122" s="1"/>
  <c r="D3820" i="122" s="1"/>
  <c r="D4490" i="122" s="1"/>
  <c r="D5160" i="122" s="1"/>
  <c r="C1140" i="122"/>
  <c r="C1810" i="122" s="1"/>
  <c r="C2480" i="122" s="1"/>
  <c r="C3150" i="122" s="1"/>
  <c r="C3820" i="122" s="1"/>
  <c r="C4490" i="122" s="1"/>
  <c r="C5160" i="122" s="1"/>
  <c r="B1140" i="122"/>
  <c r="B1810" i="122" s="1"/>
  <c r="B2480" i="122" s="1"/>
  <c r="B3150" i="122" s="1"/>
  <c r="B3820" i="122" s="1"/>
  <c r="B4490" i="122" s="1"/>
  <c r="B5160" i="122" s="1"/>
  <c r="A1140" i="122"/>
  <c r="A1810" i="122" s="1"/>
  <c r="A2480" i="122" s="1"/>
  <c r="A3150" i="122" s="1"/>
  <c r="A3820" i="122" s="1"/>
  <c r="A4490" i="122" s="1"/>
  <c r="A5160" i="122" s="1"/>
  <c r="M469" i="122"/>
  <c r="D1139" i="122"/>
  <c r="D1809" i="122" s="1"/>
  <c r="D2479" i="122" s="1"/>
  <c r="D3149" i="122" s="1"/>
  <c r="D3819" i="122" s="1"/>
  <c r="D4489" i="122" s="1"/>
  <c r="D5159" i="122" s="1"/>
  <c r="C1139" i="122"/>
  <c r="C1809" i="122" s="1"/>
  <c r="C2479" i="122" s="1"/>
  <c r="C3149" i="122" s="1"/>
  <c r="C3819" i="122" s="1"/>
  <c r="C4489" i="122" s="1"/>
  <c r="C5159" i="122" s="1"/>
  <c r="B1139" i="122"/>
  <c r="B1809" i="122" s="1"/>
  <c r="B2479" i="122" s="1"/>
  <c r="B3149" i="122" s="1"/>
  <c r="B3819" i="122" s="1"/>
  <c r="B4489" i="122" s="1"/>
  <c r="B5159" i="122" s="1"/>
  <c r="A1139" i="122"/>
  <c r="A1809" i="122" s="1"/>
  <c r="A2479" i="122" s="1"/>
  <c r="A3149" i="122" s="1"/>
  <c r="A3819" i="122" s="1"/>
  <c r="A4489" i="122" s="1"/>
  <c r="A5159" i="122" s="1"/>
  <c r="M468" i="122"/>
  <c r="D1138" i="122"/>
  <c r="D1808" i="122" s="1"/>
  <c r="D2478" i="122" s="1"/>
  <c r="D3148" i="122" s="1"/>
  <c r="D3818" i="122" s="1"/>
  <c r="D4488" i="122" s="1"/>
  <c r="D5158" i="122" s="1"/>
  <c r="C1138" i="122"/>
  <c r="C1808" i="122" s="1"/>
  <c r="C2478" i="122" s="1"/>
  <c r="C3148" i="122" s="1"/>
  <c r="C3818" i="122" s="1"/>
  <c r="C4488" i="122" s="1"/>
  <c r="C5158" i="122" s="1"/>
  <c r="B1138" i="122"/>
  <c r="B1808" i="122" s="1"/>
  <c r="B2478" i="122" s="1"/>
  <c r="B3148" i="122" s="1"/>
  <c r="B3818" i="122" s="1"/>
  <c r="B4488" i="122" s="1"/>
  <c r="B5158" i="122" s="1"/>
  <c r="A1138" i="122"/>
  <c r="A1808" i="122" s="1"/>
  <c r="A2478" i="122" s="1"/>
  <c r="A3148" i="122" s="1"/>
  <c r="A3818" i="122" s="1"/>
  <c r="A4488" i="122" s="1"/>
  <c r="A5158" i="122" s="1"/>
  <c r="M467" i="122"/>
  <c r="D1137" i="122"/>
  <c r="D1807" i="122" s="1"/>
  <c r="D2477" i="122" s="1"/>
  <c r="D3147" i="122" s="1"/>
  <c r="D3817" i="122" s="1"/>
  <c r="D4487" i="122" s="1"/>
  <c r="D5157" i="122" s="1"/>
  <c r="C1137" i="122"/>
  <c r="C1807" i="122" s="1"/>
  <c r="C2477" i="122" s="1"/>
  <c r="C3147" i="122" s="1"/>
  <c r="C3817" i="122" s="1"/>
  <c r="C4487" i="122" s="1"/>
  <c r="C5157" i="122" s="1"/>
  <c r="B1137" i="122"/>
  <c r="B1807" i="122" s="1"/>
  <c r="B2477" i="122" s="1"/>
  <c r="B3147" i="122" s="1"/>
  <c r="B3817" i="122" s="1"/>
  <c r="B4487" i="122" s="1"/>
  <c r="B5157" i="122" s="1"/>
  <c r="A1137" i="122"/>
  <c r="A1807" i="122" s="1"/>
  <c r="A2477" i="122" s="1"/>
  <c r="A3147" i="122" s="1"/>
  <c r="A3817" i="122" s="1"/>
  <c r="A4487" i="122" s="1"/>
  <c r="A5157" i="122" s="1"/>
  <c r="M466" i="122"/>
  <c r="D1136" i="122"/>
  <c r="D1806" i="122" s="1"/>
  <c r="D2476" i="122" s="1"/>
  <c r="D3146" i="122" s="1"/>
  <c r="D3816" i="122" s="1"/>
  <c r="D4486" i="122" s="1"/>
  <c r="D5156" i="122" s="1"/>
  <c r="C1136" i="122"/>
  <c r="C1806" i="122" s="1"/>
  <c r="C2476" i="122" s="1"/>
  <c r="C3146" i="122" s="1"/>
  <c r="C3816" i="122" s="1"/>
  <c r="C4486" i="122" s="1"/>
  <c r="C5156" i="122" s="1"/>
  <c r="B1136" i="122"/>
  <c r="B1806" i="122" s="1"/>
  <c r="B2476" i="122" s="1"/>
  <c r="B3146" i="122" s="1"/>
  <c r="B3816" i="122" s="1"/>
  <c r="B4486" i="122" s="1"/>
  <c r="B5156" i="122" s="1"/>
  <c r="A1136" i="122"/>
  <c r="A1806" i="122" s="1"/>
  <c r="A2476" i="122" s="1"/>
  <c r="A3146" i="122" s="1"/>
  <c r="A3816" i="122" s="1"/>
  <c r="A4486" i="122" s="1"/>
  <c r="A5156" i="122" s="1"/>
  <c r="M465" i="122"/>
  <c r="D1135" i="122"/>
  <c r="D1805" i="122" s="1"/>
  <c r="D2475" i="122" s="1"/>
  <c r="D3145" i="122" s="1"/>
  <c r="D3815" i="122" s="1"/>
  <c r="D4485" i="122" s="1"/>
  <c r="D5155" i="122" s="1"/>
  <c r="C1135" i="122"/>
  <c r="C1805" i="122" s="1"/>
  <c r="C2475" i="122" s="1"/>
  <c r="C3145" i="122" s="1"/>
  <c r="C3815" i="122" s="1"/>
  <c r="C4485" i="122" s="1"/>
  <c r="C5155" i="122" s="1"/>
  <c r="B1135" i="122"/>
  <c r="B1805" i="122" s="1"/>
  <c r="B2475" i="122" s="1"/>
  <c r="B3145" i="122" s="1"/>
  <c r="B3815" i="122" s="1"/>
  <c r="B4485" i="122" s="1"/>
  <c r="B5155" i="122" s="1"/>
  <c r="A1135" i="122"/>
  <c r="A1805" i="122" s="1"/>
  <c r="A2475" i="122" s="1"/>
  <c r="A3145" i="122" s="1"/>
  <c r="A3815" i="122" s="1"/>
  <c r="A4485" i="122" s="1"/>
  <c r="A5155" i="122" s="1"/>
  <c r="M464" i="122"/>
  <c r="D1134" i="122"/>
  <c r="D1804" i="122" s="1"/>
  <c r="D2474" i="122" s="1"/>
  <c r="D3144" i="122" s="1"/>
  <c r="D3814" i="122" s="1"/>
  <c r="D4484" i="122" s="1"/>
  <c r="D5154" i="122" s="1"/>
  <c r="C1134" i="122"/>
  <c r="C1804" i="122" s="1"/>
  <c r="C2474" i="122" s="1"/>
  <c r="C3144" i="122" s="1"/>
  <c r="C3814" i="122" s="1"/>
  <c r="C4484" i="122" s="1"/>
  <c r="C5154" i="122" s="1"/>
  <c r="B1134" i="122"/>
  <c r="B1804" i="122" s="1"/>
  <c r="B2474" i="122" s="1"/>
  <c r="B3144" i="122" s="1"/>
  <c r="B3814" i="122" s="1"/>
  <c r="B4484" i="122" s="1"/>
  <c r="B5154" i="122" s="1"/>
  <c r="A1134" i="122"/>
  <c r="A1804" i="122" s="1"/>
  <c r="A2474" i="122" s="1"/>
  <c r="A3144" i="122" s="1"/>
  <c r="A3814" i="122" s="1"/>
  <c r="A4484" i="122" s="1"/>
  <c r="A5154" i="122" s="1"/>
  <c r="M463" i="122"/>
  <c r="D1133" i="122"/>
  <c r="D1803" i="122" s="1"/>
  <c r="D2473" i="122" s="1"/>
  <c r="D3143" i="122" s="1"/>
  <c r="D3813" i="122" s="1"/>
  <c r="D4483" i="122" s="1"/>
  <c r="D5153" i="122" s="1"/>
  <c r="C1133" i="122"/>
  <c r="C1803" i="122" s="1"/>
  <c r="C2473" i="122" s="1"/>
  <c r="C3143" i="122" s="1"/>
  <c r="C3813" i="122" s="1"/>
  <c r="C4483" i="122" s="1"/>
  <c r="C5153" i="122" s="1"/>
  <c r="B1133" i="122"/>
  <c r="B1803" i="122" s="1"/>
  <c r="B2473" i="122" s="1"/>
  <c r="B3143" i="122" s="1"/>
  <c r="B3813" i="122" s="1"/>
  <c r="B4483" i="122" s="1"/>
  <c r="B5153" i="122" s="1"/>
  <c r="A1133" i="122"/>
  <c r="A1803" i="122" s="1"/>
  <c r="A2473" i="122" s="1"/>
  <c r="A3143" i="122" s="1"/>
  <c r="A3813" i="122" s="1"/>
  <c r="A4483" i="122" s="1"/>
  <c r="A5153" i="122" s="1"/>
  <c r="M462" i="122"/>
  <c r="D1132" i="122"/>
  <c r="D1802" i="122" s="1"/>
  <c r="D2472" i="122" s="1"/>
  <c r="D3142" i="122" s="1"/>
  <c r="D3812" i="122" s="1"/>
  <c r="D4482" i="122" s="1"/>
  <c r="D5152" i="122" s="1"/>
  <c r="C1132" i="122"/>
  <c r="C1802" i="122" s="1"/>
  <c r="C2472" i="122" s="1"/>
  <c r="C3142" i="122" s="1"/>
  <c r="C3812" i="122" s="1"/>
  <c r="C4482" i="122" s="1"/>
  <c r="C5152" i="122" s="1"/>
  <c r="B1132" i="122"/>
  <c r="B1802" i="122" s="1"/>
  <c r="B2472" i="122" s="1"/>
  <c r="B3142" i="122" s="1"/>
  <c r="B3812" i="122" s="1"/>
  <c r="B4482" i="122" s="1"/>
  <c r="B5152" i="122" s="1"/>
  <c r="A1132" i="122"/>
  <c r="A1802" i="122" s="1"/>
  <c r="A2472" i="122" s="1"/>
  <c r="A3142" i="122" s="1"/>
  <c r="A3812" i="122" s="1"/>
  <c r="A4482" i="122" s="1"/>
  <c r="A5152" i="122" s="1"/>
  <c r="M461" i="122"/>
  <c r="D1131" i="122"/>
  <c r="D1801" i="122" s="1"/>
  <c r="D2471" i="122" s="1"/>
  <c r="D3141" i="122" s="1"/>
  <c r="D3811" i="122" s="1"/>
  <c r="D4481" i="122" s="1"/>
  <c r="D5151" i="122" s="1"/>
  <c r="C1131" i="122"/>
  <c r="C1801" i="122" s="1"/>
  <c r="C2471" i="122" s="1"/>
  <c r="C3141" i="122" s="1"/>
  <c r="C3811" i="122" s="1"/>
  <c r="C4481" i="122" s="1"/>
  <c r="C5151" i="122" s="1"/>
  <c r="B1131" i="122"/>
  <c r="B1801" i="122" s="1"/>
  <c r="B2471" i="122" s="1"/>
  <c r="B3141" i="122" s="1"/>
  <c r="B3811" i="122" s="1"/>
  <c r="B4481" i="122" s="1"/>
  <c r="B5151" i="122" s="1"/>
  <c r="A1131" i="122"/>
  <c r="A1801" i="122" s="1"/>
  <c r="A2471" i="122" s="1"/>
  <c r="A3141" i="122" s="1"/>
  <c r="A3811" i="122" s="1"/>
  <c r="A4481" i="122" s="1"/>
  <c r="A5151" i="122" s="1"/>
  <c r="M460" i="122"/>
  <c r="D1130" i="122"/>
  <c r="D1800" i="122" s="1"/>
  <c r="D2470" i="122" s="1"/>
  <c r="D3140" i="122" s="1"/>
  <c r="D3810" i="122" s="1"/>
  <c r="D4480" i="122" s="1"/>
  <c r="D5150" i="122" s="1"/>
  <c r="C1130" i="122"/>
  <c r="C1800" i="122" s="1"/>
  <c r="C2470" i="122" s="1"/>
  <c r="C3140" i="122" s="1"/>
  <c r="C3810" i="122" s="1"/>
  <c r="C4480" i="122" s="1"/>
  <c r="C5150" i="122" s="1"/>
  <c r="B1130" i="122"/>
  <c r="B1800" i="122" s="1"/>
  <c r="B2470" i="122" s="1"/>
  <c r="B3140" i="122" s="1"/>
  <c r="B3810" i="122" s="1"/>
  <c r="B4480" i="122" s="1"/>
  <c r="B5150" i="122" s="1"/>
  <c r="A1130" i="122"/>
  <c r="A1800" i="122" s="1"/>
  <c r="A2470" i="122" s="1"/>
  <c r="A3140" i="122" s="1"/>
  <c r="A3810" i="122" s="1"/>
  <c r="A4480" i="122" s="1"/>
  <c r="A5150" i="122" s="1"/>
  <c r="M459" i="122"/>
  <c r="D1129" i="122"/>
  <c r="D1799" i="122" s="1"/>
  <c r="D2469" i="122" s="1"/>
  <c r="D3139" i="122" s="1"/>
  <c r="D3809" i="122" s="1"/>
  <c r="D4479" i="122" s="1"/>
  <c r="D5149" i="122" s="1"/>
  <c r="C1129" i="122"/>
  <c r="C1799" i="122" s="1"/>
  <c r="C2469" i="122" s="1"/>
  <c r="C3139" i="122" s="1"/>
  <c r="C3809" i="122" s="1"/>
  <c r="C4479" i="122" s="1"/>
  <c r="C5149" i="122" s="1"/>
  <c r="B1129" i="122"/>
  <c r="B1799" i="122" s="1"/>
  <c r="B2469" i="122" s="1"/>
  <c r="B3139" i="122" s="1"/>
  <c r="B3809" i="122" s="1"/>
  <c r="B4479" i="122" s="1"/>
  <c r="B5149" i="122" s="1"/>
  <c r="A1129" i="122"/>
  <c r="A1799" i="122" s="1"/>
  <c r="A2469" i="122" s="1"/>
  <c r="A3139" i="122" s="1"/>
  <c r="A3809" i="122" s="1"/>
  <c r="A4479" i="122" s="1"/>
  <c r="A5149" i="122" s="1"/>
  <c r="M458" i="122"/>
  <c r="E1128" i="122"/>
  <c r="E1798" i="122" s="1"/>
  <c r="E2468" i="122" s="1"/>
  <c r="E3138" i="122" s="1"/>
  <c r="E3808" i="122" s="1"/>
  <c r="E4478" i="122" s="1"/>
  <c r="E5148" i="122" s="1"/>
  <c r="D1128" i="122"/>
  <c r="D1798" i="122" s="1"/>
  <c r="D2468" i="122" s="1"/>
  <c r="D3138" i="122" s="1"/>
  <c r="D3808" i="122" s="1"/>
  <c r="D4478" i="122" s="1"/>
  <c r="D5148" i="122" s="1"/>
  <c r="C1128" i="122"/>
  <c r="C1798" i="122" s="1"/>
  <c r="C2468" i="122" s="1"/>
  <c r="C3138" i="122" s="1"/>
  <c r="C3808" i="122" s="1"/>
  <c r="C4478" i="122" s="1"/>
  <c r="C5148" i="122" s="1"/>
  <c r="B1128" i="122"/>
  <c r="B1798" i="122" s="1"/>
  <c r="B2468" i="122" s="1"/>
  <c r="B3138" i="122" s="1"/>
  <c r="B3808" i="122" s="1"/>
  <c r="B4478" i="122" s="1"/>
  <c r="B5148" i="122" s="1"/>
  <c r="A1128" i="122"/>
  <c r="A1798" i="122" s="1"/>
  <c r="A2468" i="122" s="1"/>
  <c r="A3138" i="122" s="1"/>
  <c r="A3808" i="122" s="1"/>
  <c r="A4478" i="122" s="1"/>
  <c r="A5148" i="122" s="1"/>
  <c r="M457" i="122"/>
  <c r="D1127" i="122"/>
  <c r="D1797" i="122" s="1"/>
  <c r="D2467" i="122" s="1"/>
  <c r="D3137" i="122" s="1"/>
  <c r="D3807" i="122" s="1"/>
  <c r="D4477" i="122" s="1"/>
  <c r="D5147" i="122" s="1"/>
  <c r="C1127" i="122"/>
  <c r="C1797" i="122" s="1"/>
  <c r="C2467" i="122" s="1"/>
  <c r="C3137" i="122" s="1"/>
  <c r="C3807" i="122" s="1"/>
  <c r="C4477" i="122" s="1"/>
  <c r="C5147" i="122" s="1"/>
  <c r="B1127" i="122"/>
  <c r="B1797" i="122" s="1"/>
  <c r="B2467" i="122" s="1"/>
  <c r="B3137" i="122" s="1"/>
  <c r="B3807" i="122" s="1"/>
  <c r="B4477" i="122" s="1"/>
  <c r="B5147" i="122" s="1"/>
  <c r="A1127" i="122"/>
  <c r="A1797" i="122" s="1"/>
  <c r="A2467" i="122" s="1"/>
  <c r="A3137" i="122" s="1"/>
  <c r="A3807" i="122" s="1"/>
  <c r="A4477" i="122" s="1"/>
  <c r="A5147" i="122" s="1"/>
  <c r="M456" i="122"/>
  <c r="E1126" i="122"/>
  <c r="E1796" i="122" s="1"/>
  <c r="E2466" i="122" s="1"/>
  <c r="E3136" i="122" s="1"/>
  <c r="E3806" i="122" s="1"/>
  <c r="E4476" i="122" s="1"/>
  <c r="E5146" i="122" s="1"/>
  <c r="D1126" i="122"/>
  <c r="D1796" i="122" s="1"/>
  <c r="D2466" i="122" s="1"/>
  <c r="D3136" i="122" s="1"/>
  <c r="D3806" i="122" s="1"/>
  <c r="D4476" i="122" s="1"/>
  <c r="D5146" i="122" s="1"/>
  <c r="C1126" i="122"/>
  <c r="C1796" i="122" s="1"/>
  <c r="C2466" i="122" s="1"/>
  <c r="C3136" i="122" s="1"/>
  <c r="C3806" i="122" s="1"/>
  <c r="C4476" i="122" s="1"/>
  <c r="C5146" i="122" s="1"/>
  <c r="B1126" i="122"/>
  <c r="B1796" i="122" s="1"/>
  <c r="B2466" i="122" s="1"/>
  <c r="B3136" i="122" s="1"/>
  <c r="B3806" i="122" s="1"/>
  <c r="B4476" i="122" s="1"/>
  <c r="B5146" i="122" s="1"/>
  <c r="A1126" i="122"/>
  <c r="A1796" i="122" s="1"/>
  <c r="A2466" i="122" s="1"/>
  <c r="A3136" i="122" s="1"/>
  <c r="A3806" i="122" s="1"/>
  <c r="A4476" i="122" s="1"/>
  <c r="A5146" i="122" s="1"/>
  <c r="M455" i="122"/>
  <c r="E1125" i="122"/>
  <c r="E1795" i="122" s="1"/>
  <c r="E2465" i="122" s="1"/>
  <c r="E3135" i="122" s="1"/>
  <c r="E3805" i="122" s="1"/>
  <c r="E4475" i="122" s="1"/>
  <c r="E5145" i="122" s="1"/>
  <c r="D1125" i="122"/>
  <c r="D1795" i="122" s="1"/>
  <c r="D2465" i="122" s="1"/>
  <c r="D3135" i="122" s="1"/>
  <c r="D3805" i="122" s="1"/>
  <c r="D4475" i="122" s="1"/>
  <c r="D5145" i="122" s="1"/>
  <c r="C1125" i="122"/>
  <c r="C1795" i="122" s="1"/>
  <c r="C2465" i="122" s="1"/>
  <c r="C3135" i="122" s="1"/>
  <c r="C3805" i="122" s="1"/>
  <c r="C4475" i="122" s="1"/>
  <c r="C5145" i="122" s="1"/>
  <c r="B1125" i="122"/>
  <c r="B1795" i="122" s="1"/>
  <c r="B2465" i="122" s="1"/>
  <c r="B3135" i="122" s="1"/>
  <c r="B3805" i="122" s="1"/>
  <c r="B4475" i="122" s="1"/>
  <c r="B5145" i="122" s="1"/>
  <c r="A1125" i="122"/>
  <c r="A1795" i="122" s="1"/>
  <c r="A2465" i="122" s="1"/>
  <c r="A3135" i="122" s="1"/>
  <c r="A3805" i="122" s="1"/>
  <c r="A4475" i="122" s="1"/>
  <c r="A5145" i="122" s="1"/>
  <c r="M454" i="122"/>
  <c r="E1124" i="122"/>
  <c r="E1794" i="122" s="1"/>
  <c r="E2464" i="122" s="1"/>
  <c r="E3134" i="122" s="1"/>
  <c r="E3804" i="122" s="1"/>
  <c r="E4474" i="122" s="1"/>
  <c r="E5144" i="122" s="1"/>
  <c r="D1124" i="122"/>
  <c r="D1794" i="122" s="1"/>
  <c r="D2464" i="122" s="1"/>
  <c r="D3134" i="122" s="1"/>
  <c r="D3804" i="122" s="1"/>
  <c r="D4474" i="122" s="1"/>
  <c r="D5144" i="122" s="1"/>
  <c r="C1124" i="122"/>
  <c r="C1794" i="122" s="1"/>
  <c r="C2464" i="122" s="1"/>
  <c r="C3134" i="122" s="1"/>
  <c r="C3804" i="122" s="1"/>
  <c r="C4474" i="122" s="1"/>
  <c r="C5144" i="122" s="1"/>
  <c r="B1124" i="122"/>
  <c r="B1794" i="122" s="1"/>
  <c r="B2464" i="122" s="1"/>
  <c r="B3134" i="122" s="1"/>
  <c r="B3804" i="122" s="1"/>
  <c r="B4474" i="122" s="1"/>
  <c r="B5144" i="122" s="1"/>
  <c r="A1124" i="122"/>
  <c r="A1794" i="122" s="1"/>
  <c r="A2464" i="122" s="1"/>
  <c r="A3134" i="122" s="1"/>
  <c r="A3804" i="122" s="1"/>
  <c r="A4474" i="122" s="1"/>
  <c r="A5144" i="122" s="1"/>
  <c r="M453" i="122"/>
  <c r="E1123" i="122"/>
  <c r="E1793" i="122" s="1"/>
  <c r="E2463" i="122" s="1"/>
  <c r="E3133" i="122" s="1"/>
  <c r="E3803" i="122" s="1"/>
  <c r="E4473" i="122" s="1"/>
  <c r="E5143" i="122" s="1"/>
  <c r="D1123" i="122"/>
  <c r="D1793" i="122" s="1"/>
  <c r="D2463" i="122" s="1"/>
  <c r="D3133" i="122" s="1"/>
  <c r="D3803" i="122" s="1"/>
  <c r="D4473" i="122" s="1"/>
  <c r="D5143" i="122" s="1"/>
  <c r="C1123" i="122"/>
  <c r="C1793" i="122" s="1"/>
  <c r="C2463" i="122" s="1"/>
  <c r="C3133" i="122" s="1"/>
  <c r="C3803" i="122" s="1"/>
  <c r="C4473" i="122" s="1"/>
  <c r="C5143" i="122" s="1"/>
  <c r="B1123" i="122"/>
  <c r="B1793" i="122" s="1"/>
  <c r="B2463" i="122" s="1"/>
  <c r="B3133" i="122" s="1"/>
  <c r="B3803" i="122" s="1"/>
  <c r="B4473" i="122" s="1"/>
  <c r="B5143" i="122" s="1"/>
  <c r="A1123" i="122"/>
  <c r="A1793" i="122" s="1"/>
  <c r="A2463" i="122" s="1"/>
  <c r="A3133" i="122" s="1"/>
  <c r="A3803" i="122" s="1"/>
  <c r="A4473" i="122" s="1"/>
  <c r="A5143" i="122" s="1"/>
  <c r="M452" i="122"/>
  <c r="D1122" i="122"/>
  <c r="D1792" i="122" s="1"/>
  <c r="D2462" i="122" s="1"/>
  <c r="D3132" i="122" s="1"/>
  <c r="D3802" i="122" s="1"/>
  <c r="D4472" i="122" s="1"/>
  <c r="D5142" i="122" s="1"/>
  <c r="C1122" i="122"/>
  <c r="C1792" i="122" s="1"/>
  <c r="C2462" i="122" s="1"/>
  <c r="C3132" i="122" s="1"/>
  <c r="C3802" i="122" s="1"/>
  <c r="C4472" i="122" s="1"/>
  <c r="C5142" i="122" s="1"/>
  <c r="B1122" i="122"/>
  <c r="B1792" i="122" s="1"/>
  <c r="B2462" i="122" s="1"/>
  <c r="B3132" i="122" s="1"/>
  <c r="B3802" i="122" s="1"/>
  <c r="B4472" i="122" s="1"/>
  <c r="B5142" i="122" s="1"/>
  <c r="A1122" i="122"/>
  <c r="A1792" i="122" s="1"/>
  <c r="A2462" i="122" s="1"/>
  <c r="A3132" i="122" s="1"/>
  <c r="A3802" i="122" s="1"/>
  <c r="A4472" i="122" s="1"/>
  <c r="A5142" i="122" s="1"/>
  <c r="M451" i="122"/>
  <c r="E1121" i="122"/>
  <c r="E1791" i="122" s="1"/>
  <c r="E2461" i="122" s="1"/>
  <c r="E3131" i="122" s="1"/>
  <c r="E3801" i="122" s="1"/>
  <c r="E4471" i="122" s="1"/>
  <c r="E5141" i="122" s="1"/>
  <c r="D1121" i="122"/>
  <c r="D1791" i="122" s="1"/>
  <c r="D2461" i="122" s="1"/>
  <c r="D3131" i="122" s="1"/>
  <c r="D3801" i="122" s="1"/>
  <c r="D4471" i="122" s="1"/>
  <c r="D5141" i="122" s="1"/>
  <c r="C1121" i="122"/>
  <c r="C1791" i="122" s="1"/>
  <c r="C2461" i="122" s="1"/>
  <c r="C3131" i="122" s="1"/>
  <c r="C3801" i="122" s="1"/>
  <c r="C4471" i="122" s="1"/>
  <c r="C5141" i="122" s="1"/>
  <c r="B1121" i="122"/>
  <c r="B1791" i="122" s="1"/>
  <c r="B2461" i="122" s="1"/>
  <c r="B3131" i="122" s="1"/>
  <c r="B3801" i="122" s="1"/>
  <c r="B4471" i="122" s="1"/>
  <c r="B5141" i="122" s="1"/>
  <c r="A1121" i="122"/>
  <c r="A1791" i="122" s="1"/>
  <c r="A2461" i="122" s="1"/>
  <c r="A3131" i="122" s="1"/>
  <c r="A3801" i="122" s="1"/>
  <c r="A4471" i="122" s="1"/>
  <c r="A5141" i="122" s="1"/>
  <c r="M450" i="122"/>
  <c r="D1120" i="122"/>
  <c r="D1790" i="122" s="1"/>
  <c r="D2460" i="122" s="1"/>
  <c r="D3130" i="122" s="1"/>
  <c r="D3800" i="122" s="1"/>
  <c r="D4470" i="122" s="1"/>
  <c r="D5140" i="122" s="1"/>
  <c r="C1120" i="122"/>
  <c r="C1790" i="122" s="1"/>
  <c r="C2460" i="122" s="1"/>
  <c r="C3130" i="122" s="1"/>
  <c r="C3800" i="122" s="1"/>
  <c r="C4470" i="122" s="1"/>
  <c r="C5140" i="122" s="1"/>
  <c r="B1120" i="122"/>
  <c r="B1790" i="122" s="1"/>
  <c r="B2460" i="122" s="1"/>
  <c r="B3130" i="122" s="1"/>
  <c r="B3800" i="122" s="1"/>
  <c r="B4470" i="122" s="1"/>
  <c r="B5140" i="122" s="1"/>
  <c r="A1120" i="122"/>
  <c r="A1790" i="122" s="1"/>
  <c r="A2460" i="122" s="1"/>
  <c r="A3130" i="122" s="1"/>
  <c r="A3800" i="122" s="1"/>
  <c r="A4470" i="122" s="1"/>
  <c r="A5140" i="122" s="1"/>
  <c r="M449" i="122"/>
  <c r="E1119" i="122"/>
  <c r="E1789" i="122" s="1"/>
  <c r="E2459" i="122" s="1"/>
  <c r="E3129" i="122" s="1"/>
  <c r="E3799" i="122" s="1"/>
  <c r="E4469" i="122" s="1"/>
  <c r="E5139" i="122" s="1"/>
  <c r="D1119" i="122"/>
  <c r="D1789" i="122" s="1"/>
  <c r="D2459" i="122" s="1"/>
  <c r="D3129" i="122" s="1"/>
  <c r="D3799" i="122" s="1"/>
  <c r="D4469" i="122" s="1"/>
  <c r="D5139" i="122" s="1"/>
  <c r="C1119" i="122"/>
  <c r="C1789" i="122" s="1"/>
  <c r="C2459" i="122" s="1"/>
  <c r="C3129" i="122" s="1"/>
  <c r="C3799" i="122" s="1"/>
  <c r="C4469" i="122" s="1"/>
  <c r="C5139" i="122" s="1"/>
  <c r="B1119" i="122"/>
  <c r="B1789" i="122" s="1"/>
  <c r="B2459" i="122" s="1"/>
  <c r="B3129" i="122" s="1"/>
  <c r="B3799" i="122" s="1"/>
  <c r="B4469" i="122" s="1"/>
  <c r="B5139" i="122" s="1"/>
  <c r="A1119" i="122"/>
  <c r="A1789" i="122" s="1"/>
  <c r="A2459" i="122" s="1"/>
  <c r="A3129" i="122" s="1"/>
  <c r="A3799" i="122" s="1"/>
  <c r="A4469" i="122" s="1"/>
  <c r="A5139" i="122" s="1"/>
  <c r="M448" i="122"/>
  <c r="D1118" i="122"/>
  <c r="D1788" i="122" s="1"/>
  <c r="D2458" i="122" s="1"/>
  <c r="D3128" i="122" s="1"/>
  <c r="D3798" i="122" s="1"/>
  <c r="D4468" i="122" s="1"/>
  <c r="D5138" i="122" s="1"/>
  <c r="C1118" i="122"/>
  <c r="C1788" i="122" s="1"/>
  <c r="C2458" i="122" s="1"/>
  <c r="C3128" i="122" s="1"/>
  <c r="C3798" i="122" s="1"/>
  <c r="C4468" i="122" s="1"/>
  <c r="C5138" i="122" s="1"/>
  <c r="B1118" i="122"/>
  <c r="B1788" i="122" s="1"/>
  <c r="B2458" i="122" s="1"/>
  <c r="B3128" i="122" s="1"/>
  <c r="B3798" i="122" s="1"/>
  <c r="B4468" i="122" s="1"/>
  <c r="B5138" i="122" s="1"/>
  <c r="A1118" i="122"/>
  <c r="A1788" i="122" s="1"/>
  <c r="A2458" i="122" s="1"/>
  <c r="A3128" i="122" s="1"/>
  <c r="A3798" i="122" s="1"/>
  <c r="A4468" i="122" s="1"/>
  <c r="A5138" i="122" s="1"/>
  <c r="M447" i="122"/>
  <c r="E1117" i="122"/>
  <c r="E1787" i="122" s="1"/>
  <c r="E2457" i="122" s="1"/>
  <c r="E3127" i="122" s="1"/>
  <c r="E3797" i="122" s="1"/>
  <c r="E4467" i="122" s="1"/>
  <c r="E5137" i="122" s="1"/>
  <c r="D1117" i="122"/>
  <c r="D1787" i="122" s="1"/>
  <c r="D2457" i="122" s="1"/>
  <c r="D3127" i="122" s="1"/>
  <c r="D3797" i="122" s="1"/>
  <c r="D4467" i="122" s="1"/>
  <c r="D5137" i="122" s="1"/>
  <c r="C1117" i="122"/>
  <c r="C1787" i="122" s="1"/>
  <c r="C2457" i="122" s="1"/>
  <c r="C3127" i="122" s="1"/>
  <c r="C3797" i="122" s="1"/>
  <c r="C4467" i="122" s="1"/>
  <c r="C5137" i="122" s="1"/>
  <c r="B1117" i="122"/>
  <c r="B1787" i="122" s="1"/>
  <c r="B2457" i="122" s="1"/>
  <c r="B3127" i="122" s="1"/>
  <c r="B3797" i="122" s="1"/>
  <c r="B4467" i="122" s="1"/>
  <c r="B5137" i="122" s="1"/>
  <c r="A1117" i="122"/>
  <c r="A1787" i="122" s="1"/>
  <c r="A2457" i="122" s="1"/>
  <c r="A3127" i="122" s="1"/>
  <c r="A3797" i="122" s="1"/>
  <c r="A4467" i="122" s="1"/>
  <c r="A5137" i="122" s="1"/>
  <c r="M446" i="122"/>
  <c r="D1116" i="122"/>
  <c r="D1786" i="122" s="1"/>
  <c r="D2456" i="122" s="1"/>
  <c r="D3126" i="122" s="1"/>
  <c r="D3796" i="122" s="1"/>
  <c r="D4466" i="122" s="1"/>
  <c r="D5136" i="122" s="1"/>
  <c r="C1116" i="122"/>
  <c r="C1786" i="122" s="1"/>
  <c r="C2456" i="122" s="1"/>
  <c r="C3126" i="122" s="1"/>
  <c r="C3796" i="122" s="1"/>
  <c r="C4466" i="122" s="1"/>
  <c r="C5136" i="122" s="1"/>
  <c r="B1116" i="122"/>
  <c r="B1786" i="122" s="1"/>
  <c r="B2456" i="122" s="1"/>
  <c r="B3126" i="122" s="1"/>
  <c r="B3796" i="122" s="1"/>
  <c r="B4466" i="122" s="1"/>
  <c r="B5136" i="122" s="1"/>
  <c r="A1116" i="122"/>
  <c r="A1786" i="122" s="1"/>
  <c r="A2456" i="122" s="1"/>
  <c r="A3126" i="122" s="1"/>
  <c r="A3796" i="122" s="1"/>
  <c r="A4466" i="122" s="1"/>
  <c r="A5136" i="122" s="1"/>
  <c r="M445" i="122"/>
  <c r="E1115" i="122"/>
  <c r="E1785" i="122" s="1"/>
  <c r="E2455" i="122" s="1"/>
  <c r="E3125" i="122" s="1"/>
  <c r="E3795" i="122" s="1"/>
  <c r="E4465" i="122" s="1"/>
  <c r="E5135" i="122" s="1"/>
  <c r="D1115" i="122"/>
  <c r="D1785" i="122" s="1"/>
  <c r="D2455" i="122" s="1"/>
  <c r="D3125" i="122" s="1"/>
  <c r="D3795" i="122" s="1"/>
  <c r="D4465" i="122" s="1"/>
  <c r="D5135" i="122" s="1"/>
  <c r="C1115" i="122"/>
  <c r="C1785" i="122" s="1"/>
  <c r="C2455" i="122" s="1"/>
  <c r="C3125" i="122" s="1"/>
  <c r="C3795" i="122" s="1"/>
  <c r="C4465" i="122" s="1"/>
  <c r="C5135" i="122" s="1"/>
  <c r="B1115" i="122"/>
  <c r="B1785" i="122" s="1"/>
  <c r="B2455" i="122" s="1"/>
  <c r="B3125" i="122" s="1"/>
  <c r="B3795" i="122" s="1"/>
  <c r="B4465" i="122" s="1"/>
  <c r="B5135" i="122" s="1"/>
  <c r="A1115" i="122"/>
  <c r="A1785" i="122" s="1"/>
  <c r="A2455" i="122" s="1"/>
  <c r="A3125" i="122" s="1"/>
  <c r="A3795" i="122" s="1"/>
  <c r="A4465" i="122" s="1"/>
  <c r="A5135" i="122" s="1"/>
  <c r="M444" i="122"/>
  <c r="D1114" i="122"/>
  <c r="D1784" i="122" s="1"/>
  <c r="D2454" i="122" s="1"/>
  <c r="D3124" i="122" s="1"/>
  <c r="D3794" i="122" s="1"/>
  <c r="D4464" i="122" s="1"/>
  <c r="D5134" i="122" s="1"/>
  <c r="C1114" i="122"/>
  <c r="C1784" i="122" s="1"/>
  <c r="C2454" i="122" s="1"/>
  <c r="C3124" i="122" s="1"/>
  <c r="C3794" i="122" s="1"/>
  <c r="C4464" i="122" s="1"/>
  <c r="C5134" i="122" s="1"/>
  <c r="B1114" i="122"/>
  <c r="B1784" i="122" s="1"/>
  <c r="B2454" i="122" s="1"/>
  <c r="B3124" i="122" s="1"/>
  <c r="B3794" i="122" s="1"/>
  <c r="B4464" i="122" s="1"/>
  <c r="B5134" i="122" s="1"/>
  <c r="A1114" i="122"/>
  <c r="A1784" i="122" s="1"/>
  <c r="A2454" i="122" s="1"/>
  <c r="A3124" i="122" s="1"/>
  <c r="A3794" i="122" s="1"/>
  <c r="A4464" i="122" s="1"/>
  <c r="A5134" i="122" s="1"/>
  <c r="M443" i="122"/>
  <c r="E1113" i="122"/>
  <c r="E1783" i="122" s="1"/>
  <c r="E2453" i="122" s="1"/>
  <c r="E3123" i="122" s="1"/>
  <c r="E3793" i="122" s="1"/>
  <c r="E4463" i="122" s="1"/>
  <c r="E5133" i="122" s="1"/>
  <c r="D1113" i="122"/>
  <c r="D1783" i="122" s="1"/>
  <c r="D2453" i="122" s="1"/>
  <c r="D3123" i="122" s="1"/>
  <c r="D3793" i="122" s="1"/>
  <c r="D4463" i="122" s="1"/>
  <c r="D5133" i="122" s="1"/>
  <c r="C1113" i="122"/>
  <c r="C1783" i="122" s="1"/>
  <c r="C2453" i="122" s="1"/>
  <c r="C3123" i="122" s="1"/>
  <c r="C3793" i="122" s="1"/>
  <c r="C4463" i="122" s="1"/>
  <c r="C5133" i="122" s="1"/>
  <c r="B1113" i="122"/>
  <c r="B1783" i="122" s="1"/>
  <c r="B2453" i="122" s="1"/>
  <c r="B3123" i="122" s="1"/>
  <c r="B3793" i="122" s="1"/>
  <c r="B4463" i="122" s="1"/>
  <c r="B5133" i="122" s="1"/>
  <c r="A1113" i="122"/>
  <c r="A1783" i="122" s="1"/>
  <c r="A2453" i="122" s="1"/>
  <c r="A3123" i="122" s="1"/>
  <c r="A3793" i="122" s="1"/>
  <c r="A4463" i="122" s="1"/>
  <c r="A5133" i="122" s="1"/>
  <c r="M442" i="122"/>
  <c r="D1112" i="122"/>
  <c r="D1782" i="122" s="1"/>
  <c r="D2452" i="122" s="1"/>
  <c r="D3122" i="122" s="1"/>
  <c r="D3792" i="122" s="1"/>
  <c r="D4462" i="122" s="1"/>
  <c r="D5132" i="122" s="1"/>
  <c r="C1112" i="122"/>
  <c r="C1782" i="122" s="1"/>
  <c r="C2452" i="122" s="1"/>
  <c r="C3122" i="122" s="1"/>
  <c r="C3792" i="122" s="1"/>
  <c r="C4462" i="122" s="1"/>
  <c r="C5132" i="122" s="1"/>
  <c r="B1112" i="122"/>
  <c r="B1782" i="122" s="1"/>
  <c r="B2452" i="122" s="1"/>
  <c r="B3122" i="122" s="1"/>
  <c r="B3792" i="122" s="1"/>
  <c r="B4462" i="122" s="1"/>
  <c r="B5132" i="122" s="1"/>
  <c r="A1112" i="122"/>
  <c r="A1782" i="122" s="1"/>
  <c r="A2452" i="122" s="1"/>
  <c r="A3122" i="122" s="1"/>
  <c r="A3792" i="122" s="1"/>
  <c r="A4462" i="122" s="1"/>
  <c r="A5132" i="122" s="1"/>
  <c r="M441" i="122"/>
  <c r="E1111" i="122"/>
  <c r="E1781" i="122" s="1"/>
  <c r="E2451" i="122" s="1"/>
  <c r="E3121" i="122" s="1"/>
  <c r="E3791" i="122" s="1"/>
  <c r="E4461" i="122" s="1"/>
  <c r="E5131" i="122" s="1"/>
  <c r="D1111" i="122"/>
  <c r="D1781" i="122" s="1"/>
  <c r="D2451" i="122" s="1"/>
  <c r="D3121" i="122" s="1"/>
  <c r="D3791" i="122" s="1"/>
  <c r="D4461" i="122" s="1"/>
  <c r="D5131" i="122" s="1"/>
  <c r="C1111" i="122"/>
  <c r="C1781" i="122" s="1"/>
  <c r="C2451" i="122" s="1"/>
  <c r="C3121" i="122" s="1"/>
  <c r="C3791" i="122" s="1"/>
  <c r="C4461" i="122" s="1"/>
  <c r="C5131" i="122" s="1"/>
  <c r="B1111" i="122"/>
  <c r="B1781" i="122" s="1"/>
  <c r="B2451" i="122" s="1"/>
  <c r="B3121" i="122" s="1"/>
  <c r="B3791" i="122" s="1"/>
  <c r="B4461" i="122" s="1"/>
  <c r="B5131" i="122" s="1"/>
  <c r="A1111" i="122"/>
  <c r="A1781" i="122" s="1"/>
  <c r="A2451" i="122" s="1"/>
  <c r="A3121" i="122" s="1"/>
  <c r="A3791" i="122" s="1"/>
  <c r="A4461" i="122" s="1"/>
  <c r="A5131" i="122" s="1"/>
  <c r="M440" i="122"/>
  <c r="D1110" i="122"/>
  <c r="D1780" i="122" s="1"/>
  <c r="D2450" i="122" s="1"/>
  <c r="D3120" i="122" s="1"/>
  <c r="D3790" i="122" s="1"/>
  <c r="D4460" i="122" s="1"/>
  <c r="D5130" i="122" s="1"/>
  <c r="C1110" i="122"/>
  <c r="C1780" i="122" s="1"/>
  <c r="C2450" i="122" s="1"/>
  <c r="C3120" i="122" s="1"/>
  <c r="C3790" i="122" s="1"/>
  <c r="C4460" i="122" s="1"/>
  <c r="C5130" i="122" s="1"/>
  <c r="B1110" i="122"/>
  <c r="B1780" i="122" s="1"/>
  <c r="B2450" i="122" s="1"/>
  <c r="B3120" i="122" s="1"/>
  <c r="B3790" i="122" s="1"/>
  <c r="B4460" i="122" s="1"/>
  <c r="B5130" i="122" s="1"/>
  <c r="A1110" i="122"/>
  <c r="A1780" i="122" s="1"/>
  <c r="A2450" i="122" s="1"/>
  <c r="A3120" i="122" s="1"/>
  <c r="A3790" i="122" s="1"/>
  <c r="A4460" i="122" s="1"/>
  <c r="A5130" i="122" s="1"/>
  <c r="M439" i="122"/>
  <c r="E1109" i="122"/>
  <c r="E1779" i="122" s="1"/>
  <c r="E2449" i="122" s="1"/>
  <c r="E3119" i="122" s="1"/>
  <c r="E3789" i="122" s="1"/>
  <c r="E4459" i="122" s="1"/>
  <c r="E5129" i="122" s="1"/>
  <c r="D1109" i="122"/>
  <c r="D1779" i="122" s="1"/>
  <c r="D2449" i="122" s="1"/>
  <c r="D3119" i="122" s="1"/>
  <c r="D3789" i="122" s="1"/>
  <c r="D4459" i="122" s="1"/>
  <c r="D5129" i="122" s="1"/>
  <c r="C1109" i="122"/>
  <c r="C1779" i="122" s="1"/>
  <c r="C2449" i="122" s="1"/>
  <c r="C3119" i="122" s="1"/>
  <c r="C3789" i="122" s="1"/>
  <c r="C4459" i="122" s="1"/>
  <c r="C5129" i="122" s="1"/>
  <c r="B1109" i="122"/>
  <c r="B1779" i="122" s="1"/>
  <c r="B2449" i="122" s="1"/>
  <c r="B3119" i="122" s="1"/>
  <c r="B3789" i="122" s="1"/>
  <c r="B4459" i="122" s="1"/>
  <c r="B5129" i="122" s="1"/>
  <c r="A1109" i="122"/>
  <c r="A1779" i="122" s="1"/>
  <c r="A2449" i="122" s="1"/>
  <c r="A3119" i="122" s="1"/>
  <c r="A3789" i="122" s="1"/>
  <c r="A4459" i="122" s="1"/>
  <c r="A5129" i="122" s="1"/>
  <c r="M438" i="122"/>
  <c r="D1108" i="122"/>
  <c r="D1778" i="122" s="1"/>
  <c r="D2448" i="122" s="1"/>
  <c r="D3118" i="122" s="1"/>
  <c r="D3788" i="122" s="1"/>
  <c r="D4458" i="122" s="1"/>
  <c r="D5128" i="122" s="1"/>
  <c r="C1108" i="122"/>
  <c r="C1778" i="122" s="1"/>
  <c r="C2448" i="122" s="1"/>
  <c r="C3118" i="122" s="1"/>
  <c r="C3788" i="122" s="1"/>
  <c r="C4458" i="122" s="1"/>
  <c r="C5128" i="122" s="1"/>
  <c r="B1108" i="122"/>
  <c r="B1778" i="122" s="1"/>
  <c r="B2448" i="122" s="1"/>
  <c r="B3118" i="122" s="1"/>
  <c r="B3788" i="122" s="1"/>
  <c r="B4458" i="122" s="1"/>
  <c r="B5128" i="122" s="1"/>
  <c r="A1108" i="122"/>
  <c r="A1778" i="122" s="1"/>
  <c r="A2448" i="122" s="1"/>
  <c r="A3118" i="122" s="1"/>
  <c r="A3788" i="122" s="1"/>
  <c r="A4458" i="122" s="1"/>
  <c r="A5128" i="122" s="1"/>
  <c r="M437" i="122"/>
  <c r="E1107" i="122"/>
  <c r="E1777" i="122" s="1"/>
  <c r="E2447" i="122" s="1"/>
  <c r="E3117" i="122" s="1"/>
  <c r="E3787" i="122" s="1"/>
  <c r="E4457" i="122" s="1"/>
  <c r="E5127" i="122" s="1"/>
  <c r="D1107" i="122"/>
  <c r="D1777" i="122" s="1"/>
  <c r="D2447" i="122" s="1"/>
  <c r="D3117" i="122" s="1"/>
  <c r="D3787" i="122" s="1"/>
  <c r="D4457" i="122" s="1"/>
  <c r="D5127" i="122" s="1"/>
  <c r="C1107" i="122"/>
  <c r="C1777" i="122" s="1"/>
  <c r="C2447" i="122" s="1"/>
  <c r="C3117" i="122" s="1"/>
  <c r="C3787" i="122" s="1"/>
  <c r="C4457" i="122" s="1"/>
  <c r="C5127" i="122" s="1"/>
  <c r="B1107" i="122"/>
  <c r="B1777" i="122" s="1"/>
  <c r="B2447" i="122" s="1"/>
  <c r="B3117" i="122" s="1"/>
  <c r="B3787" i="122" s="1"/>
  <c r="B4457" i="122" s="1"/>
  <c r="B5127" i="122" s="1"/>
  <c r="A1107" i="122"/>
  <c r="A1777" i="122" s="1"/>
  <c r="A2447" i="122" s="1"/>
  <c r="A3117" i="122" s="1"/>
  <c r="A3787" i="122" s="1"/>
  <c r="A4457" i="122" s="1"/>
  <c r="A5127" i="122" s="1"/>
  <c r="M436" i="122"/>
  <c r="D1106" i="122"/>
  <c r="D1776" i="122" s="1"/>
  <c r="D2446" i="122" s="1"/>
  <c r="D3116" i="122" s="1"/>
  <c r="D3786" i="122" s="1"/>
  <c r="D4456" i="122" s="1"/>
  <c r="D5126" i="122" s="1"/>
  <c r="C1106" i="122"/>
  <c r="C1776" i="122" s="1"/>
  <c r="C2446" i="122" s="1"/>
  <c r="C3116" i="122" s="1"/>
  <c r="C3786" i="122" s="1"/>
  <c r="C4456" i="122" s="1"/>
  <c r="C5126" i="122" s="1"/>
  <c r="B1106" i="122"/>
  <c r="B1776" i="122" s="1"/>
  <c r="B2446" i="122" s="1"/>
  <c r="B3116" i="122" s="1"/>
  <c r="B3786" i="122" s="1"/>
  <c r="B4456" i="122" s="1"/>
  <c r="B5126" i="122" s="1"/>
  <c r="A1106" i="122"/>
  <c r="A1776" i="122" s="1"/>
  <c r="A2446" i="122" s="1"/>
  <c r="A3116" i="122" s="1"/>
  <c r="A3786" i="122" s="1"/>
  <c r="A4456" i="122" s="1"/>
  <c r="A5126" i="122" s="1"/>
  <c r="M435" i="122"/>
  <c r="E1105" i="122"/>
  <c r="E1775" i="122" s="1"/>
  <c r="E2445" i="122" s="1"/>
  <c r="E3115" i="122" s="1"/>
  <c r="E3785" i="122" s="1"/>
  <c r="E4455" i="122" s="1"/>
  <c r="E5125" i="122" s="1"/>
  <c r="D1105" i="122"/>
  <c r="D1775" i="122" s="1"/>
  <c r="D2445" i="122" s="1"/>
  <c r="D3115" i="122" s="1"/>
  <c r="D3785" i="122" s="1"/>
  <c r="D4455" i="122" s="1"/>
  <c r="D5125" i="122" s="1"/>
  <c r="C1105" i="122"/>
  <c r="C1775" i="122" s="1"/>
  <c r="C2445" i="122" s="1"/>
  <c r="C3115" i="122" s="1"/>
  <c r="C3785" i="122" s="1"/>
  <c r="C4455" i="122" s="1"/>
  <c r="C5125" i="122" s="1"/>
  <c r="B1105" i="122"/>
  <c r="B1775" i="122" s="1"/>
  <c r="B2445" i="122" s="1"/>
  <c r="B3115" i="122" s="1"/>
  <c r="B3785" i="122" s="1"/>
  <c r="B4455" i="122" s="1"/>
  <c r="B5125" i="122" s="1"/>
  <c r="A1105" i="122"/>
  <c r="A1775" i="122" s="1"/>
  <c r="A2445" i="122" s="1"/>
  <c r="A3115" i="122" s="1"/>
  <c r="A3785" i="122" s="1"/>
  <c r="A4455" i="122" s="1"/>
  <c r="A5125" i="122" s="1"/>
  <c r="M434" i="122"/>
  <c r="D1104" i="122"/>
  <c r="D1774" i="122" s="1"/>
  <c r="D2444" i="122" s="1"/>
  <c r="D3114" i="122" s="1"/>
  <c r="D3784" i="122" s="1"/>
  <c r="D4454" i="122" s="1"/>
  <c r="D5124" i="122" s="1"/>
  <c r="C1104" i="122"/>
  <c r="C1774" i="122" s="1"/>
  <c r="C2444" i="122" s="1"/>
  <c r="C3114" i="122" s="1"/>
  <c r="C3784" i="122" s="1"/>
  <c r="C4454" i="122" s="1"/>
  <c r="C5124" i="122" s="1"/>
  <c r="B1104" i="122"/>
  <c r="B1774" i="122" s="1"/>
  <c r="B2444" i="122" s="1"/>
  <c r="B3114" i="122" s="1"/>
  <c r="B3784" i="122" s="1"/>
  <c r="B4454" i="122" s="1"/>
  <c r="B5124" i="122" s="1"/>
  <c r="A1104" i="122"/>
  <c r="A1774" i="122" s="1"/>
  <c r="A2444" i="122" s="1"/>
  <c r="A3114" i="122" s="1"/>
  <c r="A3784" i="122" s="1"/>
  <c r="A4454" i="122" s="1"/>
  <c r="A5124" i="122" s="1"/>
  <c r="M433" i="122"/>
  <c r="E1103" i="122"/>
  <c r="E1773" i="122" s="1"/>
  <c r="E2443" i="122" s="1"/>
  <c r="E3113" i="122" s="1"/>
  <c r="E3783" i="122" s="1"/>
  <c r="E4453" i="122" s="1"/>
  <c r="E5123" i="122" s="1"/>
  <c r="D1103" i="122"/>
  <c r="D1773" i="122" s="1"/>
  <c r="D2443" i="122" s="1"/>
  <c r="D3113" i="122" s="1"/>
  <c r="D3783" i="122" s="1"/>
  <c r="D4453" i="122" s="1"/>
  <c r="D5123" i="122" s="1"/>
  <c r="C1103" i="122"/>
  <c r="C1773" i="122" s="1"/>
  <c r="C2443" i="122" s="1"/>
  <c r="C3113" i="122" s="1"/>
  <c r="C3783" i="122" s="1"/>
  <c r="C4453" i="122" s="1"/>
  <c r="C5123" i="122" s="1"/>
  <c r="B1103" i="122"/>
  <c r="B1773" i="122" s="1"/>
  <c r="B2443" i="122" s="1"/>
  <c r="B3113" i="122" s="1"/>
  <c r="B3783" i="122" s="1"/>
  <c r="B4453" i="122" s="1"/>
  <c r="B5123" i="122" s="1"/>
  <c r="A1103" i="122"/>
  <c r="A1773" i="122" s="1"/>
  <c r="A2443" i="122" s="1"/>
  <c r="A3113" i="122" s="1"/>
  <c r="A3783" i="122" s="1"/>
  <c r="A4453" i="122" s="1"/>
  <c r="A5123" i="122" s="1"/>
  <c r="M432" i="122"/>
  <c r="E1102" i="122"/>
  <c r="E1772" i="122" s="1"/>
  <c r="E2442" i="122" s="1"/>
  <c r="E3112" i="122" s="1"/>
  <c r="E3782" i="122" s="1"/>
  <c r="E4452" i="122" s="1"/>
  <c r="E5122" i="122" s="1"/>
  <c r="D1102" i="122"/>
  <c r="D1772" i="122" s="1"/>
  <c r="D2442" i="122" s="1"/>
  <c r="D3112" i="122" s="1"/>
  <c r="D3782" i="122" s="1"/>
  <c r="D4452" i="122" s="1"/>
  <c r="D5122" i="122" s="1"/>
  <c r="C1102" i="122"/>
  <c r="C1772" i="122" s="1"/>
  <c r="C2442" i="122" s="1"/>
  <c r="C3112" i="122" s="1"/>
  <c r="C3782" i="122" s="1"/>
  <c r="C4452" i="122" s="1"/>
  <c r="C5122" i="122" s="1"/>
  <c r="B1102" i="122"/>
  <c r="B1772" i="122" s="1"/>
  <c r="B2442" i="122" s="1"/>
  <c r="B3112" i="122" s="1"/>
  <c r="B3782" i="122" s="1"/>
  <c r="B4452" i="122" s="1"/>
  <c r="B5122" i="122" s="1"/>
  <c r="A1102" i="122"/>
  <c r="A1772" i="122" s="1"/>
  <c r="A2442" i="122" s="1"/>
  <c r="A3112" i="122" s="1"/>
  <c r="A3782" i="122" s="1"/>
  <c r="A4452" i="122" s="1"/>
  <c r="A5122" i="122" s="1"/>
  <c r="M431" i="122"/>
  <c r="D1101" i="122"/>
  <c r="D1771" i="122" s="1"/>
  <c r="D2441" i="122" s="1"/>
  <c r="D3111" i="122" s="1"/>
  <c r="D3781" i="122" s="1"/>
  <c r="D4451" i="122" s="1"/>
  <c r="D5121" i="122" s="1"/>
  <c r="C1101" i="122"/>
  <c r="C1771" i="122" s="1"/>
  <c r="C2441" i="122" s="1"/>
  <c r="C3111" i="122" s="1"/>
  <c r="C3781" i="122" s="1"/>
  <c r="C4451" i="122" s="1"/>
  <c r="C5121" i="122" s="1"/>
  <c r="B1101" i="122"/>
  <c r="B1771" i="122" s="1"/>
  <c r="B2441" i="122" s="1"/>
  <c r="B3111" i="122" s="1"/>
  <c r="B3781" i="122" s="1"/>
  <c r="B4451" i="122" s="1"/>
  <c r="B5121" i="122" s="1"/>
  <c r="A1101" i="122"/>
  <c r="A1771" i="122" s="1"/>
  <c r="A2441" i="122" s="1"/>
  <c r="A3111" i="122" s="1"/>
  <c r="A3781" i="122" s="1"/>
  <c r="A4451" i="122" s="1"/>
  <c r="A5121" i="122" s="1"/>
  <c r="M430" i="122"/>
  <c r="D1100" i="122"/>
  <c r="D1770" i="122" s="1"/>
  <c r="D2440" i="122" s="1"/>
  <c r="D3110" i="122" s="1"/>
  <c r="D3780" i="122" s="1"/>
  <c r="D4450" i="122" s="1"/>
  <c r="D5120" i="122" s="1"/>
  <c r="C1100" i="122"/>
  <c r="C1770" i="122" s="1"/>
  <c r="C2440" i="122" s="1"/>
  <c r="C3110" i="122" s="1"/>
  <c r="C3780" i="122" s="1"/>
  <c r="C4450" i="122" s="1"/>
  <c r="C5120" i="122" s="1"/>
  <c r="B1100" i="122"/>
  <c r="B1770" i="122" s="1"/>
  <c r="B2440" i="122" s="1"/>
  <c r="B3110" i="122" s="1"/>
  <c r="B3780" i="122" s="1"/>
  <c r="B4450" i="122" s="1"/>
  <c r="B5120" i="122" s="1"/>
  <c r="A1100" i="122"/>
  <c r="A1770" i="122" s="1"/>
  <c r="A2440" i="122" s="1"/>
  <c r="A3110" i="122" s="1"/>
  <c r="A3780" i="122" s="1"/>
  <c r="A4450" i="122" s="1"/>
  <c r="A5120" i="122" s="1"/>
  <c r="M429" i="122"/>
  <c r="D1099" i="122"/>
  <c r="D1769" i="122" s="1"/>
  <c r="D2439" i="122" s="1"/>
  <c r="D3109" i="122" s="1"/>
  <c r="D3779" i="122" s="1"/>
  <c r="D4449" i="122" s="1"/>
  <c r="D5119" i="122" s="1"/>
  <c r="C1099" i="122"/>
  <c r="C1769" i="122" s="1"/>
  <c r="C2439" i="122" s="1"/>
  <c r="C3109" i="122" s="1"/>
  <c r="C3779" i="122" s="1"/>
  <c r="C4449" i="122" s="1"/>
  <c r="C5119" i="122" s="1"/>
  <c r="B1099" i="122"/>
  <c r="B1769" i="122" s="1"/>
  <c r="B2439" i="122" s="1"/>
  <c r="B3109" i="122" s="1"/>
  <c r="B3779" i="122" s="1"/>
  <c r="B4449" i="122" s="1"/>
  <c r="B5119" i="122" s="1"/>
  <c r="A1099" i="122"/>
  <c r="A1769" i="122" s="1"/>
  <c r="A2439" i="122" s="1"/>
  <c r="A3109" i="122" s="1"/>
  <c r="A3779" i="122" s="1"/>
  <c r="A4449" i="122" s="1"/>
  <c r="A5119" i="122" s="1"/>
  <c r="M428" i="122"/>
  <c r="D1098" i="122"/>
  <c r="D1768" i="122" s="1"/>
  <c r="D2438" i="122" s="1"/>
  <c r="D3108" i="122" s="1"/>
  <c r="D3778" i="122" s="1"/>
  <c r="D4448" i="122" s="1"/>
  <c r="D5118" i="122" s="1"/>
  <c r="C1098" i="122"/>
  <c r="C1768" i="122" s="1"/>
  <c r="C2438" i="122" s="1"/>
  <c r="C3108" i="122" s="1"/>
  <c r="C3778" i="122" s="1"/>
  <c r="C4448" i="122" s="1"/>
  <c r="C5118" i="122" s="1"/>
  <c r="B1098" i="122"/>
  <c r="B1768" i="122" s="1"/>
  <c r="B2438" i="122" s="1"/>
  <c r="B3108" i="122" s="1"/>
  <c r="B3778" i="122" s="1"/>
  <c r="B4448" i="122" s="1"/>
  <c r="B5118" i="122" s="1"/>
  <c r="A1098" i="122"/>
  <c r="A1768" i="122" s="1"/>
  <c r="A2438" i="122" s="1"/>
  <c r="A3108" i="122" s="1"/>
  <c r="A3778" i="122" s="1"/>
  <c r="A4448" i="122" s="1"/>
  <c r="A5118" i="122" s="1"/>
  <c r="M427" i="122"/>
  <c r="E1097" i="122"/>
  <c r="E1767" i="122" s="1"/>
  <c r="E2437" i="122" s="1"/>
  <c r="E3107" i="122" s="1"/>
  <c r="E3777" i="122" s="1"/>
  <c r="E4447" i="122" s="1"/>
  <c r="E5117" i="122" s="1"/>
  <c r="D1097" i="122"/>
  <c r="D1767" i="122" s="1"/>
  <c r="D2437" i="122" s="1"/>
  <c r="D3107" i="122" s="1"/>
  <c r="D3777" i="122" s="1"/>
  <c r="D4447" i="122" s="1"/>
  <c r="D5117" i="122" s="1"/>
  <c r="C1097" i="122"/>
  <c r="C1767" i="122" s="1"/>
  <c r="C2437" i="122" s="1"/>
  <c r="C3107" i="122" s="1"/>
  <c r="C3777" i="122" s="1"/>
  <c r="C4447" i="122" s="1"/>
  <c r="C5117" i="122" s="1"/>
  <c r="B1097" i="122"/>
  <c r="B1767" i="122" s="1"/>
  <c r="B2437" i="122" s="1"/>
  <c r="B3107" i="122" s="1"/>
  <c r="B3777" i="122" s="1"/>
  <c r="B4447" i="122" s="1"/>
  <c r="B5117" i="122" s="1"/>
  <c r="A1097" i="122"/>
  <c r="A1767" i="122" s="1"/>
  <c r="A2437" i="122" s="1"/>
  <c r="A3107" i="122" s="1"/>
  <c r="A3777" i="122" s="1"/>
  <c r="A4447" i="122" s="1"/>
  <c r="A5117" i="122" s="1"/>
  <c r="M426" i="122"/>
  <c r="B1096" i="122"/>
  <c r="B1766" i="122" s="1"/>
  <c r="B2436" i="122" s="1"/>
  <c r="B3106" i="122" s="1"/>
  <c r="B3776" i="122" s="1"/>
  <c r="B4446" i="122" s="1"/>
  <c r="B5116" i="122" s="1"/>
  <c r="A1096" i="122"/>
  <c r="A1766" i="122" s="1"/>
  <c r="A2436" i="122" s="1"/>
  <c r="A3106" i="122" s="1"/>
  <c r="A3776" i="122" s="1"/>
  <c r="A4446" i="122" s="1"/>
  <c r="A5116" i="122" s="1"/>
  <c r="M425" i="122"/>
  <c r="D1095" i="122"/>
  <c r="D1765" i="122" s="1"/>
  <c r="D2435" i="122" s="1"/>
  <c r="D3105" i="122" s="1"/>
  <c r="D3775" i="122" s="1"/>
  <c r="D4445" i="122" s="1"/>
  <c r="D5115" i="122" s="1"/>
  <c r="C1095" i="122"/>
  <c r="C1765" i="122" s="1"/>
  <c r="C2435" i="122" s="1"/>
  <c r="C3105" i="122" s="1"/>
  <c r="C3775" i="122" s="1"/>
  <c r="C4445" i="122" s="1"/>
  <c r="C5115" i="122" s="1"/>
  <c r="B1095" i="122"/>
  <c r="B1765" i="122" s="1"/>
  <c r="B2435" i="122" s="1"/>
  <c r="B3105" i="122" s="1"/>
  <c r="B3775" i="122" s="1"/>
  <c r="B4445" i="122" s="1"/>
  <c r="B5115" i="122" s="1"/>
  <c r="A1095" i="122"/>
  <c r="A1765" i="122" s="1"/>
  <c r="A2435" i="122" s="1"/>
  <c r="A3105" i="122" s="1"/>
  <c r="A3775" i="122" s="1"/>
  <c r="A4445" i="122" s="1"/>
  <c r="A5115" i="122" s="1"/>
  <c r="M424" i="122"/>
  <c r="D1094" i="122"/>
  <c r="D1764" i="122" s="1"/>
  <c r="D2434" i="122" s="1"/>
  <c r="D3104" i="122" s="1"/>
  <c r="D3774" i="122" s="1"/>
  <c r="D4444" i="122" s="1"/>
  <c r="D5114" i="122" s="1"/>
  <c r="C1094" i="122"/>
  <c r="C1764" i="122" s="1"/>
  <c r="C2434" i="122" s="1"/>
  <c r="C3104" i="122" s="1"/>
  <c r="C3774" i="122" s="1"/>
  <c r="C4444" i="122" s="1"/>
  <c r="C5114" i="122" s="1"/>
  <c r="B1094" i="122"/>
  <c r="B1764" i="122" s="1"/>
  <c r="B2434" i="122" s="1"/>
  <c r="B3104" i="122" s="1"/>
  <c r="B3774" i="122" s="1"/>
  <c r="B4444" i="122" s="1"/>
  <c r="B5114" i="122" s="1"/>
  <c r="A1094" i="122"/>
  <c r="A1764" i="122" s="1"/>
  <c r="A2434" i="122" s="1"/>
  <c r="A3104" i="122" s="1"/>
  <c r="A3774" i="122" s="1"/>
  <c r="A4444" i="122" s="1"/>
  <c r="A5114" i="122" s="1"/>
  <c r="M423" i="122"/>
  <c r="D1093" i="122"/>
  <c r="D1763" i="122" s="1"/>
  <c r="D2433" i="122" s="1"/>
  <c r="D3103" i="122" s="1"/>
  <c r="D3773" i="122" s="1"/>
  <c r="D4443" i="122" s="1"/>
  <c r="D5113" i="122" s="1"/>
  <c r="C1093" i="122"/>
  <c r="C1763" i="122" s="1"/>
  <c r="C2433" i="122" s="1"/>
  <c r="C3103" i="122" s="1"/>
  <c r="C3773" i="122" s="1"/>
  <c r="C4443" i="122" s="1"/>
  <c r="C5113" i="122" s="1"/>
  <c r="B1093" i="122"/>
  <c r="B1763" i="122" s="1"/>
  <c r="B2433" i="122" s="1"/>
  <c r="B3103" i="122" s="1"/>
  <c r="B3773" i="122" s="1"/>
  <c r="B4443" i="122" s="1"/>
  <c r="B5113" i="122" s="1"/>
  <c r="A1093" i="122"/>
  <c r="A1763" i="122" s="1"/>
  <c r="A2433" i="122" s="1"/>
  <c r="A3103" i="122" s="1"/>
  <c r="A3773" i="122" s="1"/>
  <c r="A4443" i="122" s="1"/>
  <c r="A5113" i="122" s="1"/>
  <c r="M422" i="122"/>
  <c r="E1092" i="122"/>
  <c r="E1762" i="122" s="1"/>
  <c r="E2432" i="122" s="1"/>
  <c r="E3102" i="122" s="1"/>
  <c r="E3772" i="122" s="1"/>
  <c r="E4442" i="122" s="1"/>
  <c r="E5112" i="122" s="1"/>
  <c r="D1092" i="122"/>
  <c r="D1762" i="122" s="1"/>
  <c r="D2432" i="122" s="1"/>
  <c r="D3102" i="122" s="1"/>
  <c r="D3772" i="122" s="1"/>
  <c r="D4442" i="122" s="1"/>
  <c r="D5112" i="122" s="1"/>
  <c r="C1092" i="122"/>
  <c r="C1762" i="122" s="1"/>
  <c r="C2432" i="122" s="1"/>
  <c r="C3102" i="122" s="1"/>
  <c r="C3772" i="122" s="1"/>
  <c r="C4442" i="122" s="1"/>
  <c r="C5112" i="122" s="1"/>
  <c r="B1092" i="122"/>
  <c r="B1762" i="122" s="1"/>
  <c r="B2432" i="122" s="1"/>
  <c r="B3102" i="122" s="1"/>
  <c r="B3772" i="122" s="1"/>
  <c r="B4442" i="122" s="1"/>
  <c r="B5112" i="122" s="1"/>
  <c r="A1092" i="122"/>
  <c r="A1762" i="122" s="1"/>
  <c r="A2432" i="122" s="1"/>
  <c r="A3102" i="122" s="1"/>
  <c r="A3772" i="122" s="1"/>
  <c r="A4442" i="122" s="1"/>
  <c r="A5112" i="122" s="1"/>
  <c r="M421" i="122"/>
  <c r="D1091" i="122"/>
  <c r="D1761" i="122" s="1"/>
  <c r="D2431" i="122" s="1"/>
  <c r="D3101" i="122" s="1"/>
  <c r="D3771" i="122" s="1"/>
  <c r="D4441" i="122" s="1"/>
  <c r="D5111" i="122" s="1"/>
  <c r="C1091" i="122"/>
  <c r="C1761" i="122" s="1"/>
  <c r="C2431" i="122" s="1"/>
  <c r="C3101" i="122" s="1"/>
  <c r="C3771" i="122" s="1"/>
  <c r="C4441" i="122" s="1"/>
  <c r="C5111" i="122" s="1"/>
  <c r="B1091" i="122"/>
  <c r="B1761" i="122" s="1"/>
  <c r="B2431" i="122" s="1"/>
  <c r="B3101" i="122" s="1"/>
  <c r="B3771" i="122" s="1"/>
  <c r="B4441" i="122" s="1"/>
  <c r="B5111" i="122" s="1"/>
  <c r="A1091" i="122"/>
  <c r="A1761" i="122" s="1"/>
  <c r="A2431" i="122" s="1"/>
  <c r="A3101" i="122" s="1"/>
  <c r="A3771" i="122" s="1"/>
  <c r="A4441" i="122" s="1"/>
  <c r="A5111" i="122" s="1"/>
  <c r="M420" i="122"/>
  <c r="D1090" i="122"/>
  <c r="D1760" i="122" s="1"/>
  <c r="D2430" i="122" s="1"/>
  <c r="D3100" i="122" s="1"/>
  <c r="D3770" i="122" s="1"/>
  <c r="D4440" i="122" s="1"/>
  <c r="D5110" i="122" s="1"/>
  <c r="C1090" i="122"/>
  <c r="C1760" i="122" s="1"/>
  <c r="C2430" i="122" s="1"/>
  <c r="C3100" i="122" s="1"/>
  <c r="C3770" i="122" s="1"/>
  <c r="C4440" i="122" s="1"/>
  <c r="C5110" i="122" s="1"/>
  <c r="B1090" i="122"/>
  <c r="B1760" i="122" s="1"/>
  <c r="B2430" i="122" s="1"/>
  <c r="B3100" i="122" s="1"/>
  <c r="B3770" i="122" s="1"/>
  <c r="B4440" i="122" s="1"/>
  <c r="B5110" i="122" s="1"/>
  <c r="A1090" i="122"/>
  <c r="A1760" i="122" s="1"/>
  <c r="A2430" i="122" s="1"/>
  <c r="A3100" i="122" s="1"/>
  <c r="A3770" i="122" s="1"/>
  <c r="A4440" i="122" s="1"/>
  <c r="A5110" i="122" s="1"/>
  <c r="M419" i="122"/>
  <c r="D1089" i="122"/>
  <c r="D1759" i="122" s="1"/>
  <c r="D2429" i="122" s="1"/>
  <c r="D3099" i="122" s="1"/>
  <c r="D3769" i="122" s="1"/>
  <c r="D4439" i="122" s="1"/>
  <c r="D5109" i="122" s="1"/>
  <c r="C1089" i="122"/>
  <c r="C1759" i="122" s="1"/>
  <c r="C2429" i="122" s="1"/>
  <c r="C3099" i="122" s="1"/>
  <c r="C3769" i="122" s="1"/>
  <c r="C4439" i="122" s="1"/>
  <c r="C5109" i="122" s="1"/>
  <c r="B1089" i="122"/>
  <c r="B1759" i="122" s="1"/>
  <c r="B2429" i="122" s="1"/>
  <c r="B3099" i="122" s="1"/>
  <c r="B3769" i="122" s="1"/>
  <c r="B4439" i="122" s="1"/>
  <c r="B5109" i="122" s="1"/>
  <c r="A1089" i="122"/>
  <c r="A1759" i="122" s="1"/>
  <c r="A2429" i="122" s="1"/>
  <c r="A3099" i="122" s="1"/>
  <c r="A3769" i="122" s="1"/>
  <c r="A4439" i="122" s="1"/>
  <c r="A5109" i="122" s="1"/>
  <c r="M418" i="122"/>
  <c r="E1088" i="122"/>
  <c r="E1758" i="122" s="1"/>
  <c r="E2428" i="122" s="1"/>
  <c r="E3098" i="122" s="1"/>
  <c r="E3768" i="122" s="1"/>
  <c r="E4438" i="122" s="1"/>
  <c r="E5108" i="122" s="1"/>
  <c r="D1088" i="122"/>
  <c r="D1758" i="122" s="1"/>
  <c r="D2428" i="122" s="1"/>
  <c r="D3098" i="122" s="1"/>
  <c r="D3768" i="122" s="1"/>
  <c r="D4438" i="122" s="1"/>
  <c r="D5108" i="122" s="1"/>
  <c r="C1088" i="122"/>
  <c r="C1758" i="122" s="1"/>
  <c r="C2428" i="122" s="1"/>
  <c r="C3098" i="122" s="1"/>
  <c r="C3768" i="122" s="1"/>
  <c r="C4438" i="122" s="1"/>
  <c r="C5108" i="122" s="1"/>
  <c r="B1088" i="122"/>
  <c r="B1758" i="122" s="1"/>
  <c r="B2428" i="122" s="1"/>
  <c r="B3098" i="122" s="1"/>
  <c r="B3768" i="122" s="1"/>
  <c r="B4438" i="122" s="1"/>
  <c r="B5108" i="122" s="1"/>
  <c r="A1088" i="122"/>
  <c r="A1758" i="122" s="1"/>
  <c r="A2428" i="122" s="1"/>
  <c r="A3098" i="122" s="1"/>
  <c r="A3768" i="122" s="1"/>
  <c r="A4438" i="122" s="1"/>
  <c r="A5108" i="122" s="1"/>
  <c r="M417" i="122"/>
  <c r="E1087" i="122"/>
  <c r="E1757" i="122" s="1"/>
  <c r="E2427" i="122" s="1"/>
  <c r="E3097" i="122" s="1"/>
  <c r="E3767" i="122" s="1"/>
  <c r="E4437" i="122" s="1"/>
  <c r="E5107" i="122" s="1"/>
  <c r="C1087" i="122"/>
  <c r="C1757" i="122" s="1"/>
  <c r="C2427" i="122" s="1"/>
  <c r="C3097" i="122" s="1"/>
  <c r="C3767" i="122" s="1"/>
  <c r="C4437" i="122" s="1"/>
  <c r="C5107" i="122" s="1"/>
  <c r="B1087" i="122"/>
  <c r="B1757" i="122" s="1"/>
  <c r="B2427" i="122" s="1"/>
  <c r="B3097" i="122" s="1"/>
  <c r="B3767" i="122" s="1"/>
  <c r="B4437" i="122" s="1"/>
  <c r="B5107" i="122" s="1"/>
  <c r="A1087" i="122"/>
  <c r="A1757" i="122" s="1"/>
  <c r="A2427" i="122" s="1"/>
  <c r="A3097" i="122" s="1"/>
  <c r="A3767" i="122" s="1"/>
  <c r="A4437" i="122" s="1"/>
  <c r="A5107" i="122" s="1"/>
  <c r="M416" i="122"/>
  <c r="D1086" i="122"/>
  <c r="D1756" i="122" s="1"/>
  <c r="D2426" i="122" s="1"/>
  <c r="D3096" i="122" s="1"/>
  <c r="D3766" i="122" s="1"/>
  <c r="D4436" i="122" s="1"/>
  <c r="D5106" i="122" s="1"/>
  <c r="C1086" i="122"/>
  <c r="C1756" i="122" s="1"/>
  <c r="C2426" i="122" s="1"/>
  <c r="C3096" i="122" s="1"/>
  <c r="C3766" i="122" s="1"/>
  <c r="C4436" i="122" s="1"/>
  <c r="C5106" i="122" s="1"/>
  <c r="B1086" i="122"/>
  <c r="B1756" i="122" s="1"/>
  <c r="B2426" i="122" s="1"/>
  <c r="B3096" i="122" s="1"/>
  <c r="B3766" i="122" s="1"/>
  <c r="B4436" i="122" s="1"/>
  <c r="B5106" i="122" s="1"/>
  <c r="A1086" i="122"/>
  <c r="A1756" i="122" s="1"/>
  <c r="A2426" i="122" s="1"/>
  <c r="A3096" i="122" s="1"/>
  <c r="A3766" i="122" s="1"/>
  <c r="A4436" i="122" s="1"/>
  <c r="A5106" i="122" s="1"/>
  <c r="M415" i="122"/>
  <c r="D1085" i="122"/>
  <c r="D1755" i="122" s="1"/>
  <c r="D2425" i="122" s="1"/>
  <c r="D3095" i="122" s="1"/>
  <c r="D3765" i="122" s="1"/>
  <c r="D4435" i="122" s="1"/>
  <c r="D5105" i="122" s="1"/>
  <c r="C1085" i="122"/>
  <c r="C1755" i="122" s="1"/>
  <c r="C2425" i="122" s="1"/>
  <c r="C3095" i="122" s="1"/>
  <c r="C3765" i="122" s="1"/>
  <c r="C4435" i="122" s="1"/>
  <c r="C5105" i="122" s="1"/>
  <c r="B1085" i="122"/>
  <c r="B1755" i="122" s="1"/>
  <c r="B2425" i="122" s="1"/>
  <c r="B3095" i="122" s="1"/>
  <c r="B3765" i="122" s="1"/>
  <c r="B4435" i="122" s="1"/>
  <c r="B5105" i="122" s="1"/>
  <c r="A1085" i="122"/>
  <c r="A1755" i="122" s="1"/>
  <c r="A2425" i="122" s="1"/>
  <c r="A3095" i="122" s="1"/>
  <c r="A3765" i="122" s="1"/>
  <c r="A4435" i="122" s="1"/>
  <c r="A5105" i="122" s="1"/>
  <c r="M414" i="122"/>
  <c r="D1084" i="122"/>
  <c r="D1754" i="122" s="1"/>
  <c r="D2424" i="122" s="1"/>
  <c r="D3094" i="122" s="1"/>
  <c r="D3764" i="122" s="1"/>
  <c r="D4434" i="122" s="1"/>
  <c r="D5104" i="122" s="1"/>
  <c r="C1084" i="122"/>
  <c r="C1754" i="122" s="1"/>
  <c r="C2424" i="122" s="1"/>
  <c r="C3094" i="122" s="1"/>
  <c r="C3764" i="122" s="1"/>
  <c r="C4434" i="122" s="1"/>
  <c r="C5104" i="122" s="1"/>
  <c r="B1084" i="122"/>
  <c r="B1754" i="122" s="1"/>
  <c r="B2424" i="122" s="1"/>
  <c r="B3094" i="122" s="1"/>
  <c r="B3764" i="122" s="1"/>
  <c r="B4434" i="122" s="1"/>
  <c r="B5104" i="122" s="1"/>
  <c r="A1084" i="122"/>
  <c r="A1754" i="122" s="1"/>
  <c r="A2424" i="122" s="1"/>
  <c r="A3094" i="122" s="1"/>
  <c r="A3764" i="122" s="1"/>
  <c r="A4434" i="122" s="1"/>
  <c r="A5104" i="122" s="1"/>
  <c r="M413" i="122"/>
  <c r="E1083" i="122"/>
  <c r="E1753" i="122" s="1"/>
  <c r="E2423" i="122" s="1"/>
  <c r="E3093" i="122" s="1"/>
  <c r="E3763" i="122" s="1"/>
  <c r="E4433" i="122" s="1"/>
  <c r="E5103" i="122" s="1"/>
  <c r="D1083" i="122"/>
  <c r="D1753" i="122" s="1"/>
  <c r="D2423" i="122" s="1"/>
  <c r="D3093" i="122" s="1"/>
  <c r="D3763" i="122" s="1"/>
  <c r="D4433" i="122" s="1"/>
  <c r="D5103" i="122" s="1"/>
  <c r="C1083" i="122"/>
  <c r="C1753" i="122" s="1"/>
  <c r="C2423" i="122" s="1"/>
  <c r="C3093" i="122" s="1"/>
  <c r="C3763" i="122" s="1"/>
  <c r="C4433" i="122" s="1"/>
  <c r="C5103" i="122" s="1"/>
  <c r="B1083" i="122"/>
  <c r="B1753" i="122" s="1"/>
  <c r="B2423" i="122" s="1"/>
  <c r="B3093" i="122" s="1"/>
  <c r="B3763" i="122" s="1"/>
  <c r="B4433" i="122" s="1"/>
  <c r="B5103" i="122" s="1"/>
  <c r="A1083" i="122"/>
  <c r="A1753" i="122" s="1"/>
  <c r="A2423" i="122" s="1"/>
  <c r="A3093" i="122" s="1"/>
  <c r="A3763" i="122" s="1"/>
  <c r="A4433" i="122" s="1"/>
  <c r="A5103" i="122" s="1"/>
  <c r="M412" i="122"/>
  <c r="D1082" i="122"/>
  <c r="D1752" i="122" s="1"/>
  <c r="D2422" i="122" s="1"/>
  <c r="D3092" i="122" s="1"/>
  <c r="D3762" i="122" s="1"/>
  <c r="D4432" i="122" s="1"/>
  <c r="D5102" i="122" s="1"/>
  <c r="C1082" i="122"/>
  <c r="C1752" i="122" s="1"/>
  <c r="C2422" i="122" s="1"/>
  <c r="C3092" i="122" s="1"/>
  <c r="C3762" i="122" s="1"/>
  <c r="C4432" i="122" s="1"/>
  <c r="C5102" i="122" s="1"/>
  <c r="B1082" i="122"/>
  <c r="B1752" i="122" s="1"/>
  <c r="B2422" i="122" s="1"/>
  <c r="B3092" i="122" s="1"/>
  <c r="B3762" i="122" s="1"/>
  <c r="B4432" i="122" s="1"/>
  <c r="B5102" i="122" s="1"/>
  <c r="A1082" i="122"/>
  <c r="A1752" i="122" s="1"/>
  <c r="A2422" i="122" s="1"/>
  <c r="A3092" i="122" s="1"/>
  <c r="A3762" i="122" s="1"/>
  <c r="A4432" i="122" s="1"/>
  <c r="A5102" i="122" s="1"/>
  <c r="M411" i="122"/>
  <c r="E1081" i="122"/>
  <c r="E1751" i="122" s="1"/>
  <c r="E2421" i="122" s="1"/>
  <c r="E3091" i="122" s="1"/>
  <c r="E3761" i="122" s="1"/>
  <c r="E4431" i="122" s="1"/>
  <c r="E5101" i="122" s="1"/>
  <c r="D1081" i="122"/>
  <c r="D1751" i="122" s="1"/>
  <c r="D2421" i="122" s="1"/>
  <c r="D3091" i="122" s="1"/>
  <c r="D3761" i="122" s="1"/>
  <c r="D4431" i="122" s="1"/>
  <c r="D5101" i="122" s="1"/>
  <c r="C1081" i="122"/>
  <c r="C1751" i="122" s="1"/>
  <c r="C2421" i="122" s="1"/>
  <c r="C3091" i="122" s="1"/>
  <c r="C3761" i="122" s="1"/>
  <c r="C4431" i="122" s="1"/>
  <c r="C5101" i="122" s="1"/>
  <c r="B1081" i="122"/>
  <c r="B1751" i="122" s="1"/>
  <c r="B2421" i="122" s="1"/>
  <c r="B3091" i="122" s="1"/>
  <c r="B3761" i="122" s="1"/>
  <c r="B4431" i="122" s="1"/>
  <c r="B5101" i="122" s="1"/>
  <c r="A1081" i="122"/>
  <c r="A1751" i="122" s="1"/>
  <c r="A2421" i="122" s="1"/>
  <c r="A3091" i="122" s="1"/>
  <c r="A3761" i="122" s="1"/>
  <c r="A4431" i="122" s="1"/>
  <c r="A5101" i="122" s="1"/>
  <c r="M410" i="122"/>
  <c r="D1080" i="122"/>
  <c r="D1750" i="122" s="1"/>
  <c r="D2420" i="122" s="1"/>
  <c r="D3090" i="122" s="1"/>
  <c r="D3760" i="122" s="1"/>
  <c r="D4430" i="122" s="1"/>
  <c r="D5100" i="122" s="1"/>
  <c r="C1080" i="122"/>
  <c r="C1750" i="122" s="1"/>
  <c r="C2420" i="122" s="1"/>
  <c r="C3090" i="122" s="1"/>
  <c r="C3760" i="122" s="1"/>
  <c r="C4430" i="122" s="1"/>
  <c r="C5100" i="122" s="1"/>
  <c r="B1080" i="122"/>
  <c r="B1750" i="122" s="1"/>
  <c r="B2420" i="122" s="1"/>
  <c r="B3090" i="122" s="1"/>
  <c r="B3760" i="122" s="1"/>
  <c r="B4430" i="122" s="1"/>
  <c r="B5100" i="122" s="1"/>
  <c r="A1080" i="122"/>
  <c r="A1750" i="122" s="1"/>
  <c r="A2420" i="122" s="1"/>
  <c r="A3090" i="122" s="1"/>
  <c r="A3760" i="122" s="1"/>
  <c r="A4430" i="122" s="1"/>
  <c r="A5100" i="122" s="1"/>
  <c r="M409" i="122"/>
  <c r="E1079" i="122"/>
  <c r="E1749" i="122" s="1"/>
  <c r="E2419" i="122" s="1"/>
  <c r="E3089" i="122" s="1"/>
  <c r="E3759" i="122" s="1"/>
  <c r="E4429" i="122" s="1"/>
  <c r="E5099" i="122" s="1"/>
  <c r="D1079" i="122"/>
  <c r="D1749" i="122" s="1"/>
  <c r="D2419" i="122" s="1"/>
  <c r="D3089" i="122" s="1"/>
  <c r="D3759" i="122" s="1"/>
  <c r="D4429" i="122" s="1"/>
  <c r="D5099" i="122" s="1"/>
  <c r="C1079" i="122"/>
  <c r="C1749" i="122" s="1"/>
  <c r="C2419" i="122" s="1"/>
  <c r="C3089" i="122" s="1"/>
  <c r="C3759" i="122" s="1"/>
  <c r="C4429" i="122" s="1"/>
  <c r="C5099" i="122" s="1"/>
  <c r="B1079" i="122"/>
  <c r="B1749" i="122" s="1"/>
  <c r="B2419" i="122" s="1"/>
  <c r="B3089" i="122" s="1"/>
  <c r="B3759" i="122" s="1"/>
  <c r="B4429" i="122" s="1"/>
  <c r="B5099" i="122" s="1"/>
  <c r="A1079" i="122"/>
  <c r="A1749" i="122" s="1"/>
  <c r="A2419" i="122" s="1"/>
  <c r="A3089" i="122" s="1"/>
  <c r="A3759" i="122" s="1"/>
  <c r="A4429" i="122" s="1"/>
  <c r="A5099" i="122" s="1"/>
  <c r="M408" i="122"/>
  <c r="D1078" i="122"/>
  <c r="D1748" i="122" s="1"/>
  <c r="D2418" i="122" s="1"/>
  <c r="D3088" i="122" s="1"/>
  <c r="D3758" i="122" s="1"/>
  <c r="D4428" i="122" s="1"/>
  <c r="D5098" i="122" s="1"/>
  <c r="C1078" i="122"/>
  <c r="C1748" i="122" s="1"/>
  <c r="C2418" i="122" s="1"/>
  <c r="C3088" i="122" s="1"/>
  <c r="C3758" i="122" s="1"/>
  <c r="C4428" i="122" s="1"/>
  <c r="C5098" i="122" s="1"/>
  <c r="B1078" i="122"/>
  <c r="B1748" i="122" s="1"/>
  <c r="B2418" i="122" s="1"/>
  <c r="B3088" i="122" s="1"/>
  <c r="B3758" i="122" s="1"/>
  <c r="B4428" i="122" s="1"/>
  <c r="B5098" i="122" s="1"/>
  <c r="A1078" i="122"/>
  <c r="A1748" i="122" s="1"/>
  <c r="A2418" i="122" s="1"/>
  <c r="A3088" i="122" s="1"/>
  <c r="A3758" i="122" s="1"/>
  <c r="A4428" i="122" s="1"/>
  <c r="A5098" i="122" s="1"/>
  <c r="M407" i="122"/>
  <c r="C1077" i="122"/>
  <c r="C1747" i="122" s="1"/>
  <c r="C2417" i="122" s="1"/>
  <c r="C3087" i="122" s="1"/>
  <c r="C3757" i="122" s="1"/>
  <c r="C4427" i="122" s="1"/>
  <c r="C5097" i="122" s="1"/>
  <c r="B1077" i="122"/>
  <c r="B1747" i="122" s="1"/>
  <c r="B2417" i="122" s="1"/>
  <c r="B3087" i="122" s="1"/>
  <c r="B3757" i="122" s="1"/>
  <c r="B4427" i="122" s="1"/>
  <c r="B5097" i="122" s="1"/>
  <c r="A1077" i="122"/>
  <c r="A1747" i="122" s="1"/>
  <c r="A2417" i="122" s="1"/>
  <c r="A3087" i="122" s="1"/>
  <c r="A3757" i="122" s="1"/>
  <c r="A4427" i="122" s="1"/>
  <c r="A5097" i="122" s="1"/>
  <c r="M406" i="122"/>
  <c r="D1076" i="122"/>
  <c r="D1746" i="122" s="1"/>
  <c r="D2416" i="122" s="1"/>
  <c r="D3086" i="122" s="1"/>
  <c r="D3756" i="122" s="1"/>
  <c r="D4426" i="122" s="1"/>
  <c r="D5096" i="122" s="1"/>
  <c r="C1076" i="122"/>
  <c r="C1746" i="122" s="1"/>
  <c r="C2416" i="122" s="1"/>
  <c r="C3086" i="122" s="1"/>
  <c r="C3756" i="122" s="1"/>
  <c r="C4426" i="122" s="1"/>
  <c r="C5096" i="122" s="1"/>
  <c r="B1076" i="122"/>
  <c r="B1746" i="122" s="1"/>
  <c r="B2416" i="122" s="1"/>
  <c r="B3086" i="122" s="1"/>
  <c r="B3756" i="122" s="1"/>
  <c r="B4426" i="122" s="1"/>
  <c r="B5096" i="122" s="1"/>
  <c r="A1076" i="122"/>
  <c r="A1746" i="122" s="1"/>
  <c r="A2416" i="122" s="1"/>
  <c r="A3086" i="122" s="1"/>
  <c r="A3756" i="122" s="1"/>
  <c r="A4426" i="122" s="1"/>
  <c r="A5096" i="122" s="1"/>
  <c r="M405" i="122"/>
  <c r="D1075" i="122"/>
  <c r="D1745" i="122" s="1"/>
  <c r="D2415" i="122" s="1"/>
  <c r="D3085" i="122" s="1"/>
  <c r="D3755" i="122" s="1"/>
  <c r="D4425" i="122" s="1"/>
  <c r="D5095" i="122" s="1"/>
  <c r="C1075" i="122"/>
  <c r="C1745" i="122" s="1"/>
  <c r="C2415" i="122" s="1"/>
  <c r="C3085" i="122" s="1"/>
  <c r="C3755" i="122" s="1"/>
  <c r="C4425" i="122" s="1"/>
  <c r="C5095" i="122" s="1"/>
  <c r="B1075" i="122"/>
  <c r="B1745" i="122" s="1"/>
  <c r="B2415" i="122" s="1"/>
  <c r="B3085" i="122" s="1"/>
  <c r="B3755" i="122" s="1"/>
  <c r="B4425" i="122" s="1"/>
  <c r="B5095" i="122" s="1"/>
  <c r="A1075" i="122"/>
  <c r="A1745" i="122" s="1"/>
  <c r="A2415" i="122" s="1"/>
  <c r="A3085" i="122" s="1"/>
  <c r="A3755" i="122" s="1"/>
  <c r="A4425" i="122" s="1"/>
  <c r="A5095" i="122" s="1"/>
  <c r="M404" i="122"/>
  <c r="D1074" i="122"/>
  <c r="D1744" i="122" s="1"/>
  <c r="D2414" i="122" s="1"/>
  <c r="D3084" i="122" s="1"/>
  <c r="D3754" i="122" s="1"/>
  <c r="D4424" i="122" s="1"/>
  <c r="D5094" i="122" s="1"/>
  <c r="C1074" i="122"/>
  <c r="C1744" i="122" s="1"/>
  <c r="C2414" i="122" s="1"/>
  <c r="C3084" i="122" s="1"/>
  <c r="C3754" i="122" s="1"/>
  <c r="C4424" i="122" s="1"/>
  <c r="C5094" i="122" s="1"/>
  <c r="B1074" i="122"/>
  <c r="B1744" i="122" s="1"/>
  <c r="B2414" i="122" s="1"/>
  <c r="B3084" i="122" s="1"/>
  <c r="B3754" i="122" s="1"/>
  <c r="B4424" i="122" s="1"/>
  <c r="B5094" i="122" s="1"/>
  <c r="A1074" i="122"/>
  <c r="A1744" i="122" s="1"/>
  <c r="A2414" i="122" s="1"/>
  <c r="A3084" i="122" s="1"/>
  <c r="A3754" i="122" s="1"/>
  <c r="A4424" i="122" s="1"/>
  <c r="A5094" i="122" s="1"/>
  <c r="M403" i="122"/>
  <c r="D1073" i="122"/>
  <c r="D1743" i="122" s="1"/>
  <c r="D2413" i="122" s="1"/>
  <c r="D3083" i="122" s="1"/>
  <c r="D3753" i="122" s="1"/>
  <c r="D4423" i="122" s="1"/>
  <c r="D5093" i="122" s="1"/>
  <c r="C1073" i="122"/>
  <c r="C1743" i="122" s="1"/>
  <c r="C2413" i="122" s="1"/>
  <c r="C3083" i="122" s="1"/>
  <c r="C3753" i="122" s="1"/>
  <c r="C4423" i="122" s="1"/>
  <c r="C5093" i="122" s="1"/>
  <c r="B1073" i="122"/>
  <c r="B1743" i="122" s="1"/>
  <c r="B2413" i="122" s="1"/>
  <c r="B3083" i="122" s="1"/>
  <c r="B3753" i="122" s="1"/>
  <c r="B4423" i="122" s="1"/>
  <c r="B5093" i="122" s="1"/>
  <c r="A1073" i="122"/>
  <c r="A1743" i="122" s="1"/>
  <c r="A2413" i="122" s="1"/>
  <c r="A3083" i="122" s="1"/>
  <c r="A3753" i="122" s="1"/>
  <c r="A4423" i="122" s="1"/>
  <c r="A5093" i="122" s="1"/>
  <c r="M402" i="122"/>
  <c r="D1072" i="122"/>
  <c r="D1742" i="122" s="1"/>
  <c r="D2412" i="122" s="1"/>
  <c r="D3082" i="122" s="1"/>
  <c r="D3752" i="122" s="1"/>
  <c r="D4422" i="122" s="1"/>
  <c r="D5092" i="122" s="1"/>
  <c r="C1072" i="122"/>
  <c r="C1742" i="122" s="1"/>
  <c r="C2412" i="122" s="1"/>
  <c r="C3082" i="122" s="1"/>
  <c r="C3752" i="122" s="1"/>
  <c r="C4422" i="122" s="1"/>
  <c r="C5092" i="122" s="1"/>
  <c r="B1072" i="122"/>
  <c r="B1742" i="122" s="1"/>
  <c r="B2412" i="122" s="1"/>
  <c r="B3082" i="122" s="1"/>
  <c r="B3752" i="122" s="1"/>
  <c r="B4422" i="122" s="1"/>
  <c r="B5092" i="122" s="1"/>
  <c r="A1072" i="122"/>
  <c r="A1742" i="122" s="1"/>
  <c r="A2412" i="122" s="1"/>
  <c r="A3082" i="122" s="1"/>
  <c r="A3752" i="122" s="1"/>
  <c r="A4422" i="122" s="1"/>
  <c r="A5092" i="122" s="1"/>
  <c r="M401" i="122"/>
  <c r="D1071" i="122"/>
  <c r="D1741" i="122" s="1"/>
  <c r="D2411" i="122" s="1"/>
  <c r="D3081" i="122" s="1"/>
  <c r="D3751" i="122" s="1"/>
  <c r="D4421" i="122" s="1"/>
  <c r="D5091" i="122" s="1"/>
  <c r="C1071" i="122"/>
  <c r="C1741" i="122" s="1"/>
  <c r="C2411" i="122" s="1"/>
  <c r="C3081" i="122" s="1"/>
  <c r="C3751" i="122" s="1"/>
  <c r="C4421" i="122" s="1"/>
  <c r="C5091" i="122" s="1"/>
  <c r="B1071" i="122"/>
  <c r="B1741" i="122" s="1"/>
  <c r="B2411" i="122" s="1"/>
  <c r="B3081" i="122" s="1"/>
  <c r="B3751" i="122" s="1"/>
  <c r="B4421" i="122" s="1"/>
  <c r="B5091" i="122" s="1"/>
  <c r="A1071" i="122"/>
  <c r="A1741" i="122" s="1"/>
  <c r="A2411" i="122" s="1"/>
  <c r="A3081" i="122" s="1"/>
  <c r="A3751" i="122" s="1"/>
  <c r="A4421" i="122" s="1"/>
  <c r="A5091" i="122" s="1"/>
  <c r="M400" i="122"/>
  <c r="D1070" i="122"/>
  <c r="D1740" i="122" s="1"/>
  <c r="D2410" i="122" s="1"/>
  <c r="D3080" i="122" s="1"/>
  <c r="D3750" i="122" s="1"/>
  <c r="D4420" i="122" s="1"/>
  <c r="D5090" i="122" s="1"/>
  <c r="C1070" i="122"/>
  <c r="C1740" i="122" s="1"/>
  <c r="C2410" i="122" s="1"/>
  <c r="C3080" i="122" s="1"/>
  <c r="C3750" i="122" s="1"/>
  <c r="C4420" i="122" s="1"/>
  <c r="C5090" i="122" s="1"/>
  <c r="B1070" i="122"/>
  <c r="B1740" i="122" s="1"/>
  <c r="B2410" i="122" s="1"/>
  <c r="B3080" i="122" s="1"/>
  <c r="B3750" i="122" s="1"/>
  <c r="B4420" i="122" s="1"/>
  <c r="B5090" i="122" s="1"/>
  <c r="A1070" i="122"/>
  <c r="A1740" i="122" s="1"/>
  <c r="A2410" i="122" s="1"/>
  <c r="A3080" i="122" s="1"/>
  <c r="A3750" i="122" s="1"/>
  <c r="A4420" i="122" s="1"/>
  <c r="A5090" i="122" s="1"/>
  <c r="M399" i="122"/>
  <c r="D1069" i="122"/>
  <c r="D1739" i="122" s="1"/>
  <c r="D2409" i="122" s="1"/>
  <c r="D3079" i="122" s="1"/>
  <c r="D3749" i="122" s="1"/>
  <c r="D4419" i="122" s="1"/>
  <c r="D5089" i="122" s="1"/>
  <c r="C1069" i="122"/>
  <c r="C1739" i="122" s="1"/>
  <c r="C2409" i="122" s="1"/>
  <c r="C3079" i="122" s="1"/>
  <c r="C3749" i="122" s="1"/>
  <c r="C4419" i="122" s="1"/>
  <c r="C5089" i="122" s="1"/>
  <c r="B1069" i="122"/>
  <c r="B1739" i="122" s="1"/>
  <c r="B2409" i="122" s="1"/>
  <c r="B3079" i="122" s="1"/>
  <c r="B3749" i="122" s="1"/>
  <c r="B4419" i="122" s="1"/>
  <c r="B5089" i="122" s="1"/>
  <c r="A1069" i="122"/>
  <c r="A1739" i="122" s="1"/>
  <c r="A2409" i="122" s="1"/>
  <c r="A3079" i="122" s="1"/>
  <c r="A3749" i="122" s="1"/>
  <c r="A4419" i="122" s="1"/>
  <c r="A5089" i="122" s="1"/>
  <c r="M398" i="122"/>
  <c r="E1068" i="122"/>
  <c r="E1738" i="122" s="1"/>
  <c r="E2408" i="122" s="1"/>
  <c r="E3078" i="122" s="1"/>
  <c r="E3748" i="122" s="1"/>
  <c r="E4418" i="122" s="1"/>
  <c r="E5088" i="122" s="1"/>
  <c r="D1068" i="122"/>
  <c r="D1738" i="122" s="1"/>
  <c r="D2408" i="122" s="1"/>
  <c r="D3078" i="122" s="1"/>
  <c r="D3748" i="122" s="1"/>
  <c r="D4418" i="122" s="1"/>
  <c r="D5088" i="122" s="1"/>
  <c r="C1068" i="122"/>
  <c r="C1738" i="122" s="1"/>
  <c r="C2408" i="122" s="1"/>
  <c r="C3078" i="122" s="1"/>
  <c r="C3748" i="122" s="1"/>
  <c r="C4418" i="122" s="1"/>
  <c r="C5088" i="122" s="1"/>
  <c r="B1068" i="122"/>
  <c r="B1738" i="122" s="1"/>
  <c r="B2408" i="122" s="1"/>
  <c r="B3078" i="122" s="1"/>
  <c r="B3748" i="122" s="1"/>
  <c r="B4418" i="122" s="1"/>
  <c r="B5088" i="122" s="1"/>
  <c r="A1068" i="122"/>
  <c r="A1738" i="122" s="1"/>
  <c r="A2408" i="122" s="1"/>
  <c r="A3078" i="122" s="1"/>
  <c r="A3748" i="122" s="1"/>
  <c r="A4418" i="122" s="1"/>
  <c r="A5088" i="122" s="1"/>
  <c r="M397" i="122"/>
  <c r="D1067" i="122"/>
  <c r="D1737" i="122" s="1"/>
  <c r="D2407" i="122" s="1"/>
  <c r="D3077" i="122" s="1"/>
  <c r="D3747" i="122" s="1"/>
  <c r="D4417" i="122" s="1"/>
  <c r="D5087" i="122" s="1"/>
  <c r="C1067" i="122"/>
  <c r="C1737" i="122" s="1"/>
  <c r="C2407" i="122" s="1"/>
  <c r="C3077" i="122" s="1"/>
  <c r="C3747" i="122" s="1"/>
  <c r="C4417" i="122" s="1"/>
  <c r="C5087" i="122" s="1"/>
  <c r="B1067" i="122"/>
  <c r="B1737" i="122" s="1"/>
  <c r="B2407" i="122" s="1"/>
  <c r="B3077" i="122" s="1"/>
  <c r="B3747" i="122" s="1"/>
  <c r="B4417" i="122" s="1"/>
  <c r="B5087" i="122" s="1"/>
  <c r="A1067" i="122"/>
  <c r="A1737" i="122" s="1"/>
  <c r="A2407" i="122" s="1"/>
  <c r="A3077" i="122" s="1"/>
  <c r="A3747" i="122" s="1"/>
  <c r="A4417" i="122" s="1"/>
  <c r="A5087" i="122" s="1"/>
  <c r="M396" i="122"/>
  <c r="D1066" i="122"/>
  <c r="D1736" i="122" s="1"/>
  <c r="D2406" i="122" s="1"/>
  <c r="D3076" i="122" s="1"/>
  <c r="D3746" i="122" s="1"/>
  <c r="D4416" i="122" s="1"/>
  <c r="D5086" i="122" s="1"/>
  <c r="C1066" i="122"/>
  <c r="C1736" i="122" s="1"/>
  <c r="C2406" i="122" s="1"/>
  <c r="C3076" i="122" s="1"/>
  <c r="C3746" i="122" s="1"/>
  <c r="C4416" i="122" s="1"/>
  <c r="C5086" i="122" s="1"/>
  <c r="B1066" i="122"/>
  <c r="B1736" i="122" s="1"/>
  <c r="B2406" i="122" s="1"/>
  <c r="B3076" i="122" s="1"/>
  <c r="B3746" i="122" s="1"/>
  <c r="B4416" i="122" s="1"/>
  <c r="B5086" i="122" s="1"/>
  <c r="A1066" i="122"/>
  <c r="A1736" i="122" s="1"/>
  <c r="A2406" i="122" s="1"/>
  <c r="A3076" i="122" s="1"/>
  <c r="A3746" i="122" s="1"/>
  <c r="A4416" i="122" s="1"/>
  <c r="A5086" i="122" s="1"/>
  <c r="M395" i="122"/>
  <c r="D1065" i="122"/>
  <c r="D1735" i="122" s="1"/>
  <c r="D2405" i="122" s="1"/>
  <c r="D3075" i="122" s="1"/>
  <c r="D3745" i="122" s="1"/>
  <c r="D4415" i="122" s="1"/>
  <c r="D5085" i="122" s="1"/>
  <c r="C1065" i="122"/>
  <c r="C1735" i="122" s="1"/>
  <c r="C2405" i="122" s="1"/>
  <c r="C3075" i="122" s="1"/>
  <c r="C3745" i="122" s="1"/>
  <c r="C4415" i="122" s="1"/>
  <c r="C5085" i="122" s="1"/>
  <c r="B1065" i="122"/>
  <c r="B1735" i="122" s="1"/>
  <c r="B2405" i="122" s="1"/>
  <c r="B3075" i="122" s="1"/>
  <c r="B3745" i="122" s="1"/>
  <c r="B4415" i="122" s="1"/>
  <c r="B5085" i="122" s="1"/>
  <c r="A1065" i="122"/>
  <c r="A1735" i="122" s="1"/>
  <c r="A2405" i="122" s="1"/>
  <c r="A3075" i="122" s="1"/>
  <c r="A3745" i="122" s="1"/>
  <c r="A4415" i="122" s="1"/>
  <c r="A5085" i="122" s="1"/>
  <c r="M394" i="122"/>
  <c r="D1064" i="122"/>
  <c r="D1734" i="122" s="1"/>
  <c r="D2404" i="122" s="1"/>
  <c r="D3074" i="122" s="1"/>
  <c r="D3744" i="122" s="1"/>
  <c r="D4414" i="122" s="1"/>
  <c r="D5084" i="122" s="1"/>
  <c r="C1064" i="122"/>
  <c r="C1734" i="122" s="1"/>
  <c r="C2404" i="122" s="1"/>
  <c r="C3074" i="122" s="1"/>
  <c r="C3744" i="122" s="1"/>
  <c r="C4414" i="122" s="1"/>
  <c r="C5084" i="122" s="1"/>
  <c r="B1064" i="122"/>
  <c r="B1734" i="122" s="1"/>
  <c r="B2404" i="122" s="1"/>
  <c r="B3074" i="122" s="1"/>
  <c r="B3744" i="122" s="1"/>
  <c r="B4414" i="122" s="1"/>
  <c r="B5084" i="122" s="1"/>
  <c r="A1064" i="122"/>
  <c r="A1734" i="122" s="1"/>
  <c r="A2404" i="122" s="1"/>
  <c r="A3074" i="122" s="1"/>
  <c r="A3744" i="122" s="1"/>
  <c r="A4414" i="122" s="1"/>
  <c r="A5084" i="122" s="1"/>
  <c r="M393" i="122"/>
  <c r="D1063" i="122"/>
  <c r="D1733" i="122" s="1"/>
  <c r="D2403" i="122" s="1"/>
  <c r="D3073" i="122" s="1"/>
  <c r="D3743" i="122" s="1"/>
  <c r="D4413" i="122" s="1"/>
  <c r="D5083" i="122" s="1"/>
  <c r="C1063" i="122"/>
  <c r="C1733" i="122" s="1"/>
  <c r="C2403" i="122" s="1"/>
  <c r="C3073" i="122" s="1"/>
  <c r="C3743" i="122" s="1"/>
  <c r="C4413" i="122" s="1"/>
  <c r="C5083" i="122" s="1"/>
  <c r="B1063" i="122"/>
  <c r="B1733" i="122" s="1"/>
  <c r="B2403" i="122" s="1"/>
  <c r="B3073" i="122" s="1"/>
  <c r="B3743" i="122" s="1"/>
  <c r="B4413" i="122" s="1"/>
  <c r="B5083" i="122" s="1"/>
  <c r="A1063" i="122"/>
  <c r="A1733" i="122" s="1"/>
  <c r="A2403" i="122" s="1"/>
  <c r="A3073" i="122" s="1"/>
  <c r="A3743" i="122" s="1"/>
  <c r="A4413" i="122" s="1"/>
  <c r="A5083" i="122" s="1"/>
  <c r="M392" i="122"/>
  <c r="D1062" i="122"/>
  <c r="D1732" i="122" s="1"/>
  <c r="D2402" i="122" s="1"/>
  <c r="D3072" i="122" s="1"/>
  <c r="D3742" i="122" s="1"/>
  <c r="D4412" i="122" s="1"/>
  <c r="D5082" i="122" s="1"/>
  <c r="C1062" i="122"/>
  <c r="C1732" i="122" s="1"/>
  <c r="C2402" i="122" s="1"/>
  <c r="C3072" i="122" s="1"/>
  <c r="C3742" i="122" s="1"/>
  <c r="C4412" i="122" s="1"/>
  <c r="C5082" i="122" s="1"/>
  <c r="B1062" i="122"/>
  <c r="B1732" i="122" s="1"/>
  <c r="B2402" i="122" s="1"/>
  <c r="B3072" i="122" s="1"/>
  <c r="B3742" i="122" s="1"/>
  <c r="B4412" i="122" s="1"/>
  <c r="B5082" i="122" s="1"/>
  <c r="A1062" i="122"/>
  <c r="A1732" i="122" s="1"/>
  <c r="A2402" i="122" s="1"/>
  <c r="A3072" i="122" s="1"/>
  <c r="A3742" i="122" s="1"/>
  <c r="A4412" i="122" s="1"/>
  <c r="A5082" i="122" s="1"/>
  <c r="M391" i="122"/>
  <c r="D1061" i="122"/>
  <c r="D1731" i="122" s="1"/>
  <c r="D2401" i="122" s="1"/>
  <c r="D3071" i="122" s="1"/>
  <c r="D3741" i="122" s="1"/>
  <c r="D4411" i="122" s="1"/>
  <c r="D5081" i="122" s="1"/>
  <c r="C1061" i="122"/>
  <c r="C1731" i="122" s="1"/>
  <c r="C2401" i="122" s="1"/>
  <c r="C3071" i="122" s="1"/>
  <c r="C3741" i="122" s="1"/>
  <c r="C4411" i="122" s="1"/>
  <c r="C5081" i="122" s="1"/>
  <c r="B1061" i="122"/>
  <c r="B1731" i="122" s="1"/>
  <c r="B2401" i="122" s="1"/>
  <c r="B3071" i="122" s="1"/>
  <c r="B3741" i="122" s="1"/>
  <c r="B4411" i="122" s="1"/>
  <c r="B5081" i="122" s="1"/>
  <c r="A1061" i="122"/>
  <c r="A1731" i="122" s="1"/>
  <c r="A2401" i="122" s="1"/>
  <c r="A3071" i="122" s="1"/>
  <c r="A3741" i="122" s="1"/>
  <c r="A4411" i="122" s="1"/>
  <c r="A5081" i="122" s="1"/>
  <c r="M390" i="122"/>
  <c r="D1060" i="122"/>
  <c r="D1730" i="122" s="1"/>
  <c r="D2400" i="122" s="1"/>
  <c r="D3070" i="122" s="1"/>
  <c r="D3740" i="122" s="1"/>
  <c r="D4410" i="122" s="1"/>
  <c r="D5080" i="122" s="1"/>
  <c r="C1060" i="122"/>
  <c r="C1730" i="122" s="1"/>
  <c r="C2400" i="122" s="1"/>
  <c r="C3070" i="122" s="1"/>
  <c r="C3740" i="122" s="1"/>
  <c r="C4410" i="122" s="1"/>
  <c r="C5080" i="122" s="1"/>
  <c r="B1060" i="122"/>
  <c r="B1730" i="122" s="1"/>
  <c r="B2400" i="122" s="1"/>
  <c r="B3070" i="122" s="1"/>
  <c r="B3740" i="122" s="1"/>
  <c r="B4410" i="122" s="1"/>
  <c r="B5080" i="122" s="1"/>
  <c r="A1060" i="122"/>
  <c r="A1730" i="122" s="1"/>
  <c r="A2400" i="122" s="1"/>
  <c r="A3070" i="122" s="1"/>
  <c r="A3740" i="122" s="1"/>
  <c r="A4410" i="122" s="1"/>
  <c r="A5080" i="122" s="1"/>
  <c r="M389" i="122"/>
  <c r="D1059" i="122"/>
  <c r="D1729" i="122" s="1"/>
  <c r="D2399" i="122" s="1"/>
  <c r="D3069" i="122" s="1"/>
  <c r="D3739" i="122" s="1"/>
  <c r="D4409" i="122" s="1"/>
  <c r="D5079" i="122" s="1"/>
  <c r="C1059" i="122"/>
  <c r="C1729" i="122" s="1"/>
  <c r="C2399" i="122" s="1"/>
  <c r="C3069" i="122" s="1"/>
  <c r="C3739" i="122" s="1"/>
  <c r="C4409" i="122" s="1"/>
  <c r="C5079" i="122" s="1"/>
  <c r="B1059" i="122"/>
  <c r="B1729" i="122" s="1"/>
  <c r="B2399" i="122" s="1"/>
  <c r="B3069" i="122" s="1"/>
  <c r="B3739" i="122" s="1"/>
  <c r="B4409" i="122" s="1"/>
  <c r="B5079" i="122" s="1"/>
  <c r="A1059" i="122"/>
  <c r="A1729" i="122" s="1"/>
  <c r="A2399" i="122" s="1"/>
  <c r="A3069" i="122" s="1"/>
  <c r="A3739" i="122" s="1"/>
  <c r="A4409" i="122" s="1"/>
  <c r="A5079" i="122" s="1"/>
  <c r="M388" i="122"/>
  <c r="D1058" i="122"/>
  <c r="D1728" i="122" s="1"/>
  <c r="D2398" i="122" s="1"/>
  <c r="D3068" i="122" s="1"/>
  <c r="D3738" i="122" s="1"/>
  <c r="D4408" i="122" s="1"/>
  <c r="D5078" i="122" s="1"/>
  <c r="C1058" i="122"/>
  <c r="C1728" i="122" s="1"/>
  <c r="C2398" i="122" s="1"/>
  <c r="C3068" i="122" s="1"/>
  <c r="C3738" i="122" s="1"/>
  <c r="C4408" i="122" s="1"/>
  <c r="C5078" i="122" s="1"/>
  <c r="B1058" i="122"/>
  <c r="B1728" i="122" s="1"/>
  <c r="B2398" i="122" s="1"/>
  <c r="B3068" i="122" s="1"/>
  <c r="B3738" i="122" s="1"/>
  <c r="B4408" i="122" s="1"/>
  <c r="B5078" i="122" s="1"/>
  <c r="A1058" i="122"/>
  <c r="A1728" i="122" s="1"/>
  <c r="A2398" i="122" s="1"/>
  <c r="A3068" i="122" s="1"/>
  <c r="A3738" i="122" s="1"/>
  <c r="A4408" i="122" s="1"/>
  <c r="A5078" i="122" s="1"/>
  <c r="M387" i="122"/>
  <c r="E1057" i="122"/>
  <c r="E1727" i="122" s="1"/>
  <c r="E2397" i="122" s="1"/>
  <c r="E3067" i="122" s="1"/>
  <c r="E3737" i="122" s="1"/>
  <c r="E4407" i="122" s="1"/>
  <c r="E5077" i="122" s="1"/>
  <c r="D1057" i="122"/>
  <c r="D1727" i="122" s="1"/>
  <c r="D2397" i="122" s="1"/>
  <c r="D3067" i="122" s="1"/>
  <c r="D3737" i="122" s="1"/>
  <c r="D4407" i="122" s="1"/>
  <c r="D5077" i="122" s="1"/>
  <c r="C1057" i="122"/>
  <c r="C1727" i="122" s="1"/>
  <c r="C2397" i="122" s="1"/>
  <c r="C3067" i="122" s="1"/>
  <c r="C3737" i="122" s="1"/>
  <c r="C4407" i="122" s="1"/>
  <c r="C5077" i="122" s="1"/>
  <c r="B1057" i="122"/>
  <c r="B1727" i="122" s="1"/>
  <c r="B2397" i="122" s="1"/>
  <c r="B3067" i="122" s="1"/>
  <c r="B3737" i="122" s="1"/>
  <c r="B4407" i="122" s="1"/>
  <c r="B5077" i="122" s="1"/>
  <c r="A1057" i="122"/>
  <c r="A1727" i="122" s="1"/>
  <c r="A2397" i="122" s="1"/>
  <c r="A3067" i="122" s="1"/>
  <c r="A3737" i="122" s="1"/>
  <c r="A4407" i="122" s="1"/>
  <c r="A5077" i="122" s="1"/>
  <c r="M386" i="122"/>
  <c r="E1056" i="122"/>
  <c r="E1726" i="122" s="1"/>
  <c r="E2396" i="122" s="1"/>
  <c r="E3066" i="122" s="1"/>
  <c r="E3736" i="122" s="1"/>
  <c r="E4406" i="122" s="1"/>
  <c r="E5076" i="122" s="1"/>
  <c r="D1056" i="122"/>
  <c r="D1726" i="122" s="1"/>
  <c r="D2396" i="122" s="1"/>
  <c r="D3066" i="122" s="1"/>
  <c r="D3736" i="122" s="1"/>
  <c r="D4406" i="122" s="1"/>
  <c r="D5076" i="122" s="1"/>
  <c r="C1056" i="122"/>
  <c r="C1726" i="122" s="1"/>
  <c r="C2396" i="122" s="1"/>
  <c r="C3066" i="122" s="1"/>
  <c r="C3736" i="122" s="1"/>
  <c r="C4406" i="122" s="1"/>
  <c r="C5076" i="122" s="1"/>
  <c r="B1056" i="122"/>
  <c r="B1726" i="122" s="1"/>
  <c r="B2396" i="122" s="1"/>
  <c r="B3066" i="122" s="1"/>
  <c r="B3736" i="122" s="1"/>
  <c r="B4406" i="122" s="1"/>
  <c r="B5076" i="122" s="1"/>
  <c r="A1056" i="122"/>
  <c r="A1726" i="122" s="1"/>
  <c r="A2396" i="122" s="1"/>
  <c r="A3066" i="122" s="1"/>
  <c r="A3736" i="122" s="1"/>
  <c r="A4406" i="122" s="1"/>
  <c r="A5076" i="122" s="1"/>
  <c r="M385" i="122"/>
  <c r="D1055" i="122"/>
  <c r="D1725" i="122" s="1"/>
  <c r="D2395" i="122" s="1"/>
  <c r="D3065" i="122" s="1"/>
  <c r="D3735" i="122" s="1"/>
  <c r="D4405" i="122" s="1"/>
  <c r="D5075" i="122" s="1"/>
  <c r="C1055" i="122"/>
  <c r="C1725" i="122" s="1"/>
  <c r="C2395" i="122" s="1"/>
  <c r="C3065" i="122" s="1"/>
  <c r="C3735" i="122" s="1"/>
  <c r="C4405" i="122" s="1"/>
  <c r="C5075" i="122" s="1"/>
  <c r="B1055" i="122"/>
  <c r="B1725" i="122" s="1"/>
  <c r="B2395" i="122" s="1"/>
  <c r="B3065" i="122" s="1"/>
  <c r="B3735" i="122" s="1"/>
  <c r="B4405" i="122" s="1"/>
  <c r="B5075" i="122" s="1"/>
  <c r="A1055" i="122"/>
  <c r="A1725" i="122" s="1"/>
  <c r="A2395" i="122" s="1"/>
  <c r="A3065" i="122" s="1"/>
  <c r="A3735" i="122" s="1"/>
  <c r="A4405" i="122" s="1"/>
  <c r="A5075" i="122" s="1"/>
  <c r="M384" i="122"/>
  <c r="D1054" i="122"/>
  <c r="D1724" i="122" s="1"/>
  <c r="D2394" i="122" s="1"/>
  <c r="D3064" i="122" s="1"/>
  <c r="D3734" i="122" s="1"/>
  <c r="D4404" i="122" s="1"/>
  <c r="D5074" i="122" s="1"/>
  <c r="C1054" i="122"/>
  <c r="C1724" i="122" s="1"/>
  <c r="C2394" i="122" s="1"/>
  <c r="C3064" i="122" s="1"/>
  <c r="C3734" i="122" s="1"/>
  <c r="C4404" i="122" s="1"/>
  <c r="C5074" i="122" s="1"/>
  <c r="B1054" i="122"/>
  <c r="B1724" i="122" s="1"/>
  <c r="B2394" i="122" s="1"/>
  <c r="B3064" i="122" s="1"/>
  <c r="B3734" i="122" s="1"/>
  <c r="B4404" i="122" s="1"/>
  <c r="B5074" i="122" s="1"/>
  <c r="A1054" i="122"/>
  <c r="A1724" i="122" s="1"/>
  <c r="A2394" i="122" s="1"/>
  <c r="A3064" i="122" s="1"/>
  <c r="A3734" i="122" s="1"/>
  <c r="A4404" i="122" s="1"/>
  <c r="A5074" i="122" s="1"/>
  <c r="M383" i="122"/>
  <c r="D1053" i="122"/>
  <c r="D1723" i="122" s="1"/>
  <c r="D2393" i="122" s="1"/>
  <c r="D3063" i="122" s="1"/>
  <c r="D3733" i="122" s="1"/>
  <c r="D4403" i="122" s="1"/>
  <c r="D5073" i="122" s="1"/>
  <c r="C1053" i="122"/>
  <c r="C1723" i="122" s="1"/>
  <c r="C2393" i="122" s="1"/>
  <c r="C3063" i="122" s="1"/>
  <c r="C3733" i="122" s="1"/>
  <c r="C4403" i="122" s="1"/>
  <c r="C5073" i="122" s="1"/>
  <c r="B1053" i="122"/>
  <c r="B1723" i="122" s="1"/>
  <c r="B2393" i="122" s="1"/>
  <c r="B3063" i="122" s="1"/>
  <c r="B3733" i="122" s="1"/>
  <c r="B4403" i="122" s="1"/>
  <c r="B5073" i="122" s="1"/>
  <c r="A1053" i="122"/>
  <c r="A1723" i="122" s="1"/>
  <c r="A2393" i="122" s="1"/>
  <c r="A3063" i="122" s="1"/>
  <c r="A3733" i="122" s="1"/>
  <c r="A4403" i="122" s="1"/>
  <c r="A5073" i="122" s="1"/>
  <c r="M382" i="122"/>
  <c r="E1052" i="122"/>
  <c r="E1722" i="122" s="1"/>
  <c r="E2392" i="122" s="1"/>
  <c r="E3062" i="122" s="1"/>
  <c r="E3732" i="122" s="1"/>
  <c r="E4402" i="122" s="1"/>
  <c r="E5072" i="122" s="1"/>
  <c r="D1052" i="122"/>
  <c r="D1722" i="122" s="1"/>
  <c r="D2392" i="122" s="1"/>
  <c r="D3062" i="122" s="1"/>
  <c r="D3732" i="122" s="1"/>
  <c r="D4402" i="122" s="1"/>
  <c r="D5072" i="122" s="1"/>
  <c r="C1052" i="122"/>
  <c r="C1722" i="122" s="1"/>
  <c r="C2392" i="122" s="1"/>
  <c r="C3062" i="122" s="1"/>
  <c r="C3732" i="122" s="1"/>
  <c r="C4402" i="122" s="1"/>
  <c r="C5072" i="122" s="1"/>
  <c r="B1052" i="122"/>
  <c r="B1722" i="122" s="1"/>
  <c r="B2392" i="122" s="1"/>
  <c r="B3062" i="122" s="1"/>
  <c r="B3732" i="122" s="1"/>
  <c r="B4402" i="122" s="1"/>
  <c r="B5072" i="122" s="1"/>
  <c r="A1052" i="122"/>
  <c r="A1722" i="122" s="1"/>
  <c r="A2392" i="122" s="1"/>
  <c r="A3062" i="122" s="1"/>
  <c r="A3732" i="122" s="1"/>
  <c r="A4402" i="122" s="1"/>
  <c r="A5072" i="122" s="1"/>
  <c r="M381" i="122"/>
  <c r="D1051" i="122"/>
  <c r="D1721" i="122" s="1"/>
  <c r="D2391" i="122" s="1"/>
  <c r="D3061" i="122" s="1"/>
  <c r="D3731" i="122" s="1"/>
  <c r="D4401" i="122" s="1"/>
  <c r="D5071" i="122" s="1"/>
  <c r="C1051" i="122"/>
  <c r="C1721" i="122" s="1"/>
  <c r="C2391" i="122" s="1"/>
  <c r="C3061" i="122" s="1"/>
  <c r="C3731" i="122" s="1"/>
  <c r="C4401" i="122" s="1"/>
  <c r="C5071" i="122" s="1"/>
  <c r="B1051" i="122"/>
  <c r="B1721" i="122" s="1"/>
  <c r="B2391" i="122" s="1"/>
  <c r="B3061" i="122" s="1"/>
  <c r="B3731" i="122" s="1"/>
  <c r="B4401" i="122" s="1"/>
  <c r="B5071" i="122" s="1"/>
  <c r="A1051" i="122"/>
  <c r="A1721" i="122" s="1"/>
  <c r="A2391" i="122" s="1"/>
  <c r="A3061" i="122" s="1"/>
  <c r="A3731" i="122" s="1"/>
  <c r="A4401" i="122" s="1"/>
  <c r="A5071" i="122" s="1"/>
  <c r="M380" i="122"/>
  <c r="D1050" i="122"/>
  <c r="D1720" i="122" s="1"/>
  <c r="D2390" i="122" s="1"/>
  <c r="D3060" i="122" s="1"/>
  <c r="D3730" i="122" s="1"/>
  <c r="D4400" i="122" s="1"/>
  <c r="D5070" i="122" s="1"/>
  <c r="C1050" i="122"/>
  <c r="C1720" i="122" s="1"/>
  <c r="C2390" i="122" s="1"/>
  <c r="C3060" i="122" s="1"/>
  <c r="C3730" i="122" s="1"/>
  <c r="C4400" i="122" s="1"/>
  <c r="C5070" i="122" s="1"/>
  <c r="B1050" i="122"/>
  <c r="B1720" i="122" s="1"/>
  <c r="B2390" i="122" s="1"/>
  <c r="B3060" i="122" s="1"/>
  <c r="B3730" i="122" s="1"/>
  <c r="B4400" i="122" s="1"/>
  <c r="B5070" i="122" s="1"/>
  <c r="A1050" i="122"/>
  <c r="A1720" i="122" s="1"/>
  <c r="A2390" i="122" s="1"/>
  <c r="A3060" i="122" s="1"/>
  <c r="A3730" i="122" s="1"/>
  <c r="A4400" i="122" s="1"/>
  <c r="A5070" i="122" s="1"/>
  <c r="M379" i="122"/>
  <c r="D1049" i="122"/>
  <c r="D1719" i="122" s="1"/>
  <c r="D2389" i="122" s="1"/>
  <c r="D3059" i="122" s="1"/>
  <c r="D3729" i="122" s="1"/>
  <c r="D4399" i="122" s="1"/>
  <c r="D5069" i="122" s="1"/>
  <c r="C1049" i="122"/>
  <c r="C1719" i="122" s="1"/>
  <c r="C2389" i="122" s="1"/>
  <c r="C3059" i="122" s="1"/>
  <c r="C3729" i="122" s="1"/>
  <c r="C4399" i="122" s="1"/>
  <c r="C5069" i="122" s="1"/>
  <c r="B1049" i="122"/>
  <c r="B1719" i="122" s="1"/>
  <c r="B2389" i="122" s="1"/>
  <c r="B3059" i="122" s="1"/>
  <c r="B3729" i="122" s="1"/>
  <c r="B4399" i="122" s="1"/>
  <c r="B5069" i="122" s="1"/>
  <c r="A1049" i="122"/>
  <c r="A1719" i="122" s="1"/>
  <c r="A2389" i="122" s="1"/>
  <c r="A3059" i="122" s="1"/>
  <c r="A3729" i="122" s="1"/>
  <c r="A4399" i="122" s="1"/>
  <c r="A5069" i="122" s="1"/>
  <c r="M378" i="122"/>
  <c r="E1048" i="122"/>
  <c r="E1718" i="122" s="1"/>
  <c r="E2388" i="122" s="1"/>
  <c r="E3058" i="122" s="1"/>
  <c r="E3728" i="122" s="1"/>
  <c r="E4398" i="122" s="1"/>
  <c r="E5068" i="122" s="1"/>
  <c r="D1048" i="122"/>
  <c r="D1718" i="122" s="1"/>
  <c r="D2388" i="122" s="1"/>
  <c r="D3058" i="122" s="1"/>
  <c r="D3728" i="122" s="1"/>
  <c r="D4398" i="122" s="1"/>
  <c r="D5068" i="122" s="1"/>
  <c r="C1048" i="122"/>
  <c r="C1718" i="122" s="1"/>
  <c r="C2388" i="122" s="1"/>
  <c r="C3058" i="122" s="1"/>
  <c r="C3728" i="122" s="1"/>
  <c r="C4398" i="122" s="1"/>
  <c r="C5068" i="122" s="1"/>
  <c r="B1048" i="122"/>
  <c r="B1718" i="122" s="1"/>
  <c r="B2388" i="122" s="1"/>
  <c r="B3058" i="122" s="1"/>
  <c r="B3728" i="122" s="1"/>
  <c r="B4398" i="122" s="1"/>
  <c r="B5068" i="122" s="1"/>
  <c r="A1048" i="122"/>
  <c r="A1718" i="122" s="1"/>
  <c r="A2388" i="122" s="1"/>
  <c r="A3058" i="122" s="1"/>
  <c r="A3728" i="122" s="1"/>
  <c r="A4398" i="122" s="1"/>
  <c r="A5068" i="122" s="1"/>
  <c r="M377" i="122"/>
  <c r="D1047" i="122"/>
  <c r="D1717" i="122" s="1"/>
  <c r="D2387" i="122" s="1"/>
  <c r="D3057" i="122" s="1"/>
  <c r="D3727" i="122" s="1"/>
  <c r="D4397" i="122" s="1"/>
  <c r="D5067" i="122" s="1"/>
  <c r="C1047" i="122"/>
  <c r="C1717" i="122" s="1"/>
  <c r="C2387" i="122" s="1"/>
  <c r="C3057" i="122" s="1"/>
  <c r="C3727" i="122" s="1"/>
  <c r="C4397" i="122" s="1"/>
  <c r="C5067" i="122" s="1"/>
  <c r="B1047" i="122"/>
  <c r="B1717" i="122" s="1"/>
  <c r="B2387" i="122" s="1"/>
  <c r="B3057" i="122" s="1"/>
  <c r="B3727" i="122" s="1"/>
  <c r="B4397" i="122" s="1"/>
  <c r="B5067" i="122" s="1"/>
  <c r="A1047" i="122"/>
  <c r="A1717" i="122" s="1"/>
  <c r="A2387" i="122" s="1"/>
  <c r="A3057" i="122" s="1"/>
  <c r="A3727" i="122" s="1"/>
  <c r="A4397" i="122" s="1"/>
  <c r="A5067" i="122" s="1"/>
  <c r="M376" i="122"/>
  <c r="D1046" i="122"/>
  <c r="D1716" i="122" s="1"/>
  <c r="D2386" i="122" s="1"/>
  <c r="D3056" i="122" s="1"/>
  <c r="D3726" i="122" s="1"/>
  <c r="D4396" i="122" s="1"/>
  <c r="D5066" i="122" s="1"/>
  <c r="C1046" i="122"/>
  <c r="C1716" i="122" s="1"/>
  <c r="C2386" i="122" s="1"/>
  <c r="C3056" i="122" s="1"/>
  <c r="C3726" i="122" s="1"/>
  <c r="C4396" i="122" s="1"/>
  <c r="C5066" i="122" s="1"/>
  <c r="B1046" i="122"/>
  <c r="B1716" i="122" s="1"/>
  <c r="B2386" i="122" s="1"/>
  <c r="B3056" i="122" s="1"/>
  <c r="B3726" i="122" s="1"/>
  <c r="B4396" i="122" s="1"/>
  <c r="B5066" i="122" s="1"/>
  <c r="A1046" i="122"/>
  <c r="A1716" i="122" s="1"/>
  <c r="A2386" i="122" s="1"/>
  <c r="A3056" i="122" s="1"/>
  <c r="A3726" i="122" s="1"/>
  <c r="A4396" i="122" s="1"/>
  <c r="A5066" i="122" s="1"/>
  <c r="M375" i="122"/>
  <c r="E1045" i="122"/>
  <c r="E1715" i="122" s="1"/>
  <c r="E2385" i="122" s="1"/>
  <c r="E3055" i="122" s="1"/>
  <c r="E3725" i="122" s="1"/>
  <c r="E4395" i="122" s="1"/>
  <c r="E5065" i="122" s="1"/>
  <c r="D1045" i="122"/>
  <c r="D1715" i="122" s="1"/>
  <c r="D2385" i="122" s="1"/>
  <c r="D3055" i="122" s="1"/>
  <c r="D3725" i="122" s="1"/>
  <c r="D4395" i="122" s="1"/>
  <c r="D5065" i="122" s="1"/>
  <c r="C1045" i="122"/>
  <c r="C1715" i="122" s="1"/>
  <c r="C2385" i="122" s="1"/>
  <c r="C3055" i="122" s="1"/>
  <c r="C3725" i="122" s="1"/>
  <c r="C4395" i="122" s="1"/>
  <c r="C5065" i="122" s="1"/>
  <c r="B1045" i="122"/>
  <c r="B1715" i="122" s="1"/>
  <c r="B2385" i="122" s="1"/>
  <c r="B3055" i="122" s="1"/>
  <c r="B3725" i="122" s="1"/>
  <c r="B4395" i="122" s="1"/>
  <c r="B5065" i="122" s="1"/>
  <c r="A1045" i="122"/>
  <c r="A1715" i="122" s="1"/>
  <c r="A2385" i="122" s="1"/>
  <c r="A3055" i="122" s="1"/>
  <c r="A3725" i="122" s="1"/>
  <c r="A4395" i="122" s="1"/>
  <c r="A5065" i="122" s="1"/>
  <c r="M374" i="122"/>
  <c r="E1044" i="122"/>
  <c r="E1714" i="122" s="1"/>
  <c r="E2384" i="122" s="1"/>
  <c r="E3054" i="122" s="1"/>
  <c r="E3724" i="122" s="1"/>
  <c r="E4394" i="122" s="1"/>
  <c r="E5064" i="122" s="1"/>
  <c r="D1044" i="122"/>
  <c r="D1714" i="122" s="1"/>
  <c r="D2384" i="122" s="1"/>
  <c r="D3054" i="122" s="1"/>
  <c r="D3724" i="122" s="1"/>
  <c r="D4394" i="122" s="1"/>
  <c r="D5064" i="122" s="1"/>
  <c r="C1044" i="122"/>
  <c r="C1714" i="122" s="1"/>
  <c r="C2384" i="122" s="1"/>
  <c r="C3054" i="122" s="1"/>
  <c r="C3724" i="122" s="1"/>
  <c r="C4394" i="122" s="1"/>
  <c r="C5064" i="122" s="1"/>
  <c r="B1044" i="122"/>
  <c r="B1714" i="122" s="1"/>
  <c r="B2384" i="122" s="1"/>
  <c r="B3054" i="122" s="1"/>
  <c r="B3724" i="122" s="1"/>
  <c r="B4394" i="122" s="1"/>
  <c r="B5064" i="122" s="1"/>
  <c r="A1044" i="122"/>
  <c r="A1714" i="122" s="1"/>
  <c r="A2384" i="122" s="1"/>
  <c r="A3054" i="122" s="1"/>
  <c r="A3724" i="122" s="1"/>
  <c r="A4394" i="122" s="1"/>
  <c r="A5064" i="122" s="1"/>
  <c r="M373" i="122"/>
  <c r="D1043" i="122"/>
  <c r="D1713" i="122" s="1"/>
  <c r="D2383" i="122" s="1"/>
  <c r="D3053" i="122" s="1"/>
  <c r="D3723" i="122" s="1"/>
  <c r="D4393" i="122" s="1"/>
  <c r="D5063" i="122" s="1"/>
  <c r="C1043" i="122"/>
  <c r="C1713" i="122" s="1"/>
  <c r="C2383" i="122" s="1"/>
  <c r="C3053" i="122" s="1"/>
  <c r="C3723" i="122" s="1"/>
  <c r="C4393" i="122" s="1"/>
  <c r="C5063" i="122" s="1"/>
  <c r="B1043" i="122"/>
  <c r="B1713" i="122" s="1"/>
  <c r="B2383" i="122" s="1"/>
  <c r="B3053" i="122" s="1"/>
  <c r="B3723" i="122" s="1"/>
  <c r="B4393" i="122" s="1"/>
  <c r="B5063" i="122" s="1"/>
  <c r="A1043" i="122"/>
  <c r="A1713" i="122" s="1"/>
  <c r="A2383" i="122" s="1"/>
  <c r="A3053" i="122" s="1"/>
  <c r="A3723" i="122" s="1"/>
  <c r="A4393" i="122" s="1"/>
  <c r="A5063" i="122" s="1"/>
  <c r="M372" i="122"/>
  <c r="E1042" i="122"/>
  <c r="E1712" i="122" s="1"/>
  <c r="E2382" i="122" s="1"/>
  <c r="E3052" i="122" s="1"/>
  <c r="E3722" i="122" s="1"/>
  <c r="E4392" i="122" s="1"/>
  <c r="E5062" i="122" s="1"/>
  <c r="D1042" i="122"/>
  <c r="D1712" i="122" s="1"/>
  <c r="D2382" i="122" s="1"/>
  <c r="D3052" i="122" s="1"/>
  <c r="D3722" i="122" s="1"/>
  <c r="D4392" i="122" s="1"/>
  <c r="D5062" i="122" s="1"/>
  <c r="C1042" i="122"/>
  <c r="C1712" i="122" s="1"/>
  <c r="C2382" i="122" s="1"/>
  <c r="C3052" i="122" s="1"/>
  <c r="C3722" i="122" s="1"/>
  <c r="C4392" i="122" s="1"/>
  <c r="C5062" i="122" s="1"/>
  <c r="B1042" i="122"/>
  <c r="B1712" i="122" s="1"/>
  <c r="B2382" i="122" s="1"/>
  <c r="B3052" i="122" s="1"/>
  <c r="B3722" i="122" s="1"/>
  <c r="B4392" i="122" s="1"/>
  <c r="B5062" i="122" s="1"/>
  <c r="A1042" i="122"/>
  <c r="A1712" i="122" s="1"/>
  <c r="A2382" i="122" s="1"/>
  <c r="A3052" i="122" s="1"/>
  <c r="A3722" i="122" s="1"/>
  <c r="A4392" i="122" s="1"/>
  <c r="A5062" i="122" s="1"/>
  <c r="M371" i="122"/>
  <c r="D1041" i="122"/>
  <c r="D1711" i="122" s="1"/>
  <c r="D2381" i="122" s="1"/>
  <c r="D3051" i="122" s="1"/>
  <c r="D3721" i="122" s="1"/>
  <c r="D4391" i="122" s="1"/>
  <c r="D5061" i="122" s="1"/>
  <c r="C1041" i="122"/>
  <c r="C1711" i="122" s="1"/>
  <c r="C2381" i="122" s="1"/>
  <c r="C3051" i="122" s="1"/>
  <c r="C3721" i="122" s="1"/>
  <c r="C4391" i="122" s="1"/>
  <c r="C5061" i="122" s="1"/>
  <c r="B1041" i="122"/>
  <c r="B1711" i="122" s="1"/>
  <c r="B2381" i="122" s="1"/>
  <c r="B3051" i="122" s="1"/>
  <c r="B3721" i="122" s="1"/>
  <c r="B4391" i="122" s="1"/>
  <c r="B5061" i="122" s="1"/>
  <c r="A1041" i="122"/>
  <c r="A1711" i="122" s="1"/>
  <c r="A2381" i="122" s="1"/>
  <c r="A3051" i="122" s="1"/>
  <c r="A3721" i="122" s="1"/>
  <c r="A4391" i="122" s="1"/>
  <c r="A5061" i="122" s="1"/>
  <c r="M370" i="122"/>
  <c r="D1040" i="122"/>
  <c r="D1710" i="122" s="1"/>
  <c r="D2380" i="122" s="1"/>
  <c r="D3050" i="122" s="1"/>
  <c r="D3720" i="122" s="1"/>
  <c r="D4390" i="122" s="1"/>
  <c r="D5060" i="122" s="1"/>
  <c r="C1040" i="122"/>
  <c r="C1710" i="122" s="1"/>
  <c r="C2380" i="122" s="1"/>
  <c r="C3050" i="122" s="1"/>
  <c r="C3720" i="122" s="1"/>
  <c r="C4390" i="122" s="1"/>
  <c r="C5060" i="122" s="1"/>
  <c r="B1040" i="122"/>
  <c r="B1710" i="122" s="1"/>
  <c r="B2380" i="122" s="1"/>
  <c r="B3050" i="122" s="1"/>
  <c r="B3720" i="122" s="1"/>
  <c r="B4390" i="122" s="1"/>
  <c r="B5060" i="122" s="1"/>
  <c r="A1040" i="122"/>
  <c r="A1710" i="122" s="1"/>
  <c r="A2380" i="122" s="1"/>
  <c r="A3050" i="122" s="1"/>
  <c r="A3720" i="122" s="1"/>
  <c r="A4390" i="122" s="1"/>
  <c r="A5060" i="122" s="1"/>
  <c r="M369" i="122"/>
  <c r="E1039" i="122"/>
  <c r="E1709" i="122" s="1"/>
  <c r="E2379" i="122" s="1"/>
  <c r="E3049" i="122" s="1"/>
  <c r="E3719" i="122" s="1"/>
  <c r="E4389" i="122" s="1"/>
  <c r="E5059" i="122" s="1"/>
  <c r="C1039" i="122"/>
  <c r="C1709" i="122" s="1"/>
  <c r="C2379" i="122" s="1"/>
  <c r="C3049" i="122" s="1"/>
  <c r="C3719" i="122" s="1"/>
  <c r="C4389" i="122" s="1"/>
  <c r="C5059" i="122" s="1"/>
  <c r="B1039" i="122"/>
  <c r="B1709" i="122" s="1"/>
  <c r="B2379" i="122" s="1"/>
  <c r="B3049" i="122" s="1"/>
  <c r="B3719" i="122" s="1"/>
  <c r="B4389" i="122" s="1"/>
  <c r="B5059" i="122" s="1"/>
  <c r="A1039" i="122"/>
  <c r="A1709" i="122" s="1"/>
  <c r="A2379" i="122" s="1"/>
  <c r="A3049" i="122" s="1"/>
  <c r="A3719" i="122" s="1"/>
  <c r="A4389" i="122" s="1"/>
  <c r="A5059" i="122" s="1"/>
  <c r="M368" i="122"/>
  <c r="D1038" i="122"/>
  <c r="D1708" i="122" s="1"/>
  <c r="D2378" i="122" s="1"/>
  <c r="D3048" i="122" s="1"/>
  <c r="D3718" i="122" s="1"/>
  <c r="D4388" i="122" s="1"/>
  <c r="D5058" i="122" s="1"/>
  <c r="C1038" i="122"/>
  <c r="C1708" i="122" s="1"/>
  <c r="C2378" i="122" s="1"/>
  <c r="C3048" i="122" s="1"/>
  <c r="C3718" i="122" s="1"/>
  <c r="C4388" i="122" s="1"/>
  <c r="C5058" i="122" s="1"/>
  <c r="B1038" i="122"/>
  <c r="B1708" i="122" s="1"/>
  <c r="B2378" i="122" s="1"/>
  <c r="B3048" i="122" s="1"/>
  <c r="B3718" i="122" s="1"/>
  <c r="B4388" i="122" s="1"/>
  <c r="B5058" i="122" s="1"/>
  <c r="A1038" i="122"/>
  <c r="A1708" i="122" s="1"/>
  <c r="A2378" i="122" s="1"/>
  <c r="A3048" i="122" s="1"/>
  <c r="A3718" i="122" s="1"/>
  <c r="A4388" i="122" s="1"/>
  <c r="A5058" i="122" s="1"/>
  <c r="M367" i="122"/>
  <c r="D1037" i="122"/>
  <c r="D1707" i="122" s="1"/>
  <c r="D2377" i="122" s="1"/>
  <c r="D3047" i="122" s="1"/>
  <c r="D3717" i="122" s="1"/>
  <c r="D4387" i="122" s="1"/>
  <c r="D5057" i="122" s="1"/>
  <c r="C1037" i="122"/>
  <c r="C1707" i="122" s="1"/>
  <c r="C2377" i="122" s="1"/>
  <c r="C3047" i="122" s="1"/>
  <c r="C3717" i="122" s="1"/>
  <c r="C4387" i="122" s="1"/>
  <c r="C5057" i="122" s="1"/>
  <c r="B1037" i="122"/>
  <c r="B1707" i="122" s="1"/>
  <c r="B2377" i="122" s="1"/>
  <c r="B3047" i="122" s="1"/>
  <c r="B3717" i="122" s="1"/>
  <c r="B4387" i="122" s="1"/>
  <c r="B5057" i="122" s="1"/>
  <c r="A1037" i="122"/>
  <c r="A1707" i="122" s="1"/>
  <c r="A2377" i="122" s="1"/>
  <c r="A3047" i="122" s="1"/>
  <c r="A3717" i="122" s="1"/>
  <c r="A4387" i="122" s="1"/>
  <c r="A5057" i="122" s="1"/>
  <c r="M366" i="122"/>
  <c r="E1036" i="122"/>
  <c r="E1706" i="122" s="1"/>
  <c r="E2376" i="122" s="1"/>
  <c r="E3046" i="122" s="1"/>
  <c r="E3716" i="122" s="1"/>
  <c r="E4386" i="122" s="1"/>
  <c r="E5056" i="122" s="1"/>
  <c r="D1036" i="122"/>
  <c r="D1706" i="122" s="1"/>
  <c r="D2376" i="122" s="1"/>
  <c r="D3046" i="122" s="1"/>
  <c r="D3716" i="122" s="1"/>
  <c r="D4386" i="122" s="1"/>
  <c r="D5056" i="122" s="1"/>
  <c r="C1036" i="122"/>
  <c r="C1706" i="122" s="1"/>
  <c r="C2376" i="122" s="1"/>
  <c r="C3046" i="122" s="1"/>
  <c r="C3716" i="122" s="1"/>
  <c r="C4386" i="122" s="1"/>
  <c r="C5056" i="122" s="1"/>
  <c r="B1036" i="122"/>
  <c r="B1706" i="122" s="1"/>
  <c r="B2376" i="122" s="1"/>
  <c r="B3046" i="122" s="1"/>
  <c r="B3716" i="122" s="1"/>
  <c r="B4386" i="122" s="1"/>
  <c r="B5056" i="122" s="1"/>
  <c r="A1036" i="122"/>
  <c r="A1706" i="122" s="1"/>
  <c r="A2376" i="122" s="1"/>
  <c r="A3046" i="122" s="1"/>
  <c r="A3716" i="122" s="1"/>
  <c r="A4386" i="122" s="1"/>
  <c r="A5056" i="122" s="1"/>
  <c r="M365" i="122"/>
  <c r="D1035" i="122"/>
  <c r="D1705" i="122" s="1"/>
  <c r="D2375" i="122" s="1"/>
  <c r="D3045" i="122" s="1"/>
  <c r="D3715" i="122" s="1"/>
  <c r="D4385" i="122" s="1"/>
  <c r="D5055" i="122" s="1"/>
  <c r="C1035" i="122"/>
  <c r="C1705" i="122" s="1"/>
  <c r="C2375" i="122" s="1"/>
  <c r="C3045" i="122" s="1"/>
  <c r="C3715" i="122" s="1"/>
  <c r="C4385" i="122" s="1"/>
  <c r="C5055" i="122" s="1"/>
  <c r="B1035" i="122"/>
  <c r="B1705" i="122" s="1"/>
  <c r="B2375" i="122" s="1"/>
  <c r="B3045" i="122" s="1"/>
  <c r="B3715" i="122" s="1"/>
  <c r="B4385" i="122" s="1"/>
  <c r="B5055" i="122" s="1"/>
  <c r="A1035" i="122"/>
  <c r="A1705" i="122" s="1"/>
  <c r="A2375" i="122" s="1"/>
  <c r="A3045" i="122" s="1"/>
  <c r="A3715" i="122" s="1"/>
  <c r="A4385" i="122" s="1"/>
  <c r="A5055" i="122" s="1"/>
  <c r="M364" i="122"/>
  <c r="D1034" i="122"/>
  <c r="D1704" i="122" s="1"/>
  <c r="D2374" i="122" s="1"/>
  <c r="D3044" i="122" s="1"/>
  <c r="D3714" i="122" s="1"/>
  <c r="D4384" i="122" s="1"/>
  <c r="D5054" i="122" s="1"/>
  <c r="C1034" i="122"/>
  <c r="C1704" i="122" s="1"/>
  <c r="C2374" i="122" s="1"/>
  <c r="C3044" i="122" s="1"/>
  <c r="C3714" i="122" s="1"/>
  <c r="C4384" i="122" s="1"/>
  <c r="C5054" i="122" s="1"/>
  <c r="B1034" i="122"/>
  <c r="B1704" i="122" s="1"/>
  <c r="B2374" i="122" s="1"/>
  <c r="B3044" i="122" s="1"/>
  <c r="B3714" i="122" s="1"/>
  <c r="B4384" i="122" s="1"/>
  <c r="B5054" i="122" s="1"/>
  <c r="A1034" i="122"/>
  <c r="A1704" i="122" s="1"/>
  <c r="A2374" i="122" s="1"/>
  <c r="A3044" i="122" s="1"/>
  <c r="A3714" i="122" s="1"/>
  <c r="A4384" i="122" s="1"/>
  <c r="A5054" i="122" s="1"/>
  <c r="M363" i="122"/>
  <c r="E1033" i="122"/>
  <c r="E1703" i="122" s="1"/>
  <c r="E2373" i="122" s="1"/>
  <c r="E3043" i="122" s="1"/>
  <c r="E3713" i="122" s="1"/>
  <c r="E4383" i="122" s="1"/>
  <c r="E5053" i="122" s="1"/>
  <c r="D1033" i="122"/>
  <c r="D1703" i="122" s="1"/>
  <c r="D2373" i="122" s="1"/>
  <c r="D3043" i="122" s="1"/>
  <c r="D3713" i="122" s="1"/>
  <c r="D4383" i="122" s="1"/>
  <c r="D5053" i="122" s="1"/>
  <c r="C1033" i="122"/>
  <c r="C1703" i="122" s="1"/>
  <c r="C2373" i="122" s="1"/>
  <c r="C3043" i="122" s="1"/>
  <c r="C3713" i="122" s="1"/>
  <c r="C4383" i="122" s="1"/>
  <c r="C5053" i="122" s="1"/>
  <c r="B1033" i="122"/>
  <c r="B1703" i="122" s="1"/>
  <c r="B2373" i="122" s="1"/>
  <c r="B3043" i="122" s="1"/>
  <c r="B3713" i="122" s="1"/>
  <c r="B4383" i="122" s="1"/>
  <c r="B5053" i="122" s="1"/>
  <c r="A1033" i="122"/>
  <c r="A1703" i="122" s="1"/>
  <c r="A2373" i="122" s="1"/>
  <c r="A3043" i="122" s="1"/>
  <c r="A3713" i="122" s="1"/>
  <c r="A4383" i="122" s="1"/>
  <c r="A5053" i="122" s="1"/>
  <c r="M362" i="122"/>
  <c r="E1032" i="122"/>
  <c r="E1702" i="122" s="1"/>
  <c r="E2372" i="122" s="1"/>
  <c r="E3042" i="122" s="1"/>
  <c r="E3712" i="122" s="1"/>
  <c r="E4382" i="122" s="1"/>
  <c r="E5052" i="122" s="1"/>
  <c r="D1032" i="122"/>
  <c r="D1702" i="122" s="1"/>
  <c r="D2372" i="122" s="1"/>
  <c r="D3042" i="122" s="1"/>
  <c r="D3712" i="122" s="1"/>
  <c r="D4382" i="122" s="1"/>
  <c r="D5052" i="122" s="1"/>
  <c r="C1032" i="122"/>
  <c r="C1702" i="122" s="1"/>
  <c r="C2372" i="122" s="1"/>
  <c r="C3042" i="122" s="1"/>
  <c r="C3712" i="122" s="1"/>
  <c r="C4382" i="122" s="1"/>
  <c r="C5052" i="122" s="1"/>
  <c r="B1032" i="122"/>
  <c r="B1702" i="122" s="1"/>
  <c r="B2372" i="122" s="1"/>
  <c r="B3042" i="122" s="1"/>
  <c r="B3712" i="122" s="1"/>
  <c r="B4382" i="122" s="1"/>
  <c r="B5052" i="122" s="1"/>
  <c r="A1032" i="122"/>
  <c r="A1702" i="122" s="1"/>
  <c r="A2372" i="122" s="1"/>
  <c r="A3042" i="122" s="1"/>
  <c r="A3712" i="122" s="1"/>
  <c r="A4382" i="122" s="1"/>
  <c r="A5052" i="122" s="1"/>
  <c r="M361" i="122"/>
  <c r="D1031" i="122"/>
  <c r="D1701" i="122" s="1"/>
  <c r="D2371" i="122" s="1"/>
  <c r="D3041" i="122" s="1"/>
  <c r="D3711" i="122" s="1"/>
  <c r="D4381" i="122" s="1"/>
  <c r="D5051" i="122" s="1"/>
  <c r="C1031" i="122"/>
  <c r="C1701" i="122" s="1"/>
  <c r="C2371" i="122" s="1"/>
  <c r="C3041" i="122" s="1"/>
  <c r="C3711" i="122" s="1"/>
  <c r="C4381" i="122" s="1"/>
  <c r="C5051" i="122" s="1"/>
  <c r="B1031" i="122"/>
  <c r="B1701" i="122" s="1"/>
  <c r="B2371" i="122" s="1"/>
  <c r="B3041" i="122" s="1"/>
  <c r="B3711" i="122" s="1"/>
  <c r="B4381" i="122" s="1"/>
  <c r="B5051" i="122" s="1"/>
  <c r="A1031" i="122"/>
  <c r="A1701" i="122" s="1"/>
  <c r="A2371" i="122" s="1"/>
  <c r="A3041" i="122" s="1"/>
  <c r="A3711" i="122" s="1"/>
  <c r="A4381" i="122" s="1"/>
  <c r="A5051" i="122" s="1"/>
  <c r="M360" i="122"/>
  <c r="E1030" i="122"/>
  <c r="E1700" i="122" s="1"/>
  <c r="E2370" i="122" s="1"/>
  <c r="E3040" i="122" s="1"/>
  <c r="E3710" i="122" s="1"/>
  <c r="E4380" i="122" s="1"/>
  <c r="E5050" i="122" s="1"/>
  <c r="D1030" i="122"/>
  <c r="D1700" i="122" s="1"/>
  <c r="D2370" i="122" s="1"/>
  <c r="D3040" i="122" s="1"/>
  <c r="D3710" i="122" s="1"/>
  <c r="D4380" i="122" s="1"/>
  <c r="D5050" i="122" s="1"/>
  <c r="C1030" i="122"/>
  <c r="C1700" i="122" s="1"/>
  <c r="C2370" i="122" s="1"/>
  <c r="C3040" i="122" s="1"/>
  <c r="C3710" i="122" s="1"/>
  <c r="C4380" i="122" s="1"/>
  <c r="C5050" i="122" s="1"/>
  <c r="B1030" i="122"/>
  <c r="B1700" i="122" s="1"/>
  <c r="B2370" i="122" s="1"/>
  <c r="B3040" i="122" s="1"/>
  <c r="B3710" i="122" s="1"/>
  <c r="B4380" i="122" s="1"/>
  <c r="B5050" i="122" s="1"/>
  <c r="M359" i="122"/>
  <c r="D1029" i="122"/>
  <c r="D1699" i="122" s="1"/>
  <c r="D2369" i="122" s="1"/>
  <c r="D3039" i="122" s="1"/>
  <c r="D3709" i="122" s="1"/>
  <c r="D4379" i="122" s="1"/>
  <c r="D5049" i="122" s="1"/>
  <c r="C1029" i="122"/>
  <c r="C1699" i="122" s="1"/>
  <c r="C2369" i="122" s="1"/>
  <c r="C3039" i="122" s="1"/>
  <c r="C3709" i="122" s="1"/>
  <c r="C4379" i="122" s="1"/>
  <c r="C5049" i="122" s="1"/>
  <c r="B1029" i="122"/>
  <c r="B1699" i="122" s="1"/>
  <c r="B2369" i="122" s="1"/>
  <c r="B3039" i="122" s="1"/>
  <c r="B3709" i="122" s="1"/>
  <c r="B4379" i="122" s="1"/>
  <c r="B5049" i="122" s="1"/>
  <c r="A1029" i="122"/>
  <c r="A1699" i="122" s="1"/>
  <c r="A2369" i="122" s="1"/>
  <c r="A3039" i="122" s="1"/>
  <c r="A3709" i="122" s="1"/>
  <c r="A4379" i="122" s="1"/>
  <c r="A5049" i="122" s="1"/>
  <c r="M358" i="122"/>
  <c r="E1028" i="122"/>
  <c r="E1698" i="122" s="1"/>
  <c r="E2368" i="122" s="1"/>
  <c r="E3038" i="122" s="1"/>
  <c r="E3708" i="122" s="1"/>
  <c r="E4378" i="122" s="1"/>
  <c r="E5048" i="122" s="1"/>
  <c r="D1028" i="122"/>
  <c r="D1698" i="122" s="1"/>
  <c r="D2368" i="122" s="1"/>
  <c r="D3038" i="122" s="1"/>
  <c r="D3708" i="122" s="1"/>
  <c r="D4378" i="122" s="1"/>
  <c r="D5048" i="122" s="1"/>
  <c r="C1028" i="122"/>
  <c r="C1698" i="122" s="1"/>
  <c r="C2368" i="122" s="1"/>
  <c r="C3038" i="122" s="1"/>
  <c r="C3708" i="122" s="1"/>
  <c r="C4378" i="122" s="1"/>
  <c r="C5048" i="122" s="1"/>
  <c r="B1028" i="122"/>
  <c r="B1698" i="122" s="1"/>
  <c r="B2368" i="122" s="1"/>
  <c r="B3038" i="122" s="1"/>
  <c r="B3708" i="122" s="1"/>
  <c r="B4378" i="122" s="1"/>
  <c r="B5048" i="122" s="1"/>
  <c r="M357" i="122"/>
  <c r="D1027" i="122"/>
  <c r="D1697" i="122" s="1"/>
  <c r="D2367" i="122" s="1"/>
  <c r="D3037" i="122" s="1"/>
  <c r="D3707" i="122" s="1"/>
  <c r="D4377" i="122" s="1"/>
  <c r="D5047" i="122" s="1"/>
  <c r="C1027" i="122"/>
  <c r="C1697" i="122" s="1"/>
  <c r="C2367" i="122" s="1"/>
  <c r="C3037" i="122" s="1"/>
  <c r="C3707" i="122" s="1"/>
  <c r="C4377" i="122" s="1"/>
  <c r="C5047" i="122" s="1"/>
  <c r="B1027" i="122"/>
  <c r="B1697" i="122" s="1"/>
  <c r="B2367" i="122" s="1"/>
  <c r="B3037" i="122" s="1"/>
  <c r="B3707" i="122" s="1"/>
  <c r="B4377" i="122" s="1"/>
  <c r="B5047" i="122" s="1"/>
  <c r="A1027" i="122"/>
  <c r="A1697" i="122" s="1"/>
  <c r="A2367" i="122" s="1"/>
  <c r="A3037" i="122" s="1"/>
  <c r="A3707" i="122" s="1"/>
  <c r="A4377" i="122" s="1"/>
  <c r="A5047" i="122" s="1"/>
  <c r="M356" i="122"/>
  <c r="D1026" i="122"/>
  <c r="D1696" i="122" s="1"/>
  <c r="D2366" i="122" s="1"/>
  <c r="D3036" i="122" s="1"/>
  <c r="D3706" i="122" s="1"/>
  <c r="D4376" i="122" s="1"/>
  <c r="D5046" i="122" s="1"/>
  <c r="C1026" i="122"/>
  <c r="C1696" i="122" s="1"/>
  <c r="C2366" i="122" s="1"/>
  <c r="C3036" i="122" s="1"/>
  <c r="C3706" i="122" s="1"/>
  <c r="C4376" i="122" s="1"/>
  <c r="C5046" i="122" s="1"/>
  <c r="B1026" i="122"/>
  <c r="B1696" i="122" s="1"/>
  <c r="B2366" i="122" s="1"/>
  <c r="B3036" i="122" s="1"/>
  <c r="B3706" i="122" s="1"/>
  <c r="B4376" i="122" s="1"/>
  <c r="B5046" i="122" s="1"/>
  <c r="A1026" i="122"/>
  <c r="A1696" i="122" s="1"/>
  <c r="A2366" i="122" s="1"/>
  <c r="A3036" i="122" s="1"/>
  <c r="A3706" i="122" s="1"/>
  <c r="A4376" i="122" s="1"/>
  <c r="A5046" i="122" s="1"/>
  <c r="M355" i="122"/>
  <c r="E1025" i="122"/>
  <c r="E1695" i="122" s="1"/>
  <c r="E2365" i="122" s="1"/>
  <c r="E3035" i="122" s="1"/>
  <c r="E3705" i="122" s="1"/>
  <c r="E4375" i="122" s="1"/>
  <c r="E5045" i="122" s="1"/>
  <c r="D1025" i="122"/>
  <c r="D1695" i="122" s="1"/>
  <c r="D2365" i="122" s="1"/>
  <c r="D3035" i="122" s="1"/>
  <c r="D3705" i="122" s="1"/>
  <c r="D4375" i="122" s="1"/>
  <c r="D5045" i="122" s="1"/>
  <c r="C1025" i="122"/>
  <c r="C1695" i="122" s="1"/>
  <c r="C2365" i="122" s="1"/>
  <c r="C3035" i="122" s="1"/>
  <c r="C3705" i="122" s="1"/>
  <c r="C4375" i="122" s="1"/>
  <c r="C5045" i="122" s="1"/>
  <c r="B1025" i="122"/>
  <c r="B1695" i="122" s="1"/>
  <c r="B2365" i="122" s="1"/>
  <c r="B3035" i="122" s="1"/>
  <c r="B3705" i="122" s="1"/>
  <c r="B4375" i="122" s="1"/>
  <c r="B5045" i="122" s="1"/>
  <c r="M354" i="122"/>
  <c r="D1024" i="122"/>
  <c r="D1694" i="122" s="1"/>
  <c r="D2364" i="122" s="1"/>
  <c r="D3034" i="122" s="1"/>
  <c r="D3704" i="122" s="1"/>
  <c r="D4374" i="122" s="1"/>
  <c r="D5044" i="122" s="1"/>
  <c r="C1024" i="122"/>
  <c r="C1694" i="122" s="1"/>
  <c r="C2364" i="122" s="1"/>
  <c r="C3034" i="122" s="1"/>
  <c r="C3704" i="122" s="1"/>
  <c r="C4374" i="122" s="1"/>
  <c r="C5044" i="122" s="1"/>
  <c r="B1024" i="122"/>
  <c r="B1694" i="122" s="1"/>
  <c r="B2364" i="122" s="1"/>
  <c r="B3034" i="122" s="1"/>
  <c r="B3704" i="122" s="1"/>
  <c r="B4374" i="122" s="1"/>
  <c r="B5044" i="122" s="1"/>
  <c r="A1024" i="122"/>
  <c r="A1694" i="122" s="1"/>
  <c r="A2364" i="122" s="1"/>
  <c r="A3034" i="122" s="1"/>
  <c r="A3704" i="122" s="1"/>
  <c r="A4374" i="122" s="1"/>
  <c r="A5044" i="122" s="1"/>
  <c r="M353" i="122"/>
  <c r="E1023" i="122"/>
  <c r="E1693" i="122" s="1"/>
  <c r="E2363" i="122" s="1"/>
  <c r="E3033" i="122" s="1"/>
  <c r="E3703" i="122" s="1"/>
  <c r="E4373" i="122" s="1"/>
  <c r="E5043" i="122" s="1"/>
  <c r="D1023" i="122"/>
  <c r="D1693" i="122" s="1"/>
  <c r="D2363" i="122" s="1"/>
  <c r="D3033" i="122" s="1"/>
  <c r="D3703" i="122" s="1"/>
  <c r="D4373" i="122" s="1"/>
  <c r="D5043" i="122" s="1"/>
  <c r="C1023" i="122"/>
  <c r="C1693" i="122" s="1"/>
  <c r="C2363" i="122" s="1"/>
  <c r="C3033" i="122" s="1"/>
  <c r="C3703" i="122" s="1"/>
  <c r="C4373" i="122" s="1"/>
  <c r="C5043" i="122" s="1"/>
  <c r="B1023" i="122"/>
  <c r="B1693" i="122" s="1"/>
  <c r="B2363" i="122" s="1"/>
  <c r="B3033" i="122" s="1"/>
  <c r="B3703" i="122" s="1"/>
  <c r="B4373" i="122" s="1"/>
  <c r="B5043" i="122" s="1"/>
  <c r="M352" i="122"/>
  <c r="D1022" i="122"/>
  <c r="D1692" i="122" s="1"/>
  <c r="D2362" i="122" s="1"/>
  <c r="D3032" i="122" s="1"/>
  <c r="D3702" i="122" s="1"/>
  <c r="D4372" i="122" s="1"/>
  <c r="D5042" i="122" s="1"/>
  <c r="C1022" i="122"/>
  <c r="C1692" i="122" s="1"/>
  <c r="C2362" i="122" s="1"/>
  <c r="C3032" i="122" s="1"/>
  <c r="C3702" i="122" s="1"/>
  <c r="C4372" i="122" s="1"/>
  <c r="C5042" i="122" s="1"/>
  <c r="B1022" i="122"/>
  <c r="B1692" i="122" s="1"/>
  <c r="B2362" i="122" s="1"/>
  <c r="B3032" i="122" s="1"/>
  <c r="B3702" i="122" s="1"/>
  <c r="B4372" i="122" s="1"/>
  <c r="B5042" i="122" s="1"/>
  <c r="A1022" i="122"/>
  <c r="A1692" i="122" s="1"/>
  <c r="A2362" i="122" s="1"/>
  <c r="A3032" i="122" s="1"/>
  <c r="A3702" i="122" s="1"/>
  <c r="A4372" i="122" s="1"/>
  <c r="A5042" i="122" s="1"/>
  <c r="M351" i="122"/>
  <c r="E1021" i="122"/>
  <c r="E1691" i="122" s="1"/>
  <c r="E2361" i="122" s="1"/>
  <c r="E3031" i="122" s="1"/>
  <c r="E3701" i="122" s="1"/>
  <c r="E4371" i="122" s="1"/>
  <c r="E5041" i="122" s="1"/>
  <c r="D1021" i="122"/>
  <c r="D1691" i="122" s="1"/>
  <c r="D2361" i="122" s="1"/>
  <c r="D3031" i="122" s="1"/>
  <c r="D3701" i="122" s="1"/>
  <c r="D4371" i="122" s="1"/>
  <c r="D5041" i="122" s="1"/>
  <c r="C1021" i="122"/>
  <c r="C1691" i="122" s="1"/>
  <c r="C2361" i="122" s="1"/>
  <c r="C3031" i="122" s="1"/>
  <c r="C3701" i="122" s="1"/>
  <c r="C4371" i="122" s="1"/>
  <c r="C5041" i="122" s="1"/>
  <c r="B1021" i="122"/>
  <c r="B1691" i="122" s="1"/>
  <c r="B2361" i="122" s="1"/>
  <c r="B3031" i="122" s="1"/>
  <c r="B3701" i="122" s="1"/>
  <c r="B4371" i="122" s="1"/>
  <c r="B5041" i="122" s="1"/>
  <c r="M350" i="122"/>
  <c r="E1020" i="122"/>
  <c r="E1690" i="122" s="1"/>
  <c r="E2360" i="122" s="1"/>
  <c r="E3030" i="122" s="1"/>
  <c r="E3700" i="122" s="1"/>
  <c r="E4370" i="122" s="1"/>
  <c r="E5040" i="122" s="1"/>
  <c r="D1020" i="122"/>
  <c r="D1690" i="122" s="1"/>
  <c r="D2360" i="122" s="1"/>
  <c r="D3030" i="122" s="1"/>
  <c r="D3700" i="122" s="1"/>
  <c r="D4370" i="122" s="1"/>
  <c r="D5040" i="122" s="1"/>
  <c r="C1020" i="122"/>
  <c r="C1690" i="122" s="1"/>
  <c r="C2360" i="122" s="1"/>
  <c r="C3030" i="122" s="1"/>
  <c r="C3700" i="122" s="1"/>
  <c r="C4370" i="122" s="1"/>
  <c r="C5040" i="122" s="1"/>
  <c r="B1020" i="122"/>
  <c r="B1690" i="122" s="1"/>
  <c r="B2360" i="122" s="1"/>
  <c r="B3030" i="122" s="1"/>
  <c r="B3700" i="122" s="1"/>
  <c r="B4370" i="122" s="1"/>
  <c r="B5040" i="122" s="1"/>
  <c r="A1020" i="122"/>
  <c r="A1690" i="122" s="1"/>
  <c r="A2360" i="122" s="1"/>
  <c r="A3030" i="122" s="1"/>
  <c r="A3700" i="122" s="1"/>
  <c r="A4370" i="122" s="1"/>
  <c r="A5040" i="122" s="1"/>
  <c r="M349" i="122"/>
  <c r="E1019" i="122"/>
  <c r="E1689" i="122" s="1"/>
  <c r="E2359" i="122" s="1"/>
  <c r="E3029" i="122" s="1"/>
  <c r="E3699" i="122" s="1"/>
  <c r="E4369" i="122" s="1"/>
  <c r="E5039" i="122" s="1"/>
  <c r="D1019" i="122"/>
  <c r="D1689" i="122" s="1"/>
  <c r="D2359" i="122" s="1"/>
  <c r="D3029" i="122" s="1"/>
  <c r="D3699" i="122" s="1"/>
  <c r="D4369" i="122" s="1"/>
  <c r="D5039" i="122" s="1"/>
  <c r="C1019" i="122"/>
  <c r="C1689" i="122" s="1"/>
  <c r="C2359" i="122" s="1"/>
  <c r="C3029" i="122" s="1"/>
  <c r="C3699" i="122" s="1"/>
  <c r="C4369" i="122" s="1"/>
  <c r="C5039" i="122" s="1"/>
  <c r="B1019" i="122"/>
  <c r="B1689" i="122" s="1"/>
  <c r="B2359" i="122" s="1"/>
  <c r="B3029" i="122" s="1"/>
  <c r="B3699" i="122" s="1"/>
  <c r="B4369" i="122" s="1"/>
  <c r="B5039" i="122" s="1"/>
  <c r="M348" i="122"/>
  <c r="E1018" i="122"/>
  <c r="E1688" i="122" s="1"/>
  <c r="E2358" i="122" s="1"/>
  <c r="E3028" i="122" s="1"/>
  <c r="E3698" i="122" s="1"/>
  <c r="E4368" i="122" s="1"/>
  <c r="E5038" i="122" s="1"/>
  <c r="D1018" i="122"/>
  <c r="D1688" i="122" s="1"/>
  <c r="D2358" i="122" s="1"/>
  <c r="D3028" i="122" s="1"/>
  <c r="D3698" i="122" s="1"/>
  <c r="D4368" i="122" s="1"/>
  <c r="D5038" i="122" s="1"/>
  <c r="C1018" i="122"/>
  <c r="C1688" i="122" s="1"/>
  <c r="C2358" i="122" s="1"/>
  <c r="C3028" i="122" s="1"/>
  <c r="C3698" i="122" s="1"/>
  <c r="C4368" i="122" s="1"/>
  <c r="C5038" i="122" s="1"/>
  <c r="B1018" i="122"/>
  <c r="B1688" i="122" s="1"/>
  <c r="B2358" i="122" s="1"/>
  <c r="B3028" i="122" s="1"/>
  <c r="B3698" i="122" s="1"/>
  <c r="B4368" i="122" s="1"/>
  <c r="B5038" i="122" s="1"/>
  <c r="A1018" i="122"/>
  <c r="A1688" i="122" s="1"/>
  <c r="A2358" i="122" s="1"/>
  <c r="A3028" i="122" s="1"/>
  <c r="A3698" i="122" s="1"/>
  <c r="A4368" i="122" s="1"/>
  <c r="A5038" i="122" s="1"/>
  <c r="M347" i="122"/>
  <c r="E1017" i="122"/>
  <c r="E1687" i="122" s="1"/>
  <c r="E2357" i="122" s="1"/>
  <c r="E3027" i="122" s="1"/>
  <c r="E3697" i="122" s="1"/>
  <c r="E4367" i="122" s="1"/>
  <c r="E5037" i="122" s="1"/>
  <c r="D1017" i="122"/>
  <c r="D1687" i="122" s="1"/>
  <c r="D2357" i="122" s="1"/>
  <c r="D3027" i="122" s="1"/>
  <c r="D3697" i="122" s="1"/>
  <c r="D4367" i="122" s="1"/>
  <c r="D5037" i="122" s="1"/>
  <c r="C1017" i="122"/>
  <c r="C1687" i="122" s="1"/>
  <c r="C2357" i="122" s="1"/>
  <c r="C3027" i="122" s="1"/>
  <c r="C3697" i="122" s="1"/>
  <c r="C4367" i="122" s="1"/>
  <c r="C5037" i="122" s="1"/>
  <c r="B1017" i="122"/>
  <c r="B1687" i="122" s="1"/>
  <c r="B2357" i="122" s="1"/>
  <c r="B3027" i="122" s="1"/>
  <c r="B3697" i="122" s="1"/>
  <c r="B4367" i="122" s="1"/>
  <c r="B5037" i="122" s="1"/>
  <c r="A1017" i="122"/>
  <c r="A1687" i="122" s="1"/>
  <c r="A2357" i="122" s="1"/>
  <c r="A3027" i="122" s="1"/>
  <c r="A3697" i="122" s="1"/>
  <c r="A4367" i="122" s="1"/>
  <c r="A5037" i="122" s="1"/>
  <c r="M346" i="122"/>
  <c r="E1016" i="122"/>
  <c r="E1686" i="122" s="1"/>
  <c r="E2356" i="122" s="1"/>
  <c r="E3026" i="122" s="1"/>
  <c r="E3696" i="122" s="1"/>
  <c r="E4366" i="122" s="1"/>
  <c r="E5036" i="122" s="1"/>
  <c r="D1016" i="122"/>
  <c r="D1686" i="122" s="1"/>
  <c r="D2356" i="122" s="1"/>
  <c r="D3026" i="122" s="1"/>
  <c r="D3696" i="122" s="1"/>
  <c r="D4366" i="122" s="1"/>
  <c r="D5036" i="122" s="1"/>
  <c r="C1016" i="122"/>
  <c r="C1686" i="122" s="1"/>
  <c r="C2356" i="122" s="1"/>
  <c r="C3026" i="122" s="1"/>
  <c r="C3696" i="122" s="1"/>
  <c r="C4366" i="122" s="1"/>
  <c r="C5036" i="122" s="1"/>
  <c r="B1016" i="122"/>
  <c r="B1686" i="122" s="1"/>
  <c r="B2356" i="122" s="1"/>
  <c r="B3026" i="122" s="1"/>
  <c r="B3696" i="122" s="1"/>
  <c r="B4366" i="122" s="1"/>
  <c r="B5036" i="122" s="1"/>
  <c r="A1016" i="122"/>
  <c r="A1686" i="122" s="1"/>
  <c r="A2356" i="122" s="1"/>
  <c r="A3026" i="122" s="1"/>
  <c r="A3696" i="122" s="1"/>
  <c r="A4366" i="122" s="1"/>
  <c r="A5036" i="122" s="1"/>
  <c r="M345" i="122"/>
  <c r="E1015" i="122"/>
  <c r="E1685" i="122" s="1"/>
  <c r="E2355" i="122" s="1"/>
  <c r="E3025" i="122" s="1"/>
  <c r="E3695" i="122" s="1"/>
  <c r="E4365" i="122" s="1"/>
  <c r="E5035" i="122" s="1"/>
  <c r="D1015" i="122"/>
  <c r="D1685" i="122" s="1"/>
  <c r="D2355" i="122" s="1"/>
  <c r="D3025" i="122" s="1"/>
  <c r="D3695" i="122" s="1"/>
  <c r="D4365" i="122" s="1"/>
  <c r="D5035" i="122" s="1"/>
  <c r="C1015" i="122"/>
  <c r="C1685" i="122" s="1"/>
  <c r="C2355" i="122" s="1"/>
  <c r="C3025" i="122" s="1"/>
  <c r="C3695" i="122" s="1"/>
  <c r="C4365" i="122" s="1"/>
  <c r="C5035" i="122" s="1"/>
  <c r="B1015" i="122"/>
  <c r="B1685" i="122" s="1"/>
  <c r="B2355" i="122" s="1"/>
  <c r="B3025" i="122" s="1"/>
  <c r="B3695" i="122" s="1"/>
  <c r="B4365" i="122" s="1"/>
  <c r="B5035" i="122" s="1"/>
  <c r="A1015" i="122"/>
  <c r="A1685" i="122" s="1"/>
  <c r="A2355" i="122" s="1"/>
  <c r="A3025" i="122" s="1"/>
  <c r="A3695" i="122" s="1"/>
  <c r="A4365" i="122" s="1"/>
  <c r="A5035" i="122" s="1"/>
  <c r="M344" i="122"/>
  <c r="E1014" i="122"/>
  <c r="E1684" i="122" s="1"/>
  <c r="E2354" i="122" s="1"/>
  <c r="E3024" i="122" s="1"/>
  <c r="E3694" i="122" s="1"/>
  <c r="E4364" i="122" s="1"/>
  <c r="E5034" i="122" s="1"/>
  <c r="C1014" i="122"/>
  <c r="C1684" i="122" s="1"/>
  <c r="C2354" i="122" s="1"/>
  <c r="C3024" i="122" s="1"/>
  <c r="C3694" i="122" s="1"/>
  <c r="C4364" i="122" s="1"/>
  <c r="C5034" i="122" s="1"/>
  <c r="B1014" i="122"/>
  <c r="B1684" i="122" s="1"/>
  <c r="B2354" i="122" s="1"/>
  <c r="B3024" i="122" s="1"/>
  <c r="B3694" i="122" s="1"/>
  <c r="B4364" i="122" s="1"/>
  <c r="B5034" i="122" s="1"/>
  <c r="A1014" i="122"/>
  <c r="A1684" i="122" s="1"/>
  <c r="A2354" i="122" s="1"/>
  <c r="A3024" i="122" s="1"/>
  <c r="A3694" i="122" s="1"/>
  <c r="A4364" i="122" s="1"/>
  <c r="A5034" i="122" s="1"/>
  <c r="M343" i="122"/>
  <c r="E1013" i="122"/>
  <c r="E1683" i="122" s="1"/>
  <c r="E2353" i="122" s="1"/>
  <c r="E3023" i="122" s="1"/>
  <c r="E3693" i="122" s="1"/>
  <c r="E4363" i="122" s="1"/>
  <c r="E5033" i="122" s="1"/>
  <c r="D1013" i="122"/>
  <c r="D1683" i="122" s="1"/>
  <c r="D2353" i="122" s="1"/>
  <c r="D3023" i="122" s="1"/>
  <c r="D3693" i="122" s="1"/>
  <c r="D4363" i="122" s="1"/>
  <c r="D5033" i="122" s="1"/>
  <c r="C1013" i="122"/>
  <c r="C1683" i="122" s="1"/>
  <c r="C2353" i="122" s="1"/>
  <c r="C3023" i="122" s="1"/>
  <c r="C3693" i="122" s="1"/>
  <c r="C4363" i="122" s="1"/>
  <c r="C5033" i="122" s="1"/>
  <c r="B1013" i="122"/>
  <c r="B1683" i="122" s="1"/>
  <c r="B2353" i="122" s="1"/>
  <c r="B3023" i="122" s="1"/>
  <c r="B3693" i="122" s="1"/>
  <c r="B4363" i="122" s="1"/>
  <c r="B5033" i="122" s="1"/>
  <c r="A1013" i="122"/>
  <c r="A1683" i="122" s="1"/>
  <c r="A2353" i="122" s="1"/>
  <c r="A3023" i="122" s="1"/>
  <c r="A3693" i="122" s="1"/>
  <c r="A4363" i="122" s="1"/>
  <c r="A5033" i="122" s="1"/>
  <c r="M342" i="122"/>
  <c r="E1012" i="122"/>
  <c r="E1682" i="122" s="1"/>
  <c r="E2352" i="122" s="1"/>
  <c r="E3022" i="122" s="1"/>
  <c r="E3692" i="122" s="1"/>
  <c r="E4362" i="122" s="1"/>
  <c r="E5032" i="122" s="1"/>
  <c r="D1012" i="122"/>
  <c r="D1682" i="122" s="1"/>
  <c r="D2352" i="122" s="1"/>
  <c r="D3022" i="122" s="1"/>
  <c r="D3692" i="122" s="1"/>
  <c r="D4362" i="122" s="1"/>
  <c r="D5032" i="122" s="1"/>
  <c r="C1012" i="122"/>
  <c r="C1682" i="122" s="1"/>
  <c r="C2352" i="122" s="1"/>
  <c r="C3022" i="122" s="1"/>
  <c r="C3692" i="122" s="1"/>
  <c r="C4362" i="122" s="1"/>
  <c r="C5032" i="122" s="1"/>
  <c r="B1012" i="122"/>
  <c r="B1682" i="122" s="1"/>
  <c r="B2352" i="122" s="1"/>
  <c r="B3022" i="122" s="1"/>
  <c r="B3692" i="122" s="1"/>
  <c r="B4362" i="122" s="1"/>
  <c r="B5032" i="122" s="1"/>
  <c r="A1012" i="122"/>
  <c r="A1682" i="122" s="1"/>
  <c r="A2352" i="122" s="1"/>
  <c r="A3022" i="122" s="1"/>
  <c r="A3692" i="122" s="1"/>
  <c r="A4362" i="122" s="1"/>
  <c r="A5032" i="122" s="1"/>
  <c r="M341" i="122"/>
  <c r="E1011" i="122"/>
  <c r="E1681" i="122" s="1"/>
  <c r="E2351" i="122" s="1"/>
  <c r="E3021" i="122" s="1"/>
  <c r="E3691" i="122" s="1"/>
  <c r="E4361" i="122" s="1"/>
  <c r="E5031" i="122" s="1"/>
  <c r="D1011" i="122"/>
  <c r="D1681" i="122" s="1"/>
  <c r="D2351" i="122" s="1"/>
  <c r="D3021" i="122" s="1"/>
  <c r="D3691" i="122" s="1"/>
  <c r="D4361" i="122" s="1"/>
  <c r="D5031" i="122" s="1"/>
  <c r="C1011" i="122"/>
  <c r="C1681" i="122" s="1"/>
  <c r="C2351" i="122" s="1"/>
  <c r="C3021" i="122" s="1"/>
  <c r="C3691" i="122" s="1"/>
  <c r="C4361" i="122" s="1"/>
  <c r="C5031" i="122" s="1"/>
  <c r="B1011" i="122"/>
  <c r="B1681" i="122" s="1"/>
  <c r="B2351" i="122" s="1"/>
  <c r="B3021" i="122" s="1"/>
  <c r="B3691" i="122" s="1"/>
  <c r="B4361" i="122" s="1"/>
  <c r="B5031" i="122" s="1"/>
  <c r="A1011" i="122"/>
  <c r="A1681" i="122" s="1"/>
  <c r="A2351" i="122" s="1"/>
  <c r="A3021" i="122" s="1"/>
  <c r="A3691" i="122" s="1"/>
  <c r="A4361" i="122" s="1"/>
  <c r="A5031" i="122" s="1"/>
  <c r="M340" i="122"/>
  <c r="E1010" i="122"/>
  <c r="E1680" i="122" s="1"/>
  <c r="E2350" i="122" s="1"/>
  <c r="E3020" i="122" s="1"/>
  <c r="E3690" i="122" s="1"/>
  <c r="E4360" i="122" s="1"/>
  <c r="E5030" i="122" s="1"/>
  <c r="D1010" i="122"/>
  <c r="D1680" i="122" s="1"/>
  <c r="D2350" i="122" s="1"/>
  <c r="D3020" i="122" s="1"/>
  <c r="D3690" i="122" s="1"/>
  <c r="D4360" i="122" s="1"/>
  <c r="D5030" i="122" s="1"/>
  <c r="C1010" i="122"/>
  <c r="C1680" i="122" s="1"/>
  <c r="C2350" i="122" s="1"/>
  <c r="C3020" i="122" s="1"/>
  <c r="C3690" i="122" s="1"/>
  <c r="C4360" i="122" s="1"/>
  <c r="C5030" i="122" s="1"/>
  <c r="B1010" i="122"/>
  <c r="B1680" i="122" s="1"/>
  <c r="B2350" i="122" s="1"/>
  <c r="B3020" i="122" s="1"/>
  <c r="B3690" i="122" s="1"/>
  <c r="B4360" i="122" s="1"/>
  <c r="B5030" i="122" s="1"/>
  <c r="A1010" i="122"/>
  <c r="A1680" i="122" s="1"/>
  <c r="A2350" i="122" s="1"/>
  <c r="A3020" i="122" s="1"/>
  <c r="A3690" i="122" s="1"/>
  <c r="A4360" i="122" s="1"/>
  <c r="A5030" i="122" s="1"/>
  <c r="M339" i="122"/>
  <c r="E1009" i="122"/>
  <c r="E1679" i="122" s="1"/>
  <c r="E2349" i="122" s="1"/>
  <c r="E3019" i="122" s="1"/>
  <c r="E3689" i="122" s="1"/>
  <c r="E4359" i="122" s="1"/>
  <c r="E5029" i="122" s="1"/>
  <c r="D1009" i="122"/>
  <c r="D1679" i="122" s="1"/>
  <c r="D2349" i="122" s="1"/>
  <c r="D3019" i="122" s="1"/>
  <c r="D3689" i="122" s="1"/>
  <c r="D4359" i="122" s="1"/>
  <c r="D5029" i="122" s="1"/>
  <c r="C1009" i="122"/>
  <c r="C1679" i="122" s="1"/>
  <c r="C2349" i="122" s="1"/>
  <c r="C3019" i="122" s="1"/>
  <c r="C3689" i="122" s="1"/>
  <c r="C4359" i="122" s="1"/>
  <c r="C5029" i="122" s="1"/>
  <c r="B1009" i="122"/>
  <c r="B1679" i="122" s="1"/>
  <c r="B2349" i="122" s="1"/>
  <c r="B3019" i="122" s="1"/>
  <c r="B3689" i="122" s="1"/>
  <c r="B4359" i="122" s="1"/>
  <c r="B5029" i="122" s="1"/>
  <c r="A1009" i="122"/>
  <c r="A1679" i="122" s="1"/>
  <c r="A2349" i="122" s="1"/>
  <c r="A3019" i="122" s="1"/>
  <c r="A3689" i="122" s="1"/>
  <c r="A4359" i="122" s="1"/>
  <c r="A5029" i="122" s="1"/>
  <c r="M338" i="122"/>
  <c r="E1008" i="122"/>
  <c r="E1678" i="122" s="1"/>
  <c r="E2348" i="122" s="1"/>
  <c r="E3018" i="122" s="1"/>
  <c r="E3688" i="122" s="1"/>
  <c r="E4358" i="122" s="1"/>
  <c r="E5028" i="122" s="1"/>
  <c r="D1008" i="122"/>
  <c r="D1678" i="122" s="1"/>
  <c r="D2348" i="122" s="1"/>
  <c r="D3018" i="122" s="1"/>
  <c r="D3688" i="122" s="1"/>
  <c r="D4358" i="122" s="1"/>
  <c r="D5028" i="122" s="1"/>
  <c r="C1008" i="122"/>
  <c r="C1678" i="122" s="1"/>
  <c r="C2348" i="122" s="1"/>
  <c r="C3018" i="122" s="1"/>
  <c r="C3688" i="122" s="1"/>
  <c r="C4358" i="122" s="1"/>
  <c r="C5028" i="122" s="1"/>
  <c r="B1008" i="122"/>
  <c r="B1678" i="122" s="1"/>
  <c r="B2348" i="122" s="1"/>
  <c r="B3018" i="122" s="1"/>
  <c r="B3688" i="122" s="1"/>
  <c r="B4358" i="122" s="1"/>
  <c r="B5028" i="122" s="1"/>
  <c r="A1008" i="122"/>
  <c r="A1678" i="122" s="1"/>
  <c r="A2348" i="122" s="1"/>
  <c r="A3018" i="122" s="1"/>
  <c r="A3688" i="122" s="1"/>
  <c r="A4358" i="122" s="1"/>
  <c r="A5028" i="122" s="1"/>
  <c r="M337" i="122"/>
  <c r="E1007" i="122"/>
  <c r="E1677" i="122" s="1"/>
  <c r="E2347" i="122" s="1"/>
  <c r="E3017" i="122" s="1"/>
  <c r="E3687" i="122" s="1"/>
  <c r="E4357" i="122" s="1"/>
  <c r="E5027" i="122" s="1"/>
  <c r="D1007" i="122"/>
  <c r="D1677" i="122" s="1"/>
  <c r="D2347" i="122" s="1"/>
  <c r="D3017" i="122" s="1"/>
  <c r="D3687" i="122" s="1"/>
  <c r="D4357" i="122" s="1"/>
  <c r="D5027" i="122" s="1"/>
  <c r="C1007" i="122"/>
  <c r="C1677" i="122" s="1"/>
  <c r="C2347" i="122" s="1"/>
  <c r="C3017" i="122" s="1"/>
  <c r="C3687" i="122" s="1"/>
  <c r="C4357" i="122" s="1"/>
  <c r="C5027" i="122" s="1"/>
  <c r="B1007" i="122"/>
  <c r="B1677" i="122" s="1"/>
  <c r="B2347" i="122" s="1"/>
  <c r="B3017" i="122" s="1"/>
  <c r="B3687" i="122" s="1"/>
  <c r="B4357" i="122" s="1"/>
  <c r="B5027" i="122" s="1"/>
  <c r="A1007" i="122"/>
  <c r="A1677" i="122" s="1"/>
  <c r="A2347" i="122" s="1"/>
  <c r="A3017" i="122" s="1"/>
  <c r="A3687" i="122" s="1"/>
  <c r="A4357" i="122" s="1"/>
  <c r="A5027" i="122" s="1"/>
  <c r="M336" i="122"/>
  <c r="E1006" i="122"/>
  <c r="E1676" i="122" s="1"/>
  <c r="E2346" i="122" s="1"/>
  <c r="E3016" i="122" s="1"/>
  <c r="E3686" i="122" s="1"/>
  <c r="E4356" i="122" s="1"/>
  <c r="E5026" i="122" s="1"/>
  <c r="D1006" i="122"/>
  <c r="D1676" i="122" s="1"/>
  <c r="D2346" i="122" s="1"/>
  <c r="D3016" i="122" s="1"/>
  <c r="D3686" i="122" s="1"/>
  <c r="D4356" i="122" s="1"/>
  <c r="D5026" i="122" s="1"/>
  <c r="C1006" i="122"/>
  <c r="C1676" i="122" s="1"/>
  <c r="C2346" i="122" s="1"/>
  <c r="C3016" i="122" s="1"/>
  <c r="C3686" i="122" s="1"/>
  <c r="C4356" i="122" s="1"/>
  <c r="C5026" i="122" s="1"/>
  <c r="B1006" i="122"/>
  <c r="B1676" i="122" s="1"/>
  <c r="B2346" i="122" s="1"/>
  <c r="B3016" i="122" s="1"/>
  <c r="B3686" i="122" s="1"/>
  <c r="B4356" i="122" s="1"/>
  <c r="B5026" i="122" s="1"/>
  <c r="A1006" i="122"/>
  <c r="A1676" i="122" s="1"/>
  <c r="A2346" i="122" s="1"/>
  <c r="A3016" i="122" s="1"/>
  <c r="A3686" i="122" s="1"/>
  <c r="A4356" i="122" s="1"/>
  <c r="A5026" i="122" s="1"/>
  <c r="M335" i="122"/>
  <c r="E1005" i="122"/>
  <c r="E1675" i="122" s="1"/>
  <c r="E2345" i="122" s="1"/>
  <c r="E3015" i="122" s="1"/>
  <c r="E3685" i="122" s="1"/>
  <c r="E4355" i="122" s="1"/>
  <c r="E5025" i="122" s="1"/>
  <c r="D1005" i="122"/>
  <c r="D1675" i="122" s="1"/>
  <c r="D2345" i="122" s="1"/>
  <c r="D3015" i="122" s="1"/>
  <c r="D3685" i="122" s="1"/>
  <c r="D4355" i="122" s="1"/>
  <c r="D5025" i="122" s="1"/>
  <c r="C1005" i="122"/>
  <c r="C1675" i="122" s="1"/>
  <c r="C2345" i="122" s="1"/>
  <c r="C3015" i="122" s="1"/>
  <c r="C3685" i="122" s="1"/>
  <c r="C4355" i="122" s="1"/>
  <c r="C5025" i="122" s="1"/>
  <c r="B1005" i="122"/>
  <c r="B1675" i="122" s="1"/>
  <c r="B2345" i="122" s="1"/>
  <c r="B3015" i="122" s="1"/>
  <c r="B3685" i="122" s="1"/>
  <c r="B4355" i="122" s="1"/>
  <c r="B5025" i="122" s="1"/>
  <c r="A1005" i="122"/>
  <c r="A1675" i="122" s="1"/>
  <c r="A2345" i="122" s="1"/>
  <c r="A3015" i="122" s="1"/>
  <c r="A3685" i="122" s="1"/>
  <c r="A4355" i="122" s="1"/>
  <c r="A5025" i="122" s="1"/>
  <c r="M334" i="122"/>
  <c r="E1004" i="122"/>
  <c r="E1674" i="122" s="1"/>
  <c r="E2344" i="122" s="1"/>
  <c r="E3014" i="122" s="1"/>
  <c r="E3684" i="122" s="1"/>
  <c r="E4354" i="122" s="1"/>
  <c r="E5024" i="122" s="1"/>
  <c r="D1004" i="122"/>
  <c r="D1674" i="122" s="1"/>
  <c r="D2344" i="122" s="1"/>
  <c r="D3014" i="122" s="1"/>
  <c r="D3684" i="122" s="1"/>
  <c r="D4354" i="122" s="1"/>
  <c r="D5024" i="122" s="1"/>
  <c r="C1004" i="122"/>
  <c r="C1674" i="122" s="1"/>
  <c r="C2344" i="122" s="1"/>
  <c r="C3014" i="122" s="1"/>
  <c r="C3684" i="122" s="1"/>
  <c r="C4354" i="122" s="1"/>
  <c r="C5024" i="122" s="1"/>
  <c r="B1004" i="122"/>
  <c r="B1674" i="122" s="1"/>
  <c r="B2344" i="122" s="1"/>
  <c r="B3014" i="122" s="1"/>
  <c r="B3684" i="122" s="1"/>
  <c r="B4354" i="122" s="1"/>
  <c r="B5024" i="122" s="1"/>
  <c r="A1004" i="122"/>
  <c r="A1674" i="122" s="1"/>
  <c r="A2344" i="122" s="1"/>
  <c r="A3014" i="122" s="1"/>
  <c r="A3684" i="122" s="1"/>
  <c r="A4354" i="122" s="1"/>
  <c r="A5024" i="122" s="1"/>
  <c r="M333" i="122"/>
  <c r="E1003" i="122"/>
  <c r="E1673" i="122" s="1"/>
  <c r="E2343" i="122" s="1"/>
  <c r="E3013" i="122" s="1"/>
  <c r="E3683" i="122" s="1"/>
  <c r="E4353" i="122" s="1"/>
  <c r="E5023" i="122" s="1"/>
  <c r="D1003" i="122"/>
  <c r="D1673" i="122" s="1"/>
  <c r="D2343" i="122" s="1"/>
  <c r="D3013" i="122" s="1"/>
  <c r="D3683" i="122" s="1"/>
  <c r="D4353" i="122" s="1"/>
  <c r="D5023" i="122" s="1"/>
  <c r="C1003" i="122"/>
  <c r="C1673" i="122" s="1"/>
  <c r="C2343" i="122" s="1"/>
  <c r="C3013" i="122" s="1"/>
  <c r="C3683" i="122" s="1"/>
  <c r="C4353" i="122" s="1"/>
  <c r="C5023" i="122" s="1"/>
  <c r="B1003" i="122"/>
  <c r="B1673" i="122" s="1"/>
  <c r="B2343" i="122" s="1"/>
  <c r="B3013" i="122" s="1"/>
  <c r="B3683" i="122" s="1"/>
  <c r="B4353" i="122" s="1"/>
  <c r="B5023" i="122" s="1"/>
  <c r="A1003" i="122"/>
  <c r="A1673" i="122" s="1"/>
  <c r="A2343" i="122" s="1"/>
  <c r="A3013" i="122" s="1"/>
  <c r="A3683" i="122" s="1"/>
  <c r="A4353" i="122" s="1"/>
  <c r="A5023" i="122" s="1"/>
  <c r="M332" i="122"/>
  <c r="E1002" i="122"/>
  <c r="E1672" i="122" s="1"/>
  <c r="E2342" i="122" s="1"/>
  <c r="E3012" i="122" s="1"/>
  <c r="E3682" i="122" s="1"/>
  <c r="E4352" i="122" s="1"/>
  <c r="E5022" i="122" s="1"/>
  <c r="D1002" i="122"/>
  <c r="D1672" i="122" s="1"/>
  <c r="D2342" i="122" s="1"/>
  <c r="D3012" i="122" s="1"/>
  <c r="D3682" i="122" s="1"/>
  <c r="D4352" i="122" s="1"/>
  <c r="D5022" i="122" s="1"/>
  <c r="C1002" i="122"/>
  <c r="C1672" i="122" s="1"/>
  <c r="C2342" i="122" s="1"/>
  <c r="C3012" i="122" s="1"/>
  <c r="C3682" i="122" s="1"/>
  <c r="C4352" i="122" s="1"/>
  <c r="C5022" i="122" s="1"/>
  <c r="B1002" i="122"/>
  <c r="B1672" i="122" s="1"/>
  <c r="B2342" i="122" s="1"/>
  <c r="B3012" i="122" s="1"/>
  <c r="B3682" i="122" s="1"/>
  <c r="B4352" i="122" s="1"/>
  <c r="B5022" i="122" s="1"/>
  <c r="M331" i="122"/>
  <c r="E1001" i="122"/>
  <c r="E1671" i="122" s="1"/>
  <c r="E2341" i="122" s="1"/>
  <c r="E3011" i="122" s="1"/>
  <c r="E3681" i="122" s="1"/>
  <c r="E4351" i="122" s="1"/>
  <c r="E5021" i="122" s="1"/>
  <c r="D1001" i="122"/>
  <c r="D1671" i="122" s="1"/>
  <c r="D2341" i="122" s="1"/>
  <c r="D3011" i="122" s="1"/>
  <c r="D3681" i="122" s="1"/>
  <c r="D4351" i="122" s="1"/>
  <c r="D5021" i="122" s="1"/>
  <c r="C1001" i="122"/>
  <c r="C1671" i="122" s="1"/>
  <c r="C2341" i="122" s="1"/>
  <c r="C3011" i="122" s="1"/>
  <c r="C3681" i="122" s="1"/>
  <c r="C4351" i="122" s="1"/>
  <c r="C5021" i="122" s="1"/>
  <c r="B1001" i="122"/>
  <c r="B1671" i="122" s="1"/>
  <c r="B2341" i="122" s="1"/>
  <c r="B3011" i="122" s="1"/>
  <c r="B3681" i="122" s="1"/>
  <c r="B4351" i="122" s="1"/>
  <c r="B5021" i="122" s="1"/>
  <c r="A1001" i="122"/>
  <c r="A1671" i="122" s="1"/>
  <c r="A2341" i="122" s="1"/>
  <c r="A3011" i="122" s="1"/>
  <c r="A3681" i="122" s="1"/>
  <c r="A4351" i="122" s="1"/>
  <c r="A5021" i="122" s="1"/>
  <c r="M330" i="122"/>
  <c r="E1000" i="122"/>
  <c r="E1670" i="122" s="1"/>
  <c r="E2340" i="122" s="1"/>
  <c r="E3010" i="122" s="1"/>
  <c r="E3680" i="122" s="1"/>
  <c r="E4350" i="122" s="1"/>
  <c r="E5020" i="122" s="1"/>
  <c r="D1000" i="122"/>
  <c r="D1670" i="122" s="1"/>
  <c r="D2340" i="122" s="1"/>
  <c r="D3010" i="122" s="1"/>
  <c r="D3680" i="122" s="1"/>
  <c r="D4350" i="122" s="1"/>
  <c r="D5020" i="122" s="1"/>
  <c r="C1000" i="122"/>
  <c r="C1670" i="122" s="1"/>
  <c r="C2340" i="122" s="1"/>
  <c r="C3010" i="122" s="1"/>
  <c r="C3680" i="122" s="1"/>
  <c r="C4350" i="122" s="1"/>
  <c r="C5020" i="122" s="1"/>
  <c r="M329" i="122"/>
  <c r="E999" i="122"/>
  <c r="E1669" i="122" s="1"/>
  <c r="E2339" i="122" s="1"/>
  <c r="E3009" i="122" s="1"/>
  <c r="E3679" i="122" s="1"/>
  <c r="E4349" i="122" s="1"/>
  <c r="E5019" i="122" s="1"/>
  <c r="D999" i="122"/>
  <c r="D1669" i="122" s="1"/>
  <c r="D2339" i="122" s="1"/>
  <c r="D3009" i="122" s="1"/>
  <c r="D3679" i="122" s="1"/>
  <c r="D4349" i="122" s="1"/>
  <c r="D5019" i="122" s="1"/>
  <c r="C999" i="122"/>
  <c r="C1669" i="122" s="1"/>
  <c r="C2339" i="122" s="1"/>
  <c r="C3009" i="122" s="1"/>
  <c r="C3679" i="122" s="1"/>
  <c r="C4349" i="122" s="1"/>
  <c r="C5019" i="122" s="1"/>
  <c r="B999" i="122"/>
  <c r="B1669" i="122" s="1"/>
  <c r="B2339" i="122" s="1"/>
  <c r="B3009" i="122" s="1"/>
  <c r="B3679" i="122" s="1"/>
  <c r="B4349" i="122" s="1"/>
  <c r="B5019" i="122" s="1"/>
  <c r="A999" i="122"/>
  <c r="A1669" i="122" s="1"/>
  <c r="A2339" i="122" s="1"/>
  <c r="A3009" i="122" s="1"/>
  <c r="A3679" i="122" s="1"/>
  <c r="A4349" i="122" s="1"/>
  <c r="A5019" i="122" s="1"/>
  <c r="M328" i="122"/>
  <c r="E998" i="122"/>
  <c r="E1668" i="122" s="1"/>
  <c r="E2338" i="122" s="1"/>
  <c r="E3008" i="122" s="1"/>
  <c r="E3678" i="122" s="1"/>
  <c r="E4348" i="122" s="1"/>
  <c r="E5018" i="122" s="1"/>
  <c r="D998" i="122"/>
  <c r="D1668" i="122" s="1"/>
  <c r="D2338" i="122" s="1"/>
  <c r="D3008" i="122" s="1"/>
  <c r="D3678" i="122" s="1"/>
  <c r="D4348" i="122" s="1"/>
  <c r="D5018" i="122" s="1"/>
  <c r="C998" i="122"/>
  <c r="C1668" i="122" s="1"/>
  <c r="C2338" i="122" s="1"/>
  <c r="C3008" i="122" s="1"/>
  <c r="C3678" i="122" s="1"/>
  <c r="C4348" i="122" s="1"/>
  <c r="C5018" i="122" s="1"/>
  <c r="B998" i="122"/>
  <c r="B1668" i="122" s="1"/>
  <c r="B2338" i="122" s="1"/>
  <c r="B3008" i="122" s="1"/>
  <c r="B3678" i="122" s="1"/>
  <c r="B4348" i="122" s="1"/>
  <c r="B5018" i="122" s="1"/>
  <c r="A998" i="122"/>
  <c r="A1668" i="122" s="1"/>
  <c r="A2338" i="122" s="1"/>
  <c r="A3008" i="122" s="1"/>
  <c r="A3678" i="122" s="1"/>
  <c r="A4348" i="122" s="1"/>
  <c r="A5018" i="122" s="1"/>
  <c r="M327" i="122"/>
  <c r="E997" i="122"/>
  <c r="E1667" i="122" s="1"/>
  <c r="E2337" i="122" s="1"/>
  <c r="E3007" i="122" s="1"/>
  <c r="E3677" i="122" s="1"/>
  <c r="E4347" i="122" s="1"/>
  <c r="E5017" i="122" s="1"/>
  <c r="D997" i="122"/>
  <c r="D1667" i="122" s="1"/>
  <c r="D2337" i="122" s="1"/>
  <c r="D3007" i="122" s="1"/>
  <c r="D3677" i="122" s="1"/>
  <c r="D4347" i="122" s="1"/>
  <c r="D5017" i="122" s="1"/>
  <c r="C997" i="122"/>
  <c r="C1667" i="122" s="1"/>
  <c r="C2337" i="122" s="1"/>
  <c r="C3007" i="122" s="1"/>
  <c r="C3677" i="122" s="1"/>
  <c r="C4347" i="122" s="1"/>
  <c r="C5017" i="122" s="1"/>
  <c r="B997" i="122"/>
  <c r="B1667" i="122" s="1"/>
  <c r="B2337" i="122" s="1"/>
  <c r="B3007" i="122" s="1"/>
  <c r="B3677" i="122" s="1"/>
  <c r="B4347" i="122" s="1"/>
  <c r="B5017" i="122" s="1"/>
  <c r="A997" i="122"/>
  <c r="A1667" i="122" s="1"/>
  <c r="A2337" i="122" s="1"/>
  <c r="A3007" i="122" s="1"/>
  <c r="A3677" i="122" s="1"/>
  <c r="A4347" i="122" s="1"/>
  <c r="A5017" i="122" s="1"/>
  <c r="M326" i="122"/>
  <c r="E996" i="122"/>
  <c r="E1666" i="122" s="1"/>
  <c r="E2336" i="122" s="1"/>
  <c r="E3006" i="122" s="1"/>
  <c r="E3676" i="122" s="1"/>
  <c r="E4346" i="122" s="1"/>
  <c r="E5016" i="122" s="1"/>
  <c r="D996" i="122"/>
  <c r="D1666" i="122" s="1"/>
  <c r="D2336" i="122" s="1"/>
  <c r="D3006" i="122" s="1"/>
  <c r="D3676" i="122" s="1"/>
  <c r="D4346" i="122" s="1"/>
  <c r="D5016" i="122" s="1"/>
  <c r="C996" i="122"/>
  <c r="C1666" i="122" s="1"/>
  <c r="C2336" i="122" s="1"/>
  <c r="C3006" i="122" s="1"/>
  <c r="C3676" i="122" s="1"/>
  <c r="C4346" i="122" s="1"/>
  <c r="C5016" i="122" s="1"/>
  <c r="B996" i="122"/>
  <c r="B1666" i="122" s="1"/>
  <c r="B2336" i="122" s="1"/>
  <c r="B3006" i="122" s="1"/>
  <c r="B3676" i="122" s="1"/>
  <c r="B4346" i="122" s="1"/>
  <c r="B5016" i="122" s="1"/>
  <c r="A996" i="122"/>
  <c r="A1666" i="122" s="1"/>
  <c r="A2336" i="122" s="1"/>
  <c r="A3006" i="122" s="1"/>
  <c r="A3676" i="122" s="1"/>
  <c r="A4346" i="122" s="1"/>
  <c r="A5016" i="122" s="1"/>
  <c r="M325" i="122"/>
  <c r="E995" i="122"/>
  <c r="E1665" i="122" s="1"/>
  <c r="E2335" i="122" s="1"/>
  <c r="E3005" i="122" s="1"/>
  <c r="E3675" i="122" s="1"/>
  <c r="E4345" i="122" s="1"/>
  <c r="E5015" i="122" s="1"/>
  <c r="D995" i="122"/>
  <c r="D1665" i="122" s="1"/>
  <c r="D2335" i="122" s="1"/>
  <c r="D3005" i="122" s="1"/>
  <c r="D3675" i="122" s="1"/>
  <c r="D4345" i="122" s="1"/>
  <c r="D5015" i="122" s="1"/>
  <c r="C995" i="122"/>
  <c r="C1665" i="122" s="1"/>
  <c r="C2335" i="122" s="1"/>
  <c r="C3005" i="122" s="1"/>
  <c r="C3675" i="122" s="1"/>
  <c r="C4345" i="122" s="1"/>
  <c r="C5015" i="122" s="1"/>
  <c r="B995" i="122"/>
  <c r="B1665" i="122" s="1"/>
  <c r="B2335" i="122" s="1"/>
  <c r="B3005" i="122" s="1"/>
  <c r="B3675" i="122" s="1"/>
  <c r="B4345" i="122" s="1"/>
  <c r="B5015" i="122" s="1"/>
  <c r="A995" i="122"/>
  <c r="A1665" i="122" s="1"/>
  <c r="A2335" i="122" s="1"/>
  <c r="A3005" i="122" s="1"/>
  <c r="A3675" i="122" s="1"/>
  <c r="A4345" i="122" s="1"/>
  <c r="A5015" i="122" s="1"/>
  <c r="M324" i="122"/>
  <c r="E994" i="122"/>
  <c r="E1664" i="122" s="1"/>
  <c r="E2334" i="122" s="1"/>
  <c r="E3004" i="122" s="1"/>
  <c r="E3674" i="122" s="1"/>
  <c r="E4344" i="122" s="1"/>
  <c r="E5014" i="122" s="1"/>
  <c r="D994" i="122"/>
  <c r="D1664" i="122" s="1"/>
  <c r="D2334" i="122" s="1"/>
  <c r="D3004" i="122" s="1"/>
  <c r="D3674" i="122" s="1"/>
  <c r="D4344" i="122" s="1"/>
  <c r="D5014" i="122" s="1"/>
  <c r="C994" i="122"/>
  <c r="C1664" i="122" s="1"/>
  <c r="C2334" i="122" s="1"/>
  <c r="C3004" i="122" s="1"/>
  <c r="C3674" i="122" s="1"/>
  <c r="C4344" i="122" s="1"/>
  <c r="C5014" i="122" s="1"/>
  <c r="B994" i="122"/>
  <c r="B1664" i="122" s="1"/>
  <c r="B2334" i="122" s="1"/>
  <c r="B3004" i="122" s="1"/>
  <c r="B3674" i="122" s="1"/>
  <c r="B4344" i="122" s="1"/>
  <c r="B5014" i="122" s="1"/>
  <c r="A994" i="122"/>
  <c r="A1664" i="122" s="1"/>
  <c r="A2334" i="122" s="1"/>
  <c r="A3004" i="122" s="1"/>
  <c r="A3674" i="122" s="1"/>
  <c r="A4344" i="122" s="1"/>
  <c r="A5014" i="122" s="1"/>
  <c r="M323" i="122"/>
  <c r="E993" i="122"/>
  <c r="E1663" i="122" s="1"/>
  <c r="E2333" i="122" s="1"/>
  <c r="E3003" i="122" s="1"/>
  <c r="E3673" i="122" s="1"/>
  <c r="E4343" i="122" s="1"/>
  <c r="E5013" i="122" s="1"/>
  <c r="D993" i="122"/>
  <c r="D1663" i="122" s="1"/>
  <c r="D2333" i="122" s="1"/>
  <c r="D3003" i="122" s="1"/>
  <c r="D3673" i="122" s="1"/>
  <c r="D4343" i="122" s="1"/>
  <c r="D5013" i="122" s="1"/>
  <c r="C993" i="122"/>
  <c r="C1663" i="122" s="1"/>
  <c r="C2333" i="122" s="1"/>
  <c r="C3003" i="122" s="1"/>
  <c r="C3673" i="122" s="1"/>
  <c r="C4343" i="122" s="1"/>
  <c r="C5013" i="122" s="1"/>
  <c r="B993" i="122"/>
  <c r="B1663" i="122" s="1"/>
  <c r="B2333" i="122" s="1"/>
  <c r="B3003" i="122" s="1"/>
  <c r="B3673" i="122" s="1"/>
  <c r="B4343" i="122" s="1"/>
  <c r="B5013" i="122" s="1"/>
  <c r="A993" i="122"/>
  <c r="A1663" i="122" s="1"/>
  <c r="A2333" i="122" s="1"/>
  <c r="A3003" i="122" s="1"/>
  <c r="A3673" i="122" s="1"/>
  <c r="A4343" i="122" s="1"/>
  <c r="A5013" i="122" s="1"/>
  <c r="M322" i="122"/>
  <c r="E992" i="122"/>
  <c r="E1662" i="122" s="1"/>
  <c r="E2332" i="122" s="1"/>
  <c r="E3002" i="122" s="1"/>
  <c r="E3672" i="122" s="1"/>
  <c r="E4342" i="122" s="1"/>
  <c r="E5012" i="122" s="1"/>
  <c r="D992" i="122"/>
  <c r="D1662" i="122" s="1"/>
  <c r="D2332" i="122" s="1"/>
  <c r="D3002" i="122" s="1"/>
  <c r="D3672" i="122" s="1"/>
  <c r="D4342" i="122" s="1"/>
  <c r="D5012" i="122" s="1"/>
  <c r="C992" i="122"/>
  <c r="C1662" i="122" s="1"/>
  <c r="C2332" i="122" s="1"/>
  <c r="C3002" i="122" s="1"/>
  <c r="C3672" i="122" s="1"/>
  <c r="C4342" i="122" s="1"/>
  <c r="C5012" i="122" s="1"/>
  <c r="B992" i="122"/>
  <c r="B1662" i="122" s="1"/>
  <c r="B2332" i="122" s="1"/>
  <c r="B3002" i="122" s="1"/>
  <c r="B3672" i="122" s="1"/>
  <c r="B4342" i="122" s="1"/>
  <c r="B5012" i="122" s="1"/>
  <c r="A992" i="122"/>
  <c r="A1662" i="122" s="1"/>
  <c r="A2332" i="122" s="1"/>
  <c r="A3002" i="122" s="1"/>
  <c r="A3672" i="122" s="1"/>
  <c r="A4342" i="122" s="1"/>
  <c r="A5012" i="122" s="1"/>
  <c r="M321" i="122"/>
  <c r="E991" i="122"/>
  <c r="E1661" i="122" s="1"/>
  <c r="E2331" i="122" s="1"/>
  <c r="E3001" i="122" s="1"/>
  <c r="E3671" i="122" s="1"/>
  <c r="E4341" i="122" s="1"/>
  <c r="E5011" i="122" s="1"/>
  <c r="D991" i="122"/>
  <c r="D1661" i="122" s="1"/>
  <c r="D2331" i="122" s="1"/>
  <c r="D3001" i="122" s="1"/>
  <c r="D3671" i="122" s="1"/>
  <c r="D4341" i="122" s="1"/>
  <c r="D5011" i="122" s="1"/>
  <c r="C991" i="122"/>
  <c r="C1661" i="122" s="1"/>
  <c r="C2331" i="122" s="1"/>
  <c r="C3001" i="122" s="1"/>
  <c r="C3671" i="122" s="1"/>
  <c r="C4341" i="122" s="1"/>
  <c r="C5011" i="122" s="1"/>
  <c r="B991" i="122"/>
  <c r="B1661" i="122" s="1"/>
  <c r="B2331" i="122" s="1"/>
  <c r="B3001" i="122" s="1"/>
  <c r="B3671" i="122" s="1"/>
  <c r="B4341" i="122" s="1"/>
  <c r="B5011" i="122" s="1"/>
  <c r="A991" i="122"/>
  <c r="A1661" i="122" s="1"/>
  <c r="A2331" i="122" s="1"/>
  <c r="A3001" i="122" s="1"/>
  <c r="A3671" i="122" s="1"/>
  <c r="A4341" i="122" s="1"/>
  <c r="A5011" i="122" s="1"/>
  <c r="M320" i="122"/>
  <c r="E990" i="122"/>
  <c r="E1660" i="122" s="1"/>
  <c r="E2330" i="122" s="1"/>
  <c r="E3000" i="122" s="1"/>
  <c r="E3670" i="122" s="1"/>
  <c r="E4340" i="122" s="1"/>
  <c r="E5010" i="122" s="1"/>
  <c r="D990" i="122"/>
  <c r="D1660" i="122" s="1"/>
  <c r="D2330" i="122" s="1"/>
  <c r="D3000" i="122" s="1"/>
  <c r="D3670" i="122" s="1"/>
  <c r="D4340" i="122" s="1"/>
  <c r="D5010" i="122" s="1"/>
  <c r="C990" i="122"/>
  <c r="C1660" i="122" s="1"/>
  <c r="C2330" i="122" s="1"/>
  <c r="C3000" i="122" s="1"/>
  <c r="C3670" i="122" s="1"/>
  <c r="C4340" i="122" s="1"/>
  <c r="C5010" i="122" s="1"/>
  <c r="B990" i="122"/>
  <c r="B1660" i="122" s="1"/>
  <c r="B2330" i="122" s="1"/>
  <c r="B3000" i="122" s="1"/>
  <c r="B3670" i="122" s="1"/>
  <c r="B4340" i="122" s="1"/>
  <c r="B5010" i="122" s="1"/>
  <c r="A990" i="122"/>
  <c r="A1660" i="122" s="1"/>
  <c r="A2330" i="122" s="1"/>
  <c r="A3000" i="122" s="1"/>
  <c r="A3670" i="122" s="1"/>
  <c r="A4340" i="122" s="1"/>
  <c r="A5010" i="122" s="1"/>
  <c r="M319" i="122"/>
  <c r="E989" i="122"/>
  <c r="E1659" i="122" s="1"/>
  <c r="E2329" i="122" s="1"/>
  <c r="E2999" i="122" s="1"/>
  <c r="E3669" i="122" s="1"/>
  <c r="E4339" i="122" s="1"/>
  <c r="E5009" i="122" s="1"/>
  <c r="D989" i="122"/>
  <c r="D1659" i="122" s="1"/>
  <c r="D2329" i="122" s="1"/>
  <c r="D2999" i="122" s="1"/>
  <c r="D3669" i="122" s="1"/>
  <c r="D4339" i="122" s="1"/>
  <c r="D5009" i="122" s="1"/>
  <c r="C989" i="122"/>
  <c r="C1659" i="122" s="1"/>
  <c r="C2329" i="122" s="1"/>
  <c r="C2999" i="122" s="1"/>
  <c r="C3669" i="122" s="1"/>
  <c r="C4339" i="122" s="1"/>
  <c r="C5009" i="122" s="1"/>
  <c r="B989" i="122"/>
  <c r="B1659" i="122" s="1"/>
  <c r="B2329" i="122" s="1"/>
  <c r="B2999" i="122" s="1"/>
  <c r="B3669" i="122" s="1"/>
  <c r="B4339" i="122" s="1"/>
  <c r="B5009" i="122" s="1"/>
  <c r="A989" i="122"/>
  <c r="A1659" i="122" s="1"/>
  <c r="A2329" i="122" s="1"/>
  <c r="A2999" i="122" s="1"/>
  <c r="A3669" i="122" s="1"/>
  <c r="A4339" i="122" s="1"/>
  <c r="A5009" i="122" s="1"/>
  <c r="M318" i="122"/>
  <c r="E988" i="122"/>
  <c r="E1658" i="122" s="1"/>
  <c r="E2328" i="122" s="1"/>
  <c r="E2998" i="122" s="1"/>
  <c r="E3668" i="122" s="1"/>
  <c r="E4338" i="122" s="1"/>
  <c r="E5008" i="122" s="1"/>
  <c r="D988" i="122"/>
  <c r="D1658" i="122" s="1"/>
  <c r="D2328" i="122" s="1"/>
  <c r="D2998" i="122" s="1"/>
  <c r="D3668" i="122" s="1"/>
  <c r="D4338" i="122" s="1"/>
  <c r="D5008" i="122" s="1"/>
  <c r="C988" i="122"/>
  <c r="C1658" i="122" s="1"/>
  <c r="C2328" i="122" s="1"/>
  <c r="C2998" i="122" s="1"/>
  <c r="C3668" i="122" s="1"/>
  <c r="C4338" i="122" s="1"/>
  <c r="C5008" i="122" s="1"/>
  <c r="B988" i="122"/>
  <c r="B1658" i="122" s="1"/>
  <c r="B2328" i="122" s="1"/>
  <c r="B2998" i="122" s="1"/>
  <c r="B3668" i="122" s="1"/>
  <c r="B4338" i="122" s="1"/>
  <c r="B5008" i="122" s="1"/>
  <c r="A988" i="122"/>
  <c r="A1658" i="122" s="1"/>
  <c r="A2328" i="122" s="1"/>
  <c r="A2998" i="122" s="1"/>
  <c r="A3668" i="122" s="1"/>
  <c r="A4338" i="122" s="1"/>
  <c r="A5008" i="122" s="1"/>
  <c r="M317" i="122"/>
  <c r="E987" i="122"/>
  <c r="E1657" i="122" s="1"/>
  <c r="E2327" i="122" s="1"/>
  <c r="E2997" i="122" s="1"/>
  <c r="E3667" i="122" s="1"/>
  <c r="E4337" i="122" s="1"/>
  <c r="E5007" i="122" s="1"/>
  <c r="D987" i="122"/>
  <c r="D1657" i="122" s="1"/>
  <c r="D2327" i="122" s="1"/>
  <c r="D2997" i="122" s="1"/>
  <c r="D3667" i="122" s="1"/>
  <c r="D4337" i="122" s="1"/>
  <c r="D5007" i="122" s="1"/>
  <c r="C987" i="122"/>
  <c r="C1657" i="122" s="1"/>
  <c r="C2327" i="122" s="1"/>
  <c r="C2997" i="122" s="1"/>
  <c r="C3667" i="122" s="1"/>
  <c r="C4337" i="122" s="1"/>
  <c r="C5007" i="122" s="1"/>
  <c r="B987" i="122"/>
  <c r="B1657" i="122" s="1"/>
  <c r="B2327" i="122" s="1"/>
  <c r="B2997" i="122" s="1"/>
  <c r="B3667" i="122" s="1"/>
  <c r="B4337" i="122" s="1"/>
  <c r="B5007" i="122" s="1"/>
  <c r="A987" i="122"/>
  <c r="A1657" i="122" s="1"/>
  <c r="A2327" i="122" s="1"/>
  <c r="A2997" i="122" s="1"/>
  <c r="A3667" i="122" s="1"/>
  <c r="A4337" i="122" s="1"/>
  <c r="A5007" i="122" s="1"/>
  <c r="M316" i="122"/>
  <c r="E986" i="122"/>
  <c r="E1656" i="122" s="1"/>
  <c r="E2326" i="122" s="1"/>
  <c r="E2996" i="122" s="1"/>
  <c r="E3666" i="122" s="1"/>
  <c r="E4336" i="122" s="1"/>
  <c r="E5006" i="122" s="1"/>
  <c r="D986" i="122"/>
  <c r="D1656" i="122" s="1"/>
  <c r="D2326" i="122" s="1"/>
  <c r="D2996" i="122" s="1"/>
  <c r="D3666" i="122" s="1"/>
  <c r="D4336" i="122" s="1"/>
  <c r="D5006" i="122" s="1"/>
  <c r="C986" i="122"/>
  <c r="C1656" i="122" s="1"/>
  <c r="C2326" i="122" s="1"/>
  <c r="C2996" i="122" s="1"/>
  <c r="C3666" i="122" s="1"/>
  <c r="C4336" i="122" s="1"/>
  <c r="C5006" i="122" s="1"/>
  <c r="B986" i="122"/>
  <c r="B1656" i="122" s="1"/>
  <c r="B2326" i="122" s="1"/>
  <c r="B2996" i="122" s="1"/>
  <c r="B3666" i="122" s="1"/>
  <c r="B4336" i="122" s="1"/>
  <c r="B5006" i="122" s="1"/>
  <c r="A986" i="122"/>
  <c r="A1656" i="122" s="1"/>
  <c r="A2326" i="122" s="1"/>
  <c r="A2996" i="122" s="1"/>
  <c r="A3666" i="122" s="1"/>
  <c r="A4336" i="122" s="1"/>
  <c r="A5006" i="122" s="1"/>
  <c r="M315" i="122"/>
  <c r="E985" i="122"/>
  <c r="E1655" i="122" s="1"/>
  <c r="E2325" i="122" s="1"/>
  <c r="E2995" i="122" s="1"/>
  <c r="E3665" i="122" s="1"/>
  <c r="E4335" i="122" s="1"/>
  <c r="E5005" i="122" s="1"/>
  <c r="D985" i="122"/>
  <c r="D1655" i="122" s="1"/>
  <c r="D2325" i="122" s="1"/>
  <c r="D2995" i="122" s="1"/>
  <c r="D3665" i="122" s="1"/>
  <c r="D4335" i="122" s="1"/>
  <c r="D5005" i="122" s="1"/>
  <c r="C985" i="122"/>
  <c r="C1655" i="122" s="1"/>
  <c r="C2325" i="122" s="1"/>
  <c r="C2995" i="122" s="1"/>
  <c r="C3665" i="122" s="1"/>
  <c r="C4335" i="122" s="1"/>
  <c r="C5005" i="122" s="1"/>
  <c r="B985" i="122"/>
  <c r="B1655" i="122" s="1"/>
  <c r="B2325" i="122" s="1"/>
  <c r="B2995" i="122" s="1"/>
  <c r="B3665" i="122" s="1"/>
  <c r="B4335" i="122" s="1"/>
  <c r="B5005" i="122" s="1"/>
  <c r="A985" i="122"/>
  <c r="A1655" i="122" s="1"/>
  <c r="A2325" i="122" s="1"/>
  <c r="A2995" i="122" s="1"/>
  <c r="A3665" i="122" s="1"/>
  <c r="A4335" i="122" s="1"/>
  <c r="A5005" i="122" s="1"/>
  <c r="M314" i="122"/>
  <c r="E984" i="122"/>
  <c r="E1654" i="122" s="1"/>
  <c r="E2324" i="122" s="1"/>
  <c r="E2994" i="122" s="1"/>
  <c r="E3664" i="122" s="1"/>
  <c r="E4334" i="122" s="1"/>
  <c r="E5004" i="122" s="1"/>
  <c r="D984" i="122"/>
  <c r="D1654" i="122" s="1"/>
  <c r="D2324" i="122" s="1"/>
  <c r="D2994" i="122" s="1"/>
  <c r="D3664" i="122" s="1"/>
  <c r="D4334" i="122" s="1"/>
  <c r="D5004" i="122" s="1"/>
  <c r="C984" i="122"/>
  <c r="C1654" i="122" s="1"/>
  <c r="C2324" i="122" s="1"/>
  <c r="C2994" i="122" s="1"/>
  <c r="C3664" i="122" s="1"/>
  <c r="C4334" i="122" s="1"/>
  <c r="C5004" i="122" s="1"/>
  <c r="B984" i="122"/>
  <c r="B1654" i="122" s="1"/>
  <c r="B2324" i="122" s="1"/>
  <c r="B2994" i="122" s="1"/>
  <c r="B3664" i="122" s="1"/>
  <c r="B4334" i="122" s="1"/>
  <c r="B5004" i="122" s="1"/>
  <c r="A984" i="122"/>
  <c r="A1654" i="122" s="1"/>
  <c r="A2324" i="122" s="1"/>
  <c r="A2994" i="122" s="1"/>
  <c r="A3664" i="122" s="1"/>
  <c r="A4334" i="122" s="1"/>
  <c r="A5004" i="122" s="1"/>
  <c r="M313" i="122"/>
  <c r="E983" i="122"/>
  <c r="E1653" i="122" s="1"/>
  <c r="E2323" i="122" s="1"/>
  <c r="E2993" i="122" s="1"/>
  <c r="E3663" i="122" s="1"/>
  <c r="E4333" i="122" s="1"/>
  <c r="E5003" i="122" s="1"/>
  <c r="D983" i="122"/>
  <c r="D1653" i="122" s="1"/>
  <c r="D2323" i="122" s="1"/>
  <c r="D2993" i="122" s="1"/>
  <c r="D3663" i="122" s="1"/>
  <c r="D4333" i="122" s="1"/>
  <c r="D5003" i="122" s="1"/>
  <c r="C983" i="122"/>
  <c r="C1653" i="122" s="1"/>
  <c r="C2323" i="122" s="1"/>
  <c r="C2993" i="122" s="1"/>
  <c r="C3663" i="122" s="1"/>
  <c r="C4333" i="122" s="1"/>
  <c r="C5003" i="122" s="1"/>
  <c r="B983" i="122"/>
  <c r="B1653" i="122" s="1"/>
  <c r="B2323" i="122" s="1"/>
  <c r="B2993" i="122" s="1"/>
  <c r="B3663" i="122" s="1"/>
  <c r="B4333" i="122" s="1"/>
  <c r="B5003" i="122" s="1"/>
  <c r="A983" i="122"/>
  <c r="A1653" i="122" s="1"/>
  <c r="A2323" i="122" s="1"/>
  <c r="A2993" i="122" s="1"/>
  <c r="A3663" i="122" s="1"/>
  <c r="A4333" i="122" s="1"/>
  <c r="A5003" i="122" s="1"/>
  <c r="M312" i="122"/>
  <c r="E982" i="122"/>
  <c r="E1652" i="122" s="1"/>
  <c r="E2322" i="122" s="1"/>
  <c r="E2992" i="122" s="1"/>
  <c r="E3662" i="122" s="1"/>
  <c r="E4332" i="122" s="1"/>
  <c r="E5002" i="122" s="1"/>
  <c r="D982" i="122"/>
  <c r="D1652" i="122" s="1"/>
  <c r="D2322" i="122" s="1"/>
  <c r="D2992" i="122" s="1"/>
  <c r="D3662" i="122" s="1"/>
  <c r="D4332" i="122" s="1"/>
  <c r="D5002" i="122" s="1"/>
  <c r="C982" i="122"/>
  <c r="C1652" i="122" s="1"/>
  <c r="C2322" i="122" s="1"/>
  <c r="C2992" i="122" s="1"/>
  <c r="C3662" i="122" s="1"/>
  <c r="C4332" i="122" s="1"/>
  <c r="C5002" i="122" s="1"/>
  <c r="B982" i="122"/>
  <c r="B1652" i="122" s="1"/>
  <c r="B2322" i="122" s="1"/>
  <c r="B2992" i="122" s="1"/>
  <c r="B3662" i="122" s="1"/>
  <c r="B4332" i="122" s="1"/>
  <c r="B5002" i="122" s="1"/>
  <c r="A982" i="122"/>
  <c r="A1652" i="122" s="1"/>
  <c r="A2322" i="122" s="1"/>
  <c r="A2992" i="122" s="1"/>
  <c r="A3662" i="122" s="1"/>
  <c r="A4332" i="122" s="1"/>
  <c r="A5002" i="122" s="1"/>
  <c r="M311" i="122"/>
  <c r="E981" i="122"/>
  <c r="E1651" i="122" s="1"/>
  <c r="E2321" i="122" s="1"/>
  <c r="E2991" i="122" s="1"/>
  <c r="E3661" i="122" s="1"/>
  <c r="E4331" i="122" s="1"/>
  <c r="E5001" i="122" s="1"/>
  <c r="D981" i="122"/>
  <c r="D1651" i="122" s="1"/>
  <c r="D2321" i="122" s="1"/>
  <c r="D2991" i="122" s="1"/>
  <c r="D3661" i="122" s="1"/>
  <c r="D4331" i="122" s="1"/>
  <c r="D5001" i="122" s="1"/>
  <c r="C981" i="122"/>
  <c r="C1651" i="122" s="1"/>
  <c r="C2321" i="122" s="1"/>
  <c r="C2991" i="122" s="1"/>
  <c r="C3661" i="122" s="1"/>
  <c r="C4331" i="122" s="1"/>
  <c r="C5001" i="122" s="1"/>
  <c r="B981" i="122"/>
  <c r="B1651" i="122" s="1"/>
  <c r="B2321" i="122" s="1"/>
  <c r="B2991" i="122" s="1"/>
  <c r="B3661" i="122" s="1"/>
  <c r="B4331" i="122" s="1"/>
  <c r="B5001" i="122" s="1"/>
  <c r="A981" i="122"/>
  <c r="A1651" i="122" s="1"/>
  <c r="A2321" i="122" s="1"/>
  <c r="A2991" i="122" s="1"/>
  <c r="A3661" i="122" s="1"/>
  <c r="A4331" i="122" s="1"/>
  <c r="A5001" i="122" s="1"/>
  <c r="M310" i="122"/>
  <c r="E980" i="122"/>
  <c r="E1650" i="122" s="1"/>
  <c r="E2320" i="122" s="1"/>
  <c r="E2990" i="122" s="1"/>
  <c r="E3660" i="122" s="1"/>
  <c r="E4330" i="122" s="1"/>
  <c r="E5000" i="122" s="1"/>
  <c r="D980" i="122"/>
  <c r="D1650" i="122" s="1"/>
  <c r="D2320" i="122" s="1"/>
  <c r="D2990" i="122" s="1"/>
  <c r="D3660" i="122" s="1"/>
  <c r="D4330" i="122" s="1"/>
  <c r="D5000" i="122" s="1"/>
  <c r="C980" i="122"/>
  <c r="C1650" i="122" s="1"/>
  <c r="C2320" i="122" s="1"/>
  <c r="C2990" i="122" s="1"/>
  <c r="C3660" i="122" s="1"/>
  <c r="C4330" i="122" s="1"/>
  <c r="C5000" i="122" s="1"/>
  <c r="B980" i="122"/>
  <c r="B1650" i="122" s="1"/>
  <c r="B2320" i="122" s="1"/>
  <c r="B2990" i="122" s="1"/>
  <c r="B3660" i="122" s="1"/>
  <c r="B4330" i="122" s="1"/>
  <c r="B5000" i="122" s="1"/>
  <c r="A980" i="122"/>
  <c r="A1650" i="122" s="1"/>
  <c r="A2320" i="122" s="1"/>
  <c r="A2990" i="122" s="1"/>
  <c r="A3660" i="122" s="1"/>
  <c r="A4330" i="122" s="1"/>
  <c r="A5000" i="122" s="1"/>
  <c r="M309" i="122"/>
  <c r="E979" i="122"/>
  <c r="E1649" i="122" s="1"/>
  <c r="E2319" i="122" s="1"/>
  <c r="E2989" i="122" s="1"/>
  <c r="E3659" i="122" s="1"/>
  <c r="E4329" i="122" s="1"/>
  <c r="E4999" i="122" s="1"/>
  <c r="D979" i="122"/>
  <c r="D1649" i="122" s="1"/>
  <c r="D2319" i="122" s="1"/>
  <c r="D2989" i="122" s="1"/>
  <c r="D3659" i="122" s="1"/>
  <c r="D4329" i="122" s="1"/>
  <c r="D4999" i="122" s="1"/>
  <c r="C979" i="122"/>
  <c r="C1649" i="122" s="1"/>
  <c r="C2319" i="122" s="1"/>
  <c r="C2989" i="122" s="1"/>
  <c r="C3659" i="122" s="1"/>
  <c r="C4329" i="122" s="1"/>
  <c r="C4999" i="122" s="1"/>
  <c r="B979" i="122"/>
  <c r="B1649" i="122" s="1"/>
  <c r="B2319" i="122" s="1"/>
  <c r="B2989" i="122" s="1"/>
  <c r="B3659" i="122" s="1"/>
  <c r="B4329" i="122" s="1"/>
  <c r="B4999" i="122" s="1"/>
  <c r="A979" i="122"/>
  <c r="A1649" i="122" s="1"/>
  <c r="A2319" i="122" s="1"/>
  <c r="A2989" i="122" s="1"/>
  <c r="A3659" i="122" s="1"/>
  <c r="A4329" i="122" s="1"/>
  <c r="A4999" i="122" s="1"/>
  <c r="M308" i="122"/>
  <c r="E978" i="122"/>
  <c r="E1648" i="122" s="1"/>
  <c r="E2318" i="122" s="1"/>
  <c r="E2988" i="122" s="1"/>
  <c r="E3658" i="122" s="1"/>
  <c r="E4328" i="122" s="1"/>
  <c r="E4998" i="122" s="1"/>
  <c r="D978" i="122"/>
  <c r="D1648" i="122" s="1"/>
  <c r="D2318" i="122" s="1"/>
  <c r="D2988" i="122" s="1"/>
  <c r="D3658" i="122" s="1"/>
  <c r="D4328" i="122" s="1"/>
  <c r="D4998" i="122" s="1"/>
  <c r="C978" i="122"/>
  <c r="C1648" i="122" s="1"/>
  <c r="C2318" i="122" s="1"/>
  <c r="C2988" i="122" s="1"/>
  <c r="C3658" i="122" s="1"/>
  <c r="C4328" i="122" s="1"/>
  <c r="C4998" i="122" s="1"/>
  <c r="B978" i="122"/>
  <c r="B1648" i="122" s="1"/>
  <c r="B2318" i="122" s="1"/>
  <c r="B2988" i="122" s="1"/>
  <c r="B3658" i="122" s="1"/>
  <c r="B4328" i="122" s="1"/>
  <c r="B4998" i="122" s="1"/>
  <c r="A978" i="122"/>
  <c r="A1648" i="122" s="1"/>
  <c r="A2318" i="122" s="1"/>
  <c r="A2988" i="122" s="1"/>
  <c r="A3658" i="122" s="1"/>
  <c r="A4328" i="122" s="1"/>
  <c r="A4998" i="122" s="1"/>
  <c r="M307" i="122"/>
  <c r="E977" i="122"/>
  <c r="E1647" i="122" s="1"/>
  <c r="E2317" i="122" s="1"/>
  <c r="E2987" i="122" s="1"/>
  <c r="E3657" i="122" s="1"/>
  <c r="E4327" i="122" s="1"/>
  <c r="E4997" i="122" s="1"/>
  <c r="D977" i="122"/>
  <c r="D1647" i="122" s="1"/>
  <c r="D2317" i="122" s="1"/>
  <c r="D2987" i="122" s="1"/>
  <c r="D3657" i="122" s="1"/>
  <c r="D4327" i="122" s="1"/>
  <c r="D4997" i="122" s="1"/>
  <c r="C977" i="122"/>
  <c r="C1647" i="122" s="1"/>
  <c r="C2317" i="122" s="1"/>
  <c r="C2987" i="122" s="1"/>
  <c r="C3657" i="122" s="1"/>
  <c r="C4327" i="122" s="1"/>
  <c r="C4997" i="122" s="1"/>
  <c r="B977" i="122"/>
  <c r="B1647" i="122" s="1"/>
  <c r="B2317" i="122" s="1"/>
  <c r="B2987" i="122" s="1"/>
  <c r="B3657" i="122" s="1"/>
  <c r="B4327" i="122" s="1"/>
  <c r="B4997" i="122" s="1"/>
  <c r="A977" i="122"/>
  <c r="A1647" i="122" s="1"/>
  <c r="A2317" i="122" s="1"/>
  <c r="A2987" i="122" s="1"/>
  <c r="A3657" i="122" s="1"/>
  <c r="A4327" i="122" s="1"/>
  <c r="A4997" i="122" s="1"/>
  <c r="M306" i="122"/>
  <c r="E976" i="122"/>
  <c r="E1646" i="122" s="1"/>
  <c r="E2316" i="122" s="1"/>
  <c r="E2986" i="122" s="1"/>
  <c r="E3656" i="122" s="1"/>
  <c r="E4326" i="122" s="1"/>
  <c r="E4996" i="122" s="1"/>
  <c r="D976" i="122"/>
  <c r="D1646" i="122" s="1"/>
  <c r="D2316" i="122" s="1"/>
  <c r="D2986" i="122" s="1"/>
  <c r="D3656" i="122" s="1"/>
  <c r="D4326" i="122" s="1"/>
  <c r="D4996" i="122" s="1"/>
  <c r="C976" i="122"/>
  <c r="C1646" i="122" s="1"/>
  <c r="C2316" i="122" s="1"/>
  <c r="C2986" i="122" s="1"/>
  <c r="C3656" i="122" s="1"/>
  <c r="C4326" i="122" s="1"/>
  <c r="C4996" i="122" s="1"/>
  <c r="B976" i="122"/>
  <c r="B1646" i="122" s="1"/>
  <c r="B2316" i="122" s="1"/>
  <c r="B2986" i="122" s="1"/>
  <c r="B3656" i="122" s="1"/>
  <c r="B4326" i="122" s="1"/>
  <c r="B4996" i="122" s="1"/>
  <c r="A976" i="122"/>
  <c r="A1646" i="122" s="1"/>
  <c r="A2316" i="122" s="1"/>
  <c r="A2986" i="122" s="1"/>
  <c r="A3656" i="122" s="1"/>
  <c r="A4326" i="122" s="1"/>
  <c r="A4996" i="122" s="1"/>
  <c r="M305" i="122"/>
  <c r="E975" i="122"/>
  <c r="E1645" i="122" s="1"/>
  <c r="E2315" i="122" s="1"/>
  <c r="E2985" i="122" s="1"/>
  <c r="E3655" i="122" s="1"/>
  <c r="E4325" i="122" s="1"/>
  <c r="E4995" i="122" s="1"/>
  <c r="D975" i="122"/>
  <c r="D1645" i="122" s="1"/>
  <c r="D2315" i="122" s="1"/>
  <c r="D2985" i="122" s="1"/>
  <c r="D3655" i="122" s="1"/>
  <c r="D4325" i="122" s="1"/>
  <c r="D4995" i="122" s="1"/>
  <c r="C975" i="122"/>
  <c r="C1645" i="122" s="1"/>
  <c r="C2315" i="122" s="1"/>
  <c r="C2985" i="122" s="1"/>
  <c r="C3655" i="122" s="1"/>
  <c r="C4325" i="122" s="1"/>
  <c r="C4995" i="122" s="1"/>
  <c r="B975" i="122"/>
  <c r="B1645" i="122" s="1"/>
  <c r="B2315" i="122" s="1"/>
  <c r="B2985" i="122" s="1"/>
  <c r="B3655" i="122" s="1"/>
  <c r="B4325" i="122" s="1"/>
  <c r="B4995" i="122" s="1"/>
  <c r="A975" i="122"/>
  <c r="A1645" i="122" s="1"/>
  <c r="A2315" i="122" s="1"/>
  <c r="A2985" i="122" s="1"/>
  <c r="A3655" i="122" s="1"/>
  <c r="A4325" i="122" s="1"/>
  <c r="A4995" i="122" s="1"/>
  <c r="M304" i="122"/>
  <c r="O304" i="122" s="1"/>
  <c r="P304" i="122" s="1"/>
  <c r="E974" i="122"/>
  <c r="E1644" i="122" s="1"/>
  <c r="E2314" i="122" s="1"/>
  <c r="E2984" i="122" s="1"/>
  <c r="E3654" i="122" s="1"/>
  <c r="E4324" i="122" s="1"/>
  <c r="E4994" i="122" s="1"/>
  <c r="D974" i="122"/>
  <c r="D1644" i="122" s="1"/>
  <c r="D2314" i="122" s="1"/>
  <c r="D2984" i="122" s="1"/>
  <c r="D3654" i="122" s="1"/>
  <c r="D4324" i="122" s="1"/>
  <c r="D4994" i="122" s="1"/>
  <c r="C974" i="122"/>
  <c r="C1644" i="122" s="1"/>
  <c r="C2314" i="122" s="1"/>
  <c r="C2984" i="122" s="1"/>
  <c r="C3654" i="122" s="1"/>
  <c r="C4324" i="122" s="1"/>
  <c r="C4994" i="122" s="1"/>
  <c r="B974" i="122"/>
  <c r="B1644" i="122" s="1"/>
  <c r="B2314" i="122" s="1"/>
  <c r="B2984" i="122" s="1"/>
  <c r="B3654" i="122" s="1"/>
  <c r="B4324" i="122" s="1"/>
  <c r="B4994" i="122" s="1"/>
  <c r="A974" i="122"/>
  <c r="A1644" i="122" s="1"/>
  <c r="A2314" i="122" s="1"/>
  <c r="A2984" i="122" s="1"/>
  <c r="A3654" i="122" s="1"/>
  <c r="A4324" i="122" s="1"/>
  <c r="A4994" i="122" s="1"/>
  <c r="M303" i="122"/>
  <c r="O303" i="122" s="1"/>
  <c r="E973" i="122"/>
  <c r="E1643" i="122" s="1"/>
  <c r="E2313" i="122" s="1"/>
  <c r="E2983" i="122" s="1"/>
  <c r="E3653" i="122" s="1"/>
  <c r="E4323" i="122" s="1"/>
  <c r="E4993" i="122" s="1"/>
  <c r="D973" i="122"/>
  <c r="D1643" i="122" s="1"/>
  <c r="D2313" i="122" s="1"/>
  <c r="D2983" i="122" s="1"/>
  <c r="D3653" i="122" s="1"/>
  <c r="D4323" i="122" s="1"/>
  <c r="D4993" i="122" s="1"/>
  <c r="C973" i="122"/>
  <c r="C1643" i="122" s="1"/>
  <c r="C2313" i="122" s="1"/>
  <c r="C2983" i="122" s="1"/>
  <c r="C3653" i="122" s="1"/>
  <c r="C4323" i="122" s="1"/>
  <c r="C4993" i="122" s="1"/>
  <c r="B973" i="122"/>
  <c r="B1643" i="122" s="1"/>
  <c r="B2313" i="122" s="1"/>
  <c r="B2983" i="122" s="1"/>
  <c r="B3653" i="122" s="1"/>
  <c r="B4323" i="122" s="1"/>
  <c r="B4993" i="122" s="1"/>
  <c r="A973" i="122"/>
  <c r="A1643" i="122" s="1"/>
  <c r="A2313" i="122" s="1"/>
  <c r="A2983" i="122" s="1"/>
  <c r="A3653" i="122" s="1"/>
  <c r="A4323" i="122" s="1"/>
  <c r="A4993" i="122" s="1"/>
  <c r="M302" i="122"/>
  <c r="E972" i="122"/>
  <c r="E1642" i="122" s="1"/>
  <c r="E2312" i="122" s="1"/>
  <c r="E2982" i="122" s="1"/>
  <c r="E3652" i="122" s="1"/>
  <c r="E4322" i="122" s="1"/>
  <c r="E4992" i="122" s="1"/>
  <c r="D972" i="122"/>
  <c r="D1642" i="122" s="1"/>
  <c r="D2312" i="122" s="1"/>
  <c r="D2982" i="122" s="1"/>
  <c r="D3652" i="122" s="1"/>
  <c r="D4322" i="122" s="1"/>
  <c r="D4992" i="122" s="1"/>
  <c r="C972" i="122"/>
  <c r="C1642" i="122" s="1"/>
  <c r="C2312" i="122" s="1"/>
  <c r="C2982" i="122" s="1"/>
  <c r="C3652" i="122" s="1"/>
  <c r="C4322" i="122" s="1"/>
  <c r="C4992" i="122" s="1"/>
  <c r="B972" i="122"/>
  <c r="B1642" i="122" s="1"/>
  <c r="B2312" i="122" s="1"/>
  <c r="B2982" i="122" s="1"/>
  <c r="B3652" i="122" s="1"/>
  <c r="B4322" i="122" s="1"/>
  <c r="B4992" i="122" s="1"/>
  <c r="A972" i="122"/>
  <c r="A1642" i="122" s="1"/>
  <c r="A2312" i="122" s="1"/>
  <c r="A2982" i="122" s="1"/>
  <c r="A3652" i="122" s="1"/>
  <c r="A4322" i="122" s="1"/>
  <c r="A4992" i="122" s="1"/>
  <c r="M301" i="122"/>
  <c r="E971" i="122"/>
  <c r="E1641" i="122" s="1"/>
  <c r="E2311" i="122" s="1"/>
  <c r="E2981" i="122" s="1"/>
  <c r="E3651" i="122" s="1"/>
  <c r="E4321" i="122" s="1"/>
  <c r="E4991" i="122" s="1"/>
  <c r="D971" i="122"/>
  <c r="D1641" i="122" s="1"/>
  <c r="D2311" i="122" s="1"/>
  <c r="D2981" i="122" s="1"/>
  <c r="D3651" i="122" s="1"/>
  <c r="D4321" i="122" s="1"/>
  <c r="D4991" i="122" s="1"/>
  <c r="C971" i="122"/>
  <c r="C1641" i="122" s="1"/>
  <c r="C2311" i="122" s="1"/>
  <c r="C2981" i="122" s="1"/>
  <c r="C3651" i="122" s="1"/>
  <c r="C4321" i="122" s="1"/>
  <c r="C4991" i="122" s="1"/>
  <c r="B971" i="122"/>
  <c r="B1641" i="122" s="1"/>
  <c r="B2311" i="122" s="1"/>
  <c r="B2981" i="122" s="1"/>
  <c r="B3651" i="122" s="1"/>
  <c r="B4321" i="122" s="1"/>
  <c r="B4991" i="122" s="1"/>
  <c r="A971" i="122"/>
  <c r="A1641" i="122" s="1"/>
  <c r="A2311" i="122" s="1"/>
  <c r="A2981" i="122" s="1"/>
  <c r="A3651" i="122" s="1"/>
  <c r="A4321" i="122" s="1"/>
  <c r="A4991" i="122" s="1"/>
  <c r="M300" i="122"/>
  <c r="O300" i="122" s="1"/>
  <c r="P300" i="122" s="1"/>
  <c r="D970" i="122"/>
  <c r="D1640" i="122" s="1"/>
  <c r="D2310" i="122" s="1"/>
  <c r="D2980" i="122" s="1"/>
  <c r="D3650" i="122" s="1"/>
  <c r="D4320" i="122" s="1"/>
  <c r="D4990" i="122" s="1"/>
  <c r="C970" i="122"/>
  <c r="C1640" i="122" s="1"/>
  <c r="C2310" i="122" s="1"/>
  <c r="C2980" i="122" s="1"/>
  <c r="C3650" i="122" s="1"/>
  <c r="C4320" i="122" s="1"/>
  <c r="C4990" i="122" s="1"/>
  <c r="B970" i="122"/>
  <c r="B1640" i="122" s="1"/>
  <c r="B2310" i="122" s="1"/>
  <c r="B2980" i="122" s="1"/>
  <c r="B3650" i="122" s="1"/>
  <c r="B4320" i="122" s="1"/>
  <c r="B4990" i="122" s="1"/>
  <c r="A970" i="122"/>
  <c r="A1640" i="122" s="1"/>
  <c r="A2310" i="122" s="1"/>
  <c r="A2980" i="122" s="1"/>
  <c r="A3650" i="122" s="1"/>
  <c r="A4320" i="122" s="1"/>
  <c r="A4990" i="122" s="1"/>
  <c r="M299" i="122"/>
  <c r="O299" i="122" s="1"/>
  <c r="E969" i="122"/>
  <c r="E1639" i="122" s="1"/>
  <c r="E2309" i="122" s="1"/>
  <c r="E2979" i="122" s="1"/>
  <c r="E3649" i="122" s="1"/>
  <c r="E4319" i="122" s="1"/>
  <c r="E4989" i="122" s="1"/>
  <c r="B969" i="122"/>
  <c r="B1639" i="122" s="1"/>
  <c r="B2309" i="122" s="1"/>
  <c r="B2979" i="122" s="1"/>
  <c r="B3649" i="122" s="1"/>
  <c r="B4319" i="122" s="1"/>
  <c r="B4989" i="122" s="1"/>
  <c r="A969" i="122"/>
  <c r="A1639" i="122" s="1"/>
  <c r="A2309" i="122" s="1"/>
  <c r="A2979" i="122" s="1"/>
  <c r="A3649" i="122" s="1"/>
  <c r="A4319" i="122" s="1"/>
  <c r="A4989" i="122" s="1"/>
  <c r="M298" i="122"/>
  <c r="E968" i="122"/>
  <c r="E1638" i="122" s="1"/>
  <c r="E2308" i="122" s="1"/>
  <c r="E2978" i="122" s="1"/>
  <c r="E3648" i="122" s="1"/>
  <c r="E4318" i="122" s="1"/>
  <c r="E4988" i="122" s="1"/>
  <c r="B968" i="122"/>
  <c r="B1638" i="122" s="1"/>
  <c r="B2308" i="122" s="1"/>
  <c r="B2978" i="122" s="1"/>
  <c r="B3648" i="122" s="1"/>
  <c r="B4318" i="122" s="1"/>
  <c r="B4988" i="122" s="1"/>
  <c r="A968" i="122"/>
  <c r="A1638" i="122" s="1"/>
  <c r="A2308" i="122" s="1"/>
  <c r="A2978" i="122" s="1"/>
  <c r="A3648" i="122" s="1"/>
  <c r="A4318" i="122" s="1"/>
  <c r="A4988" i="122" s="1"/>
  <c r="M297" i="122"/>
  <c r="E967" i="122"/>
  <c r="E1637" i="122" s="1"/>
  <c r="E2307" i="122" s="1"/>
  <c r="E2977" i="122" s="1"/>
  <c r="E3647" i="122" s="1"/>
  <c r="E4317" i="122" s="1"/>
  <c r="E4987" i="122" s="1"/>
  <c r="B967" i="122"/>
  <c r="B1637" i="122" s="1"/>
  <c r="B2307" i="122" s="1"/>
  <c r="B2977" i="122" s="1"/>
  <c r="B3647" i="122" s="1"/>
  <c r="B4317" i="122" s="1"/>
  <c r="B4987" i="122" s="1"/>
  <c r="A967" i="122"/>
  <c r="A1637" i="122" s="1"/>
  <c r="A2307" i="122" s="1"/>
  <c r="A2977" i="122" s="1"/>
  <c r="A3647" i="122" s="1"/>
  <c r="A4317" i="122" s="1"/>
  <c r="A4987" i="122" s="1"/>
  <c r="M296" i="122"/>
  <c r="O296" i="122" s="1"/>
  <c r="P296" i="122" s="1"/>
  <c r="E966" i="122"/>
  <c r="E1636" i="122" s="1"/>
  <c r="E2306" i="122" s="1"/>
  <c r="E2976" i="122" s="1"/>
  <c r="E3646" i="122" s="1"/>
  <c r="E4316" i="122" s="1"/>
  <c r="E4986" i="122" s="1"/>
  <c r="B966" i="122"/>
  <c r="B1636" i="122" s="1"/>
  <c r="B2306" i="122" s="1"/>
  <c r="B2976" i="122" s="1"/>
  <c r="B3646" i="122" s="1"/>
  <c r="B4316" i="122" s="1"/>
  <c r="B4986" i="122" s="1"/>
  <c r="A966" i="122"/>
  <c r="A1636" i="122" s="1"/>
  <c r="A2306" i="122" s="1"/>
  <c r="A2976" i="122" s="1"/>
  <c r="A3646" i="122" s="1"/>
  <c r="A4316" i="122" s="1"/>
  <c r="A4986" i="122" s="1"/>
  <c r="M295" i="122"/>
  <c r="O295" i="122" s="1"/>
  <c r="E965" i="122"/>
  <c r="E1635" i="122" s="1"/>
  <c r="E2305" i="122" s="1"/>
  <c r="E2975" i="122" s="1"/>
  <c r="E3645" i="122" s="1"/>
  <c r="E4315" i="122" s="1"/>
  <c r="E4985" i="122" s="1"/>
  <c r="B965" i="122"/>
  <c r="B1635" i="122" s="1"/>
  <c r="B2305" i="122" s="1"/>
  <c r="B2975" i="122" s="1"/>
  <c r="B3645" i="122" s="1"/>
  <c r="B4315" i="122" s="1"/>
  <c r="B4985" i="122" s="1"/>
  <c r="A965" i="122"/>
  <c r="A1635" i="122" s="1"/>
  <c r="A2305" i="122" s="1"/>
  <c r="A2975" i="122" s="1"/>
  <c r="A3645" i="122" s="1"/>
  <c r="A4315" i="122" s="1"/>
  <c r="A4985" i="122" s="1"/>
  <c r="M294" i="122"/>
  <c r="E964" i="122"/>
  <c r="E1634" i="122" s="1"/>
  <c r="E2304" i="122" s="1"/>
  <c r="E2974" i="122" s="1"/>
  <c r="E3644" i="122" s="1"/>
  <c r="E4314" i="122" s="1"/>
  <c r="E4984" i="122" s="1"/>
  <c r="B964" i="122"/>
  <c r="B1634" i="122" s="1"/>
  <c r="B2304" i="122" s="1"/>
  <c r="B2974" i="122" s="1"/>
  <c r="B3644" i="122" s="1"/>
  <c r="B4314" i="122" s="1"/>
  <c r="B4984" i="122" s="1"/>
  <c r="A964" i="122"/>
  <c r="A1634" i="122" s="1"/>
  <c r="A2304" i="122" s="1"/>
  <c r="A2974" i="122" s="1"/>
  <c r="A3644" i="122" s="1"/>
  <c r="A4314" i="122" s="1"/>
  <c r="A4984" i="122" s="1"/>
  <c r="M293" i="122"/>
  <c r="E963" i="122"/>
  <c r="E1633" i="122" s="1"/>
  <c r="E2303" i="122" s="1"/>
  <c r="E2973" i="122" s="1"/>
  <c r="E3643" i="122" s="1"/>
  <c r="E4313" i="122" s="1"/>
  <c r="E4983" i="122" s="1"/>
  <c r="B963" i="122"/>
  <c r="B1633" i="122" s="1"/>
  <c r="B2303" i="122" s="1"/>
  <c r="B2973" i="122" s="1"/>
  <c r="B3643" i="122" s="1"/>
  <c r="B4313" i="122" s="1"/>
  <c r="B4983" i="122" s="1"/>
  <c r="A963" i="122"/>
  <c r="A1633" i="122" s="1"/>
  <c r="A2303" i="122" s="1"/>
  <c r="A2973" i="122" s="1"/>
  <c r="A3643" i="122" s="1"/>
  <c r="A4313" i="122" s="1"/>
  <c r="A4983" i="122" s="1"/>
  <c r="P292" i="122"/>
  <c r="M292" i="122"/>
  <c r="O292" i="122" s="1"/>
  <c r="E962" i="122"/>
  <c r="E1632" i="122" s="1"/>
  <c r="E2302" i="122" s="1"/>
  <c r="E2972" i="122" s="1"/>
  <c r="E3642" i="122" s="1"/>
  <c r="E4312" i="122" s="1"/>
  <c r="E4982" i="122" s="1"/>
  <c r="B962" i="122"/>
  <c r="B1632" i="122" s="1"/>
  <c r="B2302" i="122" s="1"/>
  <c r="B2972" i="122" s="1"/>
  <c r="B3642" i="122" s="1"/>
  <c r="B4312" i="122" s="1"/>
  <c r="B4982" i="122" s="1"/>
  <c r="A962" i="122"/>
  <c r="A1632" i="122" s="1"/>
  <c r="A2302" i="122" s="1"/>
  <c r="A2972" i="122" s="1"/>
  <c r="A3642" i="122" s="1"/>
  <c r="A4312" i="122" s="1"/>
  <c r="A4982" i="122" s="1"/>
  <c r="M291" i="122"/>
  <c r="E961" i="122"/>
  <c r="E1631" i="122" s="1"/>
  <c r="E2301" i="122" s="1"/>
  <c r="E2971" i="122" s="1"/>
  <c r="E3641" i="122" s="1"/>
  <c r="E4311" i="122" s="1"/>
  <c r="E4981" i="122" s="1"/>
  <c r="D961" i="122"/>
  <c r="D1631" i="122" s="1"/>
  <c r="D2301" i="122" s="1"/>
  <c r="D2971" i="122" s="1"/>
  <c r="D3641" i="122" s="1"/>
  <c r="D4311" i="122" s="1"/>
  <c r="D4981" i="122" s="1"/>
  <c r="C961" i="122"/>
  <c r="C1631" i="122" s="1"/>
  <c r="C2301" i="122" s="1"/>
  <c r="C2971" i="122" s="1"/>
  <c r="C3641" i="122" s="1"/>
  <c r="C4311" i="122" s="1"/>
  <c r="C4981" i="122" s="1"/>
  <c r="B961" i="122"/>
  <c r="B1631" i="122" s="1"/>
  <c r="B2301" i="122" s="1"/>
  <c r="B2971" i="122" s="1"/>
  <c r="B3641" i="122" s="1"/>
  <c r="B4311" i="122" s="1"/>
  <c r="B4981" i="122" s="1"/>
  <c r="A961" i="122"/>
  <c r="A1631" i="122" s="1"/>
  <c r="A2301" i="122" s="1"/>
  <c r="A2971" i="122" s="1"/>
  <c r="A3641" i="122" s="1"/>
  <c r="A4311" i="122" s="1"/>
  <c r="A4981" i="122" s="1"/>
  <c r="M290" i="122"/>
  <c r="E960" i="122"/>
  <c r="E1630" i="122" s="1"/>
  <c r="E2300" i="122" s="1"/>
  <c r="E2970" i="122" s="1"/>
  <c r="E3640" i="122" s="1"/>
  <c r="E4310" i="122" s="1"/>
  <c r="E4980" i="122" s="1"/>
  <c r="B960" i="122"/>
  <c r="B1630" i="122" s="1"/>
  <c r="B2300" i="122" s="1"/>
  <c r="B2970" i="122" s="1"/>
  <c r="B3640" i="122" s="1"/>
  <c r="B4310" i="122" s="1"/>
  <c r="B4980" i="122" s="1"/>
  <c r="A960" i="122"/>
  <c r="A1630" i="122" s="1"/>
  <c r="A2300" i="122" s="1"/>
  <c r="A2970" i="122" s="1"/>
  <c r="A3640" i="122" s="1"/>
  <c r="A4310" i="122" s="1"/>
  <c r="A4980" i="122" s="1"/>
  <c r="M289" i="122"/>
  <c r="E959" i="122"/>
  <c r="E1629" i="122" s="1"/>
  <c r="E2299" i="122" s="1"/>
  <c r="E2969" i="122" s="1"/>
  <c r="E3639" i="122" s="1"/>
  <c r="E4309" i="122" s="1"/>
  <c r="E4979" i="122" s="1"/>
  <c r="B959" i="122"/>
  <c r="B1629" i="122" s="1"/>
  <c r="B2299" i="122" s="1"/>
  <c r="B2969" i="122" s="1"/>
  <c r="B3639" i="122" s="1"/>
  <c r="B4309" i="122" s="1"/>
  <c r="B4979" i="122" s="1"/>
  <c r="A959" i="122"/>
  <c r="A1629" i="122" s="1"/>
  <c r="A2299" i="122" s="1"/>
  <c r="A2969" i="122" s="1"/>
  <c r="A3639" i="122" s="1"/>
  <c r="A4309" i="122" s="1"/>
  <c r="A4979" i="122" s="1"/>
  <c r="O288" i="122"/>
  <c r="P288" i="122" s="1"/>
  <c r="M288" i="122"/>
  <c r="E958" i="122"/>
  <c r="E1628" i="122" s="1"/>
  <c r="E2298" i="122" s="1"/>
  <c r="E2968" i="122" s="1"/>
  <c r="E3638" i="122" s="1"/>
  <c r="E4308" i="122" s="1"/>
  <c r="E4978" i="122" s="1"/>
  <c r="D958" i="122"/>
  <c r="D1628" i="122" s="1"/>
  <c r="D2298" i="122" s="1"/>
  <c r="D2968" i="122" s="1"/>
  <c r="D3638" i="122" s="1"/>
  <c r="D4308" i="122" s="1"/>
  <c r="D4978" i="122" s="1"/>
  <c r="C958" i="122"/>
  <c r="C1628" i="122" s="1"/>
  <c r="C2298" i="122" s="1"/>
  <c r="C2968" i="122" s="1"/>
  <c r="C3638" i="122" s="1"/>
  <c r="C4308" i="122" s="1"/>
  <c r="C4978" i="122" s="1"/>
  <c r="B958" i="122"/>
  <c r="B1628" i="122" s="1"/>
  <c r="B2298" i="122" s="1"/>
  <c r="B2968" i="122" s="1"/>
  <c r="B3638" i="122" s="1"/>
  <c r="B4308" i="122" s="1"/>
  <c r="B4978" i="122" s="1"/>
  <c r="A958" i="122"/>
  <c r="A1628" i="122" s="1"/>
  <c r="A2298" i="122" s="1"/>
  <c r="A2968" i="122" s="1"/>
  <c r="A3638" i="122" s="1"/>
  <c r="A4308" i="122" s="1"/>
  <c r="A4978" i="122" s="1"/>
  <c r="M287" i="122"/>
  <c r="O287" i="122" s="1"/>
  <c r="E957" i="122"/>
  <c r="E1627" i="122" s="1"/>
  <c r="E2297" i="122" s="1"/>
  <c r="E2967" i="122" s="1"/>
  <c r="E3637" i="122" s="1"/>
  <c r="E4307" i="122" s="1"/>
  <c r="E4977" i="122" s="1"/>
  <c r="B957" i="122"/>
  <c r="B1627" i="122" s="1"/>
  <c r="B2297" i="122" s="1"/>
  <c r="B2967" i="122" s="1"/>
  <c r="B3637" i="122" s="1"/>
  <c r="B4307" i="122" s="1"/>
  <c r="B4977" i="122" s="1"/>
  <c r="A957" i="122"/>
  <c r="A1627" i="122" s="1"/>
  <c r="A2297" i="122" s="1"/>
  <c r="A2967" i="122" s="1"/>
  <c r="A3637" i="122" s="1"/>
  <c r="A4307" i="122" s="1"/>
  <c r="A4977" i="122" s="1"/>
  <c r="M286" i="122"/>
  <c r="E956" i="122"/>
  <c r="E1626" i="122" s="1"/>
  <c r="E2296" i="122" s="1"/>
  <c r="E2966" i="122" s="1"/>
  <c r="E3636" i="122" s="1"/>
  <c r="E4306" i="122" s="1"/>
  <c r="E4976" i="122" s="1"/>
  <c r="B956" i="122"/>
  <c r="B1626" i="122" s="1"/>
  <c r="B2296" i="122" s="1"/>
  <c r="B2966" i="122" s="1"/>
  <c r="B3636" i="122" s="1"/>
  <c r="B4306" i="122" s="1"/>
  <c r="B4976" i="122" s="1"/>
  <c r="A956" i="122"/>
  <c r="A1626" i="122" s="1"/>
  <c r="A2296" i="122" s="1"/>
  <c r="A2966" i="122" s="1"/>
  <c r="A3636" i="122" s="1"/>
  <c r="A4306" i="122" s="1"/>
  <c r="A4976" i="122" s="1"/>
  <c r="M285" i="122"/>
  <c r="E955" i="122"/>
  <c r="E1625" i="122" s="1"/>
  <c r="E2295" i="122" s="1"/>
  <c r="E2965" i="122" s="1"/>
  <c r="E3635" i="122" s="1"/>
  <c r="E4305" i="122" s="1"/>
  <c r="E4975" i="122" s="1"/>
  <c r="B955" i="122"/>
  <c r="B1625" i="122" s="1"/>
  <c r="B2295" i="122" s="1"/>
  <c r="B2965" i="122" s="1"/>
  <c r="B3635" i="122" s="1"/>
  <c r="B4305" i="122" s="1"/>
  <c r="B4975" i="122" s="1"/>
  <c r="A955" i="122"/>
  <c r="A1625" i="122" s="1"/>
  <c r="A2295" i="122" s="1"/>
  <c r="A2965" i="122" s="1"/>
  <c r="A3635" i="122" s="1"/>
  <c r="A4305" i="122" s="1"/>
  <c r="A4975" i="122" s="1"/>
  <c r="M284" i="122"/>
  <c r="E954" i="122"/>
  <c r="E1624" i="122" s="1"/>
  <c r="E2294" i="122" s="1"/>
  <c r="E2964" i="122" s="1"/>
  <c r="E3634" i="122" s="1"/>
  <c r="E4304" i="122" s="1"/>
  <c r="E4974" i="122" s="1"/>
  <c r="B954" i="122"/>
  <c r="B1624" i="122" s="1"/>
  <c r="B2294" i="122" s="1"/>
  <c r="B2964" i="122" s="1"/>
  <c r="B3634" i="122" s="1"/>
  <c r="B4304" i="122" s="1"/>
  <c r="B4974" i="122" s="1"/>
  <c r="A954" i="122"/>
  <c r="A1624" i="122" s="1"/>
  <c r="A2294" i="122" s="1"/>
  <c r="A2964" i="122" s="1"/>
  <c r="A3634" i="122" s="1"/>
  <c r="A4304" i="122" s="1"/>
  <c r="A4974" i="122" s="1"/>
  <c r="M283" i="122"/>
  <c r="O283" i="122" s="1"/>
  <c r="E953" i="122"/>
  <c r="E1623" i="122" s="1"/>
  <c r="E2293" i="122" s="1"/>
  <c r="E2963" i="122" s="1"/>
  <c r="E3633" i="122" s="1"/>
  <c r="E4303" i="122" s="1"/>
  <c r="E4973" i="122" s="1"/>
  <c r="B953" i="122"/>
  <c r="B1623" i="122" s="1"/>
  <c r="B2293" i="122" s="1"/>
  <c r="B2963" i="122" s="1"/>
  <c r="B3633" i="122" s="1"/>
  <c r="B4303" i="122" s="1"/>
  <c r="B4973" i="122" s="1"/>
  <c r="A953" i="122"/>
  <c r="A1623" i="122" s="1"/>
  <c r="A2293" i="122" s="1"/>
  <c r="A2963" i="122" s="1"/>
  <c r="A3633" i="122" s="1"/>
  <c r="A4303" i="122" s="1"/>
  <c r="A4973" i="122" s="1"/>
  <c r="M282" i="122"/>
  <c r="E952" i="122"/>
  <c r="E1622" i="122" s="1"/>
  <c r="E2292" i="122" s="1"/>
  <c r="E2962" i="122" s="1"/>
  <c r="E3632" i="122" s="1"/>
  <c r="E4302" i="122" s="1"/>
  <c r="E4972" i="122" s="1"/>
  <c r="B952" i="122"/>
  <c r="B1622" i="122" s="1"/>
  <c r="B2292" i="122" s="1"/>
  <c r="B2962" i="122" s="1"/>
  <c r="B3632" i="122" s="1"/>
  <c r="B4302" i="122" s="1"/>
  <c r="B4972" i="122" s="1"/>
  <c r="A952" i="122"/>
  <c r="A1622" i="122" s="1"/>
  <c r="A2292" i="122" s="1"/>
  <c r="A2962" i="122" s="1"/>
  <c r="A3632" i="122" s="1"/>
  <c r="A4302" i="122" s="1"/>
  <c r="A4972" i="122" s="1"/>
  <c r="M281" i="122"/>
  <c r="D951" i="122"/>
  <c r="D1621" i="122" s="1"/>
  <c r="D2291" i="122" s="1"/>
  <c r="D2961" i="122" s="1"/>
  <c r="D3631" i="122" s="1"/>
  <c r="D4301" i="122" s="1"/>
  <c r="D4971" i="122" s="1"/>
  <c r="C951" i="122"/>
  <c r="C1621" i="122" s="1"/>
  <c r="C2291" i="122" s="1"/>
  <c r="C2961" i="122" s="1"/>
  <c r="C3631" i="122" s="1"/>
  <c r="C4301" i="122" s="1"/>
  <c r="C4971" i="122" s="1"/>
  <c r="B951" i="122"/>
  <c r="B1621" i="122" s="1"/>
  <c r="B2291" i="122" s="1"/>
  <c r="B2961" i="122" s="1"/>
  <c r="B3631" i="122" s="1"/>
  <c r="B4301" i="122" s="1"/>
  <c r="B4971" i="122" s="1"/>
  <c r="A951" i="122"/>
  <c r="A1621" i="122" s="1"/>
  <c r="A2291" i="122" s="1"/>
  <c r="A2961" i="122" s="1"/>
  <c r="A3631" i="122" s="1"/>
  <c r="A4301" i="122" s="1"/>
  <c r="A4971" i="122" s="1"/>
  <c r="M280" i="122"/>
  <c r="E950" i="122"/>
  <c r="E1620" i="122" s="1"/>
  <c r="E2290" i="122" s="1"/>
  <c r="E2960" i="122" s="1"/>
  <c r="E3630" i="122" s="1"/>
  <c r="E4300" i="122" s="1"/>
  <c r="E4970" i="122" s="1"/>
  <c r="C950" i="122"/>
  <c r="C1620" i="122" s="1"/>
  <c r="C2290" i="122" s="1"/>
  <c r="C2960" i="122" s="1"/>
  <c r="C3630" i="122" s="1"/>
  <c r="C4300" i="122" s="1"/>
  <c r="C4970" i="122" s="1"/>
  <c r="B950" i="122"/>
  <c r="B1620" i="122" s="1"/>
  <c r="B2290" i="122" s="1"/>
  <c r="B2960" i="122" s="1"/>
  <c r="B3630" i="122" s="1"/>
  <c r="B4300" i="122" s="1"/>
  <c r="B4970" i="122" s="1"/>
  <c r="A950" i="122"/>
  <c r="A1620" i="122" s="1"/>
  <c r="A2290" i="122" s="1"/>
  <c r="A2960" i="122" s="1"/>
  <c r="A3630" i="122" s="1"/>
  <c r="A4300" i="122" s="1"/>
  <c r="A4970" i="122" s="1"/>
  <c r="M279" i="122"/>
  <c r="E949" i="122"/>
  <c r="E1619" i="122" s="1"/>
  <c r="E2289" i="122" s="1"/>
  <c r="E2959" i="122" s="1"/>
  <c r="E3629" i="122" s="1"/>
  <c r="E4299" i="122" s="1"/>
  <c r="E4969" i="122" s="1"/>
  <c r="C949" i="122"/>
  <c r="C1619" i="122" s="1"/>
  <c r="C2289" i="122" s="1"/>
  <c r="C2959" i="122" s="1"/>
  <c r="C3629" i="122" s="1"/>
  <c r="C4299" i="122" s="1"/>
  <c r="C4969" i="122" s="1"/>
  <c r="B949" i="122"/>
  <c r="B1619" i="122" s="1"/>
  <c r="B2289" i="122" s="1"/>
  <c r="B2959" i="122" s="1"/>
  <c r="B3629" i="122" s="1"/>
  <c r="B4299" i="122" s="1"/>
  <c r="B4969" i="122" s="1"/>
  <c r="A949" i="122"/>
  <c r="A1619" i="122" s="1"/>
  <c r="A2289" i="122" s="1"/>
  <c r="A2959" i="122" s="1"/>
  <c r="A3629" i="122" s="1"/>
  <c r="A4299" i="122" s="1"/>
  <c r="A4969" i="122" s="1"/>
  <c r="M278" i="122"/>
  <c r="D948" i="122"/>
  <c r="D1618" i="122" s="1"/>
  <c r="D2288" i="122" s="1"/>
  <c r="D2958" i="122" s="1"/>
  <c r="D3628" i="122" s="1"/>
  <c r="D4298" i="122" s="1"/>
  <c r="D4968" i="122" s="1"/>
  <c r="C948" i="122"/>
  <c r="C1618" i="122" s="1"/>
  <c r="C2288" i="122" s="1"/>
  <c r="C2958" i="122" s="1"/>
  <c r="C3628" i="122" s="1"/>
  <c r="C4298" i="122" s="1"/>
  <c r="C4968" i="122" s="1"/>
  <c r="B948" i="122"/>
  <c r="B1618" i="122" s="1"/>
  <c r="B2288" i="122" s="1"/>
  <c r="B2958" i="122" s="1"/>
  <c r="B3628" i="122" s="1"/>
  <c r="B4298" i="122" s="1"/>
  <c r="B4968" i="122" s="1"/>
  <c r="A948" i="122"/>
  <c r="A1618" i="122" s="1"/>
  <c r="A2288" i="122" s="1"/>
  <c r="A2958" i="122" s="1"/>
  <c r="A3628" i="122" s="1"/>
  <c r="A4298" i="122" s="1"/>
  <c r="A4968" i="122" s="1"/>
  <c r="M277" i="122"/>
  <c r="E947" i="122"/>
  <c r="E1617" i="122" s="1"/>
  <c r="E2287" i="122" s="1"/>
  <c r="E2957" i="122" s="1"/>
  <c r="E3627" i="122" s="1"/>
  <c r="E4297" i="122" s="1"/>
  <c r="E4967" i="122" s="1"/>
  <c r="B947" i="122"/>
  <c r="B1617" i="122" s="1"/>
  <c r="B2287" i="122" s="1"/>
  <c r="B2957" i="122" s="1"/>
  <c r="B3627" i="122" s="1"/>
  <c r="B4297" i="122" s="1"/>
  <c r="B4967" i="122" s="1"/>
  <c r="A947" i="122"/>
  <c r="A1617" i="122" s="1"/>
  <c r="A2287" i="122" s="1"/>
  <c r="A2957" i="122" s="1"/>
  <c r="A3627" i="122" s="1"/>
  <c r="A4297" i="122" s="1"/>
  <c r="A4967" i="122" s="1"/>
  <c r="M276" i="122"/>
  <c r="E946" i="122"/>
  <c r="E1616" i="122" s="1"/>
  <c r="E2286" i="122" s="1"/>
  <c r="E2956" i="122" s="1"/>
  <c r="E3626" i="122" s="1"/>
  <c r="E4296" i="122" s="1"/>
  <c r="E4966" i="122" s="1"/>
  <c r="B946" i="122"/>
  <c r="B1616" i="122" s="1"/>
  <c r="B2286" i="122" s="1"/>
  <c r="B2956" i="122" s="1"/>
  <c r="B3626" i="122" s="1"/>
  <c r="B4296" i="122" s="1"/>
  <c r="B4966" i="122" s="1"/>
  <c r="A946" i="122"/>
  <c r="A1616" i="122" s="1"/>
  <c r="A2286" i="122" s="1"/>
  <c r="A2956" i="122" s="1"/>
  <c r="A3626" i="122" s="1"/>
  <c r="A4296" i="122" s="1"/>
  <c r="A4966" i="122" s="1"/>
  <c r="M275" i="122"/>
  <c r="D945" i="122"/>
  <c r="D1615" i="122" s="1"/>
  <c r="D2285" i="122" s="1"/>
  <c r="D2955" i="122" s="1"/>
  <c r="D3625" i="122" s="1"/>
  <c r="D4295" i="122" s="1"/>
  <c r="D4965" i="122" s="1"/>
  <c r="C945" i="122"/>
  <c r="C1615" i="122" s="1"/>
  <c r="C2285" i="122" s="1"/>
  <c r="C2955" i="122" s="1"/>
  <c r="C3625" i="122" s="1"/>
  <c r="C4295" i="122" s="1"/>
  <c r="C4965" i="122" s="1"/>
  <c r="B945" i="122"/>
  <c r="B1615" i="122" s="1"/>
  <c r="B2285" i="122" s="1"/>
  <c r="B2955" i="122" s="1"/>
  <c r="B3625" i="122" s="1"/>
  <c r="B4295" i="122" s="1"/>
  <c r="B4965" i="122" s="1"/>
  <c r="A945" i="122"/>
  <c r="A1615" i="122" s="1"/>
  <c r="A2285" i="122" s="1"/>
  <c r="A2955" i="122" s="1"/>
  <c r="A3625" i="122" s="1"/>
  <c r="A4295" i="122" s="1"/>
  <c r="A4965" i="122" s="1"/>
  <c r="M274" i="122"/>
  <c r="E944" i="122"/>
  <c r="E1614" i="122" s="1"/>
  <c r="E2284" i="122" s="1"/>
  <c r="E2954" i="122" s="1"/>
  <c r="E3624" i="122" s="1"/>
  <c r="E4294" i="122" s="1"/>
  <c r="E4964" i="122" s="1"/>
  <c r="B944" i="122"/>
  <c r="B1614" i="122" s="1"/>
  <c r="B2284" i="122" s="1"/>
  <c r="B2954" i="122" s="1"/>
  <c r="B3624" i="122" s="1"/>
  <c r="B4294" i="122" s="1"/>
  <c r="B4964" i="122" s="1"/>
  <c r="A944" i="122"/>
  <c r="A1614" i="122" s="1"/>
  <c r="A2284" i="122" s="1"/>
  <c r="A2954" i="122" s="1"/>
  <c r="A3624" i="122" s="1"/>
  <c r="A4294" i="122" s="1"/>
  <c r="A4964" i="122" s="1"/>
  <c r="M273" i="122"/>
  <c r="B943" i="122"/>
  <c r="B1613" i="122" s="1"/>
  <c r="B2283" i="122" s="1"/>
  <c r="B2953" i="122" s="1"/>
  <c r="B3623" i="122" s="1"/>
  <c r="B4293" i="122" s="1"/>
  <c r="B4963" i="122" s="1"/>
  <c r="A943" i="122"/>
  <c r="A1613" i="122" s="1"/>
  <c r="A2283" i="122" s="1"/>
  <c r="A2953" i="122" s="1"/>
  <c r="A3623" i="122" s="1"/>
  <c r="A4293" i="122" s="1"/>
  <c r="A4963" i="122" s="1"/>
  <c r="M272" i="122"/>
  <c r="D942" i="122"/>
  <c r="D1612" i="122" s="1"/>
  <c r="D2282" i="122" s="1"/>
  <c r="D2952" i="122" s="1"/>
  <c r="D3622" i="122" s="1"/>
  <c r="D4292" i="122" s="1"/>
  <c r="D4962" i="122" s="1"/>
  <c r="C942" i="122"/>
  <c r="C1612" i="122" s="1"/>
  <c r="C2282" i="122" s="1"/>
  <c r="C2952" i="122" s="1"/>
  <c r="C3622" i="122" s="1"/>
  <c r="C4292" i="122" s="1"/>
  <c r="C4962" i="122" s="1"/>
  <c r="B942" i="122"/>
  <c r="B1612" i="122" s="1"/>
  <c r="B2282" i="122" s="1"/>
  <c r="B2952" i="122" s="1"/>
  <c r="B3622" i="122" s="1"/>
  <c r="B4292" i="122" s="1"/>
  <c r="B4962" i="122" s="1"/>
  <c r="A942" i="122"/>
  <c r="A1612" i="122" s="1"/>
  <c r="A2282" i="122" s="1"/>
  <c r="A2952" i="122" s="1"/>
  <c r="A3622" i="122" s="1"/>
  <c r="A4292" i="122" s="1"/>
  <c r="A4962" i="122" s="1"/>
  <c r="M271" i="122"/>
  <c r="E941" i="122"/>
  <c r="E1611" i="122" s="1"/>
  <c r="E2281" i="122" s="1"/>
  <c r="E2951" i="122" s="1"/>
  <c r="E3621" i="122" s="1"/>
  <c r="E4291" i="122" s="1"/>
  <c r="E4961" i="122" s="1"/>
  <c r="B941" i="122"/>
  <c r="B1611" i="122" s="1"/>
  <c r="B2281" i="122" s="1"/>
  <c r="B2951" i="122" s="1"/>
  <c r="B3621" i="122" s="1"/>
  <c r="B4291" i="122" s="1"/>
  <c r="B4961" i="122" s="1"/>
  <c r="A941" i="122"/>
  <c r="A1611" i="122" s="1"/>
  <c r="A2281" i="122" s="1"/>
  <c r="A2951" i="122" s="1"/>
  <c r="A3621" i="122" s="1"/>
  <c r="A4291" i="122" s="1"/>
  <c r="A4961" i="122" s="1"/>
  <c r="M270" i="122"/>
  <c r="E940" i="122"/>
  <c r="E1610" i="122" s="1"/>
  <c r="E2280" i="122" s="1"/>
  <c r="E2950" i="122" s="1"/>
  <c r="E3620" i="122" s="1"/>
  <c r="E4290" i="122" s="1"/>
  <c r="E4960" i="122" s="1"/>
  <c r="B940" i="122"/>
  <c r="B1610" i="122" s="1"/>
  <c r="B2280" i="122" s="1"/>
  <c r="B2950" i="122" s="1"/>
  <c r="B3620" i="122" s="1"/>
  <c r="B4290" i="122" s="1"/>
  <c r="B4960" i="122" s="1"/>
  <c r="A940" i="122"/>
  <c r="A1610" i="122" s="1"/>
  <c r="A2280" i="122" s="1"/>
  <c r="A2950" i="122" s="1"/>
  <c r="A3620" i="122" s="1"/>
  <c r="A4290" i="122" s="1"/>
  <c r="A4960" i="122" s="1"/>
  <c r="M269" i="122"/>
  <c r="E939" i="122"/>
  <c r="E1609" i="122" s="1"/>
  <c r="E2279" i="122" s="1"/>
  <c r="E2949" i="122" s="1"/>
  <c r="E3619" i="122" s="1"/>
  <c r="E4289" i="122" s="1"/>
  <c r="E4959" i="122" s="1"/>
  <c r="B939" i="122"/>
  <c r="B1609" i="122" s="1"/>
  <c r="B2279" i="122" s="1"/>
  <c r="B2949" i="122" s="1"/>
  <c r="B3619" i="122" s="1"/>
  <c r="B4289" i="122" s="1"/>
  <c r="B4959" i="122" s="1"/>
  <c r="A939" i="122"/>
  <c r="A1609" i="122" s="1"/>
  <c r="A2279" i="122" s="1"/>
  <c r="A2949" i="122" s="1"/>
  <c r="A3619" i="122" s="1"/>
  <c r="A4289" i="122" s="1"/>
  <c r="A4959" i="122" s="1"/>
  <c r="M268" i="122"/>
  <c r="E938" i="122"/>
  <c r="E1608" i="122" s="1"/>
  <c r="E2278" i="122" s="1"/>
  <c r="E2948" i="122" s="1"/>
  <c r="E3618" i="122" s="1"/>
  <c r="E4288" i="122" s="1"/>
  <c r="E4958" i="122" s="1"/>
  <c r="B938" i="122"/>
  <c r="B1608" i="122" s="1"/>
  <c r="B2278" i="122" s="1"/>
  <c r="B2948" i="122" s="1"/>
  <c r="B3618" i="122" s="1"/>
  <c r="B4288" i="122" s="1"/>
  <c r="B4958" i="122" s="1"/>
  <c r="A938" i="122"/>
  <c r="A1608" i="122" s="1"/>
  <c r="A2278" i="122" s="1"/>
  <c r="A2948" i="122" s="1"/>
  <c r="A3618" i="122" s="1"/>
  <c r="A4288" i="122" s="1"/>
  <c r="A4958" i="122" s="1"/>
  <c r="M267" i="122"/>
  <c r="E937" i="122"/>
  <c r="E1607" i="122" s="1"/>
  <c r="E2277" i="122" s="1"/>
  <c r="E2947" i="122" s="1"/>
  <c r="E3617" i="122" s="1"/>
  <c r="E4287" i="122" s="1"/>
  <c r="E4957" i="122" s="1"/>
  <c r="B937" i="122"/>
  <c r="B1607" i="122" s="1"/>
  <c r="B2277" i="122" s="1"/>
  <c r="B2947" i="122" s="1"/>
  <c r="B3617" i="122" s="1"/>
  <c r="B4287" i="122" s="1"/>
  <c r="B4957" i="122" s="1"/>
  <c r="A937" i="122"/>
  <c r="A1607" i="122" s="1"/>
  <c r="A2277" i="122" s="1"/>
  <c r="A2947" i="122" s="1"/>
  <c r="A3617" i="122" s="1"/>
  <c r="A4287" i="122" s="1"/>
  <c r="A4957" i="122" s="1"/>
  <c r="M266" i="122"/>
  <c r="E936" i="122"/>
  <c r="E1606" i="122" s="1"/>
  <c r="E2276" i="122" s="1"/>
  <c r="E2946" i="122" s="1"/>
  <c r="E3616" i="122" s="1"/>
  <c r="E4286" i="122" s="1"/>
  <c r="E4956" i="122" s="1"/>
  <c r="B936" i="122"/>
  <c r="B1606" i="122" s="1"/>
  <c r="B2276" i="122" s="1"/>
  <c r="B2946" i="122" s="1"/>
  <c r="B3616" i="122" s="1"/>
  <c r="B4286" i="122" s="1"/>
  <c r="B4956" i="122" s="1"/>
  <c r="A936" i="122"/>
  <c r="A1606" i="122" s="1"/>
  <c r="A2276" i="122" s="1"/>
  <c r="A2946" i="122" s="1"/>
  <c r="A3616" i="122" s="1"/>
  <c r="A4286" i="122" s="1"/>
  <c r="A4956" i="122" s="1"/>
  <c r="M265" i="122"/>
  <c r="E935" i="122"/>
  <c r="E1605" i="122" s="1"/>
  <c r="E2275" i="122" s="1"/>
  <c r="E2945" i="122" s="1"/>
  <c r="E3615" i="122" s="1"/>
  <c r="E4285" i="122" s="1"/>
  <c r="E4955" i="122" s="1"/>
  <c r="B935" i="122"/>
  <c r="B1605" i="122" s="1"/>
  <c r="B2275" i="122" s="1"/>
  <c r="B2945" i="122" s="1"/>
  <c r="B3615" i="122" s="1"/>
  <c r="B4285" i="122" s="1"/>
  <c r="B4955" i="122" s="1"/>
  <c r="A935" i="122"/>
  <c r="A1605" i="122" s="1"/>
  <c r="A2275" i="122" s="1"/>
  <c r="A2945" i="122" s="1"/>
  <c r="A3615" i="122" s="1"/>
  <c r="A4285" i="122" s="1"/>
  <c r="A4955" i="122" s="1"/>
  <c r="M264" i="122"/>
  <c r="E934" i="122"/>
  <c r="E1604" i="122" s="1"/>
  <c r="E2274" i="122" s="1"/>
  <c r="E2944" i="122" s="1"/>
  <c r="E3614" i="122" s="1"/>
  <c r="E4284" i="122" s="1"/>
  <c r="E4954" i="122" s="1"/>
  <c r="B934" i="122"/>
  <c r="B1604" i="122" s="1"/>
  <c r="B2274" i="122" s="1"/>
  <c r="B2944" i="122" s="1"/>
  <c r="B3614" i="122" s="1"/>
  <c r="B4284" i="122" s="1"/>
  <c r="B4954" i="122" s="1"/>
  <c r="A934" i="122"/>
  <c r="A1604" i="122" s="1"/>
  <c r="A2274" i="122" s="1"/>
  <c r="A2944" i="122" s="1"/>
  <c r="A3614" i="122" s="1"/>
  <c r="A4284" i="122" s="1"/>
  <c r="A4954" i="122" s="1"/>
  <c r="M263" i="122"/>
  <c r="E933" i="122"/>
  <c r="E1603" i="122" s="1"/>
  <c r="E2273" i="122" s="1"/>
  <c r="E2943" i="122" s="1"/>
  <c r="E3613" i="122" s="1"/>
  <c r="E4283" i="122" s="1"/>
  <c r="E4953" i="122" s="1"/>
  <c r="B933" i="122"/>
  <c r="B1603" i="122" s="1"/>
  <c r="B2273" i="122" s="1"/>
  <c r="B2943" i="122" s="1"/>
  <c r="B3613" i="122" s="1"/>
  <c r="B4283" i="122" s="1"/>
  <c r="B4953" i="122" s="1"/>
  <c r="A933" i="122"/>
  <c r="A1603" i="122" s="1"/>
  <c r="A2273" i="122" s="1"/>
  <c r="A2943" i="122" s="1"/>
  <c r="A3613" i="122" s="1"/>
  <c r="A4283" i="122" s="1"/>
  <c r="A4953" i="122" s="1"/>
  <c r="M262" i="122"/>
  <c r="D932" i="122"/>
  <c r="D1602" i="122" s="1"/>
  <c r="D2272" i="122" s="1"/>
  <c r="D2942" i="122" s="1"/>
  <c r="D3612" i="122" s="1"/>
  <c r="D4282" i="122" s="1"/>
  <c r="D4952" i="122" s="1"/>
  <c r="C932" i="122"/>
  <c r="C1602" i="122" s="1"/>
  <c r="C2272" i="122" s="1"/>
  <c r="C2942" i="122" s="1"/>
  <c r="C3612" i="122" s="1"/>
  <c r="C4282" i="122" s="1"/>
  <c r="C4952" i="122" s="1"/>
  <c r="B932" i="122"/>
  <c r="B1602" i="122" s="1"/>
  <c r="B2272" i="122" s="1"/>
  <c r="B2942" i="122" s="1"/>
  <c r="B3612" i="122" s="1"/>
  <c r="B4282" i="122" s="1"/>
  <c r="B4952" i="122" s="1"/>
  <c r="A932" i="122"/>
  <c r="A1602" i="122" s="1"/>
  <c r="A2272" i="122" s="1"/>
  <c r="A2942" i="122" s="1"/>
  <c r="A3612" i="122" s="1"/>
  <c r="A4282" i="122" s="1"/>
  <c r="A4952" i="122" s="1"/>
  <c r="M261" i="122"/>
  <c r="E931" i="122"/>
  <c r="E1601" i="122" s="1"/>
  <c r="E2271" i="122" s="1"/>
  <c r="E2941" i="122" s="1"/>
  <c r="E3611" i="122" s="1"/>
  <c r="E4281" i="122" s="1"/>
  <c r="E4951" i="122" s="1"/>
  <c r="B931" i="122"/>
  <c r="B1601" i="122" s="1"/>
  <c r="B2271" i="122" s="1"/>
  <c r="B2941" i="122" s="1"/>
  <c r="B3611" i="122" s="1"/>
  <c r="B4281" i="122" s="1"/>
  <c r="B4951" i="122" s="1"/>
  <c r="A931" i="122"/>
  <c r="A1601" i="122" s="1"/>
  <c r="A2271" i="122" s="1"/>
  <c r="A2941" i="122" s="1"/>
  <c r="A3611" i="122" s="1"/>
  <c r="A4281" i="122" s="1"/>
  <c r="A4951" i="122" s="1"/>
  <c r="M260" i="122"/>
  <c r="E930" i="122"/>
  <c r="E1600" i="122" s="1"/>
  <c r="E2270" i="122" s="1"/>
  <c r="E2940" i="122" s="1"/>
  <c r="E3610" i="122" s="1"/>
  <c r="E4280" i="122" s="1"/>
  <c r="E4950" i="122" s="1"/>
  <c r="B930" i="122"/>
  <c r="B1600" i="122" s="1"/>
  <c r="B2270" i="122" s="1"/>
  <c r="B2940" i="122" s="1"/>
  <c r="B3610" i="122" s="1"/>
  <c r="B4280" i="122" s="1"/>
  <c r="B4950" i="122" s="1"/>
  <c r="A930" i="122"/>
  <c r="A1600" i="122" s="1"/>
  <c r="A2270" i="122" s="1"/>
  <c r="A2940" i="122" s="1"/>
  <c r="A3610" i="122" s="1"/>
  <c r="A4280" i="122" s="1"/>
  <c r="A4950" i="122" s="1"/>
  <c r="M259" i="122"/>
  <c r="E929" i="122"/>
  <c r="E1599" i="122" s="1"/>
  <c r="E2269" i="122" s="1"/>
  <c r="E2939" i="122" s="1"/>
  <c r="E3609" i="122" s="1"/>
  <c r="E4279" i="122" s="1"/>
  <c r="E4949" i="122" s="1"/>
  <c r="D929" i="122"/>
  <c r="D1599" i="122" s="1"/>
  <c r="D2269" i="122" s="1"/>
  <c r="D2939" i="122" s="1"/>
  <c r="D3609" i="122" s="1"/>
  <c r="D4279" i="122" s="1"/>
  <c r="D4949" i="122" s="1"/>
  <c r="C929" i="122"/>
  <c r="C1599" i="122" s="1"/>
  <c r="C2269" i="122" s="1"/>
  <c r="C2939" i="122" s="1"/>
  <c r="C3609" i="122" s="1"/>
  <c r="C4279" i="122" s="1"/>
  <c r="C4949" i="122" s="1"/>
  <c r="B929" i="122"/>
  <c r="B1599" i="122" s="1"/>
  <c r="B2269" i="122" s="1"/>
  <c r="B2939" i="122" s="1"/>
  <c r="B3609" i="122" s="1"/>
  <c r="B4279" i="122" s="1"/>
  <c r="B4949" i="122" s="1"/>
  <c r="A929" i="122"/>
  <c r="A1599" i="122" s="1"/>
  <c r="A2269" i="122" s="1"/>
  <c r="A2939" i="122" s="1"/>
  <c r="A3609" i="122" s="1"/>
  <c r="A4279" i="122" s="1"/>
  <c r="A4949" i="122" s="1"/>
  <c r="M258" i="122"/>
  <c r="E928" i="122"/>
  <c r="E1598" i="122" s="1"/>
  <c r="E2268" i="122" s="1"/>
  <c r="E2938" i="122" s="1"/>
  <c r="E3608" i="122" s="1"/>
  <c r="E4278" i="122" s="1"/>
  <c r="E4948" i="122" s="1"/>
  <c r="B928" i="122"/>
  <c r="B1598" i="122" s="1"/>
  <c r="B2268" i="122" s="1"/>
  <c r="B2938" i="122" s="1"/>
  <c r="B3608" i="122" s="1"/>
  <c r="B4278" i="122" s="1"/>
  <c r="B4948" i="122" s="1"/>
  <c r="A928" i="122"/>
  <c r="A1598" i="122" s="1"/>
  <c r="A2268" i="122" s="1"/>
  <c r="A2938" i="122" s="1"/>
  <c r="A3608" i="122" s="1"/>
  <c r="A4278" i="122" s="1"/>
  <c r="A4948" i="122" s="1"/>
  <c r="M257" i="122"/>
  <c r="E927" i="122"/>
  <c r="E1597" i="122" s="1"/>
  <c r="E2267" i="122" s="1"/>
  <c r="E2937" i="122" s="1"/>
  <c r="E3607" i="122" s="1"/>
  <c r="E4277" i="122" s="1"/>
  <c r="E4947" i="122" s="1"/>
  <c r="B927" i="122"/>
  <c r="B1597" i="122" s="1"/>
  <c r="B2267" i="122" s="1"/>
  <c r="B2937" i="122" s="1"/>
  <c r="B3607" i="122" s="1"/>
  <c r="B4277" i="122" s="1"/>
  <c r="B4947" i="122" s="1"/>
  <c r="A927" i="122"/>
  <c r="A1597" i="122" s="1"/>
  <c r="A2267" i="122" s="1"/>
  <c r="A2937" i="122" s="1"/>
  <c r="A3607" i="122" s="1"/>
  <c r="A4277" i="122" s="1"/>
  <c r="A4947" i="122" s="1"/>
  <c r="M256" i="122"/>
  <c r="E926" i="122"/>
  <c r="E1596" i="122" s="1"/>
  <c r="E2266" i="122" s="1"/>
  <c r="E2936" i="122" s="1"/>
  <c r="E3606" i="122" s="1"/>
  <c r="E4276" i="122" s="1"/>
  <c r="E4946" i="122" s="1"/>
  <c r="B926" i="122"/>
  <c r="B1596" i="122" s="1"/>
  <c r="B2266" i="122" s="1"/>
  <c r="B2936" i="122" s="1"/>
  <c r="B3606" i="122" s="1"/>
  <c r="B4276" i="122" s="1"/>
  <c r="B4946" i="122" s="1"/>
  <c r="A926" i="122"/>
  <c r="A1596" i="122" s="1"/>
  <c r="A2266" i="122" s="1"/>
  <c r="A2936" i="122" s="1"/>
  <c r="A3606" i="122" s="1"/>
  <c r="A4276" i="122" s="1"/>
  <c r="A4946" i="122" s="1"/>
  <c r="M255" i="122"/>
  <c r="E925" i="122"/>
  <c r="E1595" i="122" s="1"/>
  <c r="E2265" i="122" s="1"/>
  <c r="E2935" i="122" s="1"/>
  <c r="E3605" i="122" s="1"/>
  <c r="E4275" i="122" s="1"/>
  <c r="E4945" i="122" s="1"/>
  <c r="B925" i="122"/>
  <c r="B1595" i="122" s="1"/>
  <c r="B2265" i="122" s="1"/>
  <c r="B2935" i="122" s="1"/>
  <c r="B3605" i="122" s="1"/>
  <c r="B4275" i="122" s="1"/>
  <c r="B4945" i="122" s="1"/>
  <c r="A925" i="122"/>
  <c r="A1595" i="122" s="1"/>
  <c r="A2265" i="122" s="1"/>
  <c r="A2935" i="122" s="1"/>
  <c r="A3605" i="122" s="1"/>
  <c r="A4275" i="122" s="1"/>
  <c r="A4945" i="122" s="1"/>
  <c r="M254" i="122"/>
  <c r="E924" i="122"/>
  <c r="E1594" i="122" s="1"/>
  <c r="E2264" i="122" s="1"/>
  <c r="E2934" i="122" s="1"/>
  <c r="E3604" i="122" s="1"/>
  <c r="E4274" i="122" s="1"/>
  <c r="E4944" i="122" s="1"/>
  <c r="B924" i="122"/>
  <c r="B1594" i="122" s="1"/>
  <c r="B2264" i="122" s="1"/>
  <c r="B2934" i="122" s="1"/>
  <c r="B3604" i="122" s="1"/>
  <c r="B4274" i="122" s="1"/>
  <c r="B4944" i="122" s="1"/>
  <c r="A924" i="122"/>
  <c r="A1594" i="122" s="1"/>
  <c r="A2264" i="122" s="1"/>
  <c r="A2934" i="122" s="1"/>
  <c r="A3604" i="122" s="1"/>
  <c r="A4274" i="122" s="1"/>
  <c r="A4944" i="122" s="1"/>
  <c r="M253" i="122"/>
  <c r="D923" i="122"/>
  <c r="D1593" i="122" s="1"/>
  <c r="D2263" i="122" s="1"/>
  <c r="D2933" i="122" s="1"/>
  <c r="D3603" i="122" s="1"/>
  <c r="D4273" i="122" s="1"/>
  <c r="D4943" i="122" s="1"/>
  <c r="C923" i="122"/>
  <c r="C1593" i="122" s="1"/>
  <c r="C2263" i="122" s="1"/>
  <c r="C2933" i="122" s="1"/>
  <c r="C3603" i="122" s="1"/>
  <c r="C4273" i="122" s="1"/>
  <c r="C4943" i="122" s="1"/>
  <c r="B923" i="122"/>
  <c r="B1593" i="122" s="1"/>
  <c r="B2263" i="122" s="1"/>
  <c r="B2933" i="122" s="1"/>
  <c r="B3603" i="122" s="1"/>
  <c r="B4273" i="122" s="1"/>
  <c r="B4943" i="122" s="1"/>
  <c r="A923" i="122"/>
  <c r="A1593" i="122" s="1"/>
  <c r="A2263" i="122" s="1"/>
  <c r="A2933" i="122" s="1"/>
  <c r="A3603" i="122" s="1"/>
  <c r="A4273" i="122" s="1"/>
  <c r="A4943" i="122" s="1"/>
  <c r="M252" i="122"/>
  <c r="O252" i="122" s="1"/>
  <c r="E922" i="122"/>
  <c r="E1592" i="122" s="1"/>
  <c r="E2262" i="122" s="1"/>
  <c r="E2932" i="122" s="1"/>
  <c r="E3602" i="122" s="1"/>
  <c r="E4272" i="122" s="1"/>
  <c r="E4942" i="122" s="1"/>
  <c r="B922" i="122"/>
  <c r="B1592" i="122" s="1"/>
  <c r="B2262" i="122" s="1"/>
  <c r="B2932" i="122" s="1"/>
  <c r="B3602" i="122" s="1"/>
  <c r="B4272" i="122" s="1"/>
  <c r="B4942" i="122" s="1"/>
  <c r="A922" i="122"/>
  <c r="A1592" i="122" s="1"/>
  <c r="A2262" i="122" s="1"/>
  <c r="A2932" i="122" s="1"/>
  <c r="A3602" i="122" s="1"/>
  <c r="A4272" i="122" s="1"/>
  <c r="A4942" i="122" s="1"/>
  <c r="M251" i="122"/>
  <c r="E921" i="122"/>
  <c r="E1591" i="122" s="1"/>
  <c r="E2261" i="122" s="1"/>
  <c r="E2931" i="122" s="1"/>
  <c r="E3601" i="122" s="1"/>
  <c r="E4271" i="122" s="1"/>
  <c r="E4941" i="122" s="1"/>
  <c r="B921" i="122"/>
  <c r="B1591" i="122" s="1"/>
  <c r="B2261" i="122" s="1"/>
  <c r="B2931" i="122" s="1"/>
  <c r="B3601" i="122" s="1"/>
  <c r="B4271" i="122" s="1"/>
  <c r="B4941" i="122" s="1"/>
  <c r="A921" i="122"/>
  <c r="A1591" i="122" s="1"/>
  <c r="A2261" i="122" s="1"/>
  <c r="A2931" i="122" s="1"/>
  <c r="A3601" i="122" s="1"/>
  <c r="A4271" i="122" s="1"/>
  <c r="A4941" i="122" s="1"/>
  <c r="M250" i="122"/>
  <c r="D920" i="122"/>
  <c r="D1590" i="122" s="1"/>
  <c r="D2260" i="122" s="1"/>
  <c r="D2930" i="122" s="1"/>
  <c r="D3600" i="122" s="1"/>
  <c r="D4270" i="122" s="1"/>
  <c r="D4940" i="122" s="1"/>
  <c r="C920" i="122"/>
  <c r="C1590" i="122" s="1"/>
  <c r="C2260" i="122" s="1"/>
  <c r="C2930" i="122" s="1"/>
  <c r="C3600" i="122" s="1"/>
  <c r="C4270" i="122" s="1"/>
  <c r="C4940" i="122" s="1"/>
  <c r="B920" i="122"/>
  <c r="B1590" i="122" s="1"/>
  <c r="B2260" i="122" s="1"/>
  <c r="B2930" i="122" s="1"/>
  <c r="B3600" i="122" s="1"/>
  <c r="B4270" i="122" s="1"/>
  <c r="B4940" i="122" s="1"/>
  <c r="A920" i="122"/>
  <c r="A1590" i="122" s="1"/>
  <c r="A2260" i="122" s="1"/>
  <c r="A2930" i="122" s="1"/>
  <c r="A3600" i="122" s="1"/>
  <c r="A4270" i="122" s="1"/>
  <c r="A4940" i="122" s="1"/>
  <c r="M249" i="122"/>
  <c r="O249" i="122" s="1"/>
  <c r="P249" i="122" s="1"/>
  <c r="E919" i="122"/>
  <c r="E1589" i="122" s="1"/>
  <c r="E2259" i="122" s="1"/>
  <c r="E2929" i="122" s="1"/>
  <c r="E3599" i="122" s="1"/>
  <c r="E4269" i="122" s="1"/>
  <c r="E4939" i="122" s="1"/>
  <c r="B919" i="122"/>
  <c r="B1589" i="122" s="1"/>
  <c r="B2259" i="122" s="1"/>
  <c r="B2929" i="122" s="1"/>
  <c r="B3599" i="122" s="1"/>
  <c r="B4269" i="122" s="1"/>
  <c r="B4939" i="122" s="1"/>
  <c r="A919" i="122"/>
  <c r="A1589" i="122" s="1"/>
  <c r="A2259" i="122" s="1"/>
  <c r="A2929" i="122" s="1"/>
  <c r="A3599" i="122" s="1"/>
  <c r="A4269" i="122" s="1"/>
  <c r="A4939" i="122" s="1"/>
  <c r="M248" i="122"/>
  <c r="O248" i="122" s="1"/>
  <c r="E918" i="122"/>
  <c r="E1588" i="122" s="1"/>
  <c r="E2258" i="122" s="1"/>
  <c r="E2928" i="122" s="1"/>
  <c r="E3598" i="122" s="1"/>
  <c r="E4268" i="122" s="1"/>
  <c r="E4938" i="122" s="1"/>
  <c r="B918" i="122"/>
  <c r="B1588" i="122" s="1"/>
  <c r="B2258" i="122" s="1"/>
  <c r="B2928" i="122" s="1"/>
  <c r="B3598" i="122" s="1"/>
  <c r="B4268" i="122" s="1"/>
  <c r="B4938" i="122" s="1"/>
  <c r="A918" i="122"/>
  <c r="A1588" i="122" s="1"/>
  <c r="A2258" i="122" s="1"/>
  <c r="A2928" i="122" s="1"/>
  <c r="A3598" i="122" s="1"/>
  <c r="A4268" i="122" s="1"/>
  <c r="A4938" i="122" s="1"/>
  <c r="M247" i="122"/>
  <c r="D917" i="122"/>
  <c r="D1587" i="122" s="1"/>
  <c r="D2257" i="122" s="1"/>
  <c r="D2927" i="122" s="1"/>
  <c r="D3597" i="122" s="1"/>
  <c r="D4267" i="122" s="1"/>
  <c r="D4937" i="122" s="1"/>
  <c r="C917" i="122"/>
  <c r="C1587" i="122" s="1"/>
  <c r="C2257" i="122" s="1"/>
  <c r="C2927" i="122" s="1"/>
  <c r="C3597" i="122" s="1"/>
  <c r="C4267" i="122" s="1"/>
  <c r="C4937" i="122" s="1"/>
  <c r="B917" i="122"/>
  <c r="B1587" i="122" s="1"/>
  <c r="B2257" i="122" s="1"/>
  <c r="B2927" i="122" s="1"/>
  <c r="B3597" i="122" s="1"/>
  <c r="B4267" i="122" s="1"/>
  <c r="B4937" i="122" s="1"/>
  <c r="A917" i="122"/>
  <c r="A1587" i="122" s="1"/>
  <c r="A2257" i="122" s="1"/>
  <c r="A2927" i="122" s="1"/>
  <c r="A3597" i="122" s="1"/>
  <c r="A4267" i="122" s="1"/>
  <c r="A4937" i="122" s="1"/>
  <c r="M246" i="122"/>
  <c r="E916" i="122"/>
  <c r="E1586" i="122" s="1"/>
  <c r="E2256" i="122" s="1"/>
  <c r="E2926" i="122" s="1"/>
  <c r="E3596" i="122" s="1"/>
  <c r="E4266" i="122" s="1"/>
  <c r="E4936" i="122" s="1"/>
  <c r="B916" i="122"/>
  <c r="B1586" i="122" s="1"/>
  <c r="B2256" i="122" s="1"/>
  <c r="B2926" i="122" s="1"/>
  <c r="B3596" i="122" s="1"/>
  <c r="B4266" i="122" s="1"/>
  <c r="B4936" i="122" s="1"/>
  <c r="A916" i="122"/>
  <c r="A1586" i="122" s="1"/>
  <c r="A2256" i="122" s="1"/>
  <c r="A2926" i="122" s="1"/>
  <c r="A3596" i="122" s="1"/>
  <c r="A4266" i="122" s="1"/>
  <c r="A4936" i="122" s="1"/>
  <c r="O245" i="122"/>
  <c r="P245" i="122" s="1"/>
  <c r="M245" i="122"/>
  <c r="E915" i="122"/>
  <c r="E1585" i="122" s="1"/>
  <c r="E2255" i="122" s="1"/>
  <c r="E2925" i="122" s="1"/>
  <c r="E3595" i="122" s="1"/>
  <c r="E4265" i="122" s="1"/>
  <c r="E4935" i="122" s="1"/>
  <c r="B915" i="122"/>
  <c r="B1585" i="122" s="1"/>
  <c r="B2255" i="122" s="1"/>
  <c r="B2925" i="122" s="1"/>
  <c r="B3595" i="122" s="1"/>
  <c r="B4265" i="122" s="1"/>
  <c r="B4935" i="122" s="1"/>
  <c r="A915" i="122"/>
  <c r="A1585" i="122" s="1"/>
  <c r="A2255" i="122" s="1"/>
  <c r="A2925" i="122" s="1"/>
  <c r="A3595" i="122" s="1"/>
  <c r="A4265" i="122" s="1"/>
  <c r="A4935" i="122" s="1"/>
  <c r="M244" i="122"/>
  <c r="O244" i="122" s="1"/>
  <c r="D914" i="122"/>
  <c r="D1584" i="122" s="1"/>
  <c r="D2254" i="122" s="1"/>
  <c r="D2924" i="122" s="1"/>
  <c r="D3594" i="122" s="1"/>
  <c r="D4264" i="122" s="1"/>
  <c r="D4934" i="122" s="1"/>
  <c r="C914" i="122"/>
  <c r="C1584" i="122" s="1"/>
  <c r="C2254" i="122" s="1"/>
  <c r="C2924" i="122" s="1"/>
  <c r="C3594" i="122" s="1"/>
  <c r="C4264" i="122" s="1"/>
  <c r="C4934" i="122" s="1"/>
  <c r="B914" i="122"/>
  <c r="B1584" i="122" s="1"/>
  <c r="B2254" i="122" s="1"/>
  <c r="B2924" i="122" s="1"/>
  <c r="B3594" i="122" s="1"/>
  <c r="B4264" i="122" s="1"/>
  <c r="B4934" i="122" s="1"/>
  <c r="A914" i="122"/>
  <c r="A1584" i="122" s="1"/>
  <c r="A2254" i="122" s="1"/>
  <c r="A2924" i="122" s="1"/>
  <c r="A3594" i="122" s="1"/>
  <c r="A4264" i="122" s="1"/>
  <c r="A4934" i="122" s="1"/>
  <c r="M243" i="122"/>
  <c r="E913" i="122"/>
  <c r="E1583" i="122" s="1"/>
  <c r="E2253" i="122" s="1"/>
  <c r="E2923" i="122" s="1"/>
  <c r="E3593" i="122" s="1"/>
  <c r="E4263" i="122" s="1"/>
  <c r="E4933" i="122" s="1"/>
  <c r="B913" i="122"/>
  <c r="B1583" i="122" s="1"/>
  <c r="B2253" i="122" s="1"/>
  <c r="B2923" i="122" s="1"/>
  <c r="B3593" i="122" s="1"/>
  <c r="B4263" i="122" s="1"/>
  <c r="B4933" i="122" s="1"/>
  <c r="A913" i="122"/>
  <c r="A1583" i="122" s="1"/>
  <c r="A2253" i="122" s="1"/>
  <c r="A2923" i="122" s="1"/>
  <c r="A3593" i="122" s="1"/>
  <c r="A4263" i="122" s="1"/>
  <c r="A4933" i="122" s="1"/>
  <c r="M242" i="122"/>
  <c r="E912" i="122"/>
  <c r="E1582" i="122" s="1"/>
  <c r="E2252" i="122" s="1"/>
  <c r="E2922" i="122" s="1"/>
  <c r="E3592" i="122" s="1"/>
  <c r="E4262" i="122" s="1"/>
  <c r="E4932" i="122" s="1"/>
  <c r="B912" i="122"/>
  <c r="B1582" i="122" s="1"/>
  <c r="B2252" i="122" s="1"/>
  <c r="B2922" i="122" s="1"/>
  <c r="B3592" i="122" s="1"/>
  <c r="B4262" i="122" s="1"/>
  <c r="B4932" i="122" s="1"/>
  <c r="A912" i="122"/>
  <c r="A1582" i="122" s="1"/>
  <c r="A2252" i="122" s="1"/>
  <c r="A2922" i="122" s="1"/>
  <c r="A3592" i="122" s="1"/>
  <c r="A4262" i="122" s="1"/>
  <c r="A4932" i="122" s="1"/>
  <c r="M241" i="122"/>
  <c r="O241" i="122" s="1"/>
  <c r="E911" i="122"/>
  <c r="E1581" i="122" s="1"/>
  <c r="E2251" i="122" s="1"/>
  <c r="E2921" i="122" s="1"/>
  <c r="E3591" i="122" s="1"/>
  <c r="E4261" i="122" s="1"/>
  <c r="E4931" i="122" s="1"/>
  <c r="B911" i="122"/>
  <c r="B1581" i="122" s="1"/>
  <c r="B2251" i="122" s="1"/>
  <c r="B2921" i="122" s="1"/>
  <c r="B3591" i="122" s="1"/>
  <c r="B4261" i="122" s="1"/>
  <c r="B4931" i="122" s="1"/>
  <c r="A911" i="122"/>
  <c r="A1581" i="122" s="1"/>
  <c r="A2251" i="122" s="1"/>
  <c r="A2921" i="122" s="1"/>
  <c r="A3591" i="122" s="1"/>
  <c r="A4261" i="122" s="1"/>
  <c r="A4931" i="122" s="1"/>
  <c r="O240" i="122"/>
  <c r="M240" i="122"/>
  <c r="E910" i="122"/>
  <c r="E1580" i="122" s="1"/>
  <c r="E2250" i="122" s="1"/>
  <c r="E2920" i="122" s="1"/>
  <c r="E3590" i="122" s="1"/>
  <c r="E4260" i="122" s="1"/>
  <c r="E4930" i="122" s="1"/>
  <c r="B910" i="122"/>
  <c r="B1580" i="122" s="1"/>
  <c r="B2250" i="122" s="1"/>
  <c r="B2920" i="122" s="1"/>
  <c r="B3590" i="122" s="1"/>
  <c r="B4260" i="122" s="1"/>
  <c r="B4930" i="122" s="1"/>
  <c r="A910" i="122"/>
  <c r="A1580" i="122" s="1"/>
  <c r="A2250" i="122" s="1"/>
  <c r="A2920" i="122" s="1"/>
  <c r="A3590" i="122" s="1"/>
  <c r="A4260" i="122" s="1"/>
  <c r="A4930" i="122" s="1"/>
  <c r="M239" i="122"/>
  <c r="D909" i="122"/>
  <c r="D1579" i="122" s="1"/>
  <c r="D2249" i="122" s="1"/>
  <c r="D2919" i="122" s="1"/>
  <c r="D3589" i="122" s="1"/>
  <c r="D4259" i="122" s="1"/>
  <c r="D4929" i="122" s="1"/>
  <c r="C909" i="122"/>
  <c r="C1579" i="122" s="1"/>
  <c r="C2249" i="122" s="1"/>
  <c r="C2919" i="122" s="1"/>
  <c r="C3589" i="122" s="1"/>
  <c r="C4259" i="122" s="1"/>
  <c r="C4929" i="122" s="1"/>
  <c r="B909" i="122"/>
  <c r="B1579" i="122" s="1"/>
  <c r="B2249" i="122" s="1"/>
  <c r="B2919" i="122" s="1"/>
  <c r="B3589" i="122" s="1"/>
  <c r="B4259" i="122" s="1"/>
  <c r="B4929" i="122" s="1"/>
  <c r="A909" i="122"/>
  <c r="A1579" i="122" s="1"/>
  <c r="A2249" i="122" s="1"/>
  <c r="A2919" i="122" s="1"/>
  <c r="A3589" i="122" s="1"/>
  <c r="A4259" i="122" s="1"/>
  <c r="A4929" i="122" s="1"/>
  <c r="M238" i="122"/>
  <c r="E908" i="122"/>
  <c r="E1578" i="122" s="1"/>
  <c r="E2248" i="122" s="1"/>
  <c r="E2918" i="122" s="1"/>
  <c r="E3588" i="122" s="1"/>
  <c r="E4258" i="122" s="1"/>
  <c r="E4928" i="122" s="1"/>
  <c r="B908" i="122"/>
  <c r="B1578" i="122" s="1"/>
  <c r="B2248" i="122" s="1"/>
  <c r="B2918" i="122" s="1"/>
  <c r="B3588" i="122" s="1"/>
  <c r="B4258" i="122" s="1"/>
  <c r="B4928" i="122" s="1"/>
  <c r="A908" i="122"/>
  <c r="A1578" i="122" s="1"/>
  <c r="A2248" i="122" s="1"/>
  <c r="A2918" i="122" s="1"/>
  <c r="A3588" i="122" s="1"/>
  <c r="A4258" i="122" s="1"/>
  <c r="A4928" i="122" s="1"/>
  <c r="M237" i="122"/>
  <c r="E907" i="122"/>
  <c r="E1577" i="122" s="1"/>
  <c r="E2247" i="122" s="1"/>
  <c r="E2917" i="122" s="1"/>
  <c r="E3587" i="122" s="1"/>
  <c r="E4257" i="122" s="1"/>
  <c r="E4927" i="122" s="1"/>
  <c r="B907" i="122"/>
  <c r="B1577" i="122" s="1"/>
  <c r="B2247" i="122" s="1"/>
  <c r="B2917" i="122" s="1"/>
  <c r="B3587" i="122" s="1"/>
  <c r="B4257" i="122" s="1"/>
  <c r="B4927" i="122" s="1"/>
  <c r="A907" i="122"/>
  <c r="A1577" i="122" s="1"/>
  <c r="A2247" i="122" s="1"/>
  <c r="A2917" i="122" s="1"/>
  <c r="A3587" i="122" s="1"/>
  <c r="A4257" i="122" s="1"/>
  <c r="A4927" i="122" s="1"/>
  <c r="M236" i="122"/>
  <c r="E906" i="122"/>
  <c r="E1576" i="122" s="1"/>
  <c r="E2246" i="122" s="1"/>
  <c r="E2916" i="122" s="1"/>
  <c r="E3586" i="122" s="1"/>
  <c r="E4256" i="122" s="1"/>
  <c r="E4926" i="122" s="1"/>
  <c r="B906" i="122"/>
  <c r="B1576" i="122" s="1"/>
  <c r="B2246" i="122" s="1"/>
  <c r="B2916" i="122" s="1"/>
  <c r="B3586" i="122" s="1"/>
  <c r="B4256" i="122" s="1"/>
  <c r="B4926" i="122" s="1"/>
  <c r="A906" i="122"/>
  <c r="A1576" i="122" s="1"/>
  <c r="A2246" i="122" s="1"/>
  <c r="A2916" i="122" s="1"/>
  <c r="A3586" i="122" s="1"/>
  <c r="A4256" i="122" s="1"/>
  <c r="A4926" i="122" s="1"/>
  <c r="M235" i="122"/>
  <c r="D905" i="122"/>
  <c r="D1575" i="122" s="1"/>
  <c r="D2245" i="122" s="1"/>
  <c r="D2915" i="122" s="1"/>
  <c r="D3585" i="122" s="1"/>
  <c r="D4255" i="122" s="1"/>
  <c r="D4925" i="122" s="1"/>
  <c r="C905" i="122"/>
  <c r="C1575" i="122" s="1"/>
  <c r="C2245" i="122" s="1"/>
  <c r="C2915" i="122" s="1"/>
  <c r="C3585" i="122" s="1"/>
  <c r="C4255" i="122" s="1"/>
  <c r="C4925" i="122" s="1"/>
  <c r="B905" i="122"/>
  <c r="B1575" i="122" s="1"/>
  <c r="B2245" i="122" s="1"/>
  <c r="B2915" i="122" s="1"/>
  <c r="B3585" i="122" s="1"/>
  <c r="B4255" i="122" s="1"/>
  <c r="B4925" i="122" s="1"/>
  <c r="A905" i="122"/>
  <c r="A1575" i="122" s="1"/>
  <c r="A2245" i="122" s="1"/>
  <c r="A2915" i="122" s="1"/>
  <c r="A3585" i="122" s="1"/>
  <c r="A4255" i="122" s="1"/>
  <c r="A4925" i="122" s="1"/>
  <c r="M234" i="122"/>
  <c r="E904" i="122"/>
  <c r="E1574" i="122" s="1"/>
  <c r="E2244" i="122" s="1"/>
  <c r="E2914" i="122" s="1"/>
  <c r="E3584" i="122" s="1"/>
  <c r="E4254" i="122" s="1"/>
  <c r="E4924" i="122" s="1"/>
  <c r="B904" i="122"/>
  <c r="B1574" i="122" s="1"/>
  <c r="B2244" i="122" s="1"/>
  <c r="B2914" i="122" s="1"/>
  <c r="B3584" i="122" s="1"/>
  <c r="B4254" i="122" s="1"/>
  <c r="B4924" i="122" s="1"/>
  <c r="A904" i="122"/>
  <c r="A1574" i="122" s="1"/>
  <c r="A2244" i="122" s="1"/>
  <c r="A2914" i="122" s="1"/>
  <c r="A3584" i="122" s="1"/>
  <c r="A4254" i="122" s="1"/>
  <c r="A4924" i="122" s="1"/>
  <c r="M233" i="122"/>
  <c r="E903" i="122"/>
  <c r="E1573" i="122" s="1"/>
  <c r="E2243" i="122" s="1"/>
  <c r="E2913" i="122" s="1"/>
  <c r="E3583" i="122" s="1"/>
  <c r="E4253" i="122" s="1"/>
  <c r="E4923" i="122" s="1"/>
  <c r="B903" i="122"/>
  <c r="B1573" i="122" s="1"/>
  <c r="B2243" i="122" s="1"/>
  <c r="B2913" i="122" s="1"/>
  <c r="B3583" i="122" s="1"/>
  <c r="B4253" i="122" s="1"/>
  <c r="B4923" i="122" s="1"/>
  <c r="A903" i="122"/>
  <c r="A1573" i="122" s="1"/>
  <c r="A2243" i="122" s="1"/>
  <c r="A2913" i="122" s="1"/>
  <c r="A3583" i="122" s="1"/>
  <c r="A4253" i="122" s="1"/>
  <c r="A4923" i="122" s="1"/>
  <c r="M232" i="122"/>
  <c r="E902" i="122"/>
  <c r="E1572" i="122" s="1"/>
  <c r="E2242" i="122" s="1"/>
  <c r="E2912" i="122" s="1"/>
  <c r="E3582" i="122" s="1"/>
  <c r="E4252" i="122" s="1"/>
  <c r="E4922" i="122" s="1"/>
  <c r="B902" i="122"/>
  <c r="B1572" i="122" s="1"/>
  <c r="B2242" i="122" s="1"/>
  <c r="B2912" i="122" s="1"/>
  <c r="B3582" i="122" s="1"/>
  <c r="B4252" i="122" s="1"/>
  <c r="B4922" i="122" s="1"/>
  <c r="A902" i="122"/>
  <c r="A1572" i="122" s="1"/>
  <c r="A2242" i="122" s="1"/>
  <c r="A2912" i="122" s="1"/>
  <c r="A3582" i="122" s="1"/>
  <c r="A4252" i="122" s="1"/>
  <c r="A4922" i="122" s="1"/>
  <c r="M231" i="122"/>
  <c r="D901" i="122"/>
  <c r="D1571" i="122" s="1"/>
  <c r="D2241" i="122" s="1"/>
  <c r="D2911" i="122" s="1"/>
  <c r="D3581" i="122" s="1"/>
  <c r="D4251" i="122" s="1"/>
  <c r="D4921" i="122" s="1"/>
  <c r="C901" i="122"/>
  <c r="C1571" i="122" s="1"/>
  <c r="C2241" i="122" s="1"/>
  <c r="C2911" i="122" s="1"/>
  <c r="C3581" i="122" s="1"/>
  <c r="C4251" i="122" s="1"/>
  <c r="C4921" i="122" s="1"/>
  <c r="B901" i="122"/>
  <c r="B1571" i="122" s="1"/>
  <c r="B2241" i="122" s="1"/>
  <c r="B2911" i="122" s="1"/>
  <c r="B3581" i="122" s="1"/>
  <c r="B4251" i="122" s="1"/>
  <c r="B4921" i="122" s="1"/>
  <c r="A901" i="122"/>
  <c r="A1571" i="122" s="1"/>
  <c r="A2241" i="122" s="1"/>
  <c r="A2911" i="122" s="1"/>
  <c r="A3581" i="122" s="1"/>
  <c r="A4251" i="122" s="1"/>
  <c r="A4921" i="122" s="1"/>
  <c r="M230" i="122"/>
  <c r="E900" i="122"/>
  <c r="E1570" i="122" s="1"/>
  <c r="E2240" i="122" s="1"/>
  <c r="E2910" i="122" s="1"/>
  <c r="E3580" i="122" s="1"/>
  <c r="E4250" i="122" s="1"/>
  <c r="E4920" i="122" s="1"/>
  <c r="B900" i="122"/>
  <c r="B1570" i="122" s="1"/>
  <c r="B2240" i="122" s="1"/>
  <c r="B2910" i="122" s="1"/>
  <c r="B3580" i="122" s="1"/>
  <c r="B4250" i="122" s="1"/>
  <c r="B4920" i="122" s="1"/>
  <c r="A900" i="122"/>
  <c r="A1570" i="122" s="1"/>
  <c r="A2240" i="122" s="1"/>
  <c r="A2910" i="122" s="1"/>
  <c r="A3580" i="122" s="1"/>
  <c r="A4250" i="122" s="1"/>
  <c r="A4920" i="122" s="1"/>
  <c r="M229" i="122"/>
  <c r="O229" i="122" s="1"/>
  <c r="P229" i="122" s="1"/>
  <c r="E899" i="122"/>
  <c r="E1569" i="122" s="1"/>
  <c r="E2239" i="122" s="1"/>
  <c r="E2909" i="122" s="1"/>
  <c r="E3579" i="122" s="1"/>
  <c r="E4249" i="122" s="1"/>
  <c r="E4919" i="122" s="1"/>
  <c r="B899" i="122"/>
  <c r="B1569" i="122" s="1"/>
  <c r="B2239" i="122" s="1"/>
  <c r="B2909" i="122" s="1"/>
  <c r="B3579" i="122" s="1"/>
  <c r="B4249" i="122" s="1"/>
  <c r="B4919" i="122" s="1"/>
  <c r="A899" i="122"/>
  <c r="A1569" i="122" s="1"/>
  <c r="A2239" i="122" s="1"/>
  <c r="A2909" i="122" s="1"/>
  <c r="A3579" i="122" s="1"/>
  <c r="A4249" i="122" s="1"/>
  <c r="A4919" i="122" s="1"/>
  <c r="M228" i="122"/>
  <c r="O228" i="122" s="1"/>
  <c r="E898" i="122"/>
  <c r="E1568" i="122" s="1"/>
  <c r="E2238" i="122" s="1"/>
  <c r="E2908" i="122" s="1"/>
  <c r="E3578" i="122" s="1"/>
  <c r="E4248" i="122" s="1"/>
  <c r="E4918" i="122" s="1"/>
  <c r="B898" i="122"/>
  <c r="B1568" i="122" s="1"/>
  <c r="B2238" i="122" s="1"/>
  <c r="B2908" i="122" s="1"/>
  <c r="B3578" i="122" s="1"/>
  <c r="B4248" i="122" s="1"/>
  <c r="B4918" i="122" s="1"/>
  <c r="A898" i="122"/>
  <c r="A1568" i="122" s="1"/>
  <c r="A2238" i="122" s="1"/>
  <c r="A2908" i="122" s="1"/>
  <c r="A3578" i="122" s="1"/>
  <c r="A4248" i="122" s="1"/>
  <c r="A4918" i="122" s="1"/>
  <c r="M227" i="122"/>
  <c r="D897" i="122"/>
  <c r="D1567" i="122" s="1"/>
  <c r="D2237" i="122" s="1"/>
  <c r="D2907" i="122" s="1"/>
  <c r="D3577" i="122" s="1"/>
  <c r="D4247" i="122" s="1"/>
  <c r="D4917" i="122" s="1"/>
  <c r="C897" i="122"/>
  <c r="C1567" i="122" s="1"/>
  <c r="C2237" i="122" s="1"/>
  <c r="C2907" i="122" s="1"/>
  <c r="C3577" i="122" s="1"/>
  <c r="C4247" i="122" s="1"/>
  <c r="C4917" i="122" s="1"/>
  <c r="B897" i="122"/>
  <c r="B1567" i="122" s="1"/>
  <c r="B2237" i="122" s="1"/>
  <c r="B2907" i="122" s="1"/>
  <c r="B3577" i="122" s="1"/>
  <c r="B4247" i="122" s="1"/>
  <c r="B4917" i="122" s="1"/>
  <c r="A897" i="122"/>
  <c r="A1567" i="122" s="1"/>
  <c r="A2237" i="122" s="1"/>
  <c r="A2907" i="122" s="1"/>
  <c r="A3577" i="122" s="1"/>
  <c r="A4247" i="122" s="1"/>
  <c r="A4917" i="122" s="1"/>
  <c r="M226" i="122"/>
  <c r="E896" i="122"/>
  <c r="E1566" i="122" s="1"/>
  <c r="E2236" i="122" s="1"/>
  <c r="E2906" i="122" s="1"/>
  <c r="E3576" i="122" s="1"/>
  <c r="E4246" i="122" s="1"/>
  <c r="E4916" i="122" s="1"/>
  <c r="B896" i="122"/>
  <c r="B1566" i="122" s="1"/>
  <c r="B2236" i="122" s="1"/>
  <c r="B2906" i="122" s="1"/>
  <c r="B3576" i="122" s="1"/>
  <c r="B4246" i="122" s="1"/>
  <c r="B4916" i="122" s="1"/>
  <c r="A896" i="122"/>
  <c r="A1566" i="122" s="1"/>
  <c r="A2236" i="122" s="1"/>
  <c r="A2906" i="122" s="1"/>
  <c r="A3576" i="122" s="1"/>
  <c r="A4246" i="122" s="1"/>
  <c r="A4916" i="122" s="1"/>
  <c r="M225" i="122"/>
  <c r="D895" i="122"/>
  <c r="D1565" i="122" s="1"/>
  <c r="D2235" i="122" s="1"/>
  <c r="D2905" i="122" s="1"/>
  <c r="D3575" i="122" s="1"/>
  <c r="D4245" i="122" s="1"/>
  <c r="D4915" i="122" s="1"/>
  <c r="C895" i="122"/>
  <c r="C1565" i="122" s="1"/>
  <c r="C2235" i="122" s="1"/>
  <c r="C2905" i="122" s="1"/>
  <c r="C3575" i="122" s="1"/>
  <c r="C4245" i="122" s="1"/>
  <c r="C4915" i="122" s="1"/>
  <c r="B895" i="122"/>
  <c r="B1565" i="122" s="1"/>
  <c r="B2235" i="122" s="1"/>
  <c r="B2905" i="122" s="1"/>
  <c r="B3575" i="122" s="1"/>
  <c r="B4245" i="122" s="1"/>
  <c r="B4915" i="122" s="1"/>
  <c r="A895" i="122"/>
  <c r="A1565" i="122" s="1"/>
  <c r="A2235" i="122" s="1"/>
  <c r="A2905" i="122" s="1"/>
  <c r="A3575" i="122" s="1"/>
  <c r="A4245" i="122" s="1"/>
  <c r="A4915" i="122" s="1"/>
  <c r="M224" i="122"/>
  <c r="O224" i="122" s="1"/>
  <c r="E894" i="122"/>
  <c r="E1564" i="122" s="1"/>
  <c r="E2234" i="122" s="1"/>
  <c r="E2904" i="122" s="1"/>
  <c r="E3574" i="122" s="1"/>
  <c r="E4244" i="122" s="1"/>
  <c r="E4914" i="122" s="1"/>
  <c r="B894" i="122"/>
  <c r="B1564" i="122" s="1"/>
  <c r="B2234" i="122" s="1"/>
  <c r="B2904" i="122" s="1"/>
  <c r="B3574" i="122" s="1"/>
  <c r="B4244" i="122" s="1"/>
  <c r="B4914" i="122" s="1"/>
  <c r="A894" i="122"/>
  <c r="A1564" i="122" s="1"/>
  <c r="A2234" i="122" s="1"/>
  <c r="A2904" i="122" s="1"/>
  <c r="A3574" i="122" s="1"/>
  <c r="A4244" i="122" s="1"/>
  <c r="A4914" i="122" s="1"/>
  <c r="M223" i="122"/>
  <c r="E893" i="122"/>
  <c r="E1563" i="122" s="1"/>
  <c r="E2233" i="122" s="1"/>
  <c r="E2903" i="122" s="1"/>
  <c r="E3573" i="122" s="1"/>
  <c r="E4243" i="122" s="1"/>
  <c r="E4913" i="122" s="1"/>
  <c r="B893" i="122"/>
  <c r="B1563" i="122" s="1"/>
  <c r="B2233" i="122" s="1"/>
  <c r="B2903" i="122" s="1"/>
  <c r="B3573" i="122" s="1"/>
  <c r="B4243" i="122" s="1"/>
  <c r="B4913" i="122" s="1"/>
  <c r="A893" i="122"/>
  <c r="A1563" i="122" s="1"/>
  <c r="A2233" i="122" s="1"/>
  <c r="A2903" i="122" s="1"/>
  <c r="A3573" i="122" s="1"/>
  <c r="A4243" i="122" s="1"/>
  <c r="A4913" i="122" s="1"/>
  <c r="M222" i="122"/>
  <c r="E892" i="122"/>
  <c r="E1562" i="122" s="1"/>
  <c r="E2232" i="122" s="1"/>
  <c r="E2902" i="122" s="1"/>
  <c r="E3572" i="122" s="1"/>
  <c r="E4242" i="122" s="1"/>
  <c r="E4912" i="122" s="1"/>
  <c r="B892" i="122"/>
  <c r="B1562" i="122" s="1"/>
  <c r="B2232" i="122" s="1"/>
  <c r="B2902" i="122" s="1"/>
  <c r="B3572" i="122" s="1"/>
  <c r="B4242" i="122" s="1"/>
  <c r="B4912" i="122" s="1"/>
  <c r="A892" i="122"/>
  <c r="A1562" i="122" s="1"/>
  <c r="A2232" i="122" s="1"/>
  <c r="A2902" i="122" s="1"/>
  <c r="A3572" i="122" s="1"/>
  <c r="A4242" i="122" s="1"/>
  <c r="A4912" i="122" s="1"/>
  <c r="M221" i="122"/>
  <c r="O221" i="122" s="1"/>
  <c r="P221" i="122" s="1"/>
  <c r="D891" i="122"/>
  <c r="D1561" i="122" s="1"/>
  <c r="D2231" i="122" s="1"/>
  <c r="D2901" i="122" s="1"/>
  <c r="D3571" i="122" s="1"/>
  <c r="D4241" i="122" s="1"/>
  <c r="D4911" i="122" s="1"/>
  <c r="C891" i="122"/>
  <c r="C1561" i="122" s="1"/>
  <c r="C2231" i="122" s="1"/>
  <c r="C2901" i="122" s="1"/>
  <c r="C3571" i="122" s="1"/>
  <c r="C4241" i="122" s="1"/>
  <c r="C4911" i="122" s="1"/>
  <c r="B891" i="122"/>
  <c r="B1561" i="122" s="1"/>
  <c r="B2231" i="122" s="1"/>
  <c r="B2901" i="122" s="1"/>
  <c r="B3571" i="122" s="1"/>
  <c r="B4241" i="122" s="1"/>
  <c r="B4911" i="122" s="1"/>
  <c r="A891" i="122"/>
  <c r="A1561" i="122" s="1"/>
  <c r="A2231" i="122" s="1"/>
  <c r="A2901" i="122" s="1"/>
  <c r="A3571" i="122" s="1"/>
  <c r="A4241" i="122" s="1"/>
  <c r="A4911" i="122" s="1"/>
  <c r="M220" i="122"/>
  <c r="E890" i="122"/>
  <c r="E1560" i="122" s="1"/>
  <c r="E2230" i="122" s="1"/>
  <c r="E2900" i="122" s="1"/>
  <c r="E3570" i="122" s="1"/>
  <c r="E4240" i="122" s="1"/>
  <c r="E4910" i="122" s="1"/>
  <c r="B890" i="122"/>
  <c r="B1560" i="122" s="1"/>
  <c r="B2230" i="122" s="1"/>
  <c r="B2900" i="122" s="1"/>
  <c r="B3570" i="122" s="1"/>
  <c r="B4240" i="122" s="1"/>
  <c r="B4910" i="122" s="1"/>
  <c r="A890" i="122"/>
  <c r="A1560" i="122" s="1"/>
  <c r="A2230" i="122" s="1"/>
  <c r="A2900" i="122" s="1"/>
  <c r="A3570" i="122" s="1"/>
  <c r="A4240" i="122" s="1"/>
  <c r="A4910" i="122" s="1"/>
  <c r="M219" i="122"/>
  <c r="D889" i="122"/>
  <c r="D1559" i="122" s="1"/>
  <c r="D2229" i="122" s="1"/>
  <c r="D2899" i="122" s="1"/>
  <c r="D3569" i="122" s="1"/>
  <c r="D4239" i="122" s="1"/>
  <c r="D4909" i="122" s="1"/>
  <c r="C889" i="122"/>
  <c r="C1559" i="122" s="1"/>
  <c r="C2229" i="122" s="1"/>
  <c r="C2899" i="122" s="1"/>
  <c r="C3569" i="122" s="1"/>
  <c r="C4239" i="122" s="1"/>
  <c r="C4909" i="122" s="1"/>
  <c r="B889" i="122"/>
  <c r="B1559" i="122" s="1"/>
  <c r="B2229" i="122" s="1"/>
  <c r="B2899" i="122" s="1"/>
  <c r="B3569" i="122" s="1"/>
  <c r="B4239" i="122" s="1"/>
  <c r="B4909" i="122" s="1"/>
  <c r="A889" i="122"/>
  <c r="A1559" i="122" s="1"/>
  <c r="A2229" i="122" s="1"/>
  <c r="A2899" i="122" s="1"/>
  <c r="A3569" i="122" s="1"/>
  <c r="A4239" i="122" s="1"/>
  <c r="A4909" i="122" s="1"/>
  <c r="M218" i="122"/>
  <c r="E888" i="122"/>
  <c r="E1558" i="122" s="1"/>
  <c r="E2228" i="122" s="1"/>
  <c r="E2898" i="122" s="1"/>
  <c r="E3568" i="122" s="1"/>
  <c r="E4238" i="122" s="1"/>
  <c r="E4908" i="122" s="1"/>
  <c r="B888" i="122"/>
  <c r="B1558" i="122" s="1"/>
  <c r="B2228" i="122" s="1"/>
  <c r="B2898" i="122" s="1"/>
  <c r="B3568" i="122" s="1"/>
  <c r="B4238" i="122" s="1"/>
  <c r="B4908" i="122" s="1"/>
  <c r="A888" i="122"/>
  <c r="A1558" i="122" s="1"/>
  <c r="A2228" i="122" s="1"/>
  <c r="A2898" i="122" s="1"/>
  <c r="A3568" i="122" s="1"/>
  <c r="A4238" i="122" s="1"/>
  <c r="A4908" i="122" s="1"/>
  <c r="M217" i="122"/>
  <c r="O217" i="122" s="1"/>
  <c r="D887" i="122"/>
  <c r="D1557" i="122" s="1"/>
  <c r="D2227" i="122" s="1"/>
  <c r="D2897" i="122" s="1"/>
  <c r="D3567" i="122" s="1"/>
  <c r="D4237" i="122" s="1"/>
  <c r="D4907" i="122" s="1"/>
  <c r="C887" i="122"/>
  <c r="C1557" i="122" s="1"/>
  <c r="C2227" i="122" s="1"/>
  <c r="C2897" i="122" s="1"/>
  <c r="C3567" i="122" s="1"/>
  <c r="C4237" i="122" s="1"/>
  <c r="C4907" i="122" s="1"/>
  <c r="B887" i="122"/>
  <c r="B1557" i="122" s="1"/>
  <c r="B2227" i="122" s="1"/>
  <c r="B2897" i="122" s="1"/>
  <c r="B3567" i="122" s="1"/>
  <c r="B4237" i="122" s="1"/>
  <c r="B4907" i="122" s="1"/>
  <c r="A887" i="122"/>
  <c r="A1557" i="122" s="1"/>
  <c r="A2227" i="122" s="1"/>
  <c r="A2897" i="122" s="1"/>
  <c r="A3567" i="122" s="1"/>
  <c r="A4237" i="122" s="1"/>
  <c r="A4907" i="122" s="1"/>
  <c r="M216" i="122"/>
  <c r="O216" i="122" s="1"/>
  <c r="E886" i="122"/>
  <c r="E1556" i="122" s="1"/>
  <c r="E2226" i="122" s="1"/>
  <c r="E2896" i="122" s="1"/>
  <c r="E3566" i="122" s="1"/>
  <c r="E4236" i="122" s="1"/>
  <c r="E4906" i="122" s="1"/>
  <c r="B886" i="122"/>
  <c r="B1556" i="122" s="1"/>
  <c r="B2226" i="122" s="1"/>
  <c r="B2896" i="122" s="1"/>
  <c r="B3566" i="122" s="1"/>
  <c r="B4236" i="122" s="1"/>
  <c r="B4906" i="122" s="1"/>
  <c r="A886" i="122"/>
  <c r="A1556" i="122" s="1"/>
  <c r="A2226" i="122" s="1"/>
  <c r="A2896" i="122" s="1"/>
  <c r="A3566" i="122" s="1"/>
  <c r="A4236" i="122" s="1"/>
  <c r="A4906" i="122" s="1"/>
  <c r="M215" i="122"/>
  <c r="E885" i="122"/>
  <c r="E1555" i="122" s="1"/>
  <c r="E2225" i="122" s="1"/>
  <c r="E2895" i="122" s="1"/>
  <c r="E3565" i="122" s="1"/>
  <c r="E4235" i="122" s="1"/>
  <c r="E4905" i="122" s="1"/>
  <c r="B885" i="122"/>
  <c r="B1555" i="122" s="1"/>
  <c r="B2225" i="122" s="1"/>
  <c r="B2895" i="122" s="1"/>
  <c r="B3565" i="122" s="1"/>
  <c r="B4235" i="122" s="1"/>
  <c r="B4905" i="122" s="1"/>
  <c r="A885" i="122"/>
  <c r="A1555" i="122" s="1"/>
  <c r="A2225" i="122" s="1"/>
  <c r="A2895" i="122" s="1"/>
  <c r="A3565" i="122" s="1"/>
  <c r="A4235" i="122" s="1"/>
  <c r="A4905" i="122" s="1"/>
  <c r="M214" i="122"/>
  <c r="D884" i="122"/>
  <c r="D1554" i="122" s="1"/>
  <c r="D2224" i="122" s="1"/>
  <c r="D2894" i="122" s="1"/>
  <c r="D3564" i="122" s="1"/>
  <c r="D4234" i="122" s="1"/>
  <c r="D4904" i="122" s="1"/>
  <c r="C884" i="122"/>
  <c r="C1554" i="122" s="1"/>
  <c r="C2224" i="122" s="1"/>
  <c r="C2894" i="122" s="1"/>
  <c r="C3564" i="122" s="1"/>
  <c r="C4234" i="122" s="1"/>
  <c r="C4904" i="122" s="1"/>
  <c r="B884" i="122"/>
  <c r="B1554" i="122" s="1"/>
  <c r="B2224" i="122" s="1"/>
  <c r="B2894" i="122" s="1"/>
  <c r="B3564" i="122" s="1"/>
  <c r="B4234" i="122" s="1"/>
  <c r="B4904" i="122" s="1"/>
  <c r="A884" i="122"/>
  <c r="A1554" i="122" s="1"/>
  <c r="A2224" i="122" s="1"/>
  <c r="A2894" i="122" s="1"/>
  <c r="A3564" i="122" s="1"/>
  <c r="A4234" i="122" s="1"/>
  <c r="A4904" i="122" s="1"/>
  <c r="M213" i="122"/>
  <c r="O213" i="122" s="1"/>
  <c r="P213" i="122" s="1"/>
  <c r="E883" i="122"/>
  <c r="E1553" i="122" s="1"/>
  <c r="E2223" i="122" s="1"/>
  <c r="E2893" i="122" s="1"/>
  <c r="E3563" i="122" s="1"/>
  <c r="E4233" i="122" s="1"/>
  <c r="E4903" i="122" s="1"/>
  <c r="B883" i="122"/>
  <c r="B1553" i="122" s="1"/>
  <c r="B2223" i="122" s="1"/>
  <c r="B2893" i="122" s="1"/>
  <c r="B3563" i="122" s="1"/>
  <c r="B4233" i="122" s="1"/>
  <c r="B4903" i="122" s="1"/>
  <c r="A883" i="122"/>
  <c r="A1553" i="122" s="1"/>
  <c r="A2223" i="122" s="1"/>
  <c r="A2893" i="122" s="1"/>
  <c r="A3563" i="122" s="1"/>
  <c r="A4233" i="122" s="1"/>
  <c r="A4903" i="122" s="1"/>
  <c r="M212" i="122"/>
  <c r="E882" i="122"/>
  <c r="E1552" i="122" s="1"/>
  <c r="E2222" i="122" s="1"/>
  <c r="E2892" i="122" s="1"/>
  <c r="E3562" i="122" s="1"/>
  <c r="E4232" i="122" s="1"/>
  <c r="E4902" i="122" s="1"/>
  <c r="B882" i="122"/>
  <c r="B1552" i="122" s="1"/>
  <c r="B2222" i="122" s="1"/>
  <c r="B2892" i="122" s="1"/>
  <c r="B3562" i="122" s="1"/>
  <c r="B4232" i="122" s="1"/>
  <c r="B4902" i="122" s="1"/>
  <c r="A882" i="122"/>
  <c r="A1552" i="122" s="1"/>
  <c r="A2222" i="122" s="1"/>
  <c r="A2892" i="122" s="1"/>
  <c r="A3562" i="122" s="1"/>
  <c r="A4232" i="122" s="1"/>
  <c r="A4902" i="122" s="1"/>
  <c r="M211" i="122"/>
  <c r="D881" i="122"/>
  <c r="D1551" i="122" s="1"/>
  <c r="D2221" i="122" s="1"/>
  <c r="D2891" i="122" s="1"/>
  <c r="D3561" i="122" s="1"/>
  <c r="D4231" i="122" s="1"/>
  <c r="D4901" i="122" s="1"/>
  <c r="C881" i="122"/>
  <c r="C1551" i="122" s="1"/>
  <c r="C2221" i="122" s="1"/>
  <c r="C2891" i="122" s="1"/>
  <c r="C3561" i="122" s="1"/>
  <c r="C4231" i="122" s="1"/>
  <c r="C4901" i="122" s="1"/>
  <c r="B881" i="122"/>
  <c r="B1551" i="122" s="1"/>
  <c r="B2221" i="122" s="1"/>
  <c r="B2891" i="122" s="1"/>
  <c r="B3561" i="122" s="1"/>
  <c r="B4231" i="122" s="1"/>
  <c r="B4901" i="122" s="1"/>
  <c r="A881" i="122"/>
  <c r="A1551" i="122" s="1"/>
  <c r="A2221" i="122" s="1"/>
  <c r="A2891" i="122" s="1"/>
  <c r="A3561" i="122" s="1"/>
  <c r="A4231" i="122" s="1"/>
  <c r="A4901" i="122" s="1"/>
  <c r="M210" i="122"/>
  <c r="E880" i="122"/>
  <c r="E1550" i="122" s="1"/>
  <c r="E2220" i="122" s="1"/>
  <c r="E2890" i="122" s="1"/>
  <c r="E3560" i="122" s="1"/>
  <c r="E4230" i="122" s="1"/>
  <c r="E4900" i="122" s="1"/>
  <c r="B880" i="122"/>
  <c r="B1550" i="122" s="1"/>
  <c r="B2220" i="122" s="1"/>
  <c r="B2890" i="122" s="1"/>
  <c r="B3560" i="122" s="1"/>
  <c r="B4230" i="122" s="1"/>
  <c r="B4900" i="122" s="1"/>
  <c r="A880" i="122"/>
  <c r="A1550" i="122" s="1"/>
  <c r="A2220" i="122" s="1"/>
  <c r="A2890" i="122" s="1"/>
  <c r="A3560" i="122" s="1"/>
  <c r="A4230" i="122" s="1"/>
  <c r="A4900" i="122" s="1"/>
  <c r="M209" i="122"/>
  <c r="D879" i="122"/>
  <c r="D1549" i="122" s="1"/>
  <c r="D2219" i="122" s="1"/>
  <c r="D2889" i="122" s="1"/>
  <c r="D3559" i="122" s="1"/>
  <c r="D4229" i="122" s="1"/>
  <c r="D4899" i="122" s="1"/>
  <c r="C879" i="122"/>
  <c r="C1549" i="122" s="1"/>
  <c r="C2219" i="122" s="1"/>
  <c r="C2889" i="122" s="1"/>
  <c r="C3559" i="122" s="1"/>
  <c r="C4229" i="122" s="1"/>
  <c r="C4899" i="122" s="1"/>
  <c r="B879" i="122"/>
  <c r="B1549" i="122" s="1"/>
  <c r="B2219" i="122" s="1"/>
  <c r="B2889" i="122" s="1"/>
  <c r="B3559" i="122" s="1"/>
  <c r="B4229" i="122" s="1"/>
  <c r="B4899" i="122" s="1"/>
  <c r="A879" i="122"/>
  <c r="A1549" i="122" s="1"/>
  <c r="A2219" i="122" s="1"/>
  <c r="A2889" i="122" s="1"/>
  <c r="A3559" i="122" s="1"/>
  <c r="A4229" i="122" s="1"/>
  <c r="A4899" i="122" s="1"/>
  <c r="M208" i="122"/>
  <c r="O208" i="122" s="1"/>
  <c r="E878" i="122"/>
  <c r="E1548" i="122" s="1"/>
  <c r="E2218" i="122" s="1"/>
  <c r="E2888" i="122" s="1"/>
  <c r="E3558" i="122" s="1"/>
  <c r="E4228" i="122" s="1"/>
  <c r="E4898" i="122" s="1"/>
  <c r="B878" i="122"/>
  <c r="B1548" i="122" s="1"/>
  <c r="B2218" i="122" s="1"/>
  <c r="B2888" i="122" s="1"/>
  <c r="B3558" i="122" s="1"/>
  <c r="B4228" i="122" s="1"/>
  <c r="B4898" i="122" s="1"/>
  <c r="A878" i="122"/>
  <c r="A1548" i="122" s="1"/>
  <c r="A2218" i="122" s="1"/>
  <c r="A2888" i="122" s="1"/>
  <c r="A3558" i="122" s="1"/>
  <c r="A4228" i="122" s="1"/>
  <c r="A4898" i="122" s="1"/>
  <c r="M207" i="122"/>
  <c r="E877" i="122"/>
  <c r="E1547" i="122" s="1"/>
  <c r="E2217" i="122" s="1"/>
  <c r="E2887" i="122" s="1"/>
  <c r="E3557" i="122" s="1"/>
  <c r="E4227" i="122" s="1"/>
  <c r="E4897" i="122" s="1"/>
  <c r="B877" i="122"/>
  <c r="B1547" i="122" s="1"/>
  <c r="B2217" i="122" s="1"/>
  <c r="B2887" i="122" s="1"/>
  <c r="B3557" i="122" s="1"/>
  <c r="B4227" i="122" s="1"/>
  <c r="B4897" i="122" s="1"/>
  <c r="A877" i="122"/>
  <c r="A1547" i="122" s="1"/>
  <c r="A2217" i="122" s="1"/>
  <c r="A2887" i="122" s="1"/>
  <c r="A3557" i="122" s="1"/>
  <c r="A4227" i="122" s="1"/>
  <c r="A4897" i="122" s="1"/>
  <c r="M206" i="122"/>
  <c r="D876" i="122"/>
  <c r="D1546" i="122" s="1"/>
  <c r="D2216" i="122" s="1"/>
  <c r="D2886" i="122" s="1"/>
  <c r="D3556" i="122" s="1"/>
  <c r="D4226" i="122" s="1"/>
  <c r="D4896" i="122" s="1"/>
  <c r="C876" i="122"/>
  <c r="C1546" i="122" s="1"/>
  <c r="C2216" i="122" s="1"/>
  <c r="C2886" i="122" s="1"/>
  <c r="C3556" i="122" s="1"/>
  <c r="C4226" i="122" s="1"/>
  <c r="C4896" i="122" s="1"/>
  <c r="B876" i="122"/>
  <c r="B1546" i="122" s="1"/>
  <c r="B2216" i="122" s="1"/>
  <c r="B2886" i="122" s="1"/>
  <c r="B3556" i="122" s="1"/>
  <c r="B4226" i="122" s="1"/>
  <c r="B4896" i="122" s="1"/>
  <c r="A876" i="122"/>
  <c r="A1546" i="122" s="1"/>
  <c r="A2216" i="122" s="1"/>
  <c r="A2886" i="122" s="1"/>
  <c r="A3556" i="122" s="1"/>
  <c r="A4226" i="122" s="1"/>
  <c r="A4896" i="122" s="1"/>
  <c r="M205" i="122"/>
  <c r="O205" i="122" s="1"/>
  <c r="P205" i="122" s="1"/>
  <c r="E875" i="122"/>
  <c r="E1545" i="122" s="1"/>
  <c r="E2215" i="122" s="1"/>
  <c r="E2885" i="122" s="1"/>
  <c r="E3555" i="122" s="1"/>
  <c r="E4225" i="122" s="1"/>
  <c r="E4895" i="122" s="1"/>
  <c r="D875" i="122"/>
  <c r="D1545" i="122" s="1"/>
  <c r="D2215" i="122" s="1"/>
  <c r="D2885" i="122" s="1"/>
  <c r="D3555" i="122" s="1"/>
  <c r="D4225" i="122" s="1"/>
  <c r="D4895" i="122" s="1"/>
  <c r="C875" i="122"/>
  <c r="C1545" i="122" s="1"/>
  <c r="C2215" i="122" s="1"/>
  <c r="C2885" i="122" s="1"/>
  <c r="C3555" i="122" s="1"/>
  <c r="C4225" i="122" s="1"/>
  <c r="C4895" i="122" s="1"/>
  <c r="B875" i="122"/>
  <c r="B1545" i="122" s="1"/>
  <c r="B2215" i="122" s="1"/>
  <c r="B2885" i="122" s="1"/>
  <c r="B3555" i="122" s="1"/>
  <c r="B4225" i="122" s="1"/>
  <c r="B4895" i="122" s="1"/>
  <c r="A875" i="122"/>
  <c r="A1545" i="122" s="1"/>
  <c r="A2215" i="122" s="1"/>
  <c r="A2885" i="122" s="1"/>
  <c r="A3555" i="122" s="1"/>
  <c r="A4225" i="122" s="1"/>
  <c r="A4895" i="122" s="1"/>
  <c r="M204" i="122"/>
  <c r="E874" i="122"/>
  <c r="E1544" i="122" s="1"/>
  <c r="E2214" i="122" s="1"/>
  <c r="E2884" i="122" s="1"/>
  <c r="E3554" i="122" s="1"/>
  <c r="E4224" i="122" s="1"/>
  <c r="E4894" i="122" s="1"/>
  <c r="D874" i="122"/>
  <c r="D1544" i="122" s="1"/>
  <c r="D2214" i="122" s="1"/>
  <c r="D2884" i="122" s="1"/>
  <c r="D3554" i="122" s="1"/>
  <c r="D4224" i="122" s="1"/>
  <c r="D4894" i="122" s="1"/>
  <c r="C874" i="122"/>
  <c r="C1544" i="122" s="1"/>
  <c r="C2214" i="122" s="1"/>
  <c r="C2884" i="122" s="1"/>
  <c r="C3554" i="122" s="1"/>
  <c r="C4224" i="122" s="1"/>
  <c r="C4894" i="122" s="1"/>
  <c r="B874" i="122"/>
  <c r="B1544" i="122" s="1"/>
  <c r="B2214" i="122" s="1"/>
  <c r="B2884" i="122" s="1"/>
  <c r="B3554" i="122" s="1"/>
  <c r="B4224" i="122" s="1"/>
  <c r="B4894" i="122" s="1"/>
  <c r="A874" i="122"/>
  <c r="A1544" i="122" s="1"/>
  <c r="A2214" i="122" s="1"/>
  <c r="A2884" i="122" s="1"/>
  <c r="A3554" i="122" s="1"/>
  <c r="A4224" i="122" s="1"/>
  <c r="A4894" i="122" s="1"/>
  <c r="M203" i="122"/>
  <c r="E873" i="122"/>
  <c r="E1543" i="122" s="1"/>
  <c r="E2213" i="122" s="1"/>
  <c r="E2883" i="122" s="1"/>
  <c r="E3553" i="122" s="1"/>
  <c r="E4223" i="122" s="1"/>
  <c r="E4893" i="122" s="1"/>
  <c r="D873" i="122"/>
  <c r="D1543" i="122" s="1"/>
  <c r="D2213" i="122" s="1"/>
  <c r="D2883" i="122" s="1"/>
  <c r="D3553" i="122" s="1"/>
  <c r="D4223" i="122" s="1"/>
  <c r="D4893" i="122" s="1"/>
  <c r="C873" i="122"/>
  <c r="C1543" i="122" s="1"/>
  <c r="C2213" i="122" s="1"/>
  <c r="C2883" i="122" s="1"/>
  <c r="C3553" i="122" s="1"/>
  <c r="C4223" i="122" s="1"/>
  <c r="C4893" i="122" s="1"/>
  <c r="B873" i="122"/>
  <c r="B1543" i="122" s="1"/>
  <c r="B2213" i="122" s="1"/>
  <c r="B2883" i="122" s="1"/>
  <c r="B3553" i="122" s="1"/>
  <c r="B4223" i="122" s="1"/>
  <c r="B4893" i="122" s="1"/>
  <c r="A873" i="122"/>
  <c r="A1543" i="122" s="1"/>
  <c r="A2213" i="122" s="1"/>
  <c r="A2883" i="122" s="1"/>
  <c r="A3553" i="122" s="1"/>
  <c r="A4223" i="122" s="1"/>
  <c r="A4893" i="122" s="1"/>
  <c r="M202" i="122"/>
  <c r="E872" i="122"/>
  <c r="E1542" i="122" s="1"/>
  <c r="E2212" i="122" s="1"/>
  <c r="E2882" i="122" s="1"/>
  <c r="E3552" i="122" s="1"/>
  <c r="E4222" i="122" s="1"/>
  <c r="E4892" i="122" s="1"/>
  <c r="B872" i="122"/>
  <c r="B1542" i="122" s="1"/>
  <c r="B2212" i="122" s="1"/>
  <c r="B2882" i="122" s="1"/>
  <c r="B3552" i="122" s="1"/>
  <c r="B4222" i="122" s="1"/>
  <c r="B4892" i="122" s="1"/>
  <c r="A872" i="122"/>
  <c r="A1542" i="122" s="1"/>
  <c r="A2212" i="122" s="1"/>
  <c r="A2882" i="122" s="1"/>
  <c r="A3552" i="122" s="1"/>
  <c r="A4222" i="122" s="1"/>
  <c r="A4892" i="122" s="1"/>
  <c r="M201" i="122"/>
  <c r="E871" i="122"/>
  <c r="E1541" i="122" s="1"/>
  <c r="E2211" i="122" s="1"/>
  <c r="E2881" i="122" s="1"/>
  <c r="E3551" i="122" s="1"/>
  <c r="E4221" i="122" s="1"/>
  <c r="E4891" i="122" s="1"/>
  <c r="B871" i="122"/>
  <c r="B1541" i="122" s="1"/>
  <c r="B2211" i="122" s="1"/>
  <c r="B2881" i="122" s="1"/>
  <c r="B3551" i="122" s="1"/>
  <c r="B4221" i="122" s="1"/>
  <c r="B4891" i="122" s="1"/>
  <c r="A871" i="122"/>
  <c r="A1541" i="122" s="1"/>
  <c r="A2211" i="122" s="1"/>
  <c r="A2881" i="122" s="1"/>
  <c r="A3551" i="122" s="1"/>
  <c r="A4221" i="122" s="1"/>
  <c r="A4891" i="122" s="1"/>
  <c r="O200" i="122"/>
  <c r="M200" i="122"/>
  <c r="D870" i="122"/>
  <c r="D1540" i="122" s="1"/>
  <c r="D2210" i="122" s="1"/>
  <c r="D2880" i="122" s="1"/>
  <c r="D3550" i="122" s="1"/>
  <c r="D4220" i="122" s="1"/>
  <c r="D4890" i="122" s="1"/>
  <c r="C870" i="122"/>
  <c r="C1540" i="122" s="1"/>
  <c r="C2210" i="122" s="1"/>
  <c r="C2880" i="122" s="1"/>
  <c r="C3550" i="122" s="1"/>
  <c r="C4220" i="122" s="1"/>
  <c r="C4890" i="122" s="1"/>
  <c r="B870" i="122"/>
  <c r="B1540" i="122" s="1"/>
  <c r="B2210" i="122" s="1"/>
  <c r="B2880" i="122" s="1"/>
  <c r="B3550" i="122" s="1"/>
  <c r="B4220" i="122" s="1"/>
  <c r="B4890" i="122" s="1"/>
  <c r="A870" i="122"/>
  <c r="A1540" i="122" s="1"/>
  <c r="A2210" i="122" s="1"/>
  <c r="A2880" i="122" s="1"/>
  <c r="A3550" i="122" s="1"/>
  <c r="A4220" i="122" s="1"/>
  <c r="A4890" i="122" s="1"/>
  <c r="M199" i="122"/>
  <c r="E869" i="122"/>
  <c r="E1539" i="122" s="1"/>
  <c r="E2209" i="122" s="1"/>
  <c r="E2879" i="122" s="1"/>
  <c r="E3549" i="122" s="1"/>
  <c r="E4219" i="122" s="1"/>
  <c r="E4889" i="122" s="1"/>
  <c r="B869" i="122"/>
  <c r="B1539" i="122" s="1"/>
  <c r="B2209" i="122" s="1"/>
  <c r="B2879" i="122" s="1"/>
  <c r="B3549" i="122" s="1"/>
  <c r="B4219" i="122" s="1"/>
  <c r="B4889" i="122" s="1"/>
  <c r="A869" i="122"/>
  <c r="A1539" i="122" s="1"/>
  <c r="A2209" i="122" s="1"/>
  <c r="A2879" i="122" s="1"/>
  <c r="A3549" i="122" s="1"/>
  <c r="A4219" i="122" s="1"/>
  <c r="A4889" i="122" s="1"/>
  <c r="M198" i="122"/>
  <c r="E868" i="122"/>
  <c r="E1538" i="122" s="1"/>
  <c r="E2208" i="122" s="1"/>
  <c r="E2878" i="122" s="1"/>
  <c r="E3548" i="122" s="1"/>
  <c r="E4218" i="122" s="1"/>
  <c r="E4888" i="122" s="1"/>
  <c r="B868" i="122"/>
  <c r="B1538" i="122" s="1"/>
  <c r="B2208" i="122" s="1"/>
  <c r="B2878" i="122" s="1"/>
  <c r="B3548" i="122" s="1"/>
  <c r="B4218" i="122" s="1"/>
  <c r="B4888" i="122" s="1"/>
  <c r="A868" i="122"/>
  <c r="A1538" i="122" s="1"/>
  <c r="A2208" i="122" s="1"/>
  <c r="A2878" i="122" s="1"/>
  <c r="A3548" i="122" s="1"/>
  <c r="A4218" i="122" s="1"/>
  <c r="A4888" i="122" s="1"/>
  <c r="M197" i="122"/>
  <c r="O197" i="122" s="1"/>
  <c r="P197" i="122" s="1"/>
  <c r="D867" i="122"/>
  <c r="D1537" i="122" s="1"/>
  <c r="D2207" i="122" s="1"/>
  <c r="D2877" i="122" s="1"/>
  <c r="D3547" i="122" s="1"/>
  <c r="D4217" i="122" s="1"/>
  <c r="D4887" i="122" s="1"/>
  <c r="C867" i="122"/>
  <c r="C1537" i="122" s="1"/>
  <c r="C2207" i="122" s="1"/>
  <c r="C2877" i="122" s="1"/>
  <c r="C3547" i="122" s="1"/>
  <c r="C4217" i="122" s="1"/>
  <c r="C4887" i="122" s="1"/>
  <c r="B867" i="122"/>
  <c r="B1537" i="122" s="1"/>
  <c r="B2207" i="122" s="1"/>
  <c r="B2877" i="122" s="1"/>
  <c r="B3547" i="122" s="1"/>
  <c r="B4217" i="122" s="1"/>
  <c r="B4887" i="122" s="1"/>
  <c r="A867" i="122"/>
  <c r="A1537" i="122" s="1"/>
  <c r="A2207" i="122" s="1"/>
  <c r="A2877" i="122" s="1"/>
  <c r="A3547" i="122" s="1"/>
  <c r="A4217" i="122" s="1"/>
  <c r="A4887" i="122" s="1"/>
  <c r="M196" i="122"/>
  <c r="E866" i="122"/>
  <c r="E1536" i="122" s="1"/>
  <c r="E2206" i="122" s="1"/>
  <c r="E2876" i="122" s="1"/>
  <c r="E3546" i="122" s="1"/>
  <c r="E4216" i="122" s="1"/>
  <c r="E4886" i="122" s="1"/>
  <c r="B866" i="122"/>
  <c r="B1536" i="122" s="1"/>
  <c r="B2206" i="122" s="1"/>
  <c r="B2876" i="122" s="1"/>
  <c r="B3546" i="122" s="1"/>
  <c r="B4216" i="122" s="1"/>
  <c r="B4886" i="122" s="1"/>
  <c r="A866" i="122"/>
  <c r="A1536" i="122" s="1"/>
  <c r="A2206" i="122" s="1"/>
  <c r="A2876" i="122" s="1"/>
  <c r="A3546" i="122" s="1"/>
  <c r="A4216" i="122" s="1"/>
  <c r="A4886" i="122" s="1"/>
  <c r="O195" i="122"/>
  <c r="P195" i="122" s="1"/>
  <c r="M195" i="122"/>
  <c r="E865" i="122"/>
  <c r="E1535" i="122" s="1"/>
  <c r="E2205" i="122" s="1"/>
  <c r="E2875" i="122" s="1"/>
  <c r="E3545" i="122" s="1"/>
  <c r="E4215" i="122" s="1"/>
  <c r="E4885" i="122" s="1"/>
  <c r="B865" i="122"/>
  <c r="B1535" i="122" s="1"/>
  <c r="B2205" i="122" s="1"/>
  <c r="B2875" i="122" s="1"/>
  <c r="B3545" i="122" s="1"/>
  <c r="B4215" i="122" s="1"/>
  <c r="B4885" i="122" s="1"/>
  <c r="A865" i="122"/>
  <c r="A1535" i="122" s="1"/>
  <c r="A2205" i="122" s="1"/>
  <c r="A2875" i="122" s="1"/>
  <c r="A3545" i="122" s="1"/>
  <c r="A4215" i="122" s="1"/>
  <c r="A4885" i="122" s="1"/>
  <c r="M194" i="122"/>
  <c r="D864" i="122"/>
  <c r="D1534" i="122" s="1"/>
  <c r="D2204" i="122" s="1"/>
  <c r="D2874" i="122" s="1"/>
  <c r="D3544" i="122" s="1"/>
  <c r="D4214" i="122" s="1"/>
  <c r="D4884" i="122" s="1"/>
  <c r="C864" i="122"/>
  <c r="C1534" i="122" s="1"/>
  <c r="C2204" i="122" s="1"/>
  <c r="C2874" i="122" s="1"/>
  <c r="C3544" i="122" s="1"/>
  <c r="C4214" i="122" s="1"/>
  <c r="C4884" i="122" s="1"/>
  <c r="B864" i="122"/>
  <c r="B1534" i="122" s="1"/>
  <c r="B2204" i="122" s="1"/>
  <c r="B2874" i="122" s="1"/>
  <c r="B3544" i="122" s="1"/>
  <c r="B4214" i="122" s="1"/>
  <c r="B4884" i="122" s="1"/>
  <c r="A864" i="122"/>
  <c r="A1534" i="122" s="1"/>
  <c r="A2204" i="122" s="1"/>
  <c r="A2874" i="122" s="1"/>
  <c r="A3544" i="122" s="1"/>
  <c r="A4214" i="122" s="1"/>
  <c r="A4884" i="122" s="1"/>
  <c r="M193" i="122"/>
  <c r="O193" i="122" s="1"/>
  <c r="P193" i="122" s="1"/>
  <c r="E863" i="122"/>
  <c r="E1533" i="122" s="1"/>
  <c r="E2203" i="122" s="1"/>
  <c r="E2873" i="122" s="1"/>
  <c r="E3543" i="122" s="1"/>
  <c r="E4213" i="122" s="1"/>
  <c r="E4883" i="122" s="1"/>
  <c r="B863" i="122"/>
  <c r="B1533" i="122" s="1"/>
  <c r="B2203" i="122" s="1"/>
  <c r="B2873" i="122" s="1"/>
  <c r="B3543" i="122" s="1"/>
  <c r="B4213" i="122" s="1"/>
  <c r="B4883" i="122" s="1"/>
  <c r="A863" i="122"/>
  <c r="A1533" i="122" s="1"/>
  <c r="A2203" i="122" s="1"/>
  <c r="A2873" i="122" s="1"/>
  <c r="A3543" i="122" s="1"/>
  <c r="A4213" i="122" s="1"/>
  <c r="A4883" i="122" s="1"/>
  <c r="M192" i="122"/>
  <c r="E862" i="122"/>
  <c r="E1532" i="122" s="1"/>
  <c r="E2202" i="122" s="1"/>
  <c r="E2872" i="122" s="1"/>
  <c r="E3542" i="122" s="1"/>
  <c r="E4212" i="122" s="1"/>
  <c r="E4882" i="122" s="1"/>
  <c r="B862" i="122"/>
  <c r="B1532" i="122" s="1"/>
  <c r="B2202" i="122" s="1"/>
  <c r="B2872" i="122" s="1"/>
  <c r="B3542" i="122" s="1"/>
  <c r="B4212" i="122" s="1"/>
  <c r="B4882" i="122" s="1"/>
  <c r="A862" i="122"/>
  <c r="A1532" i="122" s="1"/>
  <c r="A2202" i="122" s="1"/>
  <c r="A2872" i="122" s="1"/>
  <c r="A3542" i="122" s="1"/>
  <c r="A4212" i="122" s="1"/>
  <c r="A4882" i="122" s="1"/>
  <c r="M191" i="122"/>
  <c r="D861" i="122"/>
  <c r="D1531" i="122" s="1"/>
  <c r="D2201" i="122" s="1"/>
  <c r="D2871" i="122" s="1"/>
  <c r="D3541" i="122" s="1"/>
  <c r="D4211" i="122" s="1"/>
  <c r="D4881" i="122" s="1"/>
  <c r="C861" i="122"/>
  <c r="C1531" i="122" s="1"/>
  <c r="C2201" i="122" s="1"/>
  <c r="C2871" i="122" s="1"/>
  <c r="C3541" i="122" s="1"/>
  <c r="C4211" i="122" s="1"/>
  <c r="C4881" i="122" s="1"/>
  <c r="B861" i="122"/>
  <c r="B1531" i="122" s="1"/>
  <c r="B2201" i="122" s="1"/>
  <c r="B2871" i="122" s="1"/>
  <c r="B3541" i="122" s="1"/>
  <c r="B4211" i="122" s="1"/>
  <c r="B4881" i="122" s="1"/>
  <c r="A861" i="122"/>
  <c r="A1531" i="122" s="1"/>
  <c r="A2201" i="122" s="1"/>
  <c r="A2871" i="122" s="1"/>
  <c r="A3541" i="122" s="1"/>
  <c r="A4211" i="122" s="1"/>
  <c r="A4881" i="122" s="1"/>
  <c r="M190" i="122"/>
  <c r="E860" i="122"/>
  <c r="E1530" i="122" s="1"/>
  <c r="E2200" i="122" s="1"/>
  <c r="E2870" i="122" s="1"/>
  <c r="E3540" i="122" s="1"/>
  <c r="E4210" i="122" s="1"/>
  <c r="E4880" i="122" s="1"/>
  <c r="B860" i="122"/>
  <c r="B1530" i="122" s="1"/>
  <c r="B2200" i="122" s="1"/>
  <c r="B2870" i="122" s="1"/>
  <c r="B3540" i="122" s="1"/>
  <c r="B4210" i="122" s="1"/>
  <c r="B4880" i="122" s="1"/>
  <c r="A860" i="122"/>
  <c r="A1530" i="122" s="1"/>
  <c r="A2200" i="122" s="1"/>
  <c r="A2870" i="122" s="1"/>
  <c r="A3540" i="122" s="1"/>
  <c r="A4210" i="122" s="1"/>
  <c r="A4880" i="122" s="1"/>
  <c r="M189" i="122"/>
  <c r="E859" i="122"/>
  <c r="E1529" i="122" s="1"/>
  <c r="E2199" i="122" s="1"/>
  <c r="E2869" i="122" s="1"/>
  <c r="E3539" i="122" s="1"/>
  <c r="E4209" i="122" s="1"/>
  <c r="E4879" i="122" s="1"/>
  <c r="B859" i="122"/>
  <c r="B1529" i="122" s="1"/>
  <c r="B2199" i="122" s="1"/>
  <c r="B2869" i="122" s="1"/>
  <c r="B3539" i="122" s="1"/>
  <c r="B4209" i="122" s="1"/>
  <c r="B4879" i="122" s="1"/>
  <c r="A859" i="122"/>
  <c r="A1529" i="122" s="1"/>
  <c r="A2199" i="122" s="1"/>
  <c r="A2869" i="122" s="1"/>
  <c r="A3539" i="122" s="1"/>
  <c r="A4209" i="122" s="1"/>
  <c r="A4879" i="122" s="1"/>
  <c r="M188" i="122"/>
  <c r="O188" i="122" s="1"/>
  <c r="D858" i="122"/>
  <c r="D1528" i="122" s="1"/>
  <c r="D2198" i="122" s="1"/>
  <c r="D2868" i="122" s="1"/>
  <c r="D3538" i="122" s="1"/>
  <c r="D4208" i="122" s="1"/>
  <c r="D4878" i="122" s="1"/>
  <c r="C858" i="122"/>
  <c r="C1528" i="122" s="1"/>
  <c r="C2198" i="122" s="1"/>
  <c r="C2868" i="122" s="1"/>
  <c r="C3538" i="122" s="1"/>
  <c r="C4208" i="122" s="1"/>
  <c r="C4878" i="122" s="1"/>
  <c r="B858" i="122"/>
  <c r="B1528" i="122" s="1"/>
  <c r="B2198" i="122" s="1"/>
  <c r="B2868" i="122" s="1"/>
  <c r="B3538" i="122" s="1"/>
  <c r="B4208" i="122" s="1"/>
  <c r="B4878" i="122" s="1"/>
  <c r="A858" i="122"/>
  <c r="A1528" i="122" s="1"/>
  <c r="A2198" i="122" s="1"/>
  <c r="A2868" i="122" s="1"/>
  <c r="A3538" i="122" s="1"/>
  <c r="A4208" i="122" s="1"/>
  <c r="A4878" i="122" s="1"/>
  <c r="M187" i="122"/>
  <c r="E857" i="122"/>
  <c r="E1527" i="122" s="1"/>
  <c r="E2197" i="122" s="1"/>
  <c r="E2867" i="122" s="1"/>
  <c r="E3537" i="122" s="1"/>
  <c r="E4207" i="122" s="1"/>
  <c r="E4877" i="122" s="1"/>
  <c r="B857" i="122"/>
  <c r="B1527" i="122" s="1"/>
  <c r="B2197" i="122" s="1"/>
  <c r="B2867" i="122" s="1"/>
  <c r="B3537" i="122" s="1"/>
  <c r="B4207" i="122" s="1"/>
  <c r="B4877" i="122" s="1"/>
  <c r="A857" i="122"/>
  <c r="A1527" i="122" s="1"/>
  <c r="A2197" i="122" s="1"/>
  <c r="A2867" i="122" s="1"/>
  <c r="A3537" i="122" s="1"/>
  <c r="A4207" i="122" s="1"/>
  <c r="A4877" i="122" s="1"/>
  <c r="M186" i="122"/>
  <c r="E856" i="122"/>
  <c r="E1526" i="122" s="1"/>
  <c r="E2196" i="122" s="1"/>
  <c r="E2866" i="122" s="1"/>
  <c r="E3536" i="122" s="1"/>
  <c r="E4206" i="122" s="1"/>
  <c r="E4876" i="122" s="1"/>
  <c r="B856" i="122"/>
  <c r="B1526" i="122" s="1"/>
  <c r="B2196" i="122" s="1"/>
  <c r="B2866" i="122" s="1"/>
  <c r="B3536" i="122" s="1"/>
  <c r="B4206" i="122" s="1"/>
  <c r="B4876" i="122" s="1"/>
  <c r="A856" i="122"/>
  <c r="A1526" i="122" s="1"/>
  <c r="A2196" i="122" s="1"/>
  <c r="A2866" i="122" s="1"/>
  <c r="A3536" i="122" s="1"/>
  <c r="A4206" i="122" s="1"/>
  <c r="A4876" i="122" s="1"/>
  <c r="M185" i="122"/>
  <c r="O185" i="122" s="1"/>
  <c r="P185" i="122" s="1"/>
  <c r="E855" i="122"/>
  <c r="E1525" i="122" s="1"/>
  <c r="E2195" i="122" s="1"/>
  <c r="E2865" i="122" s="1"/>
  <c r="E3535" i="122" s="1"/>
  <c r="E4205" i="122" s="1"/>
  <c r="E4875" i="122" s="1"/>
  <c r="B855" i="122"/>
  <c r="B1525" i="122" s="1"/>
  <c r="B2195" i="122" s="1"/>
  <c r="B2865" i="122" s="1"/>
  <c r="B3535" i="122" s="1"/>
  <c r="B4205" i="122" s="1"/>
  <c r="B4875" i="122" s="1"/>
  <c r="A855" i="122"/>
  <c r="A1525" i="122" s="1"/>
  <c r="A2195" i="122" s="1"/>
  <c r="A2865" i="122" s="1"/>
  <c r="A3535" i="122" s="1"/>
  <c r="A4205" i="122" s="1"/>
  <c r="A4875" i="122" s="1"/>
  <c r="O184" i="122"/>
  <c r="M184" i="122"/>
  <c r="D854" i="122"/>
  <c r="D1524" i="122" s="1"/>
  <c r="D2194" i="122" s="1"/>
  <c r="D2864" i="122" s="1"/>
  <c r="D3534" i="122" s="1"/>
  <c r="D4204" i="122" s="1"/>
  <c r="D4874" i="122" s="1"/>
  <c r="C854" i="122"/>
  <c r="C1524" i="122" s="1"/>
  <c r="C2194" i="122" s="1"/>
  <c r="C2864" i="122" s="1"/>
  <c r="C3534" i="122" s="1"/>
  <c r="C4204" i="122" s="1"/>
  <c r="C4874" i="122" s="1"/>
  <c r="B854" i="122"/>
  <c r="B1524" i="122" s="1"/>
  <c r="B2194" i="122" s="1"/>
  <c r="B2864" i="122" s="1"/>
  <c r="B3534" i="122" s="1"/>
  <c r="B4204" i="122" s="1"/>
  <c r="B4874" i="122" s="1"/>
  <c r="A854" i="122"/>
  <c r="A1524" i="122" s="1"/>
  <c r="A2194" i="122" s="1"/>
  <c r="A2864" i="122" s="1"/>
  <c r="A3534" i="122" s="1"/>
  <c r="A4204" i="122" s="1"/>
  <c r="A4874" i="122" s="1"/>
  <c r="M183" i="122"/>
  <c r="E853" i="122"/>
  <c r="E1523" i="122" s="1"/>
  <c r="E2193" i="122" s="1"/>
  <c r="E2863" i="122" s="1"/>
  <c r="E3533" i="122" s="1"/>
  <c r="E4203" i="122" s="1"/>
  <c r="E4873" i="122" s="1"/>
  <c r="B853" i="122"/>
  <c r="B1523" i="122" s="1"/>
  <c r="B2193" i="122" s="1"/>
  <c r="B2863" i="122" s="1"/>
  <c r="B3533" i="122" s="1"/>
  <c r="B4203" i="122" s="1"/>
  <c r="B4873" i="122" s="1"/>
  <c r="A853" i="122"/>
  <c r="A1523" i="122" s="1"/>
  <c r="A2193" i="122" s="1"/>
  <c r="A2863" i="122" s="1"/>
  <c r="A3533" i="122" s="1"/>
  <c r="A4203" i="122" s="1"/>
  <c r="A4873" i="122" s="1"/>
  <c r="M182" i="122"/>
  <c r="E852" i="122"/>
  <c r="E1522" i="122" s="1"/>
  <c r="E2192" i="122" s="1"/>
  <c r="E2862" i="122" s="1"/>
  <c r="E3532" i="122" s="1"/>
  <c r="E4202" i="122" s="1"/>
  <c r="E4872" i="122" s="1"/>
  <c r="B852" i="122"/>
  <c r="B1522" i="122" s="1"/>
  <c r="B2192" i="122" s="1"/>
  <c r="B2862" i="122" s="1"/>
  <c r="B3532" i="122" s="1"/>
  <c r="B4202" i="122" s="1"/>
  <c r="B4872" i="122" s="1"/>
  <c r="A852" i="122"/>
  <c r="A1522" i="122" s="1"/>
  <c r="A2192" i="122" s="1"/>
  <c r="A2862" i="122" s="1"/>
  <c r="A3532" i="122" s="1"/>
  <c r="A4202" i="122" s="1"/>
  <c r="A4872" i="122" s="1"/>
  <c r="M181" i="122"/>
  <c r="E851" i="122"/>
  <c r="E1521" i="122" s="1"/>
  <c r="E2191" i="122" s="1"/>
  <c r="E2861" i="122" s="1"/>
  <c r="E3531" i="122" s="1"/>
  <c r="E4201" i="122" s="1"/>
  <c r="E4871" i="122" s="1"/>
  <c r="B851" i="122"/>
  <c r="B1521" i="122" s="1"/>
  <c r="B2191" i="122" s="1"/>
  <c r="B2861" i="122" s="1"/>
  <c r="B3531" i="122" s="1"/>
  <c r="B4201" i="122" s="1"/>
  <c r="B4871" i="122" s="1"/>
  <c r="A851" i="122"/>
  <c r="A1521" i="122" s="1"/>
  <c r="A2191" i="122" s="1"/>
  <c r="A2861" i="122" s="1"/>
  <c r="A3531" i="122" s="1"/>
  <c r="A4201" i="122" s="1"/>
  <c r="A4871" i="122" s="1"/>
  <c r="M180" i="122"/>
  <c r="E850" i="122"/>
  <c r="E1520" i="122" s="1"/>
  <c r="E2190" i="122" s="1"/>
  <c r="E2860" i="122" s="1"/>
  <c r="E3530" i="122" s="1"/>
  <c r="E4200" i="122" s="1"/>
  <c r="E4870" i="122" s="1"/>
  <c r="B850" i="122"/>
  <c r="B1520" i="122" s="1"/>
  <c r="B2190" i="122" s="1"/>
  <c r="B2860" i="122" s="1"/>
  <c r="B3530" i="122" s="1"/>
  <c r="B4200" i="122" s="1"/>
  <c r="B4870" i="122" s="1"/>
  <c r="A850" i="122"/>
  <c r="A1520" i="122" s="1"/>
  <c r="A2190" i="122" s="1"/>
  <c r="A2860" i="122" s="1"/>
  <c r="A3530" i="122" s="1"/>
  <c r="A4200" i="122" s="1"/>
  <c r="A4870" i="122" s="1"/>
  <c r="M179" i="122"/>
  <c r="E849" i="122"/>
  <c r="E1519" i="122" s="1"/>
  <c r="E2189" i="122" s="1"/>
  <c r="E2859" i="122" s="1"/>
  <c r="E3529" i="122" s="1"/>
  <c r="E4199" i="122" s="1"/>
  <c r="E4869" i="122" s="1"/>
  <c r="B849" i="122"/>
  <c r="B1519" i="122" s="1"/>
  <c r="B2189" i="122" s="1"/>
  <c r="B2859" i="122" s="1"/>
  <c r="B3529" i="122" s="1"/>
  <c r="B4199" i="122" s="1"/>
  <c r="B4869" i="122" s="1"/>
  <c r="A849" i="122"/>
  <c r="A1519" i="122" s="1"/>
  <c r="A2189" i="122" s="1"/>
  <c r="A2859" i="122" s="1"/>
  <c r="A3529" i="122" s="1"/>
  <c r="A4199" i="122" s="1"/>
  <c r="A4869" i="122" s="1"/>
  <c r="M178" i="122"/>
  <c r="E848" i="122"/>
  <c r="E1518" i="122" s="1"/>
  <c r="E2188" i="122" s="1"/>
  <c r="E2858" i="122" s="1"/>
  <c r="E3528" i="122" s="1"/>
  <c r="E4198" i="122" s="1"/>
  <c r="E4868" i="122" s="1"/>
  <c r="B848" i="122"/>
  <c r="B1518" i="122" s="1"/>
  <c r="B2188" i="122" s="1"/>
  <c r="B2858" i="122" s="1"/>
  <c r="B3528" i="122" s="1"/>
  <c r="B4198" i="122" s="1"/>
  <c r="B4868" i="122" s="1"/>
  <c r="A848" i="122"/>
  <c r="A1518" i="122" s="1"/>
  <c r="A2188" i="122" s="1"/>
  <c r="A2858" i="122" s="1"/>
  <c r="A3528" i="122" s="1"/>
  <c r="A4198" i="122" s="1"/>
  <c r="A4868" i="122" s="1"/>
  <c r="M177" i="122"/>
  <c r="O177" i="122" s="1"/>
  <c r="P177" i="122" s="1"/>
  <c r="E847" i="122"/>
  <c r="E1517" i="122" s="1"/>
  <c r="E2187" i="122" s="1"/>
  <c r="E2857" i="122" s="1"/>
  <c r="E3527" i="122" s="1"/>
  <c r="E4197" i="122" s="1"/>
  <c r="E4867" i="122" s="1"/>
  <c r="B847" i="122"/>
  <c r="B1517" i="122" s="1"/>
  <c r="B2187" i="122" s="1"/>
  <c r="B2857" i="122" s="1"/>
  <c r="B3527" i="122" s="1"/>
  <c r="B4197" i="122" s="1"/>
  <c r="B4867" i="122" s="1"/>
  <c r="A847" i="122"/>
  <c r="A1517" i="122" s="1"/>
  <c r="A2187" i="122" s="1"/>
  <c r="A2857" i="122" s="1"/>
  <c r="A3527" i="122" s="1"/>
  <c r="A4197" i="122" s="1"/>
  <c r="A4867" i="122" s="1"/>
  <c r="M176" i="122"/>
  <c r="E846" i="122"/>
  <c r="E1516" i="122" s="1"/>
  <c r="E2186" i="122" s="1"/>
  <c r="E2856" i="122" s="1"/>
  <c r="E3526" i="122" s="1"/>
  <c r="E4196" i="122" s="1"/>
  <c r="E4866" i="122" s="1"/>
  <c r="B846" i="122"/>
  <c r="B1516" i="122" s="1"/>
  <c r="B2186" i="122" s="1"/>
  <c r="B2856" i="122" s="1"/>
  <c r="B3526" i="122" s="1"/>
  <c r="B4196" i="122" s="1"/>
  <c r="B4866" i="122" s="1"/>
  <c r="A846" i="122"/>
  <c r="A1516" i="122" s="1"/>
  <c r="A2186" i="122" s="1"/>
  <c r="A2856" i="122" s="1"/>
  <c r="A3526" i="122" s="1"/>
  <c r="A4196" i="122" s="1"/>
  <c r="A4866" i="122" s="1"/>
  <c r="M175" i="122"/>
  <c r="E845" i="122"/>
  <c r="E1515" i="122" s="1"/>
  <c r="E2185" i="122" s="1"/>
  <c r="E2855" i="122" s="1"/>
  <c r="E3525" i="122" s="1"/>
  <c r="E4195" i="122" s="1"/>
  <c r="E4865" i="122" s="1"/>
  <c r="B845" i="122"/>
  <c r="B1515" i="122" s="1"/>
  <c r="B2185" i="122" s="1"/>
  <c r="B2855" i="122" s="1"/>
  <c r="B3525" i="122" s="1"/>
  <c r="B4195" i="122" s="1"/>
  <c r="B4865" i="122" s="1"/>
  <c r="A845" i="122"/>
  <c r="A1515" i="122" s="1"/>
  <c r="A2185" i="122" s="1"/>
  <c r="A2855" i="122" s="1"/>
  <c r="A3525" i="122" s="1"/>
  <c r="A4195" i="122" s="1"/>
  <c r="A4865" i="122" s="1"/>
  <c r="M174" i="122"/>
  <c r="E844" i="122"/>
  <c r="E1514" i="122" s="1"/>
  <c r="E2184" i="122" s="1"/>
  <c r="E2854" i="122" s="1"/>
  <c r="E3524" i="122" s="1"/>
  <c r="E4194" i="122" s="1"/>
  <c r="E4864" i="122" s="1"/>
  <c r="B844" i="122"/>
  <c r="B1514" i="122" s="1"/>
  <c r="B2184" i="122" s="1"/>
  <c r="B2854" i="122" s="1"/>
  <c r="B3524" i="122" s="1"/>
  <c r="B4194" i="122" s="1"/>
  <c r="B4864" i="122" s="1"/>
  <c r="A844" i="122"/>
  <c r="A1514" i="122" s="1"/>
  <c r="A2184" i="122" s="1"/>
  <c r="A2854" i="122" s="1"/>
  <c r="A3524" i="122" s="1"/>
  <c r="A4194" i="122" s="1"/>
  <c r="A4864" i="122" s="1"/>
  <c r="M173" i="122"/>
  <c r="O173" i="122" s="1"/>
  <c r="P173" i="122" s="1"/>
  <c r="E843" i="122"/>
  <c r="E1513" i="122" s="1"/>
  <c r="E2183" i="122" s="1"/>
  <c r="E2853" i="122" s="1"/>
  <c r="E3523" i="122" s="1"/>
  <c r="E4193" i="122" s="1"/>
  <c r="E4863" i="122" s="1"/>
  <c r="B843" i="122"/>
  <c r="B1513" i="122" s="1"/>
  <c r="B2183" i="122" s="1"/>
  <c r="B2853" i="122" s="1"/>
  <c r="B3523" i="122" s="1"/>
  <c r="B4193" i="122" s="1"/>
  <c r="B4863" i="122" s="1"/>
  <c r="A843" i="122"/>
  <c r="A1513" i="122" s="1"/>
  <c r="A2183" i="122" s="1"/>
  <c r="A2853" i="122" s="1"/>
  <c r="A3523" i="122" s="1"/>
  <c r="A4193" i="122" s="1"/>
  <c r="A4863" i="122" s="1"/>
  <c r="O172" i="122"/>
  <c r="M172" i="122"/>
  <c r="E842" i="122"/>
  <c r="E1512" i="122" s="1"/>
  <c r="E2182" i="122" s="1"/>
  <c r="E2852" i="122" s="1"/>
  <c r="E3522" i="122" s="1"/>
  <c r="E4192" i="122" s="1"/>
  <c r="E4862" i="122" s="1"/>
  <c r="B842" i="122"/>
  <c r="B1512" i="122" s="1"/>
  <c r="B2182" i="122" s="1"/>
  <c r="B2852" i="122" s="1"/>
  <c r="B3522" i="122" s="1"/>
  <c r="B4192" i="122" s="1"/>
  <c r="B4862" i="122" s="1"/>
  <c r="A842" i="122"/>
  <c r="A1512" i="122" s="1"/>
  <c r="A2182" i="122" s="1"/>
  <c r="A2852" i="122" s="1"/>
  <c r="A3522" i="122" s="1"/>
  <c r="A4192" i="122" s="1"/>
  <c r="A4862" i="122" s="1"/>
  <c r="M171" i="122"/>
  <c r="D841" i="122"/>
  <c r="D1511" i="122" s="1"/>
  <c r="D2181" i="122" s="1"/>
  <c r="D2851" i="122" s="1"/>
  <c r="D3521" i="122" s="1"/>
  <c r="D4191" i="122" s="1"/>
  <c r="D4861" i="122" s="1"/>
  <c r="C841" i="122"/>
  <c r="C1511" i="122" s="1"/>
  <c r="C2181" i="122" s="1"/>
  <c r="C2851" i="122" s="1"/>
  <c r="C3521" i="122" s="1"/>
  <c r="C4191" i="122" s="1"/>
  <c r="C4861" i="122" s="1"/>
  <c r="B841" i="122"/>
  <c r="B1511" i="122" s="1"/>
  <c r="B2181" i="122" s="1"/>
  <c r="B2851" i="122" s="1"/>
  <c r="B3521" i="122" s="1"/>
  <c r="B4191" i="122" s="1"/>
  <c r="B4861" i="122" s="1"/>
  <c r="A841" i="122"/>
  <c r="A1511" i="122" s="1"/>
  <c r="A2181" i="122" s="1"/>
  <c r="A2851" i="122" s="1"/>
  <c r="A3521" i="122" s="1"/>
  <c r="A4191" i="122" s="1"/>
  <c r="A4861" i="122" s="1"/>
  <c r="M170" i="122"/>
  <c r="E840" i="122"/>
  <c r="E1510" i="122" s="1"/>
  <c r="E2180" i="122" s="1"/>
  <c r="E2850" i="122" s="1"/>
  <c r="E3520" i="122" s="1"/>
  <c r="E4190" i="122" s="1"/>
  <c r="E4860" i="122" s="1"/>
  <c r="B840" i="122"/>
  <c r="B1510" i="122" s="1"/>
  <c r="B2180" i="122" s="1"/>
  <c r="B2850" i="122" s="1"/>
  <c r="B3520" i="122" s="1"/>
  <c r="B4190" i="122" s="1"/>
  <c r="B4860" i="122" s="1"/>
  <c r="A840" i="122"/>
  <c r="A1510" i="122" s="1"/>
  <c r="A2180" i="122" s="1"/>
  <c r="A2850" i="122" s="1"/>
  <c r="A3520" i="122" s="1"/>
  <c r="A4190" i="122" s="1"/>
  <c r="A4860" i="122" s="1"/>
  <c r="M169" i="122"/>
  <c r="E839" i="122"/>
  <c r="E1509" i="122" s="1"/>
  <c r="E2179" i="122" s="1"/>
  <c r="E2849" i="122" s="1"/>
  <c r="E3519" i="122" s="1"/>
  <c r="E4189" i="122" s="1"/>
  <c r="E4859" i="122" s="1"/>
  <c r="B839" i="122"/>
  <c r="B1509" i="122" s="1"/>
  <c r="B2179" i="122" s="1"/>
  <c r="B2849" i="122" s="1"/>
  <c r="B3519" i="122" s="1"/>
  <c r="B4189" i="122" s="1"/>
  <c r="B4859" i="122" s="1"/>
  <c r="A839" i="122"/>
  <c r="A1509" i="122" s="1"/>
  <c r="A2179" i="122" s="1"/>
  <c r="A2849" i="122" s="1"/>
  <c r="A3519" i="122" s="1"/>
  <c r="A4189" i="122" s="1"/>
  <c r="A4859" i="122" s="1"/>
  <c r="M168" i="122"/>
  <c r="E838" i="122"/>
  <c r="E1508" i="122" s="1"/>
  <c r="E2178" i="122" s="1"/>
  <c r="E2848" i="122" s="1"/>
  <c r="E3518" i="122" s="1"/>
  <c r="E4188" i="122" s="1"/>
  <c r="E4858" i="122" s="1"/>
  <c r="B838" i="122"/>
  <c r="B1508" i="122" s="1"/>
  <c r="B2178" i="122" s="1"/>
  <c r="B2848" i="122" s="1"/>
  <c r="B3518" i="122" s="1"/>
  <c r="B4188" i="122" s="1"/>
  <c r="B4858" i="122" s="1"/>
  <c r="A838" i="122"/>
  <c r="A1508" i="122" s="1"/>
  <c r="A2178" i="122" s="1"/>
  <c r="A2848" i="122" s="1"/>
  <c r="A3518" i="122" s="1"/>
  <c r="A4188" i="122" s="1"/>
  <c r="A4858" i="122" s="1"/>
  <c r="M167" i="122"/>
  <c r="E837" i="122"/>
  <c r="E1507" i="122" s="1"/>
  <c r="E2177" i="122" s="1"/>
  <c r="E2847" i="122" s="1"/>
  <c r="E3517" i="122" s="1"/>
  <c r="E4187" i="122" s="1"/>
  <c r="E4857" i="122" s="1"/>
  <c r="B837" i="122"/>
  <c r="B1507" i="122" s="1"/>
  <c r="B2177" i="122" s="1"/>
  <c r="B2847" i="122" s="1"/>
  <c r="B3517" i="122" s="1"/>
  <c r="B4187" i="122" s="1"/>
  <c r="B4857" i="122" s="1"/>
  <c r="A837" i="122"/>
  <c r="A1507" i="122" s="1"/>
  <c r="A2177" i="122" s="1"/>
  <c r="A2847" i="122" s="1"/>
  <c r="A3517" i="122" s="1"/>
  <c r="A4187" i="122" s="1"/>
  <c r="A4857" i="122" s="1"/>
  <c r="M166" i="122"/>
  <c r="E836" i="122"/>
  <c r="E1506" i="122" s="1"/>
  <c r="E2176" i="122" s="1"/>
  <c r="E2846" i="122" s="1"/>
  <c r="E3516" i="122" s="1"/>
  <c r="E4186" i="122" s="1"/>
  <c r="E4856" i="122" s="1"/>
  <c r="B836" i="122"/>
  <c r="B1506" i="122" s="1"/>
  <c r="B2176" i="122" s="1"/>
  <c r="B2846" i="122" s="1"/>
  <c r="B3516" i="122" s="1"/>
  <c r="B4186" i="122" s="1"/>
  <c r="B4856" i="122" s="1"/>
  <c r="A836" i="122"/>
  <c r="A1506" i="122" s="1"/>
  <c r="A2176" i="122" s="1"/>
  <c r="A2846" i="122" s="1"/>
  <c r="A3516" i="122" s="1"/>
  <c r="A4186" i="122" s="1"/>
  <c r="A4856" i="122" s="1"/>
  <c r="M165" i="122"/>
  <c r="D835" i="122"/>
  <c r="D1505" i="122" s="1"/>
  <c r="D2175" i="122" s="1"/>
  <c r="D2845" i="122" s="1"/>
  <c r="D3515" i="122" s="1"/>
  <c r="D4185" i="122" s="1"/>
  <c r="D4855" i="122" s="1"/>
  <c r="C835" i="122"/>
  <c r="C1505" i="122" s="1"/>
  <c r="C2175" i="122" s="1"/>
  <c r="C2845" i="122" s="1"/>
  <c r="C3515" i="122" s="1"/>
  <c r="C4185" i="122" s="1"/>
  <c r="C4855" i="122" s="1"/>
  <c r="B835" i="122"/>
  <c r="B1505" i="122" s="1"/>
  <c r="B2175" i="122" s="1"/>
  <c r="B2845" i="122" s="1"/>
  <c r="B3515" i="122" s="1"/>
  <c r="B4185" i="122" s="1"/>
  <c r="B4855" i="122" s="1"/>
  <c r="A835" i="122"/>
  <c r="A1505" i="122" s="1"/>
  <c r="A2175" i="122" s="1"/>
  <c r="A2845" i="122" s="1"/>
  <c r="A3515" i="122" s="1"/>
  <c r="A4185" i="122" s="1"/>
  <c r="A4855" i="122" s="1"/>
  <c r="M164" i="122"/>
  <c r="O164" i="122" s="1"/>
  <c r="E834" i="122"/>
  <c r="E1504" i="122" s="1"/>
  <c r="E2174" i="122" s="1"/>
  <c r="E2844" i="122" s="1"/>
  <c r="E3514" i="122" s="1"/>
  <c r="E4184" i="122" s="1"/>
  <c r="E4854" i="122" s="1"/>
  <c r="B834" i="122"/>
  <c r="B1504" i="122" s="1"/>
  <c r="B2174" i="122" s="1"/>
  <c r="B2844" i="122" s="1"/>
  <c r="B3514" i="122" s="1"/>
  <c r="B4184" i="122" s="1"/>
  <c r="B4854" i="122" s="1"/>
  <c r="A834" i="122"/>
  <c r="A1504" i="122" s="1"/>
  <c r="A2174" i="122" s="1"/>
  <c r="A2844" i="122" s="1"/>
  <c r="A3514" i="122" s="1"/>
  <c r="A4184" i="122" s="1"/>
  <c r="A4854" i="122" s="1"/>
  <c r="M163" i="122"/>
  <c r="E833" i="122"/>
  <c r="E1503" i="122" s="1"/>
  <c r="E2173" i="122" s="1"/>
  <c r="E2843" i="122" s="1"/>
  <c r="E3513" i="122" s="1"/>
  <c r="E4183" i="122" s="1"/>
  <c r="E4853" i="122" s="1"/>
  <c r="B833" i="122"/>
  <c r="B1503" i="122" s="1"/>
  <c r="B2173" i="122" s="1"/>
  <c r="B2843" i="122" s="1"/>
  <c r="B3513" i="122" s="1"/>
  <c r="B4183" i="122" s="1"/>
  <c r="B4853" i="122" s="1"/>
  <c r="A833" i="122"/>
  <c r="A1503" i="122" s="1"/>
  <c r="A2173" i="122" s="1"/>
  <c r="A2843" i="122" s="1"/>
  <c r="A3513" i="122" s="1"/>
  <c r="A4183" i="122" s="1"/>
  <c r="A4853" i="122" s="1"/>
  <c r="M162" i="122"/>
  <c r="E832" i="122"/>
  <c r="E1502" i="122" s="1"/>
  <c r="E2172" i="122" s="1"/>
  <c r="E2842" i="122" s="1"/>
  <c r="E3512" i="122" s="1"/>
  <c r="E4182" i="122" s="1"/>
  <c r="E4852" i="122" s="1"/>
  <c r="B832" i="122"/>
  <c r="B1502" i="122" s="1"/>
  <c r="B2172" i="122" s="1"/>
  <c r="B2842" i="122" s="1"/>
  <c r="B3512" i="122" s="1"/>
  <c r="B4182" i="122" s="1"/>
  <c r="B4852" i="122" s="1"/>
  <c r="A832" i="122"/>
  <c r="A1502" i="122" s="1"/>
  <c r="A2172" i="122" s="1"/>
  <c r="A2842" i="122" s="1"/>
  <c r="A3512" i="122" s="1"/>
  <c r="A4182" i="122" s="1"/>
  <c r="A4852" i="122" s="1"/>
  <c r="M161" i="122"/>
  <c r="E831" i="122"/>
  <c r="E1501" i="122" s="1"/>
  <c r="E2171" i="122" s="1"/>
  <c r="E2841" i="122" s="1"/>
  <c r="E3511" i="122" s="1"/>
  <c r="E4181" i="122" s="1"/>
  <c r="E4851" i="122" s="1"/>
  <c r="B831" i="122"/>
  <c r="B1501" i="122" s="1"/>
  <c r="B2171" i="122" s="1"/>
  <c r="B2841" i="122" s="1"/>
  <c r="B3511" i="122" s="1"/>
  <c r="B4181" i="122" s="1"/>
  <c r="B4851" i="122" s="1"/>
  <c r="A831" i="122"/>
  <c r="A1501" i="122" s="1"/>
  <c r="A2171" i="122" s="1"/>
  <c r="A2841" i="122" s="1"/>
  <c r="A3511" i="122" s="1"/>
  <c r="A4181" i="122" s="1"/>
  <c r="A4851" i="122" s="1"/>
  <c r="M160" i="122"/>
  <c r="O160" i="122" s="1"/>
  <c r="D830" i="122"/>
  <c r="D1500" i="122" s="1"/>
  <c r="D2170" i="122" s="1"/>
  <c r="D2840" i="122" s="1"/>
  <c r="D3510" i="122" s="1"/>
  <c r="D4180" i="122" s="1"/>
  <c r="D4850" i="122" s="1"/>
  <c r="C830" i="122"/>
  <c r="C1500" i="122" s="1"/>
  <c r="C2170" i="122" s="1"/>
  <c r="C2840" i="122" s="1"/>
  <c r="C3510" i="122" s="1"/>
  <c r="C4180" i="122" s="1"/>
  <c r="C4850" i="122" s="1"/>
  <c r="B830" i="122"/>
  <c r="B1500" i="122" s="1"/>
  <c r="B2170" i="122" s="1"/>
  <c r="B2840" i="122" s="1"/>
  <c r="B3510" i="122" s="1"/>
  <c r="B4180" i="122" s="1"/>
  <c r="B4850" i="122" s="1"/>
  <c r="A830" i="122"/>
  <c r="A1500" i="122" s="1"/>
  <c r="A2170" i="122" s="1"/>
  <c r="A2840" i="122" s="1"/>
  <c r="A3510" i="122" s="1"/>
  <c r="A4180" i="122" s="1"/>
  <c r="A4850" i="122" s="1"/>
  <c r="M159" i="122"/>
  <c r="E829" i="122"/>
  <c r="E1499" i="122" s="1"/>
  <c r="E2169" i="122" s="1"/>
  <c r="E2839" i="122" s="1"/>
  <c r="E3509" i="122" s="1"/>
  <c r="E4179" i="122" s="1"/>
  <c r="E4849" i="122" s="1"/>
  <c r="B829" i="122"/>
  <c r="B1499" i="122" s="1"/>
  <c r="B2169" i="122" s="1"/>
  <c r="B2839" i="122" s="1"/>
  <c r="B3509" i="122" s="1"/>
  <c r="B4179" i="122" s="1"/>
  <c r="B4849" i="122" s="1"/>
  <c r="A829" i="122"/>
  <c r="A1499" i="122" s="1"/>
  <c r="A2169" i="122" s="1"/>
  <c r="A2839" i="122" s="1"/>
  <c r="A3509" i="122" s="1"/>
  <c r="A4179" i="122" s="1"/>
  <c r="A4849" i="122" s="1"/>
  <c r="M158" i="122"/>
  <c r="E828" i="122"/>
  <c r="E1498" i="122" s="1"/>
  <c r="E2168" i="122" s="1"/>
  <c r="E2838" i="122" s="1"/>
  <c r="E3508" i="122" s="1"/>
  <c r="E4178" i="122" s="1"/>
  <c r="E4848" i="122" s="1"/>
  <c r="B828" i="122"/>
  <c r="B1498" i="122" s="1"/>
  <c r="B2168" i="122" s="1"/>
  <c r="B2838" i="122" s="1"/>
  <c r="B3508" i="122" s="1"/>
  <c r="B4178" i="122" s="1"/>
  <c r="B4848" i="122" s="1"/>
  <c r="A828" i="122"/>
  <c r="A1498" i="122" s="1"/>
  <c r="A2168" i="122" s="1"/>
  <c r="A2838" i="122" s="1"/>
  <c r="A3508" i="122" s="1"/>
  <c r="A4178" i="122" s="1"/>
  <c r="A4848" i="122" s="1"/>
  <c r="M157" i="122"/>
  <c r="O157" i="122" s="1"/>
  <c r="E827" i="122"/>
  <c r="E1497" i="122" s="1"/>
  <c r="E2167" i="122" s="1"/>
  <c r="E2837" i="122" s="1"/>
  <c r="E3507" i="122" s="1"/>
  <c r="E4177" i="122" s="1"/>
  <c r="E4847" i="122" s="1"/>
  <c r="B827" i="122"/>
  <c r="B1497" i="122" s="1"/>
  <c r="B2167" i="122" s="1"/>
  <c r="B2837" i="122" s="1"/>
  <c r="B3507" i="122" s="1"/>
  <c r="B4177" i="122" s="1"/>
  <c r="B4847" i="122" s="1"/>
  <c r="A827" i="122"/>
  <c r="A1497" i="122" s="1"/>
  <c r="A2167" i="122" s="1"/>
  <c r="A2837" i="122" s="1"/>
  <c r="A3507" i="122" s="1"/>
  <c r="A4177" i="122" s="1"/>
  <c r="A4847" i="122" s="1"/>
  <c r="O156" i="122"/>
  <c r="M156" i="122"/>
  <c r="E826" i="122"/>
  <c r="E1496" i="122" s="1"/>
  <c r="E2166" i="122" s="1"/>
  <c r="E2836" i="122" s="1"/>
  <c r="E3506" i="122" s="1"/>
  <c r="E4176" i="122" s="1"/>
  <c r="E4846" i="122" s="1"/>
  <c r="B826" i="122"/>
  <c r="B1496" i="122" s="1"/>
  <c r="B2166" i="122" s="1"/>
  <c r="B2836" i="122" s="1"/>
  <c r="B3506" i="122" s="1"/>
  <c r="B4176" i="122" s="1"/>
  <c r="B4846" i="122" s="1"/>
  <c r="A826" i="122"/>
  <c r="A1496" i="122" s="1"/>
  <c r="A2166" i="122" s="1"/>
  <c r="A2836" i="122" s="1"/>
  <c r="A3506" i="122" s="1"/>
  <c r="A4176" i="122" s="1"/>
  <c r="A4846" i="122" s="1"/>
  <c r="M155" i="122"/>
  <c r="D825" i="122"/>
  <c r="D1495" i="122" s="1"/>
  <c r="D2165" i="122" s="1"/>
  <c r="D2835" i="122" s="1"/>
  <c r="D3505" i="122" s="1"/>
  <c r="D4175" i="122" s="1"/>
  <c r="D4845" i="122" s="1"/>
  <c r="C825" i="122"/>
  <c r="C1495" i="122" s="1"/>
  <c r="C2165" i="122" s="1"/>
  <c r="C2835" i="122" s="1"/>
  <c r="C3505" i="122" s="1"/>
  <c r="C4175" i="122" s="1"/>
  <c r="C4845" i="122" s="1"/>
  <c r="B825" i="122"/>
  <c r="B1495" i="122" s="1"/>
  <c r="B2165" i="122" s="1"/>
  <c r="B2835" i="122" s="1"/>
  <c r="B3505" i="122" s="1"/>
  <c r="B4175" i="122" s="1"/>
  <c r="B4845" i="122" s="1"/>
  <c r="A825" i="122"/>
  <c r="A1495" i="122" s="1"/>
  <c r="A2165" i="122" s="1"/>
  <c r="A2835" i="122" s="1"/>
  <c r="A3505" i="122" s="1"/>
  <c r="A4175" i="122" s="1"/>
  <c r="A4845" i="122" s="1"/>
  <c r="M154" i="122"/>
  <c r="E824" i="122"/>
  <c r="E1494" i="122" s="1"/>
  <c r="E2164" i="122" s="1"/>
  <c r="E2834" i="122" s="1"/>
  <c r="E3504" i="122" s="1"/>
  <c r="E4174" i="122" s="1"/>
  <c r="E4844" i="122" s="1"/>
  <c r="B824" i="122"/>
  <c r="B1494" i="122" s="1"/>
  <c r="B2164" i="122" s="1"/>
  <c r="B2834" i="122" s="1"/>
  <c r="B3504" i="122" s="1"/>
  <c r="B4174" i="122" s="1"/>
  <c r="B4844" i="122" s="1"/>
  <c r="A824" i="122"/>
  <c r="A1494" i="122" s="1"/>
  <c r="A2164" i="122" s="1"/>
  <c r="A2834" i="122" s="1"/>
  <c r="A3504" i="122" s="1"/>
  <c r="A4174" i="122" s="1"/>
  <c r="A4844" i="122" s="1"/>
  <c r="O153" i="122"/>
  <c r="P153" i="122" s="1"/>
  <c r="M153" i="122"/>
  <c r="E823" i="122"/>
  <c r="E1493" i="122" s="1"/>
  <c r="E2163" i="122" s="1"/>
  <c r="E2833" i="122" s="1"/>
  <c r="E3503" i="122" s="1"/>
  <c r="E4173" i="122" s="1"/>
  <c r="E4843" i="122" s="1"/>
  <c r="B823" i="122"/>
  <c r="B1493" i="122" s="1"/>
  <c r="B2163" i="122" s="1"/>
  <c r="B2833" i="122" s="1"/>
  <c r="B3503" i="122" s="1"/>
  <c r="B4173" i="122" s="1"/>
  <c r="B4843" i="122" s="1"/>
  <c r="A823" i="122"/>
  <c r="A1493" i="122" s="1"/>
  <c r="A2163" i="122" s="1"/>
  <c r="A2833" i="122" s="1"/>
  <c r="A3503" i="122" s="1"/>
  <c r="A4173" i="122" s="1"/>
  <c r="A4843" i="122" s="1"/>
  <c r="M152" i="122"/>
  <c r="O152" i="122" s="1"/>
  <c r="E822" i="122"/>
  <c r="E1492" i="122" s="1"/>
  <c r="E2162" i="122" s="1"/>
  <c r="E2832" i="122" s="1"/>
  <c r="E3502" i="122" s="1"/>
  <c r="E4172" i="122" s="1"/>
  <c r="E4842" i="122" s="1"/>
  <c r="B822" i="122"/>
  <c r="B1492" i="122" s="1"/>
  <c r="B2162" i="122" s="1"/>
  <c r="B2832" i="122" s="1"/>
  <c r="B3502" i="122" s="1"/>
  <c r="B4172" i="122" s="1"/>
  <c r="B4842" i="122" s="1"/>
  <c r="A822" i="122"/>
  <c r="A1492" i="122" s="1"/>
  <c r="A2162" i="122" s="1"/>
  <c r="A2832" i="122" s="1"/>
  <c r="A3502" i="122" s="1"/>
  <c r="A4172" i="122" s="1"/>
  <c r="A4842" i="122" s="1"/>
  <c r="M151" i="122"/>
  <c r="D821" i="122"/>
  <c r="D1491" i="122" s="1"/>
  <c r="D2161" i="122" s="1"/>
  <c r="D2831" i="122" s="1"/>
  <c r="D3501" i="122" s="1"/>
  <c r="D4171" i="122" s="1"/>
  <c r="D4841" i="122" s="1"/>
  <c r="C821" i="122"/>
  <c r="C1491" i="122" s="1"/>
  <c r="C2161" i="122" s="1"/>
  <c r="C2831" i="122" s="1"/>
  <c r="C3501" i="122" s="1"/>
  <c r="C4171" i="122" s="1"/>
  <c r="C4841" i="122" s="1"/>
  <c r="B821" i="122"/>
  <c r="B1491" i="122" s="1"/>
  <c r="B2161" i="122" s="1"/>
  <c r="B2831" i="122" s="1"/>
  <c r="B3501" i="122" s="1"/>
  <c r="B4171" i="122" s="1"/>
  <c r="B4841" i="122" s="1"/>
  <c r="A821" i="122"/>
  <c r="A1491" i="122" s="1"/>
  <c r="A2161" i="122" s="1"/>
  <c r="A2831" i="122" s="1"/>
  <c r="A3501" i="122" s="1"/>
  <c r="A4171" i="122" s="1"/>
  <c r="A4841" i="122" s="1"/>
  <c r="M150" i="122"/>
  <c r="E820" i="122"/>
  <c r="E1490" i="122" s="1"/>
  <c r="E2160" i="122" s="1"/>
  <c r="E2830" i="122" s="1"/>
  <c r="E3500" i="122" s="1"/>
  <c r="E4170" i="122" s="1"/>
  <c r="E4840" i="122" s="1"/>
  <c r="B820" i="122"/>
  <c r="B1490" i="122" s="1"/>
  <c r="B2160" i="122" s="1"/>
  <c r="B2830" i="122" s="1"/>
  <c r="B3500" i="122" s="1"/>
  <c r="B4170" i="122" s="1"/>
  <c r="B4840" i="122" s="1"/>
  <c r="A820" i="122"/>
  <c r="A1490" i="122" s="1"/>
  <c r="A2160" i="122" s="1"/>
  <c r="A2830" i="122" s="1"/>
  <c r="A3500" i="122" s="1"/>
  <c r="A4170" i="122" s="1"/>
  <c r="A4840" i="122" s="1"/>
  <c r="M149" i="122"/>
  <c r="D819" i="122"/>
  <c r="D1489" i="122" s="1"/>
  <c r="D2159" i="122" s="1"/>
  <c r="D2829" i="122" s="1"/>
  <c r="D3499" i="122" s="1"/>
  <c r="D4169" i="122" s="1"/>
  <c r="D4839" i="122" s="1"/>
  <c r="C819" i="122"/>
  <c r="C1489" i="122" s="1"/>
  <c r="C2159" i="122" s="1"/>
  <c r="C2829" i="122" s="1"/>
  <c r="C3499" i="122" s="1"/>
  <c r="C4169" i="122" s="1"/>
  <c r="C4839" i="122" s="1"/>
  <c r="B819" i="122"/>
  <c r="B1489" i="122" s="1"/>
  <c r="B2159" i="122" s="1"/>
  <c r="B2829" i="122" s="1"/>
  <c r="B3499" i="122" s="1"/>
  <c r="B4169" i="122" s="1"/>
  <c r="B4839" i="122" s="1"/>
  <c r="A819" i="122"/>
  <c r="A1489" i="122" s="1"/>
  <c r="A2159" i="122" s="1"/>
  <c r="A2829" i="122" s="1"/>
  <c r="A3499" i="122" s="1"/>
  <c r="A4169" i="122" s="1"/>
  <c r="A4839" i="122" s="1"/>
  <c r="M148" i="122"/>
  <c r="E818" i="122"/>
  <c r="E1488" i="122" s="1"/>
  <c r="E2158" i="122" s="1"/>
  <c r="E2828" i="122" s="1"/>
  <c r="E3498" i="122" s="1"/>
  <c r="E4168" i="122" s="1"/>
  <c r="E4838" i="122" s="1"/>
  <c r="B818" i="122"/>
  <c r="B1488" i="122" s="1"/>
  <c r="B2158" i="122" s="1"/>
  <c r="B2828" i="122" s="1"/>
  <c r="B3498" i="122" s="1"/>
  <c r="B4168" i="122" s="1"/>
  <c r="B4838" i="122" s="1"/>
  <c r="A818" i="122"/>
  <c r="A1488" i="122" s="1"/>
  <c r="A2158" i="122" s="1"/>
  <c r="A2828" i="122" s="1"/>
  <c r="A3498" i="122" s="1"/>
  <c r="A4168" i="122" s="1"/>
  <c r="A4838" i="122" s="1"/>
  <c r="M147" i="122"/>
  <c r="D817" i="122"/>
  <c r="D1487" i="122" s="1"/>
  <c r="D2157" i="122" s="1"/>
  <c r="D2827" i="122" s="1"/>
  <c r="D3497" i="122" s="1"/>
  <c r="D4167" i="122" s="1"/>
  <c r="D4837" i="122" s="1"/>
  <c r="C817" i="122"/>
  <c r="C1487" i="122" s="1"/>
  <c r="C2157" i="122" s="1"/>
  <c r="C2827" i="122" s="1"/>
  <c r="C3497" i="122" s="1"/>
  <c r="C4167" i="122" s="1"/>
  <c r="C4837" i="122" s="1"/>
  <c r="B817" i="122"/>
  <c r="B1487" i="122" s="1"/>
  <c r="B2157" i="122" s="1"/>
  <c r="B2827" i="122" s="1"/>
  <c r="B3497" i="122" s="1"/>
  <c r="B4167" i="122" s="1"/>
  <c r="B4837" i="122" s="1"/>
  <c r="A817" i="122"/>
  <c r="A1487" i="122" s="1"/>
  <c r="A2157" i="122" s="1"/>
  <c r="A2827" i="122" s="1"/>
  <c r="A3497" i="122" s="1"/>
  <c r="A4167" i="122" s="1"/>
  <c r="A4837" i="122" s="1"/>
  <c r="M146" i="122"/>
  <c r="E816" i="122"/>
  <c r="E1486" i="122" s="1"/>
  <c r="E2156" i="122" s="1"/>
  <c r="E2826" i="122" s="1"/>
  <c r="E3496" i="122" s="1"/>
  <c r="E4166" i="122" s="1"/>
  <c r="E4836" i="122" s="1"/>
  <c r="B816" i="122"/>
  <c r="B1486" i="122" s="1"/>
  <c r="B2156" i="122" s="1"/>
  <c r="B2826" i="122" s="1"/>
  <c r="B3496" i="122" s="1"/>
  <c r="B4166" i="122" s="1"/>
  <c r="B4836" i="122" s="1"/>
  <c r="A816" i="122"/>
  <c r="A1486" i="122" s="1"/>
  <c r="A2156" i="122" s="1"/>
  <c r="A2826" i="122" s="1"/>
  <c r="A3496" i="122" s="1"/>
  <c r="A4166" i="122" s="1"/>
  <c r="A4836" i="122" s="1"/>
  <c r="P145" i="122"/>
  <c r="O145" i="122"/>
  <c r="M145" i="122"/>
  <c r="E815" i="122"/>
  <c r="E1485" i="122" s="1"/>
  <c r="E2155" i="122" s="1"/>
  <c r="E2825" i="122" s="1"/>
  <c r="E3495" i="122" s="1"/>
  <c r="E4165" i="122" s="1"/>
  <c r="E4835" i="122" s="1"/>
  <c r="B815" i="122"/>
  <c r="B1485" i="122" s="1"/>
  <c r="B2155" i="122" s="1"/>
  <c r="B2825" i="122" s="1"/>
  <c r="B3495" i="122" s="1"/>
  <c r="B4165" i="122" s="1"/>
  <c r="B4835" i="122" s="1"/>
  <c r="A815" i="122"/>
  <c r="A1485" i="122" s="1"/>
  <c r="A2155" i="122" s="1"/>
  <c r="A2825" i="122" s="1"/>
  <c r="A3495" i="122" s="1"/>
  <c r="A4165" i="122" s="1"/>
  <c r="A4835" i="122" s="1"/>
  <c r="M144" i="122"/>
  <c r="O144" i="122" s="1"/>
  <c r="E814" i="122"/>
  <c r="E1484" i="122" s="1"/>
  <c r="E2154" i="122" s="1"/>
  <c r="E2824" i="122" s="1"/>
  <c r="E3494" i="122" s="1"/>
  <c r="E4164" i="122" s="1"/>
  <c r="E4834" i="122" s="1"/>
  <c r="B814" i="122"/>
  <c r="B1484" i="122" s="1"/>
  <c r="B2154" i="122" s="1"/>
  <c r="B2824" i="122" s="1"/>
  <c r="B3494" i="122" s="1"/>
  <c r="B4164" i="122" s="1"/>
  <c r="B4834" i="122" s="1"/>
  <c r="A814" i="122"/>
  <c r="A1484" i="122" s="1"/>
  <c r="A2154" i="122" s="1"/>
  <c r="A2824" i="122" s="1"/>
  <c r="A3494" i="122" s="1"/>
  <c r="A4164" i="122" s="1"/>
  <c r="A4834" i="122" s="1"/>
  <c r="M143" i="122"/>
  <c r="E813" i="122"/>
  <c r="E1483" i="122" s="1"/>
  <c r="E2153" i="122" s="1"/>
  <c r="E2823" i="122" s="1"/>
  <c r="E3493" i="122" s="1"/>
  <c r="E4163" i="122" s="1"/>
  <c r="E4833" i="122" s="1"/>
  <c r="B813" i="122"/>
  <c r="B1483" i="122" s="1"/>
  <c r="B2153" i="122" s="1"/>
  <c r="B2823" i="122" s="1"/>
  <c r="B3493" i="122" s="1"/>
  <c r="B4163" i="122" s="1"/>
  <c r="B4833" i="122" s="1"/>
  <c r="A813" i="122"/>
  <c r="A1483" i="122" s="1"/>
  <c r="A2153" i="122" s="1"/>
  <c r="A2823" i="122" s="1"/>
  <c r="A3493" i="122" s="1"/>
  <c r="A4163" i="122" s="1"/>
  <c r="A4833" i="122" s="1"/>
  <c r="M142" i="122"/>
  <c r="D812" i="122"/>
  <c r="D1482" i="122" s="1"/>
  <c r="D2152" i="122" s="1"/>
  <c r="D2822" i="122" s="1"/>
  <c r="D3492" i="122" s="1"/>
  <c r="D4162" i="122" s="1"/>
  <c r="D4832" i="122" s="1"/>
  <c r="C812" i="122"/>
  <c r="C1482" i="122" s="1"/>
  <c r="C2152" i="122" s="1"/>
  <c r="C2822" i="122" s="1"/>
  <c r="C3492" i="122" s="1"/>
  <c r="C4162" i="122" s="1"/>
  <c r="C4832" i="122" s="1"/>
  <c r="B812" i="122"/>
  <c r="B1482" i="122" s="1"/>
  <c r="B2152" i="122" s="1"/>
  <c r="B2822" i="122" s="1"/>
  <c r="B3492" i="122" s="1"/>
  <c r="B4162" i="122" s="1"/>
  <c r="B4832" i="122" s="1"/>
  <c r="A812" i="122"/>
  <c r="A1482" i="122" s="1"/>
  <c r="A2152" i="122" s="1"/>
  <c r="A2822" i="122" s="1"/>
  <c r="A3492" i="122" s="1"/>
  <c r="A4162" i="122" s="1"/>
  <c r="A4832" i="122" s="1"/>
  <c r="M141" i="122"/>
  <c r="O141" i="122" s="1"/>
  <c r="E811" i="122"/>
  <c r="E1481" i="122" s="1"/>
  <c r="E2151" i="122" s="1"/>
  <c r="E2821" i="122" s="1"/>
  <c r="E3491" i="122" s="1"/>
  <c r="E4161" i="122" s="1"/>
  <c r="E4831" i="122" s="1"/>
  <c r="B811" i="122"/>
  <c r="B1481" i="122" s="1"/>
  <c r="B2151" i="122" s="1"/>
  <c r="B2821" i="122" s="1"/>
  <c r="B3491" i="122" s="1"/>
  <c r="B4161" i="122" s="1"/>
  <c r="B4831" i="122" s="1"/>
  <c r="A811" i="122"/>
  <c r="A1481" i="122" s="1"/>
  <c r="A2151" i="122" s="1"/>
  <c r="A2821" i="122" s="1"/>
  <c r="A3491" i="122" s="1"/>
  <c r="A4161" i="122" s="1"/>
  <c r="A4831" i="122" s="1"/>
  <c r="M140" i="122"/>
  <c r="O140" i="122" s="1"/>
  <c r="E810" i="122"/>
  <c r="E1480" i="122" s="1"/>
  <c r="E2150" i="122" s="1"/>
  <c r="E2820" i="122" s="1"/>
  <c r="E3490" i="122" s="1"/>
  <c r="E4160" i="122" s="1"/>
  <c r="E4830" i="122" s="1"/>
  <c r="B810" i="122"/>
  <c r="B1480" i="122" s="1"/>
  <c r="B2150" i="122" s="1"/>
  <c r="B2820" i="122" s="1"/>
  <c r="B3490" i="122" s="1"/>
  <c r="B4160" i="122" s="1"/>
  <c r="B4830" i="122" s="1"/>
  <c r="A810" i="122"/>
  <c r="A1480" i="122" s="1"/>
  <c r="A2150" i="122" s="1"/>
  <c r="A2820" i="122" s="1"/>
  <c r="A3490" i="122" s="1"/>
  <c r="A4160" i="122" s="1"/>
  <c r="A4830" i="122" s="1"/>
  <c r="M139" i="122"/>
  <c r="E809" i="122"/>
  <c r="E1479" i="122" s="1"/>
  <c r="E2149" i="122" s="1"/>
  <c r="E2819" i="122" s="1"/>
  <c r="E3489" i="122" s="1"/>
  <c r="E4159" i="122" s="1"/>
  <c r="E4829" i="122" s="1"/>
  <c r="B809" i="122"/>
  <c r="B1479" i="122" s="1"/>
  <c r="B2149" i="122" s="1"/>
  <c r="B2819" i="122" s="1"/>
  <c r="B3489" i="122" s="1"/>
  <c r="B4159" i="122" s="1"/>
  <c r="B4829" i="122" s="1"/>
  <c r="A809" i="122"/>
  <c r="A1479" i="122" s="1"/>
  <c r="A2149" i="122" s="1"/>
  <c r="A2819" i="122" s="1"/>
  <c r="A3489" i="122" s="1"/>
  <c r="A4159" i="122" s="1"/>
  <c r="A4829" i="122" s="1"/>
  <c r="M138" i="122"/>
  <c r="E808" i="122"/>
  <c r="E1478" i="122" s="1"/>
  <c r="E2148" i="122" s="1"/>
  <c r="E2818" i="122" s="1"/>
  <c r="E3488" i="122" s="1"/>
  <c r="E4158" i="122" s="1"/>
  <c r="E4828" i="122" s="1"/>
  <c r="B808" i="122"/>
  <c r="B1478" i="122" s="1"/>
  <c r="B2148" i="122" s="1"/>
  <c r="B2818" i="122" s="1"/>
  <c r="B3488" i="122" s="1"/>
  <c r="B4158" i="122" s="1"/>
  <c r="B4828" i="122" s="1"/>
  <c r="A808" i="122"/>
  <c r="A1478" i="122" s="1"/>
  <c r="A2148" i="122" s="1"/>
  <c r="A2818" i="122" s="1"/>
  <c r="A3488" i="122" s="1"/>
  <c r="A4158" i="122" s="1"/>
  <c r="A4828" i="122" s="1"/>
  <c r="P137" i="122"/>
  <c r="O137" i="122"/>
  <c r="M137" i="122"/>
  <c r="D807" i="122"/>
  <c r="D1477" i="122" s="1"/>
  <c r="D2147" i="122" s="1"/>
  <c r="D2817" i="122" s="1"/>
  <c r="D3487" i="122" s="1"/>
  <c r="D4157" i="122" s="1"/>
  <c r="D4827" i="122" s="1"/>
  <c r="C807" i="122"/>
  <c r="C1477" i="122" s="1"/>
  <c r="C2147" i="122" s="1"/>
  <c r="C2817" i="122" s="1"/>
  <c r="C3487" i="122" s="1"/>
  <c r="C4157" i="122" s="1"/>
  <c r="C4827" i="122" s="1"/>
  <c r="B807" i="122"/>
  <c r="B1477" i="122" s="1"/>
  <c r="B2147" i="122" s="1"/>
  <c r="B2817" i="122" s="1"/>
  <c r="B3487" i="122" s="1"/>
  <c r="B4157" i="122" s="1"/>
  <c r="B4827" i="122" s="1"/>
  <c r="A807" i="122"/>
  <c r="A1477" i="122" s="1"/>
  <c r="A2147" i="122" s="1"/>
  <c r="A2817" i="122" s="1"/>
  <c r="A3487" i="122" s="1"/>
  <c r="A4157" i="122" s="1"/>
  <c r="A4827" i="122" s="1"/>
  <c r="M136" i="122"/>
  <c r="E806" i="122"/>
  <c r="E1476" i="122" s="1"/>
  <c r="E2146" i="122" s="1"/>
  <c r="E2816" i="122" s="1"/>
  <c r="E3486" i="122" s="1"/>
  <c r="E4156" i="122" s="1"/>
  <c r="E4826" i="122" s="1"/>
  <c r="B806" i="122"/>
  <c r="B1476" i="122" s="1"/>
  <c r="B2146" i="122" s="1"/>
  <c r="B2816" i="122" s="1"/>
  <c r="B3486" i="122" s="1"/>
  <c r="B4156" i="122" s="1"/>
  <c r="B4826" i="122" s="1"/>
  <c r="A806" i="122"/>
  <c r="A1476" i="122" s="1"/>
  <c r="A2146" i="122" s="1"/>
  <c r="A2816" i="122" s="1"/>
  <c r="A3486" i="122" s="1"/>
  <c r="A4156" i="122" s="1"/>
  <c r="A4826" i="122" s="1"/>
  <c r="M135" i="122"/>
  <c r="E805" i="122"/>
  <c r="E1475" i="122" s="1"/>
  <c r="E2145" i="122" s="1"/>
  <c r="E2815" i="122" s="1"/>
  <c r="E3485" i="122" s="1"/>
  <c r="E4155" i="122" s="1"/>
  <c r="E4825" i="122" s="1"/>
  <c r="B805" i="122"/>
  <c r="B1475" i="122" s="1"/>
  <c r="B2145" i="122" s="1"/>
  <c r="B2815" i="122" s="1"/>
  <c r="B3485" i="122" s="1"/>
  <c r="B4155" i="122" s="1"/>
  <c r="B4825" i="122" s="1"/>
  <c r="A805" i="122"/>
  <c r="A1475" i="122" s="1"/>
  <c r="A2145" i="122" s="1"/>
  <c r="A2815" i="122" s="1"/>
  <c r="A3485" i="122" s="1"/>
  <c r="A4155" i="122" s="1"/>
  <c r="A4825" i="122" s="1"/>
  <c r="M134" i="122"/>
  <c r="E804" i="122"/>
  <c r="E1474" i="122" s="1"/>
  <c r="E2144" i="122" s="1"/>
  <c r="E2814" i="122" s="1"/>
  <c r="E3484" i="122" s="1"/>
  <c r="E4154" i="122" s="1"/>
  <c r="E4824" i="122" s="1"/>
  <c r="B804" i="122"/>
  <c r="B1474" i="122" s="1"/>
  <c r="B2144" i="122" s="1"/>
  <c r="B2814" i="122" s="1"/>
  <c r="B3484" i="122" s="1"/>
  <c r="B4154" i="122" s="1"/>
  <c r="B4824" i="122" s="1"/>
  <c r="A804" i="122"/>
  <c r="A1474" i="122" s="1"/>
  <c r="A2144" i="122" s="1"/>
  <c r="A2814" i="122" s="1"/>
  <c r="A3484" i="122" s="1"/>
  <c r="A4154" i="122" s="1"/>
  <c r="A4824" i="122" s="1"/>
  <c r="M133" i="122"/>
  <c r="E803" i="122"/>
  <c r="E1473" i="122" s="1"/>
  <c r="E2143" i="122" s="1"/>
  <c r="E2813" i="122" s="1"/>
  <c r="E3483" i="122" s="1"/>
  <c r="E4153" i="122" s="1"/>
  <c r="E4823" i="122" s="1"/>
  <c r="B803" i="122"/>
  <c r="B1473" i="122" s="1"/>
  <c r="B2143" i="122" s="1"/>
  <c r="B2813" i="122" s="1"/>
  <c r="B3483" i="122" s="1"/>
  <c r="B4153" i="122" s="1"/>
  <c r="B4823" i="122" s="1"/>
  <c r="A803" i="122"/>
  <c r="A1473" i="122" s="1"/>
  <c r="A2143" i="122" s="1"/>
  <c r="A2813" i="122" s="1"/>
  <c r="A3483" i="122" s="1"/>
  <c r="A4153" i="122" s="1"/>
  <c r="A4823" i="122" s="1"/>
  <c r="M132" i="122"/>
  <c r="E802" i="122"/>
  <c r="E1472" i="122" s="1"/>
  <c r="E2142" i="122" s="1"/>
  <c r="E2812" i="122" s="1"/>
  <c r="E3482" i="122" s="1"/>
  <c r="E4152" i="122" s="1"/>
  <c r="E4822" i="122" s="1"/>
  <c r="B802" i="122"/>
  <c r="B1472" i="122" s="1"/>
  <c r="B2142" i="122" s="1"/>
  <c r="B2812" i="122" s="1"/>
  <c r="B3482" i="122" s="1"/>
  <c r="B4152" i="122" s="1"/>
  <c r="B4822" i="122" s="1"/>
  <c r="A802" i="122"/>
  <c r="A1472" i="122" s="1"/>
  <c r="A2142" i="122" s="1"/>
  <c r="A2812" i="122" s="1"/>
  <c r="A3482" i="122" s="1"/>
  <c r="A4152" i="122" s="1"/>
  <c r="A4822" i="122" s="1"/>
  <c r="M131" i="122"/>
  <c r="D801" i="122"/>
  <c r="D1471" i="122" s="1"/>
  <c r="D2141" i="122" s="1"/>
  <c r="D2811" i="122" s="1"/>
  <c r="D3481" i="122" s="1"/>
  <c r="D4151" i="122" s="1"/>
  <c r="D4821" i="122" s="1"/>
  <c r="C801" i="122"/>
  <c r="C1471" i="122" s="1"/>
  <c r="C2141" i="122" s="1"/>
  <c r="C2811" i="122" s="1"/>
  <c r="C3481" i="122" s="1"/>
  <c r="C4151" i="122" s="1"/>
  <c r="C4821" i="122" s="1"/>
  <c r="B801" i="122"/>
  <c r="B1471" i="122" s="1"/>
  <c r="B2141" i="122" s="1"/>
  <c r="B2811" i="122" s="1"/>
  <c r="B3481" i="122" s="1"/>
  <c r="B4151" i="122" s="1"/>
  <c r="B4821" i="122" s="1"/>
  <c r="A801" i="122"/>
  <c r="A1471" i="122" s="1"/>
  <c r="A2141" i="122" s="1"/>
  <c r="A2811" i="122" s="1"/>
  <c r="A3481" i="122" s="1"/>
  <c r="A4151" i="122" s="1"/>
  <c r="A4821" i="122" s="1"/>
  <c r="M130" i="122"/>
  <c r="E800" i="122"/>
  <c r="E1470" i="122" s="1"/>
  <c r="E2140" i="122" s="1"/>
  <c r="E2810" i="122" s="1"/>
  <c r="E3480" i="122" s="1"/>
  <c r="E4150" i="122" s="1"/>
  <c r="E4820" i="122" s="1"/>
  <c r="B800" i="122"/>
  <c r="B1470" i="122" s="1"/>
  <c r="B2140" i="122" s="1"/>
  <c r="B2810" i="122" s="1"/>
  <c r="B3480" i="122" s="1"/>
  <c r="B4150" i="122" s="1"/>
  <c r="B4820" i="122" s="1"/>
  <c r="A800" i="122"/>
  <c r="A1470" i="122" s="1"/>
  <c r="A2140" i="122" s="1"/>
  <c r="A2810" i="122" s="1"/>
  <c r="A3480" i="122" s="1"/>
  <c r="A4150" i="122" s="1"/>
  <c r="A4820" i="122" s="1"/>
  <c r="M129" i="122"/>
  <c r="E799" i="122"/>
  <c r="E1469" i="122" s="1"/>
  <c r="E2139" i="122" s="1"/>
  <c r="E2809" i="122" s="1"/>
  <c r="E3479" i="122" s="1"/>
  <c r="E4149" i="122" s="1"/>
  <c r="E4819" i="122" s="1"/>
  <c r="B799" i="122"/>
  <c r="B1469" i="122" s="1"/>
  <c r="B2139" i="122" s="1"/>
  <c r="B2809" i="122" s="1"/>
  <c r="B3479" i="122" s="1"/>
  <c r="B4149" i="122" s="1"/>
  <c r="B4819" i="122" s="1"/>
  <c r="A799" i="122"/>
  <c r="A1469" i="122" s="1"/>
  <c r="A2139" i="122" s="1"/>
  <c r="A2809" i="122" s="1"/>
  <c r="A3479" i="122" s="1"/>
  <c r="A4149" i="122" s="1"/>
  <c r="A4819" i="122" s="1"/>
  <c r="M128" i="122"/>
  <c r="E798" i="122"/>
  <c r="E1468" i="122" s="1"/>
  <c r="E2138" i="122" s="1"/>
  <c r="E2808" i="122" s="1"/>
  <c r="E3478" i="122" s="1"/>
  <c r="E4148" i="122" s="1"/>
  <c r="E4818" i="122" s="1"/>
  <c r="B798" i="122"/>
  <c r="B1468" i="122" s="1"/>
  <c r="B2138" i="122" s="1"/>
  <c r="B2808" i="122" s="1"/>
  <c r="B3478" i="122" s="1"/>
  <c r="B4148" i="122" s="1"/>
  <c r="B4818" i="122" s="1"/>
  <c r="A798" i="122"/>
  <c r="A1468" i="122" s="1"/>
  <c r="A2138" i="122" s="1"/>
  <c r="A2808" i="122" s="1"/>
  <c r="A3478" i="122" s="1"/>
  <c r="A4148" i="122" s="1"/>
  <c r="A4818" i="122" s="1"/>
  <c r="M127" i="122"/>
  <c r="E797" i="122"/>
  <c r="E1467" i="122" s="1"/>
  <c r="E2137" i="122" s="1"/>
  <c r="E2807" i="122" s="1"/>
  <c r="E3477" i="122" s="1"/>
  <c r="E4147" i="122" s="1"/>
  <c r="E4817" i="122" s="1"/>
  <c r="B797" i="122"/>
  <c r="B1467" i="122" s="1"/>
  <c r="B2137" i="122" s="1"/>
  <c r="B2807" i="122" s="1"/>
  <c r="B3477" i="122" s="1"/>
  <c r="B4147" i="122" s="1"/>
  <c r="B4817" i="122" s="1"/>
  <c r="A797" i="122"/>
  <c r="A1467" i="122" s="1"/>
  <c r="A2137" i="122" s="1"/>
  <c r="A2807" i="122" s="1"/>
  <c r="A3477" i="122" s="1"/>
  <c r="A4147" i="122" s="1"/>
  <c r="A4817" i="122" s="1"/>
  <c r="M126" i="122"/>
  <c r="E796" i="122"/>
  <c r="E1466" i="122" s="1"/>
  <c r="E2136" i="122" s="1"/>
  <c r="E2806" i="122" s="1"/>
  <c r="E3476" i="122" s="1"/>
  <c r="E4146" i="122" s="1"/>
  <c r="E4816" i="122" s="1"/>
  <c r="B796" i="122"/>
  <c r="B1466" i="122" s="1"/>
  <c r="B2136" i="122" s="1"/>
  <c r="B2806" i="122" s="1"/>
  <c r="B3476" i="122" s="1"/>
  <c r="B4146" i="122" s="1"/>
  <c r="B4816" i="122" s="1"/>
  <c r="A796" i="122"/>
  <c r="A1466" i="122" s="1"/>
  <c r="A2136" i="122" s="1"/>
  <c r="A2806" i="122" s="1"/>
  <c r="A3476" i="122" s="1"/>
  <c r="A4146" i="122" s="1"/>
  <c r="A4816" i="122" s="1"/>
  <c r="M125" i="122"/>
  <c r="E795" i="122"/>
  <c r="E1465" i="122" s="1"/>
  <c r="E2135" i="122" s="1"/>
  <c r="E2805" i="122" s="1"/>
  <c r="E3475" i="122" s="1"/>
  <c r="E4145" i="122" s="1"/>
  <c r="E4815" i="122" s="1"/>
  <c r="B795" i="122"/>
  <c r="B1465" i="122" s="1"/>
  <c r="B2135" i="122" s="1"/>
  <c r="B2805" i="122" s="1"/>
  <c r="B3475" i="122" s="1"/>
  <c r="B4145" i="122" s="1"/>
  <c r="B4815" i="122" s="1"/>
  <c r="A795" i="122"/>
  <c r="A1465" i="122" s="1"/>
  <c r="A2135" i="122" s="1"/>
  <c r="A2805" i="122" s="1"/>
  <c r="A3475" i="122" s="1"/>
  <c r="A4145" i="122" s="1"/>
  <c r="A4815" i="122" s="1"/>
  <c r="M124" i="122"/>
  <c r="O124" i="122" s="1"/>
  <c r="D794" i="122"/>
  <c r="D1464" i="122" s="1"/>
  <c r="D2134" i="122" s="1"/>
  <c r="D2804" i="122" s="1"/>
  <c r="D3474" i="122" s="1"/>
  <c r="D4144" i="122" s="1"/>
  <c r="D4814" i="122" s="1"/>
  <c r="C794" i="122"/>
  <c r="C1464" i="122" s="1"/>
  <c r="C2134" i="122" s="1"/>
  <c r="C2804" i="122" s="1"/>
  <c r="C3474" i="122" s="1"/>
  <c r="C4144" i="122" s="1"/>
  <c r="C4814" i="122" s="1"/>
  <c r="B794" i="122"/>
  <c r="B1464" i="122" s="1"/>
  <c r="B2134" i="122" s="1"/>
  <c r="B2804" i="122" s="1"/>
  <c r="B3474" i="122" s="1"/>
  <c r="B4144" i="122" s="1"/>
  <c r="B4814" i="122" s="1"/>
  <c r="A794" i="122"/>
  <c r="A1464" i="122" s="1"/>
  <c r="A2134" i="122" s="1"/>
  <c r="A2804" i="122" s="1"/>
  <c r="A3474" i="122" s="1"/>
  <c r="A4144" i="122" s="1"/>
  <c r="A4814" i="122" s="1"/>
  <c r="M123" i="122"/>
  <c r="E793" i="122"/>
  <c r="E1463" i="122" s="1"/>
  <c r="E2133" i="122" s="1"/>
  <c r="E2803" i="122" s="1"/>
  <c r="E3473" i="122" s="1"/>
  <c r="E4143" i="122" s="1"/>
  <c r="E4813" i="122" s="1"/>
  <c r="B793" i="122"/>
  <c r="B1463" i="122" s="1"/>
  <c r="B2133" i="122" s="1"/>
  <c r="B2803" i="122" s="1"/>
  <c r="B3473" i="122" s="1"/>
  <c r="B4143" i="122" s="1"/>
  <c r="B4813" i="122" s="1"/>
  <c r="A793" i="122"/>
  <c r="A1463" i="122" s="1"/>
  <c r="A2133" i="122" s="1"/>
  <c r="A2803" i="122" s="1"/>
  <c r="A3473" i="122" s="1"/>
  <c r="A4143" i="122" s="1"/>
  <c r="A4813" i="122" s="1"/>
  <c r="M122" i="122"/>
  <c r="E792" i="122"/>
  <c r="E1462" i="122" s="1"/>
  <c r="E2132" i="122" s="1"/>
  <c r="E2802" i="122" s="1"/>
  <c r="E3472" i="122" s="1"/>
  <c r="E4142" i="122" s="1"/>
  <c r="E4812" i="122" s="1"/>
  <c r="B792" i="122"/>
  <c r="B1462" i="122" s="1"/>
  <c r="B2132" i="122" s="1"/>
  <c r="B2802" i="122" s="1"/>
  <c r="B3472" i="122" s="1"/>
  <c r="B4142" i="122" s="1"/>
  <c r="B4812" i="122" s="1"/>
  <c r="A792" i="122"/>
  <c r="A1462" i="122" s="1"/>
  <c r="A2132" i="122" s="1"/>
  <c r="A2802" i="122" s="1"/>
  <c r="A3472" i="122" s="1"/>
  <c r="A4142" i="122" s="1"/>
  <c r="A4812" i="122" s="1"/>
  <c r="M121" i="122"/>
  <c r="E791" i="122"/>
  <c r="E1461" i="122" s="1"/>
  <c r="E2131" i="122" s="1"/>
  <c r="E2801" i="122" s="1"/>
  <c r="E3471" i="122" s="1"/>
  <c r="E4141" i="122" s="1"/>
  <c r="E4811" i="122" s="1"/>
  <c r="B791" i="122"/>
  <c r="B1461" i="122" s="1"/>
  <c r="B2131" i="122" s="1"/>
  <c r="B2801" i="122" s="1"/>
  <c r="B3471" i="122" s="1"/>
  <c r="B4141" i="122" s="1"/>
  <c r="B4811" i="122" s="1"/>
  <c r="A791" i="122"/>
  <c r="A1461" i="122" s="1"/>
  <c r="A2131" i="122" s="1"/>
  <c r="A2801" i="122" s="1"/>
  <c r="A3471" i="122" s="1"/>
  <c r="A4141" i="122" s="1"/>
  <c r="A4811" i="122" s="1"/>
  <c r="M120" i="122"/>
  <c r="E790" i="122"/>
  <c r="E1460" i="122" s="1"/>
  <c r="E2130" i="122" s="1"/>
  <c r="E2800" i="122" s="1"/>
  <c r="E3470" i="122" s="1"/>
  <c r="E4140" i="122" s="1"/>
  <c r="E4810" i="122" s="1"/>
  <c r="B790" i="122"/>
  <c r="B1460" i="122" s="1"/>
  <c r="B2130" i="122" s="1"/>
  <c r="B2800" i="122" s="1"/>
  <c r="B3470" i="122" s="1"/>
  <c r="B4140" i="122" s="1"/>
  <c r="B4810" i="122" s="1"/>
  <c r="A790" i="122"/>
  <c r="A1460" i="122" s="1"/>
  <c r="A2130" i="122" s="1"/>
  <c r="A2800" i="122" s="1"/>
  <c r="A3470" i="122" s="1"/>
  <c r="A4140" i="122" s="1"/>
  <c r="A4810" i="122" s="1"/>
  <c r="M119" i="122"/>
  <c r="E789" i="122"/>
  <c r="E1459" i="122" s="1"/>
  <c r="E2129" i="122" s="1"/>
  <c r="E2799" i="122" s="1"/>
  <c r="E3469" i="122" s="1"/>
  <c r="E4139" i="122" s="1"/>
  <c r="E4809" i="122" s="1"/>
  <c r="B789" i="122"/>
  <c r="B1459" i="122" s="1"/>
  <c r="B2129" i="122" s="1"/>
  <c r="B2799" i="122" s="1"/>
  <c r="B3469" i="122" s="1"/>
  <c r="B4139" i="122" s="1"/>
  <c r="B4809" i="122" s="1"/>
  <c r="A789" i="122"/>
  <c r="A1459" i="122" s="1"/>
  <c r="A2129" i="122" s="1"/>
  <c r="A2799" i="122" s="1"/>
  <c r="A3469" i="122" s="1"/>
  <c r="A4139" i="122" s="1"/>
  <c r="A4809" i="122" s="1"/>
  <c r="M118" i="122"/>
  <c r="D788" i="122"/>
  <c r="D1458" i="122" s="1"/>
  <c r="D2128" i="122" s="1"/>
  <c r="D2798" i="122" s="1"/>
  <c r="D3468" i="122" s="1"/>
  <c r="D4138" i="122" s="1"/>
  <c r="D4808" i="122" s="1"/>
  <c r="C788" i="122"/>
  <c r="C1458" i="122" s="1"/>
  <c r="C2128" i="122" s="1"/>
  <c r="C2798" i="122" s="1"/>
  <c r="C3468" i="122" s="1"/>
  <c r="C4138" i="122" s="1"/>
  <c r="C4808" i="122" s="1"/>
  <c r="B788" i="122"/>
  <c r="B1458" i="122" s="1"/>
  <c r="B2128" i="122" s="1"/>
  <c r="B2798" i="122" s="1"/>
  <c r="B3468" i="122" s="1"/>
  <c r="B4138" i="122" s="1"/>
  <c r="B4808" i="122" s="1"/>
  <c r="A788" i="122"/>
  <c r="A1458" i="122" s="1"/>
  <c r="A2128" i="122" s="1"/>
  <c r="A2798" i="122" s="1"/>
  <c r="A3468" i="122" s="1"/>
  <c r="A4138" i="122" s="1"/>
  <c r="A4808" i="122" s="1"/>
  <c r="M117" i="122"/>
  <c r="E787" i="122"/>
  <c r="E1457" i="122" s="1"/>
  <c r="E2127" i="122" s="1"/>
  <c r="E2797" i="122" s="1"/>
  <c r="E3467" i="122" s="1"/>
  <c r="E4137" i="122" s="1"/>
  <c r="E4807" i="122" s="1"/>
  <c r="B787" i="122"/>
  <c r="B1457" i="122" s="1"/>
  <c r="B2127" i="122" s="1"/>
  <c r="B2797" i="122" s="1"/>
  <c r="B3467" i="122" s="1"/>
  <c r="B4137" i="122" s="1"/>
  <c r="B4807" i="122" s="1"/>
  <c r="A787" i="122"/>
  <c r="A1457" i="122" s="1"/>
  <c r="A2127" i="122" s="1"/>
  <c r="A2797" i="122" s="1"/>
  <c r="A3467" i="122" s="1"/>
  <c r="A4137" i="122" s="1"/>
  <c r="A4807" i="122" s="1"/>
  <c r="M116" i="122"/>
  <c r="O116" i="122" s="1"/>
  <c r="E786" i="122"/>
  <c r="E1456" i="122" s="1"/>
  <c r="E2126" i="122" s="1"/>
  <c r="E2796" i="122" s="1"/>
  <c r="E3466" i="122" s="1"/>
  <c r="E4136" i="122" s="1"/>
  <c r="E4806" i="122" s="1"/>
  <c r="B786" i="122"/>
  <c r="B1456" i="122" s="1"/>
  <c r="B2126" i="122" s="1"/>
  <c r="B2796" i="122" s="1"/>
  <c r="B3466" i="122" s="1"/>
  <c r="B4136" i="122" s="1"/>
  <c r="B4806" i="122" s="1"/>
  <c r="A786" i="122"/>
  <c r="A1456" i="122" s="1"/>
  <c r="A2126" i="122" s="1"/>
  <c r="A2796" i="122" s="1"/>
  <c r="A3466" i="122" s="1"/>
  <c r="A4136" i="122" s="1"/>
  <c r="A4806" i="122" s="1"/>
  <c r="M115" i="122"/>
  <c r="E785" i="122"/>
  <c r="E1455" i="122" s="1"/>
  <c r="E2125" i="122" s="1"/>
  <c r="E2795" i="122" s="1"/>
  <c r="E3465" i="122" s="1"/>
  <c r="E4135" i="122" s="1"/>
  <c r="E4805" i="122" s="1"/>
  <c r="B785" i="122"/>
  <c r="B1455" i="122" s="1"/>
  <c r="B2125" i="122" s="1"/>
  <c r="B2795" i="122" s="1"/>
  <c r="B3465" i="122" s="1"/>
  <c r="B4135" i="122" s="1"/>
  <c r="B4805" i="122" s="1"/>
  <c r="A785" i="122"/>
  <c r="A1455" i="122" s="1"/>
  <c r="A2125" i="122" s="1"/>
  <c r="A2795" i="122" s="1"/>
  <c r="A3465" i="122" s="1"/>
  <c r="A4135" i="122" s="1"/>
  <c r="A4805" i="122" s="1"/>
  <c r="M114" i="122"/>
  <c r="D784" i="122"/>
  <c r="D1454" i="122" s="1"/>
  <c r="D2124" i="122" s="1"/>
  <c r="D2794" i="122" s="1"/>
  <c r="D3464" i="122" s="1"/>
  <c r="D4134" i="122" s="1"/>
  <c r="D4804" i="122" s="1"/>
  <c r="C784" i="122"/>
  <c r="C1454" i="122" s="1"/>
  <c r="C2124" i="122" s="1"/>
  <c r="C2794" i="122" s="1"/>
  <c r="C3464" i="122" s="1"/>
  <c r="C4134" i="122" s="1"/>
  <c r="C4804" i="122" s="1"/>
  <c r="B784" i="122"/>
  <c r="B1454" i="122" s="1"/>
  <c r="B2124" i="122" s="1"/>
  <c r="B2794" i="122" s="1"/>
  <c r="B3464" i="122" s="1"/>
  <c r="B4134" i="122" s="1"/>
  <c r="B4804" i="122" s="1"/>
  <c r="A784" i="122"/>
  <c r="A1454" i="122" s="1"/>
  <c r="A2124" i="122" s="1"/>
  <c r="A2794" i="122" s="1"/>
  <c r="A3464" i="122" s="1"/>
  <c r="A4134" i="122" s="1"/>
  <c r="A4804" i="122" s="1"/>
  <c r="M113" i="122"/>
  <c r="E783" i="122"/>
  <c r="E1453" i="122" s="1"/>
  <c r="E2123" i="122" s="1"/>
  <c r="E2793" i="122" s="1"/>
  <c r="E3463" i="122" s="1"/>
  <c r="E4133" i="122" s="1"/>
  <c r="E4803" i="122" s="1"/>
  <c r="B783" i="122"/>
  <c r="B1453" i="122" s="1"/>
  <c r="B2123" i="122" s="1"/>
  <c r="B2793" i="122" s="1"/>
  <c r="B3463" i="122" s="1"/>
  <c r="B4133" i="122" s="1"/>
  <c r="B4803" i="122" s="1"/>
  <c r="A783" i="122"/>
  <c r="A1453" i="122" s="1"/>
  <c r="A2123" i="122" s="1"/>
  <c r="A2793" i="122" s="1"/>
  <c r="A3463" i="122" s="1"/>
  <c r="A4133" i="122" s="1"/>
  <c r="A4803" i="122" s="1"/>
  <c r="M112" i="122"/>
  <c r="E782" i="122"/>
  <c r="E1452" i="122" s="1"/>
  <c r="E2122" i="122" s="1"/>
  <c r="E2792" i="122" s="1"/>
  <c r="E3462" i="122" s="1"/>
  <c r="E4132" i="122" s="1"/>
  <c r="E4802" i="122" s="1"/>
  <c r="B782" i="122"/>
  <c r="B1452" i="122" s="1"/>
  <c r="B2122" i="122" s="1"/>
  <c r="B2792" i="122" s="1"/>
  <c r="B3462" i="122" s="1"/>
  <c r="B4132" i="122" s="1"/>
  <c r="B4802" i="122" s="1"/>
  <c r="A782" i="122"/>
  <c r="A1452" i="122" s="1"/>
  <c r="A2122" i="122" s="1"/>
  <c r="A2792" i="122" s="1"/>
  <c r="A3462" i="122" s="1"/>
  <c r="A4132" i="122" s="1"/>
  <c r="A4802" i="122" s="1"/>
  <c r="M111" i="122"/>
  <c r="E781" i="122"/>
  <c r="E1451" i="122" s="1"/>
  <c r="E2121" i="122" s="1"/>
  <c r="E2791" i="122" s="1"/>
  <c r="E3461" i="122" s="1"/>
  <c r="E4131" i="122" s="1"/>
  <c r="E4801" i="122" s="1"/>
  <c r="B781" i="122"/>
  <c r="B1451" i="122" s="1"/>
  <c r="B2121" i="122" s="1"/>
  <c r="B2791" i="122" s="1"/>
  <c r="B3461" i="122" s="1"/>
  <c r="B4131" i="122" s="1"/>
  <c r="B4801" i="122" s="1"/>
  <c r="A781" i="122"/>
  <c r="A1451" i="122" s="1"/>
  <c r="A2121" i="122" s="1"/>
  <c r="A2791" i="122" s="1"/>
  <c r="A3461" i="122" s="1"/>
  <c r="A4131" i="122" s="1"/>
  <c r="A4801" i="122" s="1"/>
  <c r="M110" i="122"/>
  <c r="E780" i="122"/>
  <c r="E1450" i="122" s="1"/>
  <c r="E2120" i="122" s="1"/>
  <c r="E2790" i="122" s="1"/>
  <c r="E3460" i="122" s="1"/>
  <c r="E4130" i="122" s="1"/>
  <c r="E4800" i="122" s="1"/>
  <c r="B780" i="122"/>
  <c r="B1450" i="122" s="1"/>
  <c r="B2120" i="122" s="1"/>
  <c r="B2790" i="122" s="1"/>
  <c r="B3460" i="122" s="1"/>
  <c r="B4130" i="122" s="1"/>
  <c r="B4800" i="122" s="1"/>
  <c r="A780" i="122"/>
  <c r="A1450" i="122" s="1"/>
  <c r="A2120" i="122" s="1"/>
  <c r="A2790" i="122" s="1"/>
  <c r="A3460" i="122" s="1"/>
  <c r="A4130" i="122" s="1"/>
  <c r="A4800" i="122" s="1"/>
  <c r="M109" i="122"/>
  <c r="O109" i="122" s="1"/>
  <c r="P109" i="122" s="1"/>
  <c r="D779" i="122"/>
  <c r="D1449" i="122" s="1"/>
  <c r="D2119" i="122" s="1"/>
  <c r="D2789" i="122" s="1"/>
  <c r="D3459" i="122" s="1"/>
  <c r="D4129" i="122" s="1"/>
  <c r="D4799" i="122" s="1"/>
  <c r="C779" i="122"/>
  <c r="C1449" i="122" s="1"/>
  <c r="C2119" i="122" s="1"/>
  <c r="C2789" i="122" s="1"/>
  <c r="C3459" i="122" s="1"/>
  <c r="C4129" i="122" s="1"/>
  <c r="C4799" i="122" s="1"/>
  <c r="B779" i="122"/>
  <c r="B1449" i="122" s="1"/>
  <c r="B2119" i="122" s="1"/>
  <c r="B2789" i="122" s="1"/>
  <c r="B3459" i="122" s="1"/>
  <c r="B4129" i="122" s="1"/>
  <c r="B4799" i="122" s="1"/>
  <c r="A779" i="122"/>
  <c r="A1449" i="122" s="1"/>
  <c r="A2119" i="122" s="1"/>
  <c r="A2789" i="122" s="1"/>
  <c r="A3459" i="122" s="1"/>
  <c r="A4129" i="122" s="1"/>
  <c r="A4799" i="122" s="1"/>
  <c r="O108" i="122"/>
  <c r="M108" i="122"/>
  <c r="E778" i="122"/>
  <c r="E1448" i="122" s="1"/>
  <c r="E2118" i="122" s="1"/>
  <c r="E2788" i="122" s="1"/>
  <c r="E3458" i="122" s="1"/>
  <c r="E4128" i="122" s="1"/>
  <c r="E4798" i="122" s="1"/>
  <c r="B778" i="122"/>
  <c r="B1448" i="122" s="1"/>
  <c r="B2118" i="122" s="1"/>
  <c r="B2788" i="122" s="1"/>
  <c r="B3458" i="122" s="1"/>
  <c r="B4128" i="122" s="1"/>
  <c r="B4798" i="122" s="1"/>
  <c r="A778" i="122"/>
  <c r="A1448" i="122" s="1"/>
  <c r="A2118" i="122" s="1"/>
  <c r="A2788" i="122" s="1"/>
  <c r="A3458" i="122" s="1"/>
  <c r="A4128" i="122" s="1"/>
  <c r="A4798" i="122" s="1"/>
  <c r="M107" i="122"/>
  <c r="E777" i="122"/>
  <c r="E1447" i="122" s="1"/>
  <c r="E2117" i="122" s="1"/>
  <c r="E2787" i="122" s="1"/>
  <c r="E3457" i="122" s="1"/>
  <c r="E4127" i="122" s="1"/>
  <c r="E4797" i="122" s="1"/>
  <c r="B777" i="122"/>
  <c r="B1447" i="122" s="1"/>
  <c r="B2117" i="122" s="1"/>
  <c r="B2787" i="122" s="1"/>
  <c r="B3457" i="122" s="1"/>
  <c r="B4127" i="122" s="1"/>
  <c r="B4797" i="122" s="1"/>
  <c r="A777" i="122"/>
  <c r="A1447" i="122" s="1"/>
  <c r="A2117" i="122" s="1"/>
  <c r="A2787" i="122" s="1"/>
  <c r="A3457" i="122" s="1"/>
  <c r="A4127" i="122" s="1"/>
  <c r="A4797" i="122" s="1"/>
  <c r="M106" i="122"/>
  <c r="E776" i="122"/>
  <c r="E1446" i="122" s="1"/>
  <c r="E2116" i="122" s="1"/>
  <c r="E2786" i="122" s="1"/>
  <c r="E3456" i="122" s="1"/>
  <c r="E4126" i="122" s="1"/>
  <c r="E4796" i="122" s="1"/>
  <c r="B776" i="122"/>
  <c r="B1446" i="122" s="1"/>
  <c r="B2116" i="122" s="1"/>
  <c r="B2786" i="122" s="1"/>
  <c r="B3456" i="122" s="1"/>
  <c r="B4126" i="122" s="1"/>
  <c r="B4796" i="122" s="1"/>
  <c r="A776" i="122"/>
  <c r="A1446" i="122" s="1"/>
  <c r="A2116" i="122" s="1"/>
  <c r="A2786" i="122" s="1"/>
  <c r="A3456" i="122" s="1"/>
  <c r="A4126" i="122" s="1"/>
  <c r="A4796" i="122" s="1"/>
  <c r="M105" i="122"/>
  <c r="D775" i="122"/>
  <c r="D1445" i="122" s="1"/>
  <c r="D2115" i="122" s="1"/>
  <c r="D2785" i="122" s="1"/>
  <c r="D3455" i="122" s="1"/>
  <c r="D4125" i="122" s="1"/>
  <c r="D4795" i="122" s="1"/>
  <c r="C775" i="122"/>
  <c r="C1445" i="122" s="1"/>
  <c r="C2115" i="122" s="1"/>
  <c r="C2785" i="122" s="1"/>
  <c r="C3455" i="122" s="1"/>
  <c r="C4125" i="122" s="1"/>
  <c r="C4795" i="122" s="1"/>
  <c r="B775" i="122"/>
  <c r="B1445" i="122" s="1"/>
  <c r="B2115" i="122" s="1"/>
  <c r="B2785" i="122" s="1"/>
  <c r="B3455" i="122" s="1"/>
  <c r="B4125" i="122" s="1"/>
  <c r="B4795" i="122" s="1"/>
  <c r="A775" i="122"/>
  <c r="A1445" i="122" s="1"/>
  <c r="A2115" i="122" s="1"/>
  <c r="A2785" i="122" s="1"/>
  <c r="A3455" i="122" s="1"/>
  <c r="A4125" i="122" s="1"/>
  <c r="A4795" i="122" s="1"/>
  <c r="M104" i="122"/>
  <c r="O104" i="122" s="1"/>
  <c r="E774" i="122"/>
  <c r="E1444" i="122" s="1"/>
  <c r="E2114" i="122" s="1"/>
  <c r="E2784" i="122" s="1"/>
  <c r="E3454" i="122" s="1"/>
  <c r="E4124" i="122" s="1"/>
  <c r="E4794" i="122" s="1"/>
  <c r="B774" i="122"/>
  <c r="B1444" i="122" s="1"/>
  <c r="B2114" i="122" s="1"/>
  <c r="B2784" i="122" s="1"/>
  <c r="B3454" i="122" s="1"/>
  <c r="B4124" i="122" s="1"/>
  <c r="B4794" i="122" s="1"/>
  <c r="A774" i="122"/>
  <c r="A1444" i="122" s="1"/>
  <c r="A2114" i="122" s="1"/>
  <c r="A2784" i="122" s="1"/>
  <c r="A3454" i="122" s="1"/>
  <c r="A4124" i="122" s="1"/>
  <c r="A4794" i="122" s="1"/>
  <c r="M103" i="122"/>
  <c r="E773" i="122"/>
  <c r="E1443" i="122" s="1"/>
  <c r="E2113" i="122" s="1"/>
  <c r="E2783" i="122" s="1"/>
  <c r="E3453" i="122" s="1"/>
  <c r="E4123" i="122" s="1"/>
  <c r="E4793" i="122" s="1"/>
  <c r="B773" i="122"/>
  <c r="B1443" i="122" s="1"/>
  <c r="B2113" i="122" s="1"/>
  <c r="B2783" i="122" s="1"/>
  <c r="B3453" i="122" s="1"/>
  <c r="B4123" i="122" s="1"/>
  <c r="B4793" i="122" s="1"/>
  <c r="A773" i="122"/>
  <c r="A1443" i="122" s="1"/>
  <c r="A2113" i="122" s="1"/>
  <c r="A2783" i="122" s="1"/>
  <c r="A3453" i="122" s="1"/>
  <c r="A4123" i="122" s="1"/>
  <c r="A4793" i="122" s="1"/>
  <c r="M102" i="122"/>
  <c r="E772" i="122"/>
  <c r="E1442" i="122" s="1"/>
  <c r="E2112" i="122" s="1"/>
  <c r="E2782" i="122" s="1"/>
  <c r="E3452" i="122" s="1"/>
  <c r="E4122" i="122" s="1"/>
  <c r="E4792" i="122" s="1"/>
  <c r="B772" i="122"/>
  <c r="B1442" i="122" s="1"/>
  <c r="B2112" i="122" s="1"/>
  <c r="B2782" i="122" s="1"/>
  <c r="B3452" i="122" s="1"/>
  <c r="B4122" i="122" s="1"/>
  <c r="B4792" i="122" s="1"/>
  <c r="A772" i="122"/>
  <c r="A1442" i="122" s="1"/>
  <c r="A2112" i="122" s="1"/>
  <c r="A2782" i="122" s="1"/>
  <c r="A3452" i="122" s="1"/>
  <c r="A4122" i="122" s="1"/>
  <c r="A4792" i="122" s="1"/>
  <c r="M101" i="122"/>
  <c r="O101" i="122" s="1"/>
  <c r="P101" i="122" s="1"/>
  <c r="D771" i="122"/>
  <c r="D1441" i="122" s="1"/>
  <c r="D2111" i="122" s="1"/>
  <c r="D2781" i="122" s="1"/>
  <c r="D3451" i="122" s="1"/>
  <c r="D4121" i="122" s="1"/>
  <c r="D4791" i="122" s="1"/>
  <c r="C771" i="122"/>
  <c r="C1441" i="122" s="1"/>
  <c r="C2111" i="122" s="1"/>
  <c r="C2781" i="122" s="1"/>
  <c r="C3451" i="122" s="1"/>
  <c r="C4121" i="122" s="1"/>
  <c r="C4791" i="122" s="1"/>
  <c r="B771" i="122"/>
  <c r="B1441" i="122" s="1"/>
  <c r="B2111" i="122" s="1"/>
  <c r="B2781" i="122" s="1"/>
  <c r="B3451" i="122" s="1"/>
  <c r="B4121" i="122" s="1"/>
  <c r="B4791" i="122" s="1"/>
  <c r="A771" i="122"/>
  <c r="A1441" i="122" s="1"/>
  <c r="A2111" i="122" s="1"/>
  <c r="A2781" i="122" s="1"/>
  <c r="A3451" i="122" s="1"/>
  <c r="A4121" i="122" s="1"/>
  <c r="A4791" i="122" s="1"/>
  <c r="O100" i="122"/>
  <c r="M100" i="122"/>
  <c r="E770" i="122"/>
  <c r="E1440" i="122" s="1"/>
  <c r="E2110" i="122" s="1"/>
  <c r="E2780" i="122" s="1"/>
  <c r="E3450" i="122" s="1"/>
  <c r="E4120" i="122" s="1"/>
  <c r="E4790" i="122" s="1"/>
  <c r="B770" i="122"/>
  <c r="B1440" i="122" s="1"/>
  <c r="B2110" i="122" s="1"/>
  <c r="B2780" i="122" s="1"/>
  <c r="B3450" i="122" s="1"/>
  <c r="B4120" i="122" s="1"/>
  <c r="B4790" i="122" s="1"/>
  <c r="A770" i="122"/>
  <c r="A1440" i="122" s="1"/>
  <c r="A2110" i="122" s="1"/>
  <c r="A2780" i="122" s="1"/>
  <c r="A3450" i="122" s="1"/>
  <c r="A4120" i="122" s="1"/>
  <c r="A4790" i="122" s="1"/>
  <c r="M99" i="122"/>
  <c r="E769" i="122"/>
  <c r="E1439" i="122" s="1"/>
  <c r="E2109" i="122" s="1"/>
  <c r="E2779" i="122" s="1"/>
  <c r="E3449" i="122" s="1"/>
  <c r="E4119" i="122" s="1"/>
  <c r="E4789" i="122" s="1"/>
  <c r="B769" i="122"/>
  <c r="B1439" i="122" s="1"/>
  <c r="B2109" i="122" s="1"/>
  <c r="B2779" i="122" s="1"/>
  <c r="B3449" i="122" s="1"/>
  <c r="B4119" i="122" s="1"/>
  <c r="B4789" i="122" s="1"/>
  <c r="A769" i="122"/>
  <c r="A1439" i="122" s="1"/>
  <c r="A2109" i="122" s="1"/>
  <c r="A2779" i="122" s="1"/>
  <c r="A3449" i="122" s="1"/>
  <c r="A4119" i="122" s="1"/>
  <c r="A4789" i="122" s="1"/>
  <c r="M98" i="122"/>
  <c r="E768" i="122"/>
  <c r="E1438" i="122" s="1"/>
  <c r="E2108" i="122" s="1"/>
  <c r="E2778" i="122" s="1"/>
  <c r="E3448" i="122" s="1"/>
  <c r="E4118" i="122" s="1"/>
  <c r="E4788" i="122" s="1"/>
  <c r="B768" i="122"/>
  <c r="B1438" i="122" s="1"/>
  <c r="B2108" i="122" s="1"/>
  <c r="B2778" i="122" s="1"/>
  <c r="B3448" i="122" s="1"/>
  <c r="B4118" i="122" s="1"/>
  <c r="B4788" i="122" s="1"/>
  <c r="A768" i="122"/>
  <c r="A1438" i="122" s="1"/>
  <c r="A2108" i="122" s="1"/>
  <c r="A2778" i="122" s="1"/>
  <c r="A3448" i="122" s="1"/>
  <c r="A4118" i="122" s="1"/>
  <c r="A4788" i="122" s="1"/>
  <c r="M97" i="122"/>
  <c r="D767" i="122"/>
  <c r="D1437" i="122" s="1"/>
  <c r="D2107" i="122" s="1"/>
  <c r="D2777" i="122" s="1"/>
  <c r="D3447" i="122" s="1"/>
  <c r="D4117" i="122" s="1"/>
  <c r="D4787" i="122" s="1"/>
  <c r="C767" i="122"/>
  <c r="C1437" i="122" s="1"/>
  <c r="C2107" i="122" s="1"/>
  <c r="C2777" i="122" s="1"/>
  <c r="C3447" i="122" s="1"/>
  <c r="C4117" i="122" s="1"/>
  <c r="C4787" i="122" s="1"/>
  <c r="B767" i="122"/>
  <c r="B1437" i="122" s="1"/>
  <c r="B2107" i="122" s="1"/>
  <c r="B2777" i="122" s="1"/>
  <c r="B3447" i="122" s="1"/>
  <c r="B4117" i="122" s="1"/>
  <c r="B4787" i="122" s="1"/>
  <c r="A767" i="122"/>
  <c r="A1437" i="122" s="1"/>
  <c r="A2107" i="122" s="1"/>
  <c r="A2777" i="122" s="1"/>
  <c r="A3447" i="122" s="1"/>
  <c r="A4117" i="122" s="1"/>
  <c r="A4787" i="122" s="1"/>
  <c r="M96" i="122"/>
  <c r="E766" i="122"/>
  <c r="E1436" i="122" s="1"/>
  <c r="E2106" i="122" s="1"/>
  <c r="E2776" i="122" s="1"/>
  <c r="E3446" i="122" s="1"/>
  <c r="E4116" i="122" s="1"/>
  <c r="E4786" i="122" s="1"/>
  <c r="B766" i="122"/>
  <c r="B1436" i="122" s="1"/>
  <c r="B2106" i="122" s="1"/>
  <c r="B2776" i="122" s="1"/>
  <c r="B3446" i="122" s="1"/>
  <c r="B4116" i="122" s="1"/>
  <c r="B4786" i="122" s="1"/>
  <c r="A766" i="122"/>
  <c r="A1436" i="122" s="1"/>
  <c r="A2106" i="122" s="1"/>
  <c r="A2776" i="122" s="1"/>
  <c r="A3446" i="122" s="1"/>
  <c r="A4116" i="122" s="1"/>
  <c r="A4786" i="122" s="1"/>
  <c r="M95" i="122"/>
  <c r="E765" i="122"/>
  <c r="E1435" i="122" s="1"/>
  <c r="E2105" i="122" s="1"/>
  <c r="E2775" i="122" s="1"/>
  <c r="E3445" i="122" s="1"/>
  <c r="E4115" i="122" s="1"/>
  <c r="E4785" i="122" s="1"/>
  <c r="B765" i="122"/>
  <c r="B1435" i="122" s="1"/>
  <c r="B2105" i="122" s="1"/>
  <c r="B2775" i="122" s="1"/>
  <c r="B3445" i="122" s="1"/>
  <c r="B4115" i="122" s="1"/>
  <c r="B4785" i="122" s="1"/>
  <c r="A765" i="122"/>
  <c r="A1435" i="122" s="1"/>
  <c r="A2105" i="122" s="1"/>
  <c r="A2775" i="122" s="1"/>
  <c r="A3445" i="122" s="1"/>
  <c r="A4115" i="122" s="1"/>
  <c r="A4785" i="122" s="1"/>
  <c r="M94" i="122"/>
  <c r="D764" i="122"/>
  <c r="D1434" i="122" s="1"/>
  <c r="D2104" i="122" s="1"/>
  <c r="D2774" i="122" s="1"/>
  <c r="D3444" i="122" s="1"/>
  <c r="D4114" i="122" s="1"/>
  <c r="D4784" i="122" s="1"/>
  <c r="C764" i="122"/>
  <c r="C1434" i="122" s="1"/>
  <c r="C2104" i="122" s="1"/>
  <c r="C2774" i="122" s="1"/>
  <c r="C3444" i="122" s="1"/>
  <c r="C4114" i="122" s="1"/>
  <c r="C4784" i="122" s="1"/>
  <c r="B764" i="122"/>
  <c r="B1434" i="122" s="1"/>
  <c r="B2104" i="122" s="1"/>
  <c r="B2774" i="122" s="1"/>
  <c r="B3444" i="122" s="1"/>
  <c r="B4114" i="122" s="1"/>
  <c r="B4784" i="122" s="1"/>
  <c r="A764" i="122"/>
  <c r="A1434" i="122" s="1"/>
  <c r="A2104" i="122" s="1"/>
  <c r="A2774" i="122" s="1"/>
  <c r="A3444" i="122" s="1"/>
  <c r="A4114" i="122" s="1"/>
  <c r="A4784" i="122" s="1"/>
  <c r="O93" i="122"/>
  <c r="P93" i="122" s="1"/>
  <c r="M93" i="122"/>
  <c r="E763" i="122"/>
  <c r="E1433" i="122" s="1"/>
  <c r="E2103" i="122" s="1"/>
  <c r="E2773" i="122" s="1"/>
  <c r="E3443" i="122" s="1"/>
  <c r="E4113" i="122" s="1"/>
  <c r="E4783" i="122" s="1"/>
  <c r="B763" i="122"/>
  <c r="B1433" i="122" s="1"/>
  <c r="B2103" i="122" s="1"/>
  <c r="B2773" i="122" s="1"/>
  <c r="B3443" i="122" s="1"/>
  <c r="B4113" i="122" s="1"/>
  <c r="B4783" i="122" s="1"/>
  <c r="A763" i="122"/>
  <c r="A1433" i="122" s="1"/>
  <c r="A2103" i="122" s="1"/>
  <c r="A2773" i="122" s="1"/>
  <c r="A3443" i="122" s="1"/>
  <c r="A4113" i="122" s="1"/>
  <c r="A4783" i="122" s="1"/>
  <c r="O92" i="122"/>
  <c r="M92" i="122"/>
  <c r="E762" i="122"/>
  <c r="E1432" i="122" s="1"/>
  <c r="E2102" i="122" s="1"/>
  <c r="E2772" i="122" s="1"/>
  <c r="E3442" i="122" s="1"/>
  <c r="E4112" i="122" s="1"/>
  <c r="E4782" i="122" s="1"/>
  <c r="B762" i="122"/>
  <c r="B1432" i="122" s="1"/>
  <c r="B2102" i="122" s="1"/>
  <c r="B2772" i="122" s="1"/>
  <c r="B3442" i="122" s="1"/>
  <c r="B4112" i="122" s="1"/>
  <c r="B4782" i="122" s="1"/>
  <c r="A762" i="122"/>
  <c r="A1432" i="122" s="1"/>
  <c r="A2102" i="122" s="1"/>
  <c r="A2772" i="122" s="1"/>
  <c r="A3442" i="122" s="1"/>
  <c r="A4112" i="122" s="1"/>
  <c r="A4782" i="122" s="1"/>
  <c r="M91" i="122"/>
  <c r="E761" i="122"/>
  <c r="E1431" i="122" s="1"/>
  <c r="E2101" i="122" s="1"/>
  <c r="E2771" i="122" s="1"/>
  <c r="E3441" i="122" s="1"/>
  <c r="E4111" i="122" s="1"/>
  <c r="E4781" i="122" s="1"/>
  <c r="B761" i="122"/>
  <c r="B1431" i="122" s="1"/>
  <c r="B2101" i="122" s="1"/>
  <c r="B2771" i="122" s="1"/>
  <c r="B3441" i="122" s="1"/>
  <c r="B4111" i="122" s="1"/>
  <c r="B4781" i="122" s="1"/>
  <c r="A761" i="122"/>
  <c r="A1431" i="122" s="1"/>
  <c r="A2101" i="122" s="1"/>
  <c r="A2771" i="122" s="1"/>
  <c r="A3441" i="122" s="1"/>
  <c r="A4111" i="122" s="1"/>
  <c r="A4781" i="122" s="1"/>
  <c r="M90" i="122"/>
  <c r="E760" i="122"/>
  <c r="E1430" i="122" s="1"/>
  <c r="E2100" i="122" s="1"/>
  <c r="E2770" i="122" s="1"/>
  <c r="E3440" i="122" s="1"/>
  <c r="E4110" i="122" s="1"/>
  <c r="E4780" i="122" s="1"/>
  <c r="B760" i="122"/>
  <c r="B1430" i="122" s="1"/>
  <c r="B2100" i="122" s="1"/>
  <c r="B2770" i="122" s="1"/>
  <c r="B3440" i="122" s="1"/>
  <c r="B4110" i="122" s="1"/>
  <c r="B4780" i="122" s="1"/>
  <c r="A760" i="122"/>
  <c r="A1430" i="122" s="1"/>
  <c r="A2100" i="122" s="1"/>
  <c r="A2770" i="122" s="1"/>
  <c r="A3440" i="122" s="1"/>
  <c r="A4110" i="122" s="1"/>
  <c r="A4780" i="122" s="1"/>
  <c r="M89" i="122"/>
  <c r="E759" i="122"/>
  <c r="E1429" i="122" s="1"/>
  <c r="E2099" i="122" s="1"/>
  <c r="E2769" i="122" s="1"/>
  <c r="E3439" i="122" s="1"/>
  <c r="E4109" i="122" s="1"/>
  <c r="E4779" i="122" s="1"/>
  <c r="B759" i="122"/>
  <c r="B1429" i="122" s="1"/>
  <c r="B2099" i="122" s="1"/>
  <c r="B2769" i="122" s="1"/>
  <c r="B3439" i="122" s="1"/>
  <c r="B4109" i="122" s="1"/>
  <c r="B4779" i="122" s="1"/>
  <c r="A759" i="122"/>
  <c r="A1429" i="122" s="1"/>
  <c r="A2099" i="122" s="1"/>
  <c r="A2769" i="122" s="1"/>
  <c r="A3439" i="122" s="1"/>
  <c r="A4109" i="122" s="1"/>
  <c r="A4779" i="122" s="1"/>
  <c r="M88" i="122"/>
  <c r="O88" i="122" s="1"/>
  <c r="E758" i="122"/>
  <c r="E1428" i="122" s="1"/>
  <c r="E2098" i="122" s="1"/>
  <c r="E2768" i="122" s="1"/>
  <c r="E3438" i="122" s="1"/>
  <c r="E4108" i="122" s="1"/>
  <c r="E4778" i="122" s="1"/>
  <c r="B758" i="122"/>
  <c r="B1428" i="122" s="1"/>
  <c r="B2098" i="122" s="1"/>
  <c r="B2768" i="122" s="1"/>
  <c r="B3438" i="122" s="1"/>
  <c r="B4108" i="122" s="1"/>
  <c r="B4778" i="122" s="1"/>
  <c r="A758" i="122"/>
  <c r="A1428" i="122" s="1"/>
  <c r="A2098" i="122" s="1"/>
  <c r="A2768" i="122" s="1"/>
  <c r="A3438" i="122" s="1"/>
  <c r="A4108" i="122" s="1"/>
  <c r="A4778" i="122" s="1"/>
  <c r="M87" i="122"/>
  <c r="E757" i="122"/>
  <c r="E1427" i="122" s="1"/>
  <c r="E2097" i="122" s="1"/>
  <c r="E2767" i="122" s="1"/>
  <c r="E3437" i="122" s="1"/>
  <c r="E4107" i="122" s="1"/>
  <c r="E4777" i="122" s="1"/>
  <c r="B757" i="122"/>
  <c r="B1427" i="122" s="1"/>
  <c r="B2097" i="122" s="1"/>
  <c r="B2767" i="122" s="1"/>
  <c r="B3437" i="122" s="1"/>
  <c r="B4107" i="122" s="1"/>
  <c r="B4777" i="122" s="1"/>
  <c r="A757" i="122"/>
  <c r="A1427" i="122" s="1"/>
  <c r="A2097" i="122" s="1"/>
  <c r="A2767" i="122" s="1"/>
  <c r="A3437" i="122" s="1"/>
  <c r="A4107" i="122" s="1"/>
  <c r="A4777" i="122" s="1"/>
  <c r="M86" i="122"/>
  <c r="D756" i="122"/>
  <c r="D1426" i="122" s="1"/>
  <c r="D2096" i="122" s="1"/>
  <c r="D2766" i="122" s="1"/>
  <c r="D3436" i="122" s="1"/>
  <c r="D4106" i="122" s="1"/>
  <c r="D4776" i="122" s="1"/>
  <c r="C756" i="122"/>
  <c r="C1426" i="122" s="1"/>
  <c r="C2096" i="122" s="1"/>
  <c r="C2766" i="122" s="1"/>
  <c r="C3436" i="122" s="1"/>
  <c r="C4106" i="122" s="1"/>
  <c r="C4776" i="122" s="1"/>
  <c r="B756" i="122"/>
  <c r="B1426" i="122" s="1"/>
  <c r="B2096" i="122" s="1"/>
  <c r="B2766" i="122" s="1"/>
  <c r="B3436" i="122" s="1"/>
  <c r="B4106" i="122" s="1"/>
  <c r="B4776" i="122" s="1"/>
  <c r="A756" i="122"/>
  <c r="A1426" i="122" s="1"/>
  <c r="A2096" i="122" s="1"/>
  <c r="A2766" i="122" s="1"/>
  <c r="A3436" i="122" s="1"/>
  <c r="A4106" i="122" s="1"/>
  <c r="A4776" i="122" s="1"/>
  <c r="M85" i="122"/>
  <c r="O85" i="122" s="1"/>
  <c r="P85" i="122" s="1"/>
  <c r="E755" i="122"/>
  <c r="E1425" i="122" s="1"/>
  <c r="E2095" i="122" s="1"/>
  <c r="E2765" i="122" s="1"/>
  <c r="E3435" i="122" s="1"/>
  <c r="E4105" i="122" s="1"/>
  <c r="E4775" i="122" s="1"/>
  <c r="B755" i="122"/>
  <c r="B1425" i="122" s="1"/>
  <c r="B2095" i="122" s="1"/>
  <c r="B2765" i="122" s="1"/>
  <c r="B3435" i="122" s="1"/>
  <c r="B4105" i="122" s="1"/>
  <c r="B4775" i="122" s="1"/>
  <c r="A755" i="122"/>
  <c r="A1425" i="122" s="1"/>
  <c r="A2095" i="122" s="1"/>
  <c r="A2765" i="122" s="1"/>
  <c r="A3435" i="122" s="1"/>
  <c r="A4105" i="122" s="1"/>
  <c r="A4775" i="122" s="1"/>
  <c r="M84" i="122"/>
  <c r="O84" i="122" s="1"/>
  <c r="E754" i="122"/>
  <c r="E1424" i="122" s="1"/>
  <c r="E2094" i="122" s="1"/>
  <c r="E2764" i="122" s="1"/>
  <c r="E3434" i="122" s="1"/>
  <c r="E4104" i="122" s="1"/>
  <c r="E4774" i="122" s="1"/>
  <c r="B754" i="122"/>
  <c r="B1424" i="122" s="1"/>
  <c r="B2094" i="122" s="1"/>
  <c r="B2764" i="122" s="1"/>
  <c r="B3434" i="122" s="1"/>
  <c r="B4104" i="122" s="1"/>
  <c r="B4774" i="122" s="1"/>
  <c r="A754" i="122"/>
  <c r="A1424" i="122" s="1"/>
  <c r="A2094" i="122" s="1"/>
  <c r="A2764" i="122" s="1"/>
  <c r="A3434" i="122" s="1"/>
  <c r="A4104" i="122" s="1"/>
  <c r="A4774" i="122" s="1"/>
  <c r="M83" i="122"/>
  <c r="E753" i="122"/>
  <c r="E1423" i="122" s="1"/>
  <c r="E2093" i="122" s="1"/>
  <c r="E2763" i="122" s="1"/>
  <c r="E3433" i="122" s="1"/>
  <c r="E4103" i="122" s="1"/>
  <c r="E4773" i="122" s="1"/>
  <c r="B753" i="122"/>
  <c r="B1423" i="122" s="1"/>
  <c r="B2093" i="122" s="1"/>
  <c r="B2763" i="122" s="1"/>
  <c r="B3433" i="122" s="1"/>
  <c r="B4103" i="122" s="1"/>
  <c r="B4773" i="122" s="1"/>
  <c r="A753" i="122"/>
  <c r="A1423" i="122" s="1"/>
  <c r="A2093" i="122" s="1"/>
  <c r="A2763" i="122" s="1"/>
  <c r="A3433" i="122" s="1"/>
  <c r="A4103" i="122" s="1"/>
  <c r="A4773" i="122" s="1"/>
  <c r="M82" i="122"/>
  <c r="D752" i="122"/>
  <c r="D1422" i="122" s="1"/>
  <c r="D2092" i="122" s="1"/>
  <c r="D2762" i="122" s="1"/>
  <c r="D3432" i="122" s="1"/>
  <c r="D4102" i="122" s="1"/>
  <c r="D4772" i="122" s="1"/>
  <c r="C752" i="122"/>
  <c r="C1422" i="122" s="1"/>
  <c r="C2092" i="122" s="1"/>
  <c r="C2762" i="122" s="1"/>
  <c r="C3432" i="122" s="1"/>
  <c r="C4102" i="122" s="1"/>
  <c r="C4772" i="122" s="1"/>
  <c r="B752" i="122"/>
  <c r="B1422" i="122" s="1"/>
  <c r="B2092" i="122" s="1"/>
  <c r="B2762" i="122" s="1"/>
  <c r="B3432" i="122" s="1"/>
  <c r="B4102" i="122" s="1"/>
  <c r="B4772" i="122" s="1"/>
  <c r="A752" i="122"/>
  <c r="A1422" i="122" s="1"/>
  <c r="A2092" i="122" s="1"/>
  <c r="A2762" i="122" s="1"/>
  <c r="A3432" i="122" s="1"/>
  <c r="A4102" i="122" s="1"/>
  <c r="A4772" i="122" s="1"/>
  <c r="M81" i="122"/>
  <c r="E751" i="122"/>
  <c r="E1421" i="122" s="1"/>
  <c r="E2091" i="122" s="1"/>
  <c r="E2761" i="122" s="1"/>
  <c r="E3431" i="122" s="1"/>
  <c r="E4101" i="122" s="1"/>
  <c r="E4771" i="122" s="1"/>
  <c r="B751" i="122"/>
  <c r="B1421" i="122" s="1"/>
  <c r="B2091" i="122" s="1"/>
  <c r="B2761" i="122" s="1"/>
  <c r="B3431" i="122" s="1"/>
  <c r="B4101" i="122" s="1"/>
  <c r="B4771" i="122" s="1"/>
  <c r="A751" i="122"/>
  <c r="A1421" i="122" s="1"/>
  <c r="A2091" i="122" s="1"/>
  <c r="A2761" i="122" s="1"/>
  <c r="A3431" i="122" s="1"/>
  <c r="A4101" i="122" s="1"/>
  <c r="A4771" i="122" s="1"/>
  <c r="M80" i="122"/>
  <c r="O80" i="122" s="1"/>
  <c r="E750" i="122"/>
  <c r="E1420" i="122" s="1"/>
  <c r="E2090" i="122" s="1"/>
  <c r="E2760" i="122" s="1"/>
  <c r="E3430" i="122" s="1"/>
  <c r="E4100" i="122" s="1"/>
  <c r="E4770" i="122" s="1"/>
  <c r="B750" i="122"/>
  <c r="B1420" i="122" s="1"/>
  <c r="B2090" i="122" s="1"/>
  <c r="B2760" i="122" s="1"/>
  <c r="B3430" i="122" s="1"/>
  <c r="B4100" i="122" s="1"/>
  <c r="B4770" i="122" s="1"/>
  <c r="A750" i="122"/>
  <c r="A1420" i="122" s="1"/>
  <c r="A2090" i="122" s="1"/>
  <c r="A2760" i="122" s="1"/>
  <c r="A3430" i="122" s="1"/>
  <c r="A4100" i="122" s="1"/>
  <c r="A4770" i="122" s="1"/>
  <c r="M79" i="122"/>
  <c r="E749" i="122"/>
  <c r="E1419" i="122" s="1"/>
  <c r="E2089" i="122" s="1"/>
  <c r="E2759" i="122" s="1"/>
  <c r="E3429" i="122" s="1"/>
  <c r="E4099" i="122" s="1"/>
  <c r="E4769" i="122" s="1"/>
  <c r="B749" i="122"/>
  <c r="B1419" i="122" s="1"/>
  <c r="B2089" i="122" s="1"/>
  <c r="B2759" i="122" s="1"/>
  <c r="B3429" i="122" s="1"/>
  <c r="B4099" i="122" s="1"/>
  <c r="B4769" i="122" s="1"/>
  <c r="A749" i="122"/>
  <c r="A1419" i="122" s="1"/>
  <c r="A2089" i="122" s="1"/>
  <c r="A2759" i="122" s="1"/>
  <c r="A3429" i="122" s="1"/>
  <c r="A4099" i="122" s="1"/>
  <c r="A4769" i="122" s="1"/>
  <c r="M78" i="122"/>
  <c r="E748" i="122"/>
  <c r="E1418" i="122" s="1"/>
  <c r="E2088" i="122" s="1"/>
  <c r="E2758" i="122" s="1"/>
  <c r="E3428" i="122" s="1"/>
  <c r="E4098" i="122" s="1"/>
  <c r="E4768" i="122" s="1"/>
  <c r="B748" i="122"/>
  <c r="B1418" i="122" s="1"/>
  <c r="B2088" i="122" s="1"/>
  <c r="B2758" i="122" s="1"/>
  <c r="B3428" i="122" s="1"/>
  <c r="B4098" i="122" s="1"/>
  <c r="B4768" i="122" s="1"/>
  <c r="A748" i="122"/>
  <c r="A1418" i="122" s="1"/>
  <c r="A2088" i="122" s="1"/>
  <c r="A2758" i="122" s="1"/>
  <c r="A3428" i="122" s="1"/>
  <c r="A4098" i="122" s="1"/>
  <c r="A4768" i="122" s="1"/>
  <c r="M77" i="122"/>
  <c r="O77" i="122" s="1"/>
  <c r="P77" i="122" s="1"/>
  <c r="E747" i="122"/>
  <c r="E1417" i="122" s="1"/>
  <c r="E2087" i="122" s="1"/>
  <c r="E2757" i="122" s="1"/>
  <c r="E3427" i="122" s="1"/>
  <c r="E4097" i="122" s="1"/>
  <c r="E4767" i="122" s="1"/>
  <c r="B747" i="122"/>
  <c r="B1417" i="122" s="1"/>
  <c r="B2087" i="122" s="1"/>
  <c r="B2757" i="122" s="1"/>
  <c r="B3427" i="122" s="1"/>
  <c r="B4097" i="122" s="1"/>
  <c r="B4767" i="122" s="1"/>
  <c r="A747" i="122"/>
  <c r="A1417" i="122" s="1"/>
  <c r="A2087" i="122" s="1"/>
  <c r="A2757" i="122" s="1"/>
  <c r="A3427" i="122" s="1"/>
  <c r="A4097" i="122" s="1"/>
  <c r="A4767" i="122" s="1"/>
  <c r="M76" i="122"/>
  <c r="O76" i="122" s="1"/>
  <c r="E746" i="122"/>
  <c r="E1416" i="122" s="1"/>
  <c r="E2086" i="122" s="1"/>
  <c r="E2756" i="122" s="1"/>
  <c r="E3426" i="122" s="1"/>
  <c r="E4096" i="122" s="1"/>
  <c r="E4766" i="122" s="1"/>
  <c r="B746" i="122"/>
  <c r="B1416" i="122" s="1"/>
  <c r="B2086" i="122" s="1"/>
  <c r="B2756" i="122" s="1"/>
  <c r="B3426" i="122" s="1"/>
  <c r="B4096" i="122" s="1"/>
  <c r="B4766" i="122" s="1"/>
  <c r="A746" i="122"/>
  <c r="A1416" i="122" s="1"/>
  <c r="A2086" i="122" s="1"/>
  <c r="A2756" i="122" s="1"/>
  <c r="A3426" i="122" s="1"/>
  <c r="A4096" i="122" s="1"/>
  <c r="A4766" i="122" s="1"/>
  <c r="M75" i="122"/>
  <c r="E745" i="122"/>
  <c r="E1415" i="122" s="1"/>
  <c r="E2085" i="122" s="1"/>
  <c r="E2755" i="122" s="1"/>
  <c r="E3425" i="122" s="1"/>
  <c r="E4095" i="122" s="1"/>
  <c r="E4765" i="122" s="1"/>
  <c r="B745" i="122"/>
  <c r="B1415" i="122" s="1"/>
  <c r="B2085" i="122" s="1"/>
  <c r="B2755" i="122" s="1"/>
  <c r="B3425" i="122" s="1"/>
  <c r="B4095" i="122" s="1"/>
  <c r="B4765" i="122" s="1"/>
  <c r="A745" i="122"/>
  <c r="A1415" i="122" s="1"/>
  <c r="A2085" i="122" s="1"/>
  <c r="A2755" i="122" s="1"/>
  <c r="A3425" i="122" s="1"/>
  <c r="A4095" i="122" s="1"/>
  <c r="A4765" i="122" s="1"/>
  <c r="M74" i="122"/>
  <c r="E744" i="122"/>
  <c r="E1414" i="122" s="1"/>
  <c r="E2084" i="122" s="1"/>
  <c r="E2754" i="122" s="1"/>
  <c r="E3424" i="122" s="1"/>
  <c r="E4094" i="122" s="1"/>
  <c r="E4764" i="122" s="1"/>
  <c r="B744" i="122"/>
  <c r="B1414" i="122" s="1"/>
  <c r="B2084" i="122" s="1"/>
  <c r="B2754" i="122" s="1"/>
  <c r="B3424" i="122" s="1"/>
  <c r="B4094" i="122" s="1"/>
  <c r="B4764" i="122" s="1"/>
  <c r="A744" i="122"/>
  <c r="A1414" i="122" s="1"/>
  <c r="A2084" i="122" s="1"/>
  <c r="A2754" i="122" s="1"/>
  <c r="A3424" i="122" s="1"/>
  <c r="A4094" i="122" s="1"/>
  <c r="A4764" i="122" s="1"/>
  <c r="M73" i="122"/>
  <c r="E743" i="122"/>
  <c r="E1413" i="122" s="1"/>
  <c r="E2083" i="122" s="1"/>
  <c r="E2753" i="122" s="1"/>
  <c r="E3423" i="122" s="1"/>
  <c r="E4093" i="122" s="1"/>
  <c r="E4763" i="122" s="1"/>
  <c r="B743" i="122"/>
  <c r="B1413" i="122" s="1"/>
  <c r="B2083" i="122" s="1"/>
  <c r="B2753" i="122" s="1"/>
  <c r="B3423" i="122" s="1"/>
  <c r="B4093" i="122" s="1"/>
  <c r="B4763" i="122" s="1"/>
  <c r="A743" i="122"/>
  <c r="A1413" i="122" s="1"/>
  <c r="A2083" i="122" s="1"/>
  <c r="A2753" i="122" s="1"/>
  <c r="A3423" i="122" s="1"/>
  <c r="A4093" i="122" s="1"/>
  <c r="A4763" i="122" s="1"/>
  <c r="M72" i="122"/>
  <c r="E742" i="122"/>
  <c r="E1412" i="122" s="1"/>
  <c r="E2082" i="122" s="1"/>
  <c r="E2752" i="122" s="1"/>
  <c r="E3422" i="122" s="1"/>
  <c r="E4092" i="122" s="1"/>
  <c r="E4762" i="122" s="1"/>
  <c r="B742" i="122"/>
  <c r="B1412" i="122" s="1"/>
  <c r="B2082" i="122" s="1"/>
  <c r="B2752" i="122" s="1"/>
  <c r="B3422" i="122" s="1"/>
  <c r="B4092" i="122" s="1"/>
  <c r="B4762" i="122" s="1"/>
  <c r="A742" i="122"/>
  <c r="A1412" i="122" s="1"/>
  <c r="A2082" i="122" s="1"/>
  <c r="A2752" i="122" s="1"/>
  <c r="A3422" i="122" s="1"/>
  <c r="A4092" i="122" s="1"/>
  <c r="A4762" i="122" s="1"/>
  <c r="M71" i="122"/>
  <c r="D741" i="122"/>
  <c r="D1411" i="122" s="1"/>
  <c r="D2081" i="122" s="1"/>
  <c r="D2751" i="122" s="1"/>
  <c r="D3421" i="122" s="1"/>
  <c r="D4091" i="122" s="1"/>
  <c r="D4761" i="122" s="1"/>
  <c r="C741" i="122"/>
  <c r="C1411" i="122" s="1"/>
  <c r="C2081" i="122" s="1"/>
  <c r="C2751" i="122" s="1"/>
  <c r="C3421" i="122" s="1"/>
  <c r="C4091" i="122" s="1"/>
  <c r="C4761" i="122" s="1"/>
  <c r="B741" i="122"/>
  <c r="B1411" i="122" s="1"/>
  <c r="B2081" i="122" s="1"/>
  <c r="B2751" i="122" s="1"/>
  <c r="B3421" i="122" s="1"/>
  <c r="B4091" i="122" s="1"/>
  <c r="B4761" i="122" s="1"/>
  <c r="A741" i="122"/>
  <c r="A1411" i="122" s="1"/>
  <c r="A2081" i="122" s="1"/>
  <c r="A2751" i="122" s="1"/>
  <c r="A3421" i="122" s="1"/>
  <c r="A4091" i="122" s="1"/>
  <c r="A4761" i="122" s="1"/>
  <c r="M70" i="122"/>
  <c r="E740" i="122"/>
  <c r="E1410" i="122" s="1"/>
  <c r="E2080" i="122" s="1"/>
  <c r="E2750" i="122" s="1"/>
  <c r="E3420" i="122" s="1"/>
  <c r="E4090" i="122" s="1"/>
  <c r="E4760" i="122" s="1"/>
  <c r="B740" i="122"/>
  <c r="B1410" i="122" s="1"/>
  <c r="B2080" i="122" s="1"/>
  <c r="B2750" i="122" s="1"/>
  <c r="B3420" i="122" s="1"/>
  <c r="B4090" i="122" s="1"/>
  <c r="B4760" i="122" s="1"/>
  <c r="A740" i="122"/>
  <c r="A1410" i="122" s="1"/>
  <c r="A2080" i="122" s="1"/>
  <c r="A2750" i="122" s="1"/>
  <c r="A3420" i="122" s="1"/>
  <c r="A4090" i="122" s="1"/>
  <c r="A4760" i="122" s="1"/>
  <c r="O69" i="122"/>
  <c r="P69" i="122" s="1"/>
  <c r="M69" i="122"/>
  <c r="E739" i="122"/>
  <c r="E1409" i="122" s="1"/>
  <c r="E2079" i="122" s="1"/>
  <c r="E2749" i="122" s="1"/>
  <c r="E3419" i="122" s="1"/>
  <c r="E4089" i="122" s="1"/>
  <c r="E4759" i="122" s="1"/>
  <c r="B739" i="122"/>
  <c r="B1409" i="122" s="1"/>
  <c r="B2079" i="122" s="1"/>
  <c r="B2749" i="122" s="1"/>
  <c r="B3419" i="122" s="1"/>
  <c r="B4089" i="122" s="1"/>
  <c r="B4759" i="122" s="1"/>
  <c r="A739" i="122"/>
  <c r="A1409" i="122" s="1"/>
  <c r="A2079" i="122" s="1"/>
  <c r="A2749" i="122" s="1"/>
  <c r="A3419" i="122" s="1"/>
  <c r="A4089" i="122" s="1"/>
  <c r="A4759" i="122" s="1"/>
  <c r="M68" i="122"/>
  <c r="E738" i="122"/>
  <c r="E1408" i="122" s="1"/>
  <c r="E2078" i="122" s="1"/>
  <c r="E2748" i="122" s="1"/>
  <c r="E3418" i="122" s="1"/>
  <c r="E4088" i="122" s="1"/>
  <c r="E4758" i="122" s="1"/>
  <c r="B738" i="122"/>
  <c r="B1408" i="122" s="1"/>
  <c r="B2078" i="122" s="1"/>
  <c r="B2748" i="122" s="1"/>
  <c r="B3418" i="122" s="1"/>
  <c r="B4088" i="122" s="1"/>
  <c r="B4758" i="122" s="1"/>
  <c r="A738" i="122"/>
  <c r="A1408" i="122" s="1"/>
  <c r="A2078" i="122" s="1"/>
  <c r="A2748" i="122" s="1"/>
  <c r="A3418" i="122" s="1"/>
  <c r="A4088" i="122" s="1"/>
  <c r="A4758" i="122" s="1"/>
  <c r="M67" i="122"/>
  <c r="E737" i="122"/>
  <c r="E1407" i="122" s="1"/>
  <c r="E2077" i="122" s="1"/>
  <c r="E2747" i="122" s="1"/>
  <c r="E3417" i="122" s="1"/>
  <c r="E4087" i="122" s="1"/>
  <c r="E4757" i="122" s="1"/>
  <c r="B737" i="122"/>
  <c r="B1407" i="122" s="1"/>
  <c r="B2077" i="122" s="1"/>
  <c r="B2747" i="122" s="1"/>
  <c r="B3417" i="122" s="1"/>
  <c r="B4087" i="122" s="1"/>
  <c r="B4757" i="122" s="1"/>
  <c r="A737" i="122"/>
  <c r="A1407" i="122" s="1"/>
  <c r="A2077" i="122" s="1"/>
  <c r="A2747" i="122" s="1"/>
  <c r="A3417" i="122" s="1"/>
  <c r="A4087" i="122" s="1"/>
  <c r="A4757" i="122" s="1"/>
  <c r="M66" i="122"/>
  <c r="D736" i="122"/>
  <c r="D1406" i="122" s="1"/>
  <c r="D2076" i="122" s="1"/>
  <c r="D2746" i="122" s="1"/>
  <c r="D3416" i="122" s="1"/>
  <c r="D4086" i="122" s="1"/>
  <c r="D4756" i="122" s="1"/>
  <c r="C736" i="122"/>
  <c r="C1406" i="122" s="1"/>
  <c r="C2076" i="122" s="1"/>
  <c r="C2746" i="122" s="1"/>
  <c r="C3416" i="122" s="1"/>
  <c r="C4086" i="122" s="1"/>
  <c r="C4756" i="122" s="1"/>
  <c r="B736" i="122"/>
  <c r="B1406" i="122" s="1"/>
  <c r="B2076" i="122" s="1"/>
  <c r="B2746" i="122" s="1"/>
  <c r="B3416" i="122" s="1"/>
  <c r="B4086" i="122" s="1"/>
  <c r="B4756" i="122" s="1"/>
  <c r="A736" i="122"/>
  <c r="A1406" i="122" s="1"/>
  <c r="A2076" i="122" s="1"/>
  <c r="A2746" i="122" s="1"/>
  <c r="A3416" i="122" s="1"/>
  <c r="A4086" i="122" s="1"/>
  <c r="A4756" i="122" s="1"/>
  <c r="M65" i="122"/>
  <c r="E735" i="122"/>
  <c r="E1405" i="122" s="1"/>
  <c r="E2075" i="122" s="1"/>
  <c r="E2745" i="122" s="1"/>
  <c r="E3415" i="122" s="1"/>
  <c r="E4085" i="122" s="1"/>
  <c r="E4755" i="122" s="1"/>
  <c r="B735" i="122"/>
  <c r="B1405" i="122" s="1"/>
  <c r="B2075" i="122" s="1"/>
  <c r="B2745" i="122" s="1"/>
  <c r="B3415" i="122" s="1"/>
  <c r="B4085" i="122" s="1"/>
  <c r="B4755" i="122" s="1"/>
  <c r="A735" i="122"/>
  <c r="A1405" i="122" s="1"/>
  <c r="A2075" i="122" s="1"/>
  <c r="A2745" i="122" s="1"/>
  <c r="A3415" i="122" s="1"/>
  <c r="A4085" i="122" s="1"/>
  <c r="A4755" i="122" s="1"/>
  <c r="M64" i="122"/>
  <c r="E734" i="122"/>
  <c r="E1404" i="122" s="1"/>
  <c r="E2074" i="122" s="1"/>
  <c r="E2744" i="122" s="1"/>
  <c r="E3414" i="122" s="1"/>
  <c r="E4084" i="122" s="1"/>
  <c r="E4754" i="122" s="1"/>
  <c r="B734" i="122"/>
  <c r="B1404" i="122" s="1"/>
  <c r="B2074" i="122" s="1"/>
  <c r="B2744" i="122" s="1"/>
  <c r="B3414" i="122" s="1"/>
  <c r="B4084" i="122" s="1"/>
  <c r="B4754" i="122" s="1"/>
  <c r="A734" i="122"/>
  <c r="A1404" i="122" s="1"/>
  <c r="A2074" i="122" s="1"/>
  <c r="A2744" i="122" s="1"/>
  <c r="A3414" i="122" s="1"/>
  <c r="A4084" i="122" s="1"/>
  <c r="A4754" i="122" s="1"/>
  <c r="M63" i="122"/>
  <c r="D733" i="122"/>
  <c r="D1403" i="122" s="1"/>
  <c r="D2073" i="122" s="1"/>
  <c r="D2743" i="122" s="1"/>
  <c r="D3413" i="122" s="1"/>
  <c r="D4083" i="122" s="1"/>
  <c r="D4753" i="122" s="1"/>
  <c r="C733" i="122"/>
  <c r="C1403" i="122" s="1"/>
  <c r="C2073" i="122" s="1"/>
  <c r="C2743" i="122" s="1"/>
  <c r="C3413" i="122" s="1"/>
  <c r="C4083" i="122" s="1"/>
  <c r="C4753" i="122" s="1"/>
  <c r="B733" i="122"/>
  <c r="B1403" i="122" s="1"/>
  <c r="B2073" i="122" s="1"/>
  <c r="B2743" i="122" s="1"/>
  <c r="B3413" i="122" s="1"/>
  <c r="B4083" i="122" s="1"/>
  <c r="B4753" i="122" s="1"/>
  <c r="A733" i="122"/>
  <c r="A1403" i="122" s="1"/>
  <c r="A2073" i="122" s="1"/>
  <c r="A2743" i="122" s="1"/>
  <c r="A3413" i="122" s="1"/>
  <c r="A4083" i="122" s="1"/>
  <c r="A4753" i="122" s="1"/>
  <c r="M62" i="122"/>
  <c r="E732" i="122"/>
  <c r="E1402" i="122" s="1"/>
  <c r="E2072" i="122" s="1"/>
  <c r="E2742" i="122" s="1"/>
  <c r="E3412" i="122" s="1"/>
  <c r="E4082" i="122" s="1"/>
  <c r="E4752" i="122" s="1"/>
  <c r="B732" i="122"/>
  <c r="B1402" i="122" s="1"/>
  <c r="B2072" i="122" s="1"/>
  <c r="B2742" i="122" s="1"/>
  <c r="B3412" i="122" s="1"/>
  <c r="B4082" i="122" s="1"/>
  <c r="B4752" i="122" s="1"/>
  <c r="A732" i="122"/>
  <c r="A1402" i="122" s="1"/>
  <c r="A2072" i="122" s="1"/>
  <c r="A2742" i="122" s="1"/>
  <c r="A3412" i="122" s="1"/>
  <c r="A4082" i="122" s="1"/>
  <c r="A4752" i="122" s="1"/>
  <c r="O61" i="122"/>
  <c r="P61" i="122" s="1"/>
  <c r="M61" i="122"/>
  <c r="E731" i="122"/>
  <c r="E1401" i="122" s="1"/>
  <c r="E2071" i="122" s="1"/>
  <c r="E2741" i="122" s="1"/>
  <c r="E3411" i="122" s="1"/>
  <c r="E4081" i="122" s="1"/>
  <c r="E4751" i="122" s="1"/>
  <c r="B731" i="122"/>
  <c r="B1401" i="122" s="1"/>
  <c r="B2071" i="122" s="1"/>
  <c r="B2741" i="122" s="1"/>
  <c r="B3411" i="122" s="1"/>
  <c r="B4081" i="122" s="1"/>
  <c r="B4751" i="122" s="1"/>
  <c r="A731" i="122"/>
  <c r="A1401" i="122" s="1"/>
  <c r="A2071" i="122" s="1"/>
  <c r="A2741" i="122" s="1"/>
  <c r="A3411" i="122" s="1"/>
  <c r="A4081" i="122" s="1"/>
  <c r="A4751" i="122" s="1"/>
  <c r="M60" i="122"/>
  <c r="O60" i="122" s="1"/>
  <c r="E730" i="122"/>
  <c r="E1400" i="122" s="1"/>
  <c r="E2070" i="122" s="1"/>
  <c r="E2740" i="122" s="1"/>
  <c r="E3410" i="122" s="1"/>
  <c r="E4080" i="122" s="1"/>
  <c r="E4750" i="122" s="1"/>
  <c r="B730" i="122"/>
  <c r="B1400" i="122" s="1"/>
  <c r="B2070" i="122" s="1"/>
  <c r="B2740" i="122" s="1"/>
  <c r="B3410" i="122" s="1"/>
  <c r="B4080" i="122" s="1"/>
  <c r="B4750" i="122" s="1"/>
  <c r="A730" i="122"/>
  <c r="A1400" i="122" s="1"/>
  <c r="A2070" i="122" s="1"/>
  <c r="A2740" i="122" s="1"/>
  <c r="A3410" i="122" s="1"/>
  <c r="A4080" i="122" s="1"/>
  <c r="A4750" i="122" s="1"/>
  <c r="M59" i="122"/>
  <c r="D729" i="122"/>
  <c r="D1399" i="122" s="1"/>
  <c r="D2069" i="122" s="1"/>
  <c r="D2739" i="122" s="1"/>
  <c r="D3409" i="122" s="1"/>
  <c r="D4079" i="122" s="1"/>
  <c r="D4749" i="122" s="1"/>
  <c r="C729" i="122"/>
  <c r="C1399" i="122" s="1"/>
  <c r="C2069" i="122" s="1"/>
  <c r="C2739" i="122" s="1"/>
  <c r="C3409" i="122" s="1"/>
  <c r="C4079" i="122" s="1"/>
  <c r="C4749" i="122" s="1"/>
  <c r="B729" i="122"/>
  <c r="B1399" i="122" s="1"/>
  <c r="B2069" i="122" s="1"/>
  <c r="B2739" i="122" s="1"/>
  <c r="B3409" i="122" s="1"/>
  <c r="B4079" i="122" s="1"/>
  <c r="B4749" i="122" s="1"/>
  <c r="A729" i="122"/>
  <c r="A1399" i="122" s="1"/>
  <c r="A2069" i="122" s="1"/>
  <c r="A2739" i="122" s="1"/>
  <c r="A3409" i="122" s="1"/>
  <c r="A4079" i="122" s="1"/>
  <c r="A4749" i="122" s="1"/>
  <c r="M58" i="122"/>
  <c r="B728" i="122"/>
  <c r="B1398" i="122" s="1"/>
  <c r="B2068" i="122" s="1"/>
  <c r="B2738" i="122" s="1"/>
  <c r="B3408" i="122" s="1"/>
  <c r="B4078" i="122" s="1"/>
  <c r="B4748" i="122" s="1"/>
  <c r="A728" i="122"/>
  <c r="A1398" i="122" s="1"/>
  <c r="A2068" i="122" s="1"/>
  <c r="A2738" i="122" s="1"/>
  <c r="A3408" i="122" s="1"/>
  <c r="A4078" i="122" s="1"/>
  <c r="A4748" i="122" s="1"/>
  <c r="O57" i="122"/>
  <c r="P57" i="122" s="1"/>
  <c r="M57" i="122"/>
  <c r="E727" i="122"/>
  <c r="E1397" i="122" s="1"/>
  <c r="E2067" i="122" s="1"/>
  <c r="E2737" i="122" s="1"/>
  <c r="E3407" i="122" s="1"/>
  <c r="E4077" i="122" s="1"/>
  <c r="E4747" i="122" s="1"/>
  <c r="B727" i="122"/>
  <c r="B1397" i="122" s="1"/>
  <c r="B2067" i="122" s="1"/>
  <c r="B2737" i="122" s="1"/>
  <c r="B3407" i="122" s="1"/>
  <c r="B4077" i="122" s="1"/>
  <c r="B4747" i="122" s="1"/>
  <c r="A727" i="122"/>
  <c r="A1397" i="122" s="1"/>
  <c r="A2067" i="122" s="1"/>
  <c r="A2737" i="122" s="1"/>
  <c r="A3407" i="122" s="1"/>
  <c r="A4077" i="122" s="1"/>
  <c r="A4747" i="122" s="1"/>
  <c r="M56" i="122"/>
  <c r="O56" i="122" s="1"/>
  <c r="E726" i="122"/>
  <c r="E1396" i="122" s="1"/>
  <c r="E2066" i="122" s="1"/>
  <c r="E2736" i="122" s="1"/>
  <c r="E3406" i="122" s="1"/>
  <c r="E4076" i="122" s="1"/>
  <c r="E4746" i="122" s="1"/>
  <c r="B726" i="122"/>
  <c r="B1396" i="122" s="1"/>
  <c r="B2066" i="122" s="1"/>
  <c r="B2736" i="122" s="1"/>
  <c r="B3406" i="122" s="1"/>
  <c r="B4076" i="122" s="1"/>
  <c r="B4746" i="122" s="1"/>
  <c r="A726" i="122"/>
  <c r="A1396" i="122" s="1"/>
  <c r="A2066" i="122" s="1"/>
  <c r="A2736" i="122" s="1"/>
  <c r="A3406" i="122" s="1"/>
  <c r="A4076" i="122" s="1"/>
  <c r="A4746" i="122" s="1"/>
  <c r="M55" i="122"/>
  <c r="D725" i="122"/>
  <c r="D1395" i="122" s="1"/>
  <c r="D2065" i="122" s="1"/>
  <c r="D2735" i="122" s="1"/>
  <c r="D3405" i="122" s="1"/>
  <c r="D4075" i="122" s="1"/>
  <c r="D4745" i="122" s="1"/>
  <c r="C725" i="122"/>
  <c r="C1395" i="122" s="1"/>
  <c r="C2065" i="122" s="1"/>
  <c r="C2735" i="122" s="1"/>
  <c r="C3405" i="122" s="1"/>
  <c r="C4075" i="122" s="1"/>
  <c r="C4745" i="122" s="1"/>
  <c r="B725" i="122"/>
  <c r="B1395" i="122" s="1"/>
  <c r="B2065" i="122" s="1"/>
  <c r="B2735" i="122" s="1"/>
  <c r="B3405" i="122" s="1"/>
  <c r="B4075" i="122" s="1"/>
  <c r="B4745" i="122" s="1"/>
  <c r="A725" i="122"/>
  <c r="A1395" i="122" s="1"/>
  <c r="A2065" i="122" s="1"/>
  <c r="A2735" i="122" s="1"/>
  <c r="A3405" i="122" s="1"/>
  <c r="A4075" i="122" s="1"/>
  <c r="A4745" i="122" s="1"/>
  <c r="M54" i="122"/>
  <c r="E724" i="122"/>
  <c r="E1394" i="122" s="1"/>
  <c r="E2064" i="122" s="1"/>
  <c r="E2734" i="122" s="1"/>
  <c r="E3404" i="122" s="1"/>
  <c r="E4074" i="122" s="1"/>
  <c r="E4744" i="122" s="1"/>
  <c r="B724" i="122"/>
  <c r="B1394" i="122" s="1"/>
  <c r="B2064" i="122" s="1"/>
  <c r="B2734" i="122" s="1"/>
  <c r="B3404" i="122" s="1"/>
  <c r="B4074" i="122" s="1"/>
  <c r="B4744" i="122" s="1"/>
  <c r="A724" i="122"/>
  <c r="A1394" i="122" s="1"/>
  <c r="A2064" i="122" s="1"/>
  <c r="A2734" i="122" s="1"/>
  <c r="A3404" i="122" s="1"/>
  <c r="A4074" i="122" s="1"/>
  <c r="A4744" i="122" s="1"/>
  <c r="M53" i="122"/>
  <c r="D723" i="122"/>
  <c r="D1393" i="122" s="1"/>
  <c r="D2063" i="122" s="1"/>
  <c r="D2733" i="122" s="1"/>
  <c r="D3403" i="122" s="1"/>
  <c r="D4073" i="122" s="1"/>
  <c r="D4743" i="122" s="1"/>
  <c r="C723" i="122"/>
  <c r="C1393" i="122" s="1"/>
  <c r="C2063" i="122" s="1"/>
  <c r="C2733" i="122" s="1"/>
  <c r="C3403" i="122" s="1"/>
  <c r="C4073" i="122" s="1"/>
  <c r="C4743" i="122" s="1"/>
  <c r="B723" i="122"/>
  <c r="B1393" i="122" s="1"/>
  <c r="B2063" i="122" s="1"/>
  <c r="B2733" i="122" s="1"/>
  <c r="B3403" i="122" s="1"/>
  <c r="B4073" i="122" s="1"/>
  <c r="B4743" i="122" s="1"/>
  <c r="A723" i="122"/>
  <c r="A1393" i="122" s="1"/>
  <c r="A2063" i="122" s="1"/>
  <c r="A2733" i="122" s="1"/>
  <c r="A3403" i="122" s="1"/>
  <c r="A4073" i="122" s="1"/>
  <c r="A4743" i="122" s="1"/>
  <c r="M52" i="122"/>
  <c r="E722" i="122"/>
  <c r="E1392" i="122" s="1"/>
  <c r="E2062" i="122" s="1"/>
  <c r="E2732" i="122" s="1"/>
  <c r="E3402" i="122" s="1"/>
  <c r="E4072" i="122" s="1"/>
  <c r="E4742" i="122" s="1"/>
  <c r="B722" i="122"/>
  <c r="B1392" i="122" s="1"/>
  <c r="B2062" i="122" s="1"/>
  <c r="B2732" i="122" s="1"/>
  <c r="B3402" i="122" s="1"/>
  <c r="B4072" i="122" s="1"/>
  <c r="B4742" i="122" s="1"/>
  <c r="A722" i="122"/>
  <c r="A1392" i="122" s="1"/>
  <c r="A2062" i="122" s="1"/>
  <c r="A2732" i="122" s="1"/>
  <c r="A3402" i="122" s="1"/>
  <c r="A4072" i="122" s="1"/>
  <c r="A4742" i="122" s="1"/>
  <c r="M51" i="122"/>
  <c r="D721" i="122"/>
  <c r="D1391" i="122" s="1"/>
  <c r="D2061" i="122" s="1"/>
  <c r="D2731" i="122" s="1"/>
  <c r="D3401" i="122" s="1"/>
  <c r="D4071" i="122" s="1"/>
  <c r="D4741" i="122" s="1"/>
  <c r="C721" i="122"/>
  <c r="C1391" i="122" s="1"/>
  <c r="C2061" i="122" s="1"/>
  <c r="C2731" i="122" s="1"/>
  <c r="C3401" i="122" s="1"/>
  <c r="C4071" i="122" s="1"/>
  <c r="C4741" i="122" s="1"/>
  <c r="B721" i="122"/>
  <c r="B1391" i="122" s="1"/>
  <c r="B2061" i="122" s="1"/>
  <c r="B2731" i="122" s="1"/>
  <c r="B3401" i="122" s="1"/>
  <c r="B4071" i="122" s="1"/>
  <c r="B4741" i="122" s="1"/>
  <c r="A721" i="122"/>
  <c r="A1391" i="122" s="1"/>
  <c r="A2061" i="122" s="1"/>
  <c r="A2731" i="122" s="1"/>
  <c r="A3401" i="122" s="1"/>
  <c r="A4071" i="122" s="1"/>
  <c r="A4741" i="122" s="1"/>
  <c r="M50" i="122"/>
  <c r="E720" i="122"/>
  <c r="E1390" i="122" s="1"/>
  <c r="E2060" i="122" s="1"/>
  <c r="E2730" i="122" s="1"/>
  <c r="E3400" i="122" s="1"/>
  <c r="E4070" i="122" s="1"/>
  <c r="E4740" i="122" s="1"/>
  <c r="B720" i="122"/>
  <c r="B1390" i="122" s="1"/>
  <c r="B2060" i="122" s="1"/>
  <c r="B2730" i="122" s="1"/>
  <c r="B3400" i="122" s="1"/>
  <c r="B4070" i="122" s="1"/>
  <c r="B4740" i="122" s="1"/>
  <c r="A720" i="122"/>
  <c r="A1390" i="122" s="1"/>
  <c r="A2060" i="122" s="1"/>
  <c r="A2730" i="122" s="1"/>
  <c r="A3400" i="122" s="1"/>
  <c r="A4070" i="122" s="1"/>
  <c r="A4740" i="122" s="1"/>
  <c r="M49" i="122"/>
  <c r="O49" i="122" s="1"/>
  <c r="E719" i="122"/>
  <c r="E1389" i="122" s="1"/>
  <c r="E2059" i="122" s="1"/>
  <c r="E2729" i="122" s="1"/>
  <c r="E3399" i="122" s="1"/>
  <c r="E4069" i="122" s="1"/>
  <c r="E4739" i="122" s="1"/>
  <c r="B719" i="122"/>
  <c r="B1389" i="122" s="1"/>
  <c r="B2059" i="122" s="1"/>
  <c r="B2729" i="122" s="1"/>
  <c r="B3399" i="122" s="1"/>
  <c r="B4069" i="122" s="1"/>
  <c r="B4739" i="122" s="1"/>
  <c r="A719" i="122"/>
  <c r="A1389" i="122" s="1"/>
  <c r="A2059" i="122" s="1"/>
  <c r="A2729" i="122" s="1"/>
  <c r="A3399" i="122" s="1"/>
  <c r="A4069" i="122" s="1"/>
  <c r="A4739" i="122" s="1"/>
  <c r="M48" i="122"/>
  <c r="O48" i="122" s="1"/>
  <c r="E718" i="122"/>
  <c r="E1388" i="122" s="1"/>
  <c r="E2058" i="122" s="1"/>
  <c r="E2728" i="122" s="1"/>
  <c r="E3398" i="122" s="1"/>
  <c r="E4068" i="122" s="1"/>
  <c r="E4738" i="122" s="1"/>
  <c r="B718" i="122"/>
  <c r="B1388" i="122" s="1"/>
  <c r="B2058" i="122" s="1"/>
  <c r="B2728" i="122" s="1"/>
  <c r="B3398" i="122" s="1"/>
  <c r="B4068" i="122" s="1"/>
  <c r="B4738" i="122" s="1"/>
  <c r="A718" i="122"/>
  <c r="A1388" i="122" s="1"/>
  <c r="A2058" i="122" s="1"/>
  <c r="A2728" i="122" s="1"/>
  <c r="A3398" i="122" s="1"/>
  <c r="A4068" i="122" s="1"/>
  <c r="A4738" i="122" s="1"/>
  <c r="M47" i="122"/>
  <c r="D717" i="122"/>
  <c r="D1387" i="122" s="1"/>
  <c r="D2057" i="122" s="1"/>
  <c r="D2727" i="122" s="1"/>
  <c r="D3397" i="122" s="1"/>
  <c r="D4067" i="122" s="1"/>
  <c r="D4737" i="122" s="1"/>
  <c r="C717" i="122"/>
  <c r="C1387" i="122" s="1"/>
  <c r="C2057" i="122" s="1"/>
  <c r="C2727" i="122" s="1"/>
  <c r="C3397" i="122" s="1"/>
  <c r="C4067" i="122" s="1"/>
  <c r="C4737" i="122" s="1"/>
  <c r="B717" i="122"/>
  <c r="B1387" i="122" s="1"/>
  <c r="B2057" i="122" s="1"/>
  <c r="B2727" i="122" s="1"/>
  <c r="B3397" i="122" s="1"/>
  <c r="B4067" i="122" s="1"/>
  <c r="B4737" i="122" s="1"/>
  <c r="A717" i="122"/>
  <c r="A1387" i="122" s="1"/>
  <c r="A2057" i="122" s="1"/>
  <c r="A2727" i="122" s="1"/>
  <c r="A3397" i="122" s="1"/>
  <c r="A4067" i="122" s="1"/>
  <c r="A4737" i="122" s="1"/>
  <c r="M46" i="122"/>
  <c r="E716" i="122"/>
  <c r="E1386" i="122" s="1"/>
  <c r="E2056" i="122" s="1"/>
  <c r="E2726" i="122" s="1"/>
  <c r="E3396" i="122" s="1"/>
  <c r="E4066" i="122" s="1"/>
  <c r="E4736" i="122" s="1"/>
  <c r="B716" i="122"/>
  <c r="B1386" i="122" s="1"/>
  <c r="B2056" i="122" s="1"/>
  <c r="B2726" i="122" s="1"/>
  <c r="B3396" i="122" s="1"/>
  <c r="B4066" i="122" s="1"/>
  <c r="B4736" i="122" s="1"/>
  <c r="A716" i="122"/>
  <c r="A1386" i="122" s="1"/>
  <c r="A2056" i="122" s="1"/>
  <c r="A2726" i="122" s="1"/>
  <c r="A3396" i="122" s="1"/>
  <c r="A4066" i="122" s="1"/>
  <c r="A4736" i="122" s="1"/>
  <c r="M45" i="122"/>
  <c r="O45" i="122" s="1"/>
  <c r="P45" i="122" s="1"/>
  <c r="E715" i="122"/>
  <c r="E1385" i="122" s="1"/>
  <c r="E2055" i="122" s="1"/>
  <c r="E2725" i="122" s="1"/>
  <c r="E3395" i="122" s="1"/>
  <c r="E4065" i="122" s="1"/>
  <c r="E4735" i="122" s="1"/>
  <c r="B715" i="122"/>
  <c r="B1385" i="122" s="1"/>
  <c r="B2055" i="122" s="1"/>
  <c r="B2725" i="122" s="1"/>
  <c r="B3395" i="122" s="1"/>
  <c r="B4065" i="122" s="1"/>
  <c r="B4735" i="122" s="1"/>
  <c r="A715" i="122"/>
  <c r="A1385" i="122" s="1"/>
  <c r="A2055" i="122" s="1"/>
  <c r="A2725" i="122" s="1"/>
  <c r="A3395" i="122" s="1"/>
  <c r="A4065" i="122" s="1"/>
  <c r="A4735" i="122" s="1"/>
  <c r="M44" i="122"/>
  <c r="E714" i="122"/>
  <c r="E1384" i="122" s="1"/>
  <c r="E2054" i="122" s="1"/>
  <c r="E2724" i="122" s="1"/>
  <c r="E3394" i="122" s="1"/>
  <c r="E4064" i="122" s="1"/>
  <c r="E4734" i="122" s="1"/>
  <c r="B714" i="122"/>
  <c r="B1384" i="122" s="1"/>
  <c r="B2054" i="122" s="1"/>
  <c r="B2724" i="122" s="1"/>
  <c r="B3394" i="122" s="1"/>
  <c r="B4064" i="122" s="1"/>
  <c r="B4734" i="122" s="1"/>
  <c r="A714" i="122"/>
  <c r="A1384" i="122" s="1"/>
  <c r="A2054" i="122" s="1"/>
  <c r="A2724" i="122" s="1"/>
  <c r="A3394" i="122" s="1"/>
  <c r="A4064" i="122" s="1"/>
  <c r="A4734" i="122" s="1"/>
  <c r="M43" i="122"/>
  <c r="E713" i="122"/>
  <c r="E1383" i="122" s="1"/>
  <c r="E2053" i="122" s="1"/>
  <c r="E2723" i="122" s="1"/>
  <c r="E3393" i="122" s="1"/>
  <c r="E4063" i="122" s="1"/>
  <c r="E4733" i="122" s="1"/>
  <c r="B713" i="122"/>
  <c r="B1383" i="122" s="1"/>
  <c r="B2053" i="122" s="1"/>
  <c r="B2723" i="122" s="1"/>
  <c r="B3393" i="122" s="1"/>
  <c r="B4063" i="122" s="1"/>
  <c r="B4733" i="122" s="1"/>
  <c r="A713" i="122"/>
  <c r="A1383" i="122" s="1"/>
  <c r="A2053" i="122" s="1"/>
  <c r="A2723" i="122" s="1"/>
  <c r="A3393" i="122" s="1"/>
  <c r="A4063" i="122" s="1"/>
  <c r="A4733" i="122" s="1"/>
  <c r="M42" i="122"/>
  <c r="E712" i="122"/>
  <c r="E1382" i="122" s="1"/>
  <c r="E2052" i="122" s="1"/>
  <c r="E2722" i="122" s="1"/>
  <c r="E3392" i="122" s="1"/>
  <c r="E4062" i="122" s="1"/>
  <c r="E4732" i="122" s="1"/>
  <c r="B712" i="122"/>
  <c r="B1382" i="122" s="1"/>
  <c r="B2052" i="122" s="1"/>
  <c r="B2722" i="122" s="1"/>
  <c r="B3392" i="122" s="1"/>
  <c r="B4062" i="122" s="1"/>
  <c r="B4732" i="122" s="1"/>
  <c r="A712" i="122"/>
  <c r="A1382" i="122" s="1"/>
  <c r="A2052" i="122" s="1"/>
  <c r="A2722" i="122" s="1"/>
  <c r="A3392" i="122" s="1"/>
  <c r="A4062" i="122" s="1"/>
  <c r="A4732" i="122" s="1"/>
  <c r="M41" i="122"/>
  <c r="D711" i="122"/>
  <c r="D1381" i="122" s="1"/>
  <c r="D2051" i="122" s="1"/>
  <c r="D2721" i="122" s="1"/>
  <c r="D3391" i="122" s="1"/>
  <c r="D4061" i="122" s="1"/>
  <c r="D4731" i="122" s="1"/>
  <c r="C711" i="122"/>
  <c r="C1381" i="122" s="1"/>
  <c r="C2051" i="122" s="1"/>
  <c r="C2721" i="122" s="1"/>
  <c r="C3391" i="122" s="1"/>
  <c r="C4061" i="122" s="1"/>
  <c r="C4731" i="122" s="1"/>
  <c r="B711" i="122"/>
  <c r="B1381" i="122" s="1"/>
  <c r="B2051" i="122" s="1"/>
  <c r="B2721" i="122" s="1"/>
  <c r="B3391" i="122" s="1"/>
  <c r="B4061" i="122" s="1"/>
  <c r="B4731" i="122" s="1"/>
  <c r="A711" i="122"/>
  <c r="A1381" i="122" s="1"/>
  <c r="A2051" i="122" s="1"/>
  <c r="A2721" i="122" s="1"/>
  <c r="A3391" i="122" s="1"/>
  <c r="A4061" i="122" s="1"/>
  <c r="A4731" i="122" s="1"/>
  <c r="O40" i="122"/>
  <c r="M40" i="122"/>
  <c r="E710" i="122"/>
  <c r="E1380" i="122" s="1"/>
  <c r="E2050" i="122" s="1"/>
  <c r="E2720" i="122" s="1"/>
  <c r="E3390" i="122" s="1"/>
  <c r="E4060" i="122" s="1"/>
  <c r="E4730" i="122" s="1"/>
  <c r="B710" i="122"/>
  <c r="B1380" i="122" s="1"/>
  <c r="B2050" i="122" s="1"/>
  <c r="B2720" i="122" s="1"/>
  <c r="B3390" i="122" s="1"/>
  <c r="B4060" i="122" s="1"/>
  <c r="B4730" i="122" s="1"/>
  <c r="A710" i="122"/>
  <c r="A1380" i="122" s="1"/>
  <c r="A2050" i="122" s="1"/>
  <c r="A2720" i="122" s="1"/>
  <c r="A3390" i="122" s="1"/>
  <c r="A4060" i="122" s="1"/>
  <c r="A4730" i="122" s="1"/>
  <c r="M39" i="122"/>
  <c r="E709" i="122"/>
  <c r="E1379" i="122" s="1"/>
  <c r="E2049" i="122" s="1"/>
  <c r="E2719" i="122" s="1"/>
  <c r="E3389" i="122" s="1"/>
  <c r="E4059" i="122" s="1"/>
  <c r="E4729" i="122" s="1"/>
  <c r="B709" i="122"/>
  <c r="B1379" i="122" s="1"/>
  <c r="B2049" i="122" s="1"/>
  <c r="B2719" i="122" s="1"/>
  <c r="B3389" i="122" s="1"/>
  <c r="B4059" i="122" s="1"/>
  <c r="B4729" i="122" s="1"/>
  <c r="A709" i="122"/>
  <c r="A1379" i="122" s="1"/>
  <c r="A2049" i="122" s="1"/>
  <c r="A2719" i="122" s="1"/>
  <c r="A3389" i="122" s="1"/>
  <c r="A4059" i="122" s="1"/>
  <c r="A4729" i="122" s="1"/>
  <c r="M38" i="122"/>
  <c r="E708" i="122"/>
  <c r="E1378" i="122" s="1"/>
  <c r="E2048" i="122" s="1"/>
  <c r="E2718" i="122" s="1"/>
  <c r="E3388" i="122" s="1"/>
  <c r="E4058" i="122" s="1"/>
  <c r="E4728" i="122" s="1"/>
  <c r="B708" i="122"/>
  <c r="B1378" i="122" s="1"/>
  <c r="B2048" i="122" s="1"/>
  <c r="B2718" i="122" s="1"/>
  <c r="B3388" i="122" s="1"/>
  <c r="B4058" i="122" s="1"/>
  <c r="B4728" i="122" s="1"/>
  <c r="A708" i="122"/>
  <c r="A1378" i="122" s="1"/>
  <c r="A2048" i="122" s="1"/>
  <c r="A2718" i="122" s="1"/>
  <c r="A3388" i="122" s="1"/>
  <c r="A4058" i="122" s="1"/>
  <c r="A4728" i="122" s="1"/>
  <c r="P37" i="122"/>
  <c r="O37" i="122"/>
  <c r="M37" i="122"/>
  <c r="E707" i="122"/>
  <c r="E1377" i="122" s="1"/>
  <c r="E2047" i="122" s="1"/>
  <c r="E2717" i="122" s="1"/>
  <c r="E3387" i="122" s="1"/>
  <c r="E4057" i="122" s="1"/>
  <c r="E4727" i="122" s="1"/>
  <c r="B707" i="122"/>
  <c r="B1377" i="122" s="1"/>
  <c r="B2047" i="122" s="1"/>
  <c r="B2717" i="122" s="1"/>
  <c r="B3387" i="122" s="1"/>
  <c r="B4057" i="122" s="1"/>
  <c r="B4727" i="122" s="1"/>
  <c r="A707" i="122"/>
  <c r="A1377" i="122" s="1"/>
  <c r="A2047" i="122" s="1"/>
  <c r="A2717" i="122" s="1"/>
  <c r="A3387" i="122" s="1"/>
  <c r="A4057" i="122" s="1"/>
  <c r="A4727" i="122" s="1"/>
  <c r="M36" i="122"/>
  <c r="O36" i="122" s="1"/>
  <c r="E706" i="122"/>
  <c r="E1376" i="122" s="1"/>
  <c r="E2046" i="122" s="1"/>
  <c r="E2716" i="122" s="1"/>
  <c r="E3386" i="122" s="1"/>
  <c r="E4056" i="122" s="1"/>
  <c r="E4726" i="122" s="1"/>
  <c r="B706" i="122"/>
  <c r="B1376" i="122" s="1"/>
  <c r="B2046" i="122" s="1"/>
  <c r="B2716" i="122" s="1"/>
  <c r="B3386" i="122" s="1"/>
  <c r="B4056" i="122" s="1"/>
  <c r="B4726" i="122" s="1"/>
  <c r="A706" i="122"/>
  <c r="A1376" i="122" s="1"/>
  <c r="A2046" i="122" s="1"/>
  <c r="A2716" i="122" s="1"/>
  <c r="A3386" i="122" s="1"/>
  <c r="A4056" i="122" s="1"/>
  <c r="A4726" i="122" s="1"/>
  <c r="M35" i="122"/>
  <c r="E705" i="122"/>
  <c r="E1375" i="122" s="1"/>
  <c r="E2045" i="122" s="1"/>
  <c r="E2715" i="122" s="1"/>
  <c r="E3385" i="122" s="1"/>
  <c r="E4055" i="122" s="1"/>
  <c r="E4725" i="122" s="1"/>
  <c r="B705" i="122"/>
  <c r="B1375" i="122" s="1"/>
  <c r="B2045" i="122" s="1"/>
  <c r="B2715" i="122" s="1"/>
  <c r="B3385" i="122" s="1"/>
  <c r="B4055" i="122" s="1"/>
  <c r="B4725" i="122" s="1"/>
  <c r="A705" i="122"/>
  <c r="A1375" i="122" s="1"/>
  <c r="A2045" i="122" s="1"/>
  <c r="A2715" i="122" s="1"/>
  <c r="A3385" i="122" s="1"/>
  <c r="A4055" i="122" s="1"/>
  <c r="A4725" i="122" s="1"/>
  <c r="M34" i="122"/>
  <c r="E704" i="122"/>
  <c r="E1374" i="122" s="1"/>
  <c r="E2044" i="122" s="1"/>
  <c r="E2714" i="122" s="1"/>
  <c r="E3384" i="122" s="1"/>
  <c r="E4054" i="122" s="1"/>
  <c r="E4724" i="122" s="1"/>
  <c r="B704" i="122"/>
  <c r="B1374" i="122" s="1"/>
  <c r="B2044" i="122" s="1"/>
  <c r="B2714" i="122" s="1"/>
  <c r="B3384" i="122" s="1"/>
  <c r="B4054" i="122" s="1"/>
  <c r="B4724" i="122" s="1"/>
  <c r="A704" i="122"/>
  <c r="A1374" i="122" s="1"/>
  <c r="A2044" i="122" s="1"/>
  <c r="A2714" i="122" s="1"/>
  <c r="A3384" i="122" s="1"/>
  <c r="A4054" i="122" s="1"/>
  <c r="A4724" i="122" s="1"/>
  <c r="M33" i="122"/>
  <c r="E703" i="122"/>
  <c r="E1373" i="122" s="1"/>
  <c r="E2043" i="122" s="1"/>
  <c r="E2713" i="122" s="1"/>
  <c r="E3383" i="122" s="1"/>
  <c r="E4053" i="122" s="1"/>
  <c r="E4723" i="122" s="1"/>
  <c r="B703" i="122"/>
  <c r="B1373" i="122" s="1"/>
  <c r="B2043" i="122" s="1"/>
  <c r="B2713" i="122" s="1"/>
  <c r="B3383" i="122" s="1"/>
  <c r="B4053" i="122" s="1"/>
  <c r="B4723" i="122" s="1"/>
  <c r="A703" i="122"/>
  <c r="A1373" i="122" s="1"/>
  <c r="A2043" i="122" s="1"/>
  <c r="A2713" i="122" s="1"/>
  <c r="A3383" i="122" s="1"/>
  <c r="A4053" i="122" s="1"/>
  <c r="A4723" i="122" s="1"/>
  <c r="O32" i="122"/>
  <c r="M32" i="122"/>
  <c r="E702" i="122"/>
  <c r="E1372" i="122" s="1"/>
  <c r="E2042" i="122" s="1"/>
  <c r="E2712" i="122" s="1"/>
  <c r="E3382" i="122" s="1"/>
  <c r="E4052" i="122" s="1"/>
  <c r="E4722" i="122" s="1"/>
  <c r="B702" i="122"/>
  <c r="B1372" i="122" s="1"/>
  <c r="B2042" i="122" s="1"/>
  <c r="B2712" i="122" s="1"/>
  <c r="B3382" i="122" s="1"/>
  <c r="B4052" i="122" s="1"/>
  <c r="B4722" i="122" s="1"/>
  <c r="A702" i="122"/>
  <c r="A1372" i="122" s="1"/>
  <c r="A2042" i="122" s="1"/>
  <c r="A2712" i="122" s="1"/>
  <c r="A3382" i="122" s="1"/>
  <c r="A4052" i="122" s="1"/>
  <c r="A4722" i="122" s="1"/>
  <c r="M31" i="122"/>
  <c r="E701" i="122"/>
  <c r="E1371" i="122" s="1"/>
  <c r="E2041" i="122" s="1"/>
  <c r="E2711" i="122" s="1"/>
  <c r="E3381" i="122" s="1"/>
  <c r="E4051" i="122" s="1"/>
  <c r="E4721" i="122" s="1"/>
  <c r="B701" i="122"/>
  <c r="B1371" i="122" s="1"/>
  <c r="B2041" i="122" s="1"/>
  <c r="B2711" i="122" s="1"/>
  <c r="B3381" i="122" s="1"/>
  <c r="B4051" i="122" s="1"/>
  <c r="B4721" i="122" s="1"/>
  <c r="A701" i="122"/>
  <c r="A1371" i="122" s="1"/>
  <c r="A2041" i="122" s="1"/>
  <c r="A2711" i="122" s="1"/>
  <c r="A3381" i="122" s="1"/>
  <c r="A4051" i="122" s="1"/>
  <c r="A4721" i="122" s="1"/>
  <c r="M30" i="122"/>
  <c r="E700" i="122"/>
  <c r="E1370" i="122" s="1"/>
  <c r="E2040" i="122" s="1"/>
  <c r="E2710" i="122" s="1"/>
  <c r="E3380" i="122" s="1"/>
  <c r="E4050" i="122" s="1"/>
  <c r="E4720" i="122" s="1"/>
  <c r="B700" i="122"/>
  <c r="B1370" i="122" s="1"/>
  <c r="B2040" i="122" s="1"/>
  <c r="B2710" i="122" s="1"/>
  <c r="B3380" i="122" s="1"/>
  <c r="B4050" i="122" s="1"/>
  <c r="B4720" i="122" s="1"/>
  <c r="A700" i="122"/>
  <c r="A1370" i="122" s="1"/>
  <c r="A2040" i="122" s="1"/>
  <c r="A2710" i="122" s="1"/>
  <c r="A3380" i="122" s="1"/>
  <c r="A4050" i="122" s="1"/>
  <c r="A4720" i="122" s="1"/>
  <c r="P29" i="122"/>
  <c r="O29" i="122"/>
  <c r="M29" i="122"/>
  <c r="E699" i="122"/>
  <c r="E1369" i="122" s="1"/>
  <c r="E2039" i="122" s="1"/>
  <c r="E2709" i="122" s="1"/>
  <c r="E3379" i="122" s="1"/>
  <c r="E4049" i="122" s="1"/>
  <c r="E4719" i="122" s="1"/>
  <c r="B699" i="122"/>
  <c r="B1369" i="122" s="1"/>
  <c r="B2039" i="122" s="1"/>
  <c r="B2709" i="122" s="1"/>
  <c r="B3379" i="122" s="1"/>
  <c r="B4049" i="122" s="1"/>
  <c r="B4719" i="122" s="1"/>
  <c r="A699" i="122"/>
  <c r="A1369" i="122" s="1"/>
  <c r="A2039" i="122" s="1"/>
  <c r="A2709" i="122" s="1"/>
  <c r="A3379" i="122" s="1"/>
  <c r="A4049" i="122" s="1"/>
  <c r="A4719" i="122" s="1"/>
  <c r="M28" i="122"/>
  <c r="D698" i="122"/>
  <c r="D1368" i="122" s="1"/>
  <c r="D2038" i="122" s="1"/>
  <c r="D2708" i="122" s="1"/>
  <c r="D3378" i="122" s="1"/>
  <c r="D4048" i="122" s="1"/>
  <c r="D4718" i="122" s="1"/>
  <c r="C698" i="122"/>
  <c r="C1368" i="122" s="1"/>
  <c r="C2038" i="122" s="1"/>
  <c r="C2708" i="122" s="1"/>
  <c r="C3378" i="122" s="1"/>
  <c r="C4048" i="122" s="1"/>
  <c r="C4718" i="122" s="1"/>
  <c r="B698" i="122"/>
  <c r="B1368" i="122" s="1"/>
  <c r="B2038" i="122" s="1"/>
  <c r="B2708" i="122" s="1"/>
  <c r="B3378" i="122" s="1"/>
  <c r="B4048" i="122" s="1"/>
  <c r="B4718" i="122" s="1"/>
  <c r="A698" i="122"/>
  <c r="A1368" i="122" s="1"/>
  <c r="A2038" i="122" s="1"/>
  <c r="A2708" i="122" s="1"/>
  <c r="A3378" i="122" s="1"/>
  <c r="A4048" i="122" s="1"/>
  <c r="A4718" i="122" s="1"/>
  <c r="M27" i="122"/>
  <c r="E697" i="122"/>
  <c r="E1367" i="122" s="1"/>
  <c r="E2037" i="122" s="1"/>
  <c r="E2707" i="122" s="1"/>
  <c r="E3377" i="122" s="1"/>
  <c r="E4047" i="122" s="1"/>
  <c r="E4717" i="122" s="1"/>
  <c r="B697" i="122"/>
  <c r="B1367" i="122" s="1"/>
  <c r="B2037" i="122" s="1"/>
  <c r="B2707" i="122" s="1"/>
  <c r="B3377" i="122" s="1"/>
  <c r="B4047" i="122" s="1"/>
  <c r="B4717" i="122" s="1"/>
  <c r="A697" i="122"/>
  <c r="A1367" i="122" s="1"/>
  <c r="A2037" i="122" s="1"/>
  <c r="A2707" i="122" s="1"/>
  <c r="A3377" i="122" s="1"/>
  <c r="A4047" i="122" s="1"/>
  <c r="A4717" i="122" s="1"/>
  <c r="M26" i="122"/>
  <c r="E696" i="122"/>
  <c r="E1366" i="122" s="1"/>
  <c r="E2036" i="122" s="1"/>
  <c r="E2706" i="122" s="1"/>
  <c r="E3376" i="122" s="1"/>
  <c r="E4046" i="122" s="1"/>
  <c r="E4716" i="122" s="1"/>
  <c r="B696" i="122"/>
  <c r="B1366" i="122" s="1"/>
  <c r="B2036" i="122" s="1"/>
  <c r="B2706" i="122" s="1"/>
  <c r="B3376" i="122" s="1"/>
  <c r="B4046" i="122" s="1"/>
  <c r="B4716" i="122" s="1"/>
  <c r="A696" i="122"/>
  <c r="A1366" i="122" s="1"/>
  <c r="A2036" i="122" s="1"/>
  <c r="A2706" i="122" s="1"/>
  <c r="A3376" i="122" s="1"/>
  <c r="A4046" i="122" s="1"/>
  <c r="A4716" i="122" s="1"/>
  <c r="M25" i="122"/>
  <c r="O25" i="122" s="1"/>
  <c r="E695" i="122"/>
  <c r="E1365" i="122" s="1"/>
  <c r="E2035" i="122" s="1"/>
  <c r="E2705" i="122" s="1"/>
  <c r="E3375" i="122" s="1"/>
  <c r="E4045" i="122" s="1"/>
  <c r="E4715" i="122" s="1"/>
  <c r="B695" i="122"/>
  <c r="B1365" i="122" s="1"/>
  <c r="B2035" i="122" s="1"/>
  <c r="B2705" i="122" s="1"/>
  <c r="B3375" i="122" s="1"/>
  <c r="B4045" i="122" s="1"/>
  <c r="B4715" i="122" s="1"/>
  <c r="A695" i="122"/>
  <c r="A1365" i="122" s="1"/>
  <c r="A2035" i="122" s="1"/>
  <c r="A2705" i="122" s="1"/>
  <c r="A3375" i="122" s="1"/>
  <c r="A4045" i="122" s="1"/>
  <c r="A4715" i="122" s="1"/>
  <c r="O24" i="122"/>
  <c r="M24" i="122"/>
  <c r="E694" i="122"/>
  <c r="E1364" i="122" s="1"/>
  <c r="E2034" i="122" s="1"/>
  <c r="E2704" i="122" s="1"/>
  <c r="E3374" i="122" s="1"/>
  <c r="E4044" i="122" s="1"/>
  <c r="E4714" i="122" s="1"/>
  <c r="B694" i="122"/>
  <c r="B1364" i="122" s="1"/>
  <c r="B2034" i="122" s="1"/>
  <c r="B2704" i="122" s="1"/>
  <c r="B3374" i="122" s="1"/>
  <c r="B4044" i="122" s="1"/>
  <c r="B4714" i="122" s="1"/>
  <c r="A694" i="122"/>
  <c r="A1364" i="122" s="1"/>
  <c r="A2034" i="122" s="1"/>
  <c r="A2704" i="122" s="1"/>
  <c r="A3374" i="122" s="1"/>
  <c r="A4044" i="122" s="1"/>
  <c r="A4714" i="122" s="1"/>
  <c r="M23" i="122"/>
  <c r="E693" i="122"/>
  <c r="E1363" i="122" s="1"/>
  <c r="E2033" i="122" s="1"/>
  <c r="E2703" i="122" s="1"/>
  <c r="E3373" i="122" s="1"/>
  <c r="E4043" i="122" s="1"/>
  <c r="E4713" i="122" s="1"/>
  <c r="B693" i="122"/>
  <c r="B1363" i="122" s="1"/>
  <c r="B2033" i="122" s="1"/>
  <c r="B2703" i="122" s="1"/>
  <c r="B3373" i="122" s="1"/>
  <c r="B4043" i="122" s="1"/>
  <c r="B4713" i="122" s="1"/>
  <c r="A693" i="122"/>
  <c r="A1363" i="122" s="1"/>
  <c r="A2033" i="122" s="1"/>
  <c r="A2703" i="122" s="1"/>
  <c r="A3373" i="122" s="1"/>
  <c r="A4043" i="122" s="1"/>
  <c r="A4713" i="122" s="1"/>
  <c r="M22" i="122"/>
  <c r="E692" i="122"/>
  <c r="E1362" i="122" s="1"/>
  <c r="E2032" i="122" s="1"/>
  <c r="E2702" i="122" s="1"/>
  <c r="E3372" i="122" s="1"/>
  <c r="E4042" i="122" s="1"/>
  <c r="E4712" i="122" s="1"/>
  <c r="B692" i="122"/>
  <c r="B1362" i="122" s="1"/>
  <c r="B2032" i="122" s="1"/>
  <c r="B2702" i="122" s="1"/>
  <c r="B3372" i="122" s="1"/>
  <c r="B4042" i="122" s="1"/>
  <c r="B4712" i="122" s="1"/>
  <c r="A692" i="122"/>
  <c r="A1362" i="122" s="1"/>
  <c r="A2032" i="122" s="1"/>
  <c r="A2702" i="122" s="1"/>
  <c r="A3372" i="122" s="1"/>
  <c r="A4042" i="122" s="1"/>
  <c r="A4712" i="122" s="1"/>
  <c r="P21" i="122"/>
  <c r="O21" i="122"/>
  <c r="M21" i="122"/>
  <c r="E691" i="122"/>
  <c r="E1361" i="122" s="1"/>
  <c r="E2031" i="122" s="1"/>
  <c r="E2701" i="122" s="1"/>
  <c r="E3371" i="122" s="1"/>
  <c r="E4041" i="122" s="1"/>
  <c r="E4711" i="122" s="1"/>
  <c r="B691" i="122"/>
  <c r="B1361" i="122" s="1"/>
  <c r="B2031" i="122" s="1"/>
  <c r="B2701" i="122" s="1"/>
  <c r="B3371" i="122" s="1"/>
  <c r="B4041" i="122" s="1"/>
  <c r="B4711" i="122" s="1"/>
  <c r="A691" i="122"/>
  <c r="A1361" i="122" s="1"/>
  <c r="A2031" i="122" s="1"/>
  <c r="A2701" i="122" s="1"/>
  <c r="A3371" i="122" s="1"/>
  <c r="A4041" i="122" s="1"/>
  <c r="A4711" i="122" s="1"/>
  <c r="M20" i="122"/>
  <c r="E690" i="122"/>
  <c r="E1360" i="122" s="1"/>
  <c r="E2030" i="122" s="1"/>
  <c r="E2700" i="122" s="1"/>
  <c r="E3370" i="122" s="1"/>
  <c r="E4040" i="122" s="1"/>
  <c r="E4710" i="122" s="1"/>
  <c r="B690" i="122"/>
  <c r="B1360" i="122" s="1"/>
  <c r="B2030" i="122" s="1"/>
  <c r="B2700" i="122" s="1"/>
  <c r="B3370" i="122" s="1"/>
  <c r="B4040" i="122" s="1"/>
  <c r="B4710" i="122" s="1"/>
  <c r="A690" i="122"/>
  <c r="A1360" i="122" s="1"/>
  <c r="A2030" i="122" s="1"/>
  <c r="A2700" i="122" s="1"/>
  <c r="A3370" i="122" s="1"/>
  <c r="A4040" i="122" s="1"/>
  <c r="A4710" i="122" s="1"/>
  <c r="M19" i="122"/>
  <c r="E689" i="122"/>
  <c r="E1359" i="122" s="1"/>
  <c r="E2029" i="122" s="1"/>
  <c r="E2699" i="122" s="1"/>
  <c r="E3369" i="122" s="1"/>
  <c r="E4039" i="122" s="1"/>
  <c r="E4709" i="122" s="1"/>
  <c r="B689" i="122"/>
  <c r="B1359" i="122" s="1"/>
  <c r="B2029" i="122" s="1"/>
  <c r="B2699" i="122" s="1"/>
  <c r="B3369" i="122" s="1"/>
  <c r="B4039" i="122" s="1"/>
  <c r="B4709" i="122" s="1"/>
  <c r="A689" i="122"/>
  <c r="A1359" i="122" s="1"/>
  <c r="A2029" i="122" s="1"/>
  <c r="A2699" i="122" s="1"/>
  <c r="A3369" i="122" s="1"/>
  <c r="A4039" i="122" s="1"/>
  <c r="A4709" i="122" s="1"/>
  <c r="M18" i="122"/>
  <c r="E688" i="122"/>
  <c r="E1358" i="122" s="1"/>
  <c r="E2028" i="122" s="1"/>
  <c r="E2698" i="122" s="1"/>
  <c r="E3368" i="122" s="1"/>
  <c r="E4038" i="122" s="1"/>
  <c r="E4708" i="122" s="1"/>
  <c r="B688" i="122"/>
  <c r="B1358" i="122" s="1"/>
  <c r="B2028" i="122" s="1"/>
  <c r="B2698" i="122" s="1"/>
  <c r="B3368" i="122" s="1"/>
  <c r="B4038" i="122" s="1"/>
  <c r="B4708" i="122" s="1"/>
  <c r="A688" i="122"/>
  <c r="A1358" i="122" s="1"/>
  <c r="A2028" i="122" s="1"/>
  <c r="A2698" i="122" s="1"/>
  <c r="A3368" i="122" s="1"/>
  <c r="A4038" i="122" s="1"/>
  <c r="A4708" i="122" s="1"/>
  <c r="M17" i="122"/>
  <c r="E687" i="122"/>
  <c r="E1357" i="122" s="1"/>
  <c r="E2027" i="122" s="1"/>
  <c r="E2697" i="122" s="1"/>
  <c r="E3367" i="122" s="1"/>
  <c r="E4037" i="122" s="1"/>
  <c r="E4707" i="122" s="1"/>
  <c r="B687" i="122"/>
  <c r="B1357" i="122" s="1"/>
  <c r="B2027" i="122" s="1"/>
  <c r="B2697" i="122" s="1"/>
  <c r="B3367" i="122" s="1"/>
  <c r="B4037" i="122" s="1"/>
  <c r="B4707" i="122" s="1"/>
  <c r="A687" i="122"/>
  <c r="A1357" i="122" s="1"/>
  <c r="A2027" i="122" s="1"/>
  <c r="A2697" i="122" s="1"/>
  <c r="A3367" i="122" s="1"/>
  <c r="A4037" i="122" s="1"/>
  <c r="A4707" i="122" s="1"/>
  <c r="O16" i="122"/>
  <c r="M16" i="122"/>
  <c r="E686" i="122"/>
  <c r="E1356" i="122" s="1"/>
  <c r="E2026" i="122" s="1"/>
  <c r="E2696" i="122" s="1"/>
  <c r="E3366" i="122" s="1"/>
  <c r="E4036" i="122" s="1"/>
  <c r="E4706" i="122" s="1"/>
  <c r="B686" i="122"/>
  <c r="B1356" i="122" s="1"/>
  <c r="B2026" i="122" s="1"/>
  <c r="B2696" i="122" s="1"/>
  <c r="B3366" i="122" s="1"/>
  <c r="B4036" i="122" s="1"/>
  <c r="B4706" i="122" s="1"/>
  <c r="A686" i="122"/>
  <c r="A1356" i="122" s="1"/>
  <c r="A2026" i="122" s="1"/>
  <c r="A2696" i="122" s="1"/>
  <c r="A3366" i="122" s="1"/>
  <c r="A4036" i="122" s="1"/>
  <c r="A4706" i="122" s="1"/>
  <c r="M15" i="122"/>
  <c r="E685" i="122"/>
  <c r="E1355" i="122" s="1"/>
  <c r="E2025" i="122" s="1"/>
  <c r="E2695" i="122" s="1"/>
  <c r="E3365" i="122" s="1"/>
  <c r="E4035" i="122" s="1"/>
  <c r="E4705" i="122" s="1"/>
  <c r="B685" i="122"/>
  <c r="B1355" i="122" s="1"/>
  <c r="B2025" i="122" s="1"/>
  <c r="B2695" i="122" s="1"/>
  <c r="B3365" i="122" s="1"/>
  <c r="B4035" i="122" s="1"/>
  <c r="B4705" i="122" s="1"/>
  <c r="A685" i="122"/>
  <c r="A1355" i="122" s="1"/>
  <c r="A2025" i="122" s="1"/>
  <c r="A2695" i="122" s="1"/>
  <c r="A3365" i="122" s="1"/>
  <c r="A4035" i="122" s="1"/>
  <c r="A4705" i="122" s="1"/>
  <c r="M14" i="122"/>
  <c r="E684" i="122"/>
  <c r="E1354" i="122" s="1"/>
  <c r="E2024" i="122" s="1"/>
  <c r="E2694" i="122" s="1"/>
  <c r="E3364" i="122" s="1"/>
  <c r="E4034" i="122" s="1"/>
  <c r="E4704" i="122" s="1"/>
  <c r="B684" i="122"/>
  <c r="B1354" i="122" s="1"/>
  <c r="B2024" i="122" s="1"/>
  <c r="B2694" i="122" s="1"/>
  <c r="B3364" i="122" s="1"/>
  <c r="B4034" i="122" s="1"/>
  <c r="B4704" i="122" s="1"/>
  <c r="A684" i="122"/>
  <c r="A1354" i="122" s="1"/>
  <c r="A2024" i="122" s="1"/>
  <c r="A2694" i="122" s="1"/>
  <c r="A3364" i="122" s="1"/>
  <c r="A4034" i="122" s="1"/>
  <c r="A4704" i="122" s="1"/>
  <c r="P13" i="122"/>
  <c r="O13" i="122"/>
  <c r="M13" i="122"/>
  <c r="E683" i="122"/>
  <c r="E1353" i="122" s="1"/>
  <c r="E2023" i="122" s="1"/>
  <c r="E2693" i="122" s="1"/>
  <c r="E3363" i="122" s="1"/>
  <c r="E4033" i="122" s="1"/>
  <c r="E4703" i="122" s="1"/>
  <c r="B683" i="122"/>
  <c r="B1353" i="122" s="1"/>
  <c r="B2023" i="122" s="1"/>
  <c r="B2693" i="122" s="1"/>
  <c r="B3363" i="122" s="1"/>
  <c r="B4033" i="122" s="1"/>
  <c r="B4703" i="122" s="1"/>
  <c r="A683" i="122"/>
  <c r="A1353" i="122" s="1"/>
  <c r="A2023" i="122" s="1"/>
  <c r="A2693" i="122" s="1"/>
  <c r="A3363" i="122" s="1"/>
  <c r="A4033" i="122" s="1"/>
  <c r="A4703" i="122" s="1"/>
  <c r="M12" i="122"/>
  <c r="O12" i="122" s="1"/>
  <c r="E682" i="122"/>
  <c r="E1352" i="122" s="1"/>
  <c r="E2022" i="122" s="1"/>
  <c r="E2692" i="122" s="1"/>
  <c r="E3362" i="122" s="1"/>
  <c r="E4032" i="122" s="1"/>
  <c r="E4702" i="122" s="1"/>
  <c r="B682" i="122"/>
  <c r="B1352" i="122" s="1"/>
  <c r="B2022" i="122" s="1"/>
  <c r="B2692" i="122" s="1"/>
  <c r="B3362" i="122" s="1"/>
  <c r="B4032" i="122" s="1"/>
  <c r="B4702" i="122" s="1"/>
  <c r="A682" i="122"/>
  <c r="A1352" i="122" s="1"/>
  <c r="A2022" i="122" s="1"/>
  <c r="A2692" i="122" s="1"/>
  <c r="A3362" i="122" s="1"/>
  <c r="A4032" i="122" s="1"/>
  <c r="A4702" i="122" s="1"/>
  <c r="M11" i="122"/>
  <c r="E681" i="122"/>
  <c r="E1351" i="122" s="1"/>
  <c r="E2021" i="122" s="1"/>
  <c r="E2691" i="122" s="1"/>
  <c r="E3361" i="122" s="1"/>
  <c r="E4031" i="122" s="1"/>
  <c r="E4701" i="122" s="1"/>
  <c r="B681" i="122"/>
  <c r="B1351" i="122" s="1"/>
  <c r="B2021" i="122" s="1"/>
  <c r="B2691" i="122" s="1"/>
  <c r="B3361" i="122" s="1"/>
  <c r="B4031" i="122" s="1"/>
  <c r="B4701" i="122" s="1"/>
  <c r="A681" i="122"/>
  <c r="A1351" i="122" s="1"/>
  <c r="A2021" i="122" s="1"/>
  <c r="A2691" i="122" s="1"/>
  <c r="A3361" i="122" s="1"/>
  <c r="A4031" i="122" s="1"/>
  <c r="A4701" i="122" s="1"/>
  <c r="D680" i="122"/>
  <c r="D1350" i="122" s="1"/>
  <c r="D2020" i="122" s="1"/>
  <c r="D2690" i="122" s="1"/>
  <c r="D3360" i="122" s="1"/>
  <c r="D4030" i="122" s="1"/>
  <c r="D4700" i="122" s="1"/>
  <c r="C680" i="122"/>
  <c r="C1350" i="122" s="1"/>
  <c r="C2020" i="122" s="1"/>
  <c r="C2690" i="122" s="1"/>
  <c r="C3360" i="122" s="1"/>
  <c r="C4030" i="122" s="1"/>
  <c r="C4700" i="122" s="1"/>
  <c r="B680" i="122"/>
  <c r="B1350" i="122" s="1"/>
  <c r="B2020" i="122" s="1"/>
  <c r="B2690" i="122" s="1"/>
  <c r="B3360" i="122" s="1"/>
  <c r="B4030" i="122" s="1"/>
  <c r="B4700" i="122" s="1"/>
  <c r="A680" i="122"/>
  <c r="A1350" i="122" s="1"/>
  <c r="A2020" i="122" s="1"/>
  <c r="A2690" i="122" s="1"/>
  <c r="A3360" i="122" s="1"/>
  <c r="A4030" i="122" s="1"/>
  <c r="A4700" i="122" s="1"/>
  <c r="B679" i="122"/>
  <c r="B1349" i="122" s="1"/>
  <c r="B2019" i="122" s="1"/>
  <c r="B2689" i="122" s="1"/>
  <c r="B3359" i="122" s="1"/>
  <c r="B4029" i="122" s="1"/>
  <c r="B4699" i="122" s="1"/>
  <c r="P83" i="120" l="1"/>
  <c r="S83" i="120" s="1"/>
  <c r="P99" i="120"/>
  <c r="S99" i="120" s="1"/>
  <c r="P171" i="120"/>
  <c r="S171" i="120" s="1"/>
  <c r="P252" i="120"/>
  <c r="S252" i="120" s="1"/>
  <c r="P268" i="120"/>
  <c r="S268" i="120" s="1"/>
  <c r="P73" i="120"/>
  <c r="S73" i="120" s="1"/>
  <c r="P184" i="120"/>
  <c r="S184" i="120" s="1"/>
  <c r="P139" i="120"/>
  <c r="S139" i="120" s="1"/>
  <c r="P192" i="120"/>
  <c r="S192" i="120" s="1"/>
  <c r="P201" i="120"/>
  <c r="S201" i="120" s="1"/>
  <c r="P244" i="120"/>
  <c r="S244" i="120" s="1"/>
  <c r="P260" i="120"/>
  <c r="S260" i="120" s="1"/>
  <c r="P276" i="120"/>
  <c r="S276" i="120" s="1"/>
  <c r="P292" i="120"/>
  <c r="S292" i="120" s="1"/>
  <c r="P308" i="120"/>
  <c r="S308" i="120" s="1"/>
  <c r="P284" i="120"/>
  <c r="S284" i="120" s="1"/>
  <c r="P300" i="120"/>
  <c r="S300" i="120" s="1"/>
  <c r="P51" i="120"/>
  <c r="S51" i="120" s="1"/>
  <c r="P91" i="120"/>
  <c r="S91" i="120" s="1"/>
  <c r="P131" i="120"/>
  <c r="S131" i="120" s="1"/>
  <c r="P43" i="120"/>
  <c r="S43" i="120" s="1"/>
  <c r="P175" i="120"/>
  <c r="S175" i="120" s="1"/>
  <c r="P204" i="120"/>
  <c r="S204" i="120" s="1"/>
  <c r="D253" i="121"/>
  <c r="D254" i="121" s="1"/>
  <c r="D255" i="121"/>
  <c r="BD279" i="121"/>
  <c r="AZ279" i="121"/>
  <c r="BB279" i="121" s="1"/>
  <c r="BB319" i="121"/>
  <c r="BA319" i="121"/>
  <c r="BA523" i="121"/>
  <c r="BB523" i="121"/>
  <c r="BB604" i="121"/>
  <c r="BA604" i="121"/>
  <c r="BE201" i="121"/>
  <c r="BG201" i="121" s="1"/>
  <c r="G250" i="121"/>
  <c r="BD292" i="121"/>
  <c r="AZ292" i="121"/>
  <c r="BB292" i="121" s="1"/>
  <c r="BA314" i="121"/>
  <c r="BB314" i="121"/>
  <c r="BA368" i="121"/>
  <c r="BB405" i="121"/>
  <c r="BA405" i="121"/>
  <c r="BB477" i="121"/>
  <c r="BA477" i="121"/>
  <c r="BB568" i="121"/>
  <c r="BA568" i="121"/>
  <c r="BB599" i="121"/>
  <c r="BA599" i="121"/>
  <c r="E130" i="121"/>
  <c r="BH201" i="121"/>
  <c r="BA365" i="121"/>
  <c r="BB365" i="121"/>
  <c r="BA421" i="121"/>
  <c r="BB540" i="121"/>
  <c r="BA540" i="121"/>
  <c r="BB655" i="121"/>
  <c r="BA655" i="121"/>
  <c r="E253" i="121"/>
  <c r="E254" i="121" s="1"/>
  <c r="AZ281" i="121"/>
  <c r="BB281" i="121" s="1"/>
  <c r="BC281" i="121"/>
  <c r="BA388" i="121"/>
  <c r="H386" i="121"/>
  <c r="BB397" i="121"/>
  <c r="BA397" i="121"/>
  <c r="BA418" i="121"/>
  <c r="BB418" i="121"/>
  <c r="BB542" i="121"/>
  <c r="BA542" i="121"/>
  <c r="BB550" i="121"/>
  <c r="BA550" i="121"/>
  <c r="BB577" i="121"/>
  <c r="BA577" i="121"/>
  <c r="BB596" i="121"/>
  <c r="BA596" i="121"/>
  <c r="BB351" i="121"/>
  <c r="BA351" i="121"/>
  <c r="BB437" i="121"/>
  <c r="BA437" i="121"/>
  <c r="BB605" i="121"/>
  <c r="BA605" i="121"/>
  <c r="BB665" i="121"/>
  <c r="BA665" i="121"/>
  <c r="BD276" i="121"/>
  <c r="BC276" i="121"/>
  <c r="BA276" i="121"/>
  <c r="BA362" i="121"/>
  <c r="BB399" i="121"/>
  <c r="BA399" i="121"/>
  <c r="BB404" i="121"/>
  <c r="BA404" i="121"/>
  <c r="BA669" i="121"/>
  <c r="G162" i="121"/>
  <c r="BB353" i="121"/>
  <c r="BA353" i="121"/>
  <c r="BB377" i="121"/>
  <c r="BA377" i="121"/>
  <c r="BB425" i="121"/>
  <c r="BB539" i="121"/>
  <c r="BA539" i="121"/>
  <c r="BB554" i="121"/>
  <c r="BA639" i="121"/>
  <c r="BB639" i="121"/>
  <c r="H102" i="121"/>
  <c r="G228" i="121"/>
  <c r="AZ290" i="121"/>
  <c r="BB290" i="121" s="1"/>
  <c r="BA392" i="121"/>
  <c r="H390" i="121"/>
  <c r="BA536" i="121"/>
  <c r="BB536" i="121"/>
  <c r="BB551" i="121"/>
  <c r="BA551" i="121"/>
  <c r="BB597" i="121"/>
  <c r="BA597" i="121"/>
  <c r="BB649" i="121"/>
  <c r="BA651" i="121"/>
  <c r="BB659" i="121"/>
  <c r="BA666" i="121"/>
  <c r="BB666" i="121"/>
  <c r="BC280" i="121"/>
  <c r="H482" i="121"/>
  <c r="BB484" i="121"/>
  <c r="BA484" i="121"/>
  <c r="BB513" i="121"/>
  <c r="BA513" i="121"/>
  <c r="BB574" i="121"/>
  <c r="BB576" i="121"/>
  <c r="BA576" i="121"/>
  <c r="AA672" i="121"/>
  <c r="U639" i="121"/>
  <c r="U672" i="121" s="1"/>
  <c r="AO675" i="121"/>
  <c r="BB646" i="121"/>
  <c r="AQ651" i="121"/>
  <c r="AQ672" i="121" s="1"/>
  <c r="BB654" i="121"/>
  <c r="BA654" i="121"/>
  <c r="BB656" i="121"/>
  <c r="BA660" i="121"/>
  <c r="AO672" i="121"/>
  <c r="H505" i="121"/>
  <c r="BA586" i="121"/>
  <c r="AQ675" i="121"/>
  <c r="BB662" i="121"/>
  <c r="BA668" i="121"/>
  <c r="BB420" i="121"/>
  <c r="BA420" i="121"/>
  <c r="BA469" i="121"/>
  <c r="BA489" i="121"/>
  <c r="BB549" i="121"/>
  <c r="BA549" i="121"/>
  <c r="BB595" i="121"/>
  <c r="BA595" i="121"/>
  <c r="H601" i="121"/>
  <c r="BB603" i="121"/>
  <c r="BA603" i="121"/>
  <c r="BB640" i="121"/>
  <c r="BB643" i="121"/>
  <c r="BA646" i="121"/>
  <c r="AN672" i="121"/>
  <c r="BB367" i="121"/>
  <c r="BA367" i="121"/>
  <c r="BB403" i="121"/>
  <c r="BA403" i="121"/>
  <c r="H461" i="121"/>
  <c r="BA464" i="121"/>
  <c r="BB465" i="121"/>
  <c r="H499" i="121"/>
  <c r="BA502" i="121"/>
  <c r="BB503" i="121"/>
  <c r="BB516" i="121"/>
  <c r="BA526" i="121"/>
  <c r="H525" i="121"/>
  <c r="BA600" i="121"/>
  <c r="BB645" i="121"/>
  <c r="BA663" i="121"/>
  <c r="BB670" i="121"/>
  <c r="AP672" i="121"/>
  <c r="O3500" i="122"/>
  <c r="P3500" i="122" s="1"/>
  <c r="P129" i="122"/>
  <c r="O3493" i="122"/>
  <c r="P3493" i="122" s="1"/>
  <c r="P962" i="122"/>
  <c r="O962" i="122"/>
  <c r="P688" i="122"/>
  <c r="O688" i="122"/>
  <c r="P53" i="122"/>
  <c r="O113" i="122"/>
  <c r="P113" i="122" s="1"/>
  <c r="O161" i="122"/>
  <c r="P161" i="122" s="1"/>
  <c r="O284" i="122"/>
  <c r="P284" i="122" s="1"/>
  <c r="O808" i="122"/>
  <c r="P808" i="122" s="1"/>
  <c r="P844" i="122"/>
  <c r="O844" i="122"/>
  <c r="O3503" i="122"/>
  <c r="P3503" i="122" s="1"/>
  <c r="P4270" i="122"/>
  <c r="O4270" i="122"/>
  <c r="O685" i="122"/>
  <c r="P685" i="122" s="1"/>
  <c r="O717" i="122"/>
  <c r="P717" i="122" s="1"/>
  <c r="O881" i="122"/>
  <c r="P881" i="122"/>
  <c r="P955" i="122"/>
  <c r="O955" i="122"/>
  <c r="O121" i="122"/>
  <c r="P121" i="122" s="1"/>
  <c r="O53" i="122"/>
  <c r="O129" i="122"/>
  <c r="O831" i="122"/>
  <c r="P831" i="122" s="1"/>
  <c r="O744" i="122"/>
  <c r="P744" i="122" s="1"/>
  <c r="P780" i="122"/>
  <c r="O780" i="122"/>
  <c r="O753" i="122"/>
  <c r="P753" i="122"/>
  <c r="O1377" i="122"/>
  <c r="P1377" i="122" s="1"/>
  <c r="O748" i="122"/>
  <c r="P748" i="122" s="1"/>
  <c r="O848" i="122"/>
  <c r="P848" i="122" s="1"/>
  <c r="P1384" i="122"/>
  <c r="O1384" i="122"/>
  <c r="P884" i="122"/>
  <c r="P912" i="122"/>
  <c r="O912" i="122"/>
  <c r="P695" i="122"/>
  <c r="O749" i="122"/>
  <c r="P749" i="122" s="1"/>
  <c r="O695" i="122"/>
  <c r="P784" i="122"/>
  <c r="O784" i="122"/>
  <c r="O880" i="122"/>
  <c r="P880" i="122" s="1"/>
  <c r="O913" i="122"/>
  <c r="P913" i="122"/>
  <c r="P1448" i="122"/>
  <c r="O916" i="122"/>
  <c r="P916" i="122" s="1"/>
  <c r="O1353" i="122"/>
  <c r="P1353" i="122"/>
  <c r="P1408" i="122"/>
  <c r="O1408" i="122"/>
  <c r="P684" i="122"/>
  <c r="P891" i="122"/>
  <c r="O684" i="122"/>
  <c r="P781" i="122"/>
  <c r="P812" i="122"/>
  <c r="O891" i="122"/>
  <c r="P952" i="122"/>
  <c r="P876" i="122"/>
  <c r="O1412" i="122"/>
  <c r="P1412" i="122" s="1"/>
  <c r="O2123" i="122"/>
  <c r="P2123" i="122" s="1"/>
  <c r="O3422" i="122"/>
  <c r="P3422" i="122" s="1"/>
  <c r="O3491" i="122"/>
  <c r="P3491" i="122" s="1"/>
  <c r="O956" i="122"/>
  <c r="P956" i="122"/>
  <c r="P1500" i="122"/>
  <c r="O1500" i="122"/>
  <c r="O2195" i="122"/>
  <c r="P2195" i="122" s="1"/>
  <c r="P799" i="122"/>
  <c r="P849" i="122"/>
  <c r="P885" i="122"/>
  <c r="P1413" i="122"/>
  <c r="P1544" i="122"/>
  <c r="O1544" i="122"/>
  <c r="O2035" i="122"/>
  <c r="P2035" i="122" s="1"/>
  <c r="O1441" i="122"/>
  <c r="P1441" i="122" s="1"/>
  <c r="O1513" i="122"/>
  <c r="P1513" i="122"/>
  <c r="P1572" i="122"/>
  <c r="O1572" i="122"/>
  <c r="O1569" i="122"/>
  <c r="P1569" i="122"/>
  <c r="P1627" i="122"/>
  <c r="O1627" i="122"/>
  <c r="O2067" i="122"/>
  <c r="P2067" i="122" s="1"/>
  <c r="P2171" i="122"/>
  <c r="O2171" i="122"/>
  <c r="P1440" i="122"/>
  <c r="O1440" i="122"/>
  <c r="O1540" i="122"/>
  <c r="P1540" i="122" s="1"/>
  <c r="O2219" i="122"/>
  <c r="P2219" i="122" s="1"/>
  <c r="O1381" i="122"/>
  <c r="P1381" i="122"/>
  <c r="P2107" i="122"/>
  <c r="O2235" i="122"/>
  <c r="P2235" i="122" s="1"/>
  <c r="P2746" i="122"/>
  <c r="O2746" i="122"/>
  <c r="O2789" i="122"/>
  <c r="P2789" i="122" s="1"/>
  <c r="P2147" i="122"/>
  <c r="O2147" i="122"/>
  <c r="O2733" i="122"/>
  <c r="P2733" i="122"/>
  <c r="O2750" i="122"/>
  <c r="P2750" i="122" s="1"/>
  <c r="O3461" i="122"/>
  <c r="P3461" i="122"/>
  <c r="O1417" i="122"/>
  <c r="P1417" i="122" s="1"/>
  <c r="P2155" i="122"/>
  <c r="O2155" i="122"/>
  <c r="O2698" i="122"/>
  <c r="P2698" i="122" s="1"/>
  <c r="P2794" i="122"/>
  <c r="O2794" i="122"/>
  <c r="P1363" i="122"/>
  <c r="P1473" i="122"/>
  <c r="P1481" i="122"/>
  <c r="P1568" i="122"/>
  <c r="O1634" i="122"/>
  <c r="P1634" i="122" s="1"/>
  <c r="P2046" i="122"/>
  <c r="P2084" i="122"/>
  <c r="O2084" i="122"/>
  <c r="O2091" i="122"/>
  <c r="P2091" i="122" s="1"/>
  <c r="O2107" i="122"/>
  <c r="O2166" i="122"/>
  <c r="P2166" i="122"/>
  <c r="P2706" i="122"/>
  <c r="O2706" i="122"/>
  <c r="O1445" i="122"/>
  <c r="P1445" i="122" s="1"/>
  <c r="O2038" i="122"/>
  <c r="P2038" i="122" s="1"/>
  <c r="O2059" i="122"/>
  <c r="P2059" i="122" s="1"/>
  <c r="P1385" i="122"/>
  <c r="P1449" i="122"/>
  <c r="P1523" i="122"/>
  <c r="P1536" i="122"/>
  <c r="P2027" i="122"/>
  <c r="O2027" i="122"/>
  <c r="O2163" i="122"/>
  <c r="P2163" i="122" s="1"/>
  <c r="O2214" i="122"/>
  <c r="P2214" i="122"/>
  <c r="P2314" i="122"/>
  <c r="O2778" i="122"/>
  <c r="P2778" i="122" s="1"/>
  <c r="O2810" i="122"/>
  <c r="P2810" i="122" s="1"/>
  <c r="O2874" i="122"/>
  <c r="P2874" i="122"/>
  <c r="O2891" i="122"/>
  <c r="P2891" i="122" s="1"/>
  <c r="O2898" i="122"/>
  <c r="P2898" i="122" s="1"/>
  <c r="P2211" i="122"/>
  <c r="O2718" i="122"/>
  <c r="P2718" i="122" s="1"/>
  <c r="O3369" i="122"/>
  <c r="P3369" i="122"/>
  <c r="P2139" i="122"/>
  <c r="O2211" i="122"/>
  <c r="P2301" i="122"/>
  <c r="O2715" i="122"/>
  <c r="P2715" i="122" s="1"/>
  <c r="O2730" i="122"/>
  <c r="P2730" i="122" s="1"/>
  <c r="O2734" i="122"/>
  <c r="P2734" i="122" s="1"/>
  <c r="O2782" i="122"/>
  <c r="P2782" i="122" s="1"/>
  <c r="P2881" i="122"/>
  <c r="O2881" i="122"/>
  <c r="P1427" i="122"/>
  <c r="P1477" i="122"/>
  <c r="P1577" i="122"/>
  <c r="O2075" i="122"/>
  <c r="P2075" i="122" s="1"/>
  <c r="O2139" i="122"/>
  <c r="O2925" i="122"/>
  <c r="P2925" i="122"/>
  <c r="O3480" i="122"/>
  <c r="P3480" i="122" s="1"/>
  <c r="O3601" i="122"/>
  <c r="P3601" i="122"/>
  <c r="O3640" i="122"/>
  <c r="P3640" i="122" s="1"/>
  <c r="O2693" i="122"/>
  <c r="P2693" i="122" s="1"/>
  <c r="P2725" i="122"/>
  <c r="O2725" i="122"/>
  <c r="P2906" i="122"/>
  <c r="O2906" i="122"/>
  <c r="O3556" i="122"/>
  <c r="P3556" i="122" s="1"/>
  <c r="P1624" i="122"/>
  <c r="P1628" i="122"/>
  <c r="P2140" i="122"/>
  <c r="O2140" i="122"/>
  <c r="O2148" i="122"/>
  <c r="P2148" i="122" s="1"/>
  <c r="P2203" i="122"/>
  <c r="P2770" i="122"/>
  <c r="O2846" i="122"/>
  <c r="P2846" i="122" s="1"/>
  <c r="P3439" i="122"/>
  <c r="P2926" i="122"/>
  <c r="P4267" i="122"/>
  <c r="O2871" i="122"/>
  <c r="P2871" i="122" s="1"/>
  <c r="O3366" i="122"/>
  <c r="P3366" i="122"/>
  <c r="O3385" i="122"/>
  <c r="P3385" i="122"/>
  <c r="O3477" i="122"/>
  <c r="P3477" i="122" s="1"/>
  <c r="O4088" i="122"/>
  <c r="P4088" i="122" s="1"/>
  <c r="O2751" i="122"/>
  <c r="P2751" i="122"/>
  <c r="O2793" i="122"/>
  <c r="P2793" i="122" s="1"/>
  <c r="P2889" i="122"/>
  <c r="O2964" i="122"/>
  <c r="P2964" i="122" s="1"/>
  <c r="O2977" i="122"/>
  <c r="P2977" i="122" s="1"/>
  <c r="O3427" i="122"/>
  <c r="P3427" i="122" s="1"/>
  <c r="O3464" i="122"/>
  <c r="P3464" i="122" s="1"/>
  <c r="P2711" i="122"/>
  <c r="P2775" i="122"/>
  <c r="P2862" i="122"/>
  <c r="O2907" i="122"/>
  <c r="P2907" i="122"/>
  <c r="O3417" i="122"/>
  <c r="P3417" i="122"/>
  <c r="O3573" i="122"/>
  <c r="P3573" i="122" s="1"/>
  <c r="O3600" i="122"/>
  <c r="P3600" i="122" s="1"/>
  <c r="P2825" i="122"/>
  <c r="O2847" i="122"/>
  <c r="P2847" i="122"/>
  <c r="O3455" i="122"/>
  <c r="P3455" i="122" s="1"/>
  <c r="P4032" i="122"/>
  <c r="O4035" i="122"/>
  <c r="P4035" i="122"/>
  <c r="P2890" i="122"/>
  <c r="O3361" i="122"/>
  <c r="P3361" i="122"/>
  <c r="O3395" i="122"/>
  <c r="P3395" i="122"/>
  <c r="O3481" i="122"/>
  <c r="P3481" i="122" s="1"/>
  <c r="P3535" i="122"/>
  <c r="P3642" i="122"/>
  <c r="O4262" i="122"/>
  <c r="P4262" i="122" s="1"/>
  <c r="O2843" i="122"/>
  <c r="P2843" i="122"/>
  <c r="P2867" i="122"/>
  <c r="O2890" i="122"/>
  <c r="P2899" i="122"/>
  <c r="P2981" i="122"/>
  <c r="P3382" i="122"/>
  <c r="P3423" i="122"/>
  <c r="O3462" i="122"/>
  <c r="P3462" i="122"/>
  <c r="O3572" i="122"/>
  <c r="P3572" i="122" s="1"/>
  <c r="O4172" i="122"/>
  <c r="P4172" i="122" s="1"/>
  <c r="O4259" i="122"/>
  <c r="P4259" i="122"/>
  <c r="O3648" i="122"/>
  <c r="P3648" i="122" s="1"/>
  <c r="P4056" i="122"/>
  <c r="O4303" i="122"/>
  <c r="P4303" i="122"/>
  <c r="O4776" i="122"/>
  <c r="P4776" i="122" s="1"/>
  <c r="O4904" i="122"/>
  <c r="P4904" i="122" s="1"/>
  <c r="O3409" i="122"/>
  <c r="P3409" i="122"/>
  <c r="P4104" i="122"/>
  <c r="P4120" i="122"/>
  <c r="O4120" i="122"/>
  <c r="O4152" i="122"/>
  <c r="P4152" i="122"/>
  <c r="P4224" i="122"/>
  <c r="O4224" i="122"/>
  <c r="P4254" i="122"/>
  <c r="O3540" i="122"/>
  <c r="P3540" i="122"/>
  <c r="O3591" i="122"/>
  <c r="P3591" i="122" s="1"/>
  <c r="P4704" i="122"/>
  <c r="O3457" i="122"/>
  <c r="P3457" i="122"/>
  <c r="P3488" i="122"/>
  <c r="P3508" i="122"/>
  <c r="O3571" i="122"/>
  <c r="P3571" i="122" s="1"/>
  <c r="P4140" i="122"/>
  <c r="O4216" i="122"/>
  <c r="P4216" i="122" s="1"/>
  <c r="P4246" i="122"/>
  <c r="P4260" i="122"/>
  <c r="P4160" i="122"/>
  <c r="P4239" i="122"/>
  <c r="O4260" i="122"/>
  <c r="O4803" i="122"/>
  <c r="P4803" i="122" s="1"/>
  <c r="P4268" i="122"/>
  <c r="P4781" i="122"/>
  <c r="O4800" i="122"/>
  <c r="P4800" i="122" s="1"/>
  <c r="P4984" i="122"/>
  <c r="P4103" i="122"/>
  <c r="O4268" i="122"/>
  <c r="O4712" i="122"/>
  <c r="P4712" i="122"/>
  <c r="O4851" i="122"/>
  <c r="P4851" i="122"/>
  <c r="P4084" i="122"/>
  <c r="P4184" i="122"/>
  <c r="P4232" i="122"/>
  <c r="O4795" i="122"/>
  <c r="P4795" i="122" s="1"/>
  <c r="P4244" i="122"/>
  <c r="P4880" i="122"/>
  <c r="P4768" i="122"/>
  <c r="O4768" i="122"/>
  <c r="P4864" i="122"/>
  <c r="O4864" i="122"/>
  <c r="O4899" i="122"/>
  <c r="P4899" i="122" s="1"/>
  <c r="P4915" i="122"/>
  <c r="O4993" i="122"/>
  <c r="P4993" i="122" s="1"/>
  <c r="P4252" i="122"/>
  <c r="O4736" i="122"/>
  <c r="P4736" i="122" s="1"/>
  <c r="O4765" i="122"/>
  <c r="P4765" i="122" s="1"/>
  <c r="O4816" i="122"/>
  <c r="P4816" i="122" s="1"/>
  <c r="P4819" i="122"/>
  <c r="O4825" i="122"/>
  <c r="P4825" i="122"/>
  <c r="O4915" i="122"/>
  <c r="O4973" i="122"/>
  <c r="P4973" i="122"/>
  <c r="O4977" i="122"/>
  <c r="P4977" i="122"/>
  <c r="P4983" i="122"/>
  <c r="O4865" i="122"/>
  <c r="P4865" i="122" s="1"/>
  <c r="P4928" i="122"/>
  <c r="O4928" i="122"/>
  <c r="P4931" i="122"/>
  <c r="P4929" i="122"/>
  <c r="O4713" i="122"/>
  <c r="P4713" i="122" s="1"/>
  <c r="O4972" i="122"/>
  <c r="P4972" i="122" s="1"/>
  <c r="O4983" i="122"/>
  <c r="P4985" i="122"/>
  <c r="P4801" i="122"/>
  <c r="O2868" i="122"/>
  <c r="P2868" i="122" s="1"/>
  <c r="O2109" i="122"/>
  <c r="P2109" i="122" s="1"/>
  <c r="O115" i="122"/>
  <c r="P115" i="122" s="1"/>
  <c r="P219" i="122"/>
  <c r="O219" i="122"/>
  <c r="O879" i="122"/>
  <c r="P879" i="122" s="1"/>
  <c r="P1406" i="122"/>
  <c r="O1406" i="122"/>
  <c r="O215" i="122"/>
  <c r="P215" i="122" s="1"/>
  <c r="P687" i="122"/>
  <c r="O687" i="122"/>
  <c r="O55" i="122"/>
  <c r="P55" i="122" s="1"/>
  <c r="O131" i="122"/>
  <c r="P131" i="122" s="1"/>
  <c r="O783" i="122"/>
  <c r="P783" i="122" s="1"/>
  <c r="O27" i="122"/>
  <c r="P27" i="122" s="1"/>
  <c r="O35" i="122"/>
  <c r="P35" i="122" s="1"/>
  <c r="O59" i="122"/>
  <c r="P59" i="122" s="1"/>
  <c r="P89" i="122"/>
  <c r="O294" i="122"/>
  <c r="P294" i="122" s="1"/>
  <c r="O1411" i="122"/>
  <c r="P1411" i="122" s="1"/>
  <c r="O15" i="122"/>
  <c r="P15" i="122" s="1"/>
  <c r="O31" i="122"/>
  <c r="P31" i="122" s="1"/>
  <c r="O39" i="122"/>
  <c r="P39" i="122"/>
  <c r="O147" i="122"/>
  <c r="P147" i="122" s="1"/>
  <c r="O191" i="122"/>
  <c r="P191" i="122" s="1"/>
  <c r="O203" i="122"/>
  <c r="P203" i="122" s="1"/>
  <c r="P247" i="122"/>
  <c r="O247" i="122"/>
  <c r="O298" i="122"/>
  <c r="P298" i="122" s="1"/>
  <c r="O682" i="122"/>
  <c r="P682" i="122" s="1"/>
  <c r="O751" i="122"/>
  <c r="P751" i="122" s="1"/>
  <c r="O1539" i="122"/>
  <c r="P1539" i="122"/>
  <c r="O231" i="122"/>
  <c r="P231" i="122" s="1"/>
  <c r="O286" i="122"/>
  <c r="P286" i="122" s="1"/>
  <c r="O123" i="122"/>
  <c r="P123" i="122" s="1"/>
  <c r="O67" i="122"/>
  <c r="P67" i="122" s="1"/>
  <c r="O742" i="122"/>
  <c r="P742" i="122" s="1"/>
  <c r="P906" i="122"/>
  <c r="O906" i="122"/>
  <c r="O2221" i="122"/>
  <c r="P2221" i="122" s="1"/>
  <c r="O11" i="122"/>
  <c r="P11" i="122" s="1"/>
  <c r="O139" i="122"/>
  <c r="P139" i="122" s="1"/>
  <c r="P746" i="122"/>
  <c r="O746" i="122"/>
  <c r="O778" i="122"/>
  <c r="P778" i="122" s="1"/>
  <c r="P1470" i="122"/>
  <c r="O1470" i="122"/>
  <c r="O1566" i="122"/>
  <c r="P1566" i="122" s="1"/>
  <c r="P2234" i="122"/>
  <c r="O2234" i="122"/>
  <c r="O99" i="122"/>
  <c r="P99" i="122" s="1"/>
  <c r="P155" i="122"/>
  <c r="O155" i="122"/>
  <c r="O171" i="122"/>
  <c r="P171" i="122" s="1"/>
  <c r="P183" i="122"/>
  <c r="O183" i="122"/>
  <c r="O199" i="122"/>
  <c r="P199" i="122" s="1"/>
  <c r="O239" i="122"/>
  <c r="P239" i="122" s="1"/>
  <c r="O251" i="122"/>
  <c r="P251" i="122" s="1"/>
  <c r="O302" i="122"/>
  <c r="P302" i="122" s="1"/>
  <c r="O1379" i="122"/>
  <c r="P1379" i="122"/>
  <c r="P1502" i="122"/>
  <c r="O1502" i="122"/>
  <c r="O1571" i="122"/>
  <c r="P1571" i="122" s="1"/>
  <c r="O83" i="122"/>
  <c r="P83" i="122" s="1"/>
  <c r="O683" i="122"/>
  <c r="P683" i="122" s="1"/>
  <c r="O714" i="122"/>
  <c r="P714" i="122" s="1"/>
  <c r="P75" i="122"/>
  <c r="O75" i="122"/>
  <c r="O51" i="122"/>
  <c r="P51" i="122" s="1"/>
  <c r="O47" i="122"/>
  <c r="P47" i="122" s="1"/>
  <c r="O211" i="122"/>
  <c r="P211" i="122" s="1"/>
  <c r="O207" i="122"/>
  <c r="P207" i="122" s="1"/>
  <c r="P91" i="122"/>
  <c r="O91" i="122"/>
  <c r="P163" i="122"/>
  <c r="O163" i="122"/>
  <c r="O175" i="122"/>
  <c r="P175" i="122" s="1"/>
  <c r="O1443" i="122"/>
  <c r="P1443" i="122" s="1"/>
  <c r="O1475" i="122"/>
  <c r="P1475" i="122" s="1"/>
  <c r="P64" i="122"/>
  <c r="P72" i="122"/>
  <c r="O119" i="122"/>
  <c r="P119" i="122" s="1"/>
  <c r="O201" i="122"/>
  <c r="P201" i="122" s="1"/>
  <c r="O209" i="122"/>
  <c r="P209" i="122" s="1"/>
  <c r="O1415" i="122"/>
  <c r="P1415" i="122" s="1"/>
  <c r="P1562" i="122"/>
  <c r="O1562" i="122"/>
  <c r="O1575" i="122"/>
  <c r="P1575" i="122" s="1"/>
  <c r="P2029" i="122"/>
  <c r="O2029" i="122"/>
  <c r="O2037" i="122"/>
  <c r="P2037" i="122" s="1"/>
  <c r="O2116" i="122"/>
  <c r="P2116" i="122" s="1"/>
  <c r="O2157" i="122"/>
  <c r="P2157" i="122" s="1"/>
  <c r="O2228" i="122"/>
  <c r="P2228" i="122" s="1"/>
  <c r="O2708" i="122"/>
  <c r="P2708" i="122" s="1"/>
  <c r="P3414" i="122"/>
  <c r="O46" i="122"/>
  <c r="P46" i="122" s="1"/>
  <c r="O54" i="122"/>
  <c r="P54" i="122" s="1"/>
  <c r="O64" i="122"/>
  <c r="O125" i="122"/>
  <c r="P125" i="122" s="1"/>
  <c r="O133" i="122"/>
  <c r="P133" i="122" s="1"/>
  <c r="O149" i="122"/>
  <c r="P149" i="122" s="1"/>
  <c r="O225" i="122"/>
  <c r="P225" i="122" s="1"/>
  <c r="O706" i="122"/>
  <c r="P706" i="122" s="1"/>
  <c r="P709" i="122"/>
  <c r="O718" i="122"/>
  <c r="P718" i="122" s="1"/>
  <c r="P770" i="122"/>
  <c r="O770" i="122"/>
  <c r="O774" i="122"/>
  <c r="P774" i="122" s="1"/>
  <c r="P795" i="122"/>
  <c r="O1497" i="122"/>
  <c r="P1497" i="122" s="1"/>
  <c r="P1501" i="122"/>
  <c r="O1590" i="122"/>
  <c r="P1590" i="122" s="1"/>
  <c r="P1637" i="122"/>
  <c r="O1637" i="122"/>
  <c r="O2021" i="122"/>
  <c r="P2021" i="122" s="1"/>
  <c r="O2052" i="122"/>
  <c r="P2052" i="122" s="1"/>
  <c r="P2090" i="122"/>
  <c r="O2090" i="122"/>
  <c r="O2114" i="122"/>
  <c r="P2114" i="122" s="1"/>
  <c r="P2202" i="122"/>
  <c r="O2202" i="122"/>
  <c r="P2717" i="122"/>
  <c r="O2717" i="122"/>
  <c r="O2877" i="122"/>
  <c r="P2877" i="122" s="1"/>
  <c r="O2971" i="122"/>
  <c r="P2971" i="122" s="1"/>
  <c r="O41" i="122"/>
  <c r="P41" i="122" s="1"/>
  <c r="O62" i="122"/>
  <c r="P62" i="122" s="1"/>
  <c r="O86" i="122"/>
  <c r="P86" i="122" s="1"/>
  <c r="P141" i="122"/>
  <c r="P157" i="122"/>
  <c r="P241" i="122"/>
  <c r="P25" i="122"/>
  <c r="P49" i="122"/>
  <c r="P60" i="122"/>
  <c r="O73" i="122"/>
  <c r="P73" i="122" s="1"/>
  <c r="O81" i="122"/>
  <c r="P81" i="122" s="1"/>
  <c r="O89" i="122"/>
  <c r="P100" i="122"/>
  <c r="O105" i="122"/>
  <c r="P105" i="122" s="1"/>
  <c r="O120" i="122"/>
  <c r="P120" i="122" s="1"/>
  <c r="O136" i="122"/>
  <c r="P136" i="122" s="1"/>
  <c r="P184" i="122"/>
  <c r="P210" i="122"/>
  <c r="O210" i="122"/>
  <c r="O218" i="122"/>
  <c r="P218" i="122" s="1"/>
  <c r="P299" i="122"/>
  <c r="P301" i="122"/>
  <c r="O301" i="122"/>
  <c r="O686" i="122"/>
  <c r="P686" i="122" s="1"/>
  <c r="O731" i="122"/>
  <c r="P731" i="122" s="1"/>
  <c r="O734" i="122"/>
  <c r="P734" i="122" s="1"/>
  <c r="P739" i="122"/>
  <c r="O739" i="122"/>
  <c r="P745" i="122"/>
  <c r="O758" i="122"/>
  <c r="P758" i="122" s="1"/>
  <c r="O858" i="122"/>
  <c r="P858" i="122" s="1"/>
  <c r="O866" i="122"/>
  <c r="P866" i="122" s="1"/>
  <c r="P870" i="122"/>
  <c r="O870" i="122"/>
  <c r="P895" i="122"/>
  <c r="P899" i="122"/>
  <c r="O899" i="122"/>
  <c r="O922" i="122"/>
  <c r="P922" i="122" s="1"/>
  <c r="O965" i="122"/>
  <c r="P965" i="122" s="1"/>
  <c r="O972" i="122"/>
  <c r="P972" i="122" s="1"/>
  <c r="O1366" i="122"/>
  <c r="P1366" i="122" s="1"/>
  <c r="P1395" i="122"/>
  <c r="P1399" i="122"/>
  <c r="O1399" i="122"/>
  <c r="O1403" i="122"/>
  <c r="P1403" i="122" s="1"/>
  <c r="O1407" i="122"/>
  <c r="P1407" i="122" s="1"/>
  <c r="P1430" i="122"/>
  <c r="O1430" i="122"/>
  <c r="P1459" i="122"/>
  <c r="O1463" i="122"/>
  <c r="P1463" i="122" s="1"/>
  <c r="O1467" i="122"/>
  <c r="P1467" i="122" s="1"/>
  <c r="P1471" i="122"/>
  <c r="O1471" i="122"/>
  <c r="O1498" i="122"/>
  <c r="P1498" i="122" s="1"/>
  <c r="O1526" i="122"/>
  <c r="P1526" i="122" s="1"/>
  <c r="P1555" i="122"/>
  <c r="O1559" i="122"/>
  <c r="P1559" i="122" s="1"/>
  <c r="O1563" i="122"/>
  <c r="P1563" i="122" s="1"/>
  <c r="P1567" i="122"/>
  <c r="O1567" i="122"/>
  <c r="O2022" i="122"/>
  <c r="P2022" i="122"/>
  <c r="P2030" i="122"/>
  <c r="P2034" i="122"/>
  <c r="O2034" i="122"/>
  <c r="P2042" i="122"/>
  <c r="O2042" i="122"/>
  <c r="O2150" i="122"/>
  <c r="P2150" i="122"/>
  <c r="P2158" i="122"/>
  <c r="O2162" i="122"/>
  <c r="P2162" i="122" s="1"/>
  <c r="P2170" i="122"/>
  <c r="O2170" i="122"/>
  <c r="O2229" i="122"/>
  <c r="P2229" i="122" s="1"/>
  <c r="O2737" i="122"/>
  <c r="P2737" i="122" s="1"/>
  <c r="O2749" i="122"/>
  <c r="P2749" i="122" s="1"/>
  <c r="P4237" i="122"/>
  <c r="O4237" i="122"/>
  <c r="P143" i="122"/>
  <c r="O143" i="122"/>
  <c r="O715" i="122"/>
  <c r="P715" i="122" s="1"/>
  <c r="O719" i="122"/>
  <c r="P719" i="122" s="1"/>
  <c r="O779" i="122"/>
  <c r="P779" i="122" s="1"/>
  <c r="O805" i="122"/>
  <c r="P805" i="122"/>
  <c r="O851" i="122"/>
  <c r="P851" i="122" s="1"/>
  <c r="O1371" i="122"/>
  <c r="P1371" i="122" s="1"/>
  <c r="O1398" i="122"/>
  <c r="P1398" i="122" s="1"/>
  <c r="P1435" i="122"/>
  <c r="O1435" i="122"/>
  <c r="O1462" i="122"/>
  <c r="P1462" i="122" s="1"/>
  <c r="O2173" i="122"/>
  <c r="P2173" i="122" s="1"/>
  <c r="P2205" i="122"/>
  <c r="O2205" i="122"/>
  <c r="O138" i="122"/>
  <c r="P138" i="122" s="1"/>
  <c r="O162" i="122"/>
  <c r="P162" i="122" s="1"/>
  <c r="O782" i="122"/>
  <c r="P782" i="122" s="1"/>
  <c r="O1351" i="122"/>
  <c r="P1351" i="122" s="1"/>
  <c r="O1378" i="122"/>
  <c r="P1378" i="122" s="1"/>
  <c r="O1479" i="122"/>
  <c r="P1479" i="122" s="1"/>
  <c r="O1511" i="122"/>
  <c r="P1511" i="122" s="1"/>
  <c r="O2165" i="122"/>
  <c r="P2165" i="122" s="1"/>
  <c r="O2197" i="122"/>
  <c r="P2197" i="122" s="1"/>
  <c r="O2309" i="122"/>
  <c r="P2309" i="122" s="1"/>
  <c r="O2744" i="122"/>
  <c r="P2744" i="122" s="1"/>
  <c r="P2809" i="122"/>
  <c r="O2809" i="122"/>
  <c r="O2976" i="122"/>
  <c r="P2976" i="122" s="1"/>
  <c r="P22" i="122"/>
  <c r="O22" i="122"/>
  <c r="O30" i="122"/>
  <c r="P30" i="122" s="1"/>
  <c r="O38" i="122"/>
  <c r="P38" i="122" s="1"/>
  <c r="O117" i="122"/>
  <c r="P117" i="122" s="1"/>
  <c r="O165" i="122"/>
  <c r="P165" i="122" s="1"/>
  <c r="O180" i="122"/>
  <c r="P180" i="122" s="1"/>
  <c r="P244" i="122"/>
  <c r="O293" i="122"/>
  <c r="P293" i="122" s="1"/>
  <c r="P755" i="122"/>
  <c r="O814" i="122"/>
  <c r="P814" i="122" s="1"/>
  <c r="P827" i="122"/>
  <c r="O846" i="122"/>
  <c r="P846" i="122" s="1"/>
  <c r="O1490" i="122"/>
  <c r="P1490" i="122" s="1"/>
  <c r="O1586" i="122"/>
  <c r="P1586" i="122" s="1"/>
  <c r="O2149" i="122"/>
  <c r="P2149" i="122" s="1"/>
  <c r="O2226" i="122"/>
  <c r="P2226" i="122" s="1"/>
  <c r="O2756" i="122"/>
  <c r="P2756" i="122" s="1"/>
  <c r="P2857" i="122"/>
  <c r="O2857" i="122"/>
  <c r="O17" i="122"/>
  <c r="P17" i="122" s="1"/>
  <c r="O33" i="122"/>
  <c r="P33" i="122" s="1"/>
  <c r="O70" i="122"/>
  <c r="P70" i="122" s="1"/>
  <c r="O78" i="122"/>
  <c r="P78" i="122" s="1"/>
  <c r="O112" i="122"/>
  <c r="P112" i="122" s="1"/>
  <c r="O194" i="122"/>
  <c r="P194" i="122" s="1"/>
  <c r="O196" i="122"/>
  <c r="P196" i="122" s="1"/>
  <c r="P735" i="122"/>
  <c r="O794" i="122"/>
  <c r="P794" i="122" s="1"/>
  <c r="O802" i="122"/>
  <c r="P802" i="122" s="1"/>
  <c r="O826" i="122"/>
  <c r="P826" i="122" s="1"/>
  <c r="O2026" i="122"/>
  <c r="P2026" i="122" s="1"/>
  <c r="O2050" i="122"/>
  <c r="P2050" i="122" s="1"/>
  <c r="O2086" i="122"/>
  <c r="P2086" i="122" s="1"/>
  <c r="P2098" i="122"/>
  <c r="O2098" i="122"/>
  <c r="O2106" i="122"/>
  <c r="P2106" i="122" s="1"/>
  <c r="O2154" i="122"/>
  <c r="P2154" i="122" s="1"/>
  <c r="P2178" i="122"/>
  <c r="O2178" i="122"/>
  <c r="O2198" i="122"/>
  <c r="P2198" i="122" s="1"/>
  <c r="P2206" i="122"/>
  <c r="O2210" i="122"/>
  <c r="P2210" i="122" s="1"/>
  <c r="O2218" i="122"/>
  <c r="P2218" i="122" s="1"/>
  <c r="O2242" i="122"/>
  <c r="P2242" i="122" s="1"/>
  <c r="O2261" i="122"/>
  <c r="P2261" i="122" s="1"/>
  <c r="O2300" i="122"/>
  <c r="P2300" i="122" s="1"/>
  <c r="O2732" i="122"/>
  <c r="P2732" i="122" s="1"/>
  <c r="O2797" i="122"/>
  <c r="P2797" i="122" s="1"/>
  <c r="P2835" i="122"/>
  <c r="O2840" i="122"/>
  <c r="P2840" i="122" s="1"/>
  <c r="O2869" i="122"/>
  <c r="P2869" i="122" s="1"/>
  <c r="O2893" i="122"/>
  <c r="P2893" i="122" s="1"/>
  <c r="O2968" i="122"/>
  <c r="P2968" i="122" s="1"/>
  <c r="O65" i="122"/>
  <c r="P65" i="122" s="1"/>
  <c r="P76" i="122"/>
  <c r="P84" i="122"/>
  <c r="P92" i="122"/>
  <c r="O97" i="122"/>
  <c r="P97" i="122" s="1"/>
  <c r="P108" i="122"/>
  <c r="P110" i="122"/>
  <c r="O110" i="122"/>
  <c r="O168" i="122"/>
  <c r="P168" i="122" s="1"/>
  <c r="O181" i="122"/>
  <c r="P181" i="122" s="1"/>
  <c r="O189" i="122"/>
  <c r="P189" i="122" s="1"/>
  <c r="O202" i="122"/>
  <c r="P202" i="122" s="1"/>
  <c r="O291" i="122"/>
  <c r="P291" i="122" s="1"/>
  <c r="O20" i="122"/>
  <c r="P20" i="122" s="1"/>
  <c r="O28" i="122"/>
  <c r="P28" i="122" s="1"/>
  <c r="O52" i="122"/>
  <c r="P52" i="122" s="1"/>
  <c r="P118" i="122"/>
  <c r="O118" i="122"/>
  <c r="P126" i="122"/>
  <c r="O126" i="122"/>
  <c r="O134" i="122"/>
  <c r="P134" i="122" s="1"/>
  <c r="O142" i="122"/>
  <c r="P142" i="122" s="1"/>
  <c r="O158" i="122"/>
  <c r="P158" i="122" s="1"/>
  <c r="O176" i="122"/>
  <c r="P176" i="122" s="1"/>
  <c r="P200" i="122"/>
  <c r="P208" i="122"/>
  <c r="P216" i="122"/>
  <c r="O234" i="122"/>
  <c r="P234" i="122" s="1"/>
  <c r="O242" i="122"/>
  <c r="P242" i="122" s="1"/>
  <c r="P287" i="122"/>
  <c r="O289" i="122"/>
  <c r="P289" i="122" s="1"/>
  <c r="P691" i="122"/>
  <c r="P703" i="122"/>
  <c r="O726" i="122"/>
  <c r="P726" i="122" s="1"/>
  <c r="O730" i="122"/>
  <c r="P730" i="122" s="1"/>
  <c r="O737" i="122"/>
  <c r="P737" i="122" s="1"/>
  <c r="P767" i="122"/>
  <c r="O775" i="122"/>
  <c r="P775" i="122" s="1"/>
  <c r="O901" i="122"/>
  <c r="P901" i="122" s="1"/>
  <c r="O915" i="122"/>
  <c r="P915" i="122" s="1"/>
  <c r="O1370" i="122"/>
  <c r="P1370" i="122" s="1"/>
  <c r="O1383" i="122"/>
  <c r="P1383" i="122" s="1"/>
  <c r="O1410" i="122"/>
  <c r="P1410" i="122" s="1"/>
  <c r="O1434" i="122"/>
  <c r="P1434" i="122" s="1"/>
  <c r="O1474" i="122"/>
  <c r="P1474" i="122" s="1"/>
  <c r="P1530" i="122"/>
  <c r="O1530" i="122"/>
  <c r="O1543" i="122"/>
  <c r="P1543" i="122" s="1"/>
  <c r="O1570" i="122"/>
  <c r="P1570" i="122" s="1"/>
  <c r="P2066" i="122"/>
  <c r="O2066" i="122"/>
  <c r="O2130" i="122"/>
  <c r="P2130" i="122" s="1"/>
  <c r="P2896" i="122"/>
  <c r="O2896" i="122"/>
  <c r="O3386" i="122"/>
  <c r="P3386" i="122" s="1"/>
  <c r="P88" i="122"/>
  <c r="O127" i="122"/>
  <c r="P127" i="122" s="1"/>
  <c r="O159" i="122"/>
  <c r="P159" i="122" s="1"/>
  <c r="P188" i="122"/>
  <c r="P206" i="122"/>
  <c r="O206" i="122"/>
  <c r="O214" i="122"/>
  <c r="P214" i="122" s="1"/>
  <c r="O227" i="122"/>
  <c r="P227" i="122" s="1"/>
  <c r="O243" i="122"/>
  <c r="P243" i="122" s="1"/>
  <c r="P283" i="122"/>
  <c r="O285" i="122"/>
  <c r="P285" i="122" s="1"/>
  <c r="O798" i="122"/>
  <c r="P798" i="122" s="1"/>
  <c r="O815" i="122"/>
  <c r="P815" i="122" s="1"/>
  <c r="O819" i="122"/>
  <c r="P819" i="122" s="1"/>
  <c r="O830" i="122"/>
  <c r="P830" i="122" s="1"/>
  <c r="O847" i="122"/>
  <c r="P847" i="122" s="1"/>
  <c r="O890" i="122"/>
  <c r="P890" i="122" s="1"/>
  <c r="O898" i="122"/>
  <c r="P898" i="122" s="1"/>
  <c r="P902" i="122"/>
  <c r="O902" i="122"/>
  <c r="P1367" i="122"/>
  <c r="O1367" i="122"/>
  <c r="P1375" i="122"/>
  <c r="O1375" i="122"/>
  <c r="O1431" i="122"/>
  <c r="P1431" i="122" s="1"/>
  <c r="P1527" i="122"/>
  <c r="O1527" i="122"/>
  <c r="O1535" i="122"/>
  <c r="P1535" i="122" s="1"/>
  <c r="O2077" i="122"/>
  <c r="P2077" i="122" s="1"/>
  <c r="P2093" i="122"/>
  <c r="O2093" i="122"/>
  <c r="P2101" i="122"/>
  <c r="O2101" i="122"/>
  <c r="O2122" i="122"/>
  <c r="P2122" i="122" s="1"/>
  <c r="P2180" i="122"/>
  <c r="O2213" i="122"/>
  <c r="P2213" i="122" s="1"/>
  <c r="O2773" i="122"/>
  <c r="P2773" i="122" s="1"/>
  <c r="O114" i="122"/>
  <c r="P114" i="122" s="1"/>
  <c r="O122" i="122"/>
  <c r="P122" i="122" s="1"/>
  <c r="O130" i="122"/>
  <c r="P130" i="122" s="1"/>
  <c r="O154" i="122"/>
  <c r="P154" i="122" s="1"/>
  <c r="O750" i="122"/>
  <c r="P750" i="122" s="1"/>
  <c r="O811" i="122"/>
  <c r="P811" i="122" s="1"/>
  <c r="P841" i="122"/>
  <c r="O843" i="122"/>
  <c r="P843" i="122" s="1"/>
  <c r="O883" i="122"/>
  <c r="P883" i="122" s="1"/>
  <c r="O1402" i="122"/>
  <c r="P1402" i="122" s="1"/>
  <c r="P1442" i="122"/>
  <c r="O1442" i="122"/>
  <c r="O1466" i="122"/>
  <c r="P1466" i="122" s="1"/>
  <c r="O2085" i="122"/>
  <c r="P2085" i="122" s="1"/>
  <c r="O2864" i="122"/>
  <c r="P2864" i="122" s="1"/>
  <c r="O14" i="122"/>
  <c r="P14" i="122" s="1"/>
  <c r="O72" i="122"/>
  <c r="O96" i="122"/>
  <c r="P96" i="122" s="1"/>
  <c r="P144" i="122"/>
  <c r="P152" i="122"/>
  <c r="P217" i="122"/>
  <c r="O762" i="122"/>
  <c r="P762" i="122" s="1"/>
  <c r="O859" i="122"/>
  <c r="P859" i="122" s="1"/>
  <c r="P873" i="122"/>
  <c r="P875" i="122"/>
  <c r="O875" i="122"/>
  <c r="P966" i="122"/>
  <c r="O974" i="122"/>
  <c r="P974" i="122" s="1"/>
  <c r="P12" i="122"/>
  <c r="P36" i="122"/>
  <c r="O94" i="122"/>
  <c r="P94" i="122" s="1"/>
  <c r="O102" i="122"/>
  <c r="P102" i="122" s="1"/>
  <c r="O178" i="122"/>
  <c r="P178" i="122" s="1"/>
  <c r="O204" i="122"/>
  <c r="P204" i="122" s="1"/>
  <c r="O220" i="122"/>
  <c r="P220" i="122" s="1"/>
  <c r="P723" i="122"/>
  <c r="O806" i="122"/>
  <c r="P806" i="122" s="1"/>
  <c r="O834" i="122"/>
  <c r="P834" i="122" s="1"/>
  <c r="O878" i="122"/>
  <c r="P878" i="122" s="1"/>
  <c r="O903" i="122"/>
  <c r="P903" i="122" s="1"/>
  <c r="O1362" i="122"/>
  <c r="P1362" i="122" s="1"/>
  <c r="O1369" i="122"/>
  <c r="P1369" i="122" s="1"/>
  <c r="P1373" i="122"/>
  <c r="O1390" i="122"/>
  <c r="P1390" i="122" s="1"/>
  <c r="P1426" i="122"/>
  <c r="O1426" i="122"/>
  <c r="O1433" i="122"/>
  <c r="P1433" i="122"/>
  <c r="P1437" i="122"/>
  <c r="O1454" i="122"/>
  <c r="P1454" i="122" s="1"/>
  <c r="P1494" i="122"/>
  <c r="O1494" i="122"/>
  <c r="P1533" i="122"/>
  <c r="P1550" i="122"/>
  <c r="O1550" i="122"/>
  <c r="P18" i="122"/>
  <c r="O18" i="122"/>
  <c r="O26" i="122"/>
  <c r="P26" i="122" s="1"/>
  <c r="O34" i="122"/>
  <c r="P34" i="122" s="1"/>
  <c r="O50" i="122"/>
  <c r="P50" i="122" s="1"/>
  <c r="O63" i="122"/>
  <c r="P63" i="122" s="1"/>
  <c r="O71" i="122"/>
  <c r="P71" i="122" s="1"/>
  <c r="O79" i="122"/>
  <c r="P79" i="122" s="1"/>
  <c r="O87" i="122"/>
  <c r="P87" i="122" s="1"/>
  <c r="O95" i="122"/>
  <c r="P95" i="122" s="1"/>
  <c r="P103" i="122"/>
  <c r="O103" i="122"/>
  <c r="P116" i="122"/>
  <c r="P124" i="122"/>
  <c r="P140" i="122"/>
  <c r="P156" i="122"/>
  <c r="P164" i="122"/>
  <c r="P172" i="122"/>
  <c r="O174" i="122"/>
  <c r="P174" i="122" s="1"/>
  <c r="O179" i="122"/>
  <c r="P179" i="122" s="1"/>
  <c r="O187" i="122"/>
  <c r="P187" i="122" s="1"/>
  <c r="P224" i="122"/>
  <c r="P240" i="122"/>
  <c r="P248" i="122"/>
  <c r="O250" i="122"/>
  <c r="P250" i="122" s="1"/>
  <c r="P282" i="122"/>
  <c r="O282" i="122"/>
  <c r="M681" i="122"/>
  <c r="J1345" i="122"/>
  <c r="O702" i="122"/>
  <c r="P702" i="122" s="1"/>
  <c r="O707" i="122"/>
  <c r="P707" i="122" s="1"/>
  <c r="O710" i="122"/>
  <c r="P710" i="122" s="1"/>
  <c r="O747" i="122"/>
  <c r="P747" i="122" s="1"/>
  <c r="O771" i="122"/>
  <c r="P771" i="122" s="1"/>
  <c r="O790" i="122"/>
  <c r="P790" i="122" s="1"/>
  <c r="O807" i="122"/>
  <c r="P807" i="122" s="1"/>
  <c r="O810" i="122"/>
  <c r="P810" i="122" s="1"/>
  <c r="O822" i="122"/>
  <c r="P822" i="122" s="1"/>
  <c r="O842" i="122"/>
  <c r="P842" i="122" s="1"/>
  <c r="O894" i="122"/>
  <c r="P894" i="122" s="1"/>
  <c r="O907" i="122"/>
  <c r="P907" i="122" s="1"/>
  <c r="O961" i="122"/>
  <c r="P961" i="122" s="1"/>
  <c r="P1374" i="122"/>
  <c r="O1374" i="122"/>
  <c r="P1438" i="122"/>
  <c r="O1438" i="122"/>
  <c r="P1534" i="122"/>
  <c r="O1534" i="122"/>
  <c r="P1582" i="122"/>
  <c r="O1582" i="122"/>
  <c r="P1633" i="122"/>
  <c r="O1633" i="122"/>
  <c r="O2079" i="122"/>
  <c r="P2079" i="122" s="1"/>
  <c r="O2087" i="122"/>
  <c r="P2087" i="122" s="1"/>
  <c r="P2199" i="122"/>
  <c r="O2199" i="122"/>
  <c r="O2296" i="122"/>
  <c r="P2296" i="122" s="1"/>
  <c r="O2813" i="122"/>
  <c r="P2813" i="122" s="1"/>
  <c r="O2820" i="122"/>
  <c r="P2820" i="122" s="1"/>
  <c r="O2975" i="122"/>
  <c r="P2975" i="122" s="1"/>
  <c r="P80" i="122"/>
  <c r="P104" i="122"/>
  <c r="O151" i="122"/>
  <c r="P151" i="122" s="1"/>
  <c r="O235" i="122"/>
  <c r="P235" i="122" s="1"/>
  <c r="O290" i="122"/>
  <c r="P290" i="122" s="1"/>
  <c r="P867" i="122"/>
  <c r="O867" i="122"/>
  <c r="O1439" i="122"/>
  <c r="P1439" i="122" s="1"/>
  <c r="O1531" i="122"/>
  <c r="P1531" i="122" s="1"/>
  <c r="O1558" i="122"/>
  <c r="P1558" i="122" s="1"/>
  <c r="O1622" i="122"/>
  <c r="P1622" i="122" s="1"/>
  <c r="O2045" i="122"/>
  <c r="P2045" i="122" s="1"/>
  <c r="P2768" i="122"/>
  <c r="O2768" i="122"/>
  <c r="O2804" i="122"/>
  <c r="P2804" i="122" s="1"/>
  <c r="O2924" i="122"/>
  <c r="P2924" i="122" s="1"/>
  <c r="O146" i="122"/>
  <c r="P146" i="122" s="1"/>
  <c r="O230" i="122"/>
  <c r="P230" i="122" s="1"/>
  <c r="O238" i="122"/>
  <c r="P238" i="122" s="1"/>
  <c r="O246" i="122"/>
  <c r="P246" i="122" s="1"/>
  <c r="P303" i="122"/>
  <c r="O711" i="122"/>
  <c r="P711" i="122" s="1"/>
  <c r="P809" i="122"/>
  <c r="P862" i="122"/>
  <c r="O862" i="122"/>
  <c r="O869" i="122"/>
  <c r="P869" i="122" s="1"/>
  <c r="P160" i="122"/>
  <c r="P228" i="122"/>
  <c r="O186" i="122"/>
  <c r="P186" i="122" s="1"/>
  <c r="O212" i="122"/>
  <c r="P212" i="122" s="1"/>
  <c r="P252" i="122"/>
  <c r="O970" i="122"/>
  <c r="P970" i="122" s="1"/>
  <c r="O1522" i="122"/>
  <c r="P1522" i="122" s="1"/>
  <c r="O1641" i="122"/>
  <c r="P1641" i="122" s="1"/>
  <c r="P16" i="122"/>
  <c r="P24" i="122"/>
  <c r="P32" i="122"/>
  <c r="P40" i="122"/>
  <c r="P48" i="122"/>
  <c r="P56" i="122"/>
  <c r="O58" i="122"/>
  <c r="P58" i="122" s="1"/>
  <c r="P66" i="122"/>
  <c r="O66" i="122"/>
  <c r="P74" i="122"/>
  <c r="O74" i="122"/>
  <c r="O82" i="122"/>
  <c r="P82" i="122" s="1"/>
  <c r="O90" i="122"/>
  <c r="P90" i="122" s="1"/>
  <c r="O98" i="122"/>
  <c r="P98" i="122" s="1"/>
  <c r="O111" i="122"/>
  <c r="P111" i="122" s="1"/>
  <c r="O182" i="122"/>
  <c r="P182" i="122" s="1"/>
  <c r="O190" i="122"/>
  <c r="P190" i="122" s="1"/>
  <c r="P295" i="122"/>
  <c r="P297" i="122"/>
  <c r="O297" i="122"/>
  <c r="O694" i="122"/>
  <c r="P694" i="122" s="1"/>
  <c r="O698" i="122"/>
  <c r="P698" i="122" s="1"/>
  <c r="O705" i="122"/>
  <c r="P705" i="122"/>
  <c r="O743" i="122"/>
  <c r="P743" i="122" s="1"/>
  <c r="O766" i="122"/>
  <c r="P766" i="122" s="1"/>
  <c r="O773" i="122"/>
  <c r="P773" i="122" s="1"/>
  <c r="O787" i="122"/>
  <c r="P787" i="122"/>
  <c r="O803" i="122"/>
  <c r="P803" i="122" s="1"/>
  <c r="O835" i="122"/>
  <c r="P835" i="122" s="1"/>
  <c r="P854" i="122"/>
  <c r="O854" i="122"/>
  <c r="P863" i="122"/>
  <c r="P871" i="122"/>
  <c r="O871" i="122"/>
  <c r="O969" i="122"/>
  <c r="P969" i="122" s="1"/>
  <c r="O973" i="122"/>
  <c r="P973" i="122" s="1"/>
  <c r="O1358" i="122"/>
  <c r="P1358" i="122" s="1"/>
  <c r="P1394" i="122"/>
  <c r="O1394" i="122"/>
  <c r="O1401" i="122"/>
  <c r="P1401" i="122" s="1"/>
  <c r="P1405" i="122"/>
  <c r="O1422" i="122"/>
  <c r="P1422" i="122" s="1"/>
  <c r="O1458" i="122"/>
  <c r="P1458" i="122" s="1"/>
  <c r="O1465" i="122"/>
  <c r="P1465" i="122"/>
  <c r="P1469" i="122"/>
  <c r="O1486" i="122"/>
  <c r="P1486" i="122" s="1"/>
  <c r="P1491" i="122"/>
  <c r="O1495" i="122"/>
  <c r="P1495" i="122" s="1"/>
  <c r="O1499" i="122"/>
  <c r="P1499" i="122" s="1"/>
  <c r="O1503" i="122"/>
  <c r="P1503" i="122" s="1"/>
  <c r="O1518" i="122"/>
  <c r="P1518" i="122" s="1"/>
  <c r="O1554" i="122"/>
  <c r="P1554" i="122" s="1"/>
  <c r="O1561" i="122"/>
  <c r="P1561" i="122" s="1"/>
  <c r="P1565" i="122"/>
  <c r="P1587" i="122"/>
  <c r="O1626" i="122"/>
  <c r="P1626" i="122" s="1"/>
  <c r="P1638" i="122"/>
  <c r="O1642" i="122"/>
  <c r="P1642" i="122" s="1"/>
  <c r="O2023" i="122"/>
  <c r="P2023" i="122" s="1"/>
  <c r="P2060" i="122"/>
  <c r="P2124" i="122"/>
  <c r="O2151" i="122"/>
  <c r="P2151" i="122" s="1"/>
  <c r="O2236" i="122"/>
  <c r="P2236" i="122" s="1"/>
  <c r="O2832" i="122"/>
  <c r="P2832" i="122" s="1"/>
  <c r="P2888" i="122"/>
  <c r="O2888" i="122"/>
  <c r="P2897" i="122"/>
  <c r="O2897" i="122"/>
  <c r="O4149" i="122"/>
  <c r="P4149" i="122" s="1"/>
  <c r="O4077" i="122"/>
  <c r="P4077" i="122" s="1"/>
  <c r="P769" i="122"/>
  <c r="P801" i="122"/>
  <c r="P968" i="122"/>
  <c r="P1397" i="122"/>
  <c r="P1429" i="122"/>
  <c r="P701" i="122"/>
  <c r="P733" i="122"/>
  <c r="P765" i="122"/>
  <c r="P797" i="122"/>
  <c r="P829" i="122"/>
  <c r="P861" i="122"/>
  <c r="P893" i="122"/>
  <c r="P964" i="122"/>
  <c r="P1361" i="122"/>
  <c r="P1393" i="122"/>
  <c r="P1425" i="122"/>
  <c r="P1457" i="122"/>
  <c r="P1489" i="122"/>
  <c r="P1521" i="122"/>
  <c r="P1553" i="122"/>
  <c r="P1636" i="122"/>
  <c r="O2036" i="122"/>
  <c r="P2036" i="122" s="1"/>
  <c r="P2044" i="122"/>
  <c r="P2055" i="122"/>
  <c r="P2070" i="122"/>
  <c r="O2100" i="122"/>
  <c r="P2100" i="122" s="1"/>
  <c r="P2108" i="122"/>
  <c r="P2119" i="122"/>
  <c r="P2134" i="122"/>
  <c r="O2164" i="122"/>
  <c r="P2164" i="122" s="1"/>
  <c r="P2172" i="122"/>
  <c r="O2212" i="122"/>
  <c r="P2212" i="122" s="1"/>
  <c r="P2220" i="122"/>
  <c r="P2231" i="122"/>
  <c r="P2246" i="122"/>
  <c r="O2254" i="122"/>
  <c r="P2254" i="122" s="1"/>
  <c r="O2696" i="122"/>
  <c r="P2696" i="122" s="1"/>
  <c r="P2713" i="122"/>
  <c r="O2713" i="122"/>
  <c r="O2724" i="122"/>
  <c r="P2724" i="122" s="1"/>
  <c r="O2748" i="122"/>
  <c r="P2748" i="122" s="1"/>
  <c r="O2769" i="122"/>
  <c r="P2769" i="122" s="1"/>
  <c r="O2776" i="122"/>
  <c r="P2776" i="122" s="1"/>
  <c r="O2801" i="122"/>
  <c r="P2801" i="122" s="1"/>
  <c r="P2841" i="122"/>
  <c r="O2845" i="122"/>
  <c r="P2845" i="122" s="1"/>
  <c r="O2861" i="122"/>
  <c r="P2861" i="122" s="1"/>
  <c r="O2921" i="122"/>
  <c r="P2921" i="122" s="1"/>
  <c r="O3433" i="122"/>
  <c r="P3433" i="122"/>
  <c r="O2727" i="122"/>
  <c r="P2727" i="122" s="1"/>
  <c r="P2849" i="122"/>
  <c r="O2900" i="122"/>
  <c r="P2900" i="122" s="1"/>
  <c r="O2913" i="122"/>
  <c r="P2913" i="122" s="1"/>
  <c r="O2929" i="122"/>
  <c r="P2929" i="122" s="1"/>
  <c r="O2932" i="122"/>
  <c r="P2932" i="122" s="1"/>
  <c r="O3432" i="122"/>
  <c r="P3432" i="122" s="1"/>
  <c r="P833" i="122"/>
  <c r="P1461" i="122"/>
  <c r="P1493" i="122"/>
  <c r="P1557" i="122"/>
  <c r="P1589" i="122"/>
  <c r="P2078" i="122"/>
  <c r="P2701" i="122"/>
  <c r="O2705" i="122"/>
  <c r="P2705" i="122" s="1"/>
  <c r="P2739" i="122"/>
  <c r="O2761" i="122"/>
  <c r="P2761" i="122" s="1"/>
  <c r="P2763" i="122"/>
  <c r="P2799" i="122"/>
  <c r="O2904" i="122"/>
  <c r="P2904" i="122" s="1"/>
  <c r="P697" i="122"/>
  <c r="P729" i="122"/>
  <c r="P761" i="122"/>
  <c r="P793" i="122"/>
  <c r="P825" i="122"/>
  <c r="P857" i="122"/>
  <c r="P889" i="122"/>
  <c r="P921" i="122"/>
  <c r="P960" i="122"/>
  <c r="P1357" i="122"/>
  <c r="P1421" i="122"/>
  <c r="P1453" i="122"/>
  <c r="P1485" i="122"/>
  <c r="P1517" i="122"/>
  <c r="P1549" i="122"/>
  <c r="P1632" i="122"/>
  <c r="J2685" i="122"/>
  <c r="M2020" i="122"/>
  <c r="P2047" i="122"/>
  <c r="P2062" i="122"/>
  <c r="P2111" i="122"/>
  <c r="P2126" i="122"/>
  <c r="O2127" i="122"/>
  <c r="P2127" i="122" s="1"/>
  <c r="O2141" i="122"/>
  <c r="P2141" i="122" s="1"/>
  <c r="P2175" i="122"/>
  <c r="P2223" i="122"/>
  <c r="P2238" i="122"/>
  <c r="O2239" i="122"/>
  <c r="P2239" i="122" s="1"/>
  <c r="O2299" i="122"/>
  <c r="P2299" i="122" s="1"/>
  <c r="O2753" i="122"/>
  <c r="P2753" i="122" s="1"/>
  <c r="O2767" i="122"/>
  <c r="P2767" i="122" s="1"/>
  <c r="O2772" i="122"/>
  <c r="P2772" i="122" s="1"/>
  <c r="P2805" i="122"/>
  <c r="O2805" i="122"/>
  <c r="O2839" i="122"/>
  <c r="P2839" i="122" s="1"/>
  <c r="O2844" i="122"/>
  <c r="P2844" i="122" s="1"/>
  <c r="O2916" i="122"/>
  <c r="P2916" i="122" s="1"/>
  <c r="P2970" i="122"/>
  <c r="O2972" i="122"/>
  <c r="P2972" i="122" s="1"/>
  <c r="O2980" i="122"/>
  <c r="P2980" i="122" s="1"/>
  <c r="O3402" i="122"/>
  <c r="P3402" i="122"/>
  <c r="O3594" i="122"/>
  <c r="P3594" i="122" s="1"/>
  <c r="P865" i="122"/>
  <c r="P897" i="122"/>
  <c r="P1365" i="122"/>
  <c r="P1640" i="122"/>
  <c r="P2063" i="122"/>
  <c r="P2142" i="122"/>
  <c r="P2703" i="122"/>
  <c r="O2741" i="122"/>
  <c r="P2741" i="122" s="1"/>
  <c r="O2827" i="122"/>
  <c r="P2827" i="122" s="1"/>
  <c r="P2859" i="122"/>
  <c r="O2908" i="122"/>
  <c r="P2908" i="122" s="1"/>
  <c r="O2919" i="122"/>
  <c r="P2919" i="122"/>
  <c r="M10" i="122"/>
  <c r="M1345" i="122"/>
  <c r="P693" i="122"/>
  <c r="P725" i="122"/>
  <c r="P757" i="122"/>
  <c r="P789" i="122"/>
  <c r="P821" i="122"/>
  <c r="P853" i="122"/>
  <c r="O886" i="122"/>
  <c r="P886" i="122" s="1"/>
  <c r="O918" i="122"/>
  <c r="P918" i="122" s="1"/>
  <c r="O957" i="122"/>
  <c r="P957" i="122" s="1"/>
  <c r="P1354" i="122"/>
  <c r="O1354" i="122"/>
  <c r="O1386" i="122"/>
  <c r="P1386" i="122" s="1"/>
  <c r="O1418" i="122"/>
  <c r="P1418" i="122" s="1"/>
  <c r="O1450" i="122"/>
  <c r="P1450" i="122" s="1"/>
  <c r="O1482" i="122"/>
  <c r="P1482" i="122" s="1"/>
  <c r="O1514" i="122"/>
  <c r="P1514" i="122" s="1"/>
  <c r="O1546" i="122"/>
  <c r="P1546" i="122" s="1"/>
  <c r="O1578" i="122"/>
  <c r="P1578" i="122" s="1"/>
  <c r="P1629" i="122"/>
  <c r="O1629" i="122"/>
  <c r="P2039" i="122"/>
  <c r="O2069" i="122"/>
  <c r="P2069" i="122" s="1"/>
  <c r="P2082" i="122"/>
  <c r="P2103" i="122"/>
  <c r="O2133" i="122"/>
  <c r="P2133" i="122" s="1"/>
  <c r="P2146" i="122"/>
  <c r="P2167" i="122"/>
  <c r="P2194" i="122"/>
  <c r="P2215" i="122"/>
  <c r="P2245" i="122"/>
  <c r="O2245" i="122"/>
  <c r="O2704" i="122"/>
  <c r="P2704" i="122" s="1"/>
  <c r="O2709" i="122"/>
  <c r="P2709" i="122" s="1"/>
  <c r="O2740" i="122"/>
  <c r="P2740" i="122" s="1"/>
  <c r="P2745" i="122"/>
  <c r="O2764" i="122"/>
  <c r="P2764" i="122" s="1"/>
  <c r="O2803" i="122"/>
  <c r="P2803" i="122" s="1"/>
  <c r="O2823" i="122"/>
  <c r="P2823" i="122" s="1"/>
  <c r="O2828" i="122"/>
  <c r="P2828" i="122" s="1"/>
  <c r="O2887" i="122"/>
  <c r="P2887" i="122"/>
  <c r="P2905" i="122"/>
  <c r="O2905" i="122"/>
  <c r="O2928" i="122"/>
  <c r="P2928" i="122" s="1"/>
  <c r="O2979" i="122"/>
  <c r="P2979" i="122" s="1"/>
  <c r="P2071" i="122"/>
  <c r="P2135" i="122"/>
  <c r="P2247" i="122"/>
  <c r="O2792" i="122"/>
  <c r="P2792" i="122" s="1"/>
  <c r="O2812" i="122"/>
  <c r="P2812" i="122" s="1"/>
  <c r="O2837" i="122"/>
  <c r="P2837" i="122" s="1"/>
  <c r="O2872" i="122"/>
  <c r="P2872" i="122" s="1"/>
  <c r="P2967" i="122"/>
  <c r="O2967" i="122"/>
  <c r="O3407" i="122"/>
  <c r="P3407" i="122" s="1"/>
  <c r="O3458" i="122"/>
  <c r="P3458" i="122"/>
  <c r="P4113" i="122"/>
  <c r="O4113" i="122"/>
  <c r="O690" i="122"/>
  <c r="P690" i="122" s="1"/>
  <c r="O722" i="122"/>
  <c r="P722" i="122" s="1"/>
  <c r="O754" i="122"/>
  <c r="P754" i="122" s="1"/>
  <c r="P786" i="122"/>
  <c r="O786" i="122"/>
  <c r="O850" i="122"/>
  <c r="P850" i="122" s="1"/>
  <c r="O882" i="122"/>
  <c r="P882" i="122" s="1"/>
  <c r="O914" i="122"/>
  <c r="P914" i="122" s="1"/>
  <c r="O953" i="122"/>
  <c r="P953" i="122" s="1"/>
  <c r="O1350" i="122"/>
  <c r="P1350" i="122" s="1"/>
  <c r="O1382" i="122"/>
  <c r="P1382" i="122" s="1"/>
  <c r="P1414" i="122"/>
  <c r="O1414" i="122"/>
  <c r="O1446" i="122"/>
  <c r="P1446" i="122" s="1"/>
  <c r="O1478" i="122"/>
  <c r="P1478" i="122" s="1"/>
  <c r="P1510" i="122"/>
  <c r="O1510" i="122"/>
  <c r="O1542" i="122"/>
  <c r="P1542" i="122" s="1"/>
  <c r="O1574" i="122"/>
  <c r="P1574" i="122" s="1"/>
  <c r="O1625" i="122"/>
  <c r="P1625" i="122" s="1"/>
  <c r="P2031" i="122"/>
  <c r="P2061" i="122"/>
  <c r="O2061" i="122"/>
  <c r="P2074" i="122"/>
  <c r="P2095" i="122"/>
  <c r="P2125" i="122"/>
  <c r="O2125" i="122"/>
  <c r="P2138" i="122"/>
  <c r="P2159" i="122"/>
  <c r="P2181" i="122"/>
  <c r="O2181" i="122"/>
  <c r="P2207" i="122"/>
  <c r="O2237" i="122"/>
  <c r="P2237" i="122" s="1"/>
  <c r="P2250" i="122"/>
  <c r="O2700" i="122"/>
  <c r="P2700" i="122" s="1"/>
  <c r="O2736" i="122"/>
  <c r="P2736" i="122" s="1"/>
  <c r="O2796" i="122"/>
  <c r="P2796" i="122" s="1"/>
  <c r="O2808" i="122"/>
  <c r="P2808" i="122" s="1"/>
  <c r="O2833" i="122"/>
  <c r="P2833" i="122" s="1"/>
  <c r="P2856" i="122"/>
  <c r="O2856" i="122"/>
  <c r="O2873" i="122"/>
  <c r="P2873" i="122" s="1"/>
  <c r="P2892" i="122"/>
  <c r="O2892" i="122"/>
  <c r="P2909" i="122"/>
  <c r="O2984" i="122"/>
  <c r="P2984" i="122" s="1"/>
  <c r="O4114" i="122"/>
  <c r="P4114" i="122" s="1"/>
  <c r="O3365" i="122"/>
  <c r="P3365" i="122"/>
  <c r="O3446" i="122"/>
  <c r="P3446" i="122" s="1"/>
  <c r="O3454" i="122"/>
  <c r="P3454" i="122" s="1"/>
  <c r="O3512" i="122"/>
  <c r="P3512" i="122" s="1"/>
  <c r="O3521" i="122"/>
  <c r="P3521" i="122" s="1"/>
  <c r="O3542" i="122"/>
  <c r="P3542" i="122" s="1"/>
  <c r="O3557" i="122"/>
  <c r="P3557" i="122" s="1"/>
  <c r="O4042" i="122"/>
  <c r="P4042" i="122" s="1"/>
  <c r="P4834" i="122"/>
  <c r="O4834" i="122"/>
  <c r="O3442" i="122"/>
  <c r="P3442" i="122"/>
  <c r="O3467" i="122"/>
  <c r="P3467" i="122" s="1"/>
  <c r="O3475" i="122"/>
  <c r="P3475" i="122" s="1"/>
  <c r="O3510" i="122"/>
  <c r="P3510" i="122" s="1"/>
  <c r="O3645" i="122"/>
  <c r="P3645" i="122" s="1"/>
  <c r="O4053" i="122"/>
  <c r="P4053" i="122" s="1"/>
  <c r="O4109" i="122"/>
  <c r="P4109" i="122" s="1"/>
  <c r="O3375" i="122"/>
  <c r="P3375" i="122" s="1"/>
  <c r="O3370" i="122"/>
  <c r="P3370" i="122"/>
  <c r="P3391" i="122"/>
  <c r="O3391" i="122"/>
  <c r="O3486" i="122"/>
  <c r="P3486" i="122" s="1"/>
  <c r="P3638" i="122"/>
  <c r="O3638" i="122"/>
  <c r="O4151" i="122"/>
  <c r="P4151" i="122" s="1"/>
  <c r="P2716" i="122"/>
  <c r="O2716" i="122"/>
  <c r="O2760" i="122"/>
  <c r="P2760" i="122" s="1"/>
  <c r="O2791" i="122"/>
  <c r="P2791" i="122" s="1"/>
  <c r="O2884" i="122"/>
  <c r="P2884" i="122" s="1"/>
  <c r="O3381" i="122"/>
  <c r="P3381" i="122" s="1"/>
  <c r="O3396" i="122"/>
  <c r="P3396" i="122" s="1"/>
  <c r="O3415" i="122"/>
  <c r="P3415" i="122" s="1"/>
  <c r="O3425" i="122"/>
  <c r="P3425" i="122" s="1"/>
  <c r="O3429" i="122"/>
  <c r="P3429" i="122" s="1"/>
  <c r="O3449" i="122"/>
  <c r="P3449" i="122"/>
  <c r="O3468" i="122"/>
  <c r="P3468" i="122" s="1"/>
  <c r="O3519" i="122"/>
  <c r="P3519" i="122" s="1"/>
  <c r="O3549" i="122"/>
  <c r="P3549" i="122"/>
  <c r="P4081" i="122"/>
  <c r="O4081" i="122"/>
  <c r="P2260" i="122"/>
  <c r="P2295" i="122"/>
  <c r="O2695" i="122"/>
  <c r="P2695" i="122" s="1"/>
  <c r="P2707" i="122"/>
  <c r="P2731" i="122"/>
  <c r="P2743" i="122"/>
  <c r="P2765" i="122"/>
  <c r="O2788" i="122"/>
  <c r="P2788" i="122" s="1"/>
  <c r="P2876" i="122"/>
  <c r="O2876" i="122"/>
  <c r="O2920" i="122"/>
  <c r="P2920" i="122" s="1"/>
  <c r="P2927" i="122"/>
  <c r="P2974" i="122"/>
  <c r="O3399" i="122"/>
  <c r="P3399" i="122" s="1"/>
  <c r="P3404" i="122"/>
  <c r="P3420" i="122"/>
  <c r="O3420" i="122"/>
  <c r="O3463" i="122"/>
  <c r="P3463" i="122" s="1"/>
  <c r="P3539" i="122"/>
  <c r="O3650" i="122"/>
  <c r="P3650" i="122" s="1"/>
  <c r="O3653" i="122"/>
  <c r="P3653" i="122" s="1"/>
  <c r="O4101" i="122"/>
  <c r="P4101" i="122" s="1"/>
  <c r="P4187" i="122"/>
  <c r="O4187" i="122"/>
  <c r="O2257" i="122"/>
  <c r="P2257" i="122" s="1"/>
  <c r="P2292" i="122"/>
  <c r="O2292" i="122"/>
  <c r="O2692" i="122"/>
  <c r="P2692" i="122" s="1"/>
  <c r="O2712" i="122"/>
  <c r="P2712" i="122" s="1"/>
  <c r="P2777" i="122"/>
  <c r="O2780" i="122"/>
  <c r="P2780" i="122" s="1"/>
  <c r="O2800" i="122"/>
  <c r="P2800" i="122" s="1"/>
  <c r="P2824" i="122"/>
  <c r="O2824" i="122"/>
  <c r="O2836" i="122"/>
  <c r="P2836" i="122" s="1"/>
  <c r="O2855" i="122"/>
  <c r="P2855" i="122" s="1"/>
  <c r="O2860" i="122"/>
  <c r="P2860" i="122" s="1"/>
  <c r="O2865" i="122"/>
  <c r="P2865" i="122" s="1"/>
  <c r="O2901" i="122"/>
  <c r="P2901" i="122" s="1"/>
  <c r="M3355" i="122"/>
  <c r="O3445" i="122"/>
  <c r="P3445" i="122" s="1"/>
  <c r="O3450" i="122"/>
  <c r="P3450" i="122" s="1"/>
  <c r="O3473" i="122"/>
  <c r="P3473" i="122" s="1"/>
  <c r="O3502" i="122"/>
  <c r="P3502" i="122" s="1"/>
  <c r="O3515" i="122"/>
  <c r="P3515" i="122" s="1"/>
  <c r="O3550" i="122"/>
  <c r="P3550" i="122" s="1"/>
  <c r="P3563" i="122"/>
  <c r="O3565" i="122"/>
  <c r="P3565" i="122" s="1"/>
  <c r="O3578" i="122"/>
  <c r="P3578" i="122" s="1"/>
  <c r="O4122" i="122"/>
  <c r="P4122" i="122" s="1"/>
  <c r="O4218" i="122"/>
  <c r="P4218" i="122" s="1"/>
  <c r="O4234" i="122"/>
  <c r="P4234" i="122" s="1"/>
  <c r="O4313" i="122"/>
  <c r="P4313" i="122" s="1"/>
  <c r="O2025" i="122"/>
  <c r="P2025" i="122" s="1"/>
  <c r="O2033" i="122"/>
  <c r="P2033" i="122" s="1"/>
  <c r="O2041" i="122"/>
  <c r="P2041" i="122" s="1"/>
  <c r="O2049" i="122"/>
  <c r="P2049" i="122" s="1"/>
  <c r="O2057" i="122"/>
  <c r="P2057" i="122" s="1"/>
  <c r="O2065" i="122"/>
  <c r="P2065" i="122" s="1"/>
  <c r="O2073" i="122"/>
  <c r="P2073" i="122" s="1"/>
  <c r="P2081" i="122"/>
  <c r="O2081" i="122"/>
  <c r="O2089" i="122"/>
  <c r="P2089" i="122" s="1"/>
  <c r="O2097" i="122"/>
  <c r="P2097" i="122" s="1"/>
  <c r="O2105" i="122"/>
  <c r="P2105" i="122" s="1"/>
  <c r="O2113" i="122"/>
  <c r="P2113" i="122" s="1"/>
  <c r="O2121" i="122"/>
  <c r="P2121" i="122" s="1"/>
  <c r="P2129" i="122"/>
  <c r="O2129" i="122"/>
  <c r="O2137" i="122"/>
  <c r="P2137" i="122" s="1"/>
  <c r="P2145" i="122"/>
  <c r="O2145" i="122"/>
  <c r="O2153" i="122"/>
  <c r="P2153" i="122" s="1"/>
  <c r="O2161" i="122"/>
  <c r="P2161" i="122" s="1"/>
  <c r="O2169" i="122"/>
  <c r="P2169" i="122" s="1"/>
  <c r="O2177" i="122"/>
  <c r="P2177" i="122" s="1"/>
  <c r="O2201" i="122"/>
  <c r="P2201" i="122" s="1"/>
  <c r="O2209" i="122"/>
  <c r="P2209" i="122" s="1"/>
  <c r="O2217" i="122"/>
  <c r="P2217" i="122" s="1"/>
  <c r="P2225" i="122"/>
  <c r="O2225" i="122"/>
  <c r="O2233" i="122"/>
  <c r="P2233" i="122" s="1"/>
  <c r="P2241" i="122"/>
  <c r="O2241" i="122"/>
  <c r="O2249" i="122"/>
  <c r="P2249" i="122" s="1"/>
  <c r="O2253" i="122"/>
  <c r="P2253" i="122" s="1"/>
  <c r="P2728" i="122"/>
  <c r="O2728" i="122"/>
  <c r="P2735" i="122"/>
  <c r="O2759" i="122"/>
  <c r="P2759" i="122" s="1"/>
  <c r="P2771" i="122"/>
  <c r="P2795" i="122"/>
  <c r="P2807" i="122"/>
  <c r="P2829" i="122"/>
  <c r="P2852" i="122"/>
  <c r="O2852" i="122"/>
  <c r="O3397" i="122"/>
  <c r="P3397" i="122" s="1"/>
  <c r="O3418" i="122"/>
  <c r="P3418" i="122"/>
  <c r="O3479" i="122"/>
  <c r="P3479" i="122" s="1"/>
  <c r="P3523" i="122"/>
  <c r="O3523" i="122"/>
  <c r="O3561" i="122"/>
  <c r="P3561" i="122" s="1"/>
  <c r="O3567" i="122"/>
  <c r="P3567" i="122" s="1"/>
  <c r="O4049" i="122"/>
  <c r="P4049" i="122" s="1"/>
  <c r="O4082" i="122"/>
  <c r="P4082" i="122" s="1"/>
  <c r="O4141" i="122"/>
  <c r="P4141" i="122" s="1"/>
  <c r="P4322" i="122"/>
  <c r="O4322" i="122"/>
  <c r="O3390" i="122"/>
  <c r="P3390" i="122" s="1"/>
  <c r="O3410" i="122"/>
  <c r="P3410" i="122" s="1"/>
  <c r="O3441" i="122"/>
  <c r="P3441" i="122" s="1"/>
  <c r="O3459" i="122"/>
  <c r="P3459" i="122" s="1"/>
  <c r="O3513" i="122"/>
  <c r="P3513" i="122" s="1"/>
  <c r="O3533" i="122"/>
  <c r="P3533" i="122" s="1"/>
  <c r="P3543" i="122"/>
  <c r="P3586" i="122"/>
  <c r="O4105" i="122"/>
  <c r="P4105" i="122" s="1"/>
  <c r="O4181" i="122"/>
  <c r="P4181" i="122" s="1"/>
  <c r="P2691" i="122"/>
  <c r="P2723" i="122"/>
  <c r="P2755" i="122"/>
  <c r="P2787" i="122"/>
  <c r="P2819" i="122"/>
  <c r="P2851" i="122"/>
  <c r="P2883" i="122"/>
  <c r="P2915" i="122"/>
  <c r="O3374" i="122"/>
  <c r="P3374" i="122" s="1"/>
  <c r="O3437" i="122"/>
  <c r="P3437" i="122" s="1"/>
  <c r="P3483" i="122"/>
  <c r="O3485" i="122"/>
  <c r="P3485" i="122"/>
  <c r="O3495" i="122"/>
  <c r="P3495" i="122" s="1"/>
  <c r="P3507" i="122"/>
  <c r="P3558" i="122"/>
  <c r="O3577" i="122"/>
  <c r="P3577" i="122" s="1"/>
  <c r="O3582" i="122"/>
  <c r="P3582" i="122" s="1"/>
  <c r="O3599" i="122"/>
  <c r="P3599" i="122" s="1"/>
  <c r="O4051" i="122"/>
  <c r="P4051" i="122" s="1"/>
  <c r="P4115" i="122"/>
  <c r="O4115" i="122"/>
  <c r="O4137" i="122"/>
  <c r="P4137" i="122" s="1"/>
  <c r="P4159" i="122"/>
  <c r="O4230" i="122"/>
  <c r="P4230" i="122" s="1"/>
  <c r="O2720" i="122"/>
  <c r="P2720" i="122" s="1"/>
  <c r="O2752" i="122"/>
  <c r="P2752" i="122" s="1"/>
  <c r="O2784" i="122"/>
  <c r="P2784" i="122" s="1"/>
  <c r="P2816" i="122"/>
  <c r="O2816" i="122"/>
  <c r="O2848" i="122"/>
  <c r="P2848" i="122" s="1"/>
  <c r="O2880" i="122"/>
  <c r="P2880" i="122" s="1"/>
  <c r="O2912" i="122"/>
  <c r="P2912" i="122" s="1"/>
  <c r="P2983" i="122"/>
  <c r="O2983" i="122"/>
  <c r="O3380" i="122"/>
  <c r="P3380" i="122" s="1"/>
  <c r="O3421" i="122"/>
  <c r="P3421" i="122" s="1"/>
  <c r="O3424" i="122"/>
  <c r="P3424" i="122" s="1"/>
  <c r="O3465" i="122"/>
  <c r="P3465" i="122" s="1"/>
  <c r="O3501" i="122"/>
  <c r="P3501" i="122"/>
  <c r="O3597" i="122"/>
  <c r="P3597" i="122" s="1"/>
  <c r="O3636" i="122"/>
  <c r="P3636" i="122"/>
  <c r="P4037" i="122"/>
  <c r="O4037" i="122"/>
  <c r="O4117" i="122"/>
  <c r="P4117" i="122" s="1"/>
  <c r="O4182" i="122"/>
  <c r="P4182" i="122" s="1"/>
  <c r="O4826" i="122"/>
  <c r="P4826" i="122" s="1"/>
  <c r="O4900" i="122"/>
  <c r="P4900" i="122" s="1"/>
  <c r="O3364" i="122"/>
  <c r="P3364" i="122" s="1"/>
  <c r="P3371" i="122"/>
  <c r="P3398" i="122"/>
  <c r="O3509" i="122"/>
  <c r="P3509" i="122"/>
  <c r="P3518" i="122"/>
  <c r="O3518" i="122"/>
  <c r="O3534" i="122"/>
  <c r="P3534" i="122" s="1"/>
  <c r="P3654" i="122"/>
  <c r="O3654" i="122"/>
  <c r="O4155" i="122"/>
  <c r="P4155" i="122" s="1"/>
  <c r="O4163" i="122"/>
  <c r="P4163" i="122" s="1"/>
  <c r="O3413" i="122"/>
  <c r="P3413" i="122" s="1"/>
  <c r="O3435" i="122"/>
  <c r="P3435" i="122" s="1"/>
  <c r="P3474" i="122"/>
  <c r="O3474" i="122"/>
  <c r="O3487" i="122"/>
  <c r="P3487" i="122" s="1"/>
  <c r="O3514" i="122"/>
  <c r="P3514" i="122" s="1"/>
  <c r="O3562" i="122"/>
  <c r="P3562" i="122" s="1"/>
  <c r="O3593" i="122"/>
  <c r="P3593" i="122" s="1"/>
  <c r="P3637" i="122"/>
  <c r="P3649" i="122"/>
  <c r="O3649" i="122"/>
  <c r="O4146" i="122"/>
  <c r="P4146" i="122" s="1"/>
  <c r="O4169" i="122"/>
  <c r="P4169" i="122" s="1"/>
  <c r="O4205" i="122"/>
  <c r="P4205" i="122" s="1"/>
  <c r="O4209" i="122"/>
  <c r="P4209" i="122" s="1"/>
  <c r="O4213" i="122"/>
  <c r="P4213" i="122" s="1"/>
  <c r="O4742" i="122"/>
  <c r="P4742" i="122" s="1"/>
  <c r="J3355" i="122"/>
  <c r="P3363" i="122"/>
  <c r="P3368" i="122"/>
  <c r="O3373" i="122"/>
  <c r="P3373" i="122"/>
  <c r="P3379" i="122"/>
  <c r="O3389" i="122"/>
  <c r="P3389" i="122" s="1"/>
  <c r="O3428" i="122"/>
  <c r="P3428" i="122" s="1"/>
  <c r="P3431" i="122"/>
  <c r="O3447" i="122"/>
  <c r="P3447" i="122" s="1"/>
  <c r="P3492" i="122"/>
  <c r="P3517" i="122"/>
  <c r="P3531" i="122"/>
  <c r="P3575" i="122"/>
  <c r="P3596" i="122"/>
  <c r="O3633" i="122"/>
  <c r="P3633" i="122" s="1"/>
  <c r="P3641" i="122"/>
  <c r="O3641" i="122"/>
  <c r="P3652" i="122"/>
  <c r="O4070" i="122"/>
  <c r="P4070" i="122" s="1"/>
  <c r="P4078" i="122"/>
  <c r="O4078" i="122"/>
  <c r="O4085" i="122"/>
  <c r="P4085" i="122" s="1"/>
  <c r="O4093" i="122"/>
  <c r="P4093" i="122" s="1"/>
  <c r="O4138" i="122"/>
  <c r="P4138" i="122" s="1"/>
  <c r="O4142" i="122"/>
  <c r="P4142" i="122" s="1"/>
  <c r="O4174" i="122"/>
  <c r="P4174" i="122" s="1"/>
  <c r="O4189" i="122"/>
  <c r="P4189" i="122" s="1"/>
  <c r="O4201" i="122"/>
  <c r="P4201" i="122" s="1"/>
  <c r="P4211" i="122"/>
  <c r="O4211" i="122"/>
  <c r="O4247" i="122"/>
  <c r="P4247" i="122" s="1"/>
  <c r="I4025" i="122"/>
  <c r="O3362" i="122"/>
  <c r="P3362" i="122" s="1"/>
  <c r="P3367" i="122"/>
  <c r="O3378" i="122"/>
  <c r="P3378" i="122" s="1"/>
  <c r="P3383" i="122"/>
  <c r="O3394" i="122"/>
  <c r="P3394" i="122" s="1"/>
  <c r="O3434" i="122"/>
  <c r="P3434" i="122" s="1"/>
  <c r="O3438" i="122"/>
  <c r="P3438" i="122" s="1"/>
  <c r="O3451" i="122"/>
  <c r="P3451" i="122" s="1"/>
  <c r="O3476" i="122"/>
  <c r="P3476" i="122" s="1"/>
  <c r="O3494" i="122"/>
  <c r="P3494" i="122" s="1"/>
  <c r="P3559" i="122"/>
  <c r="P3566" i="122"/>
  <c r="O3587" i="122"/>
  <c r="P3587" i="122" s="1"/>
  <c r="O3598" i="122"/>
  <c r="P3598" i="122" s="1"/>
  <c r="P3602" i="122"/>
  <c r="O3646" i="122"/>
  <c r="P3646" i="122" s="1"/>
  <c r="O4041" i="122"/>
  <c r="P4041" i="122" s="1"/>
  <c r="O4062" i="122"/>
  <c r="P4062" i="122" s="1"/>
  <c r="O4125" i="122"/>
  <c r="P4125" i="122" s="1"/>
  <c r="O4150" i="122"/>
  <c r="P4150" i="122" s="1"/>
  <c r="O4158" i="122"/>
  <c r="P4158" i="122" s="1"/>
  <c r="O4198" i="122"/>
  <c r="P4198" i="122" s="1"/>
  <c r="P4206" i="122"/>
  <c r="O4206" i="122"/>
  <c r="P4214" i="122"/>
  <c r="P4719" i="122"/>
  <c r="O4719" i="122"/>
  <c r="O3405" i="122"/>
  <c r="P3405" i="122" s="1"/>
  <c r="O3471" i="122"/>
  <c r="P3471" i="122" s="1"/>
  <c r="P3496" i="122"/>
  <c r="O3496" i="122"/>
  <c r="P3511" i="122"/>
  <c r="P3522" i="122"/>
  <c r="P3541" i="122"/>
  <c r="P3574" i="122"/>
  <c r="O3579" i="122"/>
  <c r="P3579" i="122" s="1"/>
  <c r="O3651" i="122"/>
  <c r="P3651" i="122" s="1"/>
  <c r="P4045" i="122"/>
  <c r="O4045" i="122"/>
  <c r="O4050" i="122"/>
  <c r="P4050" i="122" s="1"/>
  <c r="O4074" i="122"/>
  <c r="P4074" i="122" s="1"/>
  <c r="P4086" i="122"/>
  <c r="O4154" i="122"/>
  <c r="P4154" i="122" s="1"/>
  <c r="O4178" i="122"/>
  <c r="P4178" i="122" s="1"/>
  <c r="P4186" i="122"/>
  <c r="O4186" i="122"/>
  <c r="P4229" i="122"/>
  <c r="O4229" i="122"/>
  <c r="M4025" i="122"/>
  <c r="O3570" i="122"/>
  <c r="P3570" i="122" s="1"/>
  <c r="O4110" i="122"/>
  <c r="P4110" i="122" s="1"/>
  <c r="O4119" i="122"/>
  <c r="P4119" i="122" s="1"/>
  <c r="O4179" i="122"/>
  <c r="P4179" i="122" s="1"/>
  <c r="O4217" i="122"/>
  <c r="P4217" i="122" s="1"/>
  <c r="O4253" i="122"/>
  <c r="P4253" i="122" s="1"/>
  <c r="O4261" i="122"/>
  <c r="P4261" i="122" s="1"/>
  <c r="P4271" i="122"/>
  <c r="O4271" i="122"/>
  <c r="O4308" i="122"/>
  <c r="P4308" i="122" s="1"/>
  <c r="P4818" i="122"/>
  <c r="O4818" i="122"/>
  <c r="O3469" i="122"/>
  <c r="P3469" i="122" s="1"/>
  <c r="O3497" i="122"/>
  <c r="P3497" i="122" s="1"/>
  <c r="O3526" i="122"/>
  <c r="P3526" i="122" s="1"/>
  <c r="O3545" i="122"/>
  <c r="P3545" i="122"/>
  <c r="P4046" i="122"/>
  <c r="O4046" i="122"/>
  <c r="O4057" i="122"/>
  <c r="P4057" i="122" s="1"/>
  <c r="O4069" i="122"/>
  <c r="P4069" i="122" s="1"/>
  <c r="O4091" i="122"/>
  <c r="P4091" i="122" s="1"/>
  <c r="O4095" i="122"/>
  <c r="P4095" i="122" s="1"/>
  <c r="P4145" i="122"/>
  <c r="O4145" i="122"/>
  <c r="O4173" i="122"/>
  <c r="P4173" i="122" s="1"/>
  <c r="O4258" i="122"/>
  <c r="P4258" i="122" s="1"/>
  <c r="O4316" i="122"/>
  <c r="P4316" i="122" s="1"/>
  <c r="O4726" i="122"/>
  <c r="P4726" i="122" s="1"/>
  <c r="O4807" i="122"/>
  <c r="P4807" i="122" s="1"/>
  <c r="O3360" i="122"/>
  <c r="O3368" i="122"/>
  <c r="O3376" i="122"/>
  <c r="P3376" i="122" s="1"/>
  <c r="O3384" i="122"/>
  <c r="P3384" i="122" s="1"/>
  <c r="O3392" i="122"/>
  <c r="P3392" i="122" s="1"/>
  <c r="O3400" i="122"/>
  <c r="P3400" i="122" s="1"/>
  <c r="O3408" i="122"/>
  <c r="P3408" i="122" s="1"/>
  <c r="O3416" i="122"/>
  <c r="P3416" i="122" s="1"/>
  <c r="P3430" i="122"/>
  <c r="O3460" i="122"/>
  <c r="P3460" i="122" s="1"/>
  <c r="O3498" i="122"/>
  <c r="P3498" i="122" s="1"/>
  <c r="O3504" i="122"/>
  <c r="P3504" i="122" s="1"/>
  <c r="P3505" i="122"/>
  <c r="P3525" i="122"/>
  <c r="O3536" i="122"/>
  <c r="P3536" i="122" s="1"/>
  <c r="P3537" i="122"/>
  <c r="P3553" i="122"/>
  <c r="O3563" i="122"/>
  <c r="P3569" i="122"/>
  <c r="P3589" i="122"/>
  <c r="O3590" i="122"/>
  <c r="P3590" i="122" s="1"/>
  <c r="P3592" i="122"/>
  <c r="O4038" i="122"/>
  <c r="P4038" i="122" s="1"/>
  <c r="P4083" i="122"/>
  <c r="O4083" i="122"/>
  <c r="O4099" i="122"/>
  <c r="P4099" i="122" s="1"/>
  <c r="P4118" i="122"/>
  <c r="O4123" i="122"/>
  <c r="P4123" i="122" s="1"/>
  <c r="O4153" i="122"/>
  <c r="P4153" i="122" s="1"/>
  <c r="O4210" i="122"/>
  <c r="P4210" i="122" s="1"/>
  <c r="O4215" i="122"/>
  <c r="P4215" i="122" s="1"/>
  <c r="P4250" i="122"/>
  <c r="O4250" i="122"/>
  <c r="P4721" i="122"/>
  <c r="O4721" i="122"/>
  <c r="O4775" i="122"/>
  <c r="P4775" i="122" s="1"/>
  <c r="P3360" i="122"/>
  <c r="P3426" i="122"/>
  <c r="P3440" i="122"/>
  <c r="P3444" i="122"/>
  <c r="O3453" i="122"/>
  <c r="P3453" i="122" s="1"/>
  <c r="O3456" i="122"/>
  <c r="P3456" i="122" s="1"/>
  <c r="P3470" i="122"/>
  <c r="O3478" i="122"/>
  <c r="P3478" i="122" s="1"/>
  <c r="P3482" i="122"/>
  <c r="O3482" i="122"/>
  <c r="O3489" i="122"/>
  <c r="P3489" i="122"/>
  <c r="P3490" i="122"/>
  <c r="O3506" i="122"/>
  <c r="P3506" i="122" s="1"/>
  <c r="P3530" i="122"/>
  <c r="O3538" i="122"/>
  <c r="P3538" i="122" s="1"/>
  <c r="O3546" i="122"/>
  <c r="P3546" i="122" s="1"/>
  <c r="O3554" i="122"/>
  <c r="P3554" i="122" s="1"/>
  <c r="P3555" i="122"/>
  <c r="P3581" i="122"/>
  <c r="P3632" i="122"/>
  <c r="J4025" i="122"/>
  <c r="O4054" i="122"/>
  <c r="P4054" i="122" s="1"/>
  <c r="P4073" i="122"/>
  <c r="O4073" i="122"/>
  <c r="O4094" i="122"/>
  <c r="P4094" i="122" s="1"/>
  <c r="O4106" i="122"/>
  <c r="P4106" i="122" s="1"/>
  <c r="P4126" i="122"/>
  <c r="O4127" i="122"/>
  <c r="P4127" i="122" s="1"/>
  <c r="O4131" i="122"/>
  <c r="P4131" i="122" s="1"/>
  <c r="P4133" i="122"/>
  <c r="O4133" i="122"/>
  <c r="O4157" i="122"/>
  <c r="P4157" i="122" s="1"/>
  <c r="O4166" i="122"/>
  <c r="P4166" i="122" s="1"/>
  <c r="O4185" i="122"/>
  <c r="P4185" i="122" s="1"/>
  <c r="O4233" i="122"/>
  <c r="P4233" i="122" s="1"/>
  <c r="O4263" i="122"/>
  <c r="P4263" i="122" s="1"/>
  <c r="O4309" i="122"/>
  <c r="P4309" i="122" s="1"/>
  <c r="P4059" i="122"/>
  <c r="P4061" i="122"/>
  <c r="O4061" i="122"/>
  <c r="O4087" i="122"/>
  <c r="P4087" i="122" s="1"/>
  <c r="P4090" i="122"/>
  <c r="O4121" i="122"/>
  <c r="P4121" i="122" s="1"/>
  <c r="O4134" i="122"/>
  <c r="P4134" i="122" s="1"/>
  <c r="O4197" i="122"/>
  <c r="P4197" i="122" s="1"/>
  <c r="O4242" i="122"/>
  <c r="P4242" i="122" s="1"/>
  <c r="P4266" i="122"/>
  <c r="O4266" i="122"/>
  <c r="O4710" i="122"/>
  <c r="P4710" i="122" s="1"/>
  <c r="O4804" i="122"/>
  <c r="P4804" i="122" s="1"/>
  <c r="O4055" i="122"/>
  <c r="P4055" i="122" s="1"/>
  <c r="P4058" i="122"/>
  <c r="O4089" i="122"/>
  <c r="P4089" i="122" s="1"/>
  <c r="P4102" i="122"/>
  <c r="O4102" i="122"/>
  <c r="O4147" i="122"/>
  <c r="P4147" i="122" s="1"/>
  <c r="P4177" i="122"/>
  <c r="O4177" i="122"/>
  <c r="O4183" i="122"/>
  <c r="P4183" i="122" s="1"/>
  <c r="O4202" i="122"/>
  <c r="P4202" i="122" s="1"/>
  <c r="P4238" i="122"/>
  <c r="O4238" i="122"/>
  <c r="O4255" i="122"/>
  <c r="P4255" i="122" s="1"/>
  <c r="O4706" i="122"/>
  <c r="P4706" i="122" s="1"/>
  <c r="P4711" i="122"/>
  <c r="O4711" i="122"/>
  <c r="P4734" i="122"/>
  <c r="O4734" i="122"/>
  <c r="O4790" i="122"/>
  <c r="P4790" i="122" s="1"/>
  <c r="O4165" i="122"/>
  <c r="P4165" i="122" s="1"/>
  <c r="P4222" i="122"/>
  <c r="P4245" i="122"/>
  <c r="O4245" i="122"/>
  <c r="P4317" i="122"/>
  <c r="P4724" i="122"/>
  <c r="O4724" i="122"/>
  <c r="O4786" i="122"/>
  <c r="P4786" i="122" s="1"/>
  <c r="P4170" i="122"/>
  <c r="O4170" i="122"/>
  <c r="P4190" i="122"/>
  <c r="P4219" i="122"/>
  <c r="P4221" i="122"/>
  <c r="O4221" i="122"/>
  <c r="O4269" i="122"/>
  <c r="P4269" i="122" s="1"/>
  <c r="P4272" i="122"/>
  <c r="P4730" i="122"/>
  <c r="O4730" i="122"/>
  <c r="O4766" i="122"/>
  <c r="P4766" i="122" s="1"/>
  <c r="O4793" i="122"/>
  <c r="P4793" i="122" s="1"/>
  <c r="O4942" i="122"/>
  <c r="P4942" i="122" s="1"/>
  <c r="O4753" i="122"/>
  <c r="P4753" i="122" s="1"/>
  <c r="O4782" i="122"/>
  <c r="P4782" i="122" s="1"/>
  <c r="O4815" i="122"/>
  <c r="P4815" i="122" s="1"/>
  <c r="O4879" i="122"/>
  <c r="P4879" i="122" s="1"/>
  <c r="P4935" i="122"/>
  <c r="O4935" i="122"/>
  <c r="O4938" i="122"/>
  <c r="P4938" i="122" s="1"/>
  <c r="O4979" i="122"/>
  <c r="P4979" i="122" s="1"/>
  <c r="O4716" i="122"/>
  <c r="P4716" i="122" s="1"/>
  <c r="P4751" i="122"/>
  <c r="O4751" i="122"/>
  <c r="O4778" i="122"/>
  <c r="P4778" i="122" s="1"/>
  <c r="P4787" i="122"/>
  <c r="O4787" i="122"/>
  <c r="P4767" i="122"/>
  <c r="O4830" i="122"/>
  <c r="P4830" i="122" s="1"/>
  <c r="P4882" i="122"/>
  <c r="O4882" i="122"/>
  <c r="P4884" i="122"/>
  <c r="P4903" i="122"/>
  <c r="O4903" i="122"/>
  <c r="O4910" i="122"/>
  <c r="P4910" i="122" s="1"/>
  <c r="O4714" i="122"/>
  <c r="P4714" i="122" s="1"/>
  <c r="O4720" i="122"/>
  <c r="P4720" i="122" s="1"/>
  <c r="P4731" i="122"/>
  <c r="O4759" i="122"/>
  <c r="P4759" i="122" s="1"/>
  <c r="P4761" i="122"/>
  <c r="O4767" i="122"/>
  <c r="O4822" i="122"/>
  <c r="P4822" i="122" s="1"/>
  <c r="O4878" i="122"/>
  <c r="P4878" i="122" s="1"/>
  <c r="O4884" i="122"/>
  <c r="O4898" i="122"/>
  <c r="P4898" i="122" s="1"/>
  <c r="P4991" i="122"/>
  <c r="O4991" i="122"/>
  <c r="I4695" i="122"/>
  <c r="P4302" i="122"/>
  <c r="O4302" i="122"/>
  <c r="P4307" i="122"/>
  <c r="O4324" i="122"/>
  <c r="P4324" i="122" s="1"/>
  <c r="M5365" i="122"/>
  <c r="P4700" i="122"/>
  <c r="O4700" i="122"/>
  <c r="O4702" i="122"/>
  <c r="P4702" i="122" s="1"/>
  <c r="O4735" i="122"/>
  <c r="P4735" i="122" s="1"/>
  <c r="P4758" i="122"/>
  <c r="O4758" i="122"/>
  <c r="P4850" i="122"/>
  <c r="O4850" i="122"/>
  <c r="J4695" i="122"/>
  <c r="O4033" i="122"/>
  <c r="P4033" i="122" s="1"/>
  <c r="P4034" i="122"/>
  <c r="P4065" i="122"/>
  <c r="O4065" i="122"/>
  <c r="P4066" i="122"/>
  <c r="P4097" i="122"/>
  <c r="O4097" i="122"/>
  <c r="P4098" i="122"/>
  <c r="O4129" i="122"/>
  <c r="P4129" i="122" s="1"/>
  <c r="P4130" i="122"/>
  <c r="P4161" i="122"/>
  <c r="O4161" i="122"/>
  <c r="P4162" i="122"/>
  <c r="P4193" i="122"/>
  <c r="O4193" i="122"/>
  <c r="P4194" i="122"/>
  <c r="O4225" i="122"/>
  <c r="P4225" i="122" s="1"/>
  <c r="P4226" i="122"/>
  <c r="O4240" i="122"/>
  <c r="P4240" i="122" s="1"/>
  <c r="O4241" i="122"/>
  <c r="P4241" i="122" s="1"/>
  <c r="O4249" i="122"/>
  <c r="P4249" i="122" s="1"/>
  <c r="O4257" i="122"/>
  <c r="P4257" i="122" s="1"/>
  <c r="O4265" i="122"/>
  <c r="P4265" i="122" s="1"/>
  <c r="O4312" i="122"/>
  <c r="P4312" i="122" s="1"/>
  <c r="P4715" i="122"/>
  <c r="P4743" i="122"/>
  <c r="O4743" i="122"/>
  <c r="O4812" i="122"/>
  <c r="P4812" i="122" s="1"/>
  <c r="O4873" i="122"/>
  <c r="P4873" i="122" s="1"/>
  <c r="O4895" i="122"/>
  <c r="P4895" i="122" s="1"/>
  <c r="P3644" i="122"/>
  <c r="M4030" i="122"/>
  <c r="O4318" i="122"/>
  <c r="P4318" i="122" s="1"/>
  <c r="P4323" i="122"/>
  <c r="O4705" i="122"/>
  <c r="P4705" i="122" s="1"/>
  <c r="O4745" i="122"/>
  <c r="P4745" i="122" s="1"/>
  <c r="P4756" i="122"/>
  <c r="O4756" i="122"/>
  <c r="P4764" i="122"/>
  <c r="O4764" i="122"/>
  <c r="O4842" i="122"/>
  <c r="P4842" i="122" s="1"/>
  <c r="O4889" i="122"/>
  <c r="P4889" i="122" s="1"/>
  <c r="O4937" i="122"/>
  <c r="P4937" i="122" s="1"/>
  <c r="O4986" i="122"/>
  <c r="P4986" i="122" s="1"/>
  <c r="P4723" i="122"/>
  <c r="O4747" i="122"/>
  <c r="P4747" i="122" s="1"/>
  <c r="P4763" i="122"/>
  <c r="O4770" i="122"/>
  <c r="P4770" i="122" s="1"/>
  <c r="P4783" i="122"/>
  <c r="O4794" i="122"/>
  <c r="P4794" i="122" s="1"/>
  <c r="O4874" i="122"/>
  <c r="P4874" i="122" s="1"/>
  <c r="P4876" i="122"/>
  <c r="O4876" i="122"/>
  <c r="O4890" i="122"/>
  <c r="P4890" i="122" s="1"/>
  <c r="O4980" i="122"/>
  <c r="P4980" i="122" s="1"/>
  <c r="O4703" i="122"/>
  <c r="P4703" i="122" s="1"/>
  <c r="O4708" i="122"/>
  <c r="P4708" i="122" s="1"/>
  <c r="O4718" i="122"/>
  <c r="P4718" i="122" s="1"/>
  <c r="O4744" i="122"/>
  <c r="P4744" i="122" s="1"/>
  <c r="O4750" i="122"/>
  <c r="P4750" i="122" s="1"/>
  <c r="P4755" i="122"/>
  <c r="O4755" i="122"/>
  <c r="P4760" i="122"/>
  <c r="O4774" i="122"/>
  <c r="P4774" i="122" s="1"/>
  <c r="P4779" i="122"/>
  <c r="O4823" i="122"/>
  <c r="P4823" i="122" s="1"/>
  <c r="P4836" i="122"/>
  <c r="O4836" i="122"/>
  <c r="P4866" i="122"/>
  <c r="O4866" i="122"/>
  <c r="P4871" i="122"/>
  <c r="O4871" i="122"/>
  <c r="P4911" i="122"/>
  <c r="O4927" i="122"/>
  <c r="P4927" i="122" s="1"/>
  <c r="P4932" i="122"/>
  <c r="O4932" i="122"/>
  <c r="O4304" i="122"/>
  <c r="P4304" i="122" s="1"/>
  <c r="P4305" i="122"/>
  <c r="O4320" i="122"/>
  <c r="P4320" i="122" s="1"/>
  <c r="P4321" i="122"/>
  <c r="P4707" i="122"/>
  <c r="O4722" i="122"/>
  <c r="P4722" i="122" s="1"/>
  <c r="P4727" i="122"/>
  <c r="O4727" i="122"/>
  <c r="O4732" i="122"/>
  <c r="P4732" i="122" s="1"/>
  <c r="P4752" i="122"/>
  <c r="O4752" i="122"/>
  <c r="P4791" i="122"/>
  <c r="O4799" i="122"/>
  <c r="P4799" i="122" s="1"/>
  <c r="O4810" i="122"/>
  <c r="P4810" i="122" s="1"/>
  <c r="P4831" i="122"/>
  <c r="O4838" i="122"/>
  <c r="P4838" i="122" s="1"/>
  <c r="O4881" i="122"/>
  <c r="P4881" i="122" s="1"/>
  <c r="P4887" i="122"/>
  <c r="O4892" i="122"/>
  <c r="P4892" i="122" s="1"/>
  <c r="O4748" i="122"/>
  <c r="P4748" i="122" s="1"/>
  <c r="O4802" i="122"/>
  <c r="P4802" i="122" s="1"/>
  <c r="O4886" i="122"/>
  <c r="P4886" i="122" s="1"/>
  <c r="O4902" i="122"/>
  <c r="P4902" i="122" s="1"/>
  <c r="O4737" i="122"/>
  <c r="P4737" i="122" s="1"/>
  <c r="O4740" i="122"/>
  <c r="P4740" i="122" s="1"/>
  <c r="P4771" i="122"/>
  <c r="O4809" i="122"/>
  <c r="P4809" i="122" s="1"/>
  <c r="P4828" i="122"/>
  <c r="P4839" i="122"/>
  <c r="O4863" i="122"/>
  <c r="P4863" i="122" s="1"/>
  <c r="P4868" i="122"/>
  <c r="O4868" i="122"/>
  <c r="O4894" i="122"/>
  <c r="P4894" i="122" s="1"/>
  <c r="O4897" i="122"/>
  <c r="P4897" i="122" s="1"/>
  <c r="O4906" i="122"/>
  <c r="P4906" i="122" s="1"/>
  <c r="O4940" i="122"/>
  <c r="P4940" i="122" s="1"/>
  <c r="O4990" i="122"/>
  <c r="P4990" i="122" s="1"/>
  <c r="O4792" i="122"/>
  <c r="P4792" i="122" s="1"/>
  <c r="P4814" i="122"/>
  <c r="O4814" i="122"/>
  <c r="P4817" i="122"/>
  <c r="O4820" i="122"/>
  <c r="P4820" i="122" s="1"/>
  <c r="P4846" i="122"/>
  <c r="O4846" i="122"/>
  <c r="O4847" i="122"/>
  <c r="P4847" i="122" s="1"/>
  <c r="O4914" i="122"/>
  <c r="P4914" i="122" s="1"/>
  <c r="O4930" i="122"/>
  <c r="P4930" i="122" s="1"/>
  <c r="O4806" i="122"/>
  <c r="P4806" i="122" s="1"/>
  <c r="O4870" i="122"/>
  <c r="P4870" i="122" s="1"/>
  <c r="O4934" i="122"/>
  <c r="P4934" i="122" s="1"/>
  <c r="P4738" i="122"/>
  <c r="O4738" i="122"/>
  <c r="O4746" i="122"/>
  <c r="P4746" i="122" s="1"/>
  <c r="P4754" i="122"/>
  <c r="O4754" i="122"/>
  <c r="O4762" i="122"/>
  <c r="P4762" i="122" s="1"/>
  <c r="O4798" i="122"/>
  <c r="P4798" i="122" s="1"/>
  <c r="P4852" i="122"/>
  <c r="P4855" i="122"/>
  <c r="O4858" i="122"/>
  <c r="P4858" i="122" s="1"/>
  <c r="O4862" i="122"/>
  <c r="P4862" i="122" s="1"/>
  <c r="P4916" i="122"/>
  <c r="P4919" i="122"/>
  <c r="P4922" i="122"/>
  <c r="O4922" i="122"/>
  <c r="O4926" i="122"/>
  <c r="P4926" i="122" s="1"/>
  <c r="O4974" i="122"/>
  <c r="P4974" i="122" s="1"/>
  <c r="O4987" i="122"/>
  <c r="P4987" i="122" s="1"/>
  <c r="O4992" i="122"/>
  <c r="P4992" i="122" s="1"/>
  <c r="O4772" i="122"/>
  <c r="P4772" i="122" s="1"/>
  <c r="O4780" i="122"/>
  <c r="P4780" i="122" s="1"/>
  <c r="O4788" i="122"/>
  <c r="P4788" i="122" s="1"/>
  <c r="O4796" i="122"/>
  <c r="P4796" i="122" s="1"/>
  <c r="P4844" i="122"/>
  <c r="P4854" i="122"/>
  <c r="O4854" i="122"/>
  <c r="O4860" i="122"/>
  <c r="P4860" i="122" s="1"/>
  <c r="P4908" i="122"/>
  <c r="O4918" i="122"/>
  <c r="P4918" i="122" s="1"/>
  <c r="O4924" i="122"/>
  <c r="P4924" i="122" s="1"/>
  <c r="P4976" i="122"/>
  <c r="O4976" i="122"/>
  <c r="O4982" i="122"/>
  <c r="P4982" i="122" s="1"/>
  <c r="I5365" i="122"/>
  <c r="J5365" i="122"/>
  <c r="O4978" i="122"/>
  <c r="P4978" i="122" s="1"/>
  <c r="P4994" i="122"/>
  <c r="O4994" i="122"/>
  <c r="BB651" i="121" l="1"/>
  <c r="BC292" i="121"/>
  <c r="BC290" i="121"/>
  <c r="BC279" i="121"/>
  <c r="G2122" i="122"/>
  <c r="G2792" i="122" s="1"/>
  <c r="G3462" i="122" s="1"/>
  <c r="G4132" i="122" s="1"/>
  <c r="G4802" i="122" s="1"/>
  <c r="O10" i="122"/>
  <c r="P10" i="122" s="1"/>
  <c r="M4695" i="122"/>
  <c r="O4030" i="122"/>
  <c r="P4030" i="122" s="1"/>
  <c r="G1432" i="122"/>
  <c r="O2020" i="122"/>
  <c r="P2020" i="122" s="1"/>
  <c r="M2685" i="122"/>
  <c r="O681" i="122"/>
  <c r="P681" i="122" s="1"/>
  <c r="G2293" i="122"/>
  <c r="G1436" i="122"/>
  <c r="G681" i="122"/>
  <c r="G1351" i="122" s="1"/>
  <c r="G2021" i="122" s="1"/>
  <c r="G2691" i="122" s="1"/>
  <c r="G3361" i="122" s="1"/>
  <c r="G4031" i="122" s="1"/>
  <c r="G4701" i="122" s="1"/>
  <c r="G682" i="122"/>
  <c r="G1352" i="122" s="1"/>
  <c r="G683" i="122"/>
  <c r="G1353" i="122" s="1"/>
  <c r="G2023" i="122" s="1"/>
  <c r="G2693" i="122" s="1"/>
  <c r="G3363" i="122" s="1"/>
  <c r="G4033" i="122" s="1"/>
  <c r="G4703" i="122" s="1"/>
  <c r="G684" i="122"/>
  <c r="G1354" i="122" s="1"/>
  <c r="G2024" i="122" s="1"/>
  <c r="G2694" i="122" s="1"/>
  <c r="G3364" i="122" s="1"/>
  <c r="G4034" i="122" s="1"/>
  <c r="G4704" i="122" s="1"/>
  <c r="G685" i="122"/>
  <c r="G1355" i="122" s="1"/>
  <c r="G2025" i="122" s="1"/>
  <c r="G2695" i="122" s="1"/>
  <c r="G3365" i="122" s="1"/>
  <c r="G4035" i="122" s="1"/>
  <c r="G4705" i="122" s="1"/>
  <c r="G686" i="122"/>
  <c r="G1356" i="122" s="1"/>
  <c r="G2026" i="122" s="1"/>
  <c r="G2696" i="122" s="1"/>
  <c r="G3366" i="122" s="1"/>
  <c r="G4036" i="122" s="1"/>
  <c r="G4706" i="122" s="1"/>
  <c r="G687" i="122"/>
  <c r="G1357" i="122" s="1"/>
  <c r="G2027" i="122" s="1"/>
  <c r="G2697" i="122" s="1"/>
  <c r="G3367" i="122" s="1"/>
  <c r="G4037" i="122" s="1"/>
  <c r="G4707" i="122" s="1"/>
  <c r="G690" i="122"/>
  <c r="G1360" i="122" s="1"/>
  <c r="G2030" i="122" s="1"/>
  <c r="G2700" i="122" s="1"/>
  <c r="G3370" i="122" s="1"/>
  <c r="G4040" i="122" s="1"/>
  <c r="G4710" i="122" s="1"/>
  <c r="G691" i="122"/>
  <c r="G1361" i="122" s="1"/>
  <c r="G2031" i="122" s="1"/>
  <c r="G2701" i="122" s="1"/>
  <c r="G3371" i="122" s="1"/>
  <c r="G4041" i="122" s="1"/>
  <c r="G4711" i="122" s="1"/>
  <c r="G692" i="122"/>
  <c r="G1362" i="122" s="1"/>
  <c r="G2032" i="122" s="1"/>
  <c r="G2702" i="122" s="1"/>
  <c r="G3372" i="122" s="1"/>
  <c r="G4042" i="122" s="1"/>
  <c r="G4712" i="122" s="1"/>
  <c r="G694" i="122"/>
  <c r="G1364" i="122" s="1"/>
  <c r="G695" i="122"/>
  <c r="G1365" i="122" s="1"/>
  <c r="G2035" i="122" s="1"/>
  <c r="G2705" i="122" s="1"/>
  <c r="G3375" i="122" s="1"/>
  <c r="G4045" i="122" s="1"/>
  <c r="G4715" i="122" s="1"/>
  <c r="G696" i="122"/>
  <c r="G1366" i="122" s="1"/>
  <c r="G2036" i="122" s="1"/>
  <c r="G2706" i="122" s="1"/>
  <c r="G3376" i="122" s="1"/>
  <c r="G4046" i="122" s="1"/>
  <c r="G4716" i="122" s="1"/>
  <c r="G697" i="122"/>
  <c r="G1367" i="122" s="1"/>
  <c r="G2037" i="122" s="1"/>
  <c r="G2707" i="122" s="1"/>
  <c r="G3377" i="122" s="1"/>
  <c r="G4047" i="122" s="1"/>
  <c r="G4717" i="122" s="1"/>
  <c r="G698" i="122"/>
  <c r="G1368" i="122" s="1"/>
  <c r="G699" i="122"/>
  <c r="G1369" i="122" s="1"/>
  <c r="G2039" i="122" s="1"/>
  <c r="G2709" i="122" s="1"/>
  <c r="G3379" i="122" s="1"/>
  <c r="G4049" i="122" s="1"/>
  <c r="G4719" i="122" s="1"/>
  <c r="G700" i="122"/>
  <c r="G1370" i="122" s="1"/>
  <c r="G2040" i="122" s="1"/>
  <c r="G2710" i="122" s="1"/>
  <c r="G3380" i="122" s="1"/>
  <c r="G4050" i="122" s="1"/>
  <c r="G4720" i="122" s="1"/>
  <c r="G701" i="122"/>
  <c r="G1371" i="122" s="1"/>
  <c r="G2041" i="122" s="1"/>
  <c r="G2711" i="122" s="1"/>
  <c r="G3381" i="122" s="1"/>
  <c r="G4051" i="122" s="1"/>
  <c r="G4721" i="122" s="1"/>
  <c r="G702" i="122"/>
  <c r="G1372" i="122" s="1"/>
  <c r="G703" i="122"/>
  <c r="G1373" i="122" s="1"/>
  <c r="G2043" i="122" s="1"/>
  <c r="G2713" i="122" s="1"/>
  <c r="G3383" i="122" s="1"/>
  <c r="G4053" i="122" s="1"/>
  <c r="G4723" i="122" s="1"/>
  <c r="G704" i="122"/>
  <c r="G1374" i="122" s="1"/>
  <c r="G2044" i="122" s="1"/>
  <c r="G2714" i="122" s="1"/>
  <c r="G3384" i="122" s="1"/>
  <c r="G4054" i="122" s="1"/>
  <c r="G4724" i="122" s="1"/>
  <c r="G705" i="122"/>
  <c r="G1375" i="122" s="1"/>
  <c r="G2045" i="122" s="1"/>
  <c r="G2715" i="122" s="1"/>
  <c r="G3385" i="122" s="1"/>
  <c r="G4055" i="122" s="1"/>
  <c r="G4725" i="122" s="1"/>
  <c r="G706" i="122"/>
  <c r="G1376" i="122" s="1"/>
  <c r="G707" i="122"/>
  <c r="G1377" i="122" s="1"/>
  <c r="G2047" i="122" s="1"/>
  <c r="G2717" i="122" s="1"/>
  <c r="G3387" i="122" s="1"/>
  <c r="G4057" i="122" s="1"/>
  <c r="G4727" i="122" s="1"/>
  <c r="G708" i="122"/>
  <c r="G1378" i="122" s="1"/>
  <c r="G2048" i="122" s="1"/>
  <c r="G2718" i="122" s="1"/>
  <c r="G3388" i="122" s="1"/>
  <c r="G4058" i="122" s="1"/>
  <c r="G4728" i="122" s="1"/>
  <c r="G709" i="122"/>
  <c r="G1379" i="122" s="1"/>
  <c r="G2049" i="122" s="1"/>
  <c r="G2719" i="122" s="1"/>
  <c r="G3389" i="122" s="1"/>
  <c r="G4059" i="122" s="1"/>
  <c r="G4729" i="122" s="1"/>
  <c r="G710" i="122"/>
  <c r="G1380" i="122" s="1"/>
  <c r="G2050" i="122" s="1"/>
  <c r="G2720" i="122" s="1"/>
  <c r="G3390" i="122" s="1"/>
  <c r="G4060" i="122" s="1"/>
  <c r="G4730" i="122" s="1"/>
  <c r="G711" i="122"/>
  <c r="G1381" i="122" s="1"/>
  <c r="G2051" i="122" s="1"/>
  <c r="G2721" i="122" s="1"/>
  <c r="G3391" i="122" s="1"/>
  <c r="G4061" i="122" s="1"/>
  <c r="G4731" i="122" s="1"/>
  <c r="G715" i="122"/>
  <c r="G1385" i="122" s="1"/>
  <c r="G2055" i="122" s="1"/>
  <c r="G2725" i="122" s="1"/>
  <c r="G3395" i="122" s="1"/>
  <c r="G4065" i="122" s="1"/>
  <c r="G4735" i="122" s="1"/>
  <c r="G716" i="122"/>
  <c r="G717" i="122"/>
  <c r="G1387" i="122" s="1"/>
  <c r="G2057" i="122" s="1"/>
  <c r="G2727" i="122" s="1"/>
  <c r="G3397" i="122" s="1"/>
  <c r="G4067" i="122" s="1"/>
  <c r="G4737" i="122" s="1"/>
  <c r="G718" i="122"/>
  <c r="G1388" i="122" s="1"/>
  <c r="G2058" i="122" s="1"/>
  <c r="G719" i="122"/>
  <c r="G1389" i="122" s="1"/>
  <c r="G721" i="122"/>
  <c r="G1391" i="122" s="1"/>
  <c r="G2061" i="122" s="1"/>
  <c r="G2731" i="122" s="1"/>
  <c r="G3401" i="122" s="1"/>
  <c r="G4071" i="122" s="1"/>
  <c r="G4741" i="122" s="1"/>
  <c r="G722" i="122"/>
  <c r="G1392" i="122" s="1"/>
  <c r="G723" i="122"/>
  <c r="G1393" i="122" s="1"/>
  <c r="G2063" i="122" s="1"/>
  <c r="G2733" i="122" s="1"/>
  <c r="G3403" i="122" s="1"/>
  <c r="G4073" i="122" s="1"/>
  <c r="G4743" i="122" s="1"/>
  <c r="G724" i="122"/>
  <c r="G1394" i="122" s="1"/>
  <c r="G2064" i="122" s="1"/>
  <c r="G725" i="122"/>
  <c r="G1395" i="122" s="1"/>
  <c r="G2065" i="122" s="1"/>
  <c r="G2735" i="122" s="1"/>
  <c r="G3405" i="122" s="1"/>
  <c r="G4075" i="122" s="1"/>
  <c r="G4745" i="122" s="1"/>
  <c r="G726" i="122"/>
  <c r="G1396" i="122" s="1"/>
  <c r="G727" i="122"/>
  <c r="G1397" i="122" s="1"/>
  <c r="G2067" i="122" s="1"/>
  <c r="G2737" i="122" s="1"/>
  <c r="G3407" i="122" s="1"/>
  <c r="G4077" i="122" s="1"/>
  <c r="G4747" i="122" s="1"/>
  <c r="G728" i="122"/>
  <c r="G1398" i="122" s="1"/>
  <c r="G2068" i="122" s="1"/>
  <c r="G2738" i="122" s="1"/>
  <c r="G3408" i="122" s="1"/>
  <c r="G4078" i="122" s="1"/>
  <c r="G4748" i="122" s="1"/>
  <c r="G729" i="122"/>
  <c r="G1399" i="122" s="1"/>
  <c r="G2069" i="122" s="1"/>
  <c r="G2739" i="122" s="1"/>
  <c r="G3409" i="122" s="1"/>
  <c r="G4079" i="122" s="1"/>
  <c r="G4749" i="122" s="1"/>
  <c r="G730" i="122"/>
  <c r="G1400" i="122" s="1"/>
  <c r="G731" i="122"/>
  <c r="G1401" i="122" s="1"/>
  <c r="G2071" i="122" s="1"/>
  <c r="G2741" i="122" s="1"/>
  <c r="G3411" i="122" s="1"/>
  <c r="G4081" i="122" s="1"/>
  <c r="G4751" i="122" s="1"/>
  <c r="G732" i="122"/>
  <c r="G1402" i="122" s="1"/>
  <c r="G2072" i="122" s="1"/>
  <c r="G2742" i="122" s="1"/>
  <c r="G3412" i="122" s="1"/>
  <c r="G4082" i="122" s="1"/>
  <c r="G4752" i="122" s="1"/>
  <c r="G733" i="122"/>
  <c r="G1403" i="122" s="1"/>
  <c r="G2073" i="122" s="1"/>
  <c r="G2743" i="122" s="1"/>
  <c r="G3413" i="122" s="1"/>
  <c r="G4083" i="122" s="1"/>
  <c r="G4753" i="122" s="1"/>
  <c r="G734" i="122"/>
  <c r="G1404" i="122" s="1"/>
  <c r="G735" i="122"/>
  <c r="G1405" i="122" s="1"/>
  <c r="G2075" i="122" s="1"/>
  <c r="G2745" i="122" s="1"/>
  <c r="G3415" i="122" s="1"/>
  <c r="G4085" i="122" s="1"/>
  <c r="G4755" i="122" s="1"/>
  <c r="G736" i="122"/>
  <c r="G1406" i="122" s="1"/>
  <c r="G2076" i="122" s="1"/>
  <c r="G2746" i="122" s="1"/>
  <c r="G3416" i="122" s="1"/>
  <c r="G4086" i="122" s="1"/>
  <c r="G4756" i="122" s="1"/>
  <c r="G737" i="122"/>
  <c r="G1407" i="122" s="1"/>
  <c r="G2077" i="122" s="1"/>
  <c r="G2747" i="122" s="1"/>
  <c r="G3417" i="122" s="1"/>
  <c r="G4087" i="122" s="1"/>
  <c r="G4757" i="122" s="1"/>
  <c r="G739" i="122"/>
  <c r="G1409" i="122" s="1"/>
  <c r="G2079" i="122" s="1"/>
  <c r="G2749" i="122" s="1"/>
  <c r="G3419" i="122" s="1"/>
  <c r="G4089" i="122" s="1"/>
  <c r="G4759" i="122" s="1"/>
  <c r="G740" i="122"/>
  <c r="G1410" i="122" s="1"/>
  <c r="G2080" i="122" s="1"/>
  <c r="G2750" i="122" s="1"/>
  <c r="G3420" i="122" s="1"/>
  <c r="G4090" i="122" s="1"/>
  <c r="G4760" i="122" s="1"/>
  <c r="G741" i="122"/>
  <c r="G1411" i="122" s="1"/>
  <c r="G2081" i="122" s="1"/>
  <c r="G2751" i="122" s="1"/>
  <c r="G3421" i="122" s="1"/>
  <c r="G4091" i="122" s="1"/>
  <c r="G4761" i="122" s="1"/>
  <c r="G742" i="122"/>
  <c r="G1412" i="122" s="1"/>
  <c r="G2082" i="122" s="1"/>
  <c r="G2752" i="122" s="1"/>
  <c r="G3422" i="122" s="1"/>
  <c r="G4092" i="122" s="1"/>
  <c r="G4762" i="122" s="1"/>
  <c r="G743" i="122"/>
  <c r="G1413" i="122" s="1"/>
  <c r="G2083" i="122" s="1"/>
  <c r="G2753" i="122" s="1"/>
  <c r="G3423" i="122" s="1"/>
  <c r="G4093" i="122" s="1"/>
  <c r="G4763" i="122" s="1"/>
  <c r="G745" i="122"/>
  <c r="G1415" i="122" s="1"/>
  <c r="G2085" i="122" s="1"/>
  <c r="G2755" i="122" s="1"/>
  <c r="G3425" i="122" s="1"/>
  <c r="G4095" i="122" s="1"/>
  <c r="G4765" i="122" s="1"/>
  <c r="G746" i="122"/>
  <c r="G1416" i="122" s="1"/>
  <c r="G2086" i="122" s="1"/>
  <c r="G2756" i="122" s="1"/>
  <c r="G3426" i="122" s="1"/>
  <c r="G4096" i="122" s="1"/>
  <c r="G4766" i="122" s="1"/>
  <c r="G747" i="122"/>
  <c r="G1417" i="122" s="1"/>
  <c r="G2087" i="122" s="1"/>
  <c r="G2757" i="122" s="1"/>
  <c r="G3427" i="122" s="1"/>
  <c r="G4097" i="122" s="1"/>
  <c r="G4767" i="122" s="1"/>
  <c r="G748" i="122"/>
  <c r="G1418" i="122" s="1"/>
  <c r="G2088" i="122" s="1"/>
  <c r="G2758" i="122" s="1"/>
  <c r="G3428" i="122" s="1"/>
  <c r="G4098" i="122" s="1"/>
  <c r="G4768" i="122" s="1"/>
  <c r="G749" i="122"/>
  <c r="G1419" i="122" s="1"/>
  <c r="G2089" i="122" s="1"/>
  <c r="G2759" i="122" s="1"/>
  <c r="G3429" i="122" s="1"/>
  <c r="G4099" i="122" s="1"/>
  <c r="G4769" i="122" s="1"/>
  <c r="G750" i="122"/>
  <c r="G1420" i="122" s="1"/>
  <c r="G751" i="122"/>
  <c r="G1421" i="122" s="1"/>
  <c r="G2091" i="122" s="1"/>
  <c r="G2761" i="122" s="1"/>
  <c r="G3431" i="122" s="1"/>
  <c r="G4101" i="122" s="1"/>
  <c r="G4771" i="122" s="1"/>
  <c r="G753" i="122"/>
  <c r="G1423" i="122" s="1"/>
  <c r="G2093" i="122" s="1"/>
  <c r="G2763" i="122" s="1"/>
  <c r="G3433" i="122" s="1"/>
  <c r="G4103" i="122" s="1"/>
  <c r="G4773" i="122" s="1"/>
  <c r="G754" i="122"/>
  <c r="G1424" i="122" s="1"/>
  <c r="G2094" i="122" s="1"/>
  <c r="G755" i="122"/>
  <c r="G1425" i="122" s="1"/>
  <c r="G2095" i="122" s="1"/>
  <c r="G2765" i="122" s="1"/>
  <c r="G3435" i="122" s="1"/>
  <c r="G4105" i="122" s="1"/>
  <c r="G4775" i="122" s="1"/>
  <c r="G756" i="122"/>
  <c r="G1426" i="122" s="1"/>
  <c r="G2096" i="122" s="1"/>
  <c r="G2766" i="122" s="1"/>
  <c r="G3436" i="122" s="1"/>
  <c r="G4106" i="122" s="1"/>
  <c r="G4776" i="122" s="1"/>
  <c r="G757" i="122"/>
  <c r="G1427" i="122" s="1"/>
  <c r="G2097" i="122" s="1"/>
  <c r="G2767" i="122" s="1"/>
  <c r="G3437" i="122" s="1"/>
  <c r="G4107" i="122" s="1"/>
  <c r="G4777" i="122" s="1"/>
  <c r="G758" i="122"/>
  <c r="G1428" i="122" s="1"/>
  <c r="G759" i="122"/>
  <c r="G1429" i="122" s="1"/>
  <c r="G2099" i="122" s="1"/>
  <c r="G2769" i="122" s="1"/>
  <c r="G3439" i="122" s="1"/>
  <c r="G4109" i="122" s="1"/>
  <c r="G4779" i="122" s="1"/>
  <c r="G760" i="122"/>
  <c r="G1430" i="122" s="1"/>
  <c r="G2100" i="122" s="1"/>
  <c r="G2770" i="122" s="1"/>
  <c r="G3440" i="122" s="1"/>
  <c r="G4110" i="122" s="1"/>
  <c r="G4780" i="122" s="1"/>
  <c r="G761" i="122"/>
  <c r="G1431" i="122" s="1"/>
  <c r="G2101" i="122" s="1"/>
  <c r="G2771" i="122" s="1"/>
  <c r="G3441" i="122" s="1"/>
  <c r="G4111" i="122" s="1"/>
  <c r="G4781" i="122" s="1"/>
  <c r="G762" i="122"/>
  <c r="G763" i="122"/>
  <c r="G1433" i="122" s="1"/>
  <c r="G2103" i="122" s="1"/>
  <c r="G2773" i="122" s="1"/>
  <c r="G3443" i="122" s="1"/>
  <c r="G4113" i="122" s="1"/>
  <c r="G4783" i="122" s="1"/>
  <c r="G764" i="122"/>
  <c r="G1434" i="122" s="1"/>
  <c r="G2104" i="122" s="1"/>
  <c r="G2774" i="122" s="1"/>
  <c r="G3444" i="122" s="1"/>
  <c r="G4114" i="122" s="1"/>
  <c r="G4784" i="122" s="1"/>
  <c r="G765" i="122"/>
  <c r="G1435" i="122" s="1"/>
  <c r="G2105" i="122" s="1"/>
  <c r="G2775" i="122" s="1"/>
  <c r="G3445" i="122" s="1"/>
  <c r="G4115" i="122" s="1"/>
  <c r="G4785" i="122" s="1"/>
  <c r="G766" i="122"/>
  <c r="G767" i="122"/>
  <c r="G1437" i="122" s="1"/>
  <c r="G2107" i="122" s="1"/>
  <c r="G2777" i="122" s="1"/>
  <c r="G3447" i="122" s="1"/>
  <c r="G4117" i="122" s="1"/>
  <c r="G4787" i="122" s="1"/>
  <c r="G768" i="122"/>
  <c r="G1438" i="122" s="1"/>
  <c r="G2108" i="122" s="1"/>
  <c r="G2778" i="122" s="1"/>
  <c r="G3448" i="122" s="1"/>
  <c r="G4118" i="122" s="1"/>
  <c r="G4788" i="122" s="1"/>
  <c r="G769" i="122"/>
  <c r="G1439" i="122" s="1"/>
  <c r="G2109" i="122" s="1"/>
  <c r="G2779" i="122" s="1"/>
  <c r="G3449" i="122" s="1"/>
  <c r="G4119" i="122" s="1"/>
  <c r="G4789" i="122" s="1"/>
  <c r="G770" i="122"/>
  <c r="G1440" i="122" s="1"/>
  <c r="G771" i="122"/>
  <c r="G1441" i="122" s="1"/>
  <c r="G2111" i="122" s="1"/>
  <c r="G2781" i="122" s="1"/>
  <c r="G3451" i="122" s="1"/>
  <c r="G4121" i="122" s="1"/>
  <c r="G4791" i="122" s="1"/>
  <c r="G772" i="122"/>
  <c r="G1442" i="122" s="1"/>
  <c r="G2112" i="122" s="1"/>
  <c r="G2782" i="122" s="1"/>
  <c r="G3452" i="122" s="1"/>
  <c r="G4122" i="122" s="1"/>
  <c r="G4792" i="122" s="1"/>
  <c r="G773" i="122"/>
  <c r="G1443" i="122" s="1"/>
  <c r="G2113" i="122" s="1"/>
  <c r="G2783" i="122" s="1"/>
  <c r="G3453" i="122" s="1"/>
  <c r="G4123" i="122" s="1"/>
  <c r="G4793" i="122" s="1"/>
  <c r="G774" i="122"/>
  <c r="G1444" i="122" s="1"/>
  <c r="G2114" i="122" s="1"/>
  <c r="G2784" i="122" s="1"/>
  <c r="G3454" i="122" s="1"/>
  <c r="G4124" i="122" s="1"/>
  <c r="G4794" i="122" s="1"/>
  <c r="G775" i="122"/>
  <c r="G1445" i="122" s="1"/>
  <c r="G2115" i="122" s="1"/>
  <c r="G2785" i="122" s="1"/>
  <c r="G3455" i="122" s="1"/>
  <c r="G4125" i="122" s="1"/>
  <c r="G4795" i="122" s="1"/>
  <c r="G778" i="122"/>
  <c r="G1448" i="122" s="1"/>
  <c r="G2118" i="122" s="1"/>
  <c r="G2788" i="122" s="1"/>
  <c r="G3458" i="122" s="1"/>
  <c r="G4128" i="122" s="1"/>
  <c r="G4798" i="122" s="1"/>
  <c r="G779" i="122"/>
  <c r="G1449" i="122" s="1"/>
  <c r="G2119" i="122" s="1"/>
  <c r="G2789" i="122" s="1"/>
  <c r="G3459" i="122" s="1"/>
  <c r="G4129" i="122" s="1"/>
  <c r="G4799" i="122" s="1"/>
  <c r="G780" i="122"/>
  <c r="G1450" i="122" s="1"/>
  <c r="G2120" i="122" s="1"/>
  <c r="G2790" i="122" s="1"/>
  <c r="G3460" i="122" s="1"/>
  <c r="G4130" i="122" s="1"/>
  <c r="G4800" i="122" s="1"/>
  <c r="G781" i="122"/>
  <c r="G1451" i="122" s="1"/>
  <c r="G2121" i="122" s="1"/>
  <c r="G2791" i="122" s="1"/>
  <c r="G3461" i="122" s="1"/>
  <c r="G4131" i="122" s="1"/>
  <c r="G4801" i="122" s="1"/>
  <c r="G782" i="122"/>
  <c r="G1452" i="122" s="1"/>
  <c r="G783" i="122"/>
  <c r="G1453" i="122" s="1"/>
  <c r="G2123" i="122" s="1"/>
  <c r="G2793" i="122" s="1"/>
  <c r="G3463" i="122" s="1"/>
  <c r="G4133" i="122" s="1"/>
  <c r="G4803" i="122" s="1"/>
  <c r="G784" i="122"/>
  <c r="G1454" i="122" s="1"/>
  <c r="G2124" i="122" s="1"/>
  <c r="G2794" i="122" s="1"/>
  <c r="G3464" i="122" s="1"/>
  <c r="G4134" i="122" s="1"/>
  <c r="G4804" i="122" s="1"/>
  <c r="G785" i="122"/>
  <c r="G1455" i="122" s="1"/>
  <c r="G2125" i="122" s="1"/>
  <c r="G2795" i="122" s="1"/>
  <c r="G3465" i="122" s="1"/>
  <c r="G4135" i="122" s="1"/>
  <c r="G4805" i="122" s="1"/>
  <c r="G786" i="122"/>
  <c r="G1456" i="122" s="1"/>
  <c r="G2126" i="122" s="1"/>
  <c r="G2796" i="122" s="1"/>
  <c r="G3466" i="122" s="1"/>
  <c r="G4136" i="122" s="1"/>
  <c r="G4806" i="122" s="1"/>
  <c r="G787" i="122"/>
  <c r="G1457" i="122" s="1"/>
  <c r="G2127" i="122" s="1"/>
  <c r="G2797" i="122" s="1"/>
  <c r="G3467" i="122" s="1"/>
  <c r="G4137" i="122" s="1"/>
  <c r="G4807" i="122" s="1"/>
  <c r="G788" i="122"/>
  <c r="G1458" i="122" s="1"/>
  <c r="G2128" i="122" s="1"/>
  <c r="G2798" i="122" s="1"/>
  <c r="G3468" i="122" s="1"/>
  <c r="G4138" i="122" s="1"/>
  <c r="G4808" i="122" s="1"/>
  <c r="G789" i="122"/>
  <c r="G1459" i="122" s="1"/>
  <c r="G2129" i="122" s="1"/>
  <c r="G2799" i="122" s="1"/>
  <c r="G3469" i="122" s="1"/>
  <c r="G4139" i="122" s="1"/>
  <c r="G4809" i="122" s="1"/>
  <c r="G790" i="122"/>
  <c r="G1460" i="122" s="1"/>
  <c r="G2130" i="122" s="1"/>
  <c r="G2800" i="122" s="1"/>
  <c r="G3470" i="122" s="1"/>
  <c r="G4140" i="122" s="1"/>
  <c r="G4810" i="122" s="1"/>
  <c r="G791" i="122"/>
  <c r="G1461" i="122" s="1"/>
  <c r="G2131" i="122" s="1"/>
  <c r="G2801" i="122" s="1"/>
  <c r="G3471" i="122" s="1"/>
  <c r="G4141" i="122" s="1"/>
  <c r="G4811" i="122" s="1"/>
  <c r="G792" i="122"/>
  <c r="G1462" i="122" s="1"/>
  <c r="G2132" i="122" s="1"/>
  <c r="G2802" i="122" s="1"/>
  <c r="G3472" i="122" s="1"/>
  <c r="G4142" i="122" s="1"/>
  <c r="G4812" i="122" s="1"/>
  <c r="G793" i="122"/>
  <c r="G1463" i="122" s="1"/>
  <c r="G2133" i="122" s="1"/>
  <c r="G2803" i="122" s="1"/>
  <c r="G3473" i="122" s="1"/>
  <c r="G4143" i="122" s="1"/>
  <c r="G4813" i="122" s="1"/>
  <c r="G794" i="122"/>
  <c r="G1464" i="122" s="1"/>
  <c r="G795" i="122"/>
  <c r="G1465" i="122" s="1"/>
  <c r="G2135" i="122" s="1"/>
  <c r="G2805" i="122" s="1"/>
  <c r="G3475" i="122" s="1"/>
  <c r="G4145" i="122" s="1"/>
  <c r="G4815" i="122" s="1"/>
  <c r="G796" i="122"/>
  <c r="G1466" i="122" s="1"/>
  <c r="G2136" i="122" s="1"/>
  <c r="G2806" i="122" s="1"/>
  <c r="G3476" i="122" s="1"/>
  <c r="G4146" i="122" s="1"/>
  <c r="G4816" i="122" s="1"/>
  <c r="G797" i="122"/>
  <c r="G1467" i="122" s="1"/>
  <c r="G2137" i="122" s="1"/>
  <c r="G2807" i="122" s="1"/>
  <c r="G3477" i="122" s="1"/>
  <c r="G4147" i="122" s="1"/>
  <c r="G4817" i="122" s="1"/>
  <c r="G799" i="122"/>
  <c r="G1469" i="122" s="1"/>
  <c r="G2139" i="122" s="1"/>
  <c r="G2809" i="122" s="1"/>
  <c r="G3479" i="122" s="1"/>
  <c r="G4149" i="122" s="1"/>
  <c r="G4819" i="122" s="1"/>
  <c r="G800" i="122"/>
  <c r="G1470" i="122" s="1"/>
  <c r="G2140" i="122" s="1"/>
  <c r="G2810" i="122" s="1"/>
  <c r="G3480" i="122" s="1"/>
  <c r="G4150" i="122" s="1"/>
  <c r="G4820" i="122" s="1"/>
  <c r="G801" i="122"/>
  <c r="G1471" i="122" s="1"/>
  <c r="G2141" i="122" s="1"/>
  <c r="G2811" i="122" s="1"/>
  <c r="G3481" i="122" s="1"/>
  <c r="G4151" i="122" s="1"/>
  <c r="G4821" i="122" s="1"/>
  <c r="G803" i="122"/>
  <c r="G1473" i="122" s="1"/>
  <c r="G2143" i="122" s="1"/>
  <c r="G804" i="122"/>
  <c r="G1474" i="122" s="1"/>
  <c r="G2144" i="122" s="1"/>
  <c r="G2814" i="122" s="1"/>
  <c r="G3484" i="122" s="1"/>
  <c r="G4154" i="122" s="1"/>
  <c r="G4824" i="122" s="1"/>
  <c r="G806" i="122"/>
  <c r="G1476" i="122" s="1"/>
  <c r="G2146" i="122" s="1"/>
  <c r="G2816" i="122" s="1"/>
  <c r="G3486" i="122" s="1"/>
  <c r="G4156" i="122" s="1"/>
  <c r="G4826" i="122" s="1"/>
  <c r="G807" i="122"/>
  <c r="G1477" i="122" s="1"/>
  <c r="G2147" i="122" s="1"/>
  <c r="G2817" i="122" s="1"/>
  <c r="G3487" i="122" s="1"/>
  <c r="G4157" i="122" s="1"/>
  <c r="G4827" i="122" s="1"/>
  <c r="G808" i="122"/>
  <c r="G1478" i="122" s="1"/>
  <c r="G2148" i="122" s="1"/>
  <c r="G2818" i="122" s="1"/>
  <c r="G3488" i="122" s="1"/>
  <c r="G4158" i="122" s="1"/>
  <c r="G4828" i="122" s="1"/>
  <c r="G809" i="122"/>
  <c r="G1479" i="122" s="1"/>
  <c r="G2149" i="122" s="1"/>
  <c r="G2819" i="122" s="1"/>
  <c r="G3489" i="122" s="1"/>
  <c r="G4159" i="122" s="1"/>
  <c r="G4829" i="122" s="1"/>
  <c r="G810" i="122"/>
  <c r="G1480" i="122" s="1"/>
  <c r="G2150" i="122" s="1"/>
  <c r="G2820" i="122" s="1"/>
  <c r="G3490" i="122" s="1"/>
  <c r="G4160" i="122" s="1"/>
  <c r="G4830" i="122" s="1"/>
  <c r="G811" i="122"/>
  <c r="G1481" i="122" s="1"/>
  <c r="G2151" i="122" s="1"/>
  <c r="G2821" i="122" s="1"/>
  <c r="G3491" i="122" s="1"/>
  <c r="G4161" i="122" s="1"/>
  <c r="G4831" i="122" s="1"/>
  <c r="G813" i="122"/>
  <c r="G1483" i="122" s="1"/>
  <c r="G2153" i="122" s="1"/>
  <c r="G2823" i="122" s="1"/>
  <c r="G3493" i="122" s="1"/>
  <c r="G4163" i="122" s="1"/>
  <c r="G4833" i="122" s="1"/>
  <c r="G814" i="122"/>
  <c r="G1484" i="122" s="1"/>
  <c r="G2154" i="122" s="1"/>
  <c r="G2824" i="122" s="1"/>
  <c r="G3494" i="122" s="1"/>
  <c r="G4164" i="122" s="1"/>
  <c r="G4834" i="122" s="1"/>
  <c r="G815" i="122"/>
  <c r="G1485" i="122" s="1"/>
  <c r="G2155" i="122" s="1"/>
  <c r="G2825" i="122" s="1"/>
  <c r="G3495" i="122" s="1"/>
  <c r="G4165" i="122" s="1"/>
  <c r="G4835" i="122" s="1"/>
  <c r="G816" i="122"/>
  <c r="G1486" i="122" s="1"/>
  <c r="G2156" i="122" s="1"/>
  <c r="G2826" i="122" s="1"/>
  <c r="G3496" i="122" s="1"/>
  <c r="G4166" i="122" s="1"/>
  <c r="G4836" i="122" s="1"/>
  <c r="G817" i="122"/>
  <c r="G1487" i="122" s="1"/>
  <c r="G2157" i="122" s="1"/>
  <c r="G2827" i="122" s="1"/>
  <c r="G3497" i="122" s="1"/>
  <c r="G4167" i="122" s="1"/>
  <c r="G4837" i="122" s="1"/>
  <c r="G819" i="122"/>
  <c r="G1489" i="122" s="1"/>
  <c r="G2159" i="122" s="1"/>
  <c r="G2829" i="122" s="1"/>
  <c r="G3499" i="122" s="1"/>
  <c r="G4169" i="122" s="1"/>
  <c r="G4839" i="122" s="1"/>
  <c r="G821" i="122"/>
  <c r="G1491" i="122" s="1"/>
  <c r="G2161" i="122" s="1"/>
  <c r="G2831" i="122" s="1"/>
  <c r="G3501" i="122" s="1"/>
  <c r="G4171" i="122" s="1"/>
  <c r="G4841" i="122" s="1"/>
  <c r="G822" i="122"/>
  <c r="G1492" i="122" s="1"/>
  <c r="G2162" i="122" s="1"/>
  <c r="G2832" i="122" s="1"/>
  <c r="G3502" i="122" s="1"/>
  <c r="G4172" i="122" s="1"/>
  <c r="G4842" i="122" s="1"/>
  <c r="G823" i="122"/>
  <c r="G1493" i="122" s="1"/>
  <c r="G2163" i="122" s="1"/>
  <c r="G2833" i="122" s="1"/>
  <c r="G3503" i="122" s="1"/>
  <c r="G4173" i="122" s="1"/>
  <c r="G4843" i="122" s="1"/>
  <c r="G824" i="122"/>
  <c r="G1494" i="122" s="1"/>
  <c r="G2164" i="122" s="1"/>
  <c r="G2834" i="122" s="1"/>
  <c r="G3504" i="122" s="1"/>
  <c r="G4174" i="122" s="1"/>
  <c r="G4844" i="122" s="1"/>
  <c r="G825" i="122"/>
  <c r="G1495" i="122" s="1"/>
  <c r="G2165" i="122" s="1"/>
  <c r="G2835" i="122" s="1"/>
  <c r="G3505" i="122" s="1"/>
  <c r="G4175" i="122" s="1"/>
  <c r="G4845" i="122" s="1"/>
  <c r="G826" i="122"/>
  <c r="G1496" i="122" s="1"/>
  <c r="G827" i="122"/>
  <c r="G1497" i="122" s="1"/>
  <c r="G2167" i="122" s="1"/>
  <c r="G2837" i="122" s="1"/>
  <c r="G3507" i="122" s="1"/>
  <c r="G4177" i="122" s="1"/>
  <c r="G4847" i="122" s="1"/>
  <c r="G828" i="122"/>
  <c r="G1498" i="122" s="1"/>
  <c r="G2168" i="122" s="1"/>
  <c r="G2838" i="122" s="1"/>
  <c r="G3508" i="122" s="1"/>
  <c r="G4178" i="122" s="1"/>
  <c r="G4848" i="122" s="1"/>
  <c r="G829" i="122"/>
  <c r="G1499" i="122" s="1"/>
  <c r="G2169" i="122" s="1"/>
  <c r="G2839" i="122" s="1"/>
  <c r="G3509" i="122" s="1"/>
  <c r="G4179" i="122" s="1"/>
  <c r="G4849" i="122" s="1"/>
  <c r="G830" i="122"/>
  <c r="G1500" i="122" s="1"/>
  <c r="G831" i="122"/>
  <c r="G1501" i="122" s="1"/>
  <c r="G2171" i="122" s="1"/>
  <c r="G2841" i="122" s="1"/>
  <c r="G3511" i="122" s="1"/>
  <c r="G4181" i="122" s="1"/>
  <c r="G4851" i="122" s="1"/>
  <c r="G832" i="122"/>
  <c r="G1502" i="122" s="1"/>
  <c r="G2172" i="122" s="1"/>
  <c r="G2842" i="122" s="1"/>
  <c r="G3512" i="122" s="1"/>
  <c r="G4182" i="122" s="1"/>
  <c r="G4852" i="122" s="1"/>
  <c r="G833" i="122"/>
  <c r="G1503" i="122" s="1"/>
  <c r="G2173" i="122" s="1"/>
  <c r="G2843" i="122" s="1"/>
  <c r="G3513" i="122" s="1"/>
  <c r="G4183" i="122" s="1"/>
  <c r="G4853" i="122" s="1"/>
  <c r="G834" i="122"/>
  <c r="G1504" i="122" s="1"/>
  <c r="G835" i="122"/>
  <c r="G1505" i="122" s="1"/>
  <c r="G2175" i="122" s="1"/>
  <c r="G2845" i="122" s="1"/>
  <c r="G3515" i="122" s="1"/>
  <c r="G4185" i="122" s="1"/>
  <c r="G4855" i="122" s="1"/>
  <c r="G838" i="122"/>
  <c r="G1508" i="122" s="1"/>
  <c r="O1508" i="122" s="1"/>
  <c r="P1508" i="122" s="1"/>
  <c r="G841" i="122"/>
  <c r="G1511" i="122" s="1"/>
  <c r="G2181" i="122" s="1"/>
  <c r="G2851" i="122" s="1"/>
  <c r="G3521" i="122" s="1"/>
  <c r="G4191" i="122" s="1"/>
  <c r="G4861" i="122" s="1"/>
  <c r="G842" i="122"/>
  <c r="G1512" i="122" s="1"/>
  <c r="G2182" i="122" s="1"/>
  <c r="G843" i="122"/>
  <c r="G1513" i="122" s="1"/>
  <c r="G2183" i="122" s="1"/>
  <c r="G845" i="122"/>
  <c r="G1515" i="122" s="1"/>
  <c r="G2185" i="122" s="1"/>
  <c r="G846" i="122"/>
  <c r="G1516" i="122" s="1"/>
  <c r="G2186" i="122" s="1"/>
  <c r="G847" i="122"/>
  <c r="G1517" i="122" s="1"/>
  <c r="G2187" i="122" s="1"/>
  <c r="G848" i="122"/>
  <c r="G1518" i="122" s="1"/>
  <c r="G2188" i="122" s="1"/>
  <c r="G849" i="122"/>
  <c r="G1519" i="122" s="1"/>
  <c r="G2189" i="122" s="1"/>
  <c r="G850" i="122"/>
  <c r="G1520" i="122" s="1"/>
  <c r="G851" i="122"/>
  <c r="G1521" i="122" s="1"/>
  <c r="G2191" i="122" s="1"/>
  <c r="G852" i="122"/>
  <c r="G1522" i="122" s="1"/>
  <c r="G2192" i="122" s="1"/>
  <c r="G853" i="122"/>
  <c r="G1523" i="122" s="1"/>
  <c r="G2193" i="122" s="1"/>
  <c r="G854" i="122"/>
  <c r="G1524" i="122" s="1"/>
  <c r="G2194" i="122" s="1"/>
  <c r="G2864" i="122" s="1"/>
  <c r="G3534" i="122" s="1"/>
  <c r="G4204" i="122" s="1"/>
  <c r="G4874" i="122" s="1"/>
  <c r="G855" i="122"/>
  <c r="G856" i="122"/>
  <c r="G1526" i="122" s="1"/>
  <c r="G2196" i="122" s="1"/>
  <c r="G2866" i="122" s="1"/>
  <c r="G857" i="122"/>
  <c r="G1527" i="122" s="1"/>
  <c r="G2197" i="122" s="1"/>
  <c r="G2867" i="122" s="1"/>
  <c r="G3537" i="122" s="1"/>
  <c r="G4207" i="122" s="1"/>
  <c r="G4877" i="122" s="1"/>
  <c r="G858" i="122"/>
  <c r="G1528" i="122" s="1"/>
  <c r="G859" i="122"/>
  <c r="G1529" i="122" s="1"/>
  <c r="G860" i="122"/>
  <c r="G1530" i="122" s="1"/>
  <c r="G2200" i="122" s="1"/>
  <c r="G2870" i="122" s="1"/>
  <c r="G3540" i="122" s="1"/>
  <c r="G4210" i="122" s="1"/>
  <c r="G4880" i="122" s="1"/>
  <c r="G861" i="122"/>
  <c r="G1531" i="122" s="1"/>
  <c r="G2201" i="122" s="1"/>
  <c r="G2871" i="122" s="1"/>
  <c r="G3541" i="122" s="1"/>
  <c r="G4211" i="122" s="1"/>
  <c r="G4881" i="122" s="1"/>
  <c r="G863" i="122"/>
  <c r="G1533" i="122" s="1"/>
  <c r="G2203" i="122" s="1"/>
  <c r="G2873" i="122" s="1"/>
  <c r="G3543" i="122" s="1"/>
  <c r="G4213" i="122" s="1"/>
  <c r="G4883" i="122" s="1"/>
  <c r="G864" i="122"/>
  <c r="G1534" i="122" s="1"/>
  <c r="G2204" i="122" s="1"/>
  <c r="G2874" i="122" s="1"/>
  <c r="G3544" i="122" s="1"/>
  <c r="G4214" i="122" s="1"/>
  <c r="G4884" i="122" s="1"/>
  <c r="G865" i="122"/>
  <c r="G1535" i="122" s="1"/>
  <c r="G2205" i="122" s="1"/>
  <c r="G2875" i="122" s="1"/>
  <c r="G3545" i="122" s="1"/>
  <c r="G4215" i="122" s="1"/>
  <c r="G4885" i="122" s="1"/>
  <c r="G866" i="122"/>
  <c r="G1536" i="122" s="1"/>
  <c r="G867" i="122"/>
  <c r="G1537" i="122" s="1"/>
  <c r="G2207" i="122" s="1"/>
  <c r="G2877" i="122" s="1"/>
  <c r="G3547" i="122" s="1"/>
  <c r="G4217" i="122" s="1"/>
  <c r="G4887" i="122" s="1"/>
  <c r="G869" i="122"/>
  <c r="G1539" i="122" s="1"/>
  <c r="G2209" i="122" s="1"/>
  <c r="G2879" i="122" s="1"/>
  <c r="G3549" i="122" s="1"/>
  <c r="G4219" i="122" s="1"/>
  <c r="G4889" i="122" s="1"/>
  <c r="G870" i="122"/>
  <c r="G1540" i="122" s="1"/>
  <c r="G2210" i="122" s="1"/>
  <c r="G2880" i="122" s="1"/>
  <c r="G3550" i="122" s="1"/>
  <c r="G4220" i="122" s="1"/>
  <c r="G4890" i="122" s="1"/>
  <c r="G871" i="122"/>
  <c r="G1541" i="122" s="1"/>
  <c r="G2211" i="122" s="1"/>
  <c r="G2881" i="122" s="1"/>
  <c r="G3551" i="122" s="1"/>
  <c r="G872" i="122"/>
  <c r="G1542" i="122" s="1"/>
  <c r="G2212" i="122" s="1"/>
  <c r="G2882" i="122" s="1"/>
  <c r="G3552" i="122" s="1"/>
  <c r="G4222" i="122" s="1"/>
  <c r="G4892" i="122" s="1"/>
  <c r="G873" i="122"/>
  <c r="G1543" i="122" s="1"/>
  <c r="G2213" i="122" s="1"/>
  <c r="G2883" i="122" s="1"/>
  <c r="G3553" i="122" s="1"/>
  <c r="G4223" i="122" s="1"/>
  <c r="G4893" i="122" s="1"/>
  <c r="G874" i="122"/>
  <c r="G875" i="122"/>
  <c r="G1545" i="122" s="1"/>
  <c r="G2215" i="122" s="1"/>
  <c r="G2885" i="122" s="1"/>
  <c r="G3555" i="122" s="1"/>
  <c r="G4225" i="122" s="1"/>
  <c r="G4895" i="122" s="1"/>
  <c r="G876" i="122"/>
  <c r="G1546" i="122" s="1"/>
  <c r="G2216" i="122" s="1"/>
  <c r="G2886" i="122" s="1"/>
  <c r="G3556" i="122" s="1"/>
  <c r="G4226" i="122" s="1"/>
  <c r="G4896" i="122" s="1"/>
  <c r="G877" i="122"/>
  <c r="G878" i="122"/>
  <c r="G1548" i="122" s="1"/>
  <c r="G879" i="122"/>
  <c r="G1549" i="122" s="1"/>
  <c r="G2219" i="122" s="1"/>
  <c r="G2889" i="122" s="1"/>
  <c r="G3559" i="122" s="1"/>
  <c r="G4229" i="122" s="1"/>
  <c r="G4899" i="122" s="1"/>
  <c r="G880" i="122"/>
  <c r="G1550" i="122" s="1"/>
  <c r="G2220" i="122" s="1"/>
  <c r="G2890" i="122" s="1"/>
  <c r="G3560" i="122" s="1"/>
  <c r="G4230" i="122" s="1"/>
  <c r="G4900" i="122" s="1"/>
  <c r="G881" i="122"/>
  <c r="G1551" i="122" s="1"/>
  <c r="G2221" i="122" s="1"/>
  <c r="G2891" i="122" s="1"/>
  <c r="G3561" i="122" s="1"/>
  <c r="G4231" i="122" s="1"/>
  <c r="G4901" i="122" s="1"/>
  <c r="G882" i="122"/>
  <c r="G1552" i="122" s="1"/>
  <c r="G2222" i="122" s="1"/>
  <c r="G2892" i="122" s="1"/>
  <c r="G3562" i="122" s="1"/>
  <c r="G4232" i="122" s="1"/>
  <c r="G4902" i="122" s="1"/>
  <c r="G883" i="122"/>
  <c r="G1553" i="122" s="1"/>
  <c r="G2223" i="122" s="1"/>
  <c r="G2893" i="122" s="1"/>
  <c r="G3563" i="122" s="1"/>
  <c r="G4233" i="122" s="1"/>
  <c r="G4903" i="122" s="1"/>
  <c r="G884" i="122"/>
  <c r="G1554" i="122" s="1"/>
  <c r="G885" i="122"/>
  <c r="G1555" i="122" s="1"/>
  <c r="G2225" i="122" s="1"/>
  <c r="G2895" i="122" s="1"/>
  <c r="G3565" i="122" s="1"/>
  <c r="G4235" i="122" s="1"/>
  <c r="G4905" i="122" s="1"/>
  <c r="G886" i="122"/>
  <c r="G1556" i="122" s="1"/>
  <c r="G2226" i="122" s="1"/>
  <c r="G2896" i="122" s="1"/>
  <c r="G3566" i="122" s="1"/>
  <c r="G4236" i="122" s="1"/>
  <c r="G4906" i="122" s="1"/>
  <c r="G887" i="122"/>
  <c r="G1557" i="122" s="1"/>
  <c r="G2227" i="122" s="1"/>
  <c r="G2897" i="122" s="1"/>
  <c r="G3567" i="122" s="1"/>
  <c r="G4237" i="122" s="1"/>
  <c r="G4907" i="122" s="1"/>
  <c r="G888" i="122"/>
  <c r="G1558" i="122" s="1"/>
  <c r="G2228" i="122" s="1"/>
  <c r="G2898" i="122" s="1"/>
  <c r="G3568" i="122" s="1"/>
  <c r="G4238" i="122" s="1"/>
  <c r="G4908" i="122" s="1"/>
  <c r="G889" i="122"/>
  <c r="G1559" i="122" s="1"/>
  <c r="G2229" i="122" s="1"/>
  <c r="G2899" i="122" s="1"/>
  <c r="G3569" i="122" s="1"/>
  <c r="G4239" i="122" s="1"/>
  <c r="G4909" i="122" s="1"/>
  <c r="G890" i="122"/>
  <c r="G1560" i="122" s="1"/>
  <c r="G891" i="122"/>
  <c r="G1561" i="122" s="1"/>
  <c r="G2231" i="122" s="1"/>
  <c r="G2901" i="122" s="1"/>
  <c r="G3571" i="122" s="1"/>
  <c r="G4241" i="122" s="1"/>
  <c r="G4911" i="122" s="1"/>
  <c r="G894" i="122"/>
  <c r="G1564" i="122" s="1"/>
  <c r="G895" i="122"/>
  <c r="G1565" i="122" s="1"/>
  <c r="G2235" i="122" s="1"/>
  <c r="G2905" i="122" s="1"/>
  <c r="G3575" i="122" s="1"/>
  <c r="G4245" i="122" s="1"/>
  <c r="G4915" i="122" s="1"/>
  <c r="G897" i="122"/>
  <c r="G1567" i="122" s="1"/>
  <c r="G2237" i="122" s="1"/>
  <c r="G2907" i="122" s="1"/>
  <c r="G3577" i="122" s="1"/>
  <c r="G4247" i="122" s="1"/>
  <c r="G4917" i="122" s="1"/>
  <c r="G898" i="122"/>
  <c r="G1568" i="122" s="1"/>
  <c r="G899" i="122"/>
  <c r="G1569" i="122" s="1"/>
  <c r="G2239" i="122" s="1"/>
  <c r="G2909" i="122" s="1"/>
  <c r="G3579" i="122" s="1"/>
  <c r="G4249" i="122" s="1"/>
  <c r="G4919" i="122" s="1"/>
  <c r="G900" i="122"/>
  <c r="G1570" i="122" s="1"/>
  <c r="G2240" i="122" s="1"/>
  <c r="G2910" i="122" s="1"/>
  <c r="G3580" i="122" s="1"/>
  <c r="G4250" i="122" s="1"/>
  <c r="G4920" i="122" s="1"/>
  <c r="G901" i="122"/>
  <c r="G1571" i="122" s="1"/>
  <c r="G2241" i="122" s="1"/>
  <c r="G2911" i="122" s="1"/>
  <c r="G3581" i="122" s="1"/>
  <c r="G4251" i="122" s="1"/>
  <c r="G4921" i="122" s="1"/>
  <c r="G904" i="122"/>
  <c r="G1574" i="122" s="1"/>
  <c r="G2244" i="122" s="1"/>
  <c r="G2914" i="122" s="1"/>
  <c r="G3584" i="122" s="1"/>
  <c r="G4254" i="122" s="1"/>
  <c r="G4924" i="122" s="1"/>
  <c r="G905" i="122"/>
  <c r="G1575" i="122" s="1"/>
  <c r="G2245" i="122" s="1"/>
  <c r="G2915" i="122" s="1"/>
  <c r="G3585" i="122" s="1"/>
  <c r="G4255" i="122" s="1"/>
  <c r="G4925" i="122" s="1"/>
  <c r="G909" i="122"/>
  <c r="G1579" i="122" s="1"/>
  <c r="G2249" i="122" s="1"/>
  <c r="G2919" i="122" s="1"/>
  <c r="G3589" i="122" s="1"/>
  <c r="G4259" i="122" s="1"/>
  <c r="G4929" i="122" s="1"/>
  <c r="G910" i="122"/>
  <c r="G911" i="122"/>
  <c r="G912" i="122"/>
  <c r="G1582" i="122" s="1"/>
  <c r="G2252" i="122" s="1"/>
  <c r="G913" i="122"/>
  <c r="G1583" i="122" s="1"/>
  <c r="G2253" i="122" s="1"/>
  <c r="G2923" i="122" s="1"/>
  <c r="G3593" i="122" s="1"/>
  <c r="G4263" i="122" s="1"/>
  <c r="G4933" i="122" s="1"/>
  <c r="G914" i="122"/>
  <c r="G1584" i="122" s="1"/>
  <c r="G2254" i="122" s="1"/>
  <c r="G2924" i="122" s="1"/>
  <c r="G3594" i="122" s="1"/>
  <c r="G4264" i="122" s="1"/>
  <c r="G4934" i="122" s="1"/>
  <c r="G915" i="122"/>
  <c r="G1585" i="122" s="1"/>
  <c r="G916" i="122"/>
  <c r="G1586" i="122" s="1"/>
  <c r="G2256" i="122" s="1"/>
  <c r="G2926" i="122" s="1"/>
  <c r="G3596" i="122" s="1"/>
  <c r="G4266" i="122" s="1"/>
  <c r="G4936" i="122" s="1"/>
  <c r="G917" i="122"/>
  <c r="G1587" i="122" s="1"/>
  <c r="G2257" i="122" s="1"/>
  <c r="G2927" i="122" s="1"/>
  <c r="G3597" i="122" s="1"/>
  <c r="G4267" i="122" s="1"/>
  <c r="G4937" i="122" s="1"/>
  <c r="G918" i="122"/>
  <c r="G1588" i="122" s="1"/>
  <c r="G919" i="122"/>
  <c r="G1589" i="122" s="1"/>
  <c r="G2259" i="122" s="1"/>
  <c r="G2929" i="122" s="1"/>
  <c r="G3599" i="122" s="1"/>
  <c r="G4269" i="122" s="1"/>
  <c r="G4939" i="122" s="1"/>
  <c r="G920" i="122"/>
  <c r="G1590" i="122" s="1"/>
  <c r="G2260" i="122" s="1"/>
  <c r="G2930" i="122" s="1"/>
  <c r="G3600" i="122" s="1"/>
  <c r="G4270" i="122" s="1"/>
  <c r="G4940" i="122" s="1"/>
  <c r="G921" i="122"/>
  <c r="G1591" i="122" s="1"/>
  <c r="G922" i="122"/>
  <c r="G1592" i="122" s="1"/>
  <c r="G923" i="122"/>
  <c r="G1593" i="122" s="1"/>
  <c r="G2263" i="122" s="1"/>
  <c r="G2933" i="122" s="1"/>
  <c r="G3603" i="122" s="1"/>
  <c r="G4273" i="122" s="1"/>
  <c r="G4943" i="122" s="1"/>
  <c r="G924" i="122"/>
  <c r="G1594" i="122" s="1"/>
  <c r="G2264" i="122" s="1"/>
  <c r="G2934" i="122" s="1"/>
  <c r="G3604" i="122" s="1"/>
  <c r="G4274" i="122" s="1"/>
  <c r="G4944" i="122" s="1"/>
  <c r="G925" i="122"/>
  <c r="G1595" i="122" s="1"/>
  <c r="G2265" i="122" s="1"/>
  <c r="G2935" i="122" s="1"/>
  <c r="G3605" i="122" s="1"/>
  <c r="G4275" i="122" s="1"/>
  <c r="G4945" i="122" s="1"/>
  <c r="G926" i="122"/>
  <c r="G1596" i="122" s="1"/>
  <c r="G2266" i="122" s="1"/>
  <c r="G2936" i="122" s="1"/>
  <c r="G3606" i="122" s="1"/>
  <c r="G4276" i="122" s="1"/>
  <c r="G4946" i="122" s="1"/>
  <c r="G927" i="122"/>
  <c r="G1597" i="122" s="1"/>
  <c r="G2267" i="122" s="1"/>
  <c r="G2937" i="122" s="1"/>
  <c r="G3607" i="122" s="1"/>
  <c r="G4277" i="122" s="1"/>
  <c r="G4947" i="122" s="1"/>
  <c r="G928" i="122"/>
  <c r="G1598" i="122" s="1"/>
  <c r="G2268" i="122" s="1"/>
  <c r="G2938" i="122" s="1"/>
  <c r="G3608" i="122" s="1"/>
  <c r="G4278" i="122" s="1"/>
  <c r="G4948" i="122" s="1"/>
  <c r="G929" i="122"/>
  <c r="G1599" i="122" s="1"/>
  <c r="G2269" i="122" s="1"/>
  <c r="G2939" i="122" s="1"/>
  <c r="G3609" i="122" s="1"/>
  <c r="G4279" i="122" s="1"/>
  <c r="G4949" i="122" s="1"/>
  <c r="G930" i="122"/>
  <c r="G1600" i="122" s="1"/>
  <c r="G2270" i="122" s="1"/>
  <c r="G2940" i="122" s="1"/>
  <c r="G3610" i="122" s="1"/>
  <c r="G4280" i="122" s="1"/>
  <c r="G4950" i="122" s="1"/>
  <c r="G931" i="122"/>
  <c r="G1601" i="122" s="1"/>
  <c r="G2271" i="122" s="1"/>
  <c r="G2941" i="122" s="1"/>
  <c r="G3611" i="122" s="1"/>
  <c r="G4281" i="122" s="1"/>
  <c r="G4951" i="122" s="1"/>
  <c r="G932" i="122"/>
  <c r="G1602" i="122" s="1"/>
  <c r="G2272" i="122" s="1"/>
  <c r="G2942" i="122" s="1"/>
  <c r="G3612" i="122" s="1"/>
  <c r="G4282" i="122" s="1"/>
  <c r="G4952" i="122" s="1"/>
  <c r="G933" i="122"/>
  <c r="G1603" i="122" s="1"/>
  <c r="G2273" i="122" s="1"/>
  <c r="G2943" i="122" s="1"/>
  <c r="G3613" i="122" s="1"/>
  <c r="G4283" i="122" s="1"/>
  <c r="G4953" i="122" s="1"/>
  <c r="G934" i="122"/>
  <c r="G1604" i="122" s="1"/>
  <c r="G2274" i="122" s="1"/>
  <c r="G2944" i="122" s="1"/>
  <c r="G3614" i="122" s="1"/>
  <c r="G4284" i="122" s="1"/>
  <c r="G4954" i="122" s="1"/>
  <c r="G935" i="122"/>
  <c r="G1605" i="122" s="1"/>
  <c r="G2275" i="122" s="1"/>
  <c r="G2945" i="122" s="1"/>
  <c r="G3615" i="122" s="1"/>
  <c r="G4285" i="122" s="1"/>
  <c r="G4955" i="122" s="1"/>
  <c r="G936" i="122"/>
  <c r="G1606" i="122" s="1"/>
  <c r="G2276" i="122" s="1"/>
  <c r="G2946" i="122" s="1"/>
  <c r="G3616" i="122" s="1"/>
  <c r="G4286" i="122" s="1"/>
  <c r="G4956" i="122" s="1"/>
  <c r="G937" i="122"/>
  <c r="G1607" i="122" s="1"/>
  <c r="G2277" i="122" s="1"/>
  <c r="G2947" i="122" s="1"/>
  <c r="G3617" i="122" s="1"/>
  <c r="G4287" i="122" s="1"/>
  <c r="G4957" i="122" s="1"/>
  <c r="G938" i="122"/>
  <c r="G1608" i="122" s="1"/>
  <c r="G2278" i="122" s="1"/>
  <c r="G2948" i="122" s="1"/>
  <c r="G3618" i="122" s="1"/>
  <c r="G4288" i="122" s="1"/>
  <c r="G4958" i="122" s="1"/>
  <c r="G939" i="122"/>
  <c r="G1609" i="122" s="1"/>
  <c r="G2279" i="122" s="1"/>
  <c r="G2949" i="122" s="1"/>
  <c r="G3619" i="122" s="1"/>
  <c r="G4289" i="122" s="1"/>
  <c r="G4959" i="122" s="1"/>
  <c r="G940" i="122"/>
  <c r="G1610" i="122" s="1"/>
  <c r="G2280" i="122" s="1"/>
  <c r="G2950" i="122" s="1"/>
  <c r="G3620" i="122" s="1"/>
  <c r="G4290" i="122" s="1"/>
  <c r="G4960" i="122" s="1"/>
  <c r="G941" i="122"/>
  <c r="G1611" i="122" s="1"/>
  <c r="G2281" i="122" s="1"/>
  <c r="G2951" i="122" s="1"/>
  <c r="G3621" i="122" s="1"/>
  <c r="G4291" i="122" s="1"/>
  <c r="G4961" i="122" s="1"/>
  <c r="G942" i="122"/>
  <c r="G1612" i="122" s="1"/>
  <c r="G2282" i="122" s="1"/>
  <c r="G2952" i="122" s="1"/>
  <c r="G3622" i="122" s="1"/>
  <c r="G4292" i="122" s="1"/>
  <c r="G4962" i="122" s="1"/>
  <c r="G943" i="122"/>
  <c r="G1613" i="122" s="1"/>
  <c r="G2283" i="122" s="1"/>
  <c r="G2953" i="122" s="1"/>
  <c r="G3623" i="122" s="1"/>
  <c r="G4293" i="122" s="1"/>
  <c r="G4963" i="122" s="1"/>
  <c r="G944" i="122"/>
  <c r="G1614" i="122" s="1"/>
  <c r="G2284" i="122" s="1"/>
  <c r="G2954" i="122" s="1"/>
  <c r="G3624" i="122" s="1"/>
  <c r="G4294" i="122" s="1"/>
  <c r="G4964" i="122" s="1"/>
  <c r="G945" i="122"/>
  <c r="G1615" i="122" s="1"/>
  <c r="G2285" i="122" s="1"/>
  <c r="G2955" i="122" s="1"/>
  <c r="G3625" i="122" s="1"/>
  <c r="G4295" i="122" s="1"/>
  <c r="G4965" i="122" s="1"/>
  <c r="G946" i="122"/>
  <c r="G1616" i="122" s="1"/>
  <c r="G2286" i="122" s="1"/>
  <c r="G2956" i="122" s="1"/>
  <c r="G3626" i="122" s="1"/>
  <c r="G4296" i="122" s="1"/>
  <c r="G4966" i="122" s="1"/>
  <c r="G947" i="122"/>
  <c r="G1617" i="122" s="1"/>
  <c r="G2287" i="122" s="1"/>
  <c r="G2957" i="122" s="1"/>
  <c r="G3627" i="122" s="1"/>
  <c r="G4297" i="122" s="1"/>
  <c r="G4967" i="122" s="1"/>
  <c r="G948" i="122"/>
  <c r="G1618" i="122" s="1"/>
  <c r="G2288" i="122" s="1"/>
  <c r="G2958" i="122" s="1"/>
  <c r="G3628" i="122" s="1"/>
  <c r="G4298" i="122" s="1"/>
  <c r="G4968" i="122" s="1"/>
  <c r="G949" i="122"/>
  <c r="G1619" i="122" s="1"/>
  <c r="G2289" i="122" s="1"/>
  <c r="G2959" i="122" s="1"/>
  <c r="G3629" i="122" s="1"/>
  <c r="G4299" i="122" s="1"/>
  <c r="G4969" i="122" s="1"/>
  <c r="G950" i="122"/>
  <c r="G1620" i="122" s="1"/>
  <c r="G2290" i="122" s="1"/>
  <c r="G2960" i="122" s="1"/>
  <c r="G3630" i="122" s="1"/>
  <c r="G4300" i="122" s="1"/>
  <c r="G4970" i="122" s="1"/>
  <c r="G951" i="122"/>
  <c r="G1621" i="122" s="1"/>
  <c r="G2291" i="122" s="1"/>
  <c r="G2961" i="122" s="1"/>
  <c r="G3631" i="122" s="1"/>
  <c r="G4301" i="122" s="1"/>
  <c r="G4971" i="122" s="1"/>
  <c r="G952" i="122"/>
  <c r="G1622" i="122" s="1"/>
  <c r="G2292" i="122" s="1"/>
  <c r="G2962" i="122" s="1"/>
  <c r="G953" i="122"/>
  <c r="G1623" i="122" s="1"/>
  <c r="G954" i="122"/>
  <c r="G955" i="122"/>
  <c r="G1625" i="122" s="1"/>
  <c r="G956" i="122"/>
  <c r="G1626" i="122" s="1"/>
  <c r="G2296" i="122" s="1"/>
  <c r="G2966" i="122" s="1"/>
  <c r="G957" i="122"/>
  <c r="G1627" i="122" s="1"/>
  <c r="G2297" i="122" s="1"/>
  <c r="G2967" i="122" s="1"/>
  <c r="G3637" i="122" s="1"/>
  <c r="G4307" i="122" s="1"/>
  <c r="G4977" i="122" s="1"/>
  <c r="G958" i="122"/>
  <c r="G1628" i="122" s="1"/>
  <c r="G2298" i="122" s="1"/>
  <c r="G2968" i="122" s="1"/>
  <c r="G3638" i="122" s="1"/>
  <c r="G4308" i="122" s="1"/>
  <c r="G4978" i="122" s="1"/>
  <c r="G959" i="122"/>
  <c r="G1629" i="122" s="1"/>
  <c r="G2299" i="122" s="1"/>
  <c r="G2969" i="122" s="1"/>
  <c r="G960" i="122"/>
  <c r="G1630" i="122" s="1"/>
  <c r="G2300" i="122" s="1"/>
  <c r="G2970" i="122" s="1"/>
  <c r="G3640" i="122" s="1"/>
  <c r="G4310" i="122" s="1"/>
  <c r="G4980" i="122" s="1"/>
  <c r="G961" i="122"/>
  <c r="G1631" i="122" s="1"/>
  <c r="G962" i="122"/>
  <c r="G1632" i="122" s="1"/>
  <c r="G2302" i="122" s="1"/>
  <c r="G963" i="122"/>
  <c r="G1633" i="122" s="1"/>
  <c r="G2303" i="122" s="1"/>
  <c r="G964" i="122"/>
  <c r="G1634" i="122" s="1"/>
  <c r="G2304" i="122" s="1"/>
  <c r="G965" i="122"/>
  <c r="G1635" i="122" s="1"/>
  <c r="G966" i="122"/>
  <c r="G1636" i="122" s="1"/>
  <c r="G2306" i="122" s="1"/>
  <c r="G967" i="122"/>
  <c r="G1637" i="122" s="1"/>
  <c r="G2307" i="122" s="1"/>
  <c r="G968" i="122"/>
  <c r="G1638" i="122" s="1"/>
  <c r="G2308" i="122" s="1"/>
  <c r="G969" i="122"/>
  <c r="G1639" i="122" s="1"/>
  <c r="G970" i="122"/>
  <c r="G1640" i="122" s="1"/>
  <c r="G2310" i="122" s="1"/>
  <c r="G2980" i="122" s="1"/>
  <c r="G3650" i="122" s="1"/>
  <c r="G4320" i="122" s="1"/>
  <c r="G4990" i="122" s="1"/>
  <c r="G971" i="122"/>
  <c r="G1641" i="122" s="1"/>
  <c r="G2311" i="122" s="1"/>
  <c r="G972" i="122"/>
  <c r="G1642" i="122" s="1"/>
  <c r="G2312" i="122" s="1"/>
  <c r="G973" i="122"/>
  <c r="G1643" i="122" s="1"/>
  <c r="G974" i="122"/>
  <c r="G1644" i="122" s="1"/>
  <c r="G975" i="122"/>
  <c r="G1645" i="122" s="1"/>
  <c r="G2315" i="122" s="1"/>
  <c r="G2985" i="122" s="1"/>
  <c r="G3655" i="122" s="1"/>
  <c r="G4325" i="122" s="1"/>
  <c r="G4995" i="122" s="1"/>
  <c r="G976" i="122"/>
  <c r="G1646" i="122" s="1"/>
  <c r="G977" i="122"/>
  <c r="G1647" i="122" s="1"/>
  <c r="G2317" i="122" s="1"/>
  <c r="G2987" i="122" s="1"/>
  <c r="G3657" i="122" s="1"/>
  <c r="G4327" i="122" s="1"/>
  <c r="G4997" i="122" s="1"/>
  <c r="G978" i="122"/>
  <c r="G1648" i="122" s="1"/>
  <c r="G979" i="122"/>
  <c r="G1649" i="122" s="1"/>
  <c r="G2319" i="122" s="1"/>
  <c r="G2989" i="122" s="1"/>
  <c r="G3659" i="122" s="1"/>
  <c r="G4329" i="122" s="1"/>
  <c r="G4999" i="122" s="1"/>
  <c r="G980" i="122"/>
  <c r="G1650" i="122" s="1"/>
  <c r="G981" i="122"/>
  <c r="G1651" i="122" s="1"/>
  <c r="G2321" i="122" s="1"/>
  <c r="G2991" i="122" s="1"/>
  <c r="G3661" i="122" s="1"/>
  <c r="G4331" i="122" s="1"/>
  <c r="G5001" i="122" s="1"/>
  <c r="G982" i="122"/>
  <c r="G1652" i="122" s="1"/>
  <c r="G1324" i="122" l="1"/>
  <c r="G1994" i="122" s="1"/>
  <c r="G1284" i="122"/>
  <c r="G1954" i="122" s="1"/>
  <c r="G2624" i="122" s="1"/>
  <c r="G3294" i="122" s="1"/>
  <c r="G3964" i="122" s="1"/>
  <c r="G4634" i="122" s="1"/>
  <c r="G5304" i="122" s="1"/>
  <c r="G1244" i="122"/>
  <c r="G1914" i="122" s="1"/>
  <c r="G2584" i="122" s="1"/>
  <c r="G3254" i="122" s="1"/>
  <c r="G3924" i="122" s="1"/>
  <c r="G4594" i="122" s="1"/>
  <c r="G5264" i="122" s="1"/>
  <c r="G1196" i="122"/>
  <c r="G1866" i="122" s="1"/>
  <c r="G2536" i="122" s="1"/>
  <c r="G3206" i="122" s="1"/>
  <c r="G3876" i="122" s="1"/>
  <c r="G4546" i="122" s="1"/>
  <c r="G5216" i="122" s="1"/>
  <c r="G1156" i="122"/>
  <c r="G1826" i="122" s="1"/>
  <c r="G2496" i="122" s="1"/>
  <c r="G3166" i="122" s="1"/>
  <c r="G3836" i="122" s="1"/>
  <c r="G4506" i="122" s="1"/>
  <c r="G5176" i="122" s="1"/>
  <c r="G1116" i="122"/>
  <c r="G1786" i="122" s="1"/>
  <c r="G2456" i="122" s="1"/>
  <c r="G3126" i="122" s="1"/>
  <c r="G3796" i="122" s="1"/>
  <c r="G4466" i="122" s="1"/>
  <c r="G5136" i="122" s="1"/>
  <c r="G1060" i="122"/>
  <c r="G1730" i="122" s="1"/>
  <c r="G1020" i="122"/>
  <c r="G1690" i="122" s="1"/>
  <c r="G2360" i="122" s="1"/>
  <c r="G2982" i="122"/>
  <c r="G3652" i="122" s="1"/>
  <c r="G4322" i="122" s="1"/>
  <c r="G4992" i="122" s="1"/>
  <c r="O2312" i="122"/>
  <c r="P2312" i="122" s="1"/>
  <c r="G908" i="122"/>
  <c r="G1578" i="122" s="1"/>
  <c r="G2248" i="122" s="1"/>
  <c r="G2918" i="122" s="1"/>
  <c r="G3588" i="122" s="1"/>
  <c r="G4258" i="122" s="1"/>
  <c r="G4928" i="122" s="1"/>
  <c r="G868" i="122"/>
  <c r="G1538" i="122" s="1"/>
  <c r="O198" i="122"/>
  <c r="P198" i="122" s="1"/>
  <c r="G836" i="122"/>
  <c r="O166" i="122"/>
  <c r="P166" i="122" s="1"/>
  <c r="F1277" i="122"/>
  <c r="F1237" i="122"/>
  <c r="F1197" i="122"/>
  <c r="G1339" i="122"/>
  <c r="G2009" i="122" s="1"/>
  <c r="G2679" i="122" s="1"/>
  <c r="G3349" i="122" s="1"/>
  <c r="G4019" i="122" s="1"/>
  <c r="G4689" i="122" s="1"/>
  <c r="G5359" i="122" s="1"/>
  <c r="G1323" i="122"/>
  <c r="G1993" i="122" s="1"/>
  <c r="G2663" i="122" s="1"/>
  <c r="G3333" i="122" s="1"/>
  <c r="G4003" i="122" s="1"/>
  <c r="G4673" i="122" s="1"/>
  <c r="G5343" i="122" s="1"/>
  <c r="G1315" i="122"/>
  <c r="G1985" i="122" s="1"/>
  <c r="G2655" i="122" s="1"/>
  <c r="G3325" i="122" s="1"/>
  <c r="G3995" i="122" s="1"/>
  <c r="G4665" i="122" s="1"/>
  <c r="G5335" i="122" s="1"/>
  <c r="G1299" i="122"/>
  <c r="G1969" i="122" s="1"/>
  <c r="G2639" i="122" s="1"/>
  <c r="G3309" i="122" s="1"/>
  <c r="G3979" i="122" s="1"/>
  <c r="G4649" i="122" s="1"/>
  <c r="G5319" i="122" s="1"/>
  <c r="G1283" i="122"/>
  <c r="G1953" i="122" s="1"/>
  <c r="G2623" i="122" s="1"/>
  <c r="G3293" i="122" s="1"/>
  <c r="G3963" i="122" s="1"/>
  <c r="G4633" i="122" s="1"/>
  <c r="G5303" i="122" s="1"/>
  <c r="G1259" i="122"/>
  <c r="G1929" i="122" s="1"/>
  <c r="G2599" i="122" s="1"/>
  <c r="G3269" i="122" s="1"/>
  <c r="G3939" i="122" s="1"/>
  <c r="G4609" i="122" s="1"/>
  <c r="G5279" i="122" s="1"/>
  <c r="G1243" i="122"/>
  <c r="G1913" i="122" s="1"/>
  <c r="G2583" i="122" s="1"/>
  <c r="G3253" i="122" s="1"/>
  <c r="G3923" i="122" s="1"/>
  <c r="G4593" i="122" s="1"/>
  <c r="G5263" i="122" s="1"/>
  <c r="G1227" i="122"/>
  <c r="G1897" i="122" s="1"/>
  <c r="G2567" i="122" s="1"/>
  <c r="G3237" i="122" s="1"/>
  <c r="G3907" i="122" s="1"/>
  <c r="G4577" i="122" s="1"/>
  <c r="G5247" i="122" s="1"/>
  <c r="G1211" i="122"/>
  <c r="G1881" i="122" s="1"/>
  <c r="G2551" i="122" s="1"/>
  <c r="G3221" i="122" s="1"/>
  <c r="G3891" i="122" s="1"/>
  <c r="G4561" i="122" s="1"/>
  <c r="G5231" i="122" s="1"/>
  <c r="G1195" i="122"/>
  <c r="G1865" i="122" s="1"/>
  <c r="G2535" i="122" s="1"/>
  <c r="G3205" i="122" s="1"/>
  <c r="G3875" i="122" s="1"/>
  <c r="G4545" i="122" s="1"/>
  <c r="G5215" i="122" s="1"/>
  <c r="G1179" i="122"/>
  <c r="G1849" i="122" s="1"/>
  <c r="G2519" i="122" s="1"/>
  <c r="G3189" i="122" s="1"/>
  <c r="G3859" i="122" s="1"/>
  <c r="G4529" i="122" s="1"/>
  <c r="G5199" i="122" s="1"/>
  <c r="G1163" i="122"/>
  <c r="G1833" i="122" s="1"/>
  <c r="G2503" i="122" s="1"/>
  <c r="G3173" i="122" s="1"/>
  <c r="G3843" i="122" s="1"/>
  <c r="G4513" i="122" s="1"/>
  <c r="G5183" i="122" s="1"/>
  <c r="G1147" i="122"/>
  <c r="G1817" i="122" s="1"/>
  <c r="G2487" i="122" s="1"/>
  <c r="G3157" i="122" s="1"/>
  <c r="G3827" i="122" s="1"/>
  <c r="G4497" i="122" s="1"/>
  <c r="G5167" i="122" s="1"/>
  <c r="G1131" i="122"/>
  <c r="G1801" i="122" s="1"/>
  <c r="G2471" i="122" s="1"/>
  <c r="G3141" i="122" s="1"/>
  <c r="G3811" i="122" s="1"/>
  <c r="G4481" i="122" s="1"/>
  <c r="G5151" i="122" s="1"/>
  <c r="G1115" i="122"/>
  <c r="G1785" i="122" s="1"/>
  <c r="G2455" i="122" s="1"/>
  <c r="G3125" i="122" s="1"/>
  <c r="G3795" i="122" s="1"/>
  <c r="G4465" i="122" s="1"/>
  <c r="G5135" i="122" s="1"/>
  <c r="G1099" i="122"/>
  <c r="G1769" i="122" s="1"/>
  <c r="G2439" i="122" s="1"/>
  <c r="G3109" i="122" s="1"/>
  <c r="G3779" i="122" s="1"/>
  <c r="G4449" i="122" s="1"/>
  <c r="G5119" i="122" s="1"/>
  <c r="G1083" i="122"/>
  <c r="G1753" i="122" s="1"/>
  <c r="G2423" i="122" s="1"/>
  <c r="G3093" i="122" s="1"/>
  <c r="G3763" i="122" s="1"/>
  <c r="G4433" i="122" s="1"/>
  <c r="G5103" i="122" s="1"/>
  <c r="G1067" i="122"/>
  <c r="G1737" i="122" s="1"/>
  <c r="G2407" i="122" s="1"/>
  <c r="G3077" i="122" s="1"/>
  <c r="G3747" i="122" s="1"/>
  <c r="G4417" i="122" s="1"/>
  <c r="G5087" i="122" s="1"/>
  <c r="G1051" i="122"/>
  <c r="G1721" i="122" s="1"/>
  <c r="G2391" i="122" s="1"/>
  <c r="G3061" i="122" s="1"/>
  <c r="G3731" i="122" s="1"/>
  <c r="G4401" i="122" s="1"/>
  <c r="G5071" i="122" s="1"/>
  <c r="G1035" i="122"/>
  <c r="G1705" i="122" s="1"/>
  <c r="G2375" i="122" s="1"/>
  <c r="G3045" i="122" s="1"/>
  <c r="G3715" i="122" s="1"/>
  <c r="G4385" i="122" s="1"/>
  <c r="G5055" i="122" s="1"/>
  <c r="G1019" i="122"/>
  <c r="G1689" i="122" s="1"/>
  <c r="G2359" i="122" s="1"/>
  <c r="G3029" i="122" s="1"/>
  <c r="G3699" i="122" s="1"/>
  <c r="G4369" i="122" s="1"/>
  <c r="G5039" i="122" s="1"/>
  <c r="G1011" i="122"/>
  <c r="G1681" i="122" s="1"/>
  <c r="G2351" i="122" s="1"/>
  <c r="G3021" i="122" s="1"/>
  <c r="G3691" i="122" s="1"/>
  <c r="G4361" i="122" s="1"/>
  <c r="G5031" i="122" s="1"/>
  <c r="G1003" i="122"/>
  <c r="G1673" i="122" s="1"/>
  <c r="G2343" i="122" s="1"/>
  <c r="G3013" i="122" s="1"/>
  <c r="G3683" i="122" s="1"/>
  <c r="G4353" i="122" s="1"/>
  <c r="G5023" i="122" s="1"/>
  <c r="G995" i="122"/>
  <c r="G1665" i="122" s="1"/>
  <c r="G2335" i="122" s="1"/>
  <c r="G3005" i="122" s="1"/>
  <c r="G3675" i="122" s="1"/>
  <c r="G4345" i="122" s="1"/>
  <c r="G5015" i="122" s="1"/>
  <c r="G987" i="122"/>
  <c r="G1657" i="122" s="1"/>
  <c r="G2327" i="122" s="1"/>
  <c r="G2997" i="122" s="1"/>
  <c r="G3667" i="122" s="1"/>
  <c r="G4337" i="122" s="1"/>
  <c r="G5007" i="122" s="1"/>
  <c r="G2981" i="122"/>
  <c r="G3651" i="122" s="1"/>
  <c r="G4321" i="122" s="1"/>
  <c r="G4991" i="122" s="1"/>
  <c r="O2311" i="122"/>
  <c r="P2311" i="122" s="1"/>
  <c r="G2255" i="122"/>
  <c r="O1585" i="122"/>
  <c r="P1585" i="122" s="1"/>
  <c r="G907" i="122"/>
  <c r="G1577" i="122" s="1"/>
  <c r="G2247" i="122" s="1"/>
  <c r="G2917" i="122" s="1"/>
  <c r="G3587" i="122" s="1"/>
  <c r="G4257" i="122" s="1"/>
  <c r="G4927" i="122" s="1"/>
  <c r="O237" i="122"/>
  <c r="P237" i="122" s="1"/>
  <c r="G2199" i="122"/>
  <c r="G2869" i="122" s="1"/>
  <c r="G3539" i="122" s="1"/>
  <c r="G4209" i="122" s="1"/>
  <c r="G4879" i="122" s="1"/>
  <c r="O1529" i="122"/>
  <c r="P1529" i="122" s="1"/>
  <c r="G2853" i="122"/>
  <c r="G3523" i="122" s="1"/>
  <c r="G4193" i="122" s="1"/>
  <c r="G4863" i="122" s="1"/>
  <c r="O2183" i="122"/>
  <c r="P2183" i="122" s="1"/>
  <c r="G2813" i="122"/>
  <c r="G3483" i="122" s="1"/>
  <c r="G4153" i="122" s="1"/>
  <c r="G4823" i="122" s="1"/>
  <c r="O2143" i="122"/>
  <c r="P2143" i="122" s="1"/>
  <c r="G1338" i="122"/>
  <c r="G2008" i="122" s="1"/>
  <c r="G2678" i="122" s="1"/>
  <c r="G3348" i="122" s="1"/>
  <c r="G4018" i="122" s="1"/>
  <c r="G4688" i="122" s="1"/>
  <c r="G5358" i="122" s="1"/>
  <c r="G1330" i="122"/>
  <c r="G2000" i="122" s="1"/>
  <c r="G2670" i="122" s="1"/>
  <c r="G3340" i="122" s="1"/>
  <c r="G4010" i="122" s="1"/>
  <c r="G4680" i="122" s="1"/>
  <c r="G5350" i="122" s="1"/>
  <c r="G1322" i="122"/>
  <c r="G1992" i="122" s="1"/>
  <c r="G2662" i="122" s="1"/>
  <c r="G3332" i="122" s="1"/>
  <c r="G4002" i="122" s="1"/>
  <c r="G4672" i="122" s="1"/>
  <c r="G5342" i="122" s="1"/>
  <c r="G1314" i="122"/>
  <c r="G1984" i="122" s="1"/>
  <c r="G2654" i="122" s="1"/>
  <c r="G3324" i="122" s="1"/>
  <c r="G3994" i="122" s="1"/>
  <c r="G4664" i="122" s="1"/>
  <c r="G5334" i="122" s="1"/>
  <c r="G1306" i="122"/>
  <c r="G1976" i="122" s="1"/>
  <c r="G2646" i="122" s="1"/>
  <c r="G3316" i="122" s="1"/>
  <c r="G3986" i="122" s="1"/>
  <c r="G4656" i="122" s="1"/>
  <c r="G5326" i="122" s="1"/>
  <c r="G1298" i="122"/>
  <c r="G1968" i="122" s="1"/>
  <c r="G2638" i="122" s="1"/>
  <c r="G3308" i="122" s="1"/>
  <c r="G3978" i="122" s="1"/>
  <c r="G4648" i="122" s="1"/>
  <c r="G5318" i="122" s="1"/>
  <c r="G1290" i="122"/>
  <c r="G1960" i="122" s="1"/>
  <c r="G2630" i="122" s="1"/>
  <c r="G3300" i="122" s="1"/>
  <c r="G3970" i="122" s="1"/>
  <c r="G4640" i="122" s="1"/>
  <c r="G5310" i="122" s="1"/>
  <c r="G1282" i="122"/>
  <c r="G1952" i="122" s="1"/>
  <c r="G2622" i="122" s="1"/>
  <c r="G3292" i="122" s="1"/>
  <c r="G3962" i="122" s="1"/>
  <c r="G4632" i="122" s="1"/>
  <c r="G5302" i="122" s="1"/>
  <c r="G1274" i="122"/>
  <c r="G1944" i="122" s="1"/>
  <c r="G2614" i="122" s="1"/>
  <c r="G3284" i="122" s="1"/>
  <c r="G3954" i="122" s="1"/>
  <c r="G4624" i="122" s="1"/>
  <c r="G5294" i="122" s="1"/>
  <c r="G1266" i="122"/>
  <c r="G1936" i="122" s="1"/>
  <c r="G2606" i="122" s="1"/>
  <c r="G3276" i="122" s="1"/>
  <c r="G3946" i="122" s="1"/>
  <c r="G4616" i="122" s="1"/>
  <c r="G5286" i="122" s="1"/>
  <c r="G1258" i="122"/>
  <c r="G1928" i="122" s="1"/>
  <c r="G2598" i="122" s="1"/>
  <c r="G3268" i="122" s="1"/>
  <c r="G3938" i="122" s="1"/>
  <c r="G4608" i="122" s="1"/>
  <c r="G5278" i="122" s="1"/>
  <c r="G1250" i="122"/>
  <c r="G1920" i="122" s="1"/>
  <c r="G2590" i="122" s="1"/>
  <c r="G3260" i="122" s="1"/>
  <c r="G3930" i="122" s="1"/>
  <c r="G4600" i="122" s="1"/>
  <c r="G5270" i="122" s="1"/>
  <c r="G1242" i="122"/>
  <c r="G1912" i="122" s="1"/>
  <c r="G2582" i="122" s="1"/>
  <c r="G3252" i="122" s="1"/>
  <c r="G3922" i="122" s="1"/>
  <c r="G4592" i="122" s="1"/>
  <c r="G5262" i="122" s="1"/>
  <c r="G1234" i="122"/>
  <c r="G1904" i="122" s="1"/>
  <c r="G2574" i="122" s="1"/>
  <c r="G3244" i="122" s="1"/>
  <c r="G3914" i="122" s="1"/>
  <c r="G4584" i="122" s="1"/>
  <c r="G5254" i="122" s="1"/>
  <c r="G1226" i="122"/>
  <c r="G1896" i="122" s="1"/>
  <c r="G2566" i="122" s="1"/>
  <c r="G3236" i="122" s="1"/>
  <c r="G3906" i="122" s="1"/>
  <c r="G4576" i="122" s="1"/>
  <c r="G5246" i="122" s="1"/>
  <c r="G1218" i="122"/>
  <c r="G1888" i="122" s="1"/>
  <c r="G2558" i="122" s="1"/>
  <c r="G3228" i="122" s="1"/>
  <c r="G3898" i="122" s="1"/>
  <c r="G4568" i="122" s="1"/>
  <c r="G5238" i="122" s="1"/>
  <c r="G1210" i="122"/>
  <c r="G1880" i="122" s="1"/>
  <c r="G2550" i="122" s="1"/>
  <c r="G3220" i="122" s="1"/>
  <c r="G3890" i="122" s="1"/>
  <c r="G4560" i="122" s="1"/>
  <c r="G5230" i="122" s="1"/>
  <c r="G1202" i="122"/>
  <c r="G1872" i="122" s="1"/>
  <c r="G2542" i="122" s="1"/>
  <c r="G3212" i="122" s="1"/>
  <c r="G3882" i="122" s="1"/>
  <c r="G4552" i="122" s="1"/>
  <c r="G5222" i="122" s="1"/>
  <c r="G1194" i="122"/>
  <c r="G1864" i="122" s="1"/>
  <c r="G2534" i="122" s="1"/>
  <c r="G3204" i="122" s="1"/>
  <c r="G3874" i="122" s="1"/>
  <c r="G4544" i="122" s="1"/>
  <c r="G5214" i="122" s="1"/>
  <c r="G1186" i="122"/>
  <c r="G1856" i="122" s="1"/>
  <c r="G2526" i="122" s="1"/>
  <c r="G3196" i="122" s="1"/>
  <c r="G3866" i="122" s="1"/>
  <c r="G4536" i="122" s="1"/>
  <c r="G5206" i="122" s="1"/>
  <c r="G1178" i="122"/>
  <c r="G1848" i="122" s="1"/>
  <c r="G2518" i="122" s="1"/>
  <c r="G3188" i="122" s="1"/>
  <c r="G3858" i="122" s="1"/>
  <c r="G4528" i="122" s="1"/>
  <c r="G5198" i="122" s="1"/>
  <c r="G1170" i="122"/>
  <c r="G1840" i="122" s="1"/>
  <c r="G2510" i="122" s="1"/>
  <c r="G3180" i="122" s="1"/>
  <c r="G3850" i="122" s="1"/>
  <c r="G4520" i="122" s="1"/>
  <c r="G5190" i="122" s="1"/>
  <c r="G1162" i="122"/>
  <c r="G1832" i="122" s="1"/>
  <c r="G2502" i="122" s="1"/>
  <c r="G3172" i="122" s="1"/>
  <c r="G3842" i="122" s="1"/>
  <c r="G4512" i="122" s="1"/>
  <c r="G5182" i="122" s="1"/>
  <c r="G1154" i="122"/>
  <c r="G1824" i="122" s="1"/>
  <c r="G2494" i="122" s="1"/>
  <c r="G3164" i="122" s="1"/>
  <c r="G3834" i="122" s="1"/>
  <c r="G4504" i="122" s="1"/>
  <c r="G5174" i="122" s="1"/>
  <c r="G1146" i="122"/>
  <c r="G1816" i="122" s="1"/>
  <c r="G2486" i="122" s="1"/>
  <c r="G3156" i="122" s="1"/>
  <c r="G3826" i="122" s="1"/>
  <c r="G4496" i="122" s="1"/>
  <c r="G5166" i="122" s="1"/>
  <c r="G1138" i="122"/>
  <c r="G1808" i="122" s="1"/>
  <c r="G2478" i="122" s="1"/>
  <c r="G3148" i="122" s="1"/>
  <c r="G3818" i="122" s="1"/>
  <c r="G4488" i="122" s="1"/>
  <c r="G5158" i="122" s="1"/>
  <c r="G1130" i="122"/>
  <c r="G1800" i="122" s="1"/>
  <c r="G2470" i="122" s="1"/>
  <c r="G3140" i="122" s="1"/>
  <c r="G3810" i="122" s="1"/>
  <c r="G4480" i="122" s="1"/>
  <c r="G5150" i="122" s="1"/>
  <c r="G1122" i="122"/>
  <c r="G1792" i="122" s="1"/>
  <c r="G2462" i="122" s="1"/>
  <c r="G3132" i="122" s="1"/>
  <c r="G3802" i="122" s="1"/>
  <c r="G4472" i="122" s="1"/>
  <c r="G5142" i="122" s="1"/>
  <c r="G1114" i="122"/>
  <c r="G1784" i="122" s="1"/>
  <c r="G2454" i="122" s="1"/>
  <c r="G3124" i="122" s="1"/>
  <c r="G3794" i="122" s="1"/>
  <c r="G4464" i="122" s="1"/>
  <c r="G5134" i="122" s="1"/>
  <c r="G1106" i="122"/>
  <c r="G1776" i="122" s="1"/>
  <c r="G2446" i="122" s="1"/>
  <c r="G3116" i="122" s="1"/>
  <c r="G3786" i="122" s="1"/>
  <c r="G4456" i="122" s="1"/>
  <c r="G5126" i="122" s="1"/>
  <c r="G1098" i="122"/>
  <c r="G1768" i="122" s="1"/>
  <c r="G2438" i="122" s="1"/>
  <c r="G3108" i="122" s="1"/>
  <c r="G3778" i="122" s="1"/>
  <c r="G4448" i="122" s="1"/>
  <c r="G5118" i="122" s="1"/>
  <c r="G1090" i="122"/>
  <c r="G1760" i="122" s="1"/>
  <c r="G2430" i="122" s="1"/>
  <c r="G3100" i="122" s="1"/>
  <c r="G3770" i="122" s="1"/>
  <c r="G4440" i="122" s="1"/>
  <c r="G5110" i="122" s="1"/>
  <c r="G1082" i="122"/>
  <c r="G1752" i="122" s="1"/>
  <c r="G2422" i="122" s="1"/>
  <c r="G3092" i="122" s="1"/>
  <c r="G3762" i="122" s="1"/>
  <c r="G4432" i="122" s="1"/>
  <c r="G5102" i="122" s="1"/>
  <c r="G1074" i="122"/>
  <c r="G1744" i="122" s="1"/>
  <c r="G2414" i="122" s="1"/>
  <c r="G3084" i="122" s="1"/>
  <c r="G3754" i="122" s="1"/>
  <c r="G4424" i="122" s="1"/>
  <c r="G5094" i="122" s="1"/>
  <c r="G1066" i="122"/>
  <c r="G1736" i="122" s="1"/>
  <c r="G2406" i="122" s="1"/>
  <c r="G3076" i="122" s="1"/>
  <c r="G3746" i="122" s="1"/>
  <c r="G4416" i="122" s="1"/>
  <c r="G5086" i="122" s="1"/>
  <c r="G1058" i="122"/>
  <c r="G1728" i="122" s="1"/>
  <c r="G2398" i="122" s="1"/>
  <c r="G1050" i="122"/>
  <c r="G1720" i="122" s="1"/>
  <c r="G2390" i="122" s="1"/>
  <c r="G3060" i="122" s="1"/>
  <c r="G3730" i="122" s="1"/>
  <c r="G4400" i="122" s="1"/>
  <c r="G5070" i="122" s="1"/>
  <c r="G1042" i="122"/>
  <c r="G1712" i="122" s="1"/>
  <c r="G1034" i="122"/>
  <c r="G1704" i="122" s="1"/>
  <c r="G1026" i="122"/>
  <c r="G1696" i="122" s="1"/>
  <c r="G2366" i="122" s="1"/>
  <c r="G1018" i="122"/>
  <c r="G1688" i="122" s="1"/>
  <c r="G1010" i="122"/>
  <c r="G1680" i="122" s="1"/>
  <c r="G1002" i="122"/>
  <c r="G1672" i="122" s="1"/>
  <c r="G994" i="122"/>
  <c r="G1664" i="122" s="1"/>
  <c r="G2334" i="122" s="1"/>
  <c r="G986" i="122"/>
  <c r="G1656" i="122" s="1"/>
  <c r="G2326" i="122" s="1"/>
  <c r="G2996" i="122" s="1"/>
  <c r="G3666" i="122" s="1"/>
  <c r="G4336" i="122" s="1"/>
  <c r="G5006" i="122" s="1"/>
  <c r="O2302" i="122"/>
  <c r="P2302" i="122" s="1"/>
  <c r="G2972" i="122"/>
  <c r="G3642" i="122" s="1"/>
  <c r="G4312" i="122" s="1"/>
  <c r="G4982" i="122" s="1"/>
  <c r="G1624" i="122"/>
  <c r="G2294" i="122" s="1"/>
  <c r="G2964" i="122" s="1"/>
  <c r="G3634" i="122" s="1"/>
  <c r="G4304" i="122" s="1"/>
  <c r="G4974" i="122" s="1"/>
  <c r="O954" i="122"/>
  <c r="P954" i="122" s="1"/>
  <c r="O236" i="122"/>
  <c r="P236" i="122" s="1"/>
  <c r="G906" i="122"/>
  <c r="G1576" i="122" s="1"/>
  <c r="G2246" i="122" s="1"/>
  <c r="G2916" i="122" s="1"/>
  <c r="G1544" i="122"/>
  <c r="G2214" i="122" s="1"/>
  <c r="G2884" i="122" s="1"/>
  <c r="G3554" i="122" s="1"/>
  <c r="G4224" i="122" s="1"/>
  <c r="G4894" i="122" s="1"/>
  <c r="O874" i="122"/>
  <c r="P874" i="122" s="1"/>
  <c r="G2852" i="122"/>
  <c r="G3522" i="122" s="1"/>
  <c r="G4192" i="122" s="1"/>
  <c r="G4862" i="122" s="1"/>
  <c r="O2182" i="122"/>
  <c r="P2182" i="122" s="1"/>
  <c r="O148" i="122"/>
  <c r="P148" i="122" s="1"/>
  <c r="G818" i="122"/>
  <c r="O132" i="122"/>
  <c r="P132" i="122" s="1"/>
  <c r="G802" i="122"/>
  <c r="G1472" i="122" s="1"/>
  <c r="G2142" i="122" s="1"/>
  <c r="G2764" i="122"/>
  <c r="G3434" i="122" s="1"/>
  <c r="G4104" i="122" s="1"/>
  <c r="G4774" i="122" s="1"/>
  <c r="O2094" i="122"/>
  <c r="P2094" i="122" s="1"/>
  <c r="G738" i="122"/>
  <c r="O68" i="122"/>
  <c r="P68" i="122" s="1"/>
  <c r="O44" i="122"/>
  <c r="P44" i="122" s="1"/>
  <c r="G714" i="122"/>
  <c r="G1384" i="122" s="1"/>
  <c r="G2054" i="122" s="1"/>
  <c r="H645" i="122"/>
  <c r="O838" i="122"/>
  <c r="P838" i="122" s="1"/>
  <c r="G1316" i="122"/>
  <c r="G1986" i="122" s="1"/>
  <c r="G2656" i="122" s="1"/>
  <c r="G3326" i="122" s="1"/>
  <c r="G3996" i="122" s="1"/>
  <c r="G4666" i="122" s="1"/>
  <c r="G5336" i="122" s="1"/>
  <c r="G1268" i="122"/>
  <c r="G1938" i="122" s="1"/>
  <c r="G2608" i="122" s="1"/>
  <c r="G3278" i="122" s="1"/>
  <c r="G3948" i="122" s="1"/>
  <c r="G4618" i="122" s="1"/>
  <c r="G5288" i="122" s="1"/>
  <c r="G1228" i="122"/>
  <c r="G1898" i="122" s="1"/>
  <c r="G2568" i="122" s="1"/>
  <c r="G3238" i="122" s="1"/>
  <c r="G3908" i="122" s="1"/>
  <c r="G4578" i="122" s="1"/>
  <c r="G5248" i="122" s="1"/>
  <c r="G1204" i="122"/>
  <c r="G1874" i="122" s="1"/>
  <c r="G2544" i="122" s="1"/>
  <c r="G3214" i="122" s="1"/>
  <c r="G3884" i="122" s="1"/>
  <c r="G4554" i="122" s="1"/>
  <c r="G5224" i="122" s="1"/>
  <c r="G1164" i="122"/>
  <c r="G1834" i="122" s="1"/>
  <c r="G2504" i="122" s="1"/>
  <c r="G3174" i="122" s="1"/>
  <c r="G3844" i="122" s="1"/>
  <c r="G4514" i="122" s="1"/>
  <c r="G5184" i="122" s="1"/>
  <c r="G1124" i="122"/>
  <c r="G1794" i="122" s="1"/>
  <c r="G2464" i="122" s="1"/>
  <c r="G3134" i="122" s="1"/>
  <c r="G3804" i="122" s="1"/>
  <c r="G4474" i="122" s="1"/>
  <c r="G5144" i="122" s="1"/>
  <c r="G1068" i="122"/>
  <c r="G1738" i="122" s="1"/>
  <c r="G2408" i="122" s="1"/>
  <c r="G3078" i="122" s="1"/>
  <c r="G3748" i="122" s="1"/>
  <c r="G4418" i="122" s="1"/>
  <c r="G5088" i="122" s="1"/>
  <c r="G1028" i="122"/>
  <c r="G1698" i="122" s="1"/>
  <c r="G996" i="122"/>
  <c r="G1666" i="122" s="1"/>
  <c r="G2336" i="122" s="1"/>
  <c r="F1325" i="122"/>
  <c r="F1285" i="122"/>
  <c r="F1245" i="122"/>
  <c r="F1165" i="122"/>
  <c r="F989" i="122"/>
  <c r="G1331" i="122"/>
  <c r="G2001" i="122" s="1"/>
  <c r="G2671" i="122" s="1"/>
  <c r="G3341" i="122" s="1"/>
  <c r="G4011" i="122" s="1"/>
  <c r="G4681" i="122" s="1"/>
  <c r="G5351" i="122" s="1"/>
  <c r="G1307" i="122"/>
  <c r="G1977" i="122" s="1"/>
  <c r="G2647" i="122" s="1"/>
  <c r="G3317" i="122" s="1"/>
  <c r="G3987" i="122" s="1"/>
  <c r="G4657" i="122" s="1"/>
  <c r="G5327" i="122" s="1"/>
  <c r="G1291" i="122"/>
  <c r="G1961" i="122" s="1"/>
  <c r="G2631" i="122" s="1"/>
  <c r="G3301" i="122" s="1"/>
  <c r="G3971" i="122" s="1"/>
  <c r="G4641" i="122" s="1"/>
  <c r="G5311" i="122" s="1"/>
  <c r="G1275" i="122"/>
  <c r="G1945" i="122" s="1"/>
  <c r="G2615" i="122" s="1"/>
  <c r="G3285" i="122" s="1"/>
  <c r="G3955" i="122" s="1"/>
  <c r="G4625" i="122" s="1"/>
  <c r="G5295" i="122" s="1"/>
  <c r="G1267" i="122"/>
  <c r="G1937" i="122" s="1"/>
  <c r="G2607" i="122" s="1"/>
  <c r="G3277" i="122" s="1"/>
  <c r="G3947" i="122" s="1"/>
  <c r="G4617" i="122" s="1"/>
  <c r="G5287" i="122" s="1"/>
  <c r="G1251" i="122"/>
  <c r="G1921" i="122" s="1"/>
  <c r="G2591" i="122" s="1"/>
  <c r="G3261" i="122" s="1"/>
  <c r="G3931" i="122" s="1"/>
  <c r="G4601" i="122" s="1"/>
  <c r="G5271" i="122" s="1"/>
  <c r="G1235" i="122"/>
  <c r="G1905" i="122" s="1"/>
  <c r="G2575" i="122" s="1"/>
  <c r="G3245" i="122" s="1"/>
  <c r="G3915" i="122" s="1"/>
  <c r="G4585" i="122" s="1"/>
  <c r="G5255" i="122" s="1"/>
  <c r="G1219" i="122"/>
  <c r="G1889" i="122" s="1"/>
  <c r="G2559" i="122" s="1"/>
  <c r="G3229" i="122" s="1"/>
  <c r="G3899" i="122" s="1"/>
  <c r="G4569" i="122" s="1"/>
  <c r="G5239" i="122" s="1"/>
  <c r="G1203" i="122"/>
  <c r="G1873" i="122" s="1"/>
  <c r="G2543" i="122" s="1"/>
  <c r="G3213" i="122" s="1"/>
  <c r="G3883" i="122" s="1"/>
  <c r="G4553" i="122" s="1"/>
  <c r="G5223" i="122" s="1"/>
  <c r="G1187" i="122"/>
  <c r="G1857" i="122" s="1"/>
  <c r="G2527" i="122" s="1"/>
  <c r="G3197" i="122" s="1"/>
  <c r="G3867" i="122" s="1"/>
  <c r="G4537" i="122" s="1"/>
  <c r="G5207" i="122" s="1"/>
  <c r="G1171" i="122"/>
  <c r="G1841" i="122" s="1"/>
  <c r="G2511" i="122" s="1"/>
  <c r="G3181" i="122" s="1"/>
  <c r="G3851" i="122" s="1"/>
  <c r="G4521" i="122" s="1"/>
  <c r="G5191" i="122" s="1"/>
  <c r="G1155" i="122"/>
  <c r="G1825" i="122" s="1"/>
  <c r="G2495" i="122" s="1"/>
  <c r="G3165" i="122" s="1"/>
  <c r="G3835" i="122" s="1"/>
  <c r="G4505" i="122" s="1"/>
  <c r="G5175" i="122" s="1"/>
  <c r="G1139" i="122"/>
  <c r="G1809" i="122" s="1"/>
  <c r="G2479" i="122" s="1"/>
  <c r="G3149" i="122" s="1"/>
  <c r="G3819" i="122" s="1"/>
  <c r="G4489" i="122" s="1"/>
  <c r="G5159" i="122" s="1"/>
  <c r="G1123" i="122"/>
  <c r="G1793" i="122" s="1"/>
  <c r="G2463" i="122" s="1"/>
  <c r="G3133" i="122" s="1"/>
  <c r="G3803" i="122" s="1"/>
  <c r="G4473" i="122" s="1"/>
  <c r="G5143" i="122" s="1"/>
  <c r="G1107" i="122"/>
  <c r="G1777" i="122" s="1"/>
  <c r="G2447" i="122" s="1"/>
  <c r="G3117" i="122" s="1"/>
  <c r="G3787" i="122" s="1"/>
  <c r="G4457" i="122" s="1"/>
  <c r="G5127" i="122" s="1"/>
  <c r="G1091" i="122"/>
  <c r="G1761" i="122" s="1"/>
  <c r="G2431" i="122" s="1"/>
  <c r="G3101" i="122" s="1"/>
  <c r="G3771" i="122" s="1"/>
  <c r="G4441" i="122" s="1"/>
  <c r="G5111" i="122" s="1"/>
  <c r="G1075" i="122"/>
  <c r="G1745" i="122" s="1"/>
  <c r="G2415" i="122" s="1"/>
  <c r="G3085" i="122" s="1"/>
  <c r="G3755" i="122" s="1"/>
  <c r="G4425" i="122" s="1"/>
  <c r="G5095" i="122" s="1"/>
  <c r="G1059" i="122"/>
  <c r="G1729" i="122" s="1"/>
  <c r="G2399" i="122" s="1"/>
  <c r="G3069" i="122" s="1"/>
  <c r="G3739" i="122" s="1"/>
  <c r="G4409" i="122" s="1"/>
  <c r="G5079" i="122" s="1"/>
  <c r="G1043" i="122"/>
  <c r="G1713" i="122" s="1"/>
  <c r="G2383" i="122" s="1"/>
  <c r="G3053" i="122" s="1"/>
  <c r="G3723" i="122" s="1"/>
  <c r="G4393" i="122" s="1"/>
  <c r="G5063" i="122" s="1"/>
  <c r="G1027" i="122"/>
  <c r="G1697" i="122" s="1"/>
  <c r="G2367" i="122" s="1"/>
  <c r="G3037" i="122" s="1"/>
  <c r="G3707" i="122" s="1"/>
  <c r="G4377" i="122" s="1"/>
  <c r="G5047" i="122" s="1"/>
  <c r="G2973" i="122"/>
  <c r="G3643" i="122" s="1"/>
  <c r="G4313" i="122" s="1"/>
  <c r="G4983" i="122" s="1"/>
  <c r="O2303" i="122"/>
  <c r="P2303" i="122" s="1"/>
  <c r="G2861" i="122"/>
  <c r="G3531" i="122" s="1"/>
  <c r="G4201" i="122" s="1"/>
  <c r="G4871" i="122" s="1"/>
  <c r="O2191" i="122"/>
  <c r="P2191" i="122" s="1"/>
  <c r="F908" i="122"/>
  <c r="F844" i="122"/>
  <c r="F812" i="122"/>
  <c r="G1337" i="122"/>
  <c r="G2007" i="122" s="1"/>
  <c r="G2677" i="122" s="1"/>
  <c r="G3347" i="122" s="1"/>
  <c r="G4017" i="122" s="1"/>
  <c r="G4687" i="122" s="1"/>
  <c r="G5357" i="122" s="1"/>
  <c r="G1329" i="122"/>
  <c r="G1999" i="122" s="1"/>
  <c r="G1321" i="122"/>
  <c r="G1991" i="122" s="1"/>
  <c r="G2661" i="122" s="1"/>
  <c r="G1305" i="122"/>
  <c r="G1975" i="122" s="1"/>
  <c r="G2645" i="122" s="1"/>
  <c r="G3315" i="122" s="1"/>
  <c r="G3985" i="122" s="1"/>
  <c r="G4655" i="122" s="1"/>
  <c r="G5325" i="122" s="1"/>
  <c r="G1297" i="122"/>
  <c r="G1967" i="122" s="1"/>
  <c r="G2637" i="122" s="1"/>
  <c r="G3307" i="122" s="1"/>
  <c r="G3977" i="122" s="1"/>
  <c r="G4647" i="122" s="1"/>
  <c r="G5317" i="122" s="1"/>
  <c r="G1289" i="122"/>
  <c r="G1959" i="122" s="1"/>
  <c r="G2629" i="122" s="1"/>
  <c r="G3299" i="122" s="1"/>
  <c r="G3969" i="122" s="1"/>
  <c r="G4639" i="122" s="1"/>
  <c r="G5309" i="122" s="1"/>
  <c r="G1281" i="122"/>
  <c r="G1951" i="122" s="1"/>
  <c r="G2621" i="122" s="1"/>
  <c r="G3291" i="122" s="1"/>
  <c r="G3961" i="122" s="1"/>
  <c r="G4631" i="122" s="1"/>
  <c r="G5301" i="122" s="1"/>
  <c r="G1273" i="122"/>
  <c r="G1943" i="122" s="1"/>
  <c r="G2613" i="122" s="1"/>
  <c r="G3283" i="122" s="1"/>
  <c r="G3953" i="122" s="1"/>
  <c r="G4623" i="122" s="1"/>
  <c r="G5293" i="122" s="1"/>
  <c r="G1265" i="122"/>
  <c r="G1935" i="122" s="1"/>
  <c r="G2605" i="122" s="1"/>
  <c r="G3275" i="122" s="1"/>
  <c r="G3945" i="122" s="1"/>
  <c r="G4615" i="122" s="1"/>
  <c r="G5285" i="122" s="1"/>
  <c r="G1257" i="122"/>
  <c r="G1927" i="122" s="1"/>
  <c r="G2597" i="122" s="1"/>
  <c r="G1249" i="122"/>
  <c r="G1919" i="122" s="1"/>
  <c r="G2589" i="122" s="1"/>
  <c r="G3259" i="122" s="1"/>
  <c r="G3929" i="122" s="1"/>
  <c r="G4599" i="122" s="1"/>
  <c r="G5269" i="122" s="1"/>
  <c r="G1241" i="122"/>
  <c r="G1911" i="122" s="1"/>
  <c r="G2581" i="122" s="1"/>
  <c r="G3251" i="122" s="1"/>
  <c r="G3921" i="122" s="1"/>
  <c r="G4591" i="122" s="1"/>
  <c r="G5261" i="122" s="1"/>
  <c r="G1233" i="122"/>
  <c r="G1903" i="122" s="1"/>
  <c r="G2573" i="122" s="1"/>
  <c r="G3243" i="122" s="1"/>
  <c r="G3913" i="122" s="1"/>
  <c r="G4583" i="122" s="1"/>
  <c r="G5253" i="122" s="1"/>
  <c r="G1225" i="122"/>
  <c r="G1895" i="122" s="1"/>
  <c r="G2565" i="122" s="1"/>
  <c r="G3235" i="122" s="1"/>
  <c r="G3905" i="122" s="1"/>
  <c r="G4575" i="122" s="1"/>
  <c r="G5245" i="122" s="1"/>
  <c r="G1217" i="122"/>
  <c r="G1887" i="122" s="1"/>
  <c r="G2557" i="122" s="1"/>
  <c r="G3227" i="122" s="1"/>
  <c r="G3897" i="122" s="1"/>
  <c r="G4567" i="122" s="1"/>
  <c r="G5237" i="122" s="1"/>
  <c r="G1209" i="122"/>
  <c r="G1879" i="122" s="1"/>
  <c r="G2549" i="122" s="1"/>
  <c r="G3219" i="122" s="1"/>
  <c r="G3889" i="122" s="1"/>
  <c r="G4559" i="122" s="1"/>
  <c r="G5229" i="122" s="1"/>
  <c r="G1201" i="122"/>
  <c r="G1871" i="122" s="1"/>
  <c r="G2541" i="122" s="1"/>
  <c r="G3211" i="122" s="1"/>
  <c r="G3881" i="122" s="1"/>
  <c r="G4551" i="122" s="1"/>
  <c r="G5221" i="122" s="1"/>
  <c r="G1193" i="122"/>
  <c r="G1863" i="122" s="1"/>
  <c r="G2533" i="122" s="1"/>
  <c r="G3203" i="122" s="1"/>
  <c r="G3873" i="122" s="1"/>
  <c r="G4543" i="122" s="1"/>
  <c r="G5213" i="122" s="1"/>
  <c r="G1185" i="122"/>
  <c r="G1855" i="122" s="1"/>
  <c r="G2525" i="122" s="1"/>
  <c r="G3195" i="122" s="1"/>
  <c r="G3865" i="122" s="1"/>
  <c r="G4535" i="122" s="1"/>
  <c r="G5205" i="122" s="1"/>
  <c r="G1177" i="122"/>
  <c r="G1847" i="122" s="1"/>
  <c r="G2517" i="122" s="1"/>
  <c r="G3187" i="122" s="1"/>
  <c r="G3857" i="122" s="1"/>
  <c r="G4527" i="122" s="1"/>
  <c r="G5197" i="122" s="1"/>
  <c r="G1169" i="122"/>
  <c r="G1839" i="122" s="1"/>
  <c r="G2509" i="122" s="1"/>
  <c r="G3179" i="122" s="1"/>
  <c r="G3849" i="122" s="1"/>
  <c r="G4519" i="122" s="1"/>
  <c r="G5189" i="122" s="1"/>
  <c r="G1161" i="122"/>
  <c r="G1831" i="122" s="1"/>
  <c r="G2501" i="122" s="1"/>
  <c r="G3171" i="122" s="1"/>
  <c r="G3841" i="122" s="1"/>
  <c r="G4511" i="122" s="1"/>
  <c r="G5181" i="122" s="1"/>
  <c r="G1153" i="122"/>
  <c r="G1823" i="122" s="1"/>
  <c r="G2493" i="122" s="1"/>
  <c r="G3163" i="122" s="1"/>
  <c r="G3833" i="122" s="1"/>
  <c r="G4503" i="122" s="1"/>
  <c r="G5173" i="122" s="1"/>
  <c r="G1145" i="122"/>
  <c r="G1815" i="122" s="1"/>
  <c r="G2485" i="122" s="1"/>
  <c r="G3155" i="122" s="1"/>
  <c r="G3825" i="122" s="1"/>
  <c r="G4495" i="122" s="1"/>
  <c r="G5165" i="122" s="1"/>
  <c r="G1137" i="122"/>
  <c r="G1807" i="122" s="1"/>
  <c r="G2477" i="122" s="1"/>
  <c r="G3147" i="122" s="1"/>
  <c r="G3817" i="122" s="1"/>
  <c r="G4487" i="122" s="1"/>
  <c r="G5157" i="122" s="1"/>
  <c r="G1129" i="122"/>
  <c r="G1799" i="122" s="1"/>
  <c r="G2469" i="122" s="1"/>
  <c r="G3139" i="122" s="1"/>
  <c r="G3809" i="122" s="1"/>
  <c r="G4479" i="122" s="1"/>
  <c r="G5149" i="122" s="1"/>
  <c r="G1121" i="122"/>
  <c r="G1791" i="122" s="1"/>
  <c r="G2461" i="122" s="1"/>
  <c r="G3131" i="122" s="1"/>
  <c r="G3801" i="122" s="1"/>
  <c r="G4471" i="122" s="1"/>
  <c r="G5141" i="122" s="1"/>
  <c r="G1113" i="122"/>
  <c r="G1783" i="122" s="1"/>
  <c r="G2453" i="122" s="1"/>
  <c r="G3123" i="122" s="1"/>
  <c r="G3793" i="122" s="1"/>
  <c r="G4463" i="122" s="1"/>
  <c r="G5133" i="122" s="1"/>
  <c r="G1105" i="122"/>
  <c r="G1775" i="122" s="1"/>
  <c r="G2445" i="122" s="1"/>
  <c r="G3115" i="122" s="1"/>
  <c r="G3785" i="122" s="1"/>
  <c r="G4455" i="122" s="1"/>
  <c r="G5125" i="122" s="1"/>
  <c r="G1097" i="122"/>
  <c r="G1767" i="122" s="1"/>
  <c r="G2437" i="122" s="1"/>
  <c r="G3107" i="122" s="1"/>
  <c r="G3777" i="122" s="1"/>
  <c r="G4447" i="122" s="1"/>
  <c r="G5117" i="122" s="1"/>
  <c r="G1089" i="122"/>
  <c r="G1759" i="122" s="1"/>
  <c r="G2429" i="122" s="1"/>
  <c r="G3099" i="122" s="1"/>
  <c r="G3769" i="122" s="1"/>
  <c r="G4439" i="122" s="1"/>
  <c r="G5109" i="122" s="1"/>
  <c r="G1081" i="122"/>
  <c r="G1751" i="122" s="1"/>
  <c r="G2421" i="122" s="1"/>
  <c r="G3091" i="122" s="1"/>
  <c r="G3761" i="122" s="1"/>
  <c r="G4431" i="122" s="1"/>
  <c r="G5101" i="122" s="1"/>
  <c r="G1073" i="122"/>
  <c r="G1743" i="122" s="1"/>
  <c r="G2413" i="122" s="1"/>
  <c r="G3083" i="122" s="1"/>
  <c r="G3753" i="122" s="1"/>
  <c r="G4423" i="122" s="1"/>
  <c r="G5093" i="122" s="1"/>
  <c r="G1065" i="122"/>
  <c r="G1735" i="122" s="1"/>
  <c r="G2405" i="122" s="1"/>
  <c r="G3075" i="122" s="1"/>
  <c r="G3745" i="122" s="1"/>
  <c r="G4415" i="122" s="1"/>
  <c r="G5085" i="122" s="1"/>
  <c r="G1057" i="122"/>
  <c r="G1727" i="122" s="1"/>
  <c r="G2397" i="122" s="1"/>
  <c r="G3067" i="122" s="1"/>
  <c r="G3737" i="122" s="1"/>
  <c r="G4407" i="122" s="1"/>
  <c r="G5077" i="122" s="1"/>
  <c r="G1049" i="122"/>
  <c r="G1719" i="122" s="1"/>
  <c r="G2389" i="122" s="1"/>
  <c r="G3059" i="122" s="1"/>
  <c r="G3729" i="122" s="1"/>
  <c r="G4399" i="122" s="1"/>
  <c r="G5069" i="122" s="1"/>
  <c r="G1041" i="122"/>
  <c r="G1711" i="122" s="1"/>
  <c r="G2381" i="122" s="1"/>
  <c r="G3051" i="122" s="1"/>
  <c r="G3721" i="122" s="1"/>
  <c r="G4391" i="122" s="1"/>
  <c r="G5061" i="122" s="1"/>
  <c r="G1033" i="122"/>
  <c r="G1703" i="122" s="1"/>
  <c r="G2373" i="122" s="1"/>
  <c r="G3043" i="122" s="1"/>
  <c r="G3713" i="122" s="1"/>
  <c r="G4383" i="122" s="1"/>
  <c r="G5053" i="122" s="1"/>
  <c r="G1025" i="122"/>
  <c r="G1695" i="122" s="1"/>
  <c r="G2365" i="122" s="1"/>
  <c r="G3035" i="122" s="1"/>
  <c r="G3705" i="122" s="1"/>
  <c r="G4375" i="122" s="1"/>
  <c r="G5045" i="122" s="1"/>
  <c r="G1017" i="122"/>
  <c r="G1687" i="122" s="1"/>
  <c r="G2357" i="122" s="1"/>
  <c r="G3027" i="122" s="1"/>
  <c r="G3697" i="122" s="1"/>
  <c r="G4367" i="122" s="1"/>
  <c r="G5037" i="122" s="1"/>
  <c r="G1009" i="122"/>
  <c r="G1679" i="122" s="1"/>
  <c r="G2349" i="122" s="1"/>
  <c r="G3019" i="122" s="1"/>
  <c r="G3689" i="122" s="1"/>
  <c r="G4359" i="122" s="1"/>
  <c r="G5029" i="122" s="1"/>
  <c r="G1001" i="122"/>
  <c r="G1671" i="122" s="1"/>
  <c r="G2341" i="122" s="1"/>
  <c r="G3011" i="122" s="1"/>
  <c r="G3681" i="122" s="1"/>
  <c r="G4351" i="122" s="1"/>
  <c r="G5021" i="122" s="1"/>
  <c r="G993" i="122"/>
  <c r="G1663" i="122" s="1"/>
  <c r="G2333" i="122" s="1"/>
  <c r="G3003" i="122" s="1"/>
  <c r="G3673" i="122" s="1"/>
  <c r="G4343" i="122" s="1"/>
  <c r="G5013" i="122" s="1"/>
  <c r="G985" i="122"/>
  <c r="G1655" i="122" s="1"/>
  <c r="G2325" i="122" s="1"/>
  <c r="G2995" i="122" s="1"/>
  <c r="G3665" i="122" s="1"/>
  <c r="G4335" i="122" s="1"/>
  <c r="G5005" i="122" s="1"/>
  <c r="G2859" i="122"/>
  <c r="G3529" i="122" s="1"/>
  <c r="G4199" i="122" s="1"/>
  <c r="G4869" i="122" s="1"/>
  <c r="O2189" i="122"/>
  <c r="P2189" i="122" s="1"/>
  <c r="O107" i="122"/>
  <c r="P107" i="122" s="1"/>
  <c r="G777" i="122"/>
  <c r="G1447" i="122" s="1"/>
  <c r="O43" i="122"/>
  <c r="P43" i="122" s="1"/>
  <c r="G713" i="122"/>
  <c r="O19" i="122"/>
  <c r="P19" i="122" s="1"/>
  <c r="G689" i="122"/>
  <c r="G1359" i="122" s="1"/>
  <c r="G2029" i="122" s="1"/>
  <c r="G2699" i="122" s="1"/>
  <c r="G3369" i="122" s="1"/>
  <c r="G4039" i="122" s="1"/>
  <c r="G4709" i="122" s="1"/>
  <c r="G2178" i="122"/>
  <c r="G2848" i="122" s="1"/>
  <c r="G3518" i="122" s="1"/>
  <c r="G4188" i="122" s="1"/>
  <c r="G4858" i="122" s="1"/>
  <c r="G1308" i="122"/>
  <c r="G1978" i="122" s="1"/>
  <c r="G2648" i="122" s="1"/>
  <c r="G3318" i="122" s="1"/>
  <c r="G3988" i="122" s="1"/>
  <c r="G4658" i="122" s="1"/>
  <c r="G5328" i="122" s="1"/>
  <c r="G1276" i="122"/>
  <c r="G1946" i="122" s="1"/>
  <c r="G2616" i="122" s="1"/>
  <c r="G3286" i="122" s="1"/>
  <c r="G3956" i="122" s="1"/>
  <c r="G4626" i="122" s="1"/>
  <c r="G5296" i="122" s="1"/>
  <c r="G1236" i="122"/>
  <c r="G1906" i="122" s="1"/>
  <c r="G2576" i="122" s="1"/>
  <c r="G3246" i="122" s="1"/>
  <c r="G3916" i="122" s="1"/>
  <c r="G4586" i="122" s="1"/>
  <c r="G5256" i="122" s="1"/>
  <c r="G1188" i="122"/>
  <c r="G1858" i="122" s="1"/>
  <c r="G2528" i="122" s="1"/>
  <c r="G3198" i="122" s="1"/>
  <c r="G3868" i="122" s="1"/>
  <c r="G4538" i="122" s="1"/>
  <c r="G5208" i="122" s="1"/>
  <c r="G1140" i="122"/>
  <c r="G1810" i="122" s="1"/>
  <c r="G2480" i="122" s="1"/>
  <c r="G3150" i="122" s="1"/>
  <c r="G3820" i="122" s="1"/>
  <c r="G4490" i="122" s="1"/>
  <c r="G5160" i="122" s="1"/>
  <c r="G1108" i="122"/>
  <c r="G1778" i="122" s="1"/>
  <c r="G2448" i="122" s="1"/>
  <c r="G3118" i="122" s="1"/>
  <c r="G3788" i="122" s="1"/>
  <c r="G4458" i="122" s="1"/>
  <c r="G5128" i="122" s="1"/>
  <c r="G1076" i="122"/>
  <c r="G1746" i="122" s="1"/>
  <c r="G2416" i="122" s="1"/>
  <c r="G3086" i="122" s="1"/>
  <c r="G3756" i="122" s="1"/>
  <c r="G4426" i="122" s="1"/>
  <c r="G5096" i="122" s="1"/>
  <c r="G1012" i="122"/>
  <c r="G1682" i="122" s="1"/>
  <c r="G3636" i="122"/>
  <c r="G4306" i="122" s="1"/>
  <c r="G4976" i="122" s="1"/>
  <c r="O2966" i="122"/>
  <c r="P2966" i="122" s="1"/>
  <c r="O222" i="122"/>
  <c r="P222" i="122" s="1"/>
  <c r="G892" i="122"/>
  <c r="G1562" i="122" s="1"/>
  <c r="G2232" i="122" s="1"/>
  <c r="G2902" i="122" s="1"/>
  <c r="G3572" i="122" s="1"/>
  <c r="G4242" i="122" s="1"/>
  <c r="G4912" i="122" s="1"/>
  <c r="G2862" i="122"/>
  <c r="G3532" i="122" s="1"/>
  <c r="G4202" i="122" s="1"/>
  <c r="G4872" i="122" s="1"/>
  <c r="O2192" i="122"/>
  <c r="P2192" i="122" s="1"/>
  <c r="F1309" i="122"/>
  <c r="F1261" i="122"/>
  <c r="F1229" i="122"/>
  <c r="F1149" i="122"/>
  <c r="F1069" i="122"/>
  <c r="G1344" i="122"/>
  <c r="G2014" i="122" s="1"/>
  <c r="G2684" i="122" s="1"/>
  <c r="G3354" i="122" s="1"/>
  <c r="G4024" i="122" s="1"/>
  <c r="G4694" i="122" s="1"/>
  <c r="G5364" i="122" s="1"/>
  <c r="G1320" i="122"/>
  <c r="G1990" i="122" s="1"/>
  <c r="G2660" i="122" s="1"/>
  <c r="G3330" i="122" s="1"/>
  <c r="G4000" i="122" s="1"/>
  <c r="G4670" i="122" s="1"/>
  <c r="G5340" i="122" s="1"/>
  <c r="G1296" i="122"/>
  <c r="G1966" i="122" s="1"/>
  <c r="G2636" i="122" s="1"/>
  <c r="G3306" i="122" s="1"/>
  <c r="G3976" i="122" s="1"/>
  <c r="G4646" i="122" s="1"/>
  <c r="G5316" i="122" s="1"/>
  <c r="G1280" i="122"/>
  <c r="G1950" i="122" s="1"/>
  <c r="G2620" i="122" s="1"/>
  <c r="G3290" i="122" s="1"/>
  <c r="G3960" i="122" s="1"/>
  <c r="G4630" i="122" s="1"/>
  <c r="G5300" i="122" s="1"/>
  <c r="G1256" i="122"/>
  <c r="G1926" i="122" s="1"/>
  <c r="G2596" i="122" s="1"/>
  <c r="G3266" i="122" s="1"/>
  <c r="G3936" i="122" s="1"/>
  <c r="G4606" i="122" s="1"/>
  <c r="G5276" i="122" s="1"/>
  <c r="G1232" i="122"/>
  <c r="G1902" i="122" s="1"/>
  <c r="G2572" i="122" s="1"/>
  <c r="G3242" i="122" s="1"/>
  <c r="G3912" i="122" s="1"/>
  <c r="G4582" i="122" s="1"/>
  <c r="G5252" i="122" s="1"/>
  <c r="G1208" i="122"/>
  <c r="G1878" i="122" s="1"/>
  <c r="G2548" i="122" s="1"/>
  <c r="G3218" i="122" s="1"/>
  <c r="G3888" i="122" s="1"/>
  <c r="G4558" i="122" s="1"/>
  <c r="G5228" i="122" s="1"/>
  <c r="G1176" i="122"/>
  <c r="G1846" i="122" s="1"/>
  <c r="G2516" i="122" s="1"/>
  <c r="G3186" i="122" s="1"/>
  <c r="G3856" i="122" s="1"/>
  <c r="G4526" i="122" s="1"/>
  <c r="G5196" i="122" s="1"/>
  <c r="G1152" i="122"/>
  <c r="G1822" i="122" s="1"/>
  <c r="G2492" i="122" s="1"/>
  <c r="G3162" i="122" s="1"/>
  <c r="G3832" i="122" s="1"/>
  <c r="G4502" i="122" s="1"/>
  <c r="G5172" i="122" s="1"/>
  <c r="G1128" i="122"/>
  <c r="G1798" i="122" s="1"/>
  <c r="G2468" i="122" s="1"/>
  <c r="G3138" i="122" s="1"/>
  <c r="G3808" i="122" s="1"/>
  <c r="G4478" i="122" s="1"/>
  <c r="G5148" i="122" s="1"/>
  <c r="G1104" i="122"/>
  <c r="G1774" i="122" s="1"/>
  <c r="G2444" i="122" s="1"/>
  <c r="G3114" i="122" s="1"/>
  <c r="G3784" i="122" s="1"/>
  <c r="G4454" i="122" s="1"/>
  <c r="G5124" i="122" s="1"/>
  <c r="G1080" i="122"/>
  <c r="G1750" i="122" s="1"/>
  <c r="G2420" i="122" s="1"/>
  <c r="G3090" i="122" s="1"/>
  <c r="G3760" i="122" s="1"/>
  <c r="G4430" i="122" s="1"/>
  <c r="G5100" i="122" s="1"/>
  <c r="G1032" i="122"/>
  <c r="G1702" i="122" s="1"/>
  <c r="G2372" i="122" s="1"/>
  <c r="G3042" i="122" s="1"/>
  <c r="G3712" i="122" s="1"/>
  <c r="G4382" i="122" s="1"/>
  <c r="G5052" i="122" s="1"/>
  <c r="G3632" i="122"/>
  <c r="G4302" i="122" s="1"/>
  <c r="G4972" i="122" s="1"/>
  <c r="O2962" i="122"/>
  <c r="P2962" i="122" s="1"/>
  <c r="G896" i="122"/>
  <c r="O226" i="122"/>
  <c r="P226" i="122" s="1"/>
  <c r="G2858" i="122"/>
  <c r="G3528" i="122" s="1"/>
  <c r="G4198" i="122" s="1"/>
  <c r="G4868" i="122" s="1"/>
  <c r="O2188" i="122"/>
  <c r="P2188" i="122" s="1"/>
  <c r="G840" i="122"/>
  <c r="O170" i="122"/>
  <c r="P170" i="122" s="1"/>
  <c r="G776" i="122"/>
  <c r="G1446" i="122" s="1"/>
  <c r="G2116" i="122" s="1"/>
  <c r="G2786" i="122" s="1"/>
  <c r="G3456" i="122" s="1"/>
  <c r="G4126" i="122" s="1"/>
  <c r="G4796" i="122" s="1"/>
  <c r="O106" i="122"/>
  <c r="P106" i="122" s="1"/>
  <c r="H74" i="122"/>
  <c r="N74" i="122" s="1"/>
  <c r="G744" i="122"/>
  <c r="G1414" i="122" s="1"/>
  <c r="G2084" i="122" s="1"/>
  <c r="G2754" i="122" s="1"/>
  <c r="G3424" i="122" s="1"/>
  <c r="G4094" i="122" s="1"/>
  <c r="G4764" i="122" s="1"/>
  <c r="G712" i="122"/>
  <c r="O42" i="122"/>
  <c r="P42" i="122" s="1"/>
  <c r="G1335" i="122"/>
  <c r="G2005" i="122" s="1"/>
  <c r="G2675" i="122" s="1"/>
  <c r="G3345" i="122" s="1"/>
  <c r="G4015" i="122" s="1"/>
  <c r="G4685" i="122" s="1"/>
  <c r="G5355" i="122" s="1"/>
  <c r="G1311" i="122"/>
  <c r="G1981" i="122" s="1"/>
  <c r="G2651" i="122" s="1"/>
  <c r="G3321" i="122" s="1"/>
  <c r="G3991" i="122" s="1"/>
  <c r="G4661" i="122" s="1"/>
  <c r="G5331" i="122" s="1"/>
  <c r="G1287" i="122"/>
  <c r="G1957" i="122" s="1"/>
  <c r="G2627" i="122" s="1"/>
  <c r="G3297" i="122" s="1"/>
  <c r="G3967" i="122" s="1"/>
  <c r="G4637" i="122" s="1"/>
  <c r="G5307" i="122" s="1"/>
  <c r="G1271" i="122"/>
  <c r="G1941" i="122" s="1"/>
  <c r="G2611" i="122" s="1"/>
  <c r="G3281" i="122" s="1"/>
  <c r="G3951" i="122" s="1"/>
  <c r="G4621" i="122" s="1"/>
  <c r="G5291" i="122" s="1"/>
  <c r="G1247" i="122"/>
  <c r="G1917" i="122" s="1"/>
  <c r="G2587" i="122" s="1"/>
  <c r="G3257" i="122" s="1"/>
  <c r="G3927" i="122" s="1"/>
  <c r="G4597" i="122" s="1"/>
  <c r="G5267" i="122" s="1"/>
  <c r="G1239" i="122"/>
  <c r="G1909" i="122" s="1"/>
  <c r="G2579" i="122" s="1"/>
  <c r="G3249" i="122" s="1"/>
  <c r="G3919" i="122" s="1"/>
  <c r="G4589" i="122" s="1"/>
  <c r="G5259" i="122" s="1"/>
  <c r="G1223" i="122"/>
  <c r="G1893" i="122" s="1"/>
  <c r="G2563" i="122" s="1"/>
  <c r="G3233" i="122" s="1"/>
  <c r="G3903" i="122" s="1"/>
  <c r="G4573" i="122" s="1"/>
  <c r="G5243" i="122" s="1"/>
  <c r="G1215" i="122"/>
  <c r="G1885" i="122" s="1"/>
  <c r="G2555" i="122" s="1"/>
  <c r="G3225" i="122" s="1"/>
  <c r="G3895" i="122" s="1"/>
  <c r="G4565" i="122" s="1"/>
  <c r="G5235" i="122" s="1"/>
  <c r="G1207" i="122"/>
  <c r="G1877" i="122" s="1"/>
  <c r="G2547" i="122" s="1"/>
  <c r="G3217" i="122" s="1"/>
  <c r="G3887" i="122" s="1"/>
  <c r="G4557" i="122" s="1"/>
  <c r="G5227" i="122" s="1"/>
  <c r="G1199" i="122"/>
  <c r="G1869" i="122" s="1"/>
  <c r="G2539" i="122" s="1"/>
  <c r="G3209" i="122" s="1"/>
  <c r="G3879" i="122" s="1"/>
  <c r="G4549" i="122" s="1"/>
  <c r="G5219" i="122" s="1"/>
  <c r="G1191" i="122"/>
  <c r="G1861" i="122" s="1"/>
  <c r="G2531" i="122" s="1"/>
  <c r="G3201" i="122" s="1"/>
  <c r="G3871" i="122" s="1"/>
  <c r="G4541" i="122" s="1"/>
  <c r="G5211" i="122" s="1"/>
  <c r="G1183" i="122"/>
  <c r="G1853" i="122" s="1"/>
  <c r="G2523" i="122" s="1"/>
  <c r="G3193" i="122" s="1"/>
  <c r="G3863" i="122" s="1"/>
  <c r="G4533" i="122" s="1"/>
  <c r="G5203" i="122" s="1"/>
  <c r="G1175" i="122"/>
  <c r="G1845" i="122" s="1"/>
  <c r="G2515" i="122" s="1"/>
  <c r="G3185" i="122" s="1"/>
  <c r="G3855" i="122" s="1"/>
  <c r="G4525" i="122" s="1"/>
  <c r="G5195" i="122" s="1"/>
  <c r="G1167" i="122"/>
  <c r="G1837" i="122" s="1"/>
  <c r="G2507" i="122" s="1"/>
  <c r="G3177" i="122" s="1"/>
  <c r="G3847" i="122" s="1"/>
  <c r="G4517" i="122" s="1"/>
  <c r="G5187" i="122" s="1"/>
  <c r="G1159" i="122"/>
  <c r="G1829" i="122" s="1"/>
  <c r="G2499" i="122" s="1"/>
  <c r="G3169" i="122" s="1"/>
  <c r="G3839" i="122" s="1"/>
  <c r="G4509" i="122" s="1"/>
  <c r="G5179" i="122" s="1"/>
  <c r="G1151" i="122"/>
  <c r="G1821" i="122" s="1"/>
  <c r="G2491" i="122" s="1"/>
  <c r="G3161" i="122" s="1"/>
  <c r="G3831" i="122" s="1"/>
  <c r="G4501" i="122" s="1"/>
  <c r="G5171" i="122" s="1"/>
  <c r="G1143" i="122"/>
  <c r="G1813" i="122" s="1"/>
  <c r="G2483" i="122" s="1"/>
  <c r="G3153" i="122" s="1"/>
  <c r="G3823" i="122" s="1"/>
  <c r="G4493" i="122" s="1"/>
  <c r="G5163" i="122" s="1"/>
  <c r="G1135" i="122"/>
  <c r="G1805" i="122" s="1"/>
  <c r="G2475" i="122" s="1"/>
  <c r="G3145" i="122" s="1"/>
  <c r="G3815" i="122" s="1"/>
  <c r="G4485" i="122" s="1"/>
  <c r="G5155" i="122" s="1"/>
  <c r="G1127" i="122"/>
  <c r="G1797" i="122" s="1"/>
  <c r="G2467" i="122" s="1"/>
  <c r="G3137" i="122" s="1"/>
  <c r="G3807" i="122" s="1"/>
  <c r="G4477" i="122" s="1"/>
  <c r="G5147" i="122" s="1"/>
  <c r="G1119" i="122"/>
  <c r="G1789" i="122" s="1"/>
  <c r="G2459" i="122" s="1"/>
  <c r="G3129" i="122" s="1"/>
  <c r="G3799" i="122" s="1"/>
  <c r="G4469" i="122" s="1"/>
  <c r="G5139" i="122" s="1"/>
  <c r="G1111" i="122"/>
  <c r="G1781" i="122" s="1"/>
  <c r="G2451" i="122" s="1"/>
  <c r="G3121" i="122" s="1"/>
  <c r="G3791" i="122" s="1"/>
  <c r="G4461" i="122" s="1"/>
  <c r="G5131" i="122" s="1"/>
  <c r="G1103" i="122"/>
  <c r="G1773" i="122" s="1"/>
  <c r="G2443" i="122" s="1"/>
  <c r="G3113" i="122" s="1"/>
  <c r="G3783" i="122" s="1"/>
  <c r="G4453" i="122" s="1"/>
  <c r="G5123" i="122" s="1"/>
  <c r="G1095" i="122"/>
  <c r="G1765" i="122" s="1"/>
  <c r="G2435" i="122" s="1"/>
  <c r="G3105" i="122" s="1"/>
  <c r="G3775" i="122" s="1"/>
  <c r="G4445" i="122" s="1"/>
  <c r="G5115" i="122" s="1"/>
  <c r="G1087" i="122"/>
  <c r="G1757" i="122" s="1"/>
  <c r="G2427" i="122" s="1"/>
  <c r="G3097" i="122" s="1"/>
  <c r="G3767" i="122" s="1"/>
  <c r="G4437" i="122" s="1"/>
  <c r="G5107" i="122" s="1"/>
  <c r="G1079" i="122"/>
  <c r="G1749" i="122" s="1"/>
  <c r="G2419" i="122" s="1"/>
  <c r="G3089" i="122" s="1"/>
  <c r="G3759" i="122" s="1"/>
  <c r="G4429" i="122" s="1"/>
  <c r="G5099" i="122" s="1"/>
  <c r="G1071" i="122"/>
  <c r="G1741" i="122" s="1"/>
  <c r="G2411" i="122" s="1"/>
  <c r="G3081" i="122" s="1"/>
  <c r="G3751" i="122" s="1"/>
  <c r="G4421" i="122" s="1"/>
  <c r="G5091" i="122" s="1"/>
  <c r="G1063" i="122"/>
  <c r="G1733" i="122" s="1"/>
  <c r="G2403" i="122" s="1"/>
  <c r="G3073" i="122" s="1"/>
  <c r="G3743" i="122" s="1"/>
  <c r="G4413" i="122" s="1"/>
  <c r="G5083" i="122" s="1"/>
  <c r="G1055" i="122"/>
  <c r="G1725" i="122" s="1"/>
  <c r="G2395" i="122" s="1"/>
  <c r="G3065" i="122" s="1"/>
  <c r="G3735" i="122" s="1"/>
  <c r="G4405" i="122" s="1"/>
  <c r="G5075" i="122" s="1"/>
  <c r="G1047" i="122"/>
  <c r="G1717" i="122" s="1"/>
  <c r="G2387" i="122" s="1"/>
  <c r="G3057" i="122" s="1"/>
  <c r="G3727" i="122" s="1"/>
  <c r="G4397" i="122" s="1"/>
  <c r="G5067" i="122" s="1"/>
  <c r="G1039" i="122"/>
  <c r="G1709" i="122" s="1"/>
  <c r="G2379" i="122" s="1"/>
  <c r="G3049" i="122" s="1"/>
  <c r="G3719" i="122" s="1"/>
  <c r="G4389" i="122" s="1"/>
  <c r="G5059" i="122" s="1"/>
  <c r="G1031" i="122"/>
  <c r="G1701" i="122" s="1"/>
  <c r="G2371" i="122" s="1"/>
  <c r="G3041" i="122" s="1"/>
  <c r="G3711" i="122" s="1"/>
  <c r="G4381" i="122" s="1"/>
  <c r="G5051" i="122" s="1"/>
  <c r="G1023" i="122"/>
  <c r="G1693" i="122" s="1"/>
  <c r="G2363" i="122" s="1"/>
  <c r="G3033" i="122" s="1"/>
  <c r="G3703" i="122" s="1"/>
  <c r="G4373" i="122" s="1"/>
  <c r="G5043" i="122" s="1"/>
  <c r="G1015" i="122"/>
  <c r="G1685" i="122" s="1"/>
  <c r="G2355" i="122" s="1"/>
  <c r="G3025" i="122" s="1"/>
  <c r="G3695" i="122" s="1"/>
  <c r="G4365" i="122" s="1"/>
  <c r="G5035" i="122" s="1"/>
  <c r="G1007" i="122"/>
  <c r="G1677" i="122" s="1"/>
  <c r="G2347" i="122" s="1"/>
  <c r="G3017" i="122" s="1"/>
  <c r="G3687" i="122" s="1"/>
  <c r="G4357" i="122" s="1"/>
  <c r="G5027" i="122" s="1"/>
  <c r="G999" i="122"/>
  <c r="G1669" i="122" s="1"/>
  <c r="G2339" i="122" s="1"/>
  <c r="G3009" i="122" s="1"/>
  <c r="G3679" i="122" s="1"/>
  <c r="G4349" i="122" s="1"/>
  <c r="G5019" i="122" s="1"/>
  <c r="G991" i="122"/>
  <c r="G1661" i="122" s="1"/>
  <c r="G2331" i="122" s="1"/>
  <c r="G3001" i="122" s="1"/>
  <c r="G3671" i="122" s="1"/>
  <c r="G4341" i="122" s="1"/>
  <c r="G5011" i="122" s="1"/>
  <c r="G983" i="122"/>
  <c r="G1653" i="122" s="1"/>
  <c r="G2323" i="122" s="1"/>
  <c r="G2993" i="122" s="1"/>
  <c r="G3663" i="122" s="1"/>
  <c r="G4333" i="122" s="1"/>
  <c r="G5003" i="122" s="1"/>
  <c r="G2977" i="122"/>
  <c r="G3647" i="122" s="1"/>
  <c r="G4317" i="122" s="1"/>
  <c r="G4987" i="122" s="1"/>
  <c r="O2307" i="122"/>
  <c r="P2307" i="122" s="1"/>
  <c r="G3639" i="122"/>
  <c r="G4309" i="122" s="1"/>
  <c r="G4979" i="122" s="1"/>
  <c r="O2969" i="122"/>
  <c r="P2969" i="122" s="1"/>
  <c r="G1581" i="122"/>
  <c r="O911" i="122"/>
  <c r="P911" i="122" s="1"/>
  <c r="O233" i="122"/>
  <c r="P233" i="122" s="1"/>
  <c r="G903" i="122"/>
  <c r="G1573" i="122" s="1"/>
  <c r="G2243" i="122" s="1"/>
  <c r="G2913" i="122" s="1"/>
  <c r="G3583" i="122" s="1"/>
  <c r="G4253" i="122" s="1"/>
  <c r="G4923" i="122" s="1"/>
  <c r="G4221" i="122"/>
  <c r="G4891" i="122" s="1"/>
  <c r="O3551" i="122"/>
  <c r="P3551" i="122" s="1"/>
  <c r="G1525" i="122"/>
  <c r="O855" i="122"/>
  <c r="P855" i="122" s="1"/>
  <c r="G2857" i="122"/>
  <c r="G3527" i="122" s="1"/>
  <c r="G4197" i="122" s="1"/>
  <c r="G4867" i="122" s="1"/>
  <c r="O2187" i="122"/>
  <c r="P2187" i="122" s="1"/>
  <c r="G839" i="122"/>
  <c r="O169" i="122"/>
  <c r="P169" i="122" s="1"/>
  <c r="G2059" i="122"/>
  <c r="G2729" i="122" s="1"/>
  <c r="G3399" i="122" s="1"/>
  <c r="G4069" i="122" s="1"/>
  <c r="G4739" i="122" s="1"/>
  <c r="O1389" i="122"/>
  <c r="P1389" i="122" s="1"/>
  <c r="F752" i="122"/>
  <c r="F744" i="122"/>
  <c r="F720" i="122"/>
  <c r="F688" i="122"/>
  <c r="G1340" i="122"/>
  <c r="G2010" i="122" s="1"/>
  <c r="G2680" i="122" s="1"/>
  <c r="G3350" i="122" s="1"/>
  <c r="G4020" i="122" s="1"/>
  <c r="G4690" i="122" s="1"/>
  <c r="G5360" i="122" s="1"/>
  <c r="G1300" i="122"/>
  <c r="G1970" i="122" s="1"/>
  <c r="G2640" i="122" s="1"/>
  <c r="G3310" i="122" s="1"/>
  <c r="G3980" i="122" s="1"/>
  <c r="G4650" i="122" s="1"/>
  <c r="G5320" i="122" s="1"/>
  <c r="G1260" i="122"/>
  <c r="G1930" i="122" s="1"/>
  <c r="G2600" i="122" s="1"/>
  <c r="G3270" i="122" s="1"/>
  <c r="G3940" i="122" s="1"/>
  <c r="G4610" i="122" s="1"/>
  <c r="G5280" i="122" s="1"/>
  <c r="G1220" i="122"/>
  <c r="G1890" i="122" s="1"/>
  <c r="G2560" i="122" s="1"/>
  <c r="G3230" i="122" s="1"/>
  <c r="G3900" i="122" s="1"/>
  <c r="G4570" i="122" s="1"/>
  <c r="G5240" i="122" s="1"/>
  <c r="G1180" i="122"/>
  <c r="G1850" i="122" s="1"/>
  <c r="G2520" i="122" s="1"/>
  <c r="G3190" i="122" s="1"/>
  <c r="G3860" i="122" s="1"/>
  <c r="G4530" i="122" s="1"/>
  <c r="G5200" i="122" s="1"/>
  <c r="G1148" i="122"/>
  <c r="G1818" i="122" s="1"/>
  <c r="G2488" i="122" s="1"/>
  <c r="G3158" i="122" s="1"/>
  <c r="G3828" i="122" s="1"/>
  <c r="G4498" i="122" s="1"/>
  <c r="G5168" i="122" s="1"/>
  <c r="G1100" i="122"/>
  <c r="G1770" i="122" s="1"/>
  <c r="G2440" i="122" s="1"/>
  <c r="G3110" i="122" s="1"/>
  <c r="G3780" i="122" s="1"/>
  <c r="G4450" i="122" s="1"/>
  <c r="G5120" i="122" s="1"/>
  <c r="G1052" i="122"/>
  <c r="G1722" i="122" s="1"/>
  <c r="G2392" i="122" s="1"/>
  <c r="G812" i="122"/>
  <c r="G1482" i="122" s="1"/>
  <c r="G2152" i="122" s="1"/>
  <c r="G2822" i="122" s="1"/>
  <c r="G3492" i="122" s="1"/>
  <c r="G4162" i="122" s="1"/>
  <c r="G4832" i="122" s="1"/>
  <c r="G2734" i="122"/>
  <c r="G3404" i="122" s="1"/>
  <c r="G4074" i="122" s="1"/>
  <c r="G4744" i="122" s="1"/>
  <c r="O2064" i="122"/>
  <c r="P2064" i="122" s="1"/>
  <c r="G1386" i="122"/>
  <c r="G2056" i="122" s="1"/>
  <c r="G2726" i="122" s="1"/>
  <c r="G3396" i="122" s="1"/>
  <c r="G4066" i="122" s="1"/>
  <c r="G4736" i="122" s="1"/>
  <c r="F1341" i="122"/>
  <c r="F1213" i="122"/>
  <c r="F1133" i="122"/>
  <c r="G1328" i="122"/>
  <c r="G1998" i="122" s="1"/>
  <c r="G1312" i="122"/>
  <c r="G1982" i="122" s="1"/>
  <c r="G2652" i="122" s="1"/>
  <c r="G3322" i="122" s="1"/>
  <c r="G3992" i="122" s="1"/>
  <c r="G4662" i="122" s="1"/>
  <c r="G5332" i="122" s="1"/>
  <c r="G1288" i="122"/>
  <c r="G1958" i="122" s="1"/>
  <c r="G2628" i="122" s="1"/>
  <c r="G3298" i="122" s="1"/>
  <c r="G3968" i="122" s="1"/>
  <c r="G4638" i="122" s="1"/>
  <c r="G5308" i="122" s="1"/>
  <c r="G1264" i="122"/>
  <c r="G1934" i="122" s="1"/>
  <c r="G2604" i="122" s="1"/>
  <c r="G3274" i="122" s="1"/>
  <c r="G3944" i="122" s="1"/>
  <c r="G4614" i="122" s="1"/>
  <c r="G5284" i="122" s="1"/>
  <c r="G1248" i="122"/>
  <c r="G1918" i="122" s="1"/>
  <c r="G2588" i="122" s="1"/>
  <c r="G3258" i="122" s="1"/>
  <c r="G3928" i="122" s="1"/>
  <c r="G4598" i="122" s="1"/>
  <c r="G5268" i="122" s="1"/>
  <c r="G1224" i="122"/>
  <c r="G1894" i="122" s="1"/>
  <c r="G2564" i="122" s="1"/>
  <c r="G3234" i="122" s="1"/>
  <c r="G3904" i="122" s="1"/>
  <c r="G4574" i="122" s="1"/>
  <c r="G5244" i="122" s="1"/>
  <c r="G1200" i="122"/>
  <c r="G1870" i="122" s="1"/>
  <c r="G2540" i="122" s="1"/>
  <c r="G3210" i="122" s="1"/>
  <c r="G3880" i="122" s="1"/>
  <c r="G4550" i="122" s="1"/>
  <c r="G5220" i="122" s="1"/>
  <c r="G1184" i="122"/>
  <c r="G1854" i="122" s="1"/>
  <c r="G2524" i="122" s="1"/>
  <c r="G3194" i="122" s="1"/>
  <c r="G3864" i="122" s="1"/>
  <c r="G4534" i="122" s="1"/>
  <c r="G5204" i="122" s="1"/>
  <c r="G1168" i="122"/>
  <c r="G1838" i="122" s="1"/>
  <c r="G2508" i="122" s="1"/>
  <c r="G3178" i="122" s="1"/>
  <c r="G3848" i="122" s="1"/>
  <c r="G4518" i="122" s="1"/>
  <c r="G5188" i="122" s="1"/>
  <c r="G1144" i="122"/>
  <c r="G1814" i="122" s="1"/>
  <c r="G2484" i="122" s="1"/>
  <c r="G3154" i="122" s="1"/>
  <c r="G3824" i="122" s="1"/>
  <c r="G4494" i="122" s="1"/>
  <c r="G5164" i="122" s="1"/>
  <c r="G1120" i="122"/>
  <c r="G1790" i="122" s="1"/>
  <c r="G2460" i="122" s="1"/>
  <c r="G3130" i="122" s="1"/>
  <c r="G3800" i="122" s="1"/>
  <c r="G4470" i="122" s="1"/>
  <c r="G5140" i="122" s="1"/>
  <c r="G1088" i="122"/>
  <c r="G1758" i="122" s="1"/>
  <c r="G2428" i="122" s="1"/>
  <c r="G3098" i="122" s="1"/>
  <c r="G3768" i="122" s="1"/>
  <c r="G4438" i="122" s="1"/>
  <c r="G5108" i="122" s="1"/>
  <c r="G1064" i="122"/>
  <c r="G1734" i="122" s="1"/>
  <c r="G2404" i="122" s="1"/>
  <c r="G3074" i="122" s="1"/>
  <c r="G3744" i="122" s="1"/>
  <c r="G4414" i="122" s="1"/>
  <c r="G5084" i="122" s="1"/>
  <c r="G1056" i="122"/>
  <c r="G1726" i="122" s="1"/>
  <c r="G1040" i="122"/>
  <c r="G1710" i="122" s="1"/>
  <c r="G1016" i="122"/>
  <c r="G1686" i="122" s="1"/>
  <c r="G2356" i="122" s="1"/>
  <c r="G3026" i="122" s="1"/>
  <c r="G3696" i="122" s="1"/>
  <c r="G4366" i="122" s="1"/>
  <c r="G5036" i="122" s="1"/>
  <c r="G1008" i="122"/>
  <c r="G1678" i="122" s="1"/>
  <c r="G2348" i="122" s="1"/>
  <c r="G992" i="122"/>
  <c r="G1662" i="122" s="1"/>
  <c r="G984" i="122"/>
  <c r="G1654" i="122" s="1"/>
  <c r="G2324" i="122" s="1"/>
  <c r="G2994" i="122" s="1"/>
  <c r="G2978" i="122"/>
  <c r="G3648" i="122" s="1"/>
  <c r="G4318" i="122" s="1"/>
  <c r="G4988" i="122" s="1"/>
  <c r="O2308" i="122"/>
  <c r="P2308" i="122" s="1"/>
  <c r="G2922" i="122"/>
  <c r="G3592" i="122" s="1"/>
  <c r="G4262" i="122" s="1"/>
  <c r="G4932" i="122" s="1"/>
  <c r="O2252" i="122"/>
  <c r="P2252" i="122" s="1"/>
  <c r="G3536" i="122"/>
  <c r="G4206" i="122" s="1"/>
  <c r="G4876" i="122" s="1"/>
  <c r="O2866" i="122"/>
  <c r="P2866" i="122" s="1"/>
  <c r="G752" i="122"/>
  <c r="G1422" i="122" s="1"/>
  <c r="G2092" i="122" s="1"/>
  <c r="G2762" i="122" s="1"/>
  <c r="G3432" i="122" s="1"/>
  <c r="G4102" i="122" s="1"/>
  <c r="G4772" i="122" s="1"/>
  <c r="G720" i="122"/>
  <c r="G1390" i="122" s="1"/>
  <c r="G2060" i="122" s="1"/>
  <c r="G2730" i="122" s="1"/>
  <c r="G3400" i="122" s="1"/>
  <c r="G4070" i="122" s="1"/>
  <c r="G4740" i="122" s="1"/>
  <c r="G688" i="122"/>
  <c r="G1358" i="122" s="1"/>
  <c r="G2028" i="122" s="1"/>
  <c r="G2698" i="122" s="1"/>
  <c r="G3368" i="122" s="1"/>
  <c r="G4038" i="122" s="1"/>
  <c r="G4708" i="122" s="1"/>
  <c r="G1343" i="122"/>
  <c r="G2013" i="122" s="1"/>
  <c r="G2683" i="122" s="1"/>
  <c r="G3353" i="122" s="1"/>
  <c r="G4023" i="122" s="1"/>
  <c r="G4693" i="122" s="1"/>
  <c r="G5363" i="122" s="1"/>
  <c r="G1327" i="122"/>
  <c r="G1997" i="122" s="1"/>
  <c r="G2667" i="122" s="1"/>
  <c r="G3337" i="122" s="1"/>
  <c r="G4007" i="122" s="1"/>
  <c r="G4677" i="122" s="1"/>
  <c r="G5347" i="122" s="1"/>
  <c r="G1319" i="122"/>
  <c r="G1989" i="122" s="1"/>
  <c r="G1303" i="122"/>
  <c r="G1973" i="122" s="1"/>
  <c r="G2643" i="122" s="1"/>
  <c r="G3313" i="122" s="1"/>
  <c r="G3983" i="122" s="1"/>
  <c r="G4653" i="122" s="1"/>
  <c r="G5323" i="122" s="1"/>
  <c r="G1295" i="122"/>
  <c r="G1965" i="122" s="1"/>
  <c r="G2635" i="122" s="1"/>
  <c r="G3305" i="122" s="1"/>
  <c r="G3975" i="122" s="1"/>
  <c r="G4645" i="122" s="1"/>
  <c r="G5315" i="122" s="1"/>
  <c r="G1279" i="122"/>
  <c r="G1949" i="122" s="1"/>
  <c r="G2619" i="122" s="1"/>
  <c r="G3289" i="122" s="1"/>
  <c r="G3959" i="122" s="1"/>
  <c r="G4629" i="122" s="1"/>
  <c r="G5299" i="122" s="1"/>
  <c r="G1263" i="122"/>
  <c r="G1933" i="122" s="1"/>
  <c r="G2603" i="122" s="1"/>
  <c r="G3273" i="122" s="1"/>
  <c r="G3943" i="122" s="1"/>
  <c r="G4613" i="122" s="1"/>
  <c r="G5283" i="122" s="1"/>
  <c r="G1255" i="122"/>
  <c r="G1925" i="122" s="1"/>
  <c r="G2595" i="122" s="1"/>
  <c r="G3265" i="122" s="1"/>
  <c r="G3935" i="122" s="1"/>
  <c r="G4605" i="122" s="1"/>
  <c r="G5275" i="122" s="1"/>
  <c r="G1231" i="122"/>
  <c r="G1901" i="122" s="1"/>
  <c r="G2571" i="122" s="1"/>
  <c r="G3241" i="122" s="1"/>
  <c r="G3911" i="122" s="1"/>
  <c r="G4581" i="122" s="1"/>
  <c r="G5251" i="122" s="1"/>
  <c r="G1342" i="122"/>
  <c r="G2012" i="122" s="1"/>
  <c r="G1334" i="122"/>
  <c r="G2004" i="122" s="1"/>
  <c r="G2674" i="122" s="1"/>
  <c r="G3344" i="122" s="1"/>
  <c r="G4014" i="122" s="1"/>
  <c r="G4684" i="122" s="1"/>
  <c r="G5354" i="122" s="1"/>
  <c r="G1326" i="122"/>
  <c r="G1996" i="122" s="1"/>
  <c r="G1318" i="122"/>
  <c r="G1988" i="122" s="1"/>
  <c r="G2658" i="122" s="1"/>
  <c r="G3328" i="122" s="1"/>
  <c r="G3998" i="122" s="1"/>
  <c r="G4668" i="122" s="1"/>
  <c r="G5338" i="122" s="1"/>
  <c r="G1310" i="122"/>
  <c r="G1980" i="122" s="1"/>
  <c r="G2650" i="122" s="1"/>
  <c r="G3320" i="122" s="1"/>
  <c r="G3990" i="122" s="1"/>
  <c r="G4660" i="122" s="1"/>
  <c r="G5330" i="122" s="1"/>
  <c r="G1302" i="122"/>
  <c r="G1972" i="122" s="1"/>
  <c r="G2642" i="122" s="1"/>
  <c r="G3312" i="122" s="1"/>
  <c r="G3982" i="122" s="1"/>
  <c r="G4652" i="122" s="1"/>
  <c r="G5322" i="122" s="1"/>
  <c r="G1294" i="122"/>
  <c r="G1964" i="122" s="1"/>
  <c r="G2634" i="122" s="1"/>
  <c r="G3304" i="122" s="1"/>
  <c r="G3974" i="122" s="1"/>
  <c r="G4644" i="122" s="1"/>
  <c r="G5314" i="122" s="1"/>
  <c r="G1286" i="122"/>
  <c r="G1956" i="122" s="1"/>
  <c r="G2626" i="122" s="1"/>
  <c r="G3296" i="122" s="1"/>
  <c r="G3966" i="122" s="1"/>
  <c r="G4636" i="122" s="1"/>
  <c r="G5306" i="122" s="1"/>
  <c r="G1278" i="122"/>
  <c r="G1948" i="122" s="1"/>
  <c r="G2618" i="122" s="1"/>
  <c r="G3288" i="122" s="1"/>
  <c r="G3958" i="122" s="1"/>
  <c r="G4628" i="122" s="1"/>
  <c r="G5298" i="122" s="1"/>
  <c r="G1270" i="122"/>
  <c r="G1940" i="122" s="1"/>
  <c r="G2610" i="122" s="1"/>
  <c r="G3280" i="122" s="1"/>
  <c r="G3950" i="122" s="1"/>
  <c r="G4620" i="122" s="1"/>
  <c r="G5290" i="122" s="1"/>
  <c r="G1262" i="122"/>
  <c r="G1932" i="122" s="1"/>
  <c r="G2602" i="122" s="1"/>
  <c r="G3272" i="122" s="1"/>
  <c r="G3942" i="122" s="1"/>
  <c r="G4612" i="122" s="1"/>
  <c r="G5282" i="122" s="1"/>
  <c r="G1254" i="122"/>
  <c r="G1924" i="122" s="1"/>
  <c r="G2594" i="122" s="1"/>
  <c r="G3264" i="122" s="1"/>
  <c r="G3934" i="122" s="1"/>
  <c r="G4604" i="122" s="1"/>
  <c r="G5274" i="122" s="1"/>
  <c r="G1246" i="122"/>
  <c r="G1916" i="122" s="1"/>
  <c r="G2586" i="122" s="1"/>
  <c r="G3256" i="122" s="1"/>
  <c r="G3926" i="122" s="1"/>
  <c r="G4596" i="122" s="1"/>
  <c r="G5266" i="122" s="1"/>
  <c r="G1238" i="122"/>
  <c r="G1908" i="122" s="1"/>
  <c r="G2578" i="122" s="1"/>
  <c r="G3248" i="122" s="1"/>
  <c r="G3918" i="122" s="1"/>
  <c r="G4588" i="122" s="1"/>
  <c r="G5258" i="122" s="1"/>
  <c r="G1230" i="122"/>
  <c r="G1900" i="122" s="1"/>
  <c r="G2570" i="122" s="1"/>
  <c r="G3240" i="122" s="1"/>
  <c r="G3910" i="122" s="1"/>
  <c r="G4580" i="122" s="1"/>
  <c r="G5250" i="122" s="1"/>
  <c r="G1222" i="122"/>
  <c r="G1892" i="122" s="1"/>
  <c r="G2562" i="122" s="1"/>
  <c r="G3232" i="122" s="1"/>
  <c r="G3902" i="122" s="1"/>
  <c r="G4572" i="122" s="1"/>
  <c r="G5242" i="122" s="1"/>
  <c r="G1214" i="122"/>
  <c r="G1884" i="122" s="1"/>
  <c r="G2554" i="122" s="1"/>
  <c r="G3224" i="122" s="1"/>
  <c r="G3894" i="122" s="1"/>
  <c r="G4564" i="122" s="1"/>
  <c r="G5234" i="122" s="1"/>
  <c r="G1206" i="122"/>
  <c r="G1876" i="122" s="1"/>
  <c r="G2546" i="122" s="1"/>
  <c r="G3216" i="122" s="1"/>
  <c r="G3886" i="122" s="1"/>
  <c r="G4556" i="122" s="1"/>
  <c r="G5226" i="122" s="1"/>
  <c r="G1198" i="122"/>
  <c r="G1868" i="122" s="1"/>
  <c r="G2538" i="122" s="1"/>
  <c r="G3208" i="122" s="1"/>
  <c r="G3878" i="122" s="1"/>
  <c r="G4548" i="122" s="1"/>
  <c r="G5218" i="122" s="1"/>
  <c r="G1190" i="122"/>
  <c r="G1860" i="122" s="1"/>
  <c r="G2530" i="122" s="1"/>
  <c r="G3200" i="122" s="1"/>
  <c r="G3870" i="122" s="1"/>
  <c r="G4540" i="122" s="1"/>
  <c r="G5210" i="122" s="1"/>
  <c r="G1182" i="122"/>
  <c r="G1852" i="122" s="1"/>
  <c r="G2522" i="122" s="1"/>
  <c r="G3192" i="122" s="1"/>
  <c r="G3862" i="122" s="1"/>
  <c r="G4532" i="122" s="1"/>
  <c r="G5202" i="122" s="1"/>
  <c r="G1174" i="122"/>
  <c r="G1844" i="122" s="1"/>
  <c r="G2514" i="122" s="1"/>
  <c r="G3184" i="122" s="1"/>
  <c r="G3854" i="122" s="1"/>
  <c r="G4524" i="122" s="1"/>
  <c r="G5194" i="122" s="1"/>
  <c r="G1166" i="122"/>
  <c r="G1836" i="122" s="1"/>
  <c r="G2506" i="122" s="1"/>
  <c r="G3176" i="122" s="1"/>
  <c r="G3846" i="122" s="1"/>
  <c r="G4516" i="122" s="1"/>
  <c r="G5186" i="122" s="1"/>
  <c r="G1158" i="122"/>
  <c r="G1828" i="122" s="1"/>
  <c r="G2498" i="122" s="1"/>
  <c r="G3168" i="122" s="1"/>
  <c r="G3838" i="122" s="1"/>
  <c r="G4508" i="122" s="1"/>
  <c r="G5178" i="122" s="1"/>
  <c r="G1150" i="122"/>
  <c r="G1820" i="122" s="1"/>
  <c r="G2490" i="122" s="1"/>
  <c r="G3160" i="122" s="1"/>
  <c r="G3830" i="122" s="1"/>
  <c r="G4500" i="122" s="1"/>
  <c r="G5170" i="122" s="1"/>
  <c r="G1142" i="122"/>
  <c r="G1812" i="122" s="1"/>
  <c r="G2482" i="122" s="1"/>
  <c r="G3152" i="122" s="1"/>
  <c r="G3822" i="122" s="1"/>
  <c r="G4492" i="122" s="1"/>
  <c r="G5162" i="122" s="1"/>
  <c r="G1134" i="122"/>
  <c r="G1804" i="122" s="1"/>
  <c r="G2474" i="122" s="1"/>
  <c r="G3144" i="122" s="1"/>
  <c r="G3814" i="122" s="1"/>
  <c r="G4484" i="122" s="1"/>
  <c r="G5154" i="122" s="1"/>
  <c r="G1126" i="122"/>
  <c r="G1796" i="122" s="1"/>
  <c r="G2466" i="122" s="1"/>
  <c r="G3136" i="122" s="1"/>
  <c r="G3806" i="122" s="1"/>
  <c r="G4476" i="122" s="1"/>
  <c r="G5146" i="122" s="1"/>
  <c r="G1118" i="122"/>
  <c r="G1788" i="122" s="1"/>
  <c r="G2458" i="122" s="1"/>
  <c r="G3128" i="122" s="1"/>
  <c r="G3798" i="122" s="1"/>
  <c r="G4468" i="122" s="1"/>
  <c r="G5138" i="122" s="1"/>
  <c r="G1110" i="122"/>
  <c r="G1780" i="122" s="1"/>
  <c r="G2450" i="122" s="1"/>
  <c r="G3120" i="122" s="1"/>
  <c r="G3790" i="122" s="1"/>
  <c r="G4460" i="122" s="1"/>
  <c r="G5130" i="122" s="1"/>
  <c r="G1102" i="122"/>
  <c r="G1772" i="122" s="1"/>
  <c r="G2442" i="122" s="1"/>
  <c r="G3112" i="122" s="1"/>
  <c r="G3782" i="122" s="1"/>
  <c r="G4452" i="122" s="1"/>
  <c r="G5122" i="122" s="1"/>
  <c r="G1094" i="122"/>
  <c r="G1764" i="122" s="1"/>
  <c r="G2434" i="122" s="1"/>
  <c r="G3104" i="122" s="1"/>
  <c r="G3774" i="122" s="1"/>
  <c r="G4444" i="122" s="1"/>
  <c r="G5114" i="122" s="1"/>
  <c r="G1086" i="122"/>
  <c r="G1756" i="122" s="1"/>
  <c r="G2426" i="122" s="1"/>
  <c r="G3096" i="122" s="1"/>
  <c r="G3766" i="122" s="1"/>
  <c r="G4436" i="122" s="1"/>
  <c r="G5106" i="122" s="1"/>
  <c r="G1078" i="122"/>
  <c r="G1748" i="122" s="1"/>
  <c r="G2418" i="122" s="1"/>
  <c r="G3088" i="122" s="1"/>
  <c r="G3758" i="122" s="1"/>
  <c r="G4428" i="122" s="1"/>
  <c r="G5098" i="122" s="1"/>
  <c r="G1070" i="122"/>
  <c r="G1740" i="122" s="1"/>
  <c r="G2410" i="122" s="1"/>
  <c r="G3080" i="122" s="1"/>
  <c r="G3750" i="122" s="1"/>
  <c r="G4420" i="122" s="1"/>
  <c r="G5090" i="122" s="1"/>
  <c r="G1062" i="122"/>
  <c r="G1732" i="122" s="1"/>
  <c r="G2402" i="122" s="1"/>
  <c r="G3072" i="122" s="1"/>
  <c r="G3742" i="122" s="1"/>
  <c r="G4412" i="122" s="1"/>
  <c r="G5082" i="122" s="1"/>
  <c r="G1054" i="122"/>
  <c r="G1724" i="122" s="1"/>
  <c r="G2394" i="122" s="1"/>
  <c r="G1046" i="122"/>
  <c r="G1716" i="122" s="1"/>
  <c r="G1038" i="122"/>
  <c r="G1708" i="122" s="1"/>
  <c r="G1030" i="122"/>
  <c r="G1700" i="122" s="1"/>
  <c r="G1022" i="122"/>
  <c r="G1692" i="122" s="1"/>
  <c r="G2362" i="122" s="1"/>
  <c r="G1014" i="122"/>
  <c r="G1684" i="122" s="1"/>
  <c r="G1006" i="122"/>
  <c r="G1676" i="122" s="1"/>
  <c r="G998" i="122"/>
  <c r="G1668" i="122" s="1"/>
  <c r="G2338" i="122" s="1"/>
  <c r="G990" i="122"/>
  <c r="G1660" i="122" s="1"/>
  <c r="G2330" i="122" s="1"/>
  <c r="O1644" i="122"/>
  <c r="P1644" i="122" s="1"/>
  <c r="G2314" i="122"/>
  <c r="G2984" i="122" s="1"/>
  <c r="G3654" i="122" s="1"/>
  <c r="G4324" i="122" s="1"/>
  <c r="G4994" i="122" s="1"/>
  <c r="O2306" i="122"/>
  <c r="P2306" i="122" s="1"/>
  <c r="G2976" i="122"/>
  <c r="G3646" i="122" s="1"/>
  <c r="G4316" i="122" s="1"/>
  <c r="G4986" i="122" s="1"/>
  <c r="G1580" i="122"/>
  <c r="O910" i="122"/>
  <c r="P910" i="122" s="1"/>
  <c r="O232" i="122"/>
  <c r="P232" i="122" s="1"/>
  <c r="G902" i="122"/>
  <c r="G1572" i="122" s="1"/>
  <c r="G2242" i="122" s="1"/>
  <c r="G2912" i="122" s="1"/>
  <c r="G3582" i="122" s="1"/>
  <c r="G4252" i="122" s="1"/>
  <c r="G4922" i="122" s="1"/>
  <c r="O192" i="122"/>
  <c r="P192" i="122" s="1"/>
  <c r="G862" i="122"/>
  <c r="G1532" i="122" s="1"/>
  <c r="G2202" i="122" s="1"/>
  <c r="O128" i="122"/>
  <c r="P128" i="122" s="1"/>
  <c r="G798" i="122"/>
  <c r="G1468" i="122" s="1"/>
  <c r="H641" i="122"/>
  <c r="N641" i="122" s="1"/>
  <c r="F1311" i="122"/>
  <c r="G1332" i="122"/>
  <c r="G2002" i="122" s="1"/>
  <c r="G2672" i="122" s="1"/>
  <c r="G3342" i="122" s="1"/>
  <c r="G4012" i="122" s="1"/>
  <c r="G4682" i="122" s="1"/>
  <c r="G5352" i="122" s="1"/>
  <c r="G1292" i="122"/>
  <c r="G1962" i="122" s="1"/>
  <c r="G2632" i="122" s="1"/>
  <c r="G3302" i="122" s="1"/>
  <c r="G3972" i="122" s="1"/>
  <c r="G4642" i="122" s="1"/>
  <c r="G5312" i="122" s="1"/>
  <c r="G1252" i="122"/>
  <c r="G1922" i="122" s="1"/>
  <c r="G2592" i="122" s="1"/>
  <c r="G3262" i="122" s="1"/>
  <c r="G3932" i="122" s="1"/>
  <c r="G4602" i="122" s="1"/>
  <c r="G5272" i="122" s="1"/>
  <c r="G1212" i="122"/>
  <c r="G1882" i="122" s="1"/>
  <c r="G2552" i="122" s="1"/>
  <c r="G3222" i="122" s="1"/>
  <c r="G3892" i="122" s="1"/>
  <c r="G4562" i="122" s="1"/>
  <c r="G5232" i="122" s="1"/>
  <c r="G1172" i="122"/>
  <c r="G1842" i="122" s="1"/>
  <c r="G2512" i="122" s="1"/>
  <c r="G3182" i="122" s="1"/>
  <c r="G3852" i="122" s="1"/>
  <c r="G4522" i="122" s="1"/>
  <c r="G5192" i="122" s="1"/>
  <c r="G1132" i="122"/>
  <c r="G1802" i="122" s="1"/>
  <c r="G2472" i="122" s="1"/>
  <c r="G3142" i="122" s="1"/>
  <c r="G3812" i="122" s="1"/>
  <c r="G4482" i="122" s="1"/>
  <c r="G5152" i="122" s="1"/>
  <c r="G1092" i="122"/>
  <c r="G1762" i="122" s="1"/>
  <c r="G2432" i="122" s="1"/>
  <c r="G3102" i="122" s="1"/>
  <c r="G3772" i="122" s="1"/>
  <c r="G4442" i="122" s="1"/>
  <c r="G5112" i="122" s="1"/>
  <c r="G1084" i="122"/>
  <c r="G1754" i="122" s="1"/>
  <c r="G2424" i="122" s="1"/>
  <c r="G3094" i="122" s="1"/>
  <c r="G3764" i="122" s="1"/>
  <c r="G4434" i="122" s="1"/>
  <c r="G5104" i="122" s="1"/>
  <c r="G1044" i="122"/>
  <c r="G1714" i="122" s="1"/>
  <c r="G1036" i="122"/>
  <c r="G1706" i="122" s="1"/>
  <c r="G2376" i="122" s="1"/>
  <c r="G1004" i="122"/>
  <c r="G1674" i="122" s="1"/>
  <c r="G988" i="122"/>
  <c r="G1658" i="122" s="1"/>
  <c r="G2974" i="122"/>
  <c r="G3644" i="122" s="1"/>
  <c r="G4314" i="122" s="1"/>
  <c r="G4984" i="122" s="1"/>
  <c r="O2304" i="122"/>
  <c r="P2304" i="122" s="1"/>
  <c r="H174" i="122"/>
  <c r="N174" i="122" s="1"/>
  <c r="G844" i="122"/>
  <c r="G1514" i="122" s="1"/>
  <c r="G2184" i="122" s="1"/>
  <c r="G820" i="122"/>
  <c r="O150" i="122"/>
  <c r="P150" i="122" s="1"/>
  <c r="F1293" i="122"/>
  <c r="F1253" i="122"/>
  <c r="F1101" i="122"/>
  <c r="F1053" i="122"/>
  <c r="G1336" i="122"/>
  <c r="G2006" i="122" s="1"/>
  <c r="G2676" i="122" s="1"/>
  <c r="G3346" i="122" s="1"/>
  <c r="G4016" i="122" s="1"/>
  <c r="G4686" i="122" s="1"/>
  <c r="G5356" i="122" s="1"/>
  <c r="G1304" i="122"/>
  <c r="G1974" i="122" s="1"/>
  <c r="G2644" i="122" s="1"/>
  <c r="G3314" i="122" s="1"/>
  <c r="G3984" i="122" s="1"/>
  <c r="G4654" i="122" s="1"/>
  <c r="G5324" i="122" s="1"/>
  <c r="G1272" i="122"/>
  <c r="G1942" i="122" s="1"/>
  <c r="G2612" i="122" s="1"/>
  <c r="G3282" i="122" s="1"/>
  <c r="G3952" i="122" s="1"/>
  <c r="G4622" i="122" s="1"/>
  <c r="G5292" i="122" s="1"/>
  <c r="G1240" i="122"/>
  <c r="G1910" i="122" s="1"/>
  <c r="G2580" i="122" s="1"/>
  <c r="G3250" i="122" s="1"/>
  <c r="G3920" i="122" s="1"/>
  <c r="G4590" i="122" s="1"/>
  <c r="G5260" i="122" s="1"/>
  <c r="G1216" i="122"/>
  <c r="G1886" i="122" s="1"/>
  <c r="G2556" i="122" s="1"/>
  <c r="G3226" i="122" s="1"/>
  <c r="G3896" i="122" s="1"/>
  <c r="G4566" i="122" s="1"/>
  <c r="G5236" i="122" s="1"/>
  <c r="G1192" i="122"/>
  <c r="G1862" i="122" s="1"/>
  <c r="G2532" i="122" s="1"/>
  <c r="G3202" i="122" s="1"/>
  <c r="G3872" i="122" s="1"/>
  <c r="G4542" i="122" s="1"/>
  <c r="G5212" i="122" s="1"/>
  <c r="G1160" i="122"/>
  <c r="G1830" i="122" s="1"/>
  <c r="G2500" i="122" s="1"/>
  <c r="G3170" i="122" s="1"/>
  <c r="G3840" i="122" s="1"/>
  <c r="G4510" i="122" s="1"/>
  <c r="G5180" i="122" s="1"/>
  <c r="G1136" i="122"/>
  <c r="G1806" i="122" s="1"/>
  <c r="G2476" i="122" s="1"/>
  <c r="G3146" i="122" s="1"/>
  <c r="G3816" i="122" s="1"/>
  <c r="G4486" i="122" s="1"/>
  <c r="G5156" i="122" s="1"/>
  <c r="G1112" i="122"/>
  <c r="G1782" i="122" s="1"/>
  <c r="G2452" i="122" s="1"/>
  <c r="G3122" i="122" s="1"/>
  <c r="G3792" i="122" s="1"/>
  <c r="G4462" i="122" s="1"/>
  <c r="G5132" i="122" s="1"/>
  <c r="G1096" i="122"/>
  <c r="G1766" i="122" s="1"/>
  <c r="G2436" i="122" s="1"/>
  <c r="G3106" i="122" s="1"/>
  <c r="G3776" i="122" s="1"/>
  <c r="G4446" i="122" s="1"/>
  <c r="G5116" i="122" s="1"/>
  <c r="G1072" i="122"/>
  <c r="G1742" i="122" s="1"/>
  <c r="G2412" i="122" s="1"/>
  <c r="G3082" i="122" s="1"/>
  <c r="G3752" i="122" s="1"/>
  <c r="G4422" i="122" s="1"/>
  <c r="G5092" i="122" s="1"/>
  <c r="G1048" i="122"/>
  <c r="G1718" i="122" s="1"/>
  <c r="G2388" i="122" s="1"/>
  <c r="G1024" i="122"/>
  <c r="G1694" i="122" s="1"/>
  <c r="G2364" i="122" s="1"/>
  <c r="G1000" i="122"/>
  <c r="G1670" i="122" s="1"/>
  <c r="G2340" i="122" s="1"/>
  <c r="G3010" i="122" s="1"/>
  <c r="G3680" i="122" s="1"/>
  <c r="G4350" i="122" s="1"/>
  <c r="G5020" i="122" s="1"/>
  <c r="G1333" i="122"/>
  <c r="G2003" i="122" s="1"/>
  <c r="G2673" i="122" s="1"/>
  <c r="G3343" i="122" s="1"/>
  <c r="G4013" i="122" s="1"/>
  <c r="G4683" i="122" s="1"/>
  <c r="G5353" i="122" s="1"/>
  <c r="G1301" i="122"/>
  <c r="G1971" i="122" s="1"/>
  <c r="G2641" i="122" s="1"/>
  <c r="G3311" i="122" s="1"/>
  <c r="G3981" i="122" s="1"/>
  <c r="G4651" i="122" s="1"/>
  <c r="G5321" i="122" s="1"/>
  <c r="G1269" i="122"/>
  <c r="G1939" i="122" s="1"/>
  <c r="G2609" i="122" s="1"/>
  <c r="G3279" i="122" s="1"/>
  <c r="G3949" i="122" s="1"/>
  <c r="G4619" i="122" s="1"/>
  <c r="G5289" i="122" s="1"/>
  <c r="G1221" i="122"/>
  <c r="G1891" i="122" s="1"/>
  <c r="G2561" i="122" s="1"/>
  <c r="G3231" i="122" s="1"/>
  <c r="G3901" i="122" s="1"/>
  <c r="G4571" i="122" s="1"/>
  <c r="G5241" i="122" s="1"/>
  <c r="G1205" i="122"/>
  <c r="G1875" i="122" s="1"/>
  <c r="G2545" i="122" s="1"/>
  <c r="G3215" i="122" s="1"/>
  <c r="G3885" i="122" s="1"/>
  <c r="G4555" i="122" s="1"/>
  <c r="G5225" i="122" s="1"/>
  <c r="G1189" i="122"/>
  <c r="G1859" i="122" s="1"/>
  <c r="G2529" i="122" s="1"/>
  <c r="G3199" i="122" s="1"/>
  <c r="G3869" i="122" s="1"/>
  <c r="G4539" i="122" s="1"/>
  <c r="G5209" i="122" s="1"/>
  <c r="G1181" i="122"/>
  <c r="G1851" i="122" s="1"/>
  <c r="G2521" i="122" s="1"/>
  <c r="G3191" i="122" s="1"/>
  <c r="G3861" i="122" s="1"/>
  <c r="G4531" i="122" s="1"/>
  <c r="G5201" i="122" s="1"/>
  <c r="G1173" i="122"/>
  <c r="G1843" i="122" s="1"/>
  <c r="G2513" i="122" s="1"/>
  <c r="G3183" i="122" s="1"/>
  <c r="G3853" i="122" s="1"/>
  <c r="G4523" i="122" s="1"/>
  <c r="G5193" i="122" s="1"/>
  <c r="G1157" i="122"/>
  <c r="G1827" i="122" s="1"/>
  <c r="G2497" i="122" s="1"/>
  <c r="G3167" i="122" s="1"/>
  <c r="G3837" i="122" s="1"/>
  <c r="G4507" i="122" s="1"/>
  <c r="G5177" i="122" s="1"/>
  <c r="G1141" i="122"/>
  <c r="G1811" i="122" s="1"/>
  <c r="G2481" i="122" s="1"/>
  <c r="G3151" i="122" s="1"/>
  <c r="G3821" i="122" s="1"/>
  <c r="G4491" i="122" s="1"/>
  <c r="G5161" i="122" s="1"/>
  <c r="G1125" i="122"/>
  <c r="G1795" i="122" s="1"/>
  <c r="G2465" i="122" s="1"/>
  <c r="G3135" i="122" s="1"/>
  <c r="G3805" i="122" s="1"/>
  <c r="G4475" i="122" s="1"/>
  <c r="G5145" i="122" s="1"/>
  <c r="G1117" i="122"/>
  <c r="G1787" i="122" s="1"/>
  <c r="G2457" i="122" s="1"/>
  <c r="G3127" i="122" s="1"/>
  <c r="G3797" i="122" s="1"/>
  <c r="G4467" i="122" s="1"/>
  <c r="G5137" i="122" s="1"/>
  <c r="G1109" i="122"/>
  <c r="G1779" i="122" s="1"/>
  <c r="G2449" i="122" s="1"/>
  <c r="G3119" i="122" s="1"/>
  <c r="G3789" i="122" s="1"/>
  <c r="G4459" i="122" s="1"/>
  <c r="G5129" i="122" s="1"/>
  <c r="G1093" i="122"/>
  <c r="G1763" i="122" s="1"/>
  <c r="G2433" i="122" s="1"/>
  <c r="G3103" i="122" s="1"/>
  <c r="G3773" i="122" s="1"/>
  <c r="G4443" i="122" s="1"/>
  <c r="G5113" i="122" s="1"/>
  <c r="G1085" i="122"/>
  <c r="G1755" i="122" s="1"/>
  <c r="G2425" i="122" s="1"/>
  <c r="G3095" i="122" s="1"/>
  <c r="G3765" i="122" s="1"/>
  <c r="G4435" i="122" s="1"/>
  <c r="G5105" i="122" s="1"/>
  <c r="G1077" i="122"/>
  <c r="G1747" i="122" s="1"/>
  <c r="G2417" i="122" s="1"/>
  <c r="G3087" i="122" s="1"/>
  <c r="G3757" i="122" s="1"/>
  <c r="G4427" i="122" s="1"/>
  <c r="G5097" i="122" s="1"/>
  <c r="G1061" i="122"/>
  <c r="G1731" i="122" s="1"/>
  <c r="G2401" i="122" s="1"/>
  <c r="G3071" i="122" s="1"/>
  <c r="G3741" i="122" s="1"/>
  <c r="G4411" i="122" s="1"/>
  <c r="G5081" i="122" s="1"/>
  <c r="G1045" i="122"/>
  <c r="G1715" i="122" s="1"/>
  <c r="G2385" i="122" s="1"/>
  <c r="G3055" i="122" s="1"/>
  <c r="G3725" i="122" s="1"/>
  <c r="G4395" i="122" s="1"/>
  <c r="G5065" i="122" s="1"/>
  <c r="G1037" i="122"/>
  <c r="G1707" i="122" s="1"/>
  <c r="G2377" i="122" s="1"/>
  <c r="G3047" i="122" s="1"/>
  <c r="G3717" i="122" s="1"/>
  <c r="G4387" i="122" s="1"/>
  <c r="G5057" i="122" s="1"/>
  <c r="G1029" i="122"/>
  <c r="G1699" i="122" s="1"/>
  <c r="G2369" i="122" s="1"/>
  <c r="G3039" i="122" s="1"/>
  <c r="G3709" i="122" s="1"/>
  <c r="G4379" i="122" s="1"/>
  <c r="G5049" i="122" s="1"/>
  <c r="G1021" i="122"/>
  <c r="G1691" i="122" s="1"/>
  <c r="G2361" i="122" s="1"/>
  <c r="G3031" i="122" s="1"/>
  <c r="G3701" i="122" s="1"/>
  <c r="G4371" i="122" s="1"/>
  <c r="G5041" i="122" s="1"/>
  <c r="G1013" i="122"/>
  <c r="G1683" i="122" s="1"/>
  <c r="G2353" i="122" s="1"/>
  <c r="G3023" i="122" s="1"/>
  <c r="G3693" i="122" s="1"/>
  <c r="G4363" i="122" s="1"/>
  <c r="G5033" i="122" s="1"/>
  <c r="G1005" i="122"/>
  <c r="G1675" i="122" s="1"/>
  <c r="G2345" i="122" s="1"/>
  <c r="G3015" i="122" s="1"/>
  <c r="G3685" i="122" s="1"/>
  <c r="G4355" i="122" s="1"/>
  <c r="G5025" i="122" s="1"/>
  <c r="G997" i="122"/>
  <c r="G1667" i="122" s="1"/>
  <c r="G2337" i="122" s="1"/>
  <c r="G3007" i="122" s="1"/>
  <c r="G3677" i="122" s="1"/>
  <c r="G4347" i="122" s="1"/>
  <c r="G5017" i="122" s="1"/>
  <c r="O223" i="122"/>
  <c r="P223" i="122" s="1"/>
  <c r="G893" i="122"/>
  <c r="G1563" i="122" s="1"/>
  <c r="G2233" i="122" s="1"/>
  <c r="G2903" i="122" s="1"/>
  <c r="G3573" i="122" s="1"/>
  <c r="G4243" i="122" s="1"/>
  <c r="G4913" i="122" s="1"/>
  <c r="G1547" i="122"/>
  <c r="G2217" i="122" s="1"/>
  <c r="G2887" i="122" s="1"/>
  <c r="G3557" i="122" s="1"/>
  <c r="G4227" i="122" s="1"/>
  <c r="G4897" i="122" s="1"/>
  <c r="O877" i="122"/>
  <c r="P877" i="122" s="1"/>
  <c r="G2863" i="122"/>
  <c r="G3533" i="122" s="1"/>
  <c r="G4203" i="122" s="1"/>
  <c r="G4873" i="122" s="1"/>
  <c r="O2193" i="122"/>
  <c r="P2193" i="122" s="1"/>
  <c r="G2855" i="122"/>
  <c r="G3525" i="122" s="1"/>
  <c r="G4195" i="122" s="1"/>
  <c r="G4865" i="122" s="1"/>
  <c r="O2185" i="122"/>
  <c r="P2185" i="122" s="1"/>
  <c r="O167" i="122"/>
  <c r="P167" i="122" s="1"/>
  <c r="G837" i="122"/>
  <c r="G805" i="122"/>
  <c r="G1475" i="122" s="1"/>
  <c r="G2145" i="122" s="1"/>
  <c r="G2815" i="122" s="1"/>
  <c r="G3485" i="122" s="1"/>
  <c r="G4155" i="122" s="1"/>
  <c r="G4825" i="122" s="1"/>
  <c r="O135" i="122"/>
  <c r="P135" i="122" s="1"/>
  <c r="G693" i="122"/>
  <c r="G1363" i="122" s="1"/>
  <c r="G2033" i="122" s="1"/>
  <c r="G2703" i="122" s="1"/>
  <c r="G3373" i="122" s="1"/>
  <c r="G4043" i="122" s="1"/>
  <c r="G4713" i="122" s="1"/>
  <c r="O23" i="122"/>
  <c r="P23" i="122" s="1"/>
  <c r="O716" i="122"/>
  <c r="P716" i="122" s="1"/>
  <c r="G2320" i="122"/>
  <c r="G2224" i="122"/>
  <c r="G2313" i="122"/>
  <c r="G2344" i="122"/>
  <c r="G2074" i="122"/>
  <c r="G2400" i="122"/>
  <c r="G2042" i="122"/>
  <c r="G2318" i="122"/>
  <c r="G2382" i="122"/>
  <c r="G2346" i="122"/>
  <c r="G2261" i="122"/>
  <c r="G2931" i="122" s="1"/>
  <c r="G3601" i="122" s="1"/>
  <c r="G4271" i="122" s="1"/>
  <c r="G4941" i="122" s="1"/>
  <c r="O1591" i="122"/>
  <c r="P1591" i="122" s="1"/>
  <c r="G2038" i="122"/>
  <c r="G2342" i="122"/>
  <c r="G2206" i="122"/>
  <c r="G3058" i="122"/>
  <c r="G2332" i="122"/>
  <c r="G2396" i="122"/>
  <c r="G2090" i="122"/>
  <c r="G2250" i="122"/>
  <c r="O1580" i="122"/>
  <c r="P1580" i="122" s="1"/>
  <c r="G2384" i="122"/>
  <c r="G2134" i="122"/>
  <c r="G2316" i="122"/>
  <c r="G2106" i="122"/>
  <c r="G2234" i="122"/>
  <c r="G2352" i="122"/>
  <c r="G2354" i="122"/>
  <c r="G2070" i="122"/>
  <c r="G2198" i="122"/>
  <c r="G2358" i="122"/>
  <c r="G2034" i="122"/>
  <c r="G2170" i="122"/>
  <c r="G2386" i="122"/>
  <c r="G2062" i="122"/>
  <c r="G2380" i="122"/>
  <c r="G2378" i="122"/>
  <c r="G2166" i="122"/>
  <c r="G2728" i="122"/>
  <c r="G3398" i="122" s="1"/>
  <c r="G4068" i="122" s="1"/>
  <c r="G4738" i="122" s="1"/>
  <c r="O2058" i="122"/>
  <c r="P2058" i="122" s="1"/>
  <c r="G2110" i="122"/>
  <c r="G2370" i="122"/>
  <c r="G2195" i="122"/>
  <c r="G2865" i="122" s="1"/>
  <c r="G3535" i="122" s="1"/>
  <c r="G4205" i="122" s="1"/>
  <c r="G4875" i="122" s="1"/>
  <c r="O1525" i="122"/>
  <c r="P1525" i="122" s="1"/>
  <c r="G2066" i="122"/>
  <c r="G3018" i="122"/>
  <c r="G2190" i="122"/>
  <c r="G2102" i="122"/>
  <c r="G2022" i="122"/>
  <c r="G2309" i="122"/>
  <c r="G2295" i="122"/>
  <c r="G2322" i="122"/>
  <c r="G2174" i="122"/>
  <c r="G2218" i="122"/>
  <c r="G2138" i="122"/>
  <c r="G2963" i="122"/>
  <c r="G2368" i="122"/>
  <c r="G2238" i="122"/>
  <c r="G2208" i="122"/>
  <c r="O1538" i="122"/>
  <c r="P1538" i="122" s="1"/>
  <c r="G2230" i="122"/>
  <c r="G2350" i="122"/>
  <c r="G2305" i="122"/>
  <c r="G2374" i="122"/>
  <c r="G2046" i="122"/>
  <c r="G2301" i="122"/>
  <c r="G2098" i="122"/>
  <c r="G2258" i="122"/>
  <c r="O1588" i="122"/>
  <c r="P1588" i="122" s="1"/>
  <c r="G3034" i="122"/>
  <c r="G2262" i="122"/>
  <c r="G2856" i="122"/>
  <c r="G3526" i="122" s="1"/>
  <c r="G4196" i="122" s="1"/>
  <c r="G4866" i="122" s="1"/>
  <c r="O2186" i="122"/>
  <c r="P2186" i="122" s="1"/>
  <c r="G2328" i="122"/>
  <c r="H107" i="122" l="1"/>
  <c r="N107" i="122" s="1"/>
  <c r="F777" i="122"/>
  <c r="H243" i="122"/>
  <c r="N243" i="122" s="1"/>
  <c r="F913" i="122"/>
  <c r="F1169" i="122"/>
  <c r="H499" i="122"/>
  <c r="N499" i="122" s="1"/>
  <c r="F1305" i="122"/>
  <c r="H635" i="122"/>
  <c r="N635" i="122" s="1"/>
  <c r="H114" i="122"/>
  <c r="N114" i="122" s="1"/>
  <c r="F784" i="122"/>
  <c r="F880" i="122"/>
  <c r="H210" i="122"/>
  <c r="N210" i="122" s="1"/>
  <c r="H274" i="122"/>
  <c r="N274" i="122" s="1"/>
  <c r="F944" i="122"/>
  <c r="F1040" i="122"/>
  <c r="H370" i="122"/>
  <c r="N370" i="122" s="1"/>
  <c r="F1200" i="122"/>
  <c r="H530" i="122"/>
  <c r="N530" i="122" s="1"/>
  <c r="F795" i="122"/>
  <c r="H125" i="122"/>
  <c r="N125" i="122" s="1"/>
  <c r="F923" i="122"/>
  <c r="H253" i="122"/>
  <c r="N253" i="122" s="1"/>
  <c r="F987" i="122"/>
  <c r="H317" i="122"/>
  <c r="N317" i="122" s="1"/>
  <c r="F1115" i="122"/>
  <c r="H445" i="122"/>
  <c r="N445" i="122" s="1"/>
  <c r="F1211" i="122"/>
  <c r="H541" i="122"/>
  <c r="N541" i="122" s="1"/>
  <c r="H605" i="122"/>
  <c r="N605" i="122" s="1"/>
  <c r="F1275" i="122"/>
  <c r="F1339" i="122"/>
  <c r="H669" i="122"/>
  <c r="N669" i="122" s="1"/>
  <c r="H14" i="122"/>
  <c r="N14" i="122" s="1"/>
  <c r="F684" i="122"/>
  <c r="H278" i="122"/>
  <c r="N278" i="122" s="1"/>
  <c r="F948" i="122"/>
  <c r="H406" i="122"/>
  <c r="N406" i="122" s="1"/>
  <c r="F1076" i="122"/>
  <c r="F1268" i="122"/>
  <c r="H598" i="122"/>
  <c r="N598" i="122" s="1"/>
  <c r="H662" i="122"/>
  <c r="N662" i="122" s="1"/>
  <c r="F1332" i="122"/>
  <c r="F686" i="122"/>
  <c r="H16" i="122"/>
  <c r="N16" i="122" s="1"/>
  <c r="F846" i="122"/>
  <c r="H176" i="122"/>
  <c r="N176" i="122" s="1"/>
  <c r="H432" i="122"/>
  <c r="N432" i="122" s="1"/>
  <c r="F1102" i="122"/>
  <c r="H527" i="122"/>
  <c r="N527" i="122" s="1"/>
  <c r="G1197" i="122"/>
  <c r="G1867" i="122" s="1"/>
  <c r="G2537" i="122" s="1"/>
  <c r="G3207" i="122" s="1"/>
  <c r="G3877" i="122" s="1"/>
  <c r="G4547" i="122" s="1"/>
  <c r="G5217" i="122" s="1"/>
  <c r="H95" i="122"/>
  <c r="N95" i="122" s="1"/>
  <c r="F765" i="122"/>
  <c r="F933" i="122"/>
  <c r="H263" i="122"/>
  <c r="N263" i="122" s="1"/>
  <c r="F1923" i="122"/>
  <c r="H1253" i="122"/>
  <c r="N1253" i="122" s="1"/>
  <c r="F703" i="122"/>
  <c r="H33" i="122"/>
  <c r="N33" i="122" s="1"/>
  <c r="H161" i="122"/>
  <c r="N161" i="122" s="1"/>
  <c r="F831" i="122"/>
  <c r="F1023" i="122"/>
  <c r="H353" i="122"/>
  <c r="N353" i="122" s="1"/>
  <c r="F1151" i="122"/>
  <c r="H481" i="122"/>
  <c r="N481" i="122" s="1"/>
  <c r="F1981" i="122"/>
  <c r="H1311" i="122"/>
  <c r="N1311" i="122" s="1"/>
  <c r="F690" i="122"/>
  <c r="H20" i="122"/>
  <c r="N20" i="122" s="1"/>
  <c r="F754" i="122"/>
  <c r="H84" i="122"/>
  <c r="N84" i="122" s="1"/>
  <c r="F818" i="122"/>
  <c r="H148" i="122"/>
  <c r="N148" i="122" s="1"/>
  <c r="F882" i="122"/>
  <c r="H212" i="122"/>
  <c r="N212" i="122" s="1"/>
  <c r="H276" i="122"/>
  <c r="N276" i="122" s="1"/>
  <c r="F946" i="122"/>
  <c r="F1010" i="122"/>
  <c r="H340" i="122"/>
  <c r="N340" i="122" s="1"/>
  <c r="F1074" i="122"/>
  <c r="H404" i="122"/>
  <c r="N404" i="122" s="1"/>
  <c r="F1106" i="122"/>
  <c r="H436" i="122"/>
  <c r="N436" i="122" s="1"/>
  <c r="F1170" i="122"/>
  <c r="H500" i="122"/>
  <c r="N500" i="122" s="1"/>
  <c r="F1234" i="122"/>
  <c r="H564" i="122"/>
  <c r="N564" i="122" s="1"/>
  <c r="F1330" i="122"/>
  <c r="H660" i="122"/>
  <c r="N660" i="122" s="1"/>
  <c r="F1482" i="122"/>
  <c r="H812" i="122"/>
  <c r="N812" i="122" s="1"/>
  <c r="H206" i="122"/>
  <c r="N206" i="122" s="1"/>
  <c r="F876" i="122"/>
  <c r="F1004" i="122"/>
  <c r="H334" i="122"/>
  <c r="N334" i="122" s="1"/>
  <c r="F1068" i="122"/>
  <c r="H398" i="122"/>
  <c r="N398" i="122" s="1"/>
  <c r="F1132" i="122"/>
  <c r="H462" i="122"/>
  <c r="N462" i="122" s="1"/>
  <c r="F1196" i="122"/>
  <c r="H526" i="122"/>
  <c r="N526" i="122" s="1"/>
  <c r="F1260" i="122"/>
  <c r="H590" i="122"/>
  <c r="N590" i="122" s="1"/>
  <c r="F1324" i="122"/>
  <c r="H654" i="122"/>
  <c r="N654" i="122" s="1"/>
  <c r="H31" i="122"/>
  <c r="N31" i="122" s="1"/>
  <c r="F701" i="122"/>
  <c r="F1045" i="122"/>
  <c r="H375" i="122"/>
  <c r="N375" i="122" s="1"/>
  <c r="H535" i="122"/>
  <c r="N535" i="122" s="1"/>
  <c r="F1205" i="122"/>
  <c r="H59" i="122"/>
  <c r="N59" i="122" s="1"/>
  <c r="F729" i="122"/>
  <c r="H123" i="122"/>
  <c r="N123" i="122" s="1"/>
  <c r="F793" i="122"/>
  <c r="H187" i="122"/>
  <c r="N187" i="122" s="1"/>
  <c r="F857" i="122"/>
  <c r="F929" i="122"/>
  <c r="H259" i="122"/>
  <c r="N259" i="122" s="1"/>
  <c r="F993" i="122"/>
  <c r="H323" i="122"/>
  <c r="N323" i="122" s="1"/>
  <c r="F1057" i="122"/>
  <c r="H387" i="122"/>
  <c r="N387" i="122" s="1"/>
  <c r="H451" i="122"/>
  <c r="N451" i="122" s="1"/>
  <c r="F1121" i="122"/>
  <c r="H515" i="122"/>
  <c r="N515" i="122" s="1"/>
  <c r="F1185" i="122"/>
  <c r="F1249" i="122"/>
  <c r="H579" i="122"/>
  <c r="N579" i="122" s="1"/>
  <c r="F1321" i="122"/>
  <c r="H651" i="122"/>
  <c r="N651" i="122" s="1"/>
  <c r="F757" i="122"/>
  <c r="H87" i="122"/>
  <c r="N87" i="122" s="1"/>
  <c r="H247" i="122"/>
  <c r="N247" i="122" s="1"/>
  <c r="F917" i="122"/>
  <c r="F1061" i="122"/>
  <c r="H391" i="122"/>
  <c r="N391" i="122" s="1"/>
  <c r="F1883" i="122"/>
  <c r="F696" i="122"/>
  <c r="H26" i="122"/>
  <c r="N26" i="122" s="1"/>
  <c r="F728" i="122"/>
  <c r="H58" i="122"/>
  <c r="N58" i="122" s="1"/>
  <c r="F760" i="122"/>
  <c r="H90" i="122"/>
  <c r="N90" i="122" s="1"/>
  <c r="H122" i="122"/>
  <c r="N122" i="122" s="1"/>
  <c r="F792" i="122"/>
  <c r="H154" i="122"/>
  <c r="N154" i="122" s="1"/>
  <c r="F824" i="122"/>
  <c r="H186" i="122"/>
  <c r="N186" i="122" s="1"/>
  <c r="F856" i="122"/>
  <c r="F888" i="122"/>
  <c r="H218" i="122"/>
  <c r="N218" i="122" s="1"/>
  <c r="F920" i="122"/>
  <c r="H250" i="122"/>
  <c r="N250" i="122" s="1"/>
  <c r="H282" i="122"/>
  <c r="N282" i="122" s="1"/>
  <c r="F952" i="122"/>
  <c r="F984" i="122"/>
  <c r="H314" i="122"/>
  <c r="N314" i="122" s="1"/>
  <c r="F1016" i="122"/>
  <c r="H346" i="122"/>
  <c r="N346" i="122" s="1"/>
  <c r="F1048" i="122"/>
  <c r="H378" i="122"/>
  <c r="N378" i="122" s="1"/>
  <c r="H410" i="122"/>
  <c r="N410" i="122" s="1"/>
  <c r="F1080" i="122"/>
  <c r="F1112" i="122"/>
  <c r="H442" i="122"/>
  <c r="N442" i="122" s="1"/>
  <c r="F1144" i="122"/>
  <c r="H474" i="122"/>
  <c r="N474" i="122" s="1"/>
  <c r="F1176" i="122"/>
  <c r="H506" i="122"/>
  <c r="N506" i="122" s="1"/>
  <c r="H538" i="122"/>
  <c r="N538" i="122" s="1"/>
  <c r="F1208" i="122"/>
  <c r="F1240" i="122"/>
  <c r="H570" i="122"/>
  <c r="N570" i="122" s="1"/>
  <c r="F1272" i="122"/>
  <c r="H602" i="122"/>
  <c r="N602" i="122" s="1"/>
  <c r="H634" i="122"/>
  <c r="N634" i="122" s="1"/>
  <c r="F1304" i="122"/>
  <c r="F1336" i="122"/>
  <c r="H666" i="122"/>
  <c r="N666" i="122" s="1"/>
  <c r="H11" i="122"/>
  <c r="N11" i="122" s="1"/>
  <c r="F681" i="122"/>
  <c r="H83" i="122"/>
  <c r="N83" i="122" s="1"/>
  <c r="F753" i="122"/>
  <c r="H147" i="122"/>
  <c r="N147" i="122" s="1"/>
  <c r="F817" i="122"/>
  <c r="H211" i="122"/>
  <c r="N211" i="122" s="1"/>
  <c r="F881" i="122"/>
  <c r="H267" i="122"/>
  <c r="N267" i="122" s="1"/>
  <c r="F937" i="122"/>
  <c r="H331" i="122"/>
  <c r="N331" i="122" s="1"/>
  <c r="F1001" i="122"/>
  <c r="H395" i="122"/>
  <c r="N395" i="122" s="1"/>
  <c r="F1065" i="122"/>
  <c r="H459" i="122"/>
  <c r="N459" i="122" s="1"/>
  <c r="F1129" i="122"/>
  <c r="H523" i="122"/>
  <c r="N523" i="122" s="1"/>
  <c r="F1193" i="122"/>
  <c r="F1257" i="122"/>
  <c r="H587" i="122"/>
  <c r="N587" i="122" s="1"/>
  <c r="F1329" i="122"/>
  <c r="H659" i="122"/>
  <c r="N659" i="122" s="1"/>
  <c r="F773" i="122"/>
  <c r="H103" i="122"/>
  <c r="N103" i="122" s="1"/>
  <c r="H255" i="122"/>
  <c r="N255" i="122" s="1"/>
  <c r="F925" i="122"/>
  <c r="F1739" i="122"/>
  <c r="H1069" i="122"/>
  <c r="N1069" i="122" s="1"/>
  <c r="F1899" i="122"/>
  <c r="H1229" i="122"/>
  <c r="N1229" i="122" s="1"/>
  <c r="H37" i="122"/>
  <c r="N37" i="122" s="1"/>
  <c r="F707" i="122"/>
  <c r="H69" i="122"/>
  <c r="N69" i="122" s="1"/>
  <c r="F739" i="122"/>
  <c r="H101" i="122"/>
  <c r="N101" i="122" s="1"/>
  <c r="F771" i="122"/>
  <c r="F803" i="122"/>
  <c r="H133" i="122"/>
  <c r="N133" i="122" s="1"/>
  <c r="F835" i="122"/>
  <c r="H165" i="122"/>
  <c r="N165" i="122" s="1"/>
  <c r="H197" i="122"/>
  <c r="N197" i="122" s="1"/>
  <c r="F867" i="122"/>
  <c r="H229" i="122"/>
  <c r="N229" i="122" s="1"/>
  <c r="F899" i="122"/>
  <c r="H261" i="122"/>
  <c r="N261" i="122" s="1"/>
  <c r="F931" i="122"/>
  <c r="H293" i="122"/>
  <c r="N293" i="122" s="1"/>
  <c r="F963" i="122"/>
  <c r="H325" i="122"/>
  <c r="N325" i="122" s="1"/>
  <c r="F995" i="122"/>
  <c r="H357" i="122"/>
  <c r="N357" i="122" s="1"/>
  <c r="F1027" i="122"/>
  <c r="H389" i="122"/>
  <c r="N389" i="122" s="1"/>
  <c r="F1059" i="122"/>
  <c r="H421" i="122"/>
  <c r="N421" i="122" s="1"/>
  <c r="F1091" i="122"/>
  <c r="H453" i="122"/>
  <c r="N453" i="122" s="1"/>
  <c r="F1123" i="122"/>
  <c r="H485" i="122"/>
  <c r="N485" i="122" s="1"/>
  <c r="F1155" i="122"/>
  <c r="H517" i="122"/>
  <c r="N517" i="122" s="1"/>
  <c r="F1187" i="122"/>
  <c r="F1219" i="122"/>
  <c r="H549" i="122"/>
  <c r="N549" i="122" s="1"/>
  <c r="F1251" i="122"/>
  <c r="H581" i="122"/>
  <c r="N581" i="122" s="1"/>
  <c r="F1283" i="122"/>
  <c r="H613" i="122"/>
  <c r="N613" i="122" s="1"/>
  <c r="G2724" i="122"/>
  <c r="G3394" i="122" s="1"/>
  <c r="G4064" i="122" s="1"/>
  <c r="G4734" i="122" s="1"/>
  <c r="O2054" i="122"/>
  <c r="P2054" i="122" s="1"/>
  <c r="G1488" i="122"/>
  <c r="O818" i="122"/>
  <c r="P818" i="122" s="1"/>
  <c r="H38" i="122"/>
  <c r="N38" i="122" s="1"/>
  <c r="F708" i="122"/>
  <c r="F772" i="122"/>
  <c r="H102" i="122"/>
  <c r="N102" i="122" s="1"/>
  <c r="F836" i="122"/>
  <c r="H166" i="122"/>
  <c r="N166" i="122" s="1"/>
  <c r="F900" i="122"/>
  <c r="H230" i="122"/>
  <c r="N230" i="122" s="1"/>
  <c r="H294" i="122"/>
  <c r="N294" i="122" s="1"/>
  <c r="F964" i="122"/>
  <c r="F1028" i="122"/>
  <c r="H358" i="122"/>
  <c r="N358" i="122" s="1"/>
  <c r="F1092" i="122"/>
  <c r="H422" i="122"/>
  <c r="N422" i="122" s="1"/>
  <c r="F1156" i="122"/>
  <c r="H486" i="122"/>
  <c r="N486" i="122" s="1"/>
  <c r="F1220" i="122"/>
  <c r="H550" i="122"/>
  <c r="N550" i="122" s="1"/>
  <c r="F1284" i="122"/>
  <c r="H614" i="122"/>
  <c r="N614" i="122" s="1"/>
  <c r="H79" i="122"/>
  <c r="N79" i="122" s="1"/>
  <c r="F749" i="122"/>
  <c r="H231" i="122"/>
  <c r="N231" i="122" s="1"/>
  <c r="F901" i="122"/>
  <c r="H407" i="122"/>
  <c r="N407" i="122" s="1"/>
  <c r="F1077" i="122"/>
  <c r="F1907" i="122"/>
  <c r="F1358" i="122"/>
  <c r="H688" i="122"/>
  <c r="N688" i="122" s="1"/>
  <c r="H434" i="122"/>
  <c r="N434" i="122" s="1"/>
  <c r="F1104" i="122"/>
  <c r="H315" i="122"/>
  <c r="N315" i="122" s="1"/>
  <c r="F985" i="122"/>
  <c r="H223" i="122"/>
  <c r="N223" i="122" s="1"/>
  <c r="F893" i="122"/>
  <c r="H93" i="122"/>
  <c r="N93" i="122" s="1"/>
  <c r="F763" i="122"/>
  <c r="H509" i="122"/>
  <c r="N509" i="122" s="1"/>
  <c r="F1179" i="122"/>
  <c r="F1029" i="122"/>
  <c r="H359" i="122"/>
  <c r="N359" i="122" s="1"/>
  <c r="F814" i="122"/>
  <c r="H144" i="122"/>
  <c r="N144" i="122" s="1"/>
  <c r="F1038" i="122"/>
  <c r="H368" i="122"/>
  <c r="N368" i="122" s="1"/>
  <c r="H463" i="122"/>
  <c r="N463" i="122" s="1"/>
  <c r="G1133" i="122"/>
  <c r="G1803" i="122" s="1"/>
  <c r="G2473" i="122" s="1"/>
  <c r="G3143" i="122" s="1"/>
  <c r="G3813" i="122" s="1"/>
  <c r="G4483" i="122" s="1"/>
  <c r="G5153" i="122" s="1"/>
  <c r="H559" i="122"/>
  <c r="N559" i="122" s="1"/>
  <c r="G1229" i="122"/>
  <c r="G1899" i="122" s="1"/>
  <c r="G2569" i="122" s="1"/>
  <c r="G3239" i="122" s="1"/>
  <c r="G3909" i="122" s="1"/>
  <c r="G4579" i="122" s="1"/>
  <c r="G5249" i="122" s="1"/>
  <c r="H655" i="122"/>
  <c r="N655" i="122" s="1"/>
  <c r="G1325" i="122"/>
  <c r="G1995" i="122" s="1"/>
  <c r="F1298" i="122"/>
  <c r="H628" i="122"/>
  <c r="N628" i="122" s="1"/>
  <c r="F694" i="122"/>
  <c r="H24" i="122"/>
  <c r="N24" i="122" s="1"/>
  <c r="F726" i="122"/>
  <c r="H56" i="122"/>
  <c r="N56" i="122" s="1"/>
  <c r="F758" i="122"/>
  <c r="H88" i="122"/>
  <c r="N88" i="122" s="1"/>
  <c r="F790" i="122"/>
  <c r="H120" i="122"/>
  <c r="N120" i="122" s="1"/>
  <c r="F822" i="122"/>
  <c r="H152" i="122"/>
  <c r="N152" i="122" s="1"/>
  <c r="F854" i="122"/>
  <c r="H184" i="122"/>
  <c r="N184" i="122" s="1"/>
  <c r="F886" i="122"/>
  <c r="H216" i="122"/>
  <c r="N216" i="122" s="1"/>
  <c r="F918" i="122"/>
  <c r="H248" i="122"/>
  <c r="N248" i="122" s="1"/>
  <c r="H280" i="122"/>
  <c r="N280" i="122" s="1"/>
  <c r="F950" i="122"/>
  <c r="F982" i="122"/>
  <c r="H312" i="122"/>
  <c r="N312" i="122" s="1"/>
  <c r="F1014" i="122"/>
  <c r="H344" i="122"/>
  <c r="N344" i="122" s="1"/>
  <c r="F1046" i="122"/>
  <c r="H376" i="122"/>
  <c r="N376" i="122" s="1"/>
  <c r="F1078" i="122"/>
  <c r="H408" i="122"/>
  <c r="N408" i="122" s="1"/>
  <c r="F1110" i="122"/>
  <c r="H440" i="122"/>
  <c r="N440" i="122" s="1"/>
  <c r="F1142" i="122"/>
  <c r="H472" i="122"/>
  <c r="N472" i="122" s="1"/>
  <c r="F1174" i="122"/>
  <c r="H504" i="122"/>
  <c r="N504" i="122" s="1"/>
  <c r="H536" i="122"/>
  <c r="N536" i="122" s="1"/>
  <c r="F1206" i="122"/>
  <c r="F1238" i="122"/>
  <c r="H568" i="122"/>
  <c r="N568" i="122" s="1"/>
  <c r="F1270" i="122"/>
  <c r="H600" i="122"/>
  <c r="N600" i="122" s="1"/>
  <c r="F1302" i="122"/>
  <c r="H632" i="122"/>
  <c r="N632" i="122" s="1"/>
  <c r="F1334" i="122"/>
  <c r="H664" i="122"/>
  <c r="N664" i="122" s="1"/>
  <c r="G1507" i="122"/>
  <c r="O837" i="122"/>
  <c r="P837" i="122" s="1"/>
  <c r="H567" i="122"/>
  <c r="N567" i="122" s="1"/>
  <c r="G1237" i="122"/>
  <c r="G1907" i="122" s="1"/>
  <c r="G2577" i="122" s="1"/>
  <c r="H143" i="122"/>
  <c r="N143" i="122" s="1"/>
  <c r="F813" i="122"/>
  <c r="F973" i="122"/>
  <c r="H303" i="122"/>
  <c r="N303" i="122" s="1"/>
  <c r="H471" i="122"/>
  <c r="N471" i="122" s="1"/>
  <c r="F1141" i="122"/>
  <c r="F1963" i="122"/>
  <c r="H1293" i="122"/>
  <c r="N1293" i="122" s="1"/>
  <c r="F711" i="122"/>
  <c r="H41" i="122"/>
  <c r="N41" i="122" s="1"/>
  <c r="H73" i="122"/>
  <c r="N73" i="122" s="1"/>
  <c r="F743" i="122"/>
  <c r="H105" i="122"/>
  <c r="N105" i="122" s="1"/>
  <c r="F775" i="122"/>
  <c r="H137" i="122"/>
  <c r="N137" i="122" s="1"/>
  <c r="F807" i="122"/>
  <c r="H169" i="122"/>
  <c r="N169" i="122" s="1"/>
  <c r="F839" i="122"/>
  <c r="H201" i="122"/>
  <c r="N201" i="122" s="1"/>
  <c r="F871" i="122"/>
  <c r="H233" i="122"/>
  <c r="N233" i="122" s="1"/>
  <c r="F903" i="122"/>
  <c r="F935" i="122"/>
  <c r="H265" i="122"/>
  <c r="N265" i="122" s="1"/>
  <c r="F967" i="122"/>
  <c r="H297" i="122"/>
  <c r="N297" i="122" s="1"/>
  <c r="F999" i="122"/>
  <c r="H329" i="122"/>
  <c r="N329" i="122" s="1"/>
  <c r="H361" i="122"/>
  <c r="N361" i="122" s="1"/>
  <c r="F1031" i="122"/>
  <c r="F1063" i="122"/>
  <c r="H393" i="122"/>
  <c r="N393" i="122" s="1"/>
  <c r="F1095" i="122"/>
  <c r="H425" i="122"/>
  <c r="N425" i="122" s="1"/>
  <c r="F1127" i="122"/>
  <c r="H457" i="122"/>
  <c r="N457" i="122" s="1"/>
  <c r="H489" i="122"/>
  <c r="N489" i="122" s="1"/>
  <c r="F1159" i="122"/>
  <c r="F1191" i="122"/>
  <c r="H521" i="122"/>
  <c r="N521" i="122" s="1"/>
  <c r="F1223" i="122"/>
  <c r="H553" i="122"/>
  <c r="N553" i="122" s="1"/>
  <c r="F1255" i="122"/>
  <c r="H585" i="122"/>
  <c r="N585" i="122" s="1"/>
  <c r="F1287" i="122"/>
  <c r="H617" i="122"/>
  <c r="N617" i="122" s="1"/>
  <c r="F1319" i="122"/>
  <c r="H649" i="122"/>
  <c r="N649" i="122" s="1"/>
  <c r="H82" i="122"/>
  <c r="N82" i="122" s="1"/>
  <c r="G2251" i="122"/>
  <c r="O1581" i="122"/>
  <c r="P1581" i="122" s="1"/>
  <c r="F698" i="122"/>
  <c r="H28" i="122"/>
  <c r="N28" i="122" s="1"/>
  <c r="F730" i="122"/>
  <c r="H60" i="122"/>
  <c r="N60" i="122" s="1"/>
  <c r="F762" i="122"/>
  <c r="H92" i="122"/>
  <c r="N92" i="122" s="1"/>
  <c r="F794" i="122"/>
  <c r="H124" i="122"/>
  <c r="N124" i="122" s="1"/>
  <c r="F826" i="122"/>
  <c r="H156" i="122"/>
  <c r="N156" i="122" s="1"/>
  <c r="F858" i="122"/>
  <c r="H188" i="122"/>
  <c r="N188" i="122" s="1"/>
  <c r="F890" i="122"/>
  <c r="H220" i="122"/>
  <c r="N220" i="122" s="1"/>
  <c r="F922" i="122"/>
  <c r="H252" i="122"/>
  <c r="N252" i="122" s="1"/>
  <c r="F954" i="122"/>
  <c r="H284" i="122"/>
  <c r="N284" i="122" s="1"/>
  <c r="F986" i="122"/>
  <c r="H316" i="122"/>
  <c r="N316" i="122" s="1"/>
  <c r="F1018" i="122"/>
  <c r="H348" i="122"/>
  <c r="N348" i="122" s="1"/>
  <c r="F1050" i="122"/>
  <c r="H380" i="122"/>
  <c r="N380" i="122" s="1"/>
  <c r="F1082" i="122"/>
  <c r="H412" i="122"/>
  <c r="N412" i="122" s="1"/>
  <c r="F1114" i="122"/>
  <c r="H444" i="122"/>
  <c r="N444" i="122" s="1"/>
  <c r="F1146" i="122"/>
  <c r="H476" i="122"/>
  <c r="N476" i="122" s="1"/>
  <c r="F1178" i="122"/>
  <c r="H508" i="122"/>
  <c r="N508" i="122" s="1"/>
  <c r="F1210" i="122"/>
  <c r="H540" i="122"/>
  <c r="N540" i="122" s="1"/>
  <c r="F1242" i="122"/>
  <c r="H572" i="122"/>
  <c r="N572" i="122" s="1"/>
  <c r="F1274" i="122"/>
  <c r="H604" i="122"/>
  <c r="N604" i="122" s="1"/>
  <c r="F1306" i="122"/>
  <c r="H636" i="122"/>
  <c r="N636" i="122" s="1"/>
  <c r="F1338" i="122"/>
  <c r="H668" i="122"/>
  <c r="N668" i="122" s="1"/>
  <c r="H30" i="122"/>
  <c r="N30" i="122" s="1"/>
  <c r="F700" i="122"/>
  <c r="H94" i="122"/>
  <c r="N94" i="122" s="1"/>
  <c r="F764" i="122"/>
  <c r="F828" i="122"/>
  <c r="H158" i="122"/>
  <c r="N158" i="122" s="1"/>
  <c r="H222" i="122"/>
  <c r="N222" i="122" s="1"/>
  <c r="F892" i="122"/>
  <c r="F956" i="122"/>
  <c r="H286" i="122"/>
  <c r="N286" i="122" s="1"/>
  <c r="F1020" i="122"/>
  <c r="H350" i="122"/>
  <c r="N350" i="122" s="1"/>
  <c r="F1084" i="122"/>
  <c r="H414" i="122"/>
  <c r="N414" i="122" s="1"/>
  <c r="F1148" i="122"/>
  <c r="H478" i="122"/>
  <c r="N478" i="122" s="1"/>
  <c r="H542" i="122"/>
  <c r="N542" i="122" s="1"/>
  <c r="F1212" i="122"/>
  <c r="H606" i="122"/>
  <c r="N606" i="122" s="1"/>
  <c r="F1276" i="122"/>
  <c r="F1340" i="122"/>
  <c r="H670" i="122"/>
  <c r="N670" i="122" s="1"/>
  <c r="F741" i="122"/>
  <c r="H71" i="122"/>
  <c r="N71" i="122" s="1"/>
  <c r="H239" i="122"/>
  <c r="N239" i="122" s="1"/>
  <c r="F909" i="122"/>
  <c r="H415" i="122"/>
  <c r="N415" i="122" s="1"/>
  <c r="F1085" i="122"/>
  <c r="F1915" i="122"/>
  <c r="G2925" i="122"/>
  <c r="G3595" i="122" s="1"/>
  <c r="G4265" i="122" s="1"/>
  <c r="G4935" i="122" s="1"/>
  <c r="O2255" i="122"/>
  <c r="P2255" i="122" s="1"/>
  <c r="G1490" i="122"/>
  <c r="G2160" i="122" s="1"/>
  <c r="G2830" i="122" s="1"/>
  <c r="G3500" i="122" s="1"/>
  <c r="O820" i="122"/>
  <c r="P820" i="122" s="1"/>
  <c r="H371" i="122"/>
  <c r="N371" i="122" s="1"/>
  <c r="F1041" i="122"/>
  <c r="F2011" i="122"/>
  <c r="H1341" i="122"/>
  <c r="N1341" i="122" s="1"/>
  <c r="H146" i="122"/>
  <c r="N146" i="122" s="1"/>
  <c r="F816" i="122"/>
  <c r="F1072" i="122"/>
  <c r="H402" i="122"/>
  <c r="N402" i="122" s="1"/>
  <c r="H67" i="122"/>
  <c r="N67" i="122" s="1"/>
  <c r="F737" i="122"/>
  <c r="F827" i="122"/>
  <c r="H157" i="122"/>
  <c r="N157" i="122" s="1"/>
  <c r="F1019" i="122"/>
  <c r="H349" i="122"/>
  <c r="N349" i="122" s="1"/>
  <c r="F1307" i="122"/>
  <c r="H637" i="122"/>
  <c r="N637" i="122" s="1"/>
  <c r="F884" i="122"/>
  <c r="H214" i="122"/>
  <c r="N214" i="122" s="1"/>
  <c r="H470" i="122"/>
  <c r="N470" i="122" s="1"/>
  <c r="F1140" i="122"/>
  <c r="H272" i="122"/>
  <c r="N272" i="122" s="1"/>
  <c r="F942" i="122"/>
  <c r="H431" i="122"/>
  <c r="N431" i="122" s="1"/>
  <c r="G1101" i="122"/>
  <c r="G1771" i="122" s="1"/>
  <c r="G2441" i="122" s="1"/>
  <c r="G3111" i="122" s="1"/>
  <c r="G3781" i="122" s="1"/>
  <c r="G4451" i="122" s="1"/>
  <c r="G5121" i="122" s="1"/>
  <c r="H495" i="122"/>
  <c r="N495" i="122" s="1"/>
  <c r="G1165" i="122"/>
  <c r="G1835" i="122" s="1"/>
  <c r="G2505" i="122" s="1"/>
  <c r="G3175" i="122" s="1"/>
  <c r="G3845" i="122" s="1"/>
  <c r="G4515" i="122" s="1"/>
  <c r="G5185" i="122" s="1"/>
  <c r="H591" i="122"/>
  <c r="N591" i="122" s="1"/>
  <c r="G1261" i="122"/>
  <c r="G1931" i="122" s="1"/>
  <c r="G2601" i="122" s="1"/>
  <c r="G3271" i="122" s="1"/>
  <c r="H623" i="122"/>
  <c r="N623" i="122" s="1"/>
  <c r="G1293" i="122"/>
  <c r="G1963" i="122" s="1"/>
  <c r="G2633" i="122" s="1"/>
  <c r="G3303" i="122" s="1"/>
  <c r="G3973" i="122" s="1"/>
  <c r="G4643" i="122" s="1"/>
  <c r="G5313" i="122" s="1"/>
  <c r="F799" i="122"/>
  <c r="H129" i="122"/>
  <c r="N129" i="122" s="1"/>
  <c r="F959" i="122"/>
  <c r="H289" i="122"/>
  <c r="N289" i="122" s="1"/>
  <c r="F1087" i="122"/>
  <c r="H417" i="122"/>
  <c r="N417" i="122" s="1"/>
  <c r="F1215" i="122"/>
  <c r="H545" i="122"/>
  <c r="N545" i="122" s="1"/>
  <c r="H50" i="122"/>
  <c r="N50" i="122" s="1"/>
  <c r="G1566" i="122"/>
  <c r="G2236" i="122" s="1"/>
  <c r="G2906" i="122" s="1"/>
  <c r="G3576" i="122" s="1"/>
  <c r="G4246" i="122" s="1"/>
  <c r="G4916" i="122" s="1"/>
  <c r="O896" i="122"/>
  <c r="P896" i="122" s="1"/>
  <c r="F1202" i="122"/>
  <c r="H532" i="122"/>
  <c r="N532" i="122" s="1"/>
  <c r="G1506" i="122"/>
  <c r="O836" i="122"/>
  <c r="P836" i="122" s="1"/>
  <c r="H19" i="122"/>
  <c r="N19" i="122" s="1"/>
  <c r="F689" i="122"/>
  <c r="H75" i="122"/>
  <c r="N75" i="122" s="1"/>
  <c r="F745" i="122"/>
  <c r="H139" i="122"/>
  <c r="N139" i="122" s="1"/>
  <c r="F809" i="122"/>
  <c r="F873" i="122"/>
  <c r="H203" i="122"/>
  <c r="N203" i="122" s="1"/>
  <c r="H275" i="122"/>
  <c r="N275" i="122" s="1"/>
  <c r="F945" i="122"/>
  <c r="H339" i="122"/>
  <c r="N339" i="122" s="1"/>
  <c r="F1009" i="122"/>
  <c r="H403" i="122"/>
  <c r="N403" i="122" s="1"/>
  <c r="F1073" i="122"/>
  <c r="H467" i="122"/>
  <c r="N467" i="122" s="1"/>
  <c r="F1137" i="122"/>
  <c r="H531" i="122"/>
  <c r="N531" i="122" s="1"/>
  <c r="F1201" i="122"/>
  <c r="F1265" i="122"/>
  <c r="H595" i="122"/>
  <c r="N595" i="122" s="1"/>
  <c r="F1337" i="122"/>
  <c r="H667" i="122"/>
  <c r="N667" i="122" s="1"/>
  <c r="H127" i="122"/>
  <c r="N127" i="122" s="1"/>
  <c r="F797" i="122"/>
  <c r="F965" i="122"/>
  <c r="H295" i="122"/>
  <c r="N295" i="122" s="1"/>
  <c r="F1093" i="122"/>
  <c r="H423" i="122"/>
  <c r="N423" i="122" s="1"/>
  <c r="F1269" i="122"/>
  <c r="H599" i="122"/>
  <c r="N599" i="122" s="1"/>
  <c r="F704" i="122"/>
  <c r="H34" i="122"/>
  <c r="N34" i="122" s="1"/>
  <c r="F736" i="122"/>
  <c r="H66" i="122"/>
  <c r="N66" i="122" s="1"/>
  <c r="H98" i="122"/>
  <c r="N98" i="122" s="1"/>
  <c r="F768" i="122"/>
  <c r="H130" i="122"/>
  <c r="N130" i="122" s="1"/>
  <c r="F800" i="122"/>
  <c r="H162" i="122"/>
  <c r="N162" i="122" s="1"/>
  <c r="F832" i="122"/>
  <c r="H194" i="122"/>
  <c r="N194" i="122" s="1"/>
  <c r="F864" i="122"/>
  <c r="F896" i="122"/>
  <c r="H226" i="122"/>
  <c r="N226" i="122" s="1"/>
  <c r="H258" i="122"/>
  <c r="N258" i="122" s="1"/>
  <c r="F928" i="122"/>
  <c r="H290" i="122"/>
  <c r="N290" i="122" s="1"/>
  <c r="F960" i="122"/>
  <c r="F992" i="122"/>
  <c r="H322" i="122"/>
  <c r="N322" i="122" s="1"/>
  <c r="F1024" i="122"/>
  <c r="H354" i="122"/>
  <c r="N354" i="122" s="1"/>
  <c r="F1056" i="122"/>
  <c r="H386" i="122"/>
  <c r="N386" i="122" s="1"/>
  <c r="F1088" i="122"/>
  <c r="H418" i="122"/>
  <c r="N418" i="122" s="1"/>
  <c r="F1120" i="122"/>
  <c r="H450" i="122"/>
  <c r="N450" i="122" s="1"/>
  <c r="H482" i="122"/>
  <c r="N482" i="122" s="1"/>
  <c r="F1152" i="122"/>
  <c r="F1184" i="122"/>
  <c r="H514" i="122"/>
  <c r="N514" i="122" s="1"/>
  <c r="H546" i="122"/>
  <c r="N546" i="122" s="1"/>
  <c r="F1216" i="122"/>
  <c r="F1248" i="122"/>
  <c r="H578" i="122"/>
  <c r="N578" i="122" s="1"/>
  <c r="F1280" i="122"/>
  <c r="H610" i="122"/>
  <c r="N610" i="122" s="1"/>
  <c r="H642" i="122"/>
  <c r="F1344" i="122"/>
  <c r="H674" i="122"/>
  <c r="N674" i="122" s="1"/>
  <c r="H27" i="122"/>
  <c r="N27" i="122" s="1"/>
  <c r="F697" i="122"/>
  <c r="H99" i="122"/>
  <c r="N99" i="122" s="1"/>
  <c r="F769" i="122"/>
  <c r="H155" i="122"/>
  <c r="N155" i="122" s="1"/>
  <c r="F825" i="122"/>
  <c r="F889" i="122"/>
  <c r="H219" i="122"/>
  <c r="N219" i="122" s="1"/>
  <c r="F953" i="122"/>
  <c r="H283" i="122"/>
  <c r="N283" i="122" s="1"/>
  <c r="H347" i="122"/>
  <c r="N347" i="122" s="1"/>
  <c r="F1017" i="122"/>
  <c r="H411" i="122"/>
  <c r="N411" i="122" s="1"/>
  <c r="F1081" i="122"/>
  <c r="H475" i="122"/>
  <c r="N475" i="122" s="1"/>
  <c r="F1145" i="122"/>
  <c r="H539" i="122"/>
  <c r="N539" i="122" s="1"/>
  <c r="F1209" i="122"/>
  <c r="H611" i="122"/>
  <c r="N611" i="122" s="1"/>
  <c r="F1281" i="122"/>
  <c r="H10" i="122"/>
  <c r="F680" i="122"/>
  <c r="F675" i="122"/>
  <c r="F805" i="122"/>
  <c r="H135" i="122"/>
  <c r="N135" i="122" s="1"/>
  <c r="F957" i="122"/>
  <c r="H287" i="122"/>
  <c r="N287" i="122" s="1"/>
  <c r="F1109" i="122"/>
  <c r="H439" i="122"/>
  <c r="N439" i="122" s="1"/>
  <c r="F1931" i="122"/>
  <c r="F683" i="122"/>
  <c r="H13" i="122"/>
  <c r="N13" i="122" s="1"/>
  <c r="F715" i="122"/>
  <c r="H45" i="122"/>
  <c r="N45" i="122" s="1"/>
  <c r="H77" i="122"/>
  <c r="N77" i="122" s="1"/>
  <c r="F747" i="122"/>
  <c r="F779" i="122"/>
  <c r="H109" i="122"/>
  <c r="N109" i="122" s="1"/>
  <c r="H141" i="122"/>
  <c r="N141" i="122" s="1"/>
  <c r="F811" i="122"/>
  <c r="F843" i="122"/>
  <c r="H173" i="122"/>
  <c r="N173" i="122" s="1"/>
  <c r="F875" i="122"/>
  <c r="H205" i="122"/>
  <c r="N205" i="122" s="1"/>
  <c r="F907" i="122"/>
  <c r="H237" i="122"/>
  <c r="N237" i="122" s="1"/>
  <c r="H269" i="122"/>
  <c r="N269" i="122" s="1"/>
  <c r="F939" i="122"/>
  <c r="H301" i="122"/>
  <c r="N301" i="122" s="1"/>
  <c r="F971" i="122"/>
  <c r="F1003" i="122"/>
  <c r="H333" i="122"/>
  <c r="N333" i="122" s="1"/>
  <c r="F1035" i="122"/>
  <c r="H365" i="122"/>
  <c r="N365" i="122" s="1"/>
  <c r="H397" i="122"/>
  <c r="N397" i="122" s="1"/>
  <c r="F1067" i="122"/>
  <c r="H429" i="122"/>
  <c r="N429" i="122" s="1"/>
  <c r="F1099" i="122"/>
  <c r="H461" i="122"/>
  <c r="N461" i="122" s="1"/>
  <c r="F1131" i="122"/>
  <c r="H493" i="122"/>
  <c r="N493" i="122" s="1"/>
  <c r="F1163" i="122"/>
  <c r="F1195" i="122"/>
  <c r="H525" i="122"/>
  <c r="N525" i="122" s="1"/>
  <c r="F1227" i="122"/>
  <c r="H557" i="122"/>
  <c r="N557" i="122" s="1"/>
  <c r="F1259" i="122"/>
  <c r="H589" i="122"/>
  <c r="N589" i="122" s="1"/>
  <c r="F1291" i="122"/>
  <c r="H621" i="122"/>
  <c r="N621" i="122" s="1"/>
  <c r="H653" i="122"/>
  <c r="N653" i="122" s="1"/>
  <c r="F1323" i="122"/>
  <c r="H54" i="122"/>
  <c r="N54" i="122" s="1"/>
  <c r="F724" i="122"/>
  <c r="F788" i="122"/>
  <c r="H118" i="122"/>
  <c r="N118" i="122" s="1"/>
  <c r="F852" i="122"/>
  <c r="H182" i="122"/>
  <c r="N182" i="122" s="1"/>
  <c r="F916" i="122"/>
  <c r="H246" i="122"/>
  <c r="N246" i="122" s="1"/>
  <c r="F980" i="122"/>
  <c r="H310" i="122"/>
  <c r="N310" i="122" s="1"/>
  <c r="F1044" i="122"/>
  <c r="H374" i="122"/>
  <c r="N374" i="122" s="1"/>
  <c r="F1108" i="122"/>
  <c r="H438" i="122"/>
  <c r="N438" i="122" s="1"/>
  <c r="H502" i="122"/>
  <c r="N502" i="122" s="1"/>
  <c r="F1172" i="122"/>
  <c r="H566" i="122"/>
  <c r="N566" i="122" s="1"/>
  <c r="F1236" i="122"/>
  <c r="H630" i="122"/>
  <c r="N630" i="122" s="1"/>
  <c r="F1300" i="122"/>
  <c r="H111" i="122"/>
  <c r="N111" i="122" s="1"/>
  <c r="F781" i="122"/>
  <c r="H271" i="122"/>
  <c r="N271" i="122" s="1"/>
  <c r="F941" i="122"/>
  <c r="F1117" i="122"/>
  <c r="H447" i="122"/>
  <c r="N447" i="122" s="1"/>
  <c r="F1947" i="122"/>
  <c r="H1277" i="122"/>
  <c r="N1277" i="122" s="1"/>
  <c r="F1105" i="122"/>
  <c r="H435" i="122"/>
  <c r="N435" i="122" s="1"/>
  <c r="F1021" i="122"/>
  <c r="H351" i="122"/>
  <c r="N351" i="122" s="1"/>
  <c r="F1390" i="122"/>
  <c r="H720" i="122"/>
  <c r="N720" i="122" s="1"/>
  <c r="F976" i="122"/>
  <c r="H306" i="122"/>
  <c r="N306" i="122" s="1"/>
  <c r="F1232" i="122"/>
  <c r="H562" i="122"/>
  <c r="N562" i="122" s="1"/>
  <c r="F865" i="122"/>
  <c r="H195" i="122"/>
  <c r="N195" i="122" s="1"/>
  <c r="H443" i="122"/>
  <c r="N443" i="122" s="1"/>
  <c r="F1113" i="122"/>
  <c r="F1313" i="122"/>
  <c r="H643" i="122"/>
  <c r="H189" i="122"/>
  <c r="N189" i="122" s="1"/>
  <c r="F859" i="122"/>
  <c r="F1083" i="122"/>
  <c r="H413" i="122"/>
  <c r="N413" i="122" s="1"/>
  <c r="F820" i="122"/>
  <c r="H150" i="122"/>
  <c r="N150" i="122" s="1"/>
  <c r="F782" i="122"/>
  <c r="H112" i="122"/>
  <c r="N112" i="122" s="1"/>
  <c r="F878" i="122"/>
  <c r="H208" i="122"/>
  <c r="N208" i="122" s="1"/>
  <c r="F1006" i="122"/>
  <c r="H336" i="122"/>
  <c r="N336" i="122" s="1"/>
  <c r="F1070" i="122"/>
  <c r="H400" i="122"/>
  <c r="N400" i="122" s="1"/>
  <c r="F1166" i="122"/>
  <c r="H496" i="122"/>
  <c r="N496" i="122" s="1"/>
  <c r="H528" i="122"/>
  <c r="N528" i="122" s="1"/>
  <c r="F1198" i="122"/>
  <c r="F1230" i="122"/>
  <c r="H560" i="122"/>
  <c r="N560" i="122" s="1"/>
  <c r="F1294" i="122"/>
  <c r="H624" i="122"/>
  <c r="N624" i="122" s="1"/>
  <c r="F1326" i="122"/>
  <c r="H656" i="122"/>
  <c r="N656" i="122" s="1"/>
  <c r="H399" i="122"/>
  <c r="N399" i="122" s="1"/>
  <c r="G1069" i="122"/>
  <c r="G1739" i="122" s="1"/>
  <c r="G2409" i="122" s="1"/>
  <c r="G3079" i="122" s="1"/>
  <c r="G3749" i="122" s="1"/>
  <c r="G4419" i="122" s="1"/>
  <c r="G5089" i="122" s="1"/>
  <c r="G2854" i="122"/>
  <c r="G3524" i="122" s="1"/>
  <c r="G4194" i="122" s="1"/>
  <c r="G4864" i="122" s="1"/>
  <c r="O2184" i="122"/>
  <c r="P2184" i="122" s="1"/>
  <c r="H65" i="122"/>
  <c r="N65" i="122" s="1"/>
  <c r="F735" i="122"/>
  <c r="H193" i="122"/>
  <c r="N193" i="122" s="1"/>
  <c r="F863" i="122"/>
  <c r="F991" i="122"/>
  <c r="H321" i="122"/>
  <c r="N321" i="122" s="1"/>
  <c r="H449" i="122"/>
  <c r="N449" i="122" s="1"/>
  <c r="F1119" i="122"/>
  <c r="H609" i="122"/>
  <c r="N609" i="122" s="1"/>
  <c r="F1279" i="122"/>
  <c r="F1266" i="122"/>
  <c r="H596" i="122"/>
  <c r="N596" i="122" s="1"/>
  <c r="F702" i="122"/>
  <c r="H32" i="122"/>
  <c r="N32" i="122" s="1"/>
  <c r="F734" i="122"/>
  <c r="H64" i="122"/>
  <c r="N64" i="122" s="1"/>
  <c r="F766" i="122"/>
  <c r="H96" i="122"/>
  <c r="N96" i="122" s="1"/>
  <c r="F798" i="122"/>
  <c r="H128" i="122"/>
  <c r="N128" i="122" s="1"/>
  <c r="F830" i="122"/>
  <c r="H160" i="122"/>
  <c r="N160" i="122" s="1"/>
  <c r="F862" i="122"/>
  <c r="H192" i="122"/>
  <c r="N192" i="122" s="1"/>
  <c r="F894" i="122"/>
  <c r="H224" i="122"/>
  <c r="N224" i="122" s="1"/>
  <c r="H256" i="122"/>
  <c r="N256" i="122" s="1"/>
  <c r="F926" i="122"/>
  <c r="H288" i="122"/>
  <c r="N288" i="122" s="1"/>
  <c r="F958" i="122"/>
  <c r="F990" i="122"/>
  <c r="H320" i="122"/>
  <c r="N320" i="122" s="1"/>
  <c r="F1022" i="122"/>
  <c r="H352" i="122"/>
  <c r="N352" i="122" s="1"/>
  <c r="F1054" i="122"/>
  <c r="H384" i="122"/>
  <c r="N384" i="122" s="1"/>
  <c r="H416" i="122"/>
  <c r="N416" i="122" s="1"/>
  <c r="F1086" i="122"/>
  <c r="F1118" i="122"/>
  <c r="H448" i="122"/>
  <c r="N448" i="122" s="1"/>
  <c r="F1150" i="122"/>
  <c r="H480" i="122"/>
  <c r="N480" i="122" s="1"/>
  <c r="F1182" i="122"/>
  <c r="H512" i="122"/>
  <c r="N512" i="122" s="1"/>
  <c r="H544" i="122"/>
  <c r="N544" i="122" s="1"/>
  <c r="F1214" i="122"/>
  <c r="F1246" i="122"/>
  <c r="H576" i="122"/>
  <c r="N576" i="122" s="1"/>
  <c r="F1278" i="122"/>
  <c r="H608" i="122"/>
  <c r="N608" i="122" s="1"/>
  <c r="F1310" i="122"/>
  <c r="H640" i="122"/>
  <c r="N640" i="122" s="1"/>
  <c r="H672" i="122"/>
  <c r="N672" i="122" s="1"/>
  <c r="F1342" i="122"/>
  <c r="H319" i="122"/>
  <c r="N319" i="122" s="1"/>
  <c r="G989" i="122"/>
  <c r="G1659" i="122" s="1"/>
  <c r="G2329" i="122" s="1"/>
  <c r="G2999" i="122" s="1"/>
  <c r="G3669" i="122" s="1"/>
  <c r="G4339" i="122" s="1"/>
  <c r="G5009" i="122" s="1"/>
  <c r="H383" i="122"/>
  <c r="N383" i="122" s="1"/>
  <c r="G1053" i="122"/>
  <c r="G1723" i="122" s="1"/>
  <c r="G2393" i="122" s="1"/>
  <c r="G3063" i="122" s="1"/>
  <c r="G3733" i="122" s="1"/>
  <c r="G4403" i="122" s="1"/>
  <c r="G5073" i="122" s="1"/>
  <c r="H479" i="122"/>
  <c r="N479" i="122" s="1"/>
  <c r="G1149" i="122"/>
  <c r="G1819" i="122" s="1"/>
  <c r="G2489" i="122" s="1"/>
  <c r="G3159" i="122" s="1"/>
  <c r="G3829" i="122" s="1"/>
  <c r="G4499" i="122" s="1"/>
  <c r="G5169" i="122" s="1"/>
  <c r="H543" i="122"/>
  <c r="N543" i="122" s="1"/>
  <c r="G1213" i="122"/>
  <c r="G1883" i="122" s="1"/>
  <c r="G2553" i="122" s="1"/>
  <c r="G3223" i="122" s="1"/>
  <c r="G3893" i="122" s="1"/>
  <c r="G4563" i="122" s="1"/>
  <c r="G5233" i="122" s="1"/>
  <c r="H575" i="122"/>
  <c r="N575" i="122" s="1"/>
  <c r="G1245" i="122"/>
  <c r="G1915" i="122" s="1"/>
  <c r="G2585" i="122" s="1"/>
  <c r="G3255" i="122" s="1"/>
  <c r="G3925" i="122" s="1"/>
  <c r="G4595" i="122" s="1"/>
  <c r="G5265" i="122" s="1"/>
  <c r="H607" i="122"/>
  <c r="N607" i="122" s="1"/>
  <c r="G1277" i="122"/>
  <c r="G1947" i="122" s="1"/>
  <c r="G2617" i="122" s="1"/>
  <c r="G3287" i="122" s="1"/>
  <c r="G3957" i="122" s="1"/>
  <c r="G4627" i="122" s="1"/>
  <c r="G5297" i="122" s="1"/>
  <c r="H639" i="122"/>
  <c r="N639" i="122" s="1"/>
  <c r="G1309" i="122"/>
  <c r="G1979" i="122" s="1"/>
  <c r="G2649" i="122" s="1"/>
  <c r="G3319" i="122" s="1"/>
  <c r="G3989" i="122" s="1"/>
  <c r="G4659" i="122" s="1"/>
  <c r="G5329" i="122" s="1"/>
  <c r="H671" i="122"/>
  <c r="N671" i="122" s="1"/>
  <c r="G1341" i="122"/>
  <c r="G2011" i="122" s="1"/>
  <c r="H23" i="122"/>
  <c r="N23" i="122" s="1"/>
  <c r="F693" i="122"/>
  <c r="H175" i="122"/>
  <c r="N175" i="122" s="1"/>
  <c r="F845" i="122"/>
  <c r="F1013" i="122"/>
  <c r="H343" i="122"/>
  <c r="N343" i="122" s="1"/>
  <c r="F1181" i="122"/>
  <c r="H511" i="122"/>
  <c r="N511" i="122" s="1"/>
  <c r="F1333" i="122"/>
  <c r="H663" i="122"/>
  <c r="N663" i="122" s="1"/>
  <c r="F687" i="122"/>
  <c r="H17" i="122"/>
  <c r="N17" i="122" s="1"/>
  <c r="F719" i="122"/>
  <c r="H49" i="122"/>
  <c r="N49" i="122" s="1"/>
  <c r="F751" i="122"/>
  <c r="H81" i="122"/>
  <c r="N81" i="122" s="1"/>
  <c r="F783" i="122"/>
  <c r="H113" i="122"/>
  <c r="N113" i="122" s="1"/>
  <c r="F815" i="122"/>
  <c r="H145" i="122"/>
  <c r="N145" i="122" s="1"/>
  <c r="H177" i="122"/>
  <c r="N177" i="122" s="1"/>
  <c r="F847" i="122"/>
  <c r="F879" i="122"/>
  <c r="H209" i="122"/>
  <c r="N209" i="122" s="1"/>
  <c r="F911" i="122"/>
  <c r="H241" i="122"/>
  <c r="N241" i="122" s="1"/>
  <c r="H273" i="122"/>
  <c r="N273" i="122" s="1"/>
  <c r="F943" i="122"/>
  <c r="F975" i="122"/>
  <c r="H305" i="122"/>
  <c r="N305" i="122" s="1"/>
  <c r="F1007" i="122"/>
  <c r="H337" i="122"/>
  <c r="N337" i="122" s="1"/>
  <c r="F1039" i="122"/>
  <c r="H369" i="122"/>
  <c r="N369" i="122" s="1"/>
  <c r="H401" i="122"/>
  <c r="N401" i="122" s="1"/>
  <c r="F1071" i="122"/>
  <c r="H433" i="122"/>
  <c r="N433" i="122" s="1"/>
  <c r="F1103" i="122"/>
  <c r="H465" i="122"/>
  <c r="N465" i="122" s="1"/>
  <c r="F1135" i="122"/>
  <c r="H497" i="122"/>
  <c r="N497" i="122" s="1"/>
  <c r="F1167" i="122"/>
  <c r="H529" i="122"/>
  <c r="N529" i="122" s="1"/>
  <c r="F1199" i="122"/>
  <c r="H561" i="122"/>
  <c r="N561" i="122" s="1"/>
  <c r="F1231" i="122"/>
  <c r="F1263" i="122"/>
  <c r="H593" i="122"/>
  <c r="N593" i="122" s="1"/>
  <c r="F1295" i="122"/>
  <c r="H625" i="122"/>
  <c r="N625" i="122" s="1"/>
  <c r="F1327" i="122"/>
  <c r="H657" i="122"/>
  <c r="N657" i="122" s="1"/>
  <c r="O840" i="122"/>
  <c r="P840" i="122" s="1"/>
  <c r="G1510" i="122"/>
  <c r="G2180" i="122" s="1"/>
  <c r="G2850" i="122" s="1"/>
  <c r="G3520" i="122" s="1"/>
  <c r="G4190" i="122" s="1"/>
  <c r="G4860" i="122" s="1"/>
  <c r="F706" i="122"/>
  <c r="H36" i="122"/>
  <c r="N36" i="122" s="1"/>
  <c r="F738" i="122"/>
  <c r="H68" i="122"/>
  <c r="N68" i="122" s="1"/>
  <c r="F770" i="122"/>
  <c r="H100" i="122"/>
  <c r="N100" i="122" s="1"/>
  <c r="F802" i="122"/>
  <c r="H132" i="122"/>
  <c r="N132" i="122" s="1"/>
  <c r="F834" i="122"/>
  <c r="H164" i="122"/>
  <c r="N164" i="122" s="1"/>
  <c r="F866" i="122"/>
  <c r="H196" i="122"/>
  <c r="N196" i="122" s="1"/>
  <c r="F898" i="122"/>
  <c r="H228" i="122"/>
  <c r="N228" i="122" s="1"/>
  <c r="H260" i="122"/>
  <c r="N260" i="122" s="1"/>
  <c r="F930" i="122"/>
  <c r="F962" i="122"/>
  <c r="H292" i="122"/>
  <c r="N292" i="122" s="1"/>
  <c r="F994" i="122"/>
  <c r="H324" i="122"/>
  <c r="N324" i="122" s="1"/>
  <c r="F1026" i="122"/>
  <c r="H356" i="122"/>
  <c r="N356" i="122" s="1"/>
  <c r="F1058" i="122"/>
  <c r="H388" i="122"/>
  <c r="N388" i="122" s="1"/>
  <c r="H420" i="122"/>
  <c r="N420" i="122" s="1"/>
  <c r="F1090" i="122"/>
  <c r="H452" i="122"/>
  <c r="N452" i="122" s="1"/>
  <c r="F1122" i="122"/>
  <c r="H484" i="122"/>
  <c r="N484" i="122" s="1"/>
  <c r="F1154" i="122"/>
  <c r="H516" i="122"/>
  <c r="N516" i="122" s="1"/>
  <c r="F1186" i="122"/>
  <c r="H548" i="122"/>
  <c r="N548" i="122" s="1"/>
  <c r="F1218" i="122"/>
  <c r="H580" i="122"/>
  <c r="N580" i="122" s="1"/>
  <c r="F1250" i="122"/>
  <c r="H612" i="122"/>
  <c r="N612" i="122" s="1"/>
  <c r="F1282" i="122"/>
  <c r="H644" i="122"/>
  <c r="H46" i="122"/>
  <c r="N46" i="122" s="1"/>
  <c r="F716" i="122"/>
  <c r="F780" i="122"/>
  <c r="H110" i="122"/>
  <c r="N110" i="122" s="1"/>
  <c r="F1514" i="122"/>
  <c r="H844" i="122"/>
  <c r="N844" i="122" s="1"/>
  <c r="H908" i="122"/>
  <c r="N908" i="122" s="1"/>
  <c r="F1578" i="122"/>
  <c r="F972" i="122"/>
  <c r="H302" i="122"/>
  <c r="N302" i="122" s="1"/>
  <c r="F1036" i="122"/>
  <c r="H366" i="122"/>
  <c r="N366" i="122" s="1"/>
  <c r="F1100" i="122"/>
  <c r="H430" i="122"/>
  <c r="N430" i="122" s="1"/>
  <c r="F1164" i="122"/>
  <c r="H494" i="122"/>
  <c r="N494" i="122" s="1"/>
  <c r="F1228" i="122"/>
  <c r="H558" i="122"/>
  <c r="N558" i="122" s="1"/>
  <c r="F1292" i="122"/>
  <c r="H622" i="122"/>
  <c r="N622" i="122" s="1"/>
  <c r="H119" i="122"/>
  <c r="N119" i="122" s="1"/>
  <c r="F789" i="122"/>
  <c r="F949" i="122"/>
  <c r="H279" i="122"/>
  <c r="N279" i="122" s="1"/>
  <c r="F1125" i="122"/>
  <c r="H455" i="122"/>
  <c r="N455" i="122" s="1"/>
  <c r="F1955" i="122"/>
  <c r="H1285" i="122"/>
  <c r="N1285" i="122" s="1"/>
  <c r="O738" i="122"/>
  <c r="P738" i="122" s="1"/>
  <c r="G1408" i="122"/>
  <c r="G2078" i="122" s="1"/>
  <c r="H238" i="122"/>
  <c r="N238" i="122" s="1"/>
  <c r="F721" i="122"/>
  <c r="H51" i="122"/>
  <c r="N51" i="122" s="1"/>
  <c r="H179" i="122"/>
  <c r="N179" i="122" s="1"/>
  <c r="F849" i="122"/>
  <c r="F977" i="122"/>
  <c r="H307" i="122"/>
  <c r="N307" i="122" s="1"/>
  <c r="F1233" i="122"/>
  <c r="H563" i="122"/>
  <c r="N563" i="122" s="1"/>
  <c r="H47" i="122"/>
  <c r="N47" i="122" s="1"/>
  <c r="F717" i="122"/>
  <c r="H207" i="122"/>
  <c r="N207" i="122" s="1"/>
  <c r="F877" i="122"/>
  <c r="F1173" i="122"/>
  <c r="H503" i="122"/>
  <c r="N503" i="122" s="1"/>
  <c r="F1422" i="122"/>
  <c r="H752" i="122"/>
  <c r="N752" i="122" s="1"/>
  <c r="F848" i="122"/>
  <c r="H178" i="122"/>
  <c r="N178" i="122" s="1"/>
  <c r="F912" i="122"/>
  <c r="H242" i="122"/>
  <c r="N242" i="122" s="1"/>
  <c r="F1008" i="122"/>
  <c r="H338" i="122"/>
  <c r="N338" i="122" s="1"/>
  <c r="F1136" i="122"/>
  <c r="H466" i="122"/>
  <c r="N466" i="122" s="1"/>
  <c r="F1168" i="122"/>
  <c r="H498" i="122"/>
  <c r="N498" i="122" s="1"/>
  <c r="H594" i="122"/>
  <c r="N594" i="122" s="1"/>
  <c r="F1264" i="122"/>
  <c r="F1296" i="122"/>
  <c r="H626" i="122"/>
  <c r="N626" i="122" s="1"/>
  <c r="H658" i="122"/>
  <c r="N658" i="122" s="1"/>
  <c r="F1328" i="122"/>
  <c r="H131" i="122"/>
  <c r="N131" i="122" s="1"/>
  <c r="F801" i="122"/>
  <c r="H251" i="122"/>
  <c r="N251" i="122" s="1"/>
  <c r="F921" i="122"/>
  <c r="H379" i="122"/>
  <c r="N379" i="122" s="1"/>
  <c r="F1049" i="122"/>
  <c r="F1177" i="122"/>
  <c r="H507" i="122"/>
  <c r="N507" i="122" s="1"/>
  <c r="F1241" i="122"/>
  <c r="H571" i="122"/>
  <c r="N571" i="122" s="1"/>
  <c r="H63" i="122"/>
  <c r="N63" i="122" s="1"/>
  <c r="F733" i="122"/>
  <c r="F1189" i="122"/>
  <c r="H519" i="122"/>
  <c r="N519" i="122" s="1"/>
  <c r="F699" i="122"/>
  <c r="H29" i="122"/>
  <c r="N29" i="122" s="1"/>
  <c r="F891" i="122"/>
  <c r="H221" i="122"/>
  <c r="N221" i="122" s="1"/>
  <c r="F955" i="122"/>
  <c r="H285" i="122"/>
  <c r="N285" i="122" s="1"/>
  <c r="F1051" i="122"/>
  <c r="H381" i="122"/>
  <c r="N381" i="122" s="1"/>
  <c r="F1243" i="122"/>
  <c r="H573" i="122"/>
  <c r="N573" i="122" s="1"/>
  <c r="H86" i="122"/>
  <c r="N86" i="122" s="1"/>
  <c r="F756" i="122"/>
  <c r="F1012" i="122"/>
  <c r="H342" i="122"/>
  <c r="N342" i="122" s="1"/>
  <c r="H534" i="122"/>
  <c r="N534" i="122" s="1"/>
  <c r="F1204" i="122"/>
  <c r="F709" i="122"/>
  <c r="H39" i="122"/>
  <c r="N39" i="122" s="1"/>
  <c r="F1867" i="122"/>
  <c r="H1197" i="122"/>
  <c r="N1197" i="122" s="1"/>
  <c r="F750" i="122"/>
  <c r="H80" i="122"/>
  <c r="N80" i="122" s="1"/>
  <c r="F910" i="122"/>
  <c r="H240" i="122"/>
  <c r="N240" i="122" s="1"/>
  <c r="F1134" i="122"/>
  <c r="H464" i="122"/>
  <c r="N464" i="122" s="1"/>
  <c r="H97" i="122"/>
  <c r="N97" i="122" s="1"/>
  <c r="F767" i="122"/>
  <c r="H257" i="122"/>
  <c r="N257" i="122" s="1"/>
  <c r="F927" i="122"/>
  <c r="F1055" i="122"/>
  <c r="H385" i="122"/>
  <c r="N385" i="122" s="1"/>
  <c r="H513" i="122"/>
  <c r="N513" i="122" s="1"/>
  <c r="F1183" i="122"/>
  <c r="H673" i="122"/>
  <c r="N673" i="122" s="1"/>
  <c r="F1343" i="122"/>
  <c r="G1509" i="122"/>
  <c r="O839" i="122"/>
  <c r="P839" i="122" s="1"/>
  <c r="F722" i="122"/>
  <c r="H52" i="122"/>
  <c r="N52" i="122" s="1"/>
  <c r="F786" i="122"/>
  <c r="H116" i="122"/>
  <c r="N116" i="122" s="1"/>
  <c r="F850" i="122"/>
  <c r="H180" i="122"/>
  <c r="N180" i="122" s="1"/>
  <c r="F914" i="122"/>
  <c r="H244" i="122"/>
  <c r="N244" i="122" s="1"/>
  <c r="F978" i="122"/>
  <c r="H308" i="122"/>
  <c r="N308" i="122" s="1"/>
  <c r="F1042" i="122"/>
  <c r="H372" i="122"/>
  <c r="N372" i="122" s="1"/>
  <c r="F1138" i="122"/>
  <c r="H468" i="122"/>
  <c r="N468" i="122" s="1"/>
  <c r="H22" i="122"/>
  <c r="N22" i="122" s="1"/>
  <c r="F692" i="122"/>
  <c r="F748" i="122"/>
  <c r="H78" i="122"/>
  <c r="N78" i="122" s="1"/>
  <c r="H270" i="122"/>
  <c r="N270" i="122" s="1"/>
  <c r="F940" i="122"/>
  <c r="H199" i="122"/>
  <c r="N199" i="122" s="1"/>
  <c r="F869" i="122"/>
  <c r="H35" i="122"/>
  <c r="N35" i="122" s="1"/>
  <c r="F705" i="122"/>
  <c r="H91" i="122"/>
  <c r="N91" i="122" s="1"/>
  <c r="F761" i="122"/>
  <c r="H163" i="122"/>
  <c r="N163" i="122" s="1"/>
  <c r="F833" i="122"/>
  <c r="F897" i="122"/>
  <c r="H227" i="122"/>
  <c r="N227" i="122" s="1"/>
  <c r="F961" i="122"/>
  <c r="H291" i="122"/>
  <c r="N291" i="122" s="1"/>
  <c r="F1025" i="122"/>
  <c r="H355" i="122"/>
  <c r="N355" i="122" s="1"/>
  <c r="H419" i="122"/>
  <c r="N419" i="122" s="1"/>
  <c r="F1089" i="122"/>
  <c r="H483" i="122"/>
  <c r="N483" i="122" s="1"/>
  <c r="F1153" i="122"/>
  <c r="F1217" i="122"/>
  <c r="H547" i="122"/>
  <c r="N547" i="122" s="1"/>
  <c r="F1289" i="122"/>
  <c r="H619" i="122"/>
  <c r="N619" i="122" s="1"/>
  <c r="F837" i="122"/>
  <c r="H167" i="122"/>
  <c r="N167" i="122" s="1"/>
  <c r="F997" i="122"/>
  <c r="H327" i="122"/>
  <c r="N327" i="122" s="1"/>
  <c r="F1803" i="122"/>
  <c r="F1301" i="122"/>
  <c r="H631" i="122"/>
  <c r="N631" i="122" s="1"/>
  <c r="F712" i="122"/>
  <c r="H42" i="122"/>
  <c r="N42" i="122" s="1"/>
  <c r="F1414" i="122"/>
  <c r="H744" i="122"/>
  <c r="N744" i="122" s="1"/>
  <c r="F776" i="122"/>
  <c r="H106" i="122"/>
  <c r="N106" i="122" s="1"/>
  <c r="H138" i="122"/>
  <c r="N138" i="122" s="1"/>
  <c r="F808" i="122"/>
  <c r="H170" i="122"/>
  <c r="N170" i="122" s="1"/>
  <c r="F840" i="122"/>
  <c r="F872" i="122"/>
  <c r="H202" i="122"/>
  <c r="N202" i="122" s="1"/>
  <c r="F904" i="122"/>
  <c r="H234" i="122"/>
  <c r="N234" i="122" s="1"/>
  <c r="H266" i="122"/>
  <c r="N266" i="122" s="1"/>
  <c r="F936" i="122"/>
  <c r="H298" i="122"/>
  <c r="N298" i="122" s="1"/>
  <c r="F968" i="122"/>
  <c r="F1000" i="122"/>
  <c r="H330" i="122"/>
  <c r="N330" i="122" s="1"/>
  <c r="F1032" i="122"/>
  <c r="H362" i="122"/>
  <c r="N362" i="122" s="1"/>
  <c r="H394" i="122"/>
  <c r="N394" i="122" s="1"/>
  <c r="F1064" i="122"/>
  <c r="F1096" i="122"/>
  <c r="H426" i="122"/>
  <c r="N426" i="122" s="1"/>
  <c r="F1128" i="122"/>
  <c r="H458" i="122"/>
  <c r="N458" i="122" s="1"/>
  <c r="F1160" i="122"/>
  <c r="H490" i="122"/>
  <c r="N490" i="122" s="1"/>
  <c r="F1192" i="122"/>
  <c r="H522" i="122"/>
  <c r="N522" i="122" s="1"/>
  <c r="F1224" i="122"/>
  <c r="H554" i="122"/>
  <c r="N554" i="122" s="1"/>
  <c r="F1256" i="122"/>
  <c r="H586" i="122"/>
  <c r="N586" i="122" s="1"/>
  <c r="H618" i="122"/>
  <c r="N618" i="122" s="1"/>
  <c r="F1288" i="122"/>
  <c r="H650" i="122"/>
  <c r="N650" i="122" s="1"/>
  <c r="F1320" i="122"/>
  <c r="H43" i="122"/>
  <c r="N43" i="122" s="1"/>
  <c r="F713" i="122"/>
  <c r="H115" i="122"/>
  <c r="N115" i="122" s="1"/>
  <c r="F785" i="122"/>
  <c r="H171" i="122"/>
  <c r="N171" i="122" s="1"/>
  <c r="F841" i="122"/>
  <c r="F905" i="122"/>
  <c r="H235" i="122"/>
  <c r="N235" i="122" s="1"/>
  <c r="F969" i="122"/>
  <c r="H299" i="122"/>
  <c r="N299" i="122" s="1"/>
  <c r="H363" i="122"/>
  <c r="N363" i="122" s="1"/>
  <c r="F1033" i="122"/>
  <c r="H427" i="122"/>
  <c r="N427" i="122" s="1"/>
  <c r="F1097" i="122"/>
  <c r="H491" i="122"/>
  <c r="N491" i="122" s="1"/>
  <c r="F1161" i="122"/>
  <c r="H555" i="122"/>
  <c r="N555" i="122" s="1"/>
  <c r="F1225" i="122"/>
  <c r="F1297" i="122"/>
  <c r="H627" i="122"/>
  <c r="N627" i="122" s="1"/>
  <c r="H15" i="122"/>
  <c r="N15" i="122" s="1"/>
  <c r="F685" i="122"/>
  <c r="H183" i="122"/>
  <c r="N183" i="122" s="1"/>
  <c r="F853" i="122"/>
  <c r="F1005" i="122"/>
  <c r="H335" i="122"/>
  <c r="N335" i="122" s="1"/>
  <c r="F1819" i="122"/>
  <c r="H1149" i="122"/>
  <c r="N1149" i="122" s="1"/>
  <c r="F1979" i="122"/>
  <c r="F691" i="122"/>
  <c r="H21" i="122"/>
  <c r="N21" i="122" s="1"/>
  <c r="H53" i="122"/>
  <c r="N53" i="122" s="1"/>
  <c r="F723" i="122"/>
  <c r="F755" i="122"/>
  <c r="H85" i="122"/>
  <c r="N85" i="122" s="1"/>
  <c r="F787" i="122"/>
  <c r="H117" i="122"/>
  <c r="N117" i="122" s="1"/>
  <c r="H149" i="122"/>
  <c r="N149" i="122" s="1"/>
  <c r="F819" i="122"/>
  <c r="F851" i="122"/>
  <c r="H181" i="122"/>
  <c r="N181" i="122" s="1"/>
  <c r="F883" i="122"/>
  <c r="H213" i="122"/>
  <c r="N213" i="122" s="1"/>
  <c r="H245" i="122"/>
  <c r="N245" i="122" s="1"/>
  <c r="F915" i="122"/>
  <c r="H277" i="122"/>
  <c r="N277" i="122" s="1"/>
  <c r="F947" i="122"/>
  <c r="H309" i="122"/>
  <c r="N309" i="122" s="1"/>
  <c r="F979" i="122"/>
  <c r="F1011" i="122"/>
  <c r="H341" i="122"/>
  <c r="N341" i="122" s="1"/>
  <c r="F1043" i="122"/>
  <c r="H373" i="122"/>
  <c r="N373" i="122" s="1"/>
  <c r="H405" i="122"/>
  <c r="N405" i="122" s="1"/>
  <c r="F1075" i="122"/>
  <c r="H437" i="122"/>
  <c r="N437" i="122" s="1"/>
  <c r="F1107" i="122"/>
  <c r="H469" i="122"/>
  <c r="N469" i="122" s="1"/>
  <c r="F1139" i="122"/>
  <c r="H501" i="122"/>
  <c r="N501" i="122" s="1"/>
  <c r="F1171" i="122"/>
  <c r="H533" i="122"/>
  <c r="N533" i="122" s="1"/>
  <c r="F1203" i="122"/>
  <c r="F1235" i="122"/>
  <c r="H565" i="122"/>
  <c r="N565" i="122" s="1"/>
  <c r="F1267" i="122"/>
  <c r="H597" i="122"/>
  <c r="N597" i="122" s="1"/>
  <c r="F1299" i="122"/>
  <c r="H629" i="122"/>
  <c r="N629" i="122" s="1"/>
  <c r="F1331" i="122"/>
  <c r="H661" i="122"/>
  <c r="N661" i="122" s="1"/>
  <c r="F740" i="122"/>
  <c r="H70" i="122"/>
  <c r="N70" i="122" s="1"/>
  <c r="F804" i="122"/>
  <c r="H134" i="122"/>
  <c r="N134" i="122" s="1"/>
  <c r="H198" i="122"/>
  <c r="N198" i="122" s="1"/>
  <c r="F868" i="122"/>
  <c r="H262" i="122"/>
  <c r="N262" i="122" s="1"/>
  <c r="F932" i="122"/>
  <c r="F996" i="122"/>
  <c r="H326" i="122"/>
  <c r="N326" i="122" s="1"/>
  <c r="F1060" i="122"/>
  <c r="H390" i="122"/>
  <c r="N390" i="122" s="1"/>
  <c r="F1124" i="122"/>
  <c r="H454" i="122"/>
  <c r="N454" i="122" s="1"/>
  <c r="F1188" i="122"/>
  <c r="H518" i="122"/>
  <c r="N518" i="122" s="1"/>
  <c r="F1252" i="122"/>
  <c r="H582" i="122"/>
  <c r="N582" i="122" s="1"/>
  <c r="H646" i="122"/>
  <c r="H151" i="122"/>
  <c r="N151" i="122" s="1"/>
  <c r="F821" i="122"/>
  <c r="F981" i="122"/>
  <c r="H311" i="122"/>
  <c r="N311" i="122" s="1"/>
  <c r="F1157" i="122"/>
  <c r="H487" i="122"/>
  <c r="N487" i="122" s="1"/>
  <c r="F1037" i="122"/>
  <c r="H367" i="122"/>
  <c r="N367" i="122" s="1"/>
  <c r="H61" i="122"/>
  <c r="N61" i="122" s="1"/>
  <c r="F731" i="122"/>
  <c r="H477" i="122"/>
  <c r="N477" i="122" s="1"/>
  <c r="F1147" i="122"/>
  <c r="H191" i="122"/>
  <c r="N191" i="122" s="1"/>
  <c r="F861" i="122"/>
  <c r="F718" i="122"/>
  <c r="H48" i="122"/>
  <c r="N48" i="122" s="1"/>
  <c r="H304" i="122"/>
  <c r="N304" i="122" s="1"/>
  <c r="F974" i="122"/>
  <c r="H592" i="122"/>
  <c r="N592" i="122" s="1"/>
  <c r="F1262" i="122"/>
  <c r="F1771" i="122"/>
  <c r="F895" i="122"/>
  <c r="H225" i="122"/>
  <c r="N225" i="122" s="1"/>
  <c r="F1247" i="122"/>
  <c r="H577" i="122"/>
  <c r="N577" i="122" s="1"/>
  <c r="G2117" i="122"/>
  <c r="O1447" i="122"/>
  <c r="P1447" i="122" s="1"/>
  <c r="F710" i="122"/>
  <c r="H40" i="122"/>
  <c r="N40" i="122" s="1"/>
  <c r="F742" i="122"/>
  <c r="H72" i="122"/>
  <c r="N72" i="122" s="1"/>
  <c r="F774" i="122"/>
  <c r="H104" i="122"/>
  <c r="N104" i="122" s="1"/>
  <c r="F806" i="122"/>
  <c r="H136" i="122"/>
  <c r="N136" i="122" s="1"/>
  <c r="F838" i="122"/>
  <c r="H168" i="122"/>
  <c r="N168" i="122" s="1"/>
  <c r="F870" i="122"/>
  <c r="H200" i="122"/>
  <c r="N200" i="122" s="1"/>
  <c r="F902" i="122"/>
  <c r="H232" i="122"/>
  <c r="N232" i="122" s="1"/>
  <c r="H264" i="122"/>
  <c r="N264" i="122" s="1"/>
  <c r="F934" i="122"/>
  <c r="F966" i="122"/>
  <c r="H296" i="122"/>
  <c r="N296" i="122" s="1"/>
  <c r="F998" i="122"/>
  <c r="H328" i="122"/>
  <c r="N328" i="122" s="1"/>
  <c r="F1030" i="122"/>
  <c r="H360" i="122"/>
  <c r="N360" i="122" s="1"/>
  <c r="F1062" i="122"/>
  <c r="H392" i="122"/>
  <c r="N392" i="122" s="1"/>
  <c r="F1094" i="122"/>
  <c r="H424" i="122"/>
  <c r="N424" i="122" s="1"/>
  <c r="F1126" i="122"/>
  <c r="H456" i="122"/>
  <c r="N456" i="122" s="1"/>
  <c r="F1158" i="122"/>
  <c r="H488" i="122"/>
  <c r="N488" i="122" s="1"/>
  <c r="F1190" i="122"/>
  <c r="H520" i="122"/>
  <c r="N520" i="122" s="1"/>
  <c r="F1222" i="122"/>
  <c r="H552" i="122"/>
  <c r="N552" i="122" s="1"/>
  <c r="F1254" i="122"/>
  <c r="H584" i="122"/>
  <c r="N584" i="122" s="1"/>
  <c r="H616" i="122"/>
  <c r="N616" i="122" s="1"/>
  <c r="F1286" i="122"/>
  <c r="H648" i="122"/>
  <c r="H583" i="122"/>
  <c r="N583" i="122" s="1"/>
  <c r="G1253" i="122"/>
  <c r="G1923" i="122" s="1"/>
  <c r="G2593" i="122" s="1"/>
  <c r="G3263" i="122" s="1"/>
  <c r="G3933" i="122" s="1"/>
  <c r="G4603" i="122" s="1"/>
  <c r="G5273" i="122" s="1"/>
  <c r="H615" i="122"/>
  <c r="N615" i="122" s="1"/>
  <c r="G1285" i="122"/>
  <c r="G1955" i="122" s="1"/>
  <c r="G2625" i="122" s="1"/>
  <c r="G3295" i="122" s="1"/>
  <c r="G3965" i="122" s="1"/>
  <c r="G4635" i="122" s="1"/>
  <c r="G5305" i="122" s="1"/>
  <c r="H647" i="122"/>
  <c r="G1317" i="122"/>
  <c r="G1987" i="122" s="1"/>
  <c r="G2657" i="122" s="1"/>
  <c r="G3327" i="122" s="1"/>
  <c r="G3997" i="122" s="1"/>
  <c r="G4667" i="122" s="1"/>
  <c r="G5337" i="122" s="1"/>
  <c r="F1273" i="122"/>
  <c r="H603" i="122"/>
  <c r="N603" i="122" s="1"/>
  <c r="H55" i="122"/>
  <c r="N55" i="122" s="1"/>
  <c r="F725" i="122"/>
  <c r="H215" i="122"/>
  <c r="N215" i="122" s="1"/>
  <c r="F885" i="122"/>
  <c r="F1723" i="122"/>
  <c r="H1053" i="122"/>
  <c r="N1053" i="122" s="1"/>
  <c r="F1221" i="122"/>
  <c r="H551" i="122"/>
  <c r="N551" i="122" s="1"/>
  <c r="F695" i="122"/>
  <c r="H25" i="122"/>
  <c r="N25" i="122" s="1"/>
  <c r="F727" i="122"/>
  <c r="H57" i="122"/>
  <c r="N57" i="122" s="1"/>
  <c r="F759" i="122"/>
  <c r="H89" i="122"/>
  <c r="N89" i="122" s="1"/>
  <c r="F791" i="122"/>
  <c r="H121" i="122"/>
  <c r="N121" i="122" s="1"/>
  <c r="H153" i="122"/>
  <c r="N153" i="122" s="1"/>
  <c r="F823" i="122"/>
  <c r="H185" i="122"/>
  <c r="N185" i="122" s="1"/>
  <c r="F855" i="122"/>
  <c r="H217" i="122"/>
  <c r="N217" i="122" s="1"/>
  <c r="F887" i="122"/>
  <c r="F919" i="122"/>
  <c r="H249" i="122"/>
  <c r="N249" i="122" s="1"/>
  <c r="H281" i="122"/>
  <c r="N281" i="122" s="1"/>
  <c r="F951" i="122"/>
  <c r="F983" i="122"/>
  <c r="H313" i="122"/>
  <c r="N313" i="122" s="1"/>
  <c r="F1015" i="122"/>
  <c r="H345" i="122"/>
  <c r="N345" i="122" s="1"/>
  <c r="F1047" i="122"/>
  <c r="H377" i="122"/>
  <c r="N377" i="122" s="1"/>
  <c r="H409" i="122"/>
  <c r="N409" i="122" s="1"/>
  <c r="F1079" i="122"/>
  <c r="H441" i="122"/>
  <c r="N441" i="122" s="1"/>
  <c r="F1111" i="122"/>
  <c r="H473" i="122"/>
  <c r="N473" i="122" s="1"/>
  <c r="F1143" i="122"/>
  <c r="H505" i="122"/>
  <c r="N505" i="122" s="1"/>
  <c r="F1175" i="122"/>
  <c r="H537" i="122"/>
  <c r="N537" i="122" s="1"/>
  <c r="F1207" i="122"/>
  <c r="H569" i="122"/>
  <c r="N569" i="122" s="1"/>
  <c r="F1239" i="122"/>
  <c r="H601" i="122"/>
  <c r="N601" i="122" s="1"/>
  <c r="F1271" i="122"/>
  <c r="H633" i="122"/>
  <c r="N633" i="122" s="1"/>
  <c r="F1303" i="122"/>
  <c r="H665" i="122"/>
  <c r="N665" i="122" s="1"/>
  <c r="F1335" i="122"/>
  <c r="H18" i="122"/>
  <c r="N18" i="122" s="1"/>
  <c r="H142" i="122"/>
  <c r="N142" i="122" s="1"/>
  <c r="O712" i="122"/>
  <c r="P712" i="122" s="1"/>
  <c r="G1382" i="122"/>
  <c r="G2052" i="122" s="1"/>
  <c r="G2722" i="122" s="1"/>
  <c r="G3392" i="122" s="1"/>
  <c r="G4062" i="122" s="1"/>
  <c r="G4732" i="122" s="1"/>
  <c r="F682" i="122"/>
  <c r="H12" i="122"/>
  <c r="N12" i="122" s="1"/>
  <c r="F714" i="122"/>
  <c r="H44" i="122"/>
  <c r="N44" i="122" s="1"/>
  <c r="F746" i="122"/>
  <c r="H76" i="122"/>
  <c r="N76" i="122" s="1"/>
  <c r="F778" i="122"/>
  <c r="H108" i="122"/>
  <c r="N108" i="122" s="1"/>
  <c r="F810" i="122"/>
  <c r="H140" i="122"/>
  <c r="N140" i="122" s="1"/>
  <c r="F842" i="122"/>
  <c r="H172" i="122"/>
  <c r="N172" i="122" s="1"/>
  <c r="F874" i="122"/>
  <c r="H204" i="122"/>
  <c r="N204" i="122" s="1"/>
  <c r="F906" i="122"/>
  <c r="H236" i="122"/>
  <c r="N236" i="122" s="1"/>
  <c r="H268" i="122"/>
  <c r="N268" i="122" s="1"/>
  <c r="F938" i="122"/>
  <c r="H300" i="122"/>
  <c r="N300" i="122" s="1"/>
  <c r="F970" i="122"/>
  <c r="F1002" i="122"/>
  <c r="H332" i="122"/>
  <c r="N332" i="122" s="1"/>
  <c r="F1034" i="122"/>
  <c r="H364" i="122"/>
  <c r="N364" i="122" s="1"/>
  <c r="H396" i="122"/>
  <c r="N396" i="122" s="1"/>
  <c r="F1066" i="122"/>
  <c r="H428" i="122"/>
  <c r="N428" i="122" s="1"/>
  <c r="F1098" i="122"/>
  <c r="H460" i="122"/>
  <c r="N460" i="122" s="1"/>
  <c r="F1130" i="122"/>
  <c r="H492" i="122"/>
  <c r="N492" i="122" s="1"/>
  <c r="F1162" i="122"/>
  <c r="H524" i="122"/>
  <c r="N524" i="122" s="1"/>
  <c r="F1194" i="122"/>
  <c r="H556" i="122"/>
  <c r="N556" i="122" s="1"/>
  <c r="F1226" i="122"/>
  <c r="H588" i="122"/>
  <c r="N588" i="122" s="1"/>
  <c r="F1258" i="122"/>
  <c r="H620" i="122"/>
  <c r="N620" i="122" s="1"/>
  <c r="F1290" i="122"/>
  <c r="H652" i="122"/>
  <c r="N652" i="122" s="1"/>
  <c r="F1322" i="122"/>
  <c r="G1383" i="122"/>
  <c r="G2053" i="122" s="1"/>
  <c r="O713" i="122"/>
  <c r="P713" i="122" s="1"/>
  <c r="G675" i="122"/>
  <c r="G680" i="122"/>
  <c r="H62" i="122"/>
  <c r="N62" i="122" s="1"/>
  <c r="F732" i="122"/>
  <c r="F796" i="122"/>
  <c r="H126" i="122"/>
  <c r="N126" i="122" s="1"/>
  <c r="F860" i="122"/>
  <c r="H190" i="122"/>
  <c r="N190" i="122" s="1"/>
  <c r="H254" i="122"/>
  <c r="N254" i="122" s="1"/>
  <c r="F924" i="122"/>
  <c r="F988" i="122"/>
  <c r="H318" i="122"/>
  <c r="N318" i="122" s="1"/>
  <c r="F1052" i="122"/>
  <c r="H382" i="122"/>
  <c r="N382" i="122" s="1"/>
  <c r="H446" i="122"/>
  <c r="N446" i="122" s="1"/>
  <c r="F1116" i="122"/>
  <c r="F1180" i="122"/>
  <c r="H510" i="122"/>
  <c r="N510" i="122" s="1"/>
  <c r="F1244" i="122"/>
  <c r="H574" i="122"/>
  <c r="N574" i="122" s="1"/>
  <c r="F1308" i="122"/>
  <c r="H638" i="122"/>
  <c r="N638" i="122" s="1"/>
  <c r="H159" i="122"/>
  <c r="N159" i="122" s="1"/>
  <c r="F829" i="122"/>
  <c r="F1659" i="122"/>
  <c r="F1835" i="122"/>
  <c r="H1165" i="122"/>
  <c r="N1165" i="122" s="1"/>
  <c r="F1995" i="122"/>
  <c r="H1325" i="122"/>
  <c r="N1325" i="122" s="1"/>
  <c r="G3586" i="122"/>
  <c r="G2740" i="122"/>
  <c r="G3012" i="122"/>
  <c r="G3267" i="122"/>
  <c r="G3000" i="122"/>
  <c r="G2975" i="122"/>
  <c r="O2305" i="122"/>
  <c r="P2305" i="122" s="1"/>
  <c r="G3020" i="122"/>
  <c r="G2878" i="122"/>
  <c r="G3548" i="122" s="1"/>
  <c r="G4218" i="122" s="1"/>
  <c r="G4888" i="122" s="1"/>
  <c r="O2208" i="122"/>
  <c r="P2208" i="122" s="1"/>
  <c r="G2736" i="122"/>
  <c r="G2780" i="122"/>
  <c r="G2760" i="122"/>
  <c r="G2712" i="122"/>
  <c r="G3008" i="122"/>
  <c r="G2872" i="122"/>
  <c r="G3014" i="122"/>
  <c r="G2990" i="122"/>
  <c r="G2768" i="122"/>
  <c r="G2988" i="122"/>
  <c r="G2908" i="122"/>
  <c r="G3038" i="122"/>
  <c r="G3064" i="122"/>
  <c r="G2965" i="122"/>
  <c r="G3048" i="122"/>
  <c r="G3056" i="122"/>
  <c r="G2840" i="122"/>
  <c r="G3068" i="122"/>
  <c r="G3022" i="122"/>
  <c r="G3331" i="122"/>
  <c r="G3247" i="122"/>
  <c r="G2748" i="122"/>
  <c r="G3054" i="122"/>
  <c r="G2708" i="122"/>
  <c r="G3062" i="122"/>
  <c r="G2932" i="122"/>
  <c r="G3704" i="122"/>
  <c r="G2900" i="122"/>
  <c r="O2230" i="122"/>
  <c r="P2230" i="122" s="1"/>
  <c r="G2692" i="122"/>
  <c r="G3032" i="122"/>
  <c r="G2744" i="122"/>
  <c r="G2894" i="122"/>
  <c r="G3633" i="122"/>
  <c r="O2963" i="122"/>
  <c r="P2963" i="122" s="1"/>
  <c r="G2888" i="122"/>
  <c r="G3050" i="122"/>
  <c r="G2732" i="122"/>
  <c r="G3004" i="122"/>
  <c r="G2904" i="122"/>
  <c r="G2804" i="122"/>
  <c r="G3030" i="122"/>
  <c r="G3066" i="122"/>
  <c r="G2876" i="122"/>
  <c r="G3016" i="122"/>
  <c r="G2998" i="122"/>
  <c r="G2812" i="122"/>
  <c r="G3046" i="122"/>
  <c r="G2860" i="122"/>
  <c r="O2190" i="122"/>
  <c r="P2190" i="122" s="1"/>
  <c r="G3070" i="122"/>
  <c r="G2983" i="122"/>
  <c r="O2313" i="122"/>
  <c r="P2313" i="122" s="1"/>
  <c r="G3664" i="122"/>
  <c r="G2928" i="122"/>
  <c r="O2258" i="122"/>
  <c r="P2258" i="122" s="1"/>
  <c r="G2971" i="122"/>
  <c r="G2808" i="122"/>
  <c r="G2844" i="122"/>
  <c r="G2992" i="122"/>
  <c r="G2836" i="122"/>
  <c r="G2704" i="122"/>
  <c r="G3028" i="122"/>
  <c r="G2868" i="122"/>
  <c r="G3024" i="122"/>
  <c r="G2776" i="122"/>
  <c r="G2986" i="122"/>
  <c r="G3002" i="122"/>
  <c r="G3728" i="122"/>
  <c r="G3052" i="122"/>
  <c r="G2716" i="122"/>
  <c r="G3044" i="122"/>
  <c r="G2979" i="122"/>
  <c r="G2772" i="122"/>
  <c r="G3688" i="122"/>
  <c r="G3040" i="122"/>
  <c r="G2920" i="122"/>
  <c r="G3006" i="122"/>
  <c r="G3036" i="122"/>
  <c r="F1786" i="122" l="1"/>
  <c r="H1116" i="122"/>
  <c r="N1116" i="122" s="1"/>
  <c r="F1544" i="122"/>
  <c r="H874" i="122"/>
  <c r="N874" i="122" s="1"/>
  <c r="H983" i="122"/>
  <c r="N983" i="122" s="1"/>
  <c r="F1653" i="122"/>
  <c r="H727" i="122"/>
  <c r="N727" i="122" s="1"/>
  <c r="F1397" i="122"/>
  <c r="H1126" i="122"/>
  <c r="N1126" i="122" s="1"/>
  <c r="F1796" i="122"/>
  <c r="H742" i="122"/>
  <c r="N742" i="122" s="1"/>
  <c r="F1412" i="122"/>
  <c r="F1809" i="122"/>
  <c r="H1139" i="122"/>
  <c r="N1139" i="122" s="1"/>
  <c r="F1631" i="122"/>
  <c r="H961" i="122"/>
  <c r="N961" i="122" s="1"/>
  <c r="F1362" i="122"/>
  <c r="H692" i="122"/>
  <c r="N692" i="122" s="1"/>
  <c r="F1597" i="122"/>
  <c r="H927" i="122"/>
  <c r="N927" i="122" s="1"/>
  <c r="H733" i="122"/>
  <c r="N733" i="122" s="1"/>
  <c r="F1403" i="122"/>
  <c r="F1934" i="122"/>
  <c r="H1264" i="122"/>
  <c r="N1264" i="122" s="1"/>
  <c r="H877" i="122"/>
  <c r="N877" i="122" s="1"/>
  <c r="F1547" i="122"/>
  <c r="H1250" i="122"/>
  <c r="N1250" i="122" s="1"/>
  <c r="F1920" i="122"/>
  <c r="H1167" i="122"/>
  <c r="N1167" i="122" s="1"/>
  <c r="F1837" i="122"/>
  <c r="H1172" i="122"/>
  <c r="N1172" i="122" s="1"/>
  <c r="F1842" i="122"/>
  <c r="H939" i="122"/>
  <c r="N939" i="122" s="1"/>
  <c r="F1609" i="122"/>
  <c r="F1623" i="122"/>
  <c r="H953" i="122"/>
  <c r="N953" i="122" s="1"/>
  <c r="F1918" i="122"/>
  <c r="H1248" i="122"/>
  <c r="N1248" i="122" s="1"/>
  <c r="F1635" i="122"/>
  <c r="H965" i="122"/>
  <c r="N965" i="122" s="1"/>
  <c r="F1861" i="122"/>
  <c r="H1191" i="122"/>
  <c r="N1191" i="122" s="1"/>
  <c r="H1142" i="122"/>
  <c r="N1142" i="122" s="1"/>
  <c r="F1812" i="122"/>
  <c r="F1556" i="122"/>
  <c r="H886" i="122"/>
  <c r="N886" i="122" s="1"/>
  <c r="F1954" i="122"/>
  <c r="H1284" i="122"/>
  <c r="N1284" i="122" s="1"/>
  <c r="F1698" i="122"/>
  <c r="H1028" i="122"/>
  <c r="N1028" i="122" s="1"/>
  <c r="F1442" i="122"/>
  <c r="H772" i="122"/>
  <c r="N772" i="122" s="1"/>
  <c r="H1155" i="122"/>
  <c r="N1155" i="122" s="1"/>
  <c r="F1825" i="122"/>
  <c r="F1697" i="122"/>
  <c r="H1027" i="122"/>
  <c r="N1027" i="122" s="1"/>
  <c r="H771" i="122"/>
  <c r="N771" i="122" s="1"/>
  <c r="F1441" i="122"/>
  <c r="H753" i="122"/>
  <c r="N753" i="122" s="1"/>
  <c r="F1423" i="122"/>
  <c r="H729" i="122"/>
  <c r="N729" i="122" s="1"/>
  <c r="F1399" i="122"/>
  <c r="H1102" i="122"/>
  <c r="N1102" i="122" s="1"/>
  <c r="F1772" i="122"/>
  <c r="F1530" i="122"/>
  <c r="H860" i="122"/>
  <c r="N860" i="122" s="1"/>
  <c r="H1226" i="122"/>
  <c r="N1226" i="122" s="1"/>
  <c r="F1896" i="122"/>
  <c r="H1098" i="122"/>
  <c r="N1098" i="122" s="1"/>
  <c r="F1768" i="122"/>
  <c r="H970" i="122"/>
  <c r="N970" i="122" s="1"/>
  <c r="F1640" i="122"/>
  <c r="F2005" i="122"/>
  <c r="H1335" i="122"/>
  <c r="N1335" i="122" s="1"/>
  <c r="H1207" i="122"/>
  <c r="N1207" i="122" s="1"/>
  <c r="F1877" i="122"/>
  <c r="H1079" i="122"/>
  <c r="N1079" i="122" s="1"/>
  <c r="F1749" i="122"/>
  <c r="H951" i="122"/>
  <c r="N951" i="122" s="1"/>
  <c r="F1621" i="122"/>
  <c r="H823" i="122"/>
  <c r="N823" i="122" s="1"/>
  <c r="F1493" i="122"/>
  <c r="H725" i="122"/>
  <c r="N725" i="122" s="1"/>
  <c r="F1395" i="122"/>
  <c r="H1101" i="122"/>
  <c r="N1101" i="122" s="1"/>
  <c r="H861" i="122"/>
  <c r="N861" i="122" s="1"/>
  <c r="F1531" i="122"/>
  <c r="F1730" i="122"/>
  <c r="H1060" i="122"/>
  <c r="N1060" i="122" s="1"/>
  <c r="F1474" i="122"/>
  <c r="H804" i="122"/>
  <c r="N804" i="122" s="1"/>
  <c r="F1937" i="122"/>
  <c r="H1267" i="122"/>
  <c r="N1267" i="122" s="1"/>
  <c r="F1681" i="122"/>
  <c r="H1011" i="122"/>
  <c r="N1011" i="122" s="1"/>
  <c r="H883" i="122"/>
  <c r="N883" i="122" s="1"/>
  <c r="F1553" i="122"/>
  <c r="H755" i="122"/>
  <c r="N755" i="122" s="1"/>
  <c r="F1425" i="122"/>
  <c r="F2489" i="122"/>
  <c r="H1819" i="122"/>
  <c r="N1819" i="122" s="1"/>
  <c r="F1967" i="122"/>
  <c r="H1297" i="122"/>
  <c r="N1297" i="122" s="1"/>
  <c r="F1926" i="122"/>
  <c r="H1256" i="122"/>
  <c r="N1256" i="122" s="1"/>
  <c r="F1798" i="122"/>
  <c r="H1128" i="122"/>
  <c r="N1128" i="122" s="1"/>
  <c r="F1670" i="122"/>
  <c r="H1000" i="122"/>
  <c r="N1000" i="122" s="1"/>
  <c r="F1542" i="122"/>
  <c r="H872" i="122"/>
  <c r="N872" i="122" s="1"/>
  <c r="F2084" i="122"/>
  <c r="H1414" i="122"/>
  <c r="N1414" i="122" s="1"/>
  <c r="F1667" i="122"/>
  <c r="H997" i="122"/>
  <c r="N997" i="122" s="1"/>
  <c r="F1823" i="122"/>
  <c r="H1153" i="122"/>
  <c r="N1153" i="122" s="1"/>
  <c r="F1584" i="122"/>
  <c r="H914" i="122"/>
  <c r="N914" i="122" s="1"/>
  <c r="G2179" i="122"/>
  <c r="O1509" i="122"/>
  <c r="P1509" i="122" s="1"/>
  <c r="F1420" i="122"/>
  <c r="H750" i="122"/>
  <c r="N750" i="122" s="1"/>
  <c r="F1682" i="122"/>
  <c r="H1012" i="122"/>
  <c r="N1012" i="122" s="1"/>
  <c r="F1625" i="122"/>
  <c r="H955" i="122"/>
  <c r="N955" i="122" s="1"/>
  <c r="F1582" i="122"/>
  <c r="H912" i="122"/>
  <c r="N912" i="122" s="1"/>
  <c r="F2625" i="122"/>
  <c r="H1955" i="122"/>
  <c r="N1955" i="122" s="1"/>
  <c r="H1292" i="122"/>
  <c r="N1292" i="122" s="1"/>
  <c r="F1962" i="122"/>
  <c r="F1706" i="122"/>
  <c r="H1036" i="122"/>
  <c r="N1036" i="122" s="1"/>
  <c r="F1450" i="122"/>
  <c r="H780" i="122"/>
  <c r="N780" i="122" s="1"/>
  <c r="F1664" i="122"/>
  <c r="H994" i="122"/>
  <c r="N994" i="122" s="1"/>
  <c r="F1536" i="122"/>
  <c r="H866" i="122"/>
  <c r="N866" i="122" s="1"/>
  <c r="F1408" i="122"/>
  <c r="H738" i="122"/>
  <c r="N738" i="122" s="1"/>
  <c r="H1295" i="122"/>
  <c r="N1295" i="122" s="1"/>
  <c r="F1965" i="122"/>
  <c r="F1709" i="122"/>
  <c r="H1039" i="122"/>
  <c r="N1039" i="122" s="1"/>
  <c r="H911" i="122"/>
  <c r="N911" i="122" s="1"/>
  <c r="F1581" i="122"/>
  <c r="H783" i="122"/>
  <c r="N783" i="122" s="1"/>
  <c r="F1453" i="122"/>
  <c r="F2003" i="122"/>
  <c r="H1333" i="122"/>
  <c r="N1333" i="122" s="1"/>
  <c r="H1246" i="122"/>
  <c r="N1246" i="122" s="1"/>
  <c r="F1916" i="122"/>
  <c r="H1118" i="122"/>
  <c r="N1118" i="122" s="1"/>
  <c r="F1788" i="122"/>
  <c r="F1660" i="122"/>
  <c r="H990" i="122"/>
  <c r="N990" i="122" s="1"/>
  <c r="F1532" i="122"/>
  <c r="H862" i="122"/>
  <c r="N862" i="122" s="1"/>
  <c r="F1404" i="122"/>
  <c r="H734" i="122"/>
  <c r="N734" i="122" s="1"/>
  <c r="H1230" i="122"/>
  <c r="N1230" i="122" s="1"/>
  <c r="F1900" i="122"/>
  <c r="F1676" i="122"/>
  <c r="H1006" i="122"/>
  <c r="N1006" i="122" s="1"/>
  <c r="F1753" i="122"/>
  <c r="H1083" i="122"/>
  <c r="N1083" i="122" s="1"/>
  <c r="H865" i="122"/>
  <c r="N865" i="122" s="1"/>
  <c r="F1535" i="122"/>
  <c r="F1691" i="122"/>
  <c r="H1021" i="122"/>
  <c r="N1021" i="122" s="1"/>
  <c r="F1586" i="122"/>
  <c r="H916" i="122"/>
  <c r="N916" i="122" s="1"/>
  <c r="F1865" i="122"/>
  <c r="H1195" i="122"/>
  <c r="N1195" i="122" s="1"/>
  <c r="H683" i="122"/>
  <c r="N683" i="122" s="1"/>
  <c r="F1353" i="122"/>
  <c r="H805" i="122"/>
  <c r="N805" i="122" s="1"/>
  <c r="F1475" i="122"/>
  <c r="F1815" i="122"/>
  <c r="H1145" i="122"/>
  <c r="N1145" i="122" s="1"/>
  <c r="F1886" i="122"/>
  <c r="H1216" i="122"/>
  <c r="N1216" i="122" s="1"/>
  <c r="H960" i="122"/>
  <c r="N960" i="122" s="1"/>
  <c r="F1630" i="122"/>
  <c r="H832" i="122"/>
  <c r="N832" i="122" s="1"/>
  <c r="F1502" i="122"/>
  <c r="H797" i="122"/>
  <c r="N797" i="122" s="1"/>
  <c r="F1467" i="122"/>
  <c r="F1807" i="122"/>
  <c r="H1137" i="122"/>
  <c r="N1137" i="122" s="1"/>
  <c r="F1612" i="122"/>
  <c r="H942" i="122"/>
  <c r="N942" i="122" s="1"/>
  <c r="F1486" i="122"/>
  <c r="H816" i="122"/>
  <c r="N816" i="122" s="1"/>
  <c r="F1562" i="122"/>
  <c r="H892" i="122"/>
  <c r="N892" i="122" s="1"/>
  <c r="H1242" i="122"/>
  <c r="N1242" i="122" s="1"/>
  <c r="F1912" i="122"/>
  <c r="H1114" i="122"/>
  <c r="N1114" i="122" s="1"/>
  <c r="F1784" i="122"/>
  <c r="F1656" i="122"/>
  <c r="H986" i="122"/>
  <c r="N986" i="122" s="1"/>
  <c r="F1528" i="122"/>
  <c r="H858" i="122"/>
  <c r="N858" i="122" s="1"/>
  <c r="F1400" i="122"/>
  <c r="H730" i="122"/>
  <c r="N730" i="122" s="1"/>
  <c r="H1159" i="122"/>
  <c r="N1159" i="122" s="1"/>
  <c r="F1829" i="122"/>
  <c r="F1701" i="122"/>
  <c r="H1031" i="122"/>
  <c r="N1031" i="122" s="1"/>
  <c r="H903" i="122"/>
  <c r="N903" i="122" s="1"/>
  <c r="F1573" i="122"/>
  <c r="H775" i="122"/>
  <c r="N775" i="122" s="1"/>
  <c r="F1445" i="122"/>
  <c r="F1811" i="122"/>
  <c r="H1141" i="122"/>
  <c r="N1141" i="122" s="1"/>
  <c r="F1655" i="122"/>
  <c r="H985" i="122"/>
  <c r="N985" i="122" s="1"/>
  <c r="F1747" i="122"/>
  <c r="H1077" i="122"/>
  <c r="N1077" i="122" s="1"/>
  <c r="F1634" i="122"/>
  <c r="H964" i="122"/>
  <c r="N964" i="122" s="1"/>
  <c r="F1378" i="122"/>
  <c r="H708" i="122"/>
  <c r="N708" i="122" s="1"/>
  <c r="F1953" i="122"/>
  <c r="H1283" i="122"/>
  <c r="N1283" i="122" s="1"/>
  <c r="F2409" i="122"/>
  <c r="H1739" i="122"/>
  <c r="N1739" i="122" s="1"/>
  <c r="F1927" i="122"/>
  <c r="H1257" i="122"/>
  <c r="N1257" i="122" s="1"/>
  <c r="F1942" i="122"/>
  <c r="H1272" i="122"/>
  <c r="N1272" i="122" s="1"/>
  <c r="F1814" i="122"/>
  <c r="H1144" i="122"/>
  <c r="N1144" i="122" s="1"/>
  <c r="F1686" i="122"/>
  <c r="H1016" i="122"/>
  <c r="N1016" i="122" s="1"/>
  <c r="F1558" i="122"/>
  <c r="H888" i="122"/>
  <c r="N888" i="122" s="1"/>
  <c r="F1430" i="122"/>
  <c r="H760" i="122"/>
  <c r="N760" i="122" s="1"/>
  <c r="F1731" i="122"/>
  <c r="H1061" i="122"/>
  <c r="N1061" i="122" s="1"/>
  <c r="F1919" i="122"/>
  <c r="H1249" i="122"/>
  <c r="N1249" i="122" s="1"/>
  <c r="F1663" i="122"/>
  <c r="H993" i="122"/>
  <c r="N993" i="122" s="1"/>
  <c r="F1994" i="122"/>
  <c r="H1324" i="122"/>
  <c r="N1324" i="122" s="1"/>
  <c r="F1738" i="122"/>
  <c r="H1068" i="122"/>
  <c r="N1068" i="122" s="1"/>
  <c r="H1330" i="122"/>
  <c r="N1330" i="122" s="1"/>
  <c r="F2000" i="122"/>
  <c r="H1074" i="122"/>
  <c r="N1074" i="122" s="1"/>
  <c r="F1744" i="122"/>
  <c r="F1488" i="122"/>
  <c r="H818" i="122"/>
  <c r="N818" i="122" s="1"/>
  <c r="F1821" i="122"/>
  <c r="H1151" i="122"/>
  <c r="N1151" i="122" s="1"/>
  <c r="F2593" i="122"/>
  <c r="H1923" i="122"/>
  <c r="N1923" i="122" s="1"/>
  <c r="F1938" i="122"/>
  <c r="H1268" i="122"/>
  <c r="N1268" i="122" s="1"/>
  <c r="H1339" i="122"/>
  <c r="N1339" i="122" s="1"/>
  <c r="F2009" i="122"/>
  <c r="F1657" i="122"/>
  <c r="H987" i="122"/>
  <c r="N987" i="122" s="1"/>
  <c r="F1710" i="122"/>
  <c r="H1040" i="122"/>
  <c r="N1040" i="122" s="1"/>
  <c r="F1975" i="122"/>
  <c r="H1305" i="122"/>
  <c r="N1305" i="122" s="1"/>
  <c r="F1499" i="122"/>
  <c r="H829" i="122"/>
  <c r="N829" i="122" s="1"/>
  <c r="F1672" i="122"/>
  <c r="H1002" i="122"/>
  <c r="N1002" i="122" s="1"/>
  <c r="F1416" i="122"/>
  <c r="H746" i="122"/>
  <c r="N746" i="122" s="1"/>
  <c r="H1254" i="122"/>
  <c r="N1254" i="122" s="1"/>
  <c r="F1924" i="122"/>
  <c r="F1668" i="122"/>
  <c r="H998" i="122"/>
  <c r="N998" i="122" s="1"/>
  <c r="F1540" i="122"/>
  <c r="H870" i="122"/>
  <c r="N870" i="122" s="1"/>
  <c r="H895" i="122"/>
  <c r="N895" i="122" s="1"/>
  <c r="F1565" i="122"/>
  <c r="F1388" i="122"/>
  <c r="H718" i="122"/>
  <c r="N718" i="122" s="1"/>
  <c r="F1707" i="122"/>
  <c r="H1037" i="122"/>
  <c r="N1037" i="122" s="1"/>
  <c r="F1703" i="122"/>
  <c r="H1033" i="122"/>
  <c r="N1033" i="122" s="1"/>
  <c r="H785" i="122"/>
  <c r="N785" i="122" s="1"/>
  <c r="F1455" i="122"/>
  <c r="H1217" i="122"/>
  <c r="N1217" i="122" s="1"/>
  <c r="F1887" i="122"/>
  <c r="F1591" i="122"/>
  <c r="H921" i="122"/>
  <c r="N921" i="122" s="1"/>
  <c r="F1519" i="122"/>
  <c r="H849" i="122"/>
  <c r="N849" i="122" s="1"/>
  <c r="H1122" i="122"/>
  <c r="N1122" i="122" s="1"/>
  <c r="F1792" i="122"/>
  <c r="F1363" i="122"/>
  <c r="H693" i="122"/>
  <c r="N693" i="122" s="1"/>
  <c r="F1789" i="122"/>
  <c r="H1119" i="122"/>
  <c r="N1119" i="122" s="1"/>
  <c r="H941" i="122"/>
  <c r="N941" i="122" s="1"/>
  <c r="F1611" i="122"/>
  <c r="H1323" i="122"/>
  <c r="H1067" i="122"/>
  <c r="N1067" i="122" s="1"/>
  <c r="F1737" i="122"/>
  <c r="H811" i="122"/>
  <c r="N811" i="122" s="1"/>
  <c r="F1481" i="122"/>
  <c r="F1790" i="122"/>
  <c r="H1120" i="122"/>
  <c r="N1120" i="122" s="1"/>
  <c r="F1662" i="122"/>
  <c r="H992" i="122"/>
  <c r="N992" i="122" s="1"/>
  <c r="F1406" i="122"/>
  <c r="H736" i="122"/>
  <c r="N736" i="122" s="1"/>
  <c r="H799" i="122"/>
  <c r="N799" i="122" s="1"/>
  <c r="F1469" i="122"/>
  <c r="F1977" i="122"/>
  <c r="H1307" i="122"/>
  <c r="N1307" i="122" s="1"/>
  <c r="F1742" i="122"/>
  <c r="H1072" i="122"/>
  <c r="N1072" i="122" s="1"/>
  <c r="H956" i="122"/>
  <c r="N956" i="122" s="1"/>
  <c r="F1626" i="122"/>
  <c r="H1319" i="122"/>
  <c r="N1319" i="122" s="1"/>
  <c r="F1989" i="122"/>
  <c r="H1063" i="122"/>
  <c r="N1063" i="122" s="1"/>
  <c r="F1733" i="122"/>
  <c r="F1605" i="122"/>
  <c r="H935" i="122"/>
  <c r="N935" i="122" s="1"/>
  <c r="F2633" i="122"/>
  <c r="H1963" i="122"/>
  <c r="N1963" i="122" s="1"/>
  <c r="H1270" i="122"/>
  <c r="N1270" i="122" s="1"/>
  <c r="F1940" i="122"/>
  <c r="F1684" i="122"/>
  <c r="H1014" i="122"/>
  <c r="N1014" i="122" s="1"/>
  <c r="F1428" i="122"/>
  <c r="H758" i="122"/>
  <c r="N758" i="122" s="1"/>
  <c r="F1484" i="122"/>
  <c r="H814" i="122"/>
  <c r="N814" i="122" s="1"/>
  <c r="F2577" i="122"/>
  <c r="H1907" i="122"/>
  <c r="N1907" i="122" s="1"/>
  <c r="H899" i="122"/>
  <c r="N899" i="122" s="1"/>
  <c r="F1569" i="122"/>
  <c r="F1671" i="122"/>
  <c r="H1001" i="122"/>
  <c r="N1001" i="122" s="1"/>
  <c r="G2723" i="122"/>
  <c r="G3393" i="122" s="1"/>
  <c r="G4063" i="122" s="1"/>
  <c r="G4733" i="122" s="1"/>
  <c r="O2053" i="122"/>
  <c r="P2053" i="122" s="1"/>
  <c r="F1512" i="122"/>
  <c r="H842" i="122"/>
  <c r="N842" i="122" s="1"/>
  <c r="F1384" i="122"/>
  <c r="H714" i="122"/>
  <c r="N714" i="122" s="1"/>
  <c r="H695" i="122"/>
  <c r="N695" i="122" s="1"/>
  <c r="F1365" i="122"/>
  <c r="H1222" i="122"/>
  <c r="N1222" i="122" s="1"/>
  <c r="F1892" i="122"/>
  <c r="H1094" i="122"/>
  <c r="N1094" i="122" s="1"/>
  <c r="F1764" i="122"/>
  <c r="F1636" i="122"/>
  <c r="H966" i="122"/>
  <c r="N966" i="122" s="1"/>
  <c r="H838" i="122"/>
  <c r="N838" i="122" s="1"/>
  <c r="F1508" i="122"/>
  <c r="F1380" i="122"/>
  <c r="H710" i="122"/>
  <c r="N710" i="122" s="1"/>
  <c r="F2441" i="122"/>
  <c r="H1771" i="122"/>
  <c r="N1771" i="122" s="1"/>
  <c r="F1777" i="122"/>
  <c r="H1107" i="122"/>
  <c r="N1107" i="122" s="1"/>
  <c r="F1649" i="122"/>
  <c r="H979" i="122"/>
  <c r="N979" i="122" s="1"/>
  <c r="H723" i="122"/>
  <c r="N723" i="122" s="1"/>
  <c r="F1393" i="122"/>
  <c r="F1895" i="122"/>
  <c r="H1225" i="122"/>
  <c r="N1225" i="122" s="1"/>
  <c r="H713" i="122"/>
  <c r="N713" i="122" s="1"/>
  <c r="F1383" i="122"/>
  <c r="H968" i="122"/>
  <c r="N968" i="122" s="1"/>
  <c r="F1638" i="122"/>
  <c r="F1510" i="122"/>
  <c r="H840" i="122"/>
  <c r="N840" i="122" s="1"/>
  <c r="F1567" i="122"/>
  <c r="H897" i="122"/>
  <c r="N897" i="122" s="1"/>
  <c r="H869" i="122"/>
  <c r="N869" i="122" s="1"/>
  <c r="F1539" i="122"/>
  <c r="F2013" i="122"/>
  <c r="H1343" i="122"/>
  <c r="N1343" i="122" s="1"/>
  <c r="F1437" i="122"/>
  <c r="H767" i="122"/>
  <c r="N767" i="122" s="1"/>
  <c r="F1426" i="122"/>
  <c r="H756" i="122"/>
  <c r="N756" i="122" s="1"/>
  <c r="F1471" i="122"/>
  <c r="H801" i="122"/>
  <c r="N801" i="122" s="1"/>
  <c r="F1387" i="122"/>
  <c r="H717" i="122"/>
  <c r="N717" i="122" s="1"/>
  <c r="F1386" i="122"/>
  <c r="H716" i="122"/>
  <c r="N716" i="122" s="1"/>
  <c r="H1218" i="122"/>
  <c r="N1218" i="122" s="1"/>
  <c r="F1888" i="122"/>
  <c r="H1090" i="122"/>
  <c r="N1090" i="122" s="1"/>
  <c r="F1760" i="122"/>
  <c r="H1135" i="122"/>
  <c r="N1135" i="122" s="1"/>
  <c r="F1805" i="122"/>
  <c r="H1342" i="122"/>
  <c r="N1342" i="122" s="1"/>
  <c r="F2012" i="122"/>
  <c r="F1884" i="122"/>
  <c r="H1214" i="122"/>
  <c r="N1214" i="122" s="1"/>
  <c r="H1086" i="122"/>
  <c r="N1086" i="122" s="1"/>
  <c r="F1756" i="122"/>
  <c r="H958" i="122"/>
  <c r="N958" i="122" s="1"/>
  <c r="F1628" i="122"/>
  <c r="H1198" i="122"/>
  <c r="N1198" i="122" s="1"/>
  <c r="F1868" i="122"/>
  <c r="H859" i="122"/>
  <c r="N859" i="122" s="1"/>
  <c r="F1529" i="122"/>
  <c r="H781" i="122"/>
  <c r="N781" i="122" s="1"/>
  <c r="F1451" i="122"/>
  <c r="H1163" i="122"/>
  <c r="N1163" i="122" s="1"/>
  <c r="F1833" i="122"/>
  <c r="H1261" i="122"/>
  <c r="N1261" i="122" s="1"/>
  <c r="F1559" i="122"/>
  <c r="H889" i="122"/>
  <c r="N889" i="122" s="1"/>
  <c r="H1344" i="122"/>
  <c r="N1344" i="122" s="1"/>
  <c r="F2014" i="122"/>
  <c r="F1758" i="122"/>
  <c r="H1088" i="122"/>
  <c r="N1088" i="122" s="1"/>
  <c r="H704" i="122"/>
  <c r="N704" i="122" s="1"/>
  <c r="F1374" i="122"/>
  <c r="F1543" i="122"/>
  <c r="H873" i="122"/>
  <c r="N873" i="122" s="1"/>
  <c r="F1885" i="122"/>
  <c r="H1215" i="122"/>
  <c r="N1215" i="122" s="1"/>
  <c r="F1689" i="122"/>
  <c r="H1019" i="122"/>
  <c r="N1019" i="122" s="1"/>
  <c r="F1411" i="122"/>
  <c r="H741" i="122"/>
  <c r="N741" i="122" s="1"/>
  <c r="H1148" i="122"/>
  <c r="N1148" i="122" s="1"/>
  <c r="F1818" i="122"/>
  <c r="F1957" i="122"/>
  <c r="H1287" i="122"/>
  <c r="N1287" i="122" s="1"/>
  <c r="G2177" i="122"/>
  <c r="G2847" i="122" s="1"/>
  <c r="G3517" i="122" s="1"/>
  <c r="G4187" i="122" s="1"/>
  <c r="G4857" i="122" s="1"/>
  <c r="O1507" i="122"/>
  <c r="P1507" i="122" s="1"/>
  <c r="H1238" i="122"/>
  <c r="N1238" i="122" s="1"/>
  <c r="F1908" i="122"/>
  <c r="H1110" i="122"/>
  <c r="N1110" i="122" s="1"/>
  <c r="F1780" i="122"/>
  <c r="F1652" i="122"/>
  <c r="H982" i="122"/>
  <c r="N982" i="122" s="1"/>
  <c r="F1524" i="122"/>
  <c r="H854" i="122"/>
  <c r="N854" i="122" s="1"/>
  <c r="F1396" i="122"/>
  <c r="H726" i="122"/>
  <c r="N726" i="122" s="1"/>
  <c r="F1699" i="122"/>
  <c r="H1029" i="122"/>
  <c r="N1029" i="122" s="1"/>
  <c r="F1890" i="122"/>
  <c r="H1220" i="122"/>
  <c r="N1220" i="122" s="1"/>
  <c r="F1793" i="122"/>
  <c r="H1123" i="122"/>
  <c r="N1123" i="122" s="1"/>
  <c r="H995" i="122"/>
  <c r="N995" i="122" s="1"/>
  <c r="F1665" i="122"/>
  <c r="H867" i="122"/>
  <c r="N867" i="122" s="1"/>
  <c r="F1537" i="122"/>
  <c r="F1409" i="122"/>
  <c r="H739" i="122"/>
  <c r="N739" i="122" s="1"/>
  <c r="H925" i="122"/>
  <c r="N925" i="122" s="1"/>
  <c r="F1595" i="122"/>
  <c r="F1863" i="122"/>
  <c r="H1193" i="122"/>
  <c r="N1193" i="122" s="1"/>
  <c r="H937" i="122"/>
  <c r="N937" i="122" s="1"/>
  <c r="F1607" i="122"/>
  <c r="H681" i="122"/>
  <c r="N681" i="122" s="1"/>
  <c r="F1351" i="122"/>
  <c r="H856" i="122"/>
  <c r="N856" i="122" s="1"/>
  <c r="F1526" i="122"/>
  <c r="H917" i="122"/>
  <c r="N917" i="122" s="1"/>
  <c r="F1587" i="122"/>
  <c r="F1855" i="122"/>
  <c r="H1185" i="122"/>
  <c r="N1185" i="122" s="1"/>
  <c r="F1875" i="122"/>
  <c r="H1205" i="122"/>
  <c r="N1205" i="122" s="1"/>
  <c r="F1746" i="122"/>
  <c r="H1076" i="122"/>
  <c r="N1076" i="122" s="1"/>
  <c r="F1945" i="122"/>
  <c r="H1275" i="122"/>
  <c r="N1275" i="122" s="1"/>
  <c r="F1614" i="122"/>
  <c r="H944" i="122"/>
  <c r="N944" i="122" s="1"/>
  <c r="H1995" i="122"/>
  <c r="F2665" i="122"/>
  <c r="H1308" i="122"/>
  <c r="N1308" i="122" s="1"/>
  <c r="F1978" i="122"/>
  <c r="F1722" i="122"/>
  <c r="H1052" i="122"/>
  <c r="N1052" i="122" s="1"/>
  <c r="F1466" i="122"/>
  <c r="H796" i="122"/>
  <c r="N796" i="122" s="1"/>
  <c r="H1322" i="122"/>
  <c r="H1194" i="122"/>
  <c r="N1194" i="122" s="1"/>
  <c r="F1864" i="122"/>
  <c r="H1066" i="122"/>
  <c r="N1066" i="122" s="1"/>
  <c r="F1736" i="122"/>
  <c r="H938" i="122"/>
  <c r="N938" i="122" s="1"/>
  <c r="F1608" i="122"/>
  <c r="H1303" i="122"/>
  <c r="N1303" i="122" s="1"/>
  <c r="F1973" i="122"/>
  <c r="H1175" i="122"/>
  <c r="N1175" i="122" s="1"/>
  <c r="F1845" i="122"/>
  <c r="F1604" i="122"/>
  <c r="H934" i="122"/>
  <c r="N934" i="122" s="1"/>
  <c r="H1262" i="122"/>
  <c r="N1262" i="122" s="1"/>
  <c r="F1932" i="122"/>
  <c r="F1817" i="122"/>
  <c r="H1147" i="122"/>
  <c r="N1147" i="122" s="1"/>
  <c r="F1827" i="122"/>
  <c r="H1157" i="122"/>
  <c r="N1157" i="122" s="1"/>
  <c r="F1922" i="122"/>
  <c r="H1252" i="122"/>
  <c r="N1252" i="122" s="1"/>
  <c r="F1666" i="122"/>
  <c r="H996" i="122"/>
  <c r="N996" i="122" s="1"/>
  <c r="H740" i="122"/>
  <c r="N740" i="122" s="1"/>
  <c r="F1410" i="122"/>
  <c r="F1905" i="122"/>
  <c r="H1235" i="122"/>
  <c r="N1235" i="122" s="1"/>
  <c r="H851" i="122"/>
  <c r="N851" i="122" s="1"/>
  <c r="F1521" i="122"/>
  <c r="F1675" i="122"/>
  <c r="H1005" i="122"/>
  <c r="N1005" i="122" s="1"/>
  <c r="F1639" i="122"/>
  <c r="H969" i="122"/>
  <c r="N969" i="122" s="1"/>
  <c r="F1894" i="122"/>
  <c r="H1224" i="122"/>
  <c r="N1224" i="122" s="1"/>
  <c r="F1766" i="122"/>
  <c r="H1096" i="122"/>
  <c r="N1096" i="122" s="1"/>
  <c r="F1382" i="122"/>
  <c r="H712" i="122"/>
  <c r="N712" i="122" s="1"/>
  <c r="F1507" i="122"/>
  <c r="H837" i="122"/>
  <c r="N837" i="122" s="1"/>
  <c r="F1759" i="122"/>
  <c r="H1089" i="122"/>
  <c r="N1089" i="122" s="1"/>
  <c r="F1503" i="122"/>
  <c r="H833" i="122"/>
  <c r="N833" i="122" s="1"/>
  <c r="H1138" i="122"/>
  <c r="N1138" i="122" s="1"/>
  <c r="F1808" i="122"/>
  <c r="F1520" i="122"/>
  <c r="H850" i="122"/>
  <c r="N850" i="122" s="1"/>
  <c r="F2537" i="122"/>
  <c r="H1867" i="122"/>
  <c r="N1867" i="122" s="1"/>
  <c r="H891" i="122"/>
  <c r="N891" i="122" s="1"/>
  <c r="F1561" i="122"/>
  <c r="F1911" i="122"/>
  <c r="H1241" i="122"/>
  <c r="N1241" i="122" s="1"/>
  <c r="H1168" i="122"/>
  <c r="N1168" i="122" s="1"/>
  <c r="F1838" i="122"/>
  <c r="F1518" i="122"/>
  <c r="H848" i="122"/>
  <c r="N848" i="122" s="1"/>
  <c r="H721" i="122"/>
  <c r="N721" i="122" s="1"/>
  <c r="F1391" i="122"/>
  <c r="F1795" i="122"/>
  <c r="H1125" i="122"/>
  <c r="N1125" i="122" s="1"/>
  <c r="F1898" i="122"/>
  <c r="H1228" i="122"/>
  <c r="N1228" i="122" s="1"/>
  <c r="F1642" i="122"/>
  <c r="H972" i="122"/>
  <c r="N972" i="122" s="1"/>
  <c r="H962" i="122"/>
  <c r="N962" i="122" s="1"/>
  <c r="F1632" i="122"/>
  <c r="F1504" i="122"/>
  <c r="H834" i="122"/>
  <c r="N834" i="122" s="1"/>
  <c r="F1376" i="122"/>
  <c r="H706" i="122"/>
  <c r="N706" i="122" s="1"/>
  <c r="H1263" i="122"/>
  <c r="N1263" i="122" s="1"/>
  <c r="F1933" i="122"/>
  <c r="H1007" i="122"/>
  <c r="N1007" i="122" s="1"/>
  <c r="F1677" i="122"/>
  <c r="H879" i="122"/>
  <c r="N879" i="122" s="1"/>
  <c r="F1549" i="122"/>
  <c r="H751" i="122"/>
  <c r="N751" i="122" s="1"/>
  <c r="F1421" i="122"/>
  <c r="F1851" i="122"/>
  <c r="H1181" i="122"/>
  <c r="N1181" i="122" s="1"/>
  <c r="F1500" i="122"/>
  <c r="H830" i="122"/>
  <c r="N830" i="122" s="1"/>
  <c r="F1372" i="122"/>
  <c r="H702" i="122"/>
  <c r="N702" i="122" s="1"/>
  <c r="F1661" i="122"/>
  <c r="H991" i="122"/>
  <c r="N991" i="122" s="1"/>
  <c r="F1548" i="122"/>
  <c r="H878" i="122"/>
  <c r="N878" i="122" s="1"/>
  <c r="F1902" i="122"/>
  <c r="H1232" i="122"/>
  <c r="N1232" i="122" s="1"/>
  <c r="F1775" i="122"/>
  <c r="H1105" i="122"/>
  <c r="N1105" i="122" s="1"/>
  <c r="F1778" i="122"/>
  <c r="H1108" i="122"/>
  <c r="N1108" i="122" s="1"/>
  <c r="F1522" i="122"/>
  <c r="H852" i="122"/>
  <c r="N852" i="122" s="1"/>
  <c r="F1961" i="122"/>
  <c r="H1291" i="122"/>
  <c r="N1291" i="122" s="1"/>
  <c r="H1035" i="122"/>
  <c r="N1035" i="122" s="1"/>
  <c r="F1705" i="122"/>
  <c r="H907" i="122"/>
  <c r="N907" i="122" s="1"/>
  <c r="F1577" i="122"/>
  <c r="F1449" i="122"/>
  <c r="H779" i="122"/>
  <c r="N779" i="122" s="1"/>
  <c r="F2601" i="122"/>
  <c r="H1931" i="122"/>
  <c r="N1931" i="122" s="1"/>
  <c r="F1350" i="122"/>
  <c r="H680" i="122"/>
  <c r="H1081" i="122"/>
  <c r="N1081" i="122" s="1"/>
  <c r="F1751" i="122"/>
  <c r="F1495" i="122"/>
  <c r="H825" i="122"/>
  <c r="N825" i="122" s="1"/>
  <c r="F1598" i="122"/>
  <c r="H928" i="122"/>
  <c r="N928" i="122" s="1"/>
  <c r="F1470" i="122"/>
  <c r="H800" i="122"/>
  <c r="N800" i="122" s="1"/>
  <c r="F1743" i="122"/>
  <c r="H1073" i="122"/>
  <c r="N1073" i="122" s="1"/>
  <c r="F1479" i="122"/>
  <c r="H809" i="122"/>
  <c r="N809" i="122" s="1"/>
  <c r="G2176" i="122"/>
  <c r="G2846" i="122" s="1"/>
  <c r="G3516" i="122" s="1"/>
  <c r="G4186" i="122" s="1"/>
  <c r="G4856" i="122" s="1"/>
  <c r="O1506" i="122"/>
  <c r="P1506" i="122" s="1"/>
  <c r="F1810" i="122"/>
  <c r="H1140" i="122"/>
  <c r="N1140" i="122" s="1"/>
  <c r="H1245" i="122"/>
  <c r="N1245" i="122" s="1"/>
  <c r="F2008" i="122"/>
  <c r="H1338" i="122"/>
  <c r="N1338" i="122" s="1"/>
  <c r="H1210" i="122"/>
  <c r="N1210" i="122" s="1"/>
  <c r="F1880" i="122"/>
  <c r="H1082" i="122"/>
  <c r="N1082" i="122" s="1"/>
  <c r="F1752" i="122"/>
  <c r="F1624" i="122"/>
  <c r="H954" i="122"/>
  <c r="N954" i="122" s="1"/>
  <c r="F1496" i="122"/>
  <c r="H826" i="122"/>
  <c r="N826" i="122" s="1"/>
  <c r="F1368" i="122"/>
  <c r="H698" i="122"/>
  <c r="N698" i="122" s="1"/>
  <c r="H871" i="122"/>
  <c r="N871" i="122" s="1"/>
  <c r="F1541" i="122"/>
  <c r="F1413" i="122"/>
  <c r="H743" i="122"/>
  <c r="N743" i="122" s="1"/>
  <c r="F1876" i="122"/>
  <c r="H1206" i="122"/>
  <c r="N1206" i="122" s="1"/>
  <c r="F1620" i="122"/>
  <c r="H950" i="122"/>
  <c r="N950" i="122" s="1"/>
  <c r="H1179" i="122"/>
  <c r="N1179" i="122" s="1"/>
  <c r="F1849" i="122"/>
  <c r="F1774" i="122"/>
  <c r="H1104" i="122"/>
  <c r="N1104" i="122" s="1"/>
  <c r="H901" i="122"/>
  <c r="N901" i="122" s="1"/>
  <c r="F1571" i="122"/>
  <c r="H1251" i="122"/>
  <c r="N1251" i="122" s="1"/>
  <c r="F1921" i="122"/>
  <c r="F1910" i="122"/>
  <c r="H1240" i="122"/>
  <c r="N1240" i="122" s="1"/>
  <c r="F1782" i="122"/>
  <c r="H1112" i="122"/>
  <c r="N1112" i="122" s="1"/>
  <c r="F1654" i="122"/>
  <c r="H984" i="122"/>
  <c r="N984" i="122" s="1"/>
  <c r="F1398" i="122"/>
  <c r="H728" i="122"/>
  <c r="N728" i="122" s="1"/>
  <c r="H929" i="122"/>
  <c r="N929" i="122" s="1"/>
  <c r="F1599" i="122"/>
  <c r="F1930" i="122"/>
  <c r="H1260" i="122"/>
  <c r="N1260" i="122" s="1"/>
  <c r="F1674" i="122"/>
  <c r="H1004" i="122"/>
  <c r="N1004" i="122" s="1"/>
  <c r="H1234" i="122"/>
  <c r="N1234" i="122" s="1"/>
  <c r="F1904" i="122"/>
  <c r="F1680" i="122"/>
  <c r="H1010" i="122"/>
  <c r="N1010" i="122" s="1"/>
  <c r="F1424" i="122"/>
  <c r="H754" i="122"/>
  <c r="N754" i="122" s="1"/>
  <c r="F1693" i="122"/>
  <c r="H1023" i="122"/>
  <c r="N1023" i="122" s="1"/>
  <c r="H933" i="122"/>
  <c r="N933" i="122" s="1"/>
  <c r="F1603" i="122"/>
  <c r="F1516" i="122"/>
  <c r="H846" i="122"/>
  <c r="N846" i="122" s="1"/>
  <c r="H923" i="122"/>
  <c r="N923" i="122" s="1"/>
  <c r="F1593" i="122"/>
  <c r="F1839" i="122"/>
  <c r="H1169" i="122"/>
  <c r="N1169" i="122" s="1"/>
  <c r="F1480" i="122"/>
  <c r="H810" i="122"/>
  <c r="N810" i="122" s="1"/>
  <c r="H791" i="122"/>
  <c r="N791" i="122" s="1"/>
  <c r="F1461" i="122"/>
  <c r="H1062" i="122"/>
  <c r="N1062" i="122" s="1"/>
  <c r="F1732" i="122"/>
  <c r="F1476" i="122"/>
  <c r="H806" i="122"/>
  <c r="N806" i="122" s="1"/>
  <c r="F1602" i="122"/>
  <c r="H932" i="122"/>
  <c r="N932" i="122" s="1"/>
  <c r="F1873" i="122"/>
  <c r="H1203" i="122"/>
  <c r="N1203" i="122" s="1"/>
  <c r="H947" i="122"/>
  <c r="N947" i="122" s="1"/>
  <c r="F1617" i="122"/>
  <c r="H819" i="122"/>
  <c r="N819" i="122" s="1"/>
  <c r="F1489" i="122"/>
  <c r="F1523" i="122"/>
  <c r="H853" i="122"/>
  <c r="N853" i="122" s="1"/>
  <c r="F1831" i="122"/>
  <c r="H1161" i="122"/>
  <c r="N1161" i="122" s="1"/>
  <c r="F1606" i="122"/>
  <c r="H936" i="122"/>
  <c r="N936" i="122" s="1"/>
  <c r="F1478" i="122"/>
  <c r="H808" i="122"/>
  <c r="N808" i="122" s="1"/>
  <c r="F1998" i="122"/>
  <c r="H1328" i="122"/>
  <c r="N1328" i="122" s="1"/>
  <c r="H1186" i="122"/>
  <c r="N1186" i="122" s="1"/>
  <c r="F1856" i="122"/>
  <c r="F1600" i="122"/>
  <c r="H930" i="122"/>
  <c r="N930" i="122" s="1"/>
  <c r="F1901" i="122"/>
  <c r="H1231" i="122"/>
  <c r="N1231" i="122" s="1"/>
  <c r="H847" i="122"/>
  <c r="N847" i="122" s="1"/>
  <c r="F1517" i="122"/>
  <c r="F1726" i="122"/>
  <c r="H1056" i="122"/>
  <c r="N1056" i="122" s="1"/>
  <c r="F2007" i="122"/>
  <c r="H1337" i="122"/>
  <c r="N1337" i="122" s="1"/>
  <c r="F1757" i="122"/>
  <c r="H1087" i="122"/>
  <c r="N1087" i="122" s="1"/>
  <c r="F2681" i="122"/>
  <c r="H2011" i="122"/>
  <c r="F1754" i="122"/>
  <c r="H1084" i="122"/>
  <c r="N1084" i="122" s="1"/>
  <c r="F1925" i="122"/>
  <c r="H1255" i="122"/>
  <c r="N1255" i="122" s="1"/>
  <c r="H999" i="122"/>
  <c r="N999" i="122" s="1"/>
  <c r="F1669" i="122"/>
  <c r="F1643" i="122"/>
  <c r="H973" i="122"/>
  <c r="N973" i="122" s="1"/>
  <c r="H1334" i="122"/>
  <c r="N1334" i="122" s="1"/>
  <c r="F2004" i="122"/>
  <c r="H1078" i="122"/>
  <c r="N1078" i="122" s="1"/>
  <c r="F1748" i="122"/>
  <c r="F1492" i="122"/>
  <c r="H822" i="122"/>
  <c r="N822" i="122" s="1"/>
  <c r="F1826" i="122"/>
  <c r="H1156" i="122"/>
  <c r="N1156" i="122" s="1"/>
  <c r="F1799" i="122"/>
  <c r="H1129" i="122"/>
  <c r="N1129" i="122" s="1"/>
  <c r="F1878" i="122"/>
  <c r="H1208" i="122"/>
  <c r="N1208" i="122" s="1"/>
  <c r="F1750" i="122"/>
  <c r="H1080" i="122"/>
  <c r="N1080" i="122" s="1"/>
  <c r="F1622" i="122"/>
  <c r="H952" i="122"/>
  <c r="N952" i="122" s="1"/>
  <c r="F1494" i="122"/>
  <c r="H824" i="122"/>
  <c r="N824" i="122" s="1"/>
  <c r="F1791" i="122"/>
  <c r="H1121" i="122"/>
  <c r="N1121" i="122" s="1"/>
  <c r="H857" i="122"/>
  <c r="N857" i="122" s="1"/>
  <c r="F1527" i="122"/>
  <c r="F1546" i="122"/>
  <c r="H876" i="122"/>
  <c r="N876" i="122" s="1"/>
  <c r="F1616" i="122"/>
  <c r="H946" i="122"/>
  <c r="N946" i="122" s="1"/>
  <c r="F1501" i="122"/>
  <c r="H831" i="122"/>
  <c r="N831" i="122" s="1"/>
  <c r="F1435" i="122"/>
  <c r="H765" i="122"/>
  <c r="N765" i="122" s="1"/>
  <c r="F1618" i="122"/>
  <c r="H948" i="122"/>
  <c r="N948" i="122" s="1"/>
  <c r="F1583" i="122"/>
  <c r="H913" i="122"/>
  <c r="N913" i="122" s="1"/>
  <c r="H1835" i="122"/>
  <c r="N1835" i="122" s="1"/>
  <c r="F2505" i="122"/>
  <c r="F1914" i="122"/>
  <c r="H1244" i="122"/>
  <c r="N1244" i="122" s="1"/>
  <c r="F1658" i="122"/>
  <c r="H988" i="122"/>
  <c r="N988" i="122" s="1"/>
  <c r="H1290" i="122"/>
  <c r="N1290" i="122" s="1"/>
  <c r="F1960" i="122"/>
  <c r="H1162" i="122"/>
  <c r="N1162" i="122" s="1"/>
  <c r="F1832" i="122"/>
  <c r="F1941" i="122"/>
  <c r="H1271" i="122"/>
  <c r="N1271" i="122" s="1"/>
  <c r="F1813" i="122"/>
  <c r="H1143" i="122"/>
  <c r="N1143" i="122" s="1"/>
  <c r="H887" i="122"/>
  <c r="N887" i="122" s="1"/>
  <c r="F1557" i="122"/>
  <c r="H1286" i="122"/>
  <c r="N1286" i="122" s="1"/>
  <c r="F1956" i="122"/>
  <c r="H974" i="122"/>
  <c r="N974" i="122" s="1"/>
  <c r="F1644" i="122"/>
  <c r="H731" i="122"/>
  <c r="N731" i="122" s="1"/>
  <c r="F1401" i="122"/>
  <c r="F1651" i="122"/>
  <c r="H981" i="122"/>
  <c r="N981" i="122" s="1"/>
  <c r="F1858" i="122"/>
  <c r="H1188" i="122"/>
  <c r="N1188" i="122" s="1"/>
  <c r="H1331" i="122"/>
  <c r="N1331" i="122" s="1"/>
  <c r="F2001" i="122"/>
  <c r="H691" i="122"/>
  <c r="N691" i="122" s="1"/>
  <c r="F1361" i="122"/>
  <c r="F1575" i="122"/>
  <c r="H905" i="122"/>
  <c r="N905" i="122" s="1"/>
  <c r="F1862" i="122"/>
  <c r="H1192" i="122"/>
  <c r="N1192" i="122" s="1"/>
  <c r="F1971" i="122"/>
  <c r="H1301" i="122"/>
  <c r="N1301" i="122" s="1"/>
  <c r="H761" i="122"/>
  <c r="N761" i="122" s="1"/>
  <c r="F1431" i="122"/>
  <c r="F1712" i="122"/>
  <c r="H1042" i="122"/>
  <c r="N1042" i="122" s="1"/>
  <c r="F1456" i="122"/>
  <c r="H786" i="122"/>
  <c r="N786" i="122" s="1"/>
  <c r="F1804" i="122"/>
  <c r="H1134" i="122"/>
  <c r="N1134" i="122" s="1"/>
  <c r="F1379" i="122"/>
  <c r="H709" i="122"/>
  <c r="N709" i="122" s="1"/>
  <c r="F1913" i="122"/>
  <c r="H1243" i="122"/>
  <c r="N1243" i="122" s="1"/>
  <c r="H699" i="122"/>
  <c r="N699" i="122" s="1"/>
  <c r="F1369" i="122"/>
  <c r="F1847" i="122"/>
  <c r="H1177" i="122"/>
  <c r="N1177" i="122" s="1"/>
  <c r="F1806" i="122"/>
  <c r="H1136" i="122"/>
  <c r="N1136" i="122" s="1"/>
  <c r="F2092" i="122"/>
  <c r="H1422" i="122"/>
  <c r="N1422" i="122" s="1"/>
  <c r="F1903" i="122"/>
  <c r="H1233" i="122"/>
  <c r="N1233" i="122" s="1"/>
  <c r="H949" i="122"/>
  <c r="N949" i="122" s="1"/>
  <c r="F1619" i="122"/>
  <c r="H1164" i="122"/>
  <c r="N1164" i="122" s="1"/>
  <c r="F1834" i="122"/>
  <c r="F1728" i="122"/>
  <c r="H1058" i="122"/>
  <c r="N1058" i="122" s="1"/>
  <c r="F1472" i="122"/>
  <c r="H802" i="122"/>
  <c r="N802" i="122" s="1"/>
  <c r="F1645" i="122"/>
  <c r="H975" i="122"/>
  <c r="N975" i="122" s="1"/>
  <c r="H719" i="122"/>
  <c r="N719" i="122" s="1"/>
  <c r="F1389" i="122"/>
  <c r="F1683" i="122"/>
  <c r="H1013" i="122"/>
  <c r="N1013" i="122" s="1"/>
  <c r="H1310" i="122"/>
  <c r="N1310" i="122" s="1"/>
  <c r="F1980" i="122"/>
  <c r="H1182" i="122"/>
  <c r="N1182" i="122" s="1"/>
  <c r="F1852" i="122"/>
  <c r="F1724" i="122"/>
  <c r="H1054" i="122"/>
  <c r="N1054" i="122" s="1"/>
  <c r="F1468" i="122"/>
  <c r="H798" i="122"/>
  <c r="N798" i="122" s="1"/>
  <c r="H1266" i="122"/>
  <c r="N1266" i="122" s="1"/>
  <c r="F1936" i="122"/>
  <c r="H1326" i="122"/>
  <c r="N1326" i="122" s="1"/>
  <c r="F1996" i="122"/>
  <c r="H1166" i="122"/>
  <c r="N1166" i="122" s="1"/>
  <c r="F1836" i="122"/>
  <c r="F1452" i="122"/>
  <c r="H782" i="122"/>
  <c r="N782" i="122" s="1"/>
  <c r="F1983" i="122"/>
  <c r="F1646" i="122"/>
  <c r="H976" i="122"/>
  <c r="N976" i="122" s="1"/>
  <c r="F2617" i="122"/>
  <c r="H1947" i="122"/>
  <c r="N1947" i="122" s="1"/>
  <c r="F1714" i="122"/>
  <c r="H1044" i="122"/>
  <c r="N1044" i="122" s="1"/>
  <c r="F1458" i="122"/>
  <c r="H788" i="122"/>
  <c r="N788" i="122" s="1"/>
  <c r="H1259" i="122"/>
  <c r="N1259" i="122" s="1"/>
  <c r="F1929" i="122"/>
  <c r="H1003" i="122"/>
  <c r="N1003" i="122" s="1"/>
  <c r="F1673" i="122"/>
  <c r="F1545" i="122"/>
  <c r="H875" i="122"/>
  <c r="N875" i="122" s="1"/>
  <c r="F1779" i="122"/>
  <c r="H1109" i="122"/>
  <c r="N1109" i="122" s="1"/>
  <c r="F1951" i="122"/>
  <c r="H1281" i="122"/>
  <c r="N1281" i="122" s="1"/>
  <c r="F1687" i="122"/>
  <c r="H1017" i="122"/>
  <c r="N1017" i="122" s="1"/>
  <c r="F1439" i="122"/>
  <c r="H769" i="122"/>
  <c r="N769" i="122" s="1"/>
  <c r="F1822" i="122"/>
  <c r="H1152" i="122"/>
  <c r="N1152" i="122" s="1"/>
  <c r="F1438" i="122"/>
  <c r="H768" i="122"/>
  <c r="N768" i="122" s="1"/>
  <c r="F1679" i="122"/>
  <c r="H1009" i="122"/>
  <c r="N1009" i="122" s="1"/>
  <c r="H745" i="122"/>
  <c r="N745" i="122" s="1"/>
  <c r="F1415" i="122"/>
  <c r="H1202" i="122"/>
  <c r="N1202" i="122" s="1"/>
  <c r="F1872" i="122"/>
  <c r="F1407" i="122"/>
  <c r="H737" i="122"/>
  <c r="N737" i="122" s="1"/>
  <c r="H1041" i="122"/>
  <c r="N1041" i="122" s="1"/>
  <c r="F1711" i="122"/>
  <c r="F1755" i="122"/>
  <c r="H1085" i="122"/>
  <c r="N1085" i="122" s="1"/>
  <c r="F1946" i="122"/>
  <c r="H1276" i="122"/>
  <c r="N1276" i="122" s="1"/>
  <c r="F1434" i="122"/>
  <c r="H764" i="122"/>
  <c r="N764" i="122" s="1"/>
  <c r="F1976" i="122"/>
  <c r="H1306" i="122"/>
  <c r="N1306" i="122" s="1"/>
  <c r="F1848" i="122"/>
  <c r="H1178" i="122"/>
  <c r="N1178" i="122" s="1"/>
  <c r="F1720" i="122"/>
  <c r="H1050" i="122"/>
  <c r="N1050" i="122" s="1"/>
  <c r="F1592" i="122"/>
  <c r="H922" i="122"/>
  <c r="N922" i="122" s="1"/>
  <c r="F1464" i="122"/>
  <c r="H794" i="122"/>
  <c r="N794" i="122" s="1"/>
  <c r="G2921" i="122"/>
  <c r="G3591" i="122" s="1"/>
  <c r="G4261" i="122" s="1"/>
  <c r="G4931" i="122" s="1"/>
  <c r="O2251" i="122"/>
  <c r="P2251" i="122" s="1"/>
  <c r="H839" i="122"/>
  <c r="N839" i="122" s="1"/>
  <c r="F1509" i="122"/>
  <c r="H813" i="122"/>
  <c r="N813" i="122" s="1"/>
  <c r="F1483" i="122"/>
  <c r="H763" i="122"/>
  <c r="N763" i="122" s="1"/>
  <c r="F1433" i="122"/>
  <c r="H749" i="122"/>
  <c r="N749" i="122" s="1"/>
  <c r="F1419" i="122"/>
  <c r="F1889" i="122"/>
  <c r="H1219" i="122"/>
  <c r="N1219" i="122" s="1"/>
  <c r="F1505" i="122"/>
  <c r="H835" i="122"/>
  <c r="N835" i="122" s="1"/>
  <c r="F1443" i="122"/>
  <c r="H773" i="122"/>
  <c r="N773" i="122" s="1"/>
  <c r="F2006" i="122"/>
  <c r="H1336" i="122"/>
  <c r="N1336" i="122" s="1"/>
  <c r="H696" i="122"/>
  <c r="N696" i="122" s="1"/>
  <c r="F1366" i="122"/>
  <c r="H757" i="122"/>
  <c r="N757" i="122" s="1"/>
  <c r="F1427" i="122"/>
  <c r="F1715" i="122"/>
  <c r="H1045" i="122"/>
  <c r="N1045" i="122" s="1"/>
  <c r="F1866" i="122"/>
  <c r="H1196" i="122"/>
  <c r="N1196" i="122" s="1"/>
  <c r="F1840" i="122"/>
  <c r="H1170" i="122"/>
  <c r="N1170" i="122" s="1"/>
  <c r="F1360" i="122"/>
  <c r="H690" i="122"/>
  <c r="N690" i="122" s="1"/>
  <c r="F1356" i="122"/>
  <c r="H686" i="122"/>
  <c r="N686" i="122" s="1"/>
  <c r="F1881" i="122"/>
  <c r="H1211" i="122"/>
  <c r="N1211" i="122" s="1"/>
  <c r="H795" i="122"/>
  <c r="N795" i="122" s="1"/>
  <c r="F1465" i="122"/>
  <c r="F1550" i="122"/>
  <c r="H880" i="122"/>
  <c r="N880" i="122" s="1"/>
  <c r="F1402" i="122"/>
  <c r="H732" i="122"/>
  <c r="N732" i="122" s="1"/>
  <c r="F1352" i="122"/>
  <c r="H682" i="122"/>
  <c r="N682" i="122" s="1"/>
  <c r="F1717" i="122"/>
  <c r="H1047" i="122"/>
  <c r="N1047" i="122" s="1"/>
  <c r="H919" i="122"/>
  <c r="N919" i="122" s="1"/>
  <c r="F1589" i="122"/>
  <c r="F1891" i="122"/>
  <c r="H1221" i="122"/>
  <c r="N1221" i="122" s="1"/>
  <c r="F1943" i="122"/>
  <c r="H1273" i="122"/>
  <c r="N1273" i="122" s="1"/>
  <c r="H1190" i="122"/>
  <c r="N1190" i="122" s="1"/>
  <c r="F1860" i="122"/>
  <c r="G2787" i="122"/>
  <c r="G3457" i="122" s="1"/>
  <c r="G4127" i="122" s="1"/>
  <c r="G4797" i="122" s="1"/>
  <c r="O2117" i="122"/>
  <c r="P2117" i="122" s="1"/>
  <c r="F1745" i="122"/>
  <c r="H1075" i="122"/>
  <c r="N1075" i="122" s="1"/>
  <c r="H1320" i="122"/>
  <c r="N1320" i="122" s="1"/>
  <c r="F1990" i="122"/>
  <c r="F1734" i="122"/>
  <c r="H1064" i="122"/>
  <c r="N1064" i="122" s="1"/>
  <c r="H940" i="122"/>
  <c r="N940" i="122" s="1"/>
  <c r="F1610" i="122"/>
  <c r="F1853" i="122"/>
  <c r="H1183" i="122"/>
  <c r="N1183" i="122" s="1"/>
  <c r="F2248" i="122"/>
  <c r="H1578" i="122"/>
  <c r="N1578" i="122" s="1"/>
  <c r="F1773" i="122"/>
  <c r="H1103" i="122"/>
  <c r="N1103" i="122" s="1"/>
  <c r="F1596" i="122"/>
  <c r="H926" i="122"/>
  <c r="N926" i="122" s="1"/>
  <c r="F1533" i="122"/>
  <c r="H863" i="122"/>
  <c r="N863" i="122" s="1"/>
  <c r="H1300" i="122"/>
  <c r="N1300" i="122" s="1"/>
  <c r="F1970" i="122"/>
  <c r="F1801" i="122"/>
  <c r="H1131" i="122"/>
  <c r="N1131" i="122" s="1"/>
  <c r="H747" i="122"/>
  <c r="N747" i="122" s="1"/>
  <c r="F1417" i="122"/>
  <c r="H675" i="122"/>
  <c r="N10" i="122"/>
  <c r="H1184" i="122"/>
  <c r="N1184" i="122" s="1"/>
  <c r="F1854" i="122"/>
  <c r="F1939" i="122"/>
  <c r="H1269" i="122"/>
  <c r="N1269" i="122" s="1"/>
  <c r="H827" i="122"/>
  <c r="N827" i="122" s="1"/>
  <c r="F1497" i="122"/>
  <c r="H1915" i="122"/>
  <c r="N1915" i="122" s="1"/>
  <c r="F2585" i="122"/>
  <c r="F2010" i="122"/>
  <c r="H1340" i="122"/>
  <c r="N1340" i="122" s="1"/>
  <c r="F1498" i="122"/>
  <c r="H828" i="122"/>
  <c r="N828" i="122" s="1"/>
  <c r="F1797" i="122"/>
  <c r="H1127" i="122"/>
  <c r="N1127" i="122" s="1"/>
  <c r="F1364" i="122"/>
  <c r="H694" i="122"/>
  <c r="N694" i="122" s="1"/>
  <c r="H900" i="122"/>
  <c r="N900" i="122" s="1"/>
  <c r="F1570" i="122"/>
  <c r="G2158" i="122"/>
  <c r="G2828" i="122" s="1"/>
  <c r="G3498" i="122" s="1"/>
  <c r="G4168" i="122" s="1"/>
  <c r="G4838" i="122" s="1"/>
  <c r="O1488" i="122"/>
  <c r="P1488" i="122" s="1"/>
  <c r="F1761" i="122"/>
  <c r="H1091" i="122"/>
  <c r="N1091" i="122" s="1"/>
  <c r="F1633" i="122"/>
  <c r="H963" i="122"/>
  <c r="N963" i="122" s="1"/>
  <c r="H707" i="122"/>
  <c r="N707" i="122" s="1"/>
  <c r="F1377" i="122"/>
  <c r="F1551" i="122"/>
  <c r="H881" i="122"/>
  <c r="N881" i="122" s="1"/>
  <c r="H989" i="122"/>
  <c r="N989" i="122" s="1"/>
  <c r="F1594" i="122"/>
  <c r="H924" i="122"/>
  <c r="N924" i="122" s="1"/>
  <c r="G1350" i="122"/>
  <c r="F1704" i="122"/>
  <c r="H1034" i="122"/>
  <c r="N1034" i="122" s="1"/>
  <c r="F1576" i="122"/>
  <c r="H906" i="122"/>
  <c r="N906" i="122" s="1"/>
  <c r="F1448" i="122"/>
  <c r="H778" i="122"/>
  <c r="N778" i="122" s="1"/>
  <c r="H1015" i="122"/>
  <c r="N1015" i="122" s="1"/>
  <c r="F1685" i="122"/>
  <c r="F1429" i="122"/>
  <c r="H759" i="122"/>
  <c r="N759" i="122" s="1"/>
  <c r="H1723" i="122"/>
  <c r="N1723" i="122" s="1"/>
  <c r="F2393" i="122"/>
  <c r="H1158" i="122"/>
  <c r="N1158" i="122" s="1"/>
  <c r="F1828" i="122"/>
  <c r="F1700" i="122"/>
  <c r="H1030" i="122"/>
  <c r="N1030" i="122" s="1"/>
  <c r="F1572" i="122"/>
  <c r="H902" i="122"/>
  <c r="N902" i="122" s="1"/>
  <c r="F1444" i="122"/>
  <c r="H774" i="122"/>
  <c r="N774" i="122" s="1"/>
  <c r="F1917" i="122"/>
  <c r="H1247" i="122"/>
  <c r="N1247" i="122" s="1"/>
  <c r="F1491" i="122"/>
  <c r="H821" i="122"/>
  <c r="N821" i="122" s="1"/>
  <c r="F1538" i="122"/>
  <c r="H868" i="122"/>
  <c r="N868" i="122" s="1"/>
  <c r="F1841" i="122"/>
  <c r="H1171" i="122"/>
  <c r="N1171" i="122" s="1"/>
  <c r="H915" i="122"/>
  <c r="N915" i="122" s="1"/>
  <c r="F1585" i="122"/>
  <c r="H1309" i="122"/>
  <c r="N1309" i="122" s="1"/>
  <c r="H685" i="122"/>
  <c r="N685" i="122" s="1"/>
  <c r="F1355" i="122"/>
  <c r="F1767" i="122"/>
  <c r="H1097" i="122"/>
  <c r="N1097" i="122" s="1"/>
  <c r="F1511" i="122"/>
  <c r="H841" i="122"/>
  <c r="N841" i="122" s="1"/>
  <c r="F1958" i="122"/>
  <c r="H1288" i="122"/>
  <c r="N1288" i="122" s="1"/>
  <c r="H1133" i="122"/>
  <c r="N1133" i="122" s="1"/>
  <c r="F1959" i="122"/>
  <c r="H1289" i="122"/>
  <c r="N1289" i="122" s="1"/>
  <c r="F1695" i="122"/>
  <c r="H1025" i="122"/>
  <c r="N1025" i="122" s="1"/>
  <c r="F1874" i="122"/>
  <c r="H1204" i="122"/>
  <c r="N1204" i="122" s="1"/>
  <c r="F1719" i="122"/>
  <c r="H1049" i="122"/>
  <c r="N1049" i="122" s="1"/>
  <c r="F1459" i="122"/>
  <c r="H789" i="122"/>
  <c r="N789" i="122" s="1"/>
  <c r="H1282" i="122"/>
  <c r="N1282" i="122" s="1"/>
  <c r="F1952" i="122"/>
  <c r="H1154" i="122"/>
  <c r="N1154" i="122" s="1"/>
  <c r="F1824" i="122"/>
  <c r="F1869" i="122"/>
  <c r="H1199" i="122"/>
  <c r="N1199" i="122" s="1"/>
  <c r="F1741" i="122"/>
  <c r="H1071" i="122"/>
  <c r="N1071" i="122" s="1"/>
  <c r="H943" i="122"/>
  <c r="N943" i="122" s="1"/>
  <c r="F1613" i="122"/>
  <c r="H845" i="122"/>
  <c r="N845" i="122" s="1"/>
  <c r="F1515" i="122"/>
  <c r="F1949" i="122"/>
  <c r="H1279" i="122"/>
  <c r="N1279" i="122" s="1"/>
  <c r="H735" i="122"/>
  <c r="N735" i="122" s="1"/>
  <c r="F1405" i="122"/>
  <c r="H1113" i="122"/>
  <c r="N1113" i="122" s="1"/>
  <c r="F1783" i="122"/>
  <c r="F1906" i="122"/>
  <c r="H1236" i="122"/>
  <c r="N1236" i="122" s="1"/>
  <c r="F1394" i="122"/>
  <c r="H724" i="122"/>
  <c r="N724" i="122" s="1"/>
  <c r="F1769" i="122"/>
  <c r="H1099" i="122"/>
  <c r="N1099" i="122" s="1"/>
  <c r="F1641" i="122"/>
  <c r="H971" i="122"/>
  <c r="N971" i="122" s="1"/>
  <c r="F1950" i="122"/>
  <c r="H1280" i="122"/>
  <c r="N1280" i="122" s="1"/>
  <c r="F1694" i="122"/>
  <c r="H1024" i="122"/>
  <c r="N1024" i="122" s="1"/>
  <c r="H896" i="122"/>
  <c r="N896" i="122" s="1"/>
  <c r="F1566" i="122"/>
  <c r="F1763" i="122"/>
  <c r="H1093" i="122"/>
  <c r="N1093" i="122" s="1"/>
  <c r="F1935" i="122"/>
  <c r="H1265" i="122"/>
  <c r="N1265" i="122" s="1"/>
  <c r="F1629" i="122"/>
  <c r="H959" i="122"/>
  <c r="N959" i="122" s="1"/>
  <c r="F1554" i="122"/>
  <c r="H884" i="122"/>
  <c r="N884" i="122" s="1"/>
  <c r="F1690" i="122"/>
  <c r="H1020" i="122"/>
  <c r="N1020" i="122" s="1"/>
  <c r="H1223" i="122"/>
  <c r="N1223" i="122" s="1"/>
  <c r="F1893" i="122"/>
  <c r="F1765" i="122"/>
  <c r="H1095" i="122"/>
  <c r="N1095" i="122" s="1"/>
  <c r="H967" i="122"/>
  <c r="N967" i="122" s="1"/>
  <c r="F1637" i="122"/>
  <c r="H711" i="122"/>
  <c r="N711" i="122" s="1"/>
  <c r="F1381" i="122"/>
  <c r="H1302" i="122"/>
  <c r="N1302" i="122" s="1"/>
  <c r="F1972" i="122"/>
  <c r="F1844" i="122"/>
  <c r="H1174" i="122"/>
  <c r="N1174" i="122" s="1"/>
  <c r="F1716" i="122"/>
  <c r="H1046" i="122"/>
  <c r="N1046" i="122" s="1"/>
  <c r="F1588" i="122"/>
  <c r="H918" i="122"/>
  <c r="N918" i="122" s="1"/>
  <c r="F1460" i="122"/>
  <c r="H790" i="122"/>
  <c r="N790" i="122" s="1"/>
  <c r="F1968" i="122"/>
  <c r="H1298" i="122"/>
  <c r="N1298" i="122" s="1"/>
  <c r="F1708" i="122"/>
  <c r="H1038" i="122"/>
  <c r="N1038" i="122" s="1"/>
  <c r="F2028" i="122"/>
  <c r="H1358" i="122"/>
  <c r="N1358" i="122" s="1"/>
  <c r="F1762" i="122"/>
  <c r="H1092" i="122"/>
  <c r="N1092" i="122" s="1"/>
  <c r="F1506" i="122"/>
  <c r="H836" i="122"/>
  <c r="N836" i="122" s="1"/>
  <c r="F1857" i="122"/>
  <c r="H1187" i="122"/>
  <c r="N1187" i="122" s="1"/>
  <c r="F1729" i="122"/>
  <c r="H1059" i="122"/>
  <c r="N1059" i="122" s="1"/>
  <c r="H931" i="122"/>
  <c r="N931" i="122" s="1"/>
  <c r="F1601" i="122"/>
  <c r="F1735" i="122"/>
  <c r="H1065" i="122"/>
  <c r="N1065" i="122" s="1"/>
  <c r="F1487" i="122"/>
  <c r="H817" i="122"/>
  <c r="N817" i="122" s="1"/>
  <c r="F1974" i="122"/>
  <c r="H1304" i="122"/>
  <c r="N1304" i="122" s="1"/>
  <c r="F1462" i="122"/>
  <c r="H792" i="122"/>
  <c r="N792" i="122" s="1"/>
  <c r="H1213" i="122"/>
  <c r="N1213" i="122" s="1"/>
  <c r="H793" i="122"/>
  <c r="N793" i="122" s="1"/>
  <c r="F1463" i="122"/>
  <c r="F1371" i="122"/>
  <c r="H701" i="122"/>
  <c r="N701" i="122" s="1"/>
  <c r="F2002" i="122"/>
  <c r="H1332" i="122"/>
  <c r="N1332" i="122" s="1"/>
  <c r="F1354" i="122"/>
  <c r="H684" i="122"/>
  <c r="N684" i="122" s="1"/>
  <c r="F1454" i="122"/>
  <c r="H784" i="122"/>
  <c r="N784" i="122" s="1"/>
  <c r="F1447" i="122"/>
  <c r="H777" i="122"/>
  <c r="N777" i="122" s="1"/>
  <c r="H1659" i="122"/>
  <c r="N1659" i="122" s="1"/>
  <c r="F2329" i="122"/>
  <c r="F1850" i="122"/>
  <c r="H1180" i="122"/>
  <c r="N1180" i="122" s="1"/>
  <c r="H1258" i="122"/>
  <c r="N1258" i="122" s="1"/>
  <c r="F1928" i="122"/>
  <c r="H1130" i="122"/>
  <c r="N1130" i="122" s="1"/>
  <c r="F1800" i="122"/>
  <c r="H1239" i="122"/>
  <c r="N1239" i="122" s="1"/>
  <c r="F1909" i="122"/>
  <c r="F1781" i="122"/>
  <c r="H1111" i="122"/>
  <c r="N1111" i="122" s="1"/>
  <c r="H855" i="122"/>
  <c r="N855" i="122" s="1"/>
  <c r="F1525" i="122"/>
  <c r="H885" i="122"/>
  <c r="N885" i="122" s="1"/>
  <c r="F1555" i="122"/>
  <c r="F1794" i="122"/>
  <c r="H1124" i="122"/>
  <c r="N1124" i="122" s="1"/>
  <c r="F1969" i="122"/>
  <c r="H1299" i="122"/>
  <c r="N1299" i="122" s="1"/>
  <c r="F1713" i="122"/>
  <c r="H1043" i="122"/>
  <c r="N1043" i="122" s="1"/>
  <c r="H787" i="122"/>
  <c r="N787" i="122" s="1"/>
  <c r="F1457" i="122"/>
  <c r="H1979" i="122"/>
  <c r="N1979" i="122" s="1"/>
  <c r="F2649" i="122"/>
  <c r="F1830" i="122"/>
  <c r="H1160" i="122"/>
  <c r="N1160" i="122" s="1"/>
  <c r="F1702" i="122"/>
  <c r="H1032" i="122"/>
  <c r="N1032" i="122" s="1"/>
  <c r="F1574" i="122"/>
  <c r="H904" i="122"/>
  <c r="N904" i="122" s="1"/>
  <c r="F1446" i="122"/>
  <c r="H776" i="122"/>
  <c r="N776" i="122" s="1"/>
  <c r="F2473" i="122"/>
  <c r="H1803" i="122"/>
  <c r="N1803" i="122" s="1"/>
  <c r="F1375" i="122"/>
  <c r="H705" i="122"/>
  <c r="N705" i="122" s="1"/>
  <c r="F1418" i="122"/>
  <c r="H748" i="122"/>
  <c r="N748" i="122" s="1"/>
  <c r="F1648" i="122"/>
  <c r="H978" i="122"/>
  <c r="N978" i="122" s="1"/>
  <c r="F1392" i="122"/>
  <c r="H722" i="122"/>
  <c r="N722" i="122" s="1"/>
  <c r="F1725" i="122"/>
  <c r="H1055" i="122"/>
  <c r="N1055" i="122" s="1"/>
  <c r="F1580" i="122"/>
  <c r="H910" i="122"/>
  <c r="N910" i="122" s="1"/>
  <c r="F1721" i="122"/>
  <c r="H1051" i="122"/>
  <c r="N1051" i="122" s="1"/>
  <c r="F1859" i="122"/>
  <c r="H1189" i="122"/>
  <c r="N1189" i="122" s="1"/>
  <c r="F1966" i="122"/>
  <c r="H1296" i="122"/>
  <c r="N1296" i="122" s="1"/>
  <c r="F1678" i="122"/>
  <c r="H1008" i="122"/>
  <c r="N1008" i="122" s="1"/>
  <c r="F1843" i="122"/>
  <c r="H1173" i="122"/>
  <c r="N1173" i="122" s="1"/>
  <c r="H977" i="122"/>
  <c r="N977" i="122" s="1"/>
  <c r="F1647" i="122"/>
  <c r="F1770" i="122"/>
  <c r="H1100" i="122"/>
  <c r="N1100" i="122" s="1"/>
  <c r="F2184" i="122"/>
  <c r="H1514" i="122"/>
  <c r="N1514" i="122" s="1"/>
  <c r="F1696" i="122"/>
  <c r="H1026" i="122"/>
  <c r="N1026" i="122" s="1"/>
  <c r="F1568" i="122"/>
  <c r="H898" i="122"/>
  <c r="N898" i="122" s="1"/>
  <c r="F1440" i="122"/>
  <c r="H770" i="122"/>
  <c r="N770" i="122" s="1"/>
  <c r="F1997" i="122"/>
  <c r="H1327" i="122"/>
  <c r="N1327" i="122" s="1"/>
  <c r="H815" i="122"/>
  <c r="N815" i="122" s="1"/>
  <c r="F1485" i="122"/>
  <c r="F1357" i="122"/>
  <c r="H687" i="122"/>
  <c r="N687" i="122" s="1"/>
  <c r="H1278" i="122"/>
  <c r="N1278" i="122" s="1"/>
  <c r="F1948" i="122"/>
  <c r="H1150" i="122"/>
  <c r="N1150" i="122" s="1"/>
  <c r="F1820" i="122"/>
  <c r="F1692" i="122"/>
  <c r="H1022" i="122"/>
  <c r="N1022" i="122" s="1"/>
  <c r="F1564" i="122"/>
  <c r="H894" i="122"/>
  <c r="N894" i="122" s="1"/>
  <c r="F1436" i="122"/>
  <c r="H766" i="122"/>
  <c r="N766" i="122" s="1"/>
  <c r="H1294" i="122"/>
  <c r="N1294" i="122" s="1"/>
  <c r="F1964" i="122"/>
  <c r="H1070" i="122"/>
  <c r="N1070" i="122" s="1"/>
  <c r="F1740" i="122"/>
  <c r="F1490" i="122"/>
  <c r="H820" i="122"/>
  <c r="N820" i="122" s="1"/>
  <c r="F2060" i="122"/>
  <c r="H1390" i="122"/>
  <c r="N1390" i="122" s="1"/>
  <c r="F1787" i="122"/>
  <c r="H1117" i="122"/>
  <c r="N1117" i="122" s="1"/>
  <c r="F1650" i="122"/>
  <c r="H980" i="122"/>
  <c r="N980" i="122" s="1"/>
  <c r="F1897" i="122"/>
  <c r="H1227" i="122"/>
  <c r="N1227" i="122" s="1"/>
  <c r="H843" i="122"/>
  <c r="N843" i="122" s="1"/>
  <c r="F1513" i="122"/>
  <c r="H715" i="122"/>
  <c r="N715" i="122" s="1"/>
  <c r="F1385" i="122"/>
  <c r="F1627" i="122"/>
  <c r="H957" i="122"/>
  <c r="N957" i="122" s="1"/>
  <c r="F1879" i="122"/>
  <c r="H1209" i="122"/>
  <c r="N1209" i="122" s="1"/>
  <c r="F1367" i="122"/>
  <c r="H697" i="122"/>
  <c r="N697" i="122" s="1"/>
  <c r="F1534" i="122"/>
  <c r="H864" i="122"/>
  <c r="N864" i="122" s="1"/>
  <c r="F1871" i="122"/>
  <c r="H1201" i="122"/>
  <c r="N1201" i="122" s="1"/>
  <c r="H945" i="122"/>
  <c r="N945" i="122" s="1"/>
  <c r="F1615" i="122"/>
  <c r="F1359" i="122"/>
  <c r="H689" i="122"/>
  <c r="N689" i="122" s="1"/>
  <c r="F1579" i="122"/>
  <c r="H909" i="122"/>
  <c r="N909" i="122" s="1"/>
  <c r="F1882" i="122"/>
  <c r="H1212" i="122"/>
  <c r="N1212" i="122" s="1"/>
  <c r="F1370" i="122"/>
  <c r="H700" i="122"/>
  <c r="N700" i="122" s="1"/>
  <c r="H1274" i="122"/>
  <c r="N1274" i="122" s="1"/>
  <c r="F1944" i="122"/>
  <c r="H1146" i="122"/>
  <c r="N1146" i="122" s="1"/>
  <c r="F1816" i="122"/>
  <c r="F1688" i="122"/>
  <c r="H1018" i="122"/>
  <c r="N1018" i="122" s="1"/>
  <c r="F1560" i="122"/>
  <c r="H890" i="122"/>
  <c r="N890" i="122" s="1"/>
  <c r="F1432" i="122"/>
  <c r="H762" i="122"/>
  <c r="N762" i="122" s="1"/>
  <c r="H807" i="122"/>
  <c r="N807" i="122" s="1"/>
  <c r="F1477" i="122"/>
  <c r="F1563" i="122"/>
  <c r="H893" i="122"/>
  <c r="N893" i="122" s="1"/>
  <c r="H1237" i="122"/>
  <c r="N1237" i="122" s="1"/>
  <c r="H803" i="122"/>
  <c r="N803" i="122" s="1"/>
  <c r="F1473" i="122"/>
  <c r="F2569" i="122"/>
  <c r="H1899" i="122"/>
  <c r="N1899" i="122" s="1"/>
  <c r="F1999" i="122"/>
  <c r="H1329" i="122"/>
  <c r="N1329" i="122" s="1"/>
  <c r="F1846" i="122"/>
  <c r="H1176" i="122"/>
  <c r="N1176" i="122" s="1"/>
  <c r="F1718" i="122"/>
  <c r="H1048" i="122"/>
  <c r="N1048" i="122" s="1"/>
  <c r="F1590" i="122"/>
  <c r="H920" i="122"/>
  <c r="N920" i="122" s="1"/>
  <c r="F2553" i="122"/>
  <c r="H1883" i="122"/>
  <c r="N1883" i="122" s="1"/>
  <c r="F1991" i="122"/>
  <c r="H1321" i="122"/>
  <c r="N1321" i="122" s="1"/>
  <c r="F1727" i="122"/>
  <c r="H1057" i="122"/>
  <c r="N1057" i="122" s="1"/>
  <c r="F1802" i="122"/>
  <c r="H1132" i="122"/>
  <c r="N1132" i="122" s="1"/>
  <c r="F2152" i="122"/>
  <c r="H1482" i="122"/>
  <c r="N1482" i="122" s="1"/>
  <c r="H1106" i="122"/>
  <c r="N1106" i="122" s="1"/>
  <c r="F1776" i="122"/>
  <c r="F1552" i="122"/>
  <c r="H882" i="122"/>
  <c r="N882" i="122" s="1"/>
  <c r="F2651" i="122"/>
  <c r="H1981" i="122"/>
  <c r="N1981" i="122" s="1"/>
  <c r="F1373" i="122"/>
  <c r="H703" i="122"/>
  <c r="N703" i="122" s="1"/>
  <c r="H1115" i="122"/>
  <c r="N1115" i="122" s="1"/>
  <c r="F1785" i="122"/>
  <c r="F1870" i="122"/>
  <c r="H1200" i="122"/>
  <c r="N1200" i="122" s="1"/>
  <c r="G3450" i="122"/>
  <c r="G3406" i="122"/>
  <c r="G3740" i="122"/>
  <c r="G3694" i="122"/>
  <c r="G3722" i="122"/>
  <c r="G3672" i="122"/>
  <c r="G3446" i="122"/>
  <c r="G3700" i="122"/>
  <c r="G3474" i="122"/>
  <c r="G4303" i="122"/>
  <c r="G3724" i="122"/>
  <c r="G4001" i="122"/>
  <c r="G3692" i="122"/>
  <c r="G3510" i="122"/>
  <c r="G3718" i="122"/>
  <c r="G3658" i="122"/>
  <c r="G3678" i="122"/>
  <c r="G3670" i="122"/>
  <c r="G3682" i="122"/>
  <c r="G3653" i="122"/>
  <c r="G3538" i="122"/>
  <c r="G3506" i="122"/>
  <c r="G3686" i="122"/>
  <c r="G3732" i="122"/>
  <c r="G3410" i="122"/>
  <c r="G3478" i="122"/>
  <c r="G4358" i="122"/>
  <c r="G3386" i="122"/>
  <c r="G3656" i="122"/>
  <c r="G3716" i="122"/>
  <c r="G3668" i="122"/>
  <c r="G3676" i="122"/>
  <c r="G3662" i="122"/>
  <c r="G3649" i="122"/>
  <c r="G3714" i="122"/>
  <c r="G3698" i="122"/>
  <c r="G3598" i="122"/>
  <c r="G4334" i="122"/>
  <c r="G4170" i="122"/>
  <c r="G3530" i="122"/>
  <c r="G3720" i="122"/>
  <c r="G4374" i="122"/>
  <c r="G3738" i="122"/>
  <c r="G3726" i="122"/>
  <c r="G3578" i="122"/>
  <c r="G3438" i="122"/>
  <c r="G3941" i="122"/>
  <c r="G3542" i="122"/>
  <c r="G3382" i="122"/>
  <c r="G3645" i="122"/>
  <c r="G4256" i="122"/>
  <c r="G3635" i="122"/>
  <c r="O2965" i="122"/>
  <c r="P2965" i="122" s="1"/>
  <c r="G3734" i="122"/>
  <c r="G3430" i="122"/>
  <c r="G3706" i="122"/>
  <c r="G3558" i="122"/>
  <c r="G3564" i="122"/>
  <c r="G3414" i="122"/>
  <c r="G3690" i="122"/>
  <c r="G3702" i="122"/>
  <c r="G4398" i="122"/>
  <c r="G3402" i="122"/>
  <c r="G3917" i="122"/>
  <c r="G3442" i="122"/>
  <c r="G3514" i="122"/>
  <c r="G3641" i="122"/>
  <c r="G3362" i="122"/>
  <c r="G3590" i="122"/>
  <c r="G3710" i="122"/>
  <c r="G3374" i="122"/>
  <c r="G3482" i="122"/>
  <c r="G3546" i="122"/>
  <c r="G3736" i="122"/>
  <c r="G3574" i="122"/>
  <c r="G3674" i="122"/>
  <c r="G3570" i="122"/>
  <c r="G3602" i="122"/>
  <c r="G3378" i="122"/>
  <c r="G3418" i="122"/>
  <c r="G3708" i="122"/>
  <c r="G3660" i="122"/>
  <c r="G3684" i="122"/>
  <c r="G3937" i="122"/>
  <c r="F2222" i="122" l="1"/>
  <c r="H1552" i="122"/>
  <c r="N1552" i="122" s="1"/>
  <c r="F2388" i="122"/>
  <c r="H1718" i="122"/>
  <c r="N1718" i="122" s="1"/>
  <c r="F2037" i="122"/>
  <c r="H1367" i="122"/>
  <c r="N1367" i="122" s="1"/>
  <c r="H2060" i="122"/>
  <c r="N2060" i="122" s="1"/>
  <c r="F2730" i="122"/>
  <c r="H1770" i="122"/>
  <c r="N1770" i="122" s="1"/>
  <c r="F2440" i="122"/>
  <c r="F2395" i="122"/>
  <c r="H1725" i="122"/>
  <c r="N1725" i="122" s="1"/>
  <c r="F2372" i="122"/>
  <c r="H1702" i="122"/>
  <c r="N1702" i="122" s="1"/>
  <c r="F2124" i="122"/>
  <c r="H1454" i="122"/>
  <c r="N1454" i="122" s="1"/>
  <c r="H1429" i="122"/>
  <c r="N1429" i="122" s="1"/>
  <c r="F2099" i="122"/>
  <c r="F2047" i="122"/>
  <c r="H1377" i="122"/>
  <c r="N1377" i="122" s="1"/>
  <c r="F2240" i="122"/>
  <c r="H1570" i="122"/>
  <c r="N1570" i="122" s="1"/>
  <c r="H1970" i="122"/>
  <c r="N1970" i="122" s="1"/>
  <c r="F2640" i="122"/>
  <c r="F2510" i="122"/>
  <c r="H1840" i="122"/>
  <c r="N1840" i="122" s="1"/>
  <c r="F2616" i="122"/>
  <c r="H1946" i="122"/>
  <c r="N1946" i="122" s="1"/>
  <c r="F2492" i="122"/>
  <c r="H1822" i="122"/>
  <c r="N1822" i="122" s="1"/>
  <c r="F2128" i="122"/>
  <c r="H1458" i="122"/>
  <c r="N1458" i="122" s="1"/>
  <c r="H1832" i="122"/>
  <c r="N1832" i="122" s="1"/>
  <c r="F2502" i="122"/>
  <c r="F3175" i="122"/>
  <c r="H2505" i="122"/>
  <c r="N2505" i="122" s="1"/>
  <c r="H1748" i="122"/>
  <c r="N1748" i="122" s="1"/>
  <c r="F2418" i="122"/>
  <c r="F2241" i="122"/>
  <c r="H1571" i="122"/>
  <c r="N1571" i="122" s="1"/>
  <c r="F2165" i="122"/>
  <c r="H1495" i="122"/>
  <c r="N1495" i="122" s="1"/>
  <c r="F2534" i="122"/>
  <c r="H1864" i="122"/>
  <c r="N1864" i="122" s="1"/>
  <c r="H1526" i="122"/>
  <c r="N1526" i="122" s="1"/>
  <c r="F2196" i="122"/>
  <c r="F2462" i="122"/>
  <c r="H1792" i="122"/>
  <c r="N1792" i="122" s="1"/>
  <c r="H1565" i="122"/>
  <c r="N1565" i="122" s="1"/>
  <c r="F2235" i="122"/>
  <c r="H1453" i="122"/>
  <c r="N1453" i="122" s="1"/>
  <c r="F2123" i="122"/>
  <c r="F2201" i="122"/>
  <c r="H1531" i="122"/>
  <c r="N1531" i="122" s="1"/>
  <c r="F2301" i="122"/>
  <c r="H1631" i="122"/>
  <c r="N1631" i="122" s="1"/>
  <c r="F2455" i="122"/>
  <c r="H1785" i="122"/>
  <c r="N1785" i="122" s="1"/>
  <c r="F2446" i="122"/>
  <c r="H1776" i="122"/>
  <c r="N1776" i="122" s="1"/>
  <c r="H1615" i="122"/>
  <c r="N1615" i="122" s="1"/>
  <c r="F2285" i="122"/>
  <c r="H1647" i="122"/>
  <c r="N1647" i="122" s="1"/>
  <c r="F2317" i="122"/>
  <c r="F2405" i="122"/>
  <c r="H1735" i="122"/>
  <c r="N1735" i="122" s="1"/>
  <c r="H1506" i="122"/>
  <c r="N1506" i="122" s="1"/>
  <c r="F2176" i="122"/>
  <c r="F2638" i="122"/>
  <c r="H1968" i="122"/>
  <c r="N1968" i="122" s="1"/>
  <c r="F2514" i="122"/>
  <c r="H1844" i="122"/>
  <c r="N1844" i="122" s="1"/>
  <c r="F2435" i="122"/>
  <c r="H1765" i="122"/>
  <c r="N1765" i="122" s="1"/>
  <c r="F2299" i="122"/>
  <c r="H1629" i="122"/>
  <c r="N1629" i="122" s="1"/>
  <c r="F2364" i="122"/>
  <c r="H1694" i="122"/>
  <c r="N1694" i="122" s="1"/>
  <c r="H1394" i="122"/>
  <c r="N1394" i="122" s="1"/>
  <c r="F2064" i="122"/>
  <c r="F2619" i="122"/>
  <c r="H1949" i="122"/>
  <c r="N1949" i="122" s="1"/>
  <c r="F2539" i="122"/>
  <c r="H1869" i="122"/>
  <c r="N1869" i="122" s="1"/>
  <c r="F2389" i="122"/>
  <c r="H1719" i="122"/>
  <c r="N1719" i="122" s="1"/>
  <c r="F2161" i="122"/>
  <c r="H1491" i="122"/>
  <c r="N1491" i="122" s="1"/>
  <c r="F2370" i="122"/>
  <c r="H1700" i="122"/>
  <c r="N1700" i="122" s="1"/>
  <c r="H1685" i="122"/>
  <c r="N1685" i="122" s="1"/>
  <c r="F2355" i="122"/>
  <c r="G2020" i="122"/>
  <c r="F2680" i="122"/>
  <c r="H2010" i="122"/>
  <c r="N2010" i="122" s="1"/>
  <c r="H1990" i="122"/>
  <c r="F2089" i="122"/>
  <c r="H1419" i="122"/>
  <c r="N1419" i="122" s="1"/>
  <c r="F2085" i="122"/>
  <c r="H1415" i="122"/>
  <c r="N1415" i="122" s="1"/>
  <c r="H1903" i="122"/>
  <c r="N1903" i="122" s="1"/>
  <c r="F2573" i="122"/>
  <c r="F2126" i="122"/>
  <c r="H1456" i="122"/>
  <c r="N1456" i="122" s="1"/>
  <c r="F2532" i="122"/>
  <c r="H1862" i="122"/>
  <c r="N1862" i="122" s="1"/>
  <c r="F2528" i="122"/>
  <c r="H1858" i="122"/>
  <c r="N1858" i="122" s="1"/>
  <c r="F2171" i="122"/>
  <c r="H1501" i="122"/>
  <c r="N1501" i="122" s="1"/>
  <c r="F2461" i="122"/>
  <c r="H1791" i="122"/>
  <c r="N1791" i="122" s="1"/>
  <c r="F2548" i="122"/>
  <c r="H1878" i="122"/>
  <c r="N1878" i="122" s="1"/>
  <c r="F2595" i="122"/>
  <c r="H1925" i="122"/>
  <c r="N1925" i="122" s="1"/>
  <c r="F2677" i="122"/>
  <c r="H2007" i="122"/>
  <c r="N2007" i="122" s="1"/>
  <c r="F2287" i="122"/>
  <c r="H1617" i="122"/>
  <c r="N1617" i="122" s="1"/>
  <c r="H1732" i="122"/>
  <c r="N1732" i="122" s="1"/>
  <c r="F2402" i="122"/>
  <c r="F2509" i="122"/>
  <c r="H1839" i="122"/>
  <c r="N1839" i="122" s="1"/>
  <c r="F2363" i="122"/>
  <c r="H1693" i="122"/>
  <c r="N1693" i="122" s="1"/>
  <c r="F2344" i="122"/>
  <c r="H1674" i="122"/>
  <c r="N1674" i="122" s="1"/>
  <c r="F2324" i="122"/>
  <c r="H1654" i="122"/>
  <c r="N1654" i="122" s="1"/>
  <c r="F2546" i="122"/>
  <c r="H1876" i="122"/>
  <c r="N1876" i="122" s="1"/>
  <c r="F2166" i="122"/>
  <c r="H1496" i="122"/>
  <c r="N1496" i="122" s="1"/>
  <c r="F2678" i="122"/>
  <c r="H2008" i="122"/>
  <c r="N2008" i="122" s="1"/>
  <c r="F2421" i="122"/>
  <c r="H1751" i="122"/>
  <c r="N1751" i="122" s="1"/>
  <c r="F2119" i="122"/>
  <c r="H1449" i="122"/>
  <c r="N1449" i="122" s="1"/>
  <c r="F2192" i="122"/>
  <c r="H1522" i="122"/>
  <c r="N1522" i="122" s="1"/>
  <c r="F2218" i="122"/>
  <c r="H1548" i="122"/>
  <c r="N1548" i="122" s="1"/>
  <c r="F2521" i="122"/>
  <c r="H1851" i="122"/>
  <c r="N1851" i="122" s="1"/>
  <c r="F2312" i="122"/>
  <c r="H1642" i="122"/>
  <c r="N1642" i="122" s="1"/>
  <c r="F2188" i="122"/>
  <c r="H1518" i="122"/>
  <c r="N1518" i="122" s="1"/>
  <c r="H2537" i="122"/>
  <c r="N2537" i="122" s="1"/>
  <c r="F3207" i="122"/>
  <c r="F2429" i="122"/>
  <c r="H1759" i="122"/>
  <c r="N1759" i="122" s="1"/>
  <c r="H1894" i="122"/>
  <c r="N1894" i="122" s="1"/>
  <c r="F2564" i="122"/>
  <c r="F2575" i="122"/>
  <c r="H1905" i="122"/>
  <c r="N1905" i="122" s="1"/>
  <c r="F2497" i="122"/>
  <c r="H1827" i="122"/>
  <c r="N1827" i="122" s="1"/>
  <c r="H1746" i="122"/>
  <c r="N1746" i="122" s="1"/>
  <c r="F2416" i="122"/>
  <c r="F2463" i="122"/>
  <c r="H1793" i="122"/>
  <c r="N1793" i="122" s="1"/>
  <c r="F2194" i="122"/>
  <c r="H1524" i="122"/>
  <c r="N1524" i="122" s="1"/>
  <c r="F2359" i="122"/>
  <c r="H1689" i="122"/>
  <c r="N1689" i="122" s="1"/>
  <c r="F2428" i="122"/>
  <c r="H1758" i="122"/>
  <c r="N1758" i="122" s="1"/>
  <c r="F2121" i="122"/>
  <c r="H1451" i="122"/>
  <c r="N1451" i="122" s="1"/>
  <c r="H1756" i="122"/>
  <c r="N1756" i="122" s="1"/>
  <c r="F2426" i="122"/>
  <c r="F2057" i="122"/>
  <c r="H1387" i="122"/>
  <c r="N1387" i="122" s="1"/>
  <c r="H2013" i="122"/>
  <c r="N2013" i="122" s="1"/>
  <c r="F2683" i="122"/>
  <c r="H1649" i="122"/>
  <c r="N1649" i="122" s="1"/>
  <c r="F2319" i="122"/>
  <c r="H1671" i="122"/>
  <c r="N1671" i="122" s="1"/>
  <c r="F2341" i="122"/>
  <c r="F2098" i="122"/>
  <c r="H1428" i="122"/>
  <c r="N1428" i="122" s="1"/>
  <c r="H1605" i="122"/>
  <c r="N1605" i="122" s="1"/>
  <c r="F2275" i="122"/>
  <c r="H1742" i="122"/>
  <c r="N1742" i="122" s="1"/>
  <c r="F2412" i="122"/>
  <c r="F2332" i="122"/>
  <c r="H1662" i="122"/>
  <c r="N1662" i="122" s="1"/>
  <c r="F2086" i="122"/>
  <c r="H1416" i="122"/>
  <c r="N1416" i="122" s="1"/>
  <c r="F2380" i="122"/>
  <c r="H1710" i="122"/>
  <c r="N1710" i="122" s="1"/>
  <c r="F3263" i="122"/>
  <c r="H2593" i="122"/>
  <c r="N2593" i="122" s="1"/>
  <c r="F2589" i="122"/>
  <c r="H1919" i="122"/>
  <c r="N1919" i="122" s="1"/>
  <c r="F2356" i="122"/>
  <c r="H1686" i="122"/>
  <c r="N1686" i="122" s="1"/>
  <c r="F3079" i="122"/>
  <c r="H2409" i="122"/>
  <c r="N2409" i="122" s="1"/>
  <c r="H1747" i="122"/>
  <c r="N1747" i="122" s="1"/>
  <c r="F2417" i="122"/>
  <c r="F2198" i="122"/>
  <c r="H1528" i="122"/>
  <c r="N1528" i="122" s="1"/>
  <c r="F2232" i="122"/>
  <c r="H1562" i="122"/>
  <c r="N1562" i="122" s="1"/>
  <c r="F2485" i="122"/>
  <c r="H1815" i="122"/>
  <c r="N1815" i="122" s="1"/>
  <c r="F2256" i="122"/>
  <c r="H1586" i="122"/>
  <c r="N1586" i="122" s="1"/>
  <c r="F2346" i="122"/>
  <c r="H1676" i="122"/>
  <c r="N1676" i="122" s="1"/>
  <c r="F2330" i="122"/>
  <c r="H1660" i="122"/>
  <c r="N1660" i="122" s="1"/>
  <c r="F2078" i="122"/>
  <c r="H1408" i="122"/>
  <c r="N1408" i="122" s="1"/>
  <c r="F2376" i="122"/>
  <c r="H1706" i="122"/>
  <c r="N1706" i="122" s="1"/>
  <c r="F2295" i="122"/>
  <c r="H1625" i="122"/>
  <c r="N1625" i="122" s="1"/>
  <c r="F2254" i="122"/>
  <c r="H1584" i="122"/>
  <c r="N1584" i="122" s="1"/>
  <c r="H1542" i="122"/>
  <c r="N1542" i="122" s="1"/>
  <c r="F2212" i="122"/>
  <c r="H1967" i="122"/>
  <c r="N1967" i="122" s="1"/>
  <c r="F2637" i="122"/>
  <c r="H1681" i="122"/>
  <c r="N1681" i="122" s="1"/>
  <c r="F2351" i="122"/>
  <c r="F2419" i="122"/>
  <c r="H1749" i="122"/>
  <c r="N1749" i="122" s="1"/>
  <c r="F2438" i="122"/>
  <c r="H1768" i="122"/>
  <c r="N1768" i="122" s="1"/>
  <c r="F2069" i="122"/>
  <c r="H1399" i="122"/>
  <c r="N1399" i="122" s="1"/>
  <c r="F2495" i="122"/>
  <c r="H1825" i="122"/>
  <c r="N1825" i="122" s="1"/>
  <c r="F2507" i="122"/>
  <c r="H1837" i="122"/>
  <c r="N1837" i="122" s="1"/>
  <c r="F2073" i="122"/>
  <c r="H1403" i="122"/>
  <c r="N1403" i="122" s="1"/>
  <c r="H1870" i="122"/>
  <c r="N1870" i="122" s="1"/>
  <c r="F2540" i="122"/>
  <c r="F2397" i="122"/>
  <c r="H1727" i="122"/>
  <c r="N1727" i="122" s="1"/>
  <c r="F2102" i="122"/>
  <c r="H1432" i="122"/>
  <c r="N1432" i="122" s="1"/>
  <c r="F2029" i="122"/>
  <c r="H1359" i="122"/>
  <c r="N1359" i="122" s="1"/>
  <c r="F2106" i="122"/>
  <c r="H1436" i="122"/>
  <c r="N1436" i="122" s="1"/>
  <c r="F2110" i="122"/>
  <c r="H1440" i="122"/>
  <c r="N1440" i="122" s="1"/>
  <c r="F2636" i="122"/>
  <c r="H1966" i="122"/>
  <c r="N1966" i="122" s="1"/>
  <c r="F2045" i="122"/>
  <c r="H1375" i="122"/>
  <c r="N1375" i="122" s="1"/>
  <c r="F2383" i="122"/>
  <c r="H1713" i="122"/>
  <c r="N1713" i="122" s="1"/>
  <c r="F2374" i="122"/>
  <c r="H1704" i="122"/>
  <c r="N1704" i="122" s="1"/>
  <c r="F2524" i="122"/>
  <c r="H1854" i="122"/>
  <c r="N1854" i="122" s="1"/>
  <c r="F2443" i="122"/>
  <c r="H1773" i="122"/>
  <c r="N1773" i="122" s="1"/>
  <c r="H1734" i="122"/>
  <c r="N1734" i="122" s="1"/>
  <c r="F2404" i="122"/>
  <c r="F2387" i="122"/>
  <c r="H1717" i="122"/>
  <c r="N1717" i="122" s="1"/>
  <c r="F2559" i="122"/>
  <c r="H1889" i="122"/>
  <c r="N1889" i="122" s="1"/>
  <c r="F2390" i="122"/>
  <c r="H1720" i="122"/>
  <c r="N1720" i="122" s="1"/>
  <c r="F2449" i="122"/>
  <c r="H1779" i="122"/>
  <c r="N1779" i="122" s="1"/>
  <c r="F2653" i="122"/>
  <c r="F2142" i="122"/>
  <c r="H1472" i="122"/>
  <c r="N1472" i="122" s="1"/>
  <c r="H1369" i="122"/>
  <c r="N1369" i="122" s="1"/>
  <c r="F2039" i="122"/>
  <c r="H1956" i="122"/>
  <c r="N1956" i="122" s="1"/>
  <c r="F2626" i="122"/>
  <c r="H1901" i="122"/>
  <c r="N1901" i="122" s="1"/>
  <c r="F2571" i="122"/>
  <c r="F2148" i="122"/>
  <c r="H1478" i="122"/>
  <c r="N1478" i="122" s="1"/>
  <c r="F2146" i="122"/>
  <c r="H1476" i="122"/>
  <c r="N1476" i="122" s="1"/>
  <c r="F2149" i="122"/>
  <c r="H1479" i="122"/>
  <c r="N1479" i="122" s="1"/>
  <c r="F2603" i="122"/>
  <c r="H1933" i="122"/>
  <c r="N1933" i="122" s="1"/>
  <c r="F2515" i="122"/>
  <c r="H1845" i="122"/>
  <c r="N1845" i="122" s="1"/>
  <c r="F2648" i="122"/>
  <c r="H1978" i="122"/>
  <c r="N1978" i="122" s="1"/>
  <c r="H1595" i="122"/>
  <c r="N1595" i="122" s="1"/>
  <c r="F2265" i="122"/>
  <c r="F2475" i="122"/>
  <c r="H1805" i="122"/>
  <c r="N1805" i="122" s="1"/>
  <c r="F2308" i="122"/>
  <c r="H1638" i="122"/>
  <c r="N1638" i="122" s="1"/>
  <c r="F2178" i="122"/>
  <c r="H1508" i="122"/>
  <c r="N1508" i="122" s="1"/>
  <c r="F2035" i="122"/>
  <c r="H1365" i="122"/>
  <c r="N1365" i="122" s="1"/>
  <c r="H1455" i="122"/>
  <c r="N1455" i="122" s="1"/>
  <c r="F2125" i="122"/>
  <c r="H2000" i="122"/>
  <c r="N2000" i="122" s="1"/>
  <c r="F2670" i="122"/>
  <c r="F2243" i="122"/>
  <c r="H1573" i="122"/>
  <c r="N1573" i="122" s="1"/>
  <c r="F2137" i="122"/>
  <c r="H1467" i="122"/>
  <c r="N1467" i="122" s="1"/>
  <c r="F2367" i="122"/>
  <c r="H1697" i="122"/>
  <c r="N1697" i="122" s="1"/>
  <c r="F2624" i="122"/>
  <c r="H1954" i="122"/>
  <c r="N1954" i="122" s="1"/>
  <c r="F2305" i="122"/>
  <c r="H1635" i="122"/>
  <c r="N1635" i="122" s="1"/>
  <c r="H1934" i="122"/>
  <c r="N1934" i="122" s="1"/>
  <c r="F2604" i="122"/>
  <c r="F2067" i="122"/>
  <c r="H1397" i="122"/>
  <c r="N1397" i="122" s="1"/>
  <c r="F2661" i="122"/>
  <c r="H1991" i="122"/>
  <c r="N1991" i="122" s="1"/>
  <c r="F2516" i="122"/>
  <c r="H1846" i="122"/>
  <c r="N1846" i="122" s="1"/>
  <c r="F2230" i="122"/>
  <c r="H1560" i="122"/>
  <c r="N1560" i="122" s="1"/>
  <c r="F2040" i="122"/>
  <c r="H1370" i="122"/>
  <c r="N1370" i="122" s="1"/>
  <c r="H1879" i="122"/>
  <c r="N1879" i="122" s="1"/>
  <c r="F2549" i="122"/>
  <c r="F2567" i="122"/>
  <c r="H1897" i="122"/>
  <c r="N1897" i="122" s="1"/>
  <c r="F2160" i="122"/>
  <c r="H1490" i="122"/>
  <c r="N1490" i="122" s="1"/>
  <c r="F2234" i="122"/>
  <c r="H1564" i="122"/>
  <c r="N1564" i="122" s="1"/>
  <c r="F2027" i="122"/>
  <c r="H1357" i="122"/>
  <c r="N1357" i="122" s="1"/>
  <c r="F2238" i="122"/>
  <c r="H1568" i="122"/>
  <c r="N1568" i="122" s="1"/>
  <c r="F2529" i="122"/>
  <c r="H1859" i="122"/>
  <c r="N1859" i="122" s="1"/>
  <c r="F2062" i="122"/>
  <c r="H1392" i="122"/>
  <c r="N1392" i="122" s="1"/>
  <c r="F3143" i="122"/>
  <c r="H2473" i="122"/>
  <c r="N2473" i="122" s="1"/>
  <c r="H1830" i="122"/>
  <c r="N1830" i="122" s="1"/>
  <c r="F2500" i="122"/>
  <c r="F2639" i="122"/>
  <c r="H1969" i="122"/>
  <c r="N1969" i="122" s="1"/>
  <c r="F2451" i="122"/>
  <c r="H1781" i="122"/>
  <c r="N1781" i="122" s="1"/>
  <c r="F2520" i="122"/>
  <c r="H1850" i="122"/>
  <c r="N1850" i="122" s="1"/>
  <c r="F2024" i="122"/>
  <c r="H1354" i="122"/>
  <c r="N1354" i="122" s="1"/>
  <c r="H1601" i="122"/>
  <c r="N1601" i="122" s="1"/>
  <c r="F2271" i="122"/>
  <c r="F2642" i="122"/>
  <c r="H1972" i="122"/>
  <c r="N1972" i="122" s="1"/>
  <c r="F2563" i="122"/>
  <c r="H1893" i="122"/>
  <c r="N1893" i="122" s="1"/>
  <c r="F2185" i="122"/>
  <c r="H1515" i="122"/>
  <c r="N1515" i="122" s="1"/>
  <c r="F2494" i="122"/>
  <c r="H1824" i="122"/>
  <c r="N1824" i="122" s="1"/>
  <c r="F2628" i="122"/>
  <c r="H1958" i="122"/>
  <c r="N1958" i="122" s="1"/>
  <c r="H1585" i="122"/>
  <c r="N1585" i="122" s="1"/>
  <c r="F2255" i="122"/>
  <c r="H1828" i="122"/>
  <c r="N1828" i="122" s="1"/>
  <c r="F2498" i="122"/>
  <c r="F3255" i="122"/>
  <c r="H2585" i="122"/>
  <c r="N2585" i="122" s="1"/>
  <c r="F2918" i="122"/>
  <c r="H2248" i="122"/>
  <c r="N2248" i="122" s="1"/>
  <c r="H1943" i="122"/>
  <c r="N1943" i="122" s="1"/>
  <c r="F2613" i="122"/>
  <c r="F2022" i="122"/>
  <c r="H1352" i="122"/>
  <c r="N1352" i="122" s="1"/>
  <c r="F2551" i="122"/>
  <c r="H1881" i="122"/>
  <c r="N1881" i="122" s="1"/>
  <c r="H1866" i="122"/>
  <c r="N1866" i="122" s="1"/>
  <c r="F2536" i="122"/>
  <c r="F2676" i="122"/>
  <c r="H2006" i="122"/>
  <c r="N2006" i="122" s="1"/>
  <c r="F2518" i="122"/>
  <c r="H1848" i="122"/>
  <c r="N1848" i="122" s="1"/>
  <c r="H1755" i="122"/>
  <c r="N1755" i="122" s="1"/>
  <c r="F2425" i="122"/>
  <c r="H1439" i="122"/>
  <c r="N1439" i="122" s="1"/>
  <c r="F2109" i="122"/>
  <c r="F2215" i="122"/>
  <c r="H1545" i="122"/>
  <c r="N1545" i="122" s="1"/>
  <c r="F2384" i="122"/>
  <c r="H1714" i="122"/>
  <c r="N1714" i="122" s="1"/>
  <c r="F2122" i="122"/>
  <c r="H1452" i="122"/>
  <c r="N1452" i="122" s="1"/>
  <c r="F2138" i="122"/>
  <c r="H1468" i="122"/>
  <c r="N1468" i="122" s="1"/>
  <c r="F2353" i="122"/>
  <c r="H1683" i="122"/>
  <c r="N1683" i="122" s="1"/>
  <c r="F2398" i="122"/>
  <c r="H1728" i="122"/>
  <c r="N1728" i="122" s="1"/>
  <c r="F2227" i="122"/>
  <c r="H1557" i="122"/>
  <c r="N1557" i="122" s="1"/>
  <c r="F2630" i="122"/>
  <c r="H1960" i="122"/>
  <c r="N1960" i="122" s="1"/>
  <c r="F2674" i="122"/>
  <c r="H2004" i="122"/>
  <c r="N2004" i="122" s="1"/>
  <c r="F2270" i="122"/>
  <c r="H1600" i="122"/>
  <c r="N1600" i="122" s="1"/>
  <c r="F2276" i="122"/>
  <c r="H1606" i="122"/>
  <c r="N1606" i="122" s="1"/>
  <c r="H1593" i="122"/>
  <c r="N1593" i="122" s="1"/>
  <c r="F2263" i="122"/>
  <c r="F2413" i="122"/>
  <c r="H1743" i="122"/>
  <c r="N1743" i="122" s="1"/>
  <c r="F2247" i="122"/>
  <c r="H1577" i="122"/>
  <c r="N1577" i="122" s="1"/>
  <c r="F2091" i="122"/>
  <c r="H1421" i="122"/>
  <c r="N1421" i="122" s="1"/>
  <c r="H1838" i="122"/>
  <c r="N1838" i="122" s="1"/>
  <c r="F2508" i="122"/>
  <c r="F2080" i="122"/>
  <c r="H1410" i="122"/>
  <c r="N1410" i="122" s="1"/>
  <c r="F2643" i="122"/>
  <c r="H1973" i="122"/>
  <c r="N1973" i="122" s="1"/>
  <c r="F3335" i="122"/>
  <c r="F2021" i="122"/>
  <c r="H1351" i="122"/>
  <c r="N1351" i="122" s="1"/>
  <c r="F2684" i="122"/>
  <c r="H2014" i="122"/>
  <c r="N2014" i="122" s="1"/>
  <c r="H1760" i="122"/>
  <c r="N1760" i="122" s="1"/>
  <c r="F2430" i="122"/>
  <c r="H1539" i="122"/>
  <c r="N1539" i="122" s="1"/>
  <c r="F2209" i="122"/>
  <c r="H1383" i="122"/>
  <c r="N1383" i="122" s="1"/>
  <c r="F2053" i="122"/>
  <c r="F2239" i="122"/>
  <c r="H1569" i="122"/>
  <c r="N1569" i="122" s="1"/>
  <c r="F2403" i="122"/>
  <c r="H1733" i="122"/>
  <c r="N1733" i="122" s="1"/>
  <c r="H1611" i="122"/>
  <c r="N1611" i="122" s="1"/>
  <c r="F2281" i="122"/>
  <c r="F2172" i="122"/>
  <c r="H1502" i="122"/>
  <c r="N1502" i="122" s="1"/>
  <c r="F2145" i="122"/>
  <c r="H1475" i="122"/>
  <c r="N1475" i="122" s="1"/>
  <c r="H1900" i="122"/>
  <c r="N1900" i="122" s="1"/>
  <c r="F2570" i="122"/>
  <c r="H1788" i="122"/>
  <c r="N1788" i="122" s="1"/>
  <c r="F2458" i="122"/>
  <c r="F2251" i="122"/>
  <c r="H1581" i="122"/>
  <c r="N1581" i="122" s="1"/>
  <c r="F2632" i="122"/>
  <c r="H1962" i="122"/>
  <c r="N1962" i="122" s="1"/>
  <c r="F2226" i="122"/>
  <c r="H1556" i="122"/>
  <c r="N1556" i="122" s="1"/>
  <c r="F2588" i="122"/>
  <c r="H1918" i="122"/>
  <c r="N1918" i="122" s="1"/>
  <c r="H1809" i="122"/>
  <c r="N1809" i="122" s="1"/>
  <c r="F2479" i="122"/>
  <c r="H1653" i="122"/>
  <c r="N1653" i="122" s="1"/>
  <c r="F2323" i="122"/>
  <c r="H2489" i="122"/>
  <c r="N2489" i="122" s="1"/>
  <c r="F3159" i="122"/>
  <c r="F2065" i="122"/>
  <c r="H1395" i="122"/>
  <c r="N1395" i="122" s="1"/>
  <c r="F2566" i="122"/>
  <c r="H1896" i="122"/>
  <c r="N1896" i="122" s="1"/>
  <c r="F2093" i="122"/>
  <c r="H1423" i="122"/>
  <c r="N1423" i="122" s="1"/>
  <c r="H1812" i="122"/>
  <c r="N1812" i="122" s="1"/>
  <c r="F2482" i="122"/>
  <c r="F2043" i="122"/>
  <c r="H1373" i="122"/>
  <c r="N1373" i="122" s="1"/>
  <c r="H2152" i="122"/>
  <c r="N2152" i="122" s="1"/>
  <c r="F2822" i="122"/>
  <c r="F3223" i="122"/>
  <c r="H2553" i="122"/>
  <c r="N2553" i="122" s="1"/>
  <c r="H1999" i="122"/>
  <c r="F2358" i="122"/>
  <c r="H1688" i="122"/>
  <c r="N1688" i="122" s="1"/>
  <c r="F2552" i="122"/>
  <c r="H1882" i="122"/>
  <c r="N1882" i="122" s="1"/>
  <c r="F2541" i="122"/>
  <c r="H1871" i="122"/>
  <c r="N1871" i="122" s="1"/>
  <c r="F2297" i="122"/>
  <c r="H1627" i="122"/>
  <c r="N1627" i="122" s="1"/>
  <c r="F2320" i="122"/>
  <c r="H1650" i="122"/>
  <c r="N1650" i="122" s="1"/>
  <c r="F2362" i="122"/>
  <c r="H1692" i="122"/>
  <c r="N1692" i="122" s="1"/>
  <c r="F2366" i="122"/>
  <c r="H1696" i="122"/>
  <c r="N1696" i="122" s="1"/>
  <c r="F2513" i="122"/>
  <c r="H1843" i="122"/>
  <c r="N1843" i="122" s="1"/>
  <c r="F2391" i="122"/>
  <c r="H1721" i="122"/>
  <c r="N1721" i="122" s="1"/>
  <c r="F2318" i="122"/>
  <c r="H1648" i="122"/>
  <c r="N1648" i="122" s="1"/>
  <c r="F2116" i="122"/>
  <c r="H1446" i="122"/>
  <c r="N1446" i="122" s="1"/>
  <c r="F2464" i="122"/>
  <c r="H1794" i="122"/>
  <c r="N1794" i="122" s="1"/>
  <c r="F2672" i="122"/>
  <c r="H2002" i="122"/>
  <c r="N2002" i="122" s="1"/>
  <c r="F2051" i="122"/>
  <c r="H1381" i="122"/>
  <c r="N1381" i="122" s="1"/>
  <c r="H1783" i="122"/>
  <c r="N1783" i="122" s="1"/>
  <c r="F2453" i="122"/>
  <c r="H1613" i="122"/>
  <c r="N1613" i="122" s="1"/>
  <c r="F2283" i="122"/>
  <c r="F2622" i="122"/>
  <c r="H1952" i="122"/>
  <c r="N1952" i="122" s="1"/>
  <c r="F2181" i="122"/>
  <c r="H1511" i="122"/>
  <c r="N1511" i="122" s="1"/>
  <c r="F2118" i="122"/>
  <c r="H1448" i="122"/>
  <c r="N1448" i="122" s="1"/>
  <c r="F2264" i="122"/>
  <c r="H1594" i="122"/>
  <c r="N1594" i="122" s="1"/>
  <c r="F2167" i="122"/>
  <c r="H1497" i="122"/>
  <c r="N1497" i="122" s="1"/>
  <c r="F2087" i="122"/>
  <c r="H1417" i="122"/>
  <c r="N1417" i="122" s="1"/>
  <c r="H1533" i="122"/>
  <c r="N1533" i="122" s="1"/>
  <c r="F2203" i="122"/>
  <c r="H1853" i="122"/>
  <c r="N1853" i="122" s="1"/>
  <c r="F2523" i="122"/>
  <c r="F2415" i="122"/>
  <c r="H1745" i="122"/>
  <c r="N1745" i="122" s="1"/>
  <c r="H1891" i="122"/>
  <c r="N1891" i="122" s="1"/>
  <c r="F2561" i="122"/>
  <c r="H1402" i="122"/>
  <c r="N1402" i="122" s="1"/>
  <c r="F2072" i="122"/>
  <c r="F2026" i="122"/>
  <c r="H1356" i="122"/>
  <c r="N1356" i="122" s="1"/>
  <c r="H1715" i="122"/>
  <c r="N1715" i="122" s="1"/>
  <c r="F2385" i="122"/>
  <c r="H1443" i="122"/>
  <c r="N1443" i="122" s="1"/>
  <c r="F2113" i="122"/>
  <c r="F2134" i="122"/>
  <c r="H1464" i="122"/>
  <c r="N1464" i="122" s="1"/>
  <c r="F2646" i="122"/>
  <c r="H1976" i="122"/>
  <c r="N1976" i="122" s="1"/>
  <c r="F2349" i="122"/>
  <c r="H1679" i="122"/>
  <c r="N1679" i="122" s="1"/>
  <c r="F2357" i="122"/>
  <c r="H1687" i="122"/>
  <c r="N1687" i="122" s="1"/>
  <c r="F3287" i="122"/>
  <c r="H2617" i="122"/>
  <c r="N2617" i="122" s="1"/>
  <c r="F2394" i="122"/>
  <c r="H1724" i="122"/>
  <c r="N1724" i="122" s="1"/>
  <c r="F2504" i="122"/>
  <c r="H1834" i="122"/>
  <c r="N1834" i="122" s="1"/>
  <c r="H1431" i="122"/>
  <c r="N1431" i="122" s="1"/>
  <c r="F2101" i="122"/>
  <c r="F2031" i="122"/>
  <c r="H1361" i="122"/>
  <c r="N1361" i="122" s="1"/>
  <c r="F2071" i="122"/>
  <c r="H1401" i="122"/>
  <c r="N1401" i="122" s="1"/>
  <c r="H1831" i="122"/>
  <c r="N1831" i="122" s="1"/>
  <c r="F2501" i="122"/>
  <c r="F2543" i="122"/>
  <c r="H1873" i="122"/>
  <c r="N1873" i="122" s="1"/>
  <c r="F2131" i="122"/>
  <c r="H1461" i="122"/>
  <c r="N1461" i="122" s="1"/>
  <c r="H1599" i="122"/>
  <c r="N1599" i="122" s="1"/>
  <c r="F2269" i="122"/>
  <c r="H1849" i="122"/>
  <c r="N1849" i="122" s="1"/>
  <c r="F2519" i="122"/>
  <c r="H1541" i="122"/>
  <c r="N1541" i="122" s="1"/>
  <c r="F2211" i="122"/>
  <c r="F2422" i="122"/>
  <c r="H1752" i="122"/>
  <c r="N1752" i="122" s="1"/>
  <c r="F2480" i="122"/>
  <c r="H1810" i="122"/>
  <c r="N1810" i="122" s="1"/>
  <c r="F2140" i="122"/>
  <c r="H1470" i="122"/>
  <c r="N1470" i="122" s="1"/>
  <c r="F2020" i="122"/>
  <c r="H1350" i="122"/>
  <c r="F2375" i="122"/>
  <c r="H1705" i="122"/>
  <c r="N1705" i="122" s="1"/>
  <c r="F2219" i="122"/>
  <c r="H1549" i="122"/>
  <c r="N1549" i="122" s="1"/>
  <c r="F2478" i="122"/>
  <c r="H1808" i="122"/>
  <c r="N1808" i="122" s="1"/>
  <c r="H1932" i="122"/>
  <c r="N1932" i="122" s="1"/>
  <c r="F2602" i="122"/>
  <c r="H1608" i="122"/>
  <c r="N1608" i="122" s="1"/>
  <c r="F2278" i="122"/>
  <c r="F2277" i="122"/>
  <c r="H1607" i="122"/>
  <c r="N1607" i="122" s="1"/>
  <c r="F2207" i="122"/>
  <c r="H1537" i="122"/>
  <c r="N1537" i="122" s="1"/>
  <c r="H1780" i="122"/>
  <c r="N1780" i="122" s="1"/>
  <c r="F2450" i="122"/>
  <c r="F2488" i="122"/>
  <c r="H1818" i="122"/>
  <c r="N1818" i="122" s="1"/>
  <c r="F2554" i="122"/>
  <c r="H1884" i="122"/>
  <c r="N1884" i="122" s="1"/>
  <c r="F2558" i="122"/>
  <c r="H1888" i="122"/>
  <c r="N1888" i="122" s="1"/>
  <c r="H1764" i="122"/>
  <c r="N1764" i="122" s="1"/>
  <c r="F2434" i="122"/>
  <c r="F2610" i="122"/>
  <c r="H1940" i="122"/>
  <c r="N1940" i="122" s="1"/>
  <c r="H1989" i="122"/>
  <c r="H1469" i="122"/>
  <c r="N1469" i="122" s="1"/>
  <c r="F2139" i="122"/>
  <c r="H1481" i="122"/>
  <c r="N1481" i="122" s="1"/>
  <c r="F2151" i="122"/>
  <c r="F2679" i="122"/>
  <c r="H2009" i="122"/>
  <c r="N2009" i="122" s="1"/>
  <c r="F2499" i="122"/>
  <c r="H1829" i="122"/>
  <c r="N1829" i="122" s="1"/>
  <c r="F2454" i="122"/>
  <c r="H1784" i="122"/>
  <c r="N1784" i="122" s="1"/>
  <c r="F2300" i="122"/>
  <c r="H1630" i="122"/>
  <c r="N1630" i="122" s="1"/>
  <c r="F2023" i="122"/>
  <c r="H1353" i="122"/>
  <c r="N1353" i="122" s="1"/>
  <c r="F2205" i="122"/>
  <c r="H1535" i="122"/>
  <c r="N1535" i="122" s="1"/>
  <c r="H1916" i="122"/>
  <c r="N1916" i="122" s="1"/>
  <c r="F2586" i="122"/>
  <c r="H1425" i="122"/>
  <c r="N1425" i="122" s="1"/>
  <c r="F2095" i="122"/>
  <c r="H1442" i="122"/>
  <c r="N1442" i="122" s="1"/>
  <c r="F2112" i="122"/>
  <c r="F2293" i="122"/>
  <c r="H1623" i="122"/>
  <c r="N1623" i="122" s="1"/>
  <c r="F2267" i="122"/>
  <c r="H1597" i="122"/>
  <c r="N1597" i="122" s="1"/>
  <c r="F2082" i="122"/>
  <c r="H1412" i="122"/>
  <c r="N1412" i="122" s="1"/>
  <c r="F2233" i="122"/>
  <c r="H1563" i="122"/>
  <c r="N1563" i="122" s="1"/>
  <c r="H1485" i="122"/>
  <c r="N1485" i="122" s="1"/>
  <c r="F2155" i="122"/>
  <c r="F3319" i="122"/>
  <c r="H2649" i="122"/>
  <c r="N2649" i="122" s="1"/>
  <c r="H2329" i="122"/>
  <c r="N2329" i="122" s="1"/>
  <c r="F2999" i="122"/>
  <c r="H1462" i="122"/>
  <c r="N1462" i="122" s="1"/>
  <c r="F2132" i="122"/>
  <c r="F2432" i="122"/>
  <c r="H1762" i="122"/>
  <c r="N1762" i="122" s="1"/>
  <c r="H1935" i="122"/>
  <c r="N1935" i="122" s="1"/>
  <c r="F2605" i="122"/>
  <c r="H1950" i="122"/>
  <c r="N1950" i="122" s="1"/>
  <c r="F2620" i="122"/>
  <c r="H1906" i="122"/>
  <c r="N1906" i="122" s="1"/>
  <c r="F2576" i="122"/>
  <c r="F2544" i="122"/>
  <c r="H1874" i="122"/>
  <c r="N1874" i="122" s="1"/>
  <c r="F2587" i="122"/>
  <c r="H1917" i="122"/>
  <c r="N1917" i="122" s="1"/>
  <c r="F2303" i="122"/>
  <c r="H1633" i="122"/>
  <c r="N1633" i="122" s="1"/>
  <c r="F2034" i="122"/>
  <c r="H1364" i="122"/>
  <c r="N1364" i="122" s="1"/>
  <c r="F2381" i="122"/>
  <c r="H1711" i="122"/>
  <c r="N1711" i="122" s="1"/>
  <c r="F2506" i="122"/>
  <c r="H1836" i="122"/>
  <c r="N1836" i="122" s="1"/>
  <c r="H1389" i="122"/>
  <c r="N1389" i="122" s="1"/>
  <c r="F2059" i="122"/>
  <c r="F2762" i="122"/>
  <c r="H2092" i="122"/>
  <c r="N2092" i="122" s="1"/>
  <c r="F2583" i="122"/>
  <c r="H1913" i="122"/>
  <c r="N1913" i="122" s="1"/>
  <c r="H1575" i="122"/>
  <c r="N1575" i="122" s="1"/>
  <c r="F2245" i="122"/>
  <c r="F2321" i="122"/>
  <c r="H1651" i="122"/>
  <c r="N1651" i="122" s="1"/>
  <c r="H1583" i="122"/>
  <c r="N1583" i="122" s="1"/>
  <c r="F2253" i="122"/>
  <c r="F2286" i="122"/>
  <c r="H1616" i="122"/>
  <c r="N1616" i="122" s="1"/>
  <c r="F2164" i="122"/>
  <c r="H1494" i="122"/>
  <c r="N1494" i="122" s="1"/>
  <c r="H1799" i="122"/>
  <c r="N1799" i="122" s="1"/>
  <c r="F2469" i="122"/>
  <c r="F2424" i="122"/>
  <c r="H1754" i="122"/>
  <c r="N1754" i="122" s="1"/>
  <c r="F2526" i="122"/>
  <c r="H1856" i="122"/>
  <c r="N1856" i="122" s="1"/>
  <c r="F2094" i="122"/>
  <c r="H1424" i="122"/>
  <c r="N1424" i="122" s="1"/>
  <c r="H1782" i="122"/>
  <c r="N1782" i="122" s="1"/>
  <c r="F2452" i="122"/>
  <c r="F2294" i="122"/>
  <c r="H1624" i="122"/>
  <c r="N1624" i="122" s="1"/>
  <c r="H1898" i="122"/>
  <c r="N1898" i="122" s="1"/>
  <c r="F2568" i="122"/>
  <c r="F2190" i="122"/>
  <c r="H1520" i="122"/>
  <c r="N1520" i="122" s="1"/>
  <c r="F2199" i="122"/>
  <c r="H1529" i="122"/>
  <c r="N1529" i="122" s="1"/>
  <c r="F2147" i="122"/>
  <c r="H1477" i="122"/>
  <c r="N1477" i="122" s="1"/>
  <c r="F2486" i="122"/>
  <c r="H1816" i="122"/>
  <c r="N1816" i="122" s="1"/>
  <c r="F2055" i="122"/>
  <c r="H1385" i="122"/>
  <c r="N1385" i="122" s="1"/>
  <c r="F2634" i="122"/>
  <c r="H1964" i="122"/>
  <c r="N1964" i="122" s="1"/>
  <c r="F2490" i="122"/>
  <c r="H1820" i="122"/>
  <c r="N1820" i="122" s="1"/>
  <c r="F2127" i="122"/>
  <c r="H1457" i="122"/>
  <c r="N1457" i="122" s="1"/>
  <c r="F2225" i="122"/>
  <c r="H1555" i="122"/>
  <c r="N1555" i="122" s="1"/>
  <c r="H1800" i="122"/>
  <c r="N1800" i="122" s="1"/>
  <c r="F2470" i="122"/>
  <c r="H1974" i="122"/>
  <c r="N1974" i="122" s="1"/>
  <c r="F2644" i="122"/>
  <c r="F2399" i="122"/>
  <c r="H1729" i="122"/>
  <c r="N1729" i="122" s="1"/>
  <c r="H2028" i="122"/>
  <c r="N2028" i="122" s="1"/>
  <c r="F2698" i="122"/>
  <c r="F2258" i="122"/>
  <c r="H1588" i="122"/>
  <c r="N1588" i="122" s="1"/>
  <c r="F2360" i="122"/>
  <c r="H1690" i="122"/>
  <c r="N1690" i="122" s="1"/>
  <c r="F2433" i="122"/>
  <c r="H1763" i="122"/>
  <c r="N1763" i="122" s="1"/>
  <c r="H1641" i="122"/>
  <c r="N1641" i="122" s="1"/>
  <c r="F2311" i="122"/>
  <c r="F2365" i="122"/>
  <c r="H1695" i="122"/>
  <c r="N1695" i="122" s="1"/>
  <c r="F2511" i="122"/>
  <c r="H1841" i="122"/>
  <c r="N1841" i="122" s="1"/>
  <c r="F2114" i="122"/>
  <c r="H1444" i="122"/>
  <c r="N1444" i="122" s="1"/>
  <c r="F3063" i="122"/>
  <c r="H2393" i="122"/>
  <c r="N2393" i="122" s="1"/>
  <c r="H1761" i="122"/>
  <c r="N1761" i="122" s="1"/>
  <c r="F2431" i="122"/>
  <c r="F2467" i="122"/>
  <c r="H1797" i="122"/>
  <c r="N1797" i="122" s="1"/>
  <c r="F2280" i="122"/>
  <c r="H1610" i="122"/>
  <c r="N1610" i="122" s="1"/>
  <c r="F2259" i="122"/>
  <c r="H1589" i="122"/>
  <c r="N1589" i="122" s="1"/>
  <c r="F2097" i="122"/>
  <c r="H1427" i="122"/>
  <c r="N1427" i="122" s="1"/>
  <c r="F2153" i="122"/>
  <c r="H1483" i="122"/>
  <c r="N1483" i="122" s="1"/>
  <c r="H1929" i="122"/>
  <c r="N1929" i="122" s="1"/>
  <c r="F2599" i="122"/>
  <c r="H1996" i="122"/>
  <c r="F2522" i="122"/>
  <c r="H1852" i="122"/>
  <c r="N1852" i="122" s="1"/>
  <c r="F2476" i="122"/>
  <c r="H1806" i="122"/>
  <c r="N1806" i="122" s="1"/>
  <c r="F2049" i="122"/>
  <c r="H1379" i="122"/>
  <c r="N1379" i="122" s="1"/>
  <c r="F2483" i="122"/>
  <c r="H1813" i="122"/>
  <c r="N1813" i="122" s="1"/>
  <c r="F2328" i="122"/>
  <c r="H1658" i="122"/>
  <c r="N1658" i="122" s="1"/>
  <c r="F2288" i="122"/>
  <c r="H1618" i="122"/>
  <c r="N1618" i="122" s="1"/>
  <c r="H1546" i="122"/>
  <c r="N1546" i="122" s="1"/>
  <c r="F2216" i="122"/>
  <c r="F2292" i="122"/>
  <c r="H1622" i="122"/>
  <c r="N1622" i="122" s="1"/>
  <c r="F2496" i="122"/>
  <c r="H1826" i="122"/>
  <c r="N1826" i="122" s="1"/>
  <c r="F2313" i="122"/>
  <c r="H1643" i="122"/>
  <c r="N1643" i="122" s="1"/>
  <c r="F3351" i="122"/>
  <c r="F2187" i="122"/>
  <c r="H1517" i="122"/>
  <c r="N1517" i="122" s="1"/>
  <c r="F2186" i="122"/>
  <c r="H1516" i="122"/>
  <c r="N1516" i="122" s="1"/>
  <c r="F2350" i="122"/>
  <c r="H1680" i="122"/>
  <c r="N1680" i="122" s="1"/>
  <c r="F2580" i="122"/>
  <c r="H1910" i="122"/>
  <c r="N1910" i="122" s="1"/>
  <c r="F2445" i="122"/>
  <c r="H1775" i="122"/>
  <c r="N1775" i="122" s="1"/>
  <c r="F2042" i="122"/>
  <c r="H1372" i="122"/>
  <c r="N1372" i="122" s="1"/>
  <c r="F2174" i="122"/>
  <c r="H1504" i="122"/>
  <c r="N1504" i="122" s="1"/>
  <c r="F2465" i="122"/>
  <c r="H1795" i="122"/>
  <c r="N1795" i="122" s="1"/>
  <c r="H1911" i="122"/>
  <c r="N1911" i="122" s="1"/>
  <c r="F2581" i="122"/>
  <c r="F2052" i="122"/>
  <c r="H1382" i="122"/>
  <c r="N1382" i="122" s="1"/>
  <c r="F2345" i="122"/>
  <c r="H1675" i="122"/>
  <c r="N1675" i="122" s="1"/>
  <c r="F2336" i="122"/>
  <c r="H1666" i="122"/>
  <c r="N1666" i="122" s="1"/>
  <c r="H1466" i="122"/>
  <c r="N1466" i="122" s="1"/>
  <c r="F2136" i="122"/>
  <c r="H1614" i="122"/>
  <c r="N1614" i="122" s="1"/>
  <c r="F2284" i="122"/>
  <c r="F2525" i="122"/>
  <c r="H1855" i="122"/>
  <c r="N1855" i="122" s="1"/>
  <c r="F2369" i="122"/>
  <c r="H1699" i="122"/>
  <c r="N1699" i="122" s="1"/>
  <c r="F2213" i="122"/>
  <c r="H1543" i="122"/>
  <c r="N1543" i="122" s="1"/>
  <c r="F2229" i="122"/>
  <c r="H1559" i="122"/>
  <c r="N1559" i="122" s="1"/>
  <c r="H1868" i="122"/>
  <c r="N1868" i="122" s="1"/>
  <c r="F2538" i="122"/>
  <c r="F2682" i="122"/>
  <c r="H2012" i="122"/>
  <c r="F2096" i="122"/>
  <c r="H1426" i="122"/>
  <c r="N1426" i="122" s="1"/>
  <c r="F2237" i="122"/>
  <c r="H1567" i="122"/>
  <c r="N1567" i="122" s="1"/>
  <c r="F2565" i="122"/>
  <c r="H1895" i="122"/>
  <c r="N1895" i="122" s="1"/>
  <c r="F3111" i="122"/>
  <c r="H2441" i="122"/>
  <c r="N2441" i="122" s="1"/>
  <c r="F2182" i="122"/>
  <c r="H1512" i="122"/>
  <c r="N1512" i="122" s="1"/>
  <c r="F3247" i="122"/>
  <c r="H2577" i="122"/>
  <c r="N2577" i="122" s="1"/>
  <c r="F2459" i="122"/>
  <c r="H1789" i="122"/>
  <c r="N1789" i="122" s="1"/>
  <c r="F2261" i="122"/>
  <c r="H1591" i="122"/>
  <c r="N1591" i="122" s="1"/>
  <c r="H1707" i="122"/>
  <c r="N1707" i="122" s="1"/>
  <c r="F2377" i="122"/>
  <c r="F2338" i="122"/>
  <c r="H1668" i="122"/>
  <c r="N1668" i="122" s="1"/>
  <c r="F2169" i="122"/>
  <c r="H1499" i="122"/>
  <c r="N1499" i="122" s="1"/>
  <c r="F2158" i="122"/>
  <c r="H1488" i="122"/>
  <c r="N1488" i="122" s="1"/>
  <c r="H1994" i="122"/>
  <c r="F2100" i="122"/>
  <c r="H1430" i="122"/>
  <c r="N1430" i="122" s="1"/>
  <c r="F2612" i="122"/>
  <c r="H1942" i="122"/>
  <c r="N1942" i="122" s="1"/>
  <c r="H1378" i="122"/>
  <c r="N1378" i="122" s="1"/>
  <c r="F2048" i="122"/>
  <c r="F2481" i="122"/>
  <c r="H1811" i="122"/>
  <c r="N1811" i="122" s="1"/>
  <c r="F2282" i="122"/>
  <c r="H1612" i="122"/>
  <c r="N1612" i="122" s="1"/>
  <c r="F2074" i="122"/>
  <c r="H1404" i="122"/>
  <c r="N1404" i="122" s="1"/>
  <c r="F2379" i="122"/>
  <c r="H1709" i="122"/>
  <c r="N1709" i="122" s="1"/>
  <c r="F2334" i="122"/>
  <c r="H1664" i="122"/>
  <c r="N1664" i="122" s="1"/>
  <c r="F3295" i="122"/>
  <c r="H2625" i="122"/>
  <c r="N2625" i="122" s="1"/>
  <c r="F2090" i="122"/>
  <c r="H1420" i="122"/>
  <c r="N1420" i="122" s="1"/>
  <c r="F2337" i="122"/>
  <c r="H1667" i="122"/>
  <c r="N1667" i="122" s="1"/>
  <c r="F2468" i="122"/>
  <c r="H1798" i="122"/>
  <c r="N1798" i="122" s="1"/>
  <c r="H1474" i="122"/>
  <c r="N1474" i="122" s="1"/>
  <c r="F2144" i="122"/>
  <c r="F2163" i="122"/>
  <c r="H1493" i="122"/>
  <c r="N1493" i="122" s="1"/>
  <c r="F2111" i="122"/>
  <c r="H1441" i="122"/>
  <c r="N1441" i="122" s="1"/>
  <c r="F2279" i="122"/>
  <c r="H1609" i="122"/>
  <c r="N1609" i="122" s="1"/>
  <c r="H1547" i="122"/>
  <c r="N1547" i="122" s="1"/>
  <c r="F2217" i="122"/>
  <c r="F2214" i="122"/>
  <c r="H1544" i="122"/>
  <c r="N1544" i="122" s="1"/>
  <c r="H1740" i="122"/>
  <c r="N1740" i="122" s="1"/>
  <c r="F2410" i="122"/>
  <c r="F2579" i="122"/>
  <c r="H1909" i="122"/>
  <c r="N1909" i="122" s="1"/>
  <c r="F2130" i="122"/>
  <c r="H1460" i="122"/>
  <c r="N1460" i="122" s="1"/>
  <c r="F3321" i="122"/>
  <c r="H2651" i="122"/>
  <c r="N2651" i="122" s="1"/>
  <c r="F2472" i="122"/>
  <c r="H1802" i="122"/>
  <c r="N1802" i="122" s="1"/>
  <c r="H1590" i="122"/>
  <c r="N1590" i="122" s="1"/>
  <c r="F2260" i="122"/>
  <c r="H2569" i="122"/>
  <c r="N2569" i="122" s="1"/>
  <c r="F3239" i="122"/>
  <c r="F2249" i="122"/>
  <c r="H1579" i="122"/>
  <c r="N1579" i="122" s="1"/>
  <c r="F2204" i="122"/>
  <c r="H1534" i="122"/>
  <c r="N1534" i="122" s="1"/>
  <c r="H1787" i="122"/>
  <c r="N1787" i="122" s="1"/>
  <c r="F2457" i="122"/>
  <c r="F2667" i="122"/>
  <c r="H1997" i="122"/>
  <c r="N1997" i="122" s="1"/>
  <c r="F2854" i="122"/>
  <c r="H2184" i="122"/>
  <c r="N2184" i="122" s="1"/>
  <c r="F2348" i="122"/>
  <c r="H1678" i="122"/>
  <c r="N1678" i="122" s="1"/>
  <c r="F2250" i="122"/>
  <c r="H1580" i="122"/>
  <c r="N1580" i="122" s="1"/>
  <c r="F2088" i="122"/>
  <c r="H1418" i="122"/>
  <c r="N1418" i="122" s="1"/>
  <c r="F2244" i="122"/>
  <c r="H1574" i="122"/>
  <c r="N1574" i="122" s="1"/>
  <c r="H1447" i="122"/>
  <c r="N1447" i="122" s="1"/>
  <c r="F2117" i="122"/>
  <c r="H1371" i="122"/>
  <c r="N1371" i="122" s="1"/>
  <c r="F2041" i="122"/>
  <c r="F2307" i="122"/>
  <c r="H1637" i="122"/>
  <c r="N1637" i="122" s="1"/>
  <c r="H1566" i="122"/>
  <c r="N1566" i="122" s="1"/>
  <c r="F2236" i="122"/>
  <c r="H1405" i="122"/>
  <c r="N1405" i="122" s="1"/>
  <c r="F2075" i="122"/>
  <c r="F2437" i="122"/>
  <c r="H1767" i="122"/>
  <c r="N1767" i="122" s="1"/>
  <c r="F2246" i="122"/>
  <c r="H1576" i="122"/>
  <c r="N1576" i="122" s="1"/>
  <c r="H1596" i="122"/>
  <c r="N1596" i="122" s="1"/>
  <c r="F2266" i="122"/>
  <c r="F2220" i="122"/>
  <c r="H1550" i="122"/>
  <c r="N1550" i="122" s="1"/>
  <c r="F2030" i="122"/>
  <c r="H1360" i="122"/>
  <c r="N1360" i="122" s="1"/>
  <c r="F2175" i="122"/>
  <c r="H1505" i="122"/>
  <c r="N1505" i="122" s="1"/>
  <c r="F2262" i="122"/>
  <c r="H1592" i="122"/>
  <c r="N1592" i="122" s="1"/>
  <c r="F2104" i="122"/>
  <c r="H1434" i="122"/>
  <c r="N1434" i="122" s="1"/>
  <c r="F2077" i="122"/>
  <c r="H1407" i="122"/>
  <c r="N1407" i="122" s="1"/>
  <c r="F2108" i="122"/>
  <c r="H1438" i="122"/>
  <c r="N1438" i="122" s="1"/>
  <c r="F2621" i="122"/>
  <c r="H1951" i="122"/>
  <c r="N1951" i="122" s="1"/>
  <c r="F2316" i="122"/>
  <c r="H1646" i="122"/>
  <c r="N1646" i="122" s="1"/>
  <c r="F2315" i="122"/>
  <c r="H1645" i="122"/>
  <c r="N1645" i="122" s="1"/>
  <c r="H1619" i="122"/>
  <c r="N1619" i="122" s="1"/>
  <c r="F2289" i="122"/>
  <c r="F2671" i="122"/>
  <c r="H2001" i="122"/>
  <c r="N2001" i="122" s="1"/>
  <c r="H1644" i="122"/>
  <c r="N1644" i="122" s="1"/>
  <c r="F2314" i="122"/>
  <c r="F2197" i="122"/>
  <c r="H1527" i="122"/>
  <c r="N1527" i="122" s="1"/>
  <c r="F2339" i="122"/>
  <c r="H1669" i="122"/>
  <c r="N1669" i="122" s="1"/>
  <c r="H1998" i="122"/>
  <c r="F2193" i="122"/>
  <c r="H1523" i="122"/>
  <c r="N1523" i="122" s="1"/>
  <c r="F2272" i="122"/>
  <c r="H1602" i="122"/>
  <c r="N1602" i="122" s="1"/>
  <c r="F2273" i="122"/>
  <c r="H1603" i="122"/>
  <c r="N1603" i="122" s="1"/>
  <c r="F2574" i="122"/>
  <c r="H1904" i="122"/>
  <c r="N1904" i="122" s="1"/>
  <c r="F2591" i="122"/>
  <c r="H1921" i="122"/>
  <c r="N1921" i="122" s="1"/>
  <c r="F2550" i="122"/>
  <c r="H1880" i="122"/>
  <c r="N1880" i="122" s="1"/>
  <c r="F2268" i="122"/>
  <c r="H1598" i="122"/>
  <c r="N1598" i="122" s="1"/>
  <c r="F2347" i="122"/>
  <c r="H1677" i="122"/>
  <c r="N1677" i="122" s="1"/>
  <c r="H1632" i="122"/>
  <c r="N1632" i="122" s="1"/>
  <c r="F2302" i="122"/>
  <c r="H1391" i="122"/>
  <c r="N1391" i="122" s="1"/>
  <c r="F2061" i="122"/>
  <c r="F2231" i="122"/>
  <c r="H1561" i="122"/>
  <c r="N1561" i="122" s="1"/>
  <c r="F2191" i="122"/>
  <c r="H1521" i="122"/>
  <c r="N1521" i="122" s="1"/>
  <c r="F2406" i="122"/>
  <c r="H1736" i="122"/>
  <c r="N1736" i="122" s="1"/>
  <c r="H1587" i="122"/>
  <c r="N1587" i="122" s="1"/>
  <c r="F2257" i="122"/>
  <c r="F2335" i="122"/>
  <c r="H1665" i="122"/>
  <c r="N1665" i="122" s="1"/>
  <c r="H1908" i="122"/>
  <c r="N1908" i="122" s="1"/>
  <c r="F2578" i="122"/>
  <c r="F2044" i="122"/>
  <c r="H1374" i="122"/>
  <c r="N1374" i="122" s="1"/>
  <c r="F2063" i="122"/>
  <c r="H1393" i="122"/>
  <c r="N1393" i="122" s="1"/>
  <c r="H1892" i="122"/>
  <c r="N1892" i="122" s="1"/>
  <c r="F2562" i="122"/>
  <c r="F2296" i="122"/>
  <c r="H1626" i="122"/>
  <c r="N1626" i="122" s="1"/>
  <c r="H1737" i="122"/>
  <c r="N1737" i="122" s="1"/>
  <c r="F2407" i="122"/>
  <c r="F2557" i="122"/>
  <c r="H1887" i="122"/>
  <c r="N1887" i="122" s="1"/>
  <c r="F2594" i="122"/>
  <c r="H1924" i="122"/>
  <c r="N1924" i="122" s="1"/>
  <c r="H1744" i="122"/>
  <c r="N1744" i="122" s="1"/>
  <c r="F2414" i="122"/>
  <c r="F2115" i="122"/>
  <c r="H1445" i="122"/>
  <c r="N1445" i="122" s="1"/>
  <c r="F2582" i="122"/>
  <c r="H1912" i="122"/>
  <c r="N1912" i="122" s="1"/>
  <c r="F2635" i="122"/>
  <c r="H1965" i="122"/>
  <c r="N1965" i="122" s="1"/>
  <c r="H1553" i="122"/>
  <c r="N1553" i="122" s="1"/>
  <c r="F2223" i="122"/>
  <c r="F2675" i="122"/>
  <c r="H2005" i="122"/>
  <c r="N2005" i="122" s="1"/>
  <c r="H1530" i="122"/>
  <c r="N1530" i="122" s="1"/>
  <c r="F2200" i="122"/>
  <c r="F2368" i="122"/>
  <c r="H1698" i="122"/>
  <c r="N1698" i="122" s="1"/>
  <c r="F2531" i="122"/>
  <c r="H1861" i="122"/>
  <c r="N1861" i="122" s="1"/>
  <c r="F2032" i="122"/>
  <c r="H1362" i="122"/>
  <c r="N1362" i="122" s="1"/>
  <c r="F2466" i="122"/>
  <c r="H1796" i="122"/>
  <c r="N1796" i="122" s="1"/>
  <c r="H1433" i="122"/>
  <c r="N1433" i="122" s="1"/>
  <c r="F2103" i="122"/>
  <c r="H1673" i="122"/>
  <c r="N1673" i="122" s="1"/>
  <c r="F2343" i="122"/>
  <c r="F2382" i="122"/>
  <c r="H1712" i="122"/>
  <c r="N1712" i="122" s="1"/>
  <c r="F2396" i="122"/>
  <c r="H1726" i="122"/>
  <c r="N1726" i="122" s="1"/>
  <c r="F2600" i="122"/>
  <c r="H1930" i="122"/>
  <c r="N1930" i="122" s="1"/>
  <c r="F2444" i="122"/>
  <c r="H1774" i="122"/>
  <c r="N1774" i="122" s="1"/>
  <c r="H1413" i="122"/>
  <c r="N1413" i="122" s="1"/>
  <c r="F2083" i="122"/>
  <c r="N680" i="122"/>
  <c r="F2448" i="122"/>
  <c r="H1778" i="122"/>
  <c r="N1778" i="122" s="1"/>
  <c r="H1661" i="122"/>
  <c r="N1661" i="122" s="1"/>
  <c r="F2331" i="122"/>
  <c r="F2046" i="122"/>
  <c r="H1376" i="122"/>
  <c r="N1376" i="122" s="1"/>
  <c r="F2177" i="122"/>
  <c r="H1507" i="122"/>
  <c r="N1507" i="122" s="1"/>
  <c r="F2309" i="122"/>
  <c r="H1639" i="122"/>
  <c r="N1639" i="122" s="1"/>
  <c r="F2487" i="122"/>
  <c r="H1817" i="122"/>
  <c r="N1817" i="122" s="1"/>
  <c r="F2545" i="122"/>
  <c r="H1875" i="122"/>
  <c r="N1875" i="122" s="1"/>
  <c r="F2079" i="122"/>
  <c r="H1409" i="122"/>
  <c r="N1409" i="122" s="1"/>
  <c r="F2560" i="122"/>
  <c r="H1890" i="122"/>
  <c r="N1890" i="122" s="1"/>
  <c r="F2322" i="122"/>
  <c r="H1652" i="122"/>
  <c r="N1652" i="122" s="1"/>
  <c r="F2627" i="122"/>
  <c r="H1957" i="122"/>
  <c r="N1957" i="122" s="1"/>
  <c r="F2555" i="122"/>
  <c r="H1885" i="122"/>
  <c r="N1885" i="122" s="1"/>
  <c r="F2141" i="122"/>
  <c r="H1471" i="122"/>
  <c r="N1471" i="122" s="1"/>
  <c r="F2447" i="122"/>
  <c r="H1777" i="122"/>
  <c r="N1777" i="122" s="1"/>
  <c r="H1636" i="122"/>
  <c r="N1636" i="122" s="1"/>
  <c r="F2306" i="122"/>
  <c r="F2054" i="122"/>
  <c r="H1384" i="122"/>
  <c r="N1384" i="122" s="1"/>
  <c r="F2354" i="122"/>
  <c r="H1684" i="122"/>
  <c r="N1684" i="122" s="1"/>
  <c r="F2647" i="122"/>
  <c r="H1977" i="122"/>
  <c r="N1977" i="122" s="1"/>
  <c r="F2460" i="122"/>
  <c r="H1790" i="122"/>
  <c r="N1790" i="122" s="1"/>
  <c r="F2189" i="122"/>
  <c r="H1519" i="122"/>
  <c r="N1519" i="122" s="1"/>
  <c r="H1703" i="122"/>
  <c r="N1703" i="122" s="1"/>
  <c r="F2373" i="122"/>
  <c r="F2210" i="122"/>
  <c r="H1540" i="122"/>
  <c r="N1540" i="122" s="1"/>
  <c r="F2342" i="122"/>
  <c r="H1672" i="122"/>
  <c r="N1672" i="122" s="1"/>
  <c r="F2327" i="122"/>
  <c r="H1657" i="122"/>
  <c r="N1657" i="122" s="1"/>
  <c r="H1821" i="122"/>
  <c r="N1821" i="122" s="1"/>
  <c r="F2491" i="122"/>
  <c r="F2408" i="122"/>
  <c r="H1738" i="122"/>
  <c r="N1738" i="122" s="1"/>
  <c r="H1731" i="122"/>
  <c r="N1731" i="122" s="1"/>
  <c r="F2401" i="122"/>
  <c r="H1814" i="122"/>
  <c r="N1814" i="122" s="1"/>
  <c r="F2484" i="122"/>
  <c r="F2623" i="122"/>
  <c r="H1953" i="122"/>
  <c r="N1953" i="122" s="1"/>
  <c r="H1655" i="122"/>
  <c r="N1655" i="122" s="1"/>
  <c r="F2325" i="122"/>
  <c r="F2371" i="122"/>
  <c r="H1701" i="122"/>
  <c r="N1701" i="122" s="1"/>
  <c r="F2326" i="122"/>
  <c r="H1656" i="122"/>
  <c r="N1656" i="122" s="1"/>
  <c r="F2156" i="122"/>
  <c r="H1486" i="122"/>
  <c r="N1486" i="122" s="1"/>
  <c r="H1691" i="122"/>
  <c r="N1691" i="122" s="1"/>
  <c r="F2361" i="122"/>
  <c r="F2206" i="122"/>
  <c r="H1536" i="122"/>
  <c r="N1536" i="122" s="1"/>
  <c r="F2352" i="122"/>
  <c r="H1682" i="122"/>
  <c r="N1682" i="122" s="1"/>
  <c r="F2493" i="122"/>
  <c r="H1823" i="122"/>
  <c r="N1823" i="122" s="1"/>
  <c r="F2340" i="122"/>
  <c r="H1670" i="122"/>
  <c r="N1670" i="122" s="1"/>
  <c r="F2607" i="122"/>
  <c r="H1937" i="122"/>
  <c r="N1937" i="122" s="1"/>
  <c r="F2547" i="122"/>
  <c r="H1877" i="122"/>
  <c r="N1877" i="122" s="1"/>
  <c r="F2590" i="122"/>
  <c r="H1920" i="122"/>
  <c r="N1920" i="122" s="1"/>
  <c r="H1473" i="122"/>
  <c r="N1473" i="122" s="1"/>
  <c r="F2143" i="122"/>
  <c r="F2614" i="122"/>
  <c r="H1944" i="122"/>
  <c r="N1944" i="122" s="1"/>
  <c r="F2183" i="122"/>
  <c r="H1513" i="122"/>
  <c r="N1513" i="122" s="1"/>
  <c r="H1948" i="122"/>
  <c r="N1948" i="122" s="1"/>
  <c r="F2618" i="122"/>
  <c r="F2195" i="122"/>
  <c r="H1525" i="122"/>
  <c r="N1525" i="122" s="1"/>
  <c r="F2598" i="122"/>
  <c r="H1928" i="122"/>
  <c r="N1928" i="122" s="1"/>
  <c r="F2133" i="122"/>
  <c r="H1463" i="122"/>
  <c r="N1463" i="122" s="1"/>
  <c r="F2157" i="122"/>
  <c r="H1487" i="122"/>
  <c r="N1487" i="122" s="1"/>
  <c r="H1857" i="122"/>
  <c r="N1857" i="122" s="1"/>
  <c r="F2527" i="122"/>
  <c r="F2378" i="122"/>
  <c r="H1708" i="122"/>
  <c r="N1708" i="122" s="1"/>
  <c r="F2386" i="122"/>
  <c r="H1716" i="122"/>
  <c r="N1716" i="122" s="1"/>
  <c r="F2224" i="122"/>
  <c r="H1554" i="122"/>
  <c r="N1554" i="122" s="1"/>
  <c r="F2439" i="122"/>
  <c r="H1769" i="122"/>
  <c r="N1769" i="122" s="1"/>
  <c r="H1741" i="122"/>
  <c r="N1741" i="122" s="1"/>
  <c r="F2411" i="122"/>
  <c r="F2129" i="122"/>
  <c r="H1459" i="122"/>
  <c r="N1459" i="122" s="1"/>
  <c r="F2629" i="122"/>
  <c r="H1959" i="122"/>
  <c r="N1959" i="122" s="1"/>
  <c r="F2025" i="122"/>
  <c r="H1355" i="122"/>
  <c r="N1355" i="122" s="1"/>
  <c r="H1538" i="122"/>
  <c r="N1538" i="122" s="1"/>
  <c r="F2208" i="122"/>
  <c r="F2242" i="122"/>
  <c r="H1572" i="122"/>
  <c r="N1572" i="122" s="1"/>
  <c r="H1551" i="122"/>
  <c r="N1551" i="122" s="1"/>
  <c r="F2221" i="122"/>
  <c r="H1498" i="122"/>
  <c r="N1498" i="122" s="1"/>
  <c r="F2168" i="122"/>
  <c r="H1939" i="122"/>
  <c r="N1939" i="122" s="1"/>
  <c r="F2609" i="122"/>
  <c r="F2471" i="122"/>
  <c r="H1801" i="122"/>
  <c r="N1801" i="122" s="1"/>
  <c r="F2530" i="122"/>
  <c r="H1860" i="122"/>
  <c r="N1860" i="122" s="1"/>
  <c r="F2135" i="122"/>
  <c r="H1465" i="122"/>
  <c r="N1465" i="122" s="1"/>
  <c r="F2036" i="122"/>
  <c r="H1366" i="122"/>
  <c r="N1366" i="122" s="1"/>
  <c r="F2179" i="122"/>
  <c r="H1509" i="122"/>
  <c r="N1509" i="122" s="1"/>
  <c r="H1872" i="122"/>
  <c r="N1872" i="122" s="1"/>
  <c r="F2542" i="122"/>
  <c r="F2606" i="122"/>
  <c r="H1936" i="122"/>
  <c r="N1936" i="122" s="1"/>
  <c r="H1980" i="122"/>
  <c r="N1980" i="122" s="1"/>
  <c r="F2650" i="122"/>
  <c r="H1847" i="122"/>
  <c r="N1847" i="122" s="1"/>
  <c r="F2517" i="122"/>
  <c r="F2474" i="122"/>
  <c r="H1804" i="122"/>
  <c r="N1804" i="122" s="1"/>
  <c r="F2641" i="122"/>
  <c r="H1971" i="122"/>
  <c r="N1971" i="122" s="1"/>
  <c r="H1941" i="122"/>
  <c r="N1941" i="122" s="1"/>
  <c r="F2611" i="122"/>
  <c r="F2584" i="122"/>
  <c r="H1914" i="122"/>
  <c r="N1914" i="122" s="1"/>
  <c r="F2105" i="122"/>
  <c r="H1435" i="122"/>
  <c r="N1435" i="122" s="1"/>
  <c r="F2420" i="122"/>
  <c r="H1750" i="122"/>
  <c r="N1750" i="122" s="1"/>
  <c r="F2162" i="122"/>
  <c r="H1492" i="122"/>
  <c r="N1492" i="122" s="1"/>
  <c r="H1757" i="122"/>
  <c r="N1757" i="122" s="1"/>
  <c r="F2427" i="122"/>
  <c r="F2159" i="122"/>
  <c r="H1489" i="122"/>
  <c r="N1489" i="122" s="1"/>
  <c r="F2150" i="122"/>
  <c r="H1480" i="122"/>
  <c r="N1480" i="122" s="1"/>
  <c r="F2068" i="122"/>
  <c r="H1398" i="122"/>
  <c r="N1398" i="122" s="1"/>
  <c r="F2290" i="122"/>
  <c r="H1620" i="122"/>
  <c r="N1620" i="122" s="1"/>
  <c r="F2038" i="122"/>
  <c r="H1368" i="122"/>
  <c r="N1368" i="122" s="1"/>
  <c r="F3271" i="122"/>
  <c r="H2601" i="122"/>
  <c r="N2601" i="122" s="1"/>
  <c r="H1961" i="122"/>
  <c r="N1961" i="122" s="1"/>
  <c r="F2631" i="122"/>
  <c r="H1902" i="122"/>
  <c r="N1902" i="122" s="1"/>
  <c r="F2572" i="122"/>
  <c r="F2170" i="122"/>
  <c r="H1500" i="122"/>
  <c r="N1500" i="122" s="1"/>
  <c r="F2173" i="122"/>
  <c r="H1503" i="122"/>
  <c r="N1503" i="122" s="1"/>
  <c r="H1766" i="122"/>
  <c r="N1766" i="122" s="1"/>
  <c r="F2436" i="122"/>
  <c r="F2592" i="122"/>
  <c r="H1922" i="122"/>
  <c r="N1922" i="122" s="1"/>
  <c r="F2274" i="122"/>
  <c r="H1604" i="122"/>
  <c r="N1604" i="122" s="1"/>
  <c r="F2392" i="122"/>
  <c r="H1722" i="122"/>
  <c r="N1722" i="122" s="1"/>
  <c r="F2615" i="122"/>
  <c r="H1945" i="122"/>
  <c r="N1945" i="122" s="1"/>
  <c r="F2533" i="122"/>
  <c r="H1863" i="122"/>
  <c r="N1863" i="122" s="1"/>
  <c r="F2066" i="122"/>
  <c r="H1396" i="122"/>
  <c r="N1396" i="122" s="1"/>
  <c r="F2081" i="122"/>
  <c r="H1411" i="122"/>
  <c r="N1411" i="122" s="1"/>
  <c r="H1833" i="122"/>
  <c r="N1833" i="122" s="1"/>
  <c r="F2503" i="122"/>
  <c r="F2298" i="122"/>
  <c r="H1628" i="122"/>
  <c r="N1628" i="122" s="1"/>
  <c r="F2056" i="122"/>
  <c r="H1386" i="122"/>
  <c r="N1386" i="122" s="1"/>
  <c r="F2107" i="122"/>
  <c r="H1437" i="122"/>
  <c r="N1437" i="122" s="1"/>
  <c r="F2180" i="122"/>
  <c r="H1510" i="122"/>
  <c r="N1510" i="122" s="1"/>
  <c r="F2050" i="122"/>
  <c r="H1380" i="122"/>
  <c r="N1380" i="122" s="1"/>
  <c r="F2154" i="122"/>
  <c r="H1484" i="122"/>
  <c r="N1484" i="122" s="1"/>
  <c r="F3303" i="122"/>
  <c r="H2633" i="122"/>
  <c r="N2633" i="122" s="1"/>
  <c r="F2076" i="122"/>
  <c r="H1406" i="122"/>
  <c r="N1406" i="122" s="1"/>
  <c r="F2033" i="122"/>
  <c r="H1363" i="122"/>
  <c r="N1363" i="122" s="1"/>
  <c r="F2058" i="122"/>
  <c r="H1388" i="122"/>
  <c r="N1388" i="122" s="1"/>
  <c r="H1975" i="122"/>
  <c r="N1975" i="122" s="1"/>
  <c r="F2645" i="122"/>
  <c r="F2608" i="122"/>
  <c r="H1938" i="122"/>
  <c r="N1938" i="122" s="1"/>
  <c r="H1663" i="122"/>
  <c r="N1663" i="122" s="1"/>
  <c r="F2333" i="122"/>
  <c r="F2228" i="122"/>
  <c r="H1558" i="122"/>
  <c r="N1558" i="122" s="1"/>
  <c r="F2597" i="122"/>
  <c r="H1927" i="122"/>
  <c r="N1927" i="122" s="1"/>
  <c r="F2304" i="122"/>
  <c r="H1634" i="122"/>
  <c r="N1634" i="122" s="1"/>
  <c r="F2070" i="122"/>
  <c r="H1400" i="122"/>
  <c r="N1400" i="122" s="1"/>
  <c r="F2477" i="122"/>
  <c r="H1807" i="122"/>
  <c r="N1807" i="122" s="1"/>
  <c r="F2556" i="122"/>
  <c r="H1886" i="122"/>
  <c r="N1886" i="122" s="1"/>
  <c r="H1865" i="122"/>
  <c r="N1865" i="122" s="1"/>
  <c r="F2535" i="122"/>
  <c r="F2423" i="122"/>
  <c r="H1753" i="122"/>
  <c r="N1753" i="122" s="1"/>
  <c r="F2202" i="122"/>
  <c r="H1532" i="122"/>
  <c r="N1532" i="122" s="1"/>
  <c r="F2673" i="122"/>
  <c r="H2003" i="122"/>
  <c r="N2003" i="122" s="1"/>
  <c r="H1450" i="122"/>
  <c r="N1450" i="122" s="1"/>
  <c r="F2120" i="122"/>
  <c r="F2252" i="122"/>
  <c r="H1582" i="122"/>
  <c r="N1582" i="122" s="1"/>
  <c r="O2179" i="122"/>
  <c r="P2179" i="122" s="1"/>
  <c r="G2849" i="122"/>
  <c r="G3519" i="122" s="1"/>
  <c r="G4189" i="122" s="1"/>
  <c r="G4859" i="122" s="1"/>
  <c r="F2754" i="122"/>
  <c r="H2084" i="122"/>
  <c r="N2084" i="122" s="1"/>
  <c r="F2596" i="122"/>
  <c r="H1926" i="122"/>
  <c r="N1926" i="122" s="1"/>
  <c r="F2400" i="122"/>
  <c r="H1730" i="122"/>
  <c r="N1730" i="122" s="1"/>
  <c r="F2291" i="122"/>
  <c r="H1621" i="122"/>
  <c r="N1621" i="122" s="1"/>
  <c r="F2310" i="122"/>
  <c r="H1640" i="122"/>
  <c r="N1640" i="122" s="1"/>
  <c r="F2442" i="122"/>
  <c r="H1772" i="122"/>
  <c r="N1772" i="122" s="1"/>
  <c r="F2512" i="122"/>
  <c r="H1842" i="122"/>
  <c r="N1842" i="122" s="1"/>
  <c r="F2456" i="122"/>
  <c r="H1786" i="122"/>
  <c r="N1786" i="122" s="1"/>
  <c r="G4354" i="122"/>
  <c r="G4311" i="122"/>
  <c r="G4072" i="122"/>
  <c r="G4376" i="122"/>
  <c r="G4368" i="122"/>
  <c r="G4180" i="122"/>
  <c r="G4973" i="122"/>
  <c r="G4144" i="122"/>
  <c r="G4607" i="122"/>
  <c r="G4088" i="122"/>
  <c r="G4240" i="122"/>
  <c r="G4406" i="122"/>
  <c r="G4228" i="122"/>
  <c r="G4305" i="122"/>
  <c r="G4926" i="122"/>
  <c r="G4611" i="122"/>
  <c r="G4408" i="122"/>
  <c r="G5044" i="122"/>
  <c r="G4326" i="122"/>
  <c r="G4356" i="122"/>
  <c r="G4176" i="122"/>
  <c r="G4323" i="122"/>
  <c r="G4340" i="122"/>
  <c r="G4348" i="122"/>
  <c r="G4362" i="122"/>
  <c r="G4076" i="122"/>
  <c r="G4378" i="122"/>
  <c r="G4032" i="122"/>
  <c r="G4315" i="122"/>
  <c r="G4212" i="122"/>
  <c r="G4248" i="122"/>
  <c r="G4200" i="122"/>
  <c r="G4346" i="122"/>
  <c r="G4338" i="122"/>
  <c r="G4056" i="122"/>
  <c r="G5028" i="122"/>
  <c r="G4272" i="122"/>
  <c r="G4184" i="122"/>
  <c r="G5004" i="122"/>
  <c r="G4330" i="122"/>
  <c r="G4152" i="122"/>
  <c r="G4044" i="122"/>
  <c r="G4380" i="122"/>
  <c r="G4390" i="122"/>
  <c r="G4332" i="122"/>
  <c r="G4386" i="122"/>
  <c r="G4208" i="122"/>
  <c r="G4394" i="122"/>
  <c r="G4410" i="122"/>
  <c r="G4392" i="122"/>
  <c r="G4080" i="122"/>
  <c r="G4328" i="122"/>
  <c r="G4370" i="122"/>
  <c r="G4116" i="122"/>
  <c r="G4244" i="122"/>
  <c r="G4372" i="122"/>
  <c r="G4360" i="122"/>
  <c r="G4100" i="122"/>
  <c r="G4268" i="122"/>
  <c r="G4120" i="122"/>
  <c r="G4587" i="122"/>
  <c r="G5068" i="122"/>
  <c r="G4234" i="122"/>
  <c r="G4048" i="122"/>
  <c r="G4344" i="122"/>
  <c r="G4216" i="122"/>
  <c r="G4260" i="122"/>
  <c r="G4052" i="122"/>
  <c r="G4108" i="122"/>
  <c r="G4396" i="122"/>
  <c r="G4840" i="122"/>
  <c r="G4384" i="122"/>
  <c r="G4319" i="122"/>
  <c r="G4402" i="122"/>
  <c r="G4352" i="122"/>
  <c r="G4671" i="122"/>
  <c r="G4364" i="122"/>
  <c r="G4112" i="122"/>
  <c r="G4084" i="122"/>
  <c r="G4404" i="122"/>
  <c r="G4148" i="122"/>
  <c r="G4388" i="122"/>
  <c r="G4342" i="122"/>
  <c r="H2645" i="122" l="1"/>
  <c r="N2645" i="122" s="1"/>
  <c r="F3315" i="122"/>
  <c r="F2838" i="122"/>
  <c r="H2168" i="122"/>
  <c r="N2168" i="122" s="1"/>
  <c r="F2813" i="122"/>
  <c r="H2143" i="122"/>
  <c r="N2143" i="122" s="1"/>
  <c r="F3031" i="122"/>
  <c r="H2361" i="122"/>
  <c r="N2361" i="122" s="1"/>
  <c r="F2995" i="122"/>
  <c r="H2325" i="122"/>
  <c r="N2325" i="122" s="1"/>
  <c r="F2716" i="122"/>
  <c r="H2046" i="122"/>
  <c r="N2046" i="122" s="1"/>
  <c r="F3052" i="122"/>
  <c r="H2382" i="122"/>
  <c r="N2382" i="122" s="1"/>
  <c r="F3345" i="122"/>
  <c r="H2675" i="122"/>
  <c r="N2675" i="122" s="1"/>
  <c r="F3076" i="122"/>
  <c r="H2406" i="122"/>
  <c r="N2406" i="122" s="1"/>
  <c r="H2591" i="122"/>
  <c r="N2591" i="122" s="1"/>
  <c r="F3261" i="122"/>
  <c r="F2774" i="122"/>
  <c r="H2104" i="122"/>
  <c r="N2104" i="122" s="1"/>
  <c r="F3018" i="122"/>
  <c r="H2348" i="122"/>
  <c r="N2348" i="122" s="1"/>
  <c r="F3142" i="122"/>
  <c r="H2472" i="122"/>
  <c r="N2472" i="122" s="1"/>
  <c r="H2337" i="122"/>
  <c r="N2337" i="122" s="1"/>
  <c r="F3007" i="122"/>
  <c r="H2379" i="122"/>
  <c r="N2379" i="122" s="1"/>
  <c r="F3049" i="122"/>
  <c r="F2828" i="122"/>
  <c r="H2158" i="122"/>
  <c r="N2158" i="122" s="1"/>
  <c r="F2931" i="122"/>
  <c r="H2261" i="122"/>
  <c r="N2261" i="122" s="1"/>
  <c r="F3352" i="122"/>
  <c r="F3039" i="122"/>
  <c r="H2369" i="122"/>
  <c r="N2369" i="122" s="1"/>
  <c r="F3006" i="122"/>
  <c r="H2336" i="122"/>
  <c r="N2336" i="122" s="1"/>
  <c r="H2280" i="122"/>
  <c r="N2280" i="122" s="1"/>
  <c r="F2950" i="122"/>
  <c r="F2784" i="122"/>
  <c r="H2114" i="122"/>
  <c r="N2114" i="122" s="1"/>
  <c r="F3103" i="122"/>
  <c r="H2433" i="122"/>
  <c r="N2433" i="122" s="1"/>
  <c r="H2399" i="122"/>
  <c r="N2399" i="122" s="1"/>
  <c r="F3069" i="122"/>
  <c r="F2797" i="122"/>
  <c r="H2127" i="122"/>
  <c r="N2127" i="122" s="1"/>
  <c r="F3156" i="122"/>
  <c r="H2486" i="122"/>
  <c r="N2486" i="122" s="1"/>
  <c r="F3238" i="122"/>
  <c r="H2568" i="122"/>
  <c r="N2568" i="122" s="1"/>
  <c r="H2155" i="122"/>
  <c r="N2155" i="122" s="1"/>
  <c r="F2825" i="122"/>
  <c r="F2810" i="122"/>
  <c r="H2140" i="122"/>
  <c r="N2140" i="122" s="1"/>
  <c r="H2385" i="122"/>
  <c r="N2385" i="122" s="1"/>
  <c r="F3055" i="122"/>
  <c r="F3128" i="122"/>
  <c r="H2458" i="122"/>
  <c r="N2458" i="122" s="1"/>
  <c r="F2951" i="122"/>
  <c r="H2281" i="122"/>
  <c r="N2281" i="122" s="1"/>
  <c r="F2879" i="122"/>
  <c r="H2209" i="122"/>
  <c r="N2209" i="122" s="1"/>
  <c r="F4005" i="122"/>
  <c r="F3095" i="122"/>
  <c r="H2425" i="122"/>
  <c r="N2425" i="122" s="1"/>
  <c r="H2628" i="122"/>
  <c r="N2628" i="122" s="1"/>
  <c r="F3298" i="122"/>
  <c r="H2451" i="122"/>
  <c r="N2451" i="122" s="1"/>
  <c r="F3121" i="122"/>
  <c r="F2904" i="122"/>
  <c r="H2234" i="122"/>
  <c r="N2234" i="122" s="1"/>
  <c r="F2737" i="122"/>
  <c r="H2067" i="122"/>
  <c r="N2067" i="122" s="1"/>
  <c r="F3037" i="122"/>
  <c r="H2367" i="122"/>
  <c r="N2367" i="122" s="1"/>
  <c r="H2571" i="122"/>
  <c r="N2571" i="122" s="1"/>
  <c r="F3241" i="122"/>
  <c r="H2351" i="122"/>
  <c r="N2351" i="122" s="1"/>
  <c r="F3021" i="122"/>
  <c r="H2341" i="122"/>
  <c r="N2341" i="122" s="1"/>
  <c r="F3011" i="122"/>
  <c r="F3096" i="122"/>
  <c r="H2426" i="122"/>
  <c r="N2426" i="122" s="1"/>
  <c r="F3243" i="122"/>
  <c r="H2573" i="122"/>
  <c r="N2573" i="122" s="1"/>
  <c r="F2734" i="122"/>
  <c r="H2064" i="122"/>
  <c r="N2064" i="122" s="1"/>
  <c r="H2317" i="122"/>
  <c r="N2317" i="122" s="1"/>
  <c r="F2987" i="122"/>
  <c r="F3310" i="122"/>
  <c r="H2640" i="122"/>
  <c r="N2640" i="122" s="1"/>
  <c r="F3400" i="122"/>
  <c r="H2730" i="122"/>
  <c r="N2730" i="122" s="1"/>
  <c r="F2980" i="122"/>
  <c r="H2310" i="122"/>
  <c r="N2310" i="122" s="1"/>
  <c r="H2754" i="122"/>
  <c r="N2754" i="122" s="1"/>
  <c r="F3424" i="122"/>
  <c r="F3343" i="122"/>
  <c r="H2673" i="122"/>
  <c r="N2673" i="122" s="1"/>
  <c r="F3226" i="122"/>
  <c r="H2556" i="122"/>
  <c r="N2556" i="122" s="1"/>
  <c r="F3267" i="122"/>
  <c r="H2597" i="122"/>
  <c r="N2597" i="122" s="1"/>
  <c r="F3973" i="122"/>
  <c r="H3303" i="122"/>
  <c r="N3303" i="122" s="1"/>
  <c r="F2777" i="122"/>
  <c r="H2107" i="122"/>
  <c r="N2107" i="122" s="1"/>
  <c r="H2081" i="122"/>
  <c r="N2081" i="122" s="1"/>
  <c r="F2751" i="122"/>
  <c r="F3062" i="122"/>
  <c r="H2392" i="122"/>
  <c r="N2392" i="122" s="1"/>
  <c r="H2173" i="122"/>
  <c r="N2173" i="122" s="1"/>
  <c r="F2843" i="122"/>
  <c r="F3941" i="122"/>
  <c r="H3271" i="122"/>
  <c r="N3271" i="122" s="1"/>
  <c r="F2820" i="122"/>
  <c r="H2150" i="122"/>
  <c r="N2150" i="122" s="1"/>
  <c r="F3090" i="122"/>
  <c r="H2420" i="122"/>
  <c r="N2420" i="122" s="1"/>
  <c r="H2641" i="122"/>
  <c r="N2641" i="122" s="1"/>
  <c r="F3311" i="122"/>
  <c r="F3276" i="122"/>
  <c r="H2606" i="122"/>
  <c r="N2606" i="122" s="1"/>
  <c r="H2135" i="122"/>
  <c r="N2135" i="122" s="1"/>
  <c r="F2805" i="122"/>
  <c r="F2695" i="122"/>
  <c r="H2025" i="122"/>
  <c r="N2025" i="122" s="1"/>
  <c r="H2439" i="122"/>
  <c r="N2439" i="122" s="1"/>
  <c r="F3109" i="122"/>
  <c r="H2195" i="122"/>
  <c r="N2195" i="122" s="1"/>
  <c r="F2865" i="122"/>
  <c r="F3010" i="122"/>
  <c r="H2340" i="122"/>
  <c r="N2340" i="122" s="1"/>
  <c r="F3078" i="122"/>
  <c r="H2408" i="122"/>
  <c r="N2408" i="122" s="1"/>
  <c r="F2880" i="122"/>
  <c r="H2210" i="122"/>
  <c r="N2210" i="122" s="1"/>
  <c r="H2647" i="122"/>
  <c r="N2647" i="122" s="1"/>
  <c r="F3317" i="122"/>
  <c r="H2447" i="122"/>
  <c r="N2447" i="122" s="1"/>
  <c r="F3117" i="122"/>
  <c r="F2992" i="122"/>
  <c r="H2322" i="122"/>
  <c r="N2322" i="122" s="1"/>
  <c r="H2331" i="122"/>
  <c r="N2331" i="122" s="1"/>
  <c r="F3001" i="122"/>
  <c r="H2343" i="122"/>
  <c r="N2343" i="122" s="1"/>
  <c r="F3013" i="122"/>
  <c r="F2893" i="122"/>
  <c r="H2223" i="122"/>
  <c r="N2223" i="122" s="1"/>
  <c r="H2414" i="122"/>
  <c r="N2414" i="122" s="1"/>
  <c r="F3084" i="122"/>
  <c r="F3248" i="122"/>
  <c r="H2578" i="122"/>
  <c r="N2578" i="122" s="1"/>
  <c r="H2266" i="122"/>
  <c r="N2266" i="122" s="1"/>
  <c r="F2936" i="122"/>
  <c r="H2236" i="122"/>
  <c r="N2236" i="122" s="1"/>
  <c r="F2906" i="122"/>
  <c r="F3208" i="122"/>
  <c r="H2538" i="122"/>
  <c r="N2538" i="122" s="1"/>
  <c r="F3314" i="122"/>
  <c r="H2644" i="122"/>
  <c r="N2644" i="122" s="1"/>
  <c r="H2526" i="122"/>
  <c r="N2526" i="122" s="1"/>
  <c r="F3196" i="122"/>
  <c r="F2956" i="122"/>
  <c r="H2286" i="122"/>
  <c r="N2286" i="122" s="1"/>
  <c r="F3253" i="122"/>
  <c r="H2583" i="122"/>
  <c r="N2583" i="122" s="1"/>
  <c r="F3051" i="122"/>
  <c r="H2381" i="122"/>
  <c r="N2381" i="122" s="1"/>
  <c r="F3214" i="122"/>
  <c r="H2544" i="122"/>
  <c r="N2544" i="122" s="1"/>
  <c r="F3102" i="122"/>
  <c r="H2432" i="122"/>
  <c r="N2432" i="122" s="1"/>
  <c r="F2963" i="122"/>
  <c r="H2293" i="122"/>
  <c r="N2293" i="122" s="1"/>
  <c r="F2875" i="122"/>
  <c r="H2205" i="122"/>
  <c r="N2205" i="122" s="1"/>
  <c r="F3169" i="122"/>
  <c r="H2499" i="122"/>
  <c r="N2499" i="122" s="1"/>
  <c r="F3224" i="122"/>
  <c r="H2554" i="122"/>
  <c r="N2554" i="122" s="1"/>
  <c r="F2947" i="122"/>
  <c r="H2277" i="122"/>
  <c r="N2277" i="122" s="1"/>
  <c r="F2889" i="122"/>
  <c r="H2219" i="122"/>
  <c r="N2219" i="122" s="1"/>
  <c r="F2939" i="122"/>
  <c r="H2269" i="122"/>
  <c r="N2269" i="122" s="1"/>
  <c r="F3174" i="122"/>
  <c r="H2504" i="122"/>
  <c r="N2504" i="122" s="1"/>
  <c r="H2349" i="122"/>
  <c r="N2349" i="122" s="1"/>
  <c r="F3019" i="122"/>
  <c r="F3085" i="122"/>
  <c r="H2415" i="122"/>
  <c r="N2415" i="122" s="1"/>
  <c r="H2167" i="122"/>
  <c r="N2167" i="122" s="1"/>
  <c r="F2837" i="122"/>
  <c r="H2622" i="122"/>
  <c r="N2622" i="122" s="1"/>
  <c r="F3292" i="122"/>
  <c r="H2672" i="122"/>
  <c r="H2391" i="122"/>
  <c r="N2391" i="122" s="1"/>
  <c r="F3061" i="122"/>
  <c r="F2990" i="122"/>
  <c r="H2320" i="122"/>
  <c r="N2320" i="122" s="1"/>
  <c r="F3028" i="122"/>
  <c r="H2358" i="122"/>
  <c r="N2358" i="122" s="1"/>
  <c r="F2713" i="122"/>
  <c r="H2043" i="122"/>
  <c r="N2043" i="122" s="1"/>
  <c r="F2735" i="122"/>
  <c r="H2065" i="122"/>
  <c r="N2065" i="122" s="1"/>
  <c r="F3258" i="122"/>
  <c r="H2588" i="122"/>
  <c r="N2588" i="122" s="1"/>
  <c r="F2761" i="122"/>
  <c r="H2091" i="122"/>
  <c r="N2091" i="122" s="1"/>
  <c r="F2946" i="122"/>
  <c r="H2276" i="122"/>
  <c r="N2276" i="122" s="1"/>
  <c r="H2227" i="122"/>
  <c r="N2227" i="122" s="1"/>
  <c r="F2897" i="122"/>
  <c r="F2792" i="122"/>
  <c r="H2122" i="122"/>
  <c r="N2122" i="122" s="1"/>
  <c r="F3221" i="122"/>
  <c r="H2551" i="122"/>
  <c r="N2551" i="122" s="1"/>
  <c r="H2271" i="122"/>
  <c r="N2271" i="122" s="1"/>
  <c r="F2941" i="122"/>
  <c r="F3274" i="122"/>
  <c r="H2604" i="122"/>
  <c r="N2604" i="122" s="1"/>
  <c r="H2475" i="122"/>
  <c r="N2475" i="122" s="1"/>
  <c r="F3145" i="122"/>
  <c r="F3273" i="122"/>
  <c r="H2603" i="122"/>
  <c r="N2603" i="122" s="1"/>
  <c r="F3323" i="122"/>
  <c r="H2387" i="122"/>
  <c r="N2387" i="122" s="1"/>
  <c r="F3057" i="122"/>
  <c r="F3044" i="122"/>
  <c r="H2374" i="122"/>
  <c r="N2374" i="122" s="1"/>
  <c r="F2780" i="122"/>
  <c r="H2110" i="122"/>
  <c r="N2110" i="122" s="1"/>
  <c r="H2397" i="122"/>
  <c r="N2397" i="122" s="1"/>
  <c r="F3067" i="122"/>
  <c r="F3165" i="122"/>
  <c r="H2495" i="122"/>
  <c r="N2495" i="122" s="1"/>
  <c r="F2965" i="122"/>
  <c r="H2295" i="122"/>
  <c r="N2295" i="122" s="1"/>
  <c r="F3016" i="122"/>
  <c r="H2346" i="122"/>
  <c r="N2346" i="122" s="1"/>
  <c r="F2868" i="122"/>
  <c r="H2198" i="122"/>
  <c r="N2198" i="122" s="1"/>
  <c r="F3259" i="122"/>
  <c r="H2589" i="122"/>
  <c r="N2589" i="122" s="1"/>
  <c r="F3002" i="122"/>
  <c r="H2332" i="122"/>
  <c r="N2332" i="122" s="1"/>
  <c r="F2864" i="122"/>
  <c r="H2194" i="122"/>
  <c r="N2194" i="122" s="1"/>
  <c r="F3245" i="122"/>
  <c r="H2575" i="122"/>
  <c r="N2575" i="122" s="1"/>
  <c r="F2858" i="122"/>
  <c r="H2188" i="122"/>
  <c r="N2188" i="122" s="1"/>
  <c r="H2192" i="122"/>
  <c r="N2192" i="122" s="1"/>
  <c r="F2862" i="122"/>
  <c r="F2836" i="122"/>
  <c r="H2166" i="122"/>
  <c r="N2166" i="122" s="1"/>
  <c r="H2363" i="122"/>
  <c r="N2363" i="122" s="1"/>
  <c r="F3033" i="122"/>
  <c r="F3347" i="122"/>
  <c r="H2677" i="122"/>
  <c r="N2677" i="122" s="1"/>
  <c r="F2841" i="122"/>
  <c r="H2171" i="122"/>
  <c r="N2171" i="122" s="1"/>
  <c r="F3350" i="122"/>
  <c r="H2680" i="122"/>
  <c r="N2680" i="122" s="1"/>
  <c r="F2831" i="122"/>
  <c r="H2161" i="122"/>
  <c r="N2161" i="122" s="1"/>
  <c r="F3184" i="122"/>
  <c r="H2514" i="122"/>
  <c r="N2514" i="122" s="1"/>
  <c r="F2971" i="122"/>
  <c r="H2301" i="122"/>
  <c r="N2301" i="122" s="1"/>
  <c r="H2462" i="122"/>
  <c r="N2462" i="122" s="1"/>
  <c r="F3132" i="122"/>
  <c r="F2911" i="122"/>
  <c r="H2241" i="122"/>
  <c r="N2241" i="122" s="1"/>
  <c r="F2798" i="122"/>
  <c r="H2128" i="122"/>
  <c r="N2128" i="122" s="1"/>
  <c r="H2124" i="122"/>
  <c r="N2124" i="122" s="1"/>
  <c r="F2794" i="122"/>
  <c r="F3197" i="122"/>
  <c r="H2527" i="122"/>
  <c r="N2527" i="122" s="1"/>
  <c r="F2702" i="122"/>
  <c r="H2032" i="122"/>
  <c r="N2032" i="122" s="1"/>
  <c r="H2115" i="122"/>
  <c r="N2115" i="122" s="1"/>
  <c r="F2785" i="122"/>
  <c r="F2714" i="122"/>
  <c r="H2044" i="122"/>
  <c r="N2044" i="122" s="1"/>
  <c r="F2863" i="122"/>
  <c r="H2193" i="122"/>
  <c r="N2193" i="122" s="1"/>
  <c r="F2986" i="122"/>
  <c r="H2316" i="122"/>
  <c r="N2316" i="122" s="1"/>
  <c r="F2890" i="122"/>
  <c r="H2220" i="122"/>
  <c r="N2220" i="122" s="1"/>
  <c r="H2204" i="122"/>
  <c r="N2204" i="122" s="1"/>
  <c r="F2874" i="122"/>
  <c r="F2781" i="122"/>
  <c r="H2111" i="122"/>
  <c r="N2111" i="122" s="1"/>
  <c r="H3111" i="122"/>
  <c r="N3111" i="122" s="1"/>
  <c r="F3781" i="122"/>
  <c r="F3312" i="122"/>
  <c r="H2642" i="122"/>
  <c r="N2642" i="122" s="1"/>
  <c r="F2732" i="122"/>
  <c r="H2062" i="122"/>
  <c r="N2062" i="122" s="1"/>
  <c r="H2040" i="122"/>
  <c r="N2040" i="122" s="1"/>
  <c r="F2710" i="122"/>
  <c r="F3212" i="122"/>
  <c r="H2542" i="122"/>
  <c r="N2542" i="122" s="1"/>
  <c r="F2891" i="122"/>
  <c r="H2221" i="122"/>
  <c r="N2221" i="122" s="1"/>
  <c r="F3288" i="122"/>
  <c r="H2618" i="122"/>
  <c r="N2618" i="122" s="1"/>
  <c r="H2491" i="122"/>
  <c r="N2491" i="122" s="1"/>
  <c r="F3161" i="122"/>
  <c r="H2373" i="122"/>
  <c r="N2373" i="122" s="1"/>
  <c r="F3043" i="122"/>
  <c r="F3157" i="122"/>
  <c r="H2487" i="122"/>
  <c r="N2487" i="122" s="1"/>
  <c r="F3114" i="122"/>
  <c r="H2444" i="122"/>
  <c r="N2444" i="122" s="1"/>
  <c r="F3201" i="122"/>
  <c r="H2531" i="122"/>
  <c r="N2531" i="122" s="1"/>
  <c r="F2966" i="122"/>
  <c r="H2296" i="122"/>
  <c r="N2296" i="122" s="1"/>
  <c r="F2861" i="122"/>
  <c r="H2191" i="122"/>
  <c r="N2191" i="122" s="1"/>
  <c r="H2347" i="122"/>
  <c r="N2347" i="122" s="1"/>
  <c r="F3017" i="122"/>
  <c r="H2574" i="122"/>
  <c r="N2574" i="122" s="1"/>
  <c r="F3244" i="122"/>
  <c r="H2671" i="122"/>
  <c r="F3291" i="122"/>
  <c r="H2621" i="122"/>
  <c r="N2621" i="122" s="1"/>
  <c r="F2932" i="122"/>
  <c r="H2262" i="122"/>
  <c r="N2262" i="122" s="1"/>
  <c r="F2914" i="122"/>
  <c r="H2244" i="122"/>
  <c r="N2244" i="122" s="1"/>
  <c r="F3524" i="122"/>
  <c r="H2854" i="122"/>
  <c r="N2854" i="122" s="1"/>
  <c r="F2919" i="122"/>
  <c r="H2249" i="122"/>
  <c r="N2249" i="122" s="1"/>
  <c r="H3321" i="122"/>
  <c r="N3321" i="122" s="1"/>
  <c r="F3991" i="122"/>
  <c r="F2884" i="122"/>
  <c r="H2214" i="122"/>
  <c r="N2214" i="122" s="1"/>
  <c r="F2833" i="122"/>
  <c r="H2163" i="122"/>
  <c r="N2163" i="122" s="1"/>
  <c r="F2760" i="122"/>
  <c r="H2090" i="122"/>
  <c r="N2090" i="122" s="1"/>
  <c r="F2744" i="122"/>
  <c r="H2074" i="122"/>
  <c r="N2074" i="122" s="1"/>
  <c r="F3282" i="122"/>
  <c r="H2612" i="122"/>
  <c r="N2612" i="122" s="1"/>
  <c r="H2169" i="122"/>
  <c r="N2169" i="122" s="1"/>
  <c r="F2839" i="122"/>
  <c r="F3129" i="122"/>
  <c r="H2459" i="122"/>
  <c r="N2459" i="122" s="1"/>
  <c r="F3235" i="122"/>
  <c r="H2565" i="122"/>
  <c r="N2565" i="122" s="1"/>
  <c r="H2525" i="122"/>
  <c r="N2525" i="122" s="1"/>
  <c r="F3195" i="122"/>
  <c r="H2345" i="122"/>
  <c r="N2345" i="122" s="1"/>
  <c r="F3015" i="122"/>
  <c r="F2844" i="122"/>
  <c r="H2174" i="122"/>
  <c r="N2174" i="122" s="1"/>
  <c r="F3020" i="122"/>
  <c r="H2350" i="122"/>
  <c r="N2350" i="122" s="1"/>
  <c r="F2983" i="122"/>
  <c r="H2313" i="122"/>
  <c r="N2313" i="122" s="1"/>
  <c r="F2958" i="122"/>
  <c r="H2288" i="122"/>
  <c r="N2288" i="122" s="1"/>
  <c r="F3146" i="122"/>
  <c r="H2476" i="122"/>
  <c r="N2476" i="122" s="1"/>
  <c r="F2823" i="122"/>
  <c r="H2153" i="122"/>
  <c r="N2153" i="122" s="1"/>
  <c r="F3137" i="122"/>
  <c r="H2467" i="122"/>
  <c r="N2467" i="122" s="1"/>
  <c r="F3181" i="122"/>
  <c r="H2511" i="122"/>
  <c r="N2511" i="122" s="1"/>
  <c r="F3030" i="122"/>
  <c r="H2360" i="122"/>
  <c r="N2360" i="122" s="1"/>
  <c r="F3160" i="122"/>
  <c r="H2490" i="122"/>
  <c r="N2490" i="122" s="1"/>
  <c r="H2147" i="122"/>
  <c r="N2147" i="122" s="1"/>
  <c r="F2817" i="122"/>
  <c r="F2923" i="122"/>
  <c r="H2253" i="122"/>
  <c r="N2253" i="122" s="1"/>
  <c r="F3246" i="122"/>
  <c r="H2576" i="122"/>
  <c r="N2576" i="122" s="1"/>
  <c r="F2802" i="122"/>
  <c r="H2132" i="122"/>
  <c r="N2132" i="122" s="1"/>
  <c r="F2782" i="122"/>
  <c r="H2112" i="122"/>
  <c r="N2112" i="122" s="1"/>
  <c r="F2948" i="122"/>
  <c r="H2278" i="122"/>
  <c r="N2278" i="122" s="1"/>
  <c r="F3150" i="122"/>
  <c r="H2480" i="122"/>
  <c r="N2480" i="122" s="1"/>
  <c r="F3193" i="122"/>
  <c r="H2523" i="122"/>
  <c r="N2523" i="122" s="1"/>
  <c r="F2953" i="122"/>
  <c r="H2283" i="122"/>
  <c r="N2283" i="122" s="1"/>
  <c r="F3152" i="122"/>
  <c r="H2482" i="122"/>
  <c r="N2482" i="122" s="1"/>
  <c r="F3829" i="122"/>
  <c r="H3159" i="122"/>
  <c r="N3159" i="122" s="1"/>
  <c r="F3240" i="122"/>
  <c r="H2570" i="122"/>
  <c r="N2570" i="122" s="1"/>
  <c r="F3100" i="122"/>
  <c r="H2430" i="122"/>
  <c r="N2430" i="122" s="1"/>
  <c r="F3925" i="122"/>
  <c r="H3255" i="122"/>
  <c r="N3255" i="122" s="1"/>
  <c r="F3164" i="122"/>
  <c r="H2494" i="122"/>
  <c r="N2494" i="122" s="1"/>
  <c r="F3309" i="122"/>
  <c r="H2639" i="122"/>
  <c r="N2639" i="122" s="1"/>
  <c r="F3199" i="122"/>
  <c r="H2529" i="122"/>
  <c r="N2529" i="122" s="1"/>
  <c r="F2830" i="122"/>
  <c r="H2160" i="122"/>
  <c r="N2160" i="122" s="1"/>
  <c r="F2900" i="122"/>
  <c r="H2230" i="122"/>
  <c r="N2230" i="122" s="1"/>
  <c r="F2807" i="122"/>
  <c r="H2137" i="122"/>
  <c r="N2137" i="122" s="1"/>
  <c r="H2265" i="122"/>
  <c r="N2265" i="122" s="1"/>
  <c r="F2935" i="122"/>
  <c r="F3296" i="122"/>
  <c r="H2626" i="122"/>
  <c r="N2626" i="122" s="1"/>
  <c r="F3074" i="122"/>
  <c r="H2404" i="122"/>
  <c r="N2404" i="122" s="1"/>
  <c r="F3210" i="122"/>
  <c r="H2540" i="122"/>
  <c r="N2540" i="122" s="1"/>
  <c r="F3307" i="122"/>
  <c r="H2637" i="122"/>
  <c r="N2637" i="122" s="1"/>
  <c r="F3087" i="122"/>
  <c r="H2417" i="122"/>
  <c r="N2417" i="122" s="1"/>
  <c r="F3082" i="122"/>
  <c r="H2412" i="122"/>
  <c r="N2412" i="122" s="1"/>
  <c r="F2989" i="122"/>
  <c r="H2319" i="122"/>
  <c r="N2319" i="122" s="1"/>
  <c r="F3234" i="122"/>
  <c r="H2564" i="122"/>
  <c r="N2564" i="122" s="1"/>
  <c r="G2690" i="122"/>
  <c r="F2955" i="122"/>
  <c r="H2285" i="122"/>
  <c r="N2285" i="122" s="1"/>
  <c r="H2196" i="122"/>
  <c r="N2196" i="122" s="1"/>
  <c r="F2866" i="122"/>
  <c r="H2418" i="122"/>
  <c r="N2418" i="122" s="1"/>
  <c r="F3088" i="122"/>
  <c r="H2431" i="122"/>
  <c r="N2431" i="122" s="1"/>
  <c r="F3101" i="122"/>
  <c r="F3140" i="122"/>
  <c r="H2470" i="122"/>
  <c r="N2470" i="122" s="1"/>
  <c r="H2762" i="122"/>
  <c r="N2762" i="122" s="1"/>
  <c r="F3432" i="122"/>
  <c r="F2704" i="122"/>
  <c r="H2034" i="122"/>
  <c r="N2034" i="122" s="1"/>
  <c r="H2233" i="122"/>
  <c r="N2233" i="122" s="1"/>
  <c r="F2903" i="122"/>
  <c r="H2023" i="122"/>
  <c r="N2023" i="122" s="1"/>
  <c r="F2693" i="122"/>
  <c r="F3349" i="122"/>
  <c r="H2679" i="122"/>
  <c r="N2679" i="122" s="1"/>
  <c r="F3280" i="122"/>
  <c r="H2610" i="122"/>
  <c r="N2610" i="122" s="1"/>
  <c r="F3158" i="122"/>
  <c r="H2488" i="122"/>
  <c r="N2488" i="122" s="1"/>
  <c r="F3045" i="122"/>
  <c r="H2375" i="122"/>
  <c r="N2375" i="122" s="1"/>
  <c r="F2741" i="122"/>
  <c r="H2071" i="122"/>
  <c r="N2071" i="122" s="1"/>
  <c r="F3064" i="122"/>
  <c r="H2394" i="122"/>
  <c r="N2394" i="122" s="1"/>
  <c r="F3316" i="122"/>
  <c r="H2646" i="122"/>
  <c r="N2646" i="122" s="1"/>
  <c r="F2696" i="122"/>
  <c r="H2026" i="122"/>
  <c r="N2026" i="122" s="1"/>
  <c r="F2934" i="122"/>
  <c r="H2264" i="122"/>
  <c r="N2264" i="122" s="1"/>
  <c r="F3134" i="122"/>
  <c r="H2464" i="122"/>
  <c r="N2464" i="122" s="1"/>
  <c r="F3183" i="122"/>
  <c r="H2513" i="122"/>
  <c r="N2513" i="122" s="1"/>
  <c r="F2967" i="122"/>
  <c r="H2297" i="122"/>
  <c r="N2297" i="122" s="1"/>
  <c r="F2896" i="122"/>
  <c r="H2226" i="122"/>
  <c r="N2226" i="122" s="1"/>
  <c r="F3073" i="122"/>
  <c r="H2403" i="122"/>
  <c r="N2403" i="122" s="1"/>
  <c r="F3313" i="122"/>
  <c r="H2643" i="122"/>
  <c r="N2643" i="122" s="1"/>
  <c r="F2917" i="122"/>
  <c r="H2247" i="122"/>
  <c r="N2247" i="122" s="1"/>
  <c r="H2270" i="122"/>
  <c r="N2270" i="122" s="1"/>
  <c r="F2940" i="122"/>
  <c r="F3068" i="122"/>
  <c r="H2398" i="122"/>
  <c r="N2398" i="122" s="1"/>
  <c r="F3054" i="122"/>
  <c r="H2384" i="122"/>
  <c r="N2384" i="122" s="1"/>
  <c r="F3188" i="122"/>
  <c r="H2518" i="122"/>
  <c r="N2518" i="122" s="1"/>
  <c r="F2692" i="122"/>
  <c r="H2022" i="122"/>
  <c r="N2022" i="122" s="1"/>
  <c r="F3168" i="122"/>
  <c r="H2498" i="122"/>
  <c r="N2498" i="122" s="1"/>
  <c r="F3170" i="122"/>
  <c r="H2500" i="122"/>
  <c r="N2500" i="122" s="1"/>
  <c r="F2705" i="122"/>
  <c r="H2035" i="122"/>
  <c r="N2035" i="122" s="1"/>
  <c r="H2149" i="122"/>
  <c r="N2149" i="122" s="1"/>
  <c r="F2819" i="122"/>
  <c r="H2449" i="122"/>
  <c r="N2449" i="122" s="1"/>
  <c r="F3119" i="122"/>
  <c r="F3053" i="122"/>
  <c r="H2383" i="122"/>
  <c r="N2383" i="122" s="1"/>
  <c r="F2776" i="122"/>
  <c r="H2106" i="122"/>
  <c r="N2106" i="122" s="1"/>
  <c r="F2739" i="122"/>
  <c r="H2069" i="122"/>
  <c r="N2069" i="122" s="1"/>
  <c r="F3046" i="122"/>
  <c r="H2376" i="122"/>
  <c r="N2376" i="122" s="1"/>
  <c r="H2256" i="122"/>
  <c r="N2256" i="122" s="1"/>
  <c r="F2926" i="122"/>
  <c r="F3933" i="122"/>
  <c r="H3263" i="122"/>
  <c r="N3263" i="122" s="1"/>
  <c r="H2121" i="122"/>
  <c r="N2121" i="122" s="1"/>
  <c r="F2791" i="122"/>
  <c r="H2463" i="122"/>
  <c r="N2463" i="122" s="1"/>
  <c r="F3133" i="122"/>
  <c r="H2312" i="122"/>
  <c r="N2312" i="122" s="1"/>
  <c r="F2982" i="122"/>
  <c r="H2119" i="122"/>
  <c r="N2119" i="122" s="1"/>
  <c r="F2789" i="122"/>
  <c r="F3216" i="122"/>
  <c r="H2546" i="122"/>
  <c r="N2546" i="122" s="1"/>
  <c r="H2509" i="122"/>
  <c r="N2509" i="122" s="1"/>
  <c r="F3179" i="122"/>
  <c r="F3265" i="122"/>
  <c r="H2595" i="122"/>
  <c r="N2595" i="122" s="1"/>
  <c r="F3198" i="122"/>
  <c r="H2528" i="122"/>
  <c r="N2528" i="122" s="1"/>
  <c r="F2755" i="122"/>
  <c r="H2085" i="122"/>
  <c r="N2085" i="122" s="1"/>
  <c r="F3059" i="122"/>
  <c r="H2389" i="122"/>
  <c r="N2389" i="122" s="1"/>
  <c r="F3034" i="122"/>
  <c r="H2364" i="122"/>
  <c r="N2364" i="122" s="1"/>
  <c r="F3308" i="122"/>
  <c r="H2638" i="122"/>
  <c r="N2638" i="122" s="1"/>
  <c r="H2201" i="122"/>
  <c r="N2201" i="122" s="1"/>
  <c r="F2871" i="122"/>
  <c r="F3162" i="122"/>
  <c r="H2492" i="122"/>
  <c r="N2492" i="122" s="1"/>
  <c r="H2240" i="122"/>
  <c r="N2240" i="122" s="1"/>
  <c r="F2910" i="122"/>
  <c r="F3042" i="122"/>
  <c r="H2372" i="122"/>
  <c r="N2372" i="122" s="1"/>
  <c r="F2707" i="122"/>
  <c r="H2037" i="122"/>
  <c r="N2037" i="122" s="1"/>
  <c r="H2049" i="122"/>
  <c r="N2049" i="122" s="1"/>
  <c r="F2719" i="122"/>
  <c r="H2477" i="122"/>
  <c r="N2477" i="122" s="1"/>
  <c r="F3147" i="122"/>
  <c r="F2736" i="122"/>
  <c r="H2066" i="122"/>
  <c r="N2066" i="122" s="1"/>
  <c r="F2708" i="122"/>
  <c r="H2038" i="122"/>
  <c r="N2038" i="122" s="1"/>
  <c r="F3299" i="122"/>
  <c r="H2629" i="122"/>
  <c r="N2629" i="122" s="1"/>
  <c r="F3260" i="122"/>
  <c r="H2590" i="122"/>
  <c r="N2590" i="122" s="1"/>
  <c r="F2811" i="122"/>
  <c r="H2141" i="122"/>
  <c r="N2141" i="122" s="1"/>
  <c r="F3094" i="122"/>
  <c r="H2424" i="122"/>
  <c r="N2424" i="122" s="1"/>
  <c r="H2333" i="122"/>
  <c r="N2333" i="122" s="1"/>
  <c r="F3003" i="122"/>
  <c r="F3242" i="122"/>
  <c r="H2572" i="122"/>
  <c r="N2572" i="122" s="1"/>
  <c r="H2427" i="122"/>
  <c r="N2427" i="122" s="1"/>
  <c r="F3097" i="122"/>
  <c r="H2517" i="122"/>
  <c r="N2517" i="122" s="1"/>
  <c r="F3187" i="122"/>
  <c r="H2484" i="122"/>
  <c r="N2484" i="122" s="1"/>
  <c r="F3154" i="122"/>
  <c r="F2979" i="122"/>
  <c r="H2309" i="122"/>
  <c r="N2309" i="122" s="1"/>
  <c r="H2448" i="122"/>
  <c r="N2448" i="122" s="1"/>
  <c r="F3118" i="122"/>
  <c r="F3270" i="122"/>
  <c r="H2600" i="122"/>
  <c r="N2600" i="122" s="1"/>
  <c r="F3038" i="122"/>
  <c r="H2368" i="122"/>
  <c r="N2368" i="122" s="1"/>
  <c r="F3305" i="122"/>
  <c r="H2635" i="122"/>
  <c r="N2635" i="122" s="1"/>
  <c r="F3264" i="122"/>
  <c r="H2594" i="122"/>
  <c r="N2594" i="122" s="1"/>
  <c r="H2335" i="122"/>
  <c r="N2335" i="122" s="1"/>
  <c r="F3005" i="122"/>
  <c r="H2231" i="122"/>
  <c r="N2231" i="122" s="1"/>
  <c r="F2901" i="122"/>
  <c r="F2938" i="122"/>
  <c r="H2268" i="122"/>
  <c r="N2268" i="122" s="1"/>
  <c r="F2943" i="122"/>
  <c r="H2273" i="122"/>
  <c r="N2273" i="122" s="1"/>
  <c r="H2339" i="122"/>
  <c r="N2339" i="122" s="1"/>
  <c r="F3009" i="122"/>
  <c r="H2108" i="122"/>
  <c r="N2108" i="122" s="1"/>
  <c r="F2778" i="122"/>
  <c r="F2845" i="122"/>
  <c r="H2175" i="122"/>
  <c r="N2175" i="122" s="1"/>
  <c r="F2916" i="122"/>
  <c r="H2246" i="122"/>
  <c r="N2246" i="122" s="1"/>
  <c r="H2307" i="122"/>
  <c r="N2307" i="122" s="1"/>
  <c r="F2977" i="122"/>
  <c r="F2758" i="122"/>
  <c r="H2088" i="122"/>
  <c r="N2088" i="122" s="1"/>
  <c r="F3337" i="122"/>
  <c r="H2667" i="122"/>
  <c r="N2667" i="122" s="1"/>
  <c r="H2130" i="122"/>
  <c r="N2130" i="122" s="1"/>
  <c r="F2800" i="122"/>
  <c r="F3965" i="122"/>
  <c r="H3295" i="122"/>
  <c r="N3295" i="122" s="1"/>
  <c r="H2282" i="122"/>
  <c r="N2282" i="122" s="1"/>
  <c r="F2952" i="122"/>
  <c r="H2100" i="122"/>
  <c r="N2100" i="122" s="1"/>
  <c r="F2770" i="122"/>
  <c r="F3008" i="122"/>
  <c r="H2338" i="122"/>
  <c r="N2338" i="122" s="1"/>
  <c r="F3917" i="122"/>
  <c r="H3247" i="122"/>
  <c r="N3247" i="122" s="1"/>
  <c r="F2907" i="122"/>
  <c r="H2237" i="122"/>
  <c r="N2237" i="122" s="1"/>
  <c r="F2899" i="122"/>
  <c r="H2229" i="122"/>
  <c r="N2229" i="122" s="1"/>
  <c r="F2722" i="122"/>
  <c r="H2052" i="122"/>
  <c r="N2052" i="122" s="1"/>
  <c r="F2712" i="122"/>
  <c r="H2042" i="122"/>
  <c r="N2042" i="122" s="1"/>
  <c r="F2856" i="122"/>
  <c r="H2186" i="122"/>
  <c r="N2186" i="122" s="1"/>
  <c r="F3166" i="122"/>
  <c r="H2496" i="122"/>
  <c r="N2496" i="122" s="1"/>
  <c r="F2998" i="122"/>
  <c r="H2328" i="122"/>
  <c r="N2328" i="122" s="1"/>
  <c r="H2522" i="122"/>
  <c r="N2522" i="122" s="1"/>
  <c r="F3192" i="122"/>
  <c r="F2767" i="122"/>
  <c r="H2097" i="122"/>
  <c r="N2097" i="122" s="1"/>
  <c r="H2365" i="122"/>
  <c r="N2365" i="122" s="1"/>
  <c r="F3035" i="122"/>
  <c r="F2928" i="122"/>
  <c r="H2258" i="122"/>
  <c r="N2258" i="122" s="1"/>
  <c r="F3304" i="122"/>
  <c r="H2634" i="122"/>
  <c r="N2634" i="122" s="1"/>
  <c r="F2869" i="122"/>
  <c r="H2199" i="122"/>
  <c r="N2199" i="122" s="1"/>
  <c r="F3122" i="122"/>
  <c r="H2452" i="122"/>
  <c r="N2452" i="122" s="1"/>
  <c r="H2469" i="122"/>
  <c r="N2469" i="122" s="1"/>
  <c r="F3139" i="122"/>
  <c r="H2059" i="122"/>
  <c r="N2059" i="122" s="1"/>
  <c r="F2729" i="122"/>
  <c r="F3290" i="122"/>
  <c r="H2620" i="122"/>
  <c r="N2620" i="122" s="1"/>
  <c r="F3669" i="122"/>
  <c r="H2999" i="122"/>
  <c r="N2999" i="122" s="1"/>
  <c r="F2765" i="122"/>
  <c r="H2095" i="122"/>
  <c r="N2095" i="122" s="1"/>
  <c r="F2821" i="122"/>
  <c r="H2151" i="122"/>
  <c r="N2151" i="122" s="1"/>
  <c r="F3104" i="122"/>
  <c r="H2434" i="122"/>
  <c r="N2434" i="122" s="1"/>
  <c r="F3120" i="122"/>
  <c r="H2450" i="122"/>
  <c r="N2450" i="122" s="1"/>
  <c r="H2602" i="122"/>
  <c r="N2602" i="122" s="1"/>
  <c r="F3272" i="122"/>
  <c r="N1350" i="122"/>
  <c r="H2422" i="122"/>
  <c r="N2422" i="122" s="1"/>
  <c r="F3092" i="122"/>
  <c r="H2131" i="122"/>
  <c r="N2131" i="122" s="1"/>
  <c r="F2801" i="122"/>
  <c r="H2072" i="122"/>
  <c r="N2072" i="122" s="1"/>
  <c r="F2742" i="122"/>
  <c r="F2873" i="122"/>
  <c r="H2203" i="122"/>
  <c r="N2203" i="122" s="1"/>
  <c r="H2453" i="122"/>
  <c r="N2453" i="122" s="1"/>
  <c r="F3123" i="122"/>
  <c r="F2993" i="122"/>
  <c r="H2323" i="122"/>
  <c r="N2323" i="122" s="1"/>
  <c r="H2613" i="122"/>
  <c r="N2613" i="122" s="1"/>
  <c r="F3283" i="122"/>
  <c r="F2855" i="122"/>
  <c r="H2185" i="122"/>
  <c r="N2185" i="122" s="1"/>
  <c r="F2694" i="122"/>
  <c r="H2024" i="122"/>
  <c r="N2024" i="122" s="1"/>
  <c r="F2908" i="122"/>
  <c r="H2238" i="122"/>
  <c r="N2238" i="122" s="1"/>
  <c r="H2567" i="122"/>
  <c r="N2567" i="122" s="1"/>
  <c r="F3237" i="122"/>
  <c r="F3186" i="122"/>
  <c r="H2516" i="122"/>
  <c r="N2516" i="122" s="1"/>
  <c r="F2975" i="122"/>
  <c r="H2305" i="122"/>
  <c r="N2305" i="122" s="1"/>
  <c r="H2243" i="122"/>
  <c r="N2243" i="122" s="1"/>
  <c r="F2913" i="122"/>
  <c r="H2039" i="122"/>
  <c r="N2039" i="122" s="1"/>
  <c r="F2709" i="122"/>
  <c r="H2212" i="122"/>
  <c r="N2212" i="122" s="1"/>
  <c r="F2882" i="122"/>
  <c r="F2945" i="122"/>
  <c r="H2275" i="122"/>
  <c r="N2275" i="122" s="1"/>
  <c r="H2683" i="122"/>
  <c r="N2683" i="122" s="1"/>
  <c r="F3353" i="122"/>
  <c r="F3086" i="122"/>
  <c r="H2416" i="122"/>
  <c r="N2416" i="122" s="1"/>
  <c r="H2402" i="122"/>
  <c r="N2402" i="122" s="1"/>
  <c r="F3072" i="122"/>
  <c r="F3025" i="122"/>
  <c r="H2355" i="122"/>
  <c r="N2355" i="122" s="1"/>
  <c r="H2176" i="122"/>
  <c r="N2176" i="122" s="1"/>
  <c r="F2846" i="122"/>
  <c r="F2793" i="122"/>
  <c r="H2123" i="122"/>
  <c r="N2123" i="122" s="1"/>
  <c r="F3135" i="122"/>
  <c r="H2465" i="122"/>
  <c r="N2465" i="122" s="1"/>
  <c r="F3126" i="122"/>
  <c r="H2456" i="122"/>
  <c r="N2456" i="122" s="1"/>
  <c r="F2898" i="122"/>
  <c r="H2228" i="122"/>
  <c r="N2228" i="122" s="1"/>
  <c r="F2944" i="122"/>
  <c r="H2274" i="122"/>
  <c r="N2274" i="122" s="1"/>
  <c r="H2159" i="122"/>
  <c r="N2159" i="122" s="1"/>
  <c r="F2829" i="122"/>
  <c r="F3200" i="122"/>
  <c r="H2530" i="122"/>
  <c r="N2530" i="122" s="1"/>
  <c r="H2157" i="122"/>
  <c r="N2157" i="122" s="1"/>
  <c r="F2827" i="122"/>
  <c r="H2623" i="122"/>
  <c r="N2623" i="122" s="1"/>
  <c r="F3293" i="122"/>
  <c r="F3230" i="122"/>
  <c r="H2560" i="122"/>
  <c r="N2560" i="122" s="1"/>
  <c r="F2773" i="122"/>
  <c r="H2103" i="122"/>
  <c r="N2103" i="122" s="1"/>
  <c r="F3182" i="122"/>
  <c r="H2512" i="122"/>
  <c r="N2512" i="122" s="1"/>
  <c r="F3070" i="122"/>
  <c r="H2400" i="122"/>
  <c r="N2400" i="122" s="1"/>
  <c r="F2922" i="122"/>
  <c r="H2252" i="122"/>
  <c r="N2252" i="122" s="1"/>
  <c r="H2423" i="122"/>
  <c r="N2423" i="122" s="1"/>
  <c r="F3093" i="122"/>
  <c r="F2740" i="122"/>
  <c r="H2070" i="122"/>
  <c r="N2070" i="122" s="1"/>
  <c r="H2033" i="122"/>
  <c r="N2033" i="122" s="1"/>
  <c r="F2703" i="122"/>
  <c r="F2720" i="122"/>
  <c r="H2050" i="122"/>
  <c r="N2050" i="122" s="1"/>
  <c r="F2968" i="122"/>
  <c r="H2298" i="122"/>
  <c r="N2298" i="122" s="1"/>
  <c r="F3203" i="122"/>
  <c r="H2533" i="122"/>
  <c r="N2533" i="122" s="1"/>
  <c r="F3262" i="122"/>
  <c r="H2592" i="122"/>
  <c r="N2592" i="122" s="1"/>
  <c r="F2960" i="122"/>
  <c r="H2290" i="122"/>
  <c r="N2290" i="122" s="1"/>
  <c r="F3254" i="122"/>
  <c r="H2584" i="122"/>
  <c r="N2584" i="122" s="1"/>
  <c r="F2849" i="122"/>
  <c r="H2179" i="122"/>
  <c r="N2179" i="122" s="1"/>
  <c r="F3141" i="122"/>
  <c r="H2471" i="122"/>
  <c r="N2471" i="122" s="1"/>
  <c r="H2242" i="122"/>
  <c r="N2242" i="122" s="1"/>
  <c r="F2912" i="122"/>
  <c r="F2799" i="122"/>
  <c r="H2129" i="122"/>
  <c r="N2129" i="122" s="1"/>
  <c r="F3056" i="122"/>
  <c r="H2386" i="122"/>
  <c r="N2386" i="122" s="1"/>
  <c r="F2803" i="122"/>
  <c r="H2133" i="122"/>
  <c r="N2133" i="122" s="1"/>
  <c r="H2183" i="122"/>
  <c r="N2183" i="122" s="1"/>
  <c r="F2853" i="122"/>
  <c r="F3217" i="122"/>
  <c r="H2547" i="122"/>
  <c r="N2547" i="122" s="1"/>
  <c r="F3022" i="122"/>
  <c r="H2352" i="122"/>
  <c r="N2352" i="122" s="1"/>
  <c r="F2996" i="122"/>
  <c r="H2326" i="122"/>
  <c r="N2326" i="122" s="1"/>
  <c r="F2997" i="122"/>
  <c r="H2327" i="122"/>
  <c r="N2327" i="122" s="1"/>
  <c r="H2189" i="122"/>
  <c r="N2189" i="122" s="1"/>
  <c r="F2859" i="122"/>
  <c r="H2054" i="122"/>
  <c r="N2054" i="122" s="1"/>
  <c r="F2724" i="122"/>
  <c r="F3225" i="122"/>
  <c r="H2555" i="122"/>
  <c r="N2555" i="122" s="1"/>
  <c r="H2079" i="122"/>
  <c r="N2079" i="122" s="1"/>
  <c r="F2749" i="122"/>
  <c r="F2870" i="122"/>
  <c r="H2200" i="122"/>
  <c r="N2200" i="122" s="1"/>
  <c r="F2927" i="122"/>
  <c r="H2257" i="122"/>
  <c r="N2257" i="122" s="1"/>
  <c r="F2731" i="122"/>
  <c r="H2061" i="122"/>
  <c r="N2061" i="122" s="1"/>
  <c r="F2711" i="122"/>
  <c r="H2041" i="122"/>
  <c r="N2041" i="122" s="1"/>
  <c r="F3127" i="122"/>
  <c r="H2457" i="122"/>
  <c r="N2457" i="122" s="1"/>
  <c r="H2260" i="122"/>
  <c r="N2260" i="122" s="1"/>
  <c r="F2930" i="122"/>
  <c r="F3047" i="122"/>
  <c r="H2377" i="122"/>
  <c r="N2377" i="122" s="1"/>
  <c r="H2136" i="122"/>
  <c r="N2136" i="122" s="1"/>
  <c r="F2806" i="122"/>
  <c r="F3251" i="122"/>
  <c r="H2581" i="122"/>
  <c r="N2581" i="122" s="1"/>
  <c r="H2311" i="122"/>
  <c r="N2311" i="122" s="1"/>
  <c r="F2981" i="122"/>
  <c r="H2698" i="122"/>
  <c r="N2698" i="122" s="1"/>
  <c r="F3368" i="122"/>
  <c r="H2321" i="122"/>
  <c r="N2321" i="122" s="1"/>
  <c r="F2991" i="122"/>
  <c r="F2973" i="122"/>
  <c r="H2303" i="122"/>
  <c r="N2303" i="122" s="1"/>
  <c r="H2082" i="122"/>
  <c r="N2082" i="122" s="1"/>
  <c r="F2752" i="122"/>
  <c r="F2970" i="122"/>
  <c r="H2300" i="122"/>
  <c r="N2300" i="122" s="1"/>
  <c r="F2690" i="122"/>
  <c r="H2020" i="122"/>
  <c r="F2881" i="122"/>
  <c r="H2211" i="122"/>
  <c r="N2211" i="122" s="1"/>
  <c r="H2031" i="122"/>
  <c r="N2031" i="122" s="1"/>
  <c r="F2701" i="122"/>
  <c r="H3287" i="122"/>
  <c r="N3287" i="122" s="1"/>
  <c r="F3957" i="122"/>
  <c r="F2804" i="122"/>
  <c r="H2134" i="122"/>
  <c r="N2134" i="122" s="1"/>
  <c r="F2788" i="122"/>
  <c r="H2118" i="122"/>
  <c r="N2118" i="122" s="1"/>
  <c r="F2786" i="122"/>
  <c r="H2116" i="122"/>
  <c r="N2116" i="122" s="1"/>
  <c r="F3036" i="122"/>
  <c r="H2366" i="122"/>
  <c r="N2366" i="122" s="1"/>
  <c r="H2541" i="122"/>
  <c r="N2541" i="122" s="1"/>
  <c r="F3211" i="122"/>
  <c r="H3223" i="122"/>
  <c r="N3223" i="122" s="1"/>
  <c r="F3893" i="122"/>
  <c r="H2093" i="122"/>
  <c r="N2093" i="122" s="1"/>
  <c r="F2763" i="122"/>
  <c r="H2632" i="122"/>
  <c r="N2632" i="122" s="1"/>
  <c r="F3302" i="122"/>
  <c r="H2145" i="122"/>
  <c r="N2145" i="122" s="1"/>
  <c r="F2815" i="122"/>
  <c r="F2909" i="122"/>
  <c r="H2239" i="122"/>
  <c r="N2239" i="122" s="1"/>
  <c r="F3354" i="122"/>
  <c r="H2684" i="122"/>
  <c r="N2684" i="122" s="1"/>
  <c r="H2080" i="122"/>
  <c r="N2080" i="122" s="1"/>
  <c r="F2750" i="122"/>
  <c r="F3083" i="122"/>
  <c r="H2413" i="122"/>
  <c r="N2413" i="122" s="1"/>
  <c r="F3344" i="122"/>
  <c r="H2674" i="122"/>
  <c r="N2674" i="122" s="1"/>
  <c r="F3023" i="122"/>
  <c r="H2353" i="122"/>
  <c r="N2353" i="122" s="1"/>
  <c r="H2215" i="122"/>
  <c r="N2215" i="122" s="1"/>
  <c r="F2885" i="122"/>
  <c r="F3346" i="122"/>
  <c r="H2676" i="122"/>
  <c r="N2676" i="122" s="1"/>
  <c r="H2255" i="122"/>
  <c r="N2255" i="122" s="1"/>
  <c r="F2925" i="122"/>
  <c r="F3219" i="122"/>
  <c r="H2549" i="122"/>
  <c r="N2549" i="122" s="1"/>
  <c r="F3340" i="122"/>
  <c r="H2670" i="122"/>
  <c r="N2670" i="122" s="1"/>
  <c r="F2848" i="122"/>
  <c r="H2178" i="122"/>
  <c r="N2178" i="122" s="1"/>
  <c r="F3318" i="122"/>
  <c r="H2648" i="122"/>
  <c r="N2648" i="122" s="1"/>
  <c r="F2816" i="122"/>
  <c r="H2146" i="122"/>
  <c r="N2146" i="122" s="1"/>
  <c r="F3060" i="122"/>
  <c r="H2390" i="122"/>
  <c r="N2390" i="122" s="1"/>
  <c r="H2443" i="122"/>
  <c r="N2443" i="122" s="1"/>
  <c r="F3113" i="122"/>
  <c r="F2715" i="122"/>
  <c r="H2045" i="122"/>
  <c r="N2045" i="122" s="1"/>
  <c r="F2699" i="122"/>
  <c r="H2029" i="122"/>
  <c r="N2029" i="122" s="1"/>
  <c r="F2743" i="122"/>
  <c r="H2073" i="122"/>
  <c r="N2073" i="122" s="1"/>
  <c r="F3108" i="122"/>
  <c r="H2438" i="122"/>
  <c r="N2438" i="122" s="1"/>
  <c r="F2748" i="122"/>
  <c r="H2078" i="122"/>
  <c r="N2078" i="122" s="1"/>
  <c r="F3155" i="122"/>
  <c r="H2485" i="122"/>
  <c r="N2485" i="122" s="1"/>
  <c r="F3749" i="122"/>
  <c r="H3079" i="122"/>
  <c r="N3079" i="122" s="1"/>
  <c r="F3050" i="122"/>
  <c r="H2380" i="122"/>
  <c r="N2380" i="122" s="1"/>
  <c r="H2428" i="122"/>
  <c r="N2428" i="122" s="1"/>
  <c r="F3098" i="122"/>
  <c r="F3099" i="122"/>
  <c r="H2429" i="122"/>
  <c r="N2429" i="122" s="1"/>
  <c r="F3191" i="122"/>
  <c r="H2521" i="122"/>
  <c r="N2521" i="122" s="1"/>
  <c r="F3091" i="122"/>
  <c r="H2421" i="122"/>
  <c r="N2421" i="122" s="1"/>
  <c r="F2994" i="122"/>
  <c r="H2324" i="122"/>
  <c r="N2324" i="122" s="1"/>
  <c r="F3218" i="122"/>
  <c r="H2548" i="122"/>
  <c r="N2548" i="122" s="1"/>
  <c r="H2532" i="122"/>
  <c r="N2532" i="122" s="1"/>
  <c r="F3202" i="122"/>
  <c r="F2759" i="122"/>
  <c r="H2089" i="122"/>
  <c r="N2089" i="122" s="1"/>
  <c r="F3209" i="122"/>
  <c r="H2539" i="122"/>
  <c r="N2539" i="122" s="1"/>
  <c r="F2969" i="122"/>
  <c r="H2299" i="122"/>
  <c r="N2299" i="122" s="1"/>
  <c r="H2446" i="122"/>
  <c r="N2446" i="122" s="1"/>
  <c r="F3116" i="122"/>
  <c r="H2534" i="122"/>
  <c r="N2534" i="122" s="1"/>
  <c r="F3204" i="122"/>
  <c r="F3845" i="122"/>
  <c r="H3175" i="122"/>
  <c r="N3175" i="122" s="1"/>
  <c r="F3286" i="122"/>
  <c r="H2616" i="122"/>
  <c r="N2616" i="122" s="1"/>
  <c r="F2717" i="122"/>
  <c r="H2047" i="122"/>
  <c r="N2047" i="122" s="1"/>
  <c r="F3065" i="122"/>
  <c r="H2395" i="122"/>
  <c r="N2395" i="122" s="1"/>
  <c r="F3058" i="122"/>
  <c r="H2388" i="122"/>
  <c r="N2388" i="122" s="1"/>
  <c r="F3250" i="122"/>
  <c r="H2580" i="122"/>
  <c r="N2580" i="122" s="1"/>
  <c r="F2824" i="122"/>
  <c r="H2154" i="122"/>
  <c r="N2154" i="122" s="1"/>
  <c r="F2775" i="122"/>
  <c r="H2105" i="122"/>
  <c r="N2105" i="122" s="1"/>
  <c r="H2289" i="122"/>
  <c r="N2289" i="122" s="1"/>
  <c r="F2959" i="122"/>
  <c r="H3239" i="122"/>
  <c r="N3239" i="122" s="1"/>
  <c r="F3909" i="122"/>
  <c r="F2887" i="122"/>
  <c r="H2217" i="122"/>
  <c r="N2217" i="122" s="1"/>
  <c r="F2814" i="122"/>
  <c r="H2144" i="122"/>
  <c r="N2144" i="122" s="1"/>
  <c r="H2284" i="122"/>
  <c r="N2284" i="122" s="1"/>
  <c r="F2954" i="122"/>
  <c r="H2294" i="122"/>
  <c r="N2294" i="122" s="1"/>
  <c r="F2964" i="122"/>
  <c r="F2790" i="122"/>
  <c r="H2120" i="122"/>
  <c r="N2120" i="122" s="1"/>
  <c r="H2535" i="122"/>
  <c r="N2535" i="122" s="1"/>
  <c r="F3205" i="122"/>
  <c r="F3173" i="122"/>
  <c r="H2503" i="122"/>
  <c r="N2503" i="122" s="1"/>
  <c r="H2436" i="122"/>
  <c r="N2436" i="122" s="1"/>
  <c r="F3106" i="122"/>
  <c r="H2631" i="122"/>
  <c r="N2631" i="122" s="1"/>
  <c r="F3301" i="122"/>
  <c r="F3281" i="122"/>
  <c r="H2611" i="122"/>
  <c r="N2611" i="122" s="1"/>
  <c r="F3320" i="122"/>
  <c r="H2650" i="122"/>
  <c r="N2650" i="122" s="1"/>
  <c r="F3279" i="122"/>
  <c r="H2609" i="122"/>
  <c r="N2609" i="122" s="1"/>
  <c r="F2878" i="122"/>
  <c r="H2208" i="122"/>
  <c r="N2208" i="122" s="1"/>
  <c r="H2411" i="122"/>
  <c r="N2411" i="122" s="1"/>
  <c r="F3081" i="122"/>
  <c r="H2401" i="122"/>
  <c r="N2401" i="122" s="1"/>
  <c r="F3071" i="122"/>
  <c r="F2976" i="122"/>
  <c r="H2306" i="122"/>
  <c r="N2306" i="122" s="1"/>
  <c r="F2847" i="122"/>
  <c r="H2177" i="122"/>
  <c r="N2177" i="122" s="1"/>
  <c r="F3066" i="122"/>
  <c r="H2396" i="122"/>
  <c r="N2396" i="122" s="1"/>
  <c r="F3136" i="122"/>
  <c r="H2466" i="122"/>
  <c r="N2466" i="122" s="1"/>
  <c r="H2582" i="122"/>
  <c r="N2582" i="122" s="1"/>
  <c r="F3252" i="122"/>
  <c r="F3227" i="122"/>
  <c r="H2557" i="122"/>
  <c r="N2557" i="122" s="1"/>
  <c r="H2063" i="122"/>
  <c r="N2063" i="122" s="1"/>
  <c r="F2733" i="122"/>
  <c r="H2550" i="122"/>
  <c r="N2550" i="122" s="1"/>
  <c r="F3220" i="122"/>
  <c r="F2942" i="122"/>
  <c r="H2272" i="122"/>
  <c r="N2272" i="122" s="1"/>
  <c r="F2867" i="122"/>
  <c r="H2197" i="122"/>
  <c r="N2197" i="122" s="1"/>
  <c r="F2985" i="122"/>
  <c r="H2315" i="122"/>
  <c r="N2315" i="122" s="1"/>
  <c r="F2747" i="122"/>
  <c r="H2077" i="122"/>
  <c r="N2077" i="122" s="1"/>
  <c r="F2700" i="122"/>
  <c r="H2030" i="122"/>
  <c r="N2030" i="122" s="1"/>
  <c r="H2437" i="122"/>
  <c r="N2437" i="122" s="1"/>
  <c r="F3107" i="122"/>
  <c r="F2920" i="122"/>
  <c r="H2250" i="122"/>
  <c r="N2250" i="122" s="1"/>
  <c r="H2579" i="122"/>
  <c r="N2579" i="122" s="1"/>
  <c r="F3249" i="122"/>
  <c r="H2279" i="122"/>
  <c r="N2279" i="122" s="1"/>
  <c r="F2949" i="122"/>
  <c r="F3138" i="122"/>
  <c r="H2468" i="122"/>
  <c r="N2468" i="122" s="1"/>
  <c r="F3004" i="122"/>
  <c r="H2334" i="122"/>
  <c r="N2334" i="122" s="1"/>
  <c r="F3151" i="122"/>
  <c r="H2481" i="122"/>
  <c r="N2481" i="122" s="1"/>
  <c r="F2852" i="122"/>
  <c r="H2182" i="122"/>
  <c r="N2182" i="122" s="1"/>
  <c r="F2766" i="122"/>
  <c r="H2096" i="122"/>
  <c r="N2096" i="122" s="1"/>
  <c r="F2883" i="122"/>
  <c r="H2213" i="122"/>
  <c r="N2213" i="122" s="1"/>
  <c r="F3115" i="122"/>
  <c r="H2445" i="122"/>
  <c r="N2445" i="122" s="1"/>
  <c r="F2857" i="122"/>
  <c r="H2187" i="122"/>
  <c r="N2187" i="122" s="1"/>
  <c r="F2962" i="122"/>
  <c r="H2292" i="122"/>
  <c r="N2292" i="122" s="1"/>
  <c r="F3153" i="122"/>
  <c r="H2483" i="122"/>
  <c r="N2483" i="122" s="1"/>
  <c r="H2259" i="122"/>
  <c r="N2259" i="122" s="1"/>
  <c r="F2929" i="122"/>
  <c r="H3063" i="122"/>
  <c r="N3063" i="122" s="1"/>
  <c r="F3733" i="122"/>
  <c r="H2225" i="122"/>
  <c r="N2225" i="122" s="1"/>
  <c r="F2895" i="122"/>
  <c r="H2055" i="122"/>
  <c r="N2055" i="122" s="1"/>
  <c r="F2725" i="122"/>
  <c r="F2915" i="122"/>
  <c r="H2245" i="122"/>
  <c r="N2245" i="122" s="1"/>
  <c r="F3275" i="122"/>
  <c r="H2605" i="122"/>
  <c r="N2605" i="122" s="1"/>
  <c r="F3256" i="122"/>
  <c r="H2586" i="122"/>
  <c r="N2586" i="122" s="1"/>
  <c r="F2809" i="122"/>
  <c r="H2139" i="122"/>
  <c r="N2139" i="122" s="1"/>
  <c r="F3213" i="122"/>
  <c r="H2543" i="122"/>
  <c r="N2543" i="122" s="1"/>
  <c r="F2771" i="122"/>
  <c r="H2101" i="122"/>
  <c r="N2101" i="122" s="1"/>
  <c r="H2113" i="122"/>
  <c r="N2113" i="122" s="1"/>
  <c r="F2783" i="122"/>
  <c r="F3231" i="122"/>
  <c r="H2561" i="122"/>
  <c r="N2561" i="122" s="1"/>
  <c r="F3492" i="122"/>
  <c r="H2822" i="122"/>
  <c r="N2822" i="122" s="1"/>
  <c r="H2479" i="122"/>
  <c r="N2479" i="122" s="1"/>
  <c r="F3149" i="122"/>
  <c r="F2723" i="122"/>
  <c r="H2053" i="122"/>
  <c r="N2053" i="122" s="1"/>
  <c r="H2508" i="122"/>
  <c r="N2508" i="122" s="1"/>
  <c r="F3178" i="122"/>
  <c r="H2263" i="122"/>
  <c r="N2263" i="122" s="1"/>
  <c r="F2933" i="122"/>
  <c r="H2109" i="122"/>
  <c r="N2109" i="122" s="1"/>
  <c r="F2779" i="122"/>
  <c r="F3206" i="122"/>
  <c r="H2536" i="122"/>
  <c r="N2536" i="122" s="1"/>
  <c r="F3233" i="122"/>
  <c r="H2563" i="122"/>
  <c r="N2563" i="122" s="1"/>
  <c r="F3190" i="122"/>
  <c r="H2520" i="122"/>
  <c r="N2520" i="122" s="1"/>
  <c r="F3813" i="122"/>
  <c r="H3143" i="122"/>
  <c r="N3143" i="122" s="1"/>
  <c r="F2697" i="122"/>
  <c r="H2027" i="122"/>
  <c r="N2027" i="122" s="1"/>
  <c r="F3331" i="122"/>
  <c r="H2661" i="122"/>
  <c r="N2661" i="122" s="1"/>
  <c r="F3294" i="122"/>
  <c r="H2624" i="122"/>
  <c r="N2624" i="122" s="1"/>
  <c r="F3877" i="122"/>
  <c r="H3207" i="122"/>
  <c r="N3207" i="122" s="1"/>
  <c r="N1990" i="122"/>
  <c r="H2235" i="122"/>
  <c r="N2235" i="122" s="1"/>
  <c r="F2905" i="122"/>
  <c r="H2502" i="122"/>
  <c r="N2502" i="122" s="1"/>
  <c r="F3172" i="122"/>
  <c r="F2769" i="122"/>
  <c r="H2099" i="122"/>
  <c r="N2099" i="122" s="1"/>
  <c r="F3110" i="122"/>
  <c r="H2440" i="122"/>
  <c r="N2440" i="122" s="1"/>
  <c r="F2961" i="122"/>
  <c r="H2291" i="122"/>
  <c r="N2291" i="122" s="1"/>
  <c r="F2872" i="122"/>
  <c r="H2202" i="122"/>
  <c r="N2202" i="122" s="1"/>
  <c r="F2728" i="122"/>
  <c r="H2058" i="122"/>
  <c r="N2058" i="122" s="1"/>
  <c r="F2726" i="122"/>
  <c r="H2056" i="122"/>
  <c r="N2056" i="122" s="1"/>
  <c r="F2840" i="122"/>
  <c r="H2170" i="122"/>
  <c r="N2170" i="122" s="1"/>
  <c r="H2474" i="122"/>
  <c r="N2474" i="122" s="1"/>
  <c r="F3144" i="122"/>
  <c r="F2894" i="122"/>
  <c r="H2224" i="122"/>
  <c r="N2224" i="122" s="1"/>
  <c r="F3163" i="122"/>
  <c r="H2493" i="122"/>
  <c r="N2493" i="122" s="1"/>
  <c r="H2156" i="122"/>
  <c r="N2156" i="122" s="1"/>
  <c r="F2826" i="122"/>
  <c r="F3024" i="122"/>
  <c r="H2354" i="122"/>
  <c r="N2354" i="122" s="1"/>
  <c r="F3232" i="122"/>
  <c r="H2562" i="122"/>
  <c r="N2562" i="122" s="1"/>
  <c r="F3112" i="122"/>
  <c r="H2442" i="122"/>
  <c r="N2442" i="122" s="1"/>
  <c r="H2596" i="122"/>
  <c r="N2596" i="122" s="1"/>
  <c r="F3266" i="122"/>
  <c r="H2304" i="122"/>
  <c r="N2304" i="122" s="1"/>
  <c r="F2974" i="122"/>
  <c r="F3278" i="122"/>
  <c r="H2608" i="122"/>
  <c r="N2608" i="122" s="1"/>
  <c r="H2076" i="122"/>
  <c r="N2076" i="122" s="1"/>
  <c r="F2746" i="122"/>
  <c r="F2850" i="122"/>
  <c r="H2180" i="122"/>
  <c r="N2180" i="122" s="1"/>
  <c r="F3285" i="122"/>
  <c r="H2615" i="122"/>
  <c r="N2615" i="122" s="1"/>
  <c r="H2068" i="122"/>
  <c r="N2068" i="122" s="1"/>
  <c r="F2738" i="122"/>
  <c r="F2832" i="122"/>
  <c r="H2162" i="122"/>
  <c r="N2162" i="122" s="1"/>
  <c r="F2706" i="122"/>
  <c r="H2036" i="122"/>
  <c r="N2036" i="122" s="1"/>
  <c r="F3048" i="122"/>
  <c r="H2378" i="122"/>
  <c r="N2378" i="122" s="1"/>
  <c r="H2598" i="122"/>
  <c r="N2598" i="122" s="1"/>
  <c r="F3268" i="122"/>
  <c r="F3284" i="122"/>
  <c r="H2614" i="122"/>
  <c r="N2614" i="122" s="1"/>
  <c r="F3277" i="122"/>
  <c r="H2607" i="122"/>
  <c r="N2607" i="122" s="1"/>
  <c r="F2876" i="122"/>
  <c r="H2206" i="122"/>
  <c r="N2206" i="122" s="1"/>
  <c r="H2371" i="122"/>
  <c r="N2371" i="122" s="1"/>
  <c r="F3041" i="122"/>
  <c r="F3012" i="122"/>
  <c r="H2342" i="122"/>
  <c r="N2342" i="122" s="1"/>
  <c r="F3130" i="122"/>
  <c r="H2460" i="122"/>
  <c r="N2460" i="122" s="1"/>
  <c r="F3297" i="122"/>
  <c r="H2627" i="122"/>
  <c r="N2627" i="122" s="1"/>
  <c r="F3215" i="122"/>
  <c r="H2545" i="122"/>
  <c r="N2545" i="122" s="1"/>
  <c r="H2083" i="122"/>
  <c r="N2083" i="122" s="1"/>
  <c r="F2753" i="122"/>
  <c r="F3077" i="122"/>
  <c r="H2407" i="122"/>
  <c r="N2407" i="122" s="1"/>
  <c r="F2972" i="122"/>
  <c r="H2302" i="122"/>
  <c r="N2302" i="122" s="1"/>
  <c r="F2984" i="122"/>
  <c r="H2314" i="122"/>
  <c r="N2314" i="122" s="1"/>
  <c r="F2745" i="122"/>
  <c r="H2075" i="122"/>
  <c r="N2075" i="122" s="1"/>
  <c r="F2787" i="122"/>
  <c r="H2117" i="122"/>
  <c r="N2117" i="122" s="1"/>
  <c r="F3080" i="122"/>
  <c r="H2410" i="122"/>
  <c r="N2410" i="122" s="1"/>
  <c r="F2718" i="122"/>
  <c r="H2048" i="122"/>
  <c r="N2048" i="122" s="1"/>
  <c r="F4021" i="122"/>
  <c r="H2216" i="122"/>
  <c r="N2216" i="122" s="1"/>
  <c r="F2886" i="122"/>
  <c r="F3269" i="122"/>
  <c r="H2599" i="122"/>
  <c r="N2599" i="122" s="1"/>
  <c r="F2860" i="122"/>
  <c r="H2190" i="122"/>
  <c r="N2190" i="122" s="1"/>
  <c r="F2764" i="122"/>
  <c r="H2094" i="122"/>
  <c r="N2094" i="122" s="1"/>
  <c r="H2164" i="122"/>
  <c r="N2164" i="122" s="1"/>
  <c r="F2834" i="122"/>
  <c r="H2506" i="122"/>
  <c r="N2506" i="122" s="1"/>
  <c r="F3176" i="122"/>
  <c r="H2587" i="122"/>
  <c r="N2587" i="122" s="1"/>
  <c r="F3257" i="122"/>
  <c r="F3989" i="122"/>
  <c r="H3319" i="122"/>
  <c r="N3319" i="122" s="1"/>
  <c r="F2937" i="122"/>
  <c r="H2267" i="122"/>
  <c r="N2267" i="122" s="1"/>
  <c r="F3124" i="122"/>
  <c r="H2454" i="122"/>
  <c r="N2454" i="122" s="1"/>
  <c r="F3228" i="122"/>
  <c r="H2558" i="122"/>
  <c r="N2558" i="122" s="1"/>
  <c r="F2877" i="122"/>
  <c r="H2207" i="122"/>
  <c r="N2207" i="122" s="1"/>
  <c r="F3148" i="122"/>
  <c r="H2478" i="122"/>
  <c r="N2478" i="122" s="1"/>
  <c r="F3189" i="122"/>
  <c r="H2519" i="122"/>
  <c r="N2519" i="122" s="1"/>
  <c r="F3171" i="122"/>
  <c r="H2501" i="122"/>
  <c r="N2501" i="122" s="1"/>
  <c r="H2357" i="122"/>
  <c r="N2357" i="122" s="1"/>
  <c r="F3027" i="122"/>
  <c r="H2087" i="122"/>
  <c r="N2087" i="122" s="1"/>
  <c r="F2757" i="122"/>
  <c r="H2181" i="122"/>
  <c r="N2181" i="122" s="1"/>
  <c r="F2851" i="122"/>
  <c r="F2721" i="122"/>
  <c r="H2051" i="122"/>
  <c r="N2051" i="122" s="1"/>
  <c r="F2988" i="122"/>
  <c r="H2318" i="122"/>
  <c r="N2318" i="122" s="1"/>
  <c r="F3032" i="122"/>
  <c r="H2362" i="122"/>
  <c r="N2362" i="122" s="1"/>
  <c r="H2552" i="122"/>
  <c r="N2552" i="122" s="1"/>
  <c r="F3222" i="122"/>
  <c r="F3236" i="122"/>
  <c r="H2566" i="122"/>
  <c r="N2566" i="122" s="1"/>
  <c r="H2251" i="122"/>
  <c r="N2251" i="122" s="1"/>
  <c r="F2921" i="122"/>
  <c r="F2842" i="122"/>
  <c r="H2172" i="122"/>
  <c r="N2172" i="122" s="1"/>
  <c r="H2021" i="122"/>
  <c r="N2021" i="122" s="1"/>
  <c r="F2691" i="122"/>
  <c r="F3300" i="122"/>
  <c r="H2630" i="122"/>
  <c r="N2630" i="122" s="1"/>
  <c r="F2808" i="122"/>
  <c r="H2138" i="122"/>
  <c r="N2138" i="122" s="1"/>
  <c r="H2918" i="122"/>
  <c r="N2918" i="122" s="1"/>
  <c r="F3588" i="122"/>
  <c r="F2795" i="122"/>
  <c r="H2125" i="122"/>
  <c r="N2125" i="122" s="1"/>
  <c r="F2978" i="122"/>
  <c r="H2308" i="122"/>
  <c r="N2308" i="122" s="1"/>
  <c r="H2515" i="122"/>
  <c r="N2515" i="122" s="1"/>
  <c r="F3185" i="122"/>
  <c r="F2818" i="122"/>
  <c r="H2148" i="122"/>
  <c r="N2148" i="122" s="1"/>
  <c r="F2812" i="122"/>
  <c r="H2142" i="122"/>
  <c r="N2142" i="122" s="1"/>
  <c r="F3229" i="122"/>
  <c r="H2559" i="122"/>
  <c r="N2559" i="122" s="1"/>
  <c r="H2524" i="122"/>
  <c r="N2524" i="122" s="1"/>
  <c r="F3194" i="122"/>
  <c r="F3306" i="122"/>
  <c r="H2636" i="122"/>
  <c r="N2636" i="122" s="1"/>
  <c r="F2772" i="122"/>
  <c r="H2102" i="122"/>
  <c r="N2102" i="122" s="1"/>
  <c r="H2507" i="122"/>
  <c r="N2507" i="122" s="1"/>
  <c r="F3177" i="122"/>
  <c r="H2419" i="122"/>
  <c r="N2419" i="122" s="1"/>
  <c r="F3089" i="122"/>
  <c r="F2924" i="122"/>
  <c r="H2254" i="122"/>
  <c r="N2254" i="122" s="1"/>
  <c r="F3000" i="122"/>
  <c r="H2330" i="122"/>
  <c r="N2330" i="122" s="1"/>
  <c r="F2902" i="122"/>
  <c r="H2232" i="122"/>
  <c r="N2232" i="122" s="1"/>
  <c r="F3026" i="122"/>
  <c r="H2356" i="122"/>
  <c r="N2356" i="122" s="1"/>
  <c r="F2756" i="122"/>
  <c r="H2086" i="122"/>
  <c r="N2086" i="122" s="1"/>
  <c r="F2768" i="122"/>
  <c r="H2098" i="122"/>
  <c r="N2098" i="122" s="1"/>
  <c r="F2727" i="122"/>
  <c r="H2057" i="122"/>
  <c r="N2057" i="122" s="1"/>
  <c r="H2359" i="122"/>
  <c r="N2359" i="122" s="1"/>
  <c r="F3029" i="122"/>
  <c r="F3167" i="122"/>
  <c r="H2497" i="122"/>
  <c r="N2497" i="122" s="1"/>
  <c r="F2888" i="122"/>
  <c r="H2218" i="122"/>
  <c r="N2218" i="122" s="1"/>
  <c r="F3348" i="122"/>
  <c r="H2678" i="122"/>
  <c r="N2678" i="122" s="1"/>
  <c r="F3014" i="122"/>
  <c r="H2344" i="122"/>
  <c r="N2344" i="122" s="1"/>
  <c r="F2957" i="122"/>
  <c r="H2287" i="122"/>
  <c r="N2287" i="122" s="1"/>
  <c r="H2461" i="122"/>
  <c r="N2461" i="122" s="1"/>
  <c r="F3131" i="122"/>
  <c r="F2796" i="122"/>
  <c r="H2126" i="122"/>
  <c r="N2126" i="122" s="1"/>
  <c r="F3040" i="122"/>
  <c r="H2370" i="122"/>
  <c r="N2370" i="122" s="1"/>
  <c r="F3289" i="122"/>
  <c r="H2619" i="122"/>
  <c r="N2619" i="122" s="1"/>
  <c r="H2435" i="122"/>
  <c r="N2435" i="122" s="1"/>
  <c r="F3105" i="122"/>
  <c r="F3075" i="122"/>
  <c r="H2405" i="122"/>
  <c r="N2405" i="122" s="1"/>
  <c r="H2455" i="122"/>
  <c r="N2455" i="122" s="1"/>
  <c r="F3125" i="122"/>
  <c r="F2835" i="122"/>
  <c r="H2165" i="122"/>
  <c r="N2165" i="122" s="1"/>
  <c r="F3180" i="122"/>
  <c r="H2510" i="122"/>
  <c r="N2510" i="122" s="1"/>
  <c r="H2222" i="122"/>
  <c r="N2222" i="122" s="1"/>
  <c r="F2892" i="122"/>
  <c r="G5034" i="122"/>
  <c r="G5064" i="122"/>
  <c r="G4854" i="122"/>
  <c r="G4942" i="122"/>
  <c r="G4882" i="122"/>
  <c r="G5018" i="122"/>
  <c r="G4993" i="122"/>
  <c r="G5026" i="122"/>
  <c r="G4850" i="122"/>
  <c r="G5046" i="122"/>
  <c r="G5072" i="122"/>
  <c r="G4718" i="122"/>
  <c r="G5257" i="122"/>
  <c r="G4790" i="122"/>
  <c r="G4938" i="122"/>
  <c r="G4914" i="122"/>
  <c r="G4750" i="122"/>
  <c r="G4975" i="122"/>
  <c r="G5024" i="122"/>
  <c r="G4786" i="122"/>
  <c r="G4714" i="122"/>
  <c r="G4814" i="122"/>
  <c r="G5030" i="122"/>
  <c r="G5042" i="122"/>
  <c r="G5080" i="122"/>
  <c r="G5060" i="122"/>
  <c r="G4822" i="122"/>
  <c r="G4726" i="122"/>
  <c r="G4985" i="122"/>
  <c r="G5010" i="122"/>
  <c r="G5078" i="122"/>
  <c r="G5281" i="122"/>
  <c r="G4910" i="122"/>
  <c r="G5038" i="122"/>
  <c r="G5058" i="122"/>
  <c r="G5066" i="122"/>
  <c r="G4702" i="122"/>
  <c r="G4746" i="122"/>
  <c r="G4989" i="122"/>
  <c r="G4818" i="122"/>
  <c r="G4930" i="122"/>
  <c r="G4904" i="122"/>
  <c r="G4918" i="122"/>
  <c r="G5048" i="122"/>
  <c r="G5076" i="122"/>
  <c r="G4981" i="122"/>
  <c r="G4878" i="122"/>
  <c r="G4886" i="122"/>
  <c r="G5000" i="122"/>
  <c r="G5012" i="122"/>
  <c r="G5341" i="122"/>
  <c r="G4782" i="122"/>
  <c r="G5054" i="122"/>
  <c r="G5040" i="122"/>
  <c r="G5050" i="122"/>
  <c r="G5008" i="122"/>
  <c r="G5016" i="122"/>
  <c r="G5032" i="122"/>
  <c r="G4846" i="122"/>
  <c r="G4996" i="122"/>
  <c r="G4758" i="122"/>
  <c r="G5277" i="122"/>
  <c r="G4742" i="122"/>
  <c r="G4778" i="122"/>
  <c r="G4770" i="122"/>
  <c r="G5062" i="122"/>
  <c r="G4754" i="122"/>
  <c r="G4722" i="122"/>
  <c r="G5074" i="122"/>
  <c r="G5022" i="122"/>
  <c r="G5014" i="122"/>
  <c r="G4998" i="122"/>
  <c r="G5056" i="122"/>
  <c r="G5002" i="122"/>
  <c r="G4870" i="122"/>
  <c r="G4898" i="122"/>
  <c r="M2012" i="122"/>
  <c r="G2682" i="122" s="1"/>
  <c r="G3352" i="122" s="1"/>
  <c r="G4022" i="122" s="1"/>
  <c r="G4692" i="122" s="1"/>
  <c r="G5362" i="122" s="1"/>
  <c r="E1342" i="122"/>
  <c r="E2012" i="122" s="1"/>
  <c r="E2682" i="122" s="1"/>
  <c r="E3352" i="122" s="1"/>
  <c r="E4022" i="122" s="1"/>
  <c r="E4692" i="122" s="1"/>
  <c r="E5362" i="122" s="1"/>
  <c r="M2011" i="122"/>
  <c r="E1335" i="122"/>
  <c r="E2005" i="122" s="1"/>
  <c r="E2675" i="122" s="1"/>
  <c r="E3345" i="122" s="1"/>
  <c r="E4015" i="122" s="1"/>
  <c r="E4685" i="122" s="1"/>
  <c r="E5355" i="122" s="1"/>
  <c r="F3342" i="122"/>
  <c r="I2685" i="122"/>
  <c r="F2669" i="122"/>
  <c r="F2668" i="122"/>
  <c r="F2666" i="122"/>
  <c r="M1995" i="122"/>
  <c r="F2664" i="122"/>
  <c r="F2660" i="122"/>
  <c r="E1313" i="122"/>
  <c r="E1983" i="122" s="1"/>
  <c r="E2653" i="122" s="1"/>
  <c r="E3323" i="122" s="1"/>
  <c r="E3993" i="122" s="1"/>
  <c r="E4663" i="122" s="1"/>
  <c r="E5333" i="122" s="1"/>
  <c r="E1189" i="122"/>
  <c r="E1859" i="122" s="1"/>
  <c r="E2529" i="122" s="1"/>
  <c r="E3199" i="122" s="1"/>
  <c r="E3869" i="122" s="1"/>
  <c r="E4539" i="122" s="1"/>
  <c r="E5209" i="122" s="1"/>
  <c r="E1156" i="122"/>
  <c r="E1826" i="122" s="1"/>
  <c r="E2496" i="122" s="1"/>
  <c r="E3166" i="122" s="1"/>
  <c r="E3836" i="122" s="1"/>
  <c r="E4506" i="122" s="1"/>
  <c r="E5176" i="122" s="1"/>
  <c r="E1139" i="122"/>
  <c r="E1809" i="122" s="1"/>
  <c r="E2479" i="122" s="1"/>
  <c r="E3149" i="122" s="1"/>
  <c r="E3819" i="122" s="1"/>
  <c r="E4489" i="122" s="1"/>
  <c r="E5159" i="122" s="1"/>
  <c r="E1093" i="122"/>
  <c r="E1763" i="122" s="1"/>
  <c r="E2433" i="122" s="1"/>
  <c r="E3103" i="122" s="1"/>
  <c r="E3773" i="122" s="1"/>
  <c r="E4443" i="122" s="1"/>
  <c r="E5113" i="122" s="1"/>
  <c r="A1019" i="122"/>
  <c r="A1689" i="122" s="1"/>
  <c r="A2359" i="122" s="1"/>
  <c r="A3029" i="122" s="1"/>
  <c r="A3699" i="122" s="1"/>
  <c r="A4369" i="122" s="1"/>
  <c r="A5039" i="122" s="1"/>
  <c r="F4012" i="122" l="1"/>
  <c r="H3342" i="122"/>
  <c r="N3342" i="122" s="1"/>
  <c r="F3388" i="122"/>
  <c r="H2718" i="122"/>
  <c r="N2718" i="122" s="1"/>
  <c r="F3823" i="122"/>
  <c r="H3153" i="122"/>
  <c r="N3153" i="122" s="1"/>
  <c r="H2848" i="122"/>
  <c r="N2848" i="122" s="1"/>
  <c r="F3518" i="122"/>
  <c r="H3308" i="122"/>
  <c r="F3587" i="122"/>
  <c r="H2917" i="122"/>
  <c r="N2917" i="122" s="1"/>
  <c r="H2693" i="122"/>
  <c r="N2693" i="122" s="1"/>
  <c r="F3363" i="122"/>
  <c r="H2785" i="122"/>
  <c r="N2785" i="122" s="1"/>
  <c r="F3455" i="122"/>
  <c r="F3731" i="122"/>
  <c r="H3061" i="122"/>
  <c r="N3061" i="122" s="1"/>
  <c r="F3946" i="122"/>
  <c r="H3276" i="122"/>
  <c r="N3276" i="122" s="1"/>
  <c r="F4611" i="122"/>
  <c r="H3941" i="122"/>
  <c r="N3941" i="122" s="1"/>
  <c r="F3447" i="122"/>
  <c r="H2777" i="122"/>
  <c r="N2777" i="122" s="1"/>
  <c r="F4013" i="122"/>
  <c r="H3343" i="122"/>
  <c r="N3343" i="122" s="1"/>
  <c r="F3980" i="122"/>
  <c r="H3310" i="122"/>
  <c r="N3310" i="122" s="1"/>
  <c r="F3766" i="122"/>
  <c r="H3096" i="122"/>
  <c r="N3096" i="122" s="1"/>
  <c r="F3707" i="122"/>
  <c r="H3037" i="122"/>
  <c r="N3037" i="122" s="1"/>
  <c r="F3621" i="122"/>
  <c r="H2951" i="122"/>
  <c r="N2951" i="122" s="1"/>
  <c r="F3495" i="122"/>
  <c r="H2825" i="122"/>
  <c r="N2825" i="122" s="1"/>
  <c r="F3739" i="122"/>
  <c r="H3069" i="122"/>
  <c r="N3069" i="122" s="1"/>
  <c r="E1058" i="122"/>
  <c r="E1728" i="122" s="1"/>
  <c r="E2398" i="122" s="1"/>
  <c r="E3068" i="122" s="1"/>
  <c r="E3738" i="122" s="1"/>
  <c r="E4408" i="122" s="1"/>
  <c r="E5078" i="122" s="1"/>
  <c r="E1120" i="122"/>
  <c r="E1790" i="122" s="1"/>
  <c r="E2460" i="122" s="1"/>
  <c r="E3130" i="122" s="1"/>
  <c r="E3800" i="122" s="1"/>
  <c r="E4470" i="122" s="1"/>
  <c r="E5140" i="122" s="1"/>
  <c r="F3521" i="122"/>
  <c r="H2851" i="122"/>
  <c r="N2851" i="122" s="1"/>
  <c r="F3445" i="122"/>
  <c r="H2775" i="122"/>
  <c r="N2775" i="122" s="1"/>
  <c r="H3091" i="122"/>
  <c r="N3091" i="122" s="1"/>
  <c r="F3761" i="122"/>
  <c r="H2827" i="122"/>
  <c r="N2827" i="122" s="1"/>
  <c r="F3497" i="122"/>
  <c r="F3586" i="122"/>
  <c r="H2916" i="122"/>
  <c r="N2916" i="122" s="1"/>
  <c r="F3712" i="122"/>
  <c r="H3042" i="122"/>
  <c r="N3042" i="122" s="1"/>
  <c r="F3727" i="122"/>
  <c r="H3057" i="122"/>
  <c r="N3057" i="122" s="1"/>
  <c r="E1084" i="122"/>
  <c r="E1754" i="122" s="1"/>
  <c r="E2424" i="122" s="1"/>
  <c r="E3094" i="122" s="1"/>
  <c r="E3764" i="122" s="1"/>
  <c r="E4434" i="122" s="1"/>
  <c r="E5104" i="122" s="1"/>
  <c r="E1177" i="122"/>
  <c r="E1847" i="122" s="1"/>
  <c r="E2517" i="122" s="1"/>
  <c r="E3187" i="122" s="1"/>
  <c r="E3857" i="122" s="1"/>
  <c r="E4527" i="122" s="1"/>
  <c r="E5197" i="122" s="1"/>
  <c r="F3833" i="122"/>
  <c r="H3163" i="122"/>
  <c r="N3163" i="122" s="1"/>
  <c r="F3638" i="122"/>
  <c r="H2968" i="122"/>
  <c r="N2968" i="122" s="1"/>
  <c r="F3545" i="122"/>
  <c r="H2875" i="122"/>
  <c r="N2875" i="122" s="1"/>
  <c r="H3051" i="122"/>
  <c r="N3051" i="122" s="1"/>
  <c r="F3721" i="122"/>
  <c r="H3314" i="122"/>
  <c r="N3314" i="122" s="1"/>
  <c r="F3984" i="122"/>
  <c r="F3671" i="122"/>
  <c r="H3001" i="122"/>
  <c r="N3001" i="122" s="1"/>
  <c r="F3779" i="122"/>
  <c r="H3109" i="122"/>
  <c r="N3109" i="122" s="1"/>
  <c r="F3981" i="122"/>
  <c r="H3311" i="122"/>
  <c r="N3311" i="122" s="1"/>
  <c r="H2843" i="122"/>
  <c r="N2843" i="122" s="1"/>
  <c r="F3513" i="122"/>
  <c r="H3424" i="122"/>
  <c r="N3424" i="122" s="1"/>
  <c r="F4094" i="122"/>
  <c r="H2987" i="122"/>
  <c r="N2987" i="122" s="1"/>
  <c r="F3657" i="122"/>
  <c r="H3011" i="122"/>
  <c r="N3011" i="122" s="1"/>
  <c r="F3681" i="122"/>
  <c r="F3676" i="122"/>
  <c r="H3006" i="122"/>
  <c r="N3006" i="122" s="1"/>
  <c r="F3498" i="122"/>
  <c r="H2828" i="122"/>
  <c r="N2828" i="122" s="1"/>
  <c r="F3688" i="122"/>
  <c r="H3018" i="122"/>
  <c r="N3018" i="122" s="1"/>
  <c r="F4015" i="122"/>
  <c r="H3345" i="122"/>
  <c r="N3345" i="122" s="1"/>
  <c r="H3031" i="122"/>
  <c r="N3031" i="122" s="1"/>
  <c r="F3701" i="122"/>
  <c r="E1038" i="122"/>
  <c r="E1708" i="122" s="1"/>
  <c r="E2378" i="122" s="1"/>
  <c r="E3048" i="122" s="1"/>
  <c r="E3718" i="122" s="1"/>
  <c r="E4388" i="122" s="1"/>
  <c r="E5058" i="122" s="1"/>
  <c r="E1243" i="122"/>
  <c r="E1913" i="122" s="1"/>
  <c r="E2583" i="122" s="1"/>
  <c r="E3253" i="122" s="1"/>
  <c r="E3923" i="122" s="1"/>
  <c r="E4593" i="122" s="1"/>
  <c r="E5263" i="122" s="1"/>
  <c r="F1317" i="122"/>
  <c r="N647" i="122"/>
  <c r="F3797" i="122"/>
  <c r="H3127" i="122"/>
  <c r="N3127" i="122" s="1"/>
  <c r="E1077" i="122"/>
  <c r="E1747" i="122" s="1"/>
  <c r="E2417" i="122" s="1"/>
  <c r="E3087" i="122" s="1"/>
  <c r="E3757" i="122" s="1"/>
  <c r="E4427" i="122" s="1"/>
  <c r="E5097" i="122" s="1"/>
  <c r="E1101" i="122"/>
  <c r="E1771" i="122" s="1"/>
  <c r="E2441" i="122" s="1"/>
  <c r="E3111" i="122" s="1"/>
  <c r="E3781" i="122" s="1"/>
  <c r="E4451" i="122" s="1"/>
  <c r="E5121" i="122" s="1"/>
  <c r="E1192" i="122"/>
  <c r="E1862" i="122" s="1"/>
  <c r="E2532" i="122" s="1"/>
  <c r="E3202" i="122" s="1"/>
  <c r="E3872" i="122" s="1"/>
  <c r="E4542" i="122" s="1"/>
  <c r="E5212" i="122" s="1"/>
  <c r="F3850" i="122"/>
  <c r="H3180" i="122"/>
  <c r="N3180" i="122" s="1"/>
  <c r="F3558" i="122"/>
  <c r="H2888" i="122"/>
  <c r="N2888" i="122" s="1"/>
  <c r="F3442" i="122"/>
  <c r="H2772" i="122"/>
  <c r="N2772" i="122" s="1"/>
  <c r="H2723" i="122"/>
  <c r="N2723" i="122" s="1"/>
  <c r="F3393" i="122"/>
  <c r="H3107" i="122"/>
  <c r="N3107" i="122" s="1"/>
  <c r="F3777" i="122"/>
  <c r="F3568" i="122"/>
  <c r="H2898" i="122"/>
  <c r="N2898" i="122" s="1"/>
  <c r="F3583" i="122"/>
  <c r="H2913" i="122"/>
  <c r="N2913" i="122" s="1"/>
  <c r="H3035" i="122"/>
  <c r="N3035" i="122" s="1"/>
  <c r="F3705" i="122"/>
  <c r="F3580" i="122"/>
  <c r="H2910" i="122"/>
  <c r="N2910" i="122" s="1"/>
  <c r="F3570" i="122"/>
  <c r="H2900" i="122"/>
  <c r="N2900" i="122" s="1"/>
  <c r="F3755" i="122"/>
  <c r="H3085" i="122"/>
  <c r="N3085" i="122" s="1"/>
  <c r="E1031" i="122"/>
  <c r="E1701" i="122" s="1"/>
  <c r="E2371" i="122" s="1"/>
  <c r="E3041" i="122" s="1"/>
  <c r="E3711" i="122" s="1"/>
  <c r="E4381" i="122" s="1"/>
  <c r="E5051" i="122" s="1"/>
  <c r="E1047" i="122"/>
  <c r="E1717" i="122" s="1"/>
  <c r="E2387" i="122" s="1"/>
  <c r="E3057" i="122" s="1"/>
  <c r="E3727" i="122" s="1"/>
  <c r="E4397" i="122" s="1"/>
  <c r="E5067" i="122" s="1"/>
  <c r="E1208" i="122"/>
  <c r="E1878" i="122" s="1"/>
  <c r="E2548" i="122" s="1"/>
  <c r="E3218" i="122" s="1"/>
  <c r="E3888" i="122" s="1"/>
  <c r="E4558" i="122" s="1"/>
  <c r="E5228" i="122" s="1"/>
  <c r="E1220" i="122"/>
  <c r="E1890" i="122" s="1"/>
  <c r="E2560" i="122" s="1"/>
  <c r="E3230" i="122" s="1"/>
  <c r="E3900" i="122" s="1"/>
  <c r="E4570" i="122" s="1"/>
  <c r="E5240" i="122" s="1"/>
  <c r="E1224" i="122"/>
  <c r="E1894" i="122" s="1"/>
  <c r="E2564" i="122" s="1"/>
  <c r="E3234" i="122" s="1"/>
  <c r="E3904" i="122" s="1"/>
  <c r="E4574" i="122" s="1"/>
  <c r="E5244" i="122" s="1"/>
  <c r="E1252" i="122"/>
  <c r="E1922" i="122" s="1"/>
  <c r="E2592" i="122" s="1"/>
  <c r="E3262" i="122" s="1"/>
  <c r="E3932" i="122" s="1"/>
  <c r="E4602" i="122" s="1"/>
  <c r="E5272" i="122" s="1"/>
  <c r="E1262" i="122"/>
  <c r="E1932" i="122" s="1"/>
  <c r="E2602" i="122" s="1"/>
  <c r="E3272" i="122" s="1"/>
  <c r="E3942" i="122" s="1"/>
  <c r="E4612" i="122" s="1"/>
  <c r="E5282" i="122" s="1"/>
  <c r="E1273" i="122"/>
  <c r="E1943" i="122" s="1"/>
  <c r="E2613" i="122" s="1"/>
  <c r="E3283" i="122" s="1"/>
  <c r="E3953" i="122" s="1"/>
  <c r="E4623" i="122" s="1"/>
  <c r="E5293" i="122" s="1"/>
  <c r="E1277" i="122"/>
  <c r="E1947" i="122" s="1"/>
  <c r="E2617" i="122" s="1"/>
  <c r="E3287" i="122" s="1"/>
  <c r="E3957" i="122" s="1"/>
  <c r="E4627" i="122" s="1"/>
  <c r="E5297" i="122" s="1"/>
  <c r="F4258" i="122"/>
  <c r="H3588" i="122"/>
  <c r="N3588" i="122" s="1"/>
  <c r="H2757" i="122"/>
  <c r="N2757" i="122" s="1"/>
  <c r="F3427" i="122"/>
  <c r="F3504" i="122"/>
  <c r="H2834" i="122"/>
  <c r="N2834" i="122" s="1"/>
  <c r="H2886" i="122"/>
  <c r="N2886" i="122" s="1"/>
  <c r="F3556" i="122"/>
  <c r="F3750" i="122"/>
  <c r="H3080" i="122"/>
  <c r="N3080" i="122" s="1"/>
  <c r="H2972" i="122"/>
  <c r="N2972" i="122" s="1"/>
  <c r="F3642" i="122"/>
  <c r="H3297" i="122"/>
  <c r="N3297" i="122" s="1"/>
  <c r="F3967" i="122"/>
  <c r="F3546" i="122"/>
  <c r="H2876" i="122"/>
  <c r="N2876" i="122" s="1"/>
  <c r="F3718" i="122"/>
  <c r="H3048" i="122"/>
  <c r="N3048" i="122" s="1"/>
  <c r="H3285" i="122"/>
  <c r="N3285" i="122" s="1"/>
  <c r="F3955" i="122"/>
  <c r="H3110" i="122"/>
  <c r="N3110" i="122" s="1"/>
  <c r="F3780" i="122"/>
  <c r="F3449" i="122"/>
  <c r="H2779" i="122"/>
  <c r="N2779" i="122" s="1"/>
  <c r="F3819" i="122"/>
  <c r="H3149" i="122"/>
  <c r="N3149" i="122" s="1"/>
  <c r="F4403" i="122"/>
  <c r="H3733" i="122"/>
  <c r="N3733" i="122" s="1"/>
  <c r="F3632" i="122"/>
  <c r="H2962" i="122"/>
  <c r="N2962" i="122" s="1"/>
  <c r="H2766" i="122"/>
  <c r="N2766" i="122" s="1"/>
  <c r="F3436" i="122"/>
  <c r="F3808" i="122"/>
  <c r="H3138" i="122"/>
  <c r="N3138" i="122" s="1"/>
  <c r="H2867" i="122"/>
  <c r="N2867" i="122" s="1"/>
  <c r="F3537" i="122"/>
  <c r="F3897" i="122"/>
  <c r="H3227" i="122"/>
  <c r="N3227" i="122" s="1"/>
  <c r="F3517" i="122"/>
  <c r="H2847" i="122"/>
  <c r="N2847" i="122" s="1"/>
  <c r="H2878" i="122"/>
  <c r="N2878" i="122" s="1"/>
  <c r="F3548" i="122"/>
  <c r="H2790" i="122"/>
  <c r="N2790" i="122" s="1"/>
  <c r="F3460" i="122"/>
  <c r="F3557" i="122"/>
  <c r="H2887" i="122"/>
  <c r="N2887" i="122" s="1"/>
  <c r="H2824" i="122"/>
  <c r="N2824" i="122" s="1"/>
  <c r="F3494" i="122"/>
  <c r="H2717" i="122"/>
  <c r="N2717" i="122" s="1"/>
  <c r="F3387" i="122"/>
  <c r="F3861" i="122"/>
  <c r="H3191" i="122"/>
  <c r="N3191" i="122" s="1"/>
  <c r="F4419" i="122"/>
  <c r="H3749" i="122"/>
  <c r="N3749" i="122" s="1"/>
  <c r="H2743" i="122"/>
  <c r="N2743" i="122" s="1"/>
  <c r="F3413" i="122"/>
  <c r="F3730" i="122"/>
  <c r="H3060" i="122"/>
  <c r="N3060" i="122" s="1"/>
  <c r="F4010" i="122"/>
  <c r="H3340" i="122"/>
  <c r="N3340" i="122" s="1"/>
  <c r="F3706" i="122"/>
  <c r="H3036" i="122"/>
  <c r="N3036" i="122" s="1"/>
  <c r="H3368" i="122"/>
  <c r="N3368" i="122" s="1"/>
  <c r="F4038" i="122"/>
  <c r="H2711" i="122"/>
  <c r="N2711" i="122" s="1"/>
  <c r="F3381" i="122"/>
  <c r="H2749" i="122"/>
  <c r="N2749" i="122" s="1"/>
  <c r="F3419" i="122"/>
  <c r="F3523" i="122"/>
  <c r="H2853" i="122"/>
  <c r="N2853" i="122" s="1"/>
  <c r="F3582" i="122"/>
  <c r="H2912" i="122"/>
  <c r="N2912" i="122" s="1"/>
  <c r="F3578" i="122"/>
  <c r="H2908" i="122"/>
  <c r="N2908" i="122" s="1"/>
  <c r="F3663" i="122"/>
  <c r="H2993" i="122"/>
  <c r="N2993" i="122" s="1"/>
  <c r="H3120" i="122"/>
  <c r="N3120" i="122" s="1"/>
  <c r="F3790" i="122"/>
  <c r="H3669" i="122"/>
  <c r="N3669" i="122" s="1"/>
  <c r="F4339" i="122"/>
  <c r="F3792" i="122"/>
  <c r="H3122" i="122"/>
  <c r="N3122" i="122" s="1"/>
  <c r="F3836" i="122"/>
  <c r="H3166" i="122"/>
  <c r="N3166" i="122" s="1"/>
  <c r="F3569" i="122"/>
  <c r="H2899" i="122"/>
  <c r="N2899" i="122" s="1"/>
  <c r="F4007" i="122"/>
  <c r="H3337" i="122"/>
  <c r="N3337" i="122" s="1"/>
  <c r="F3515" i="122"/>
  <c r="H2845" i="122"/>
  <c r="N2845" i="122" s="1"/>
  <c r="F3608" i="122"/>
  <c r="H2938" i="122"/>
  <c r="N2938" i="122" s="1"/>
  <c r="F3975" i="122"/>
  <c r="H3305" i="122"/>
  <c r="N3305" i="122" s="1"/>
  <c r="F3649" i="122"/>
  <c r="H2979" i="122"/>
  <c r="N2979" i="122" s="1"/>
  <c r="F3912" i="122"/>
  <c r="H3242" i="122"/>
  <c r="N3242" i="122" s="1"/>
  <c r="F3930" i="122"/>
  <c r="H3260" i="122"/>
  <c r="N3260" i="122" s="1"/>
  <c r="F3704" i="122"/>
  <c r="H3034" i="122"/>
  <c r="N3034" i="122" s="1"/>
  <c r="H3265" i="122"/>
  <c r="N3265" i="122" s="1"/>
  <c r="F3935" i="122"/>
  <c r="H3053" i="122"/>
  <c r="N3053" i="122" s="1"/>
  <c r="F3723" i="122"/>
  <c r="F3840" i="122"/>
  <c r="H3170" i="122"/>
  <c r="N3170" i="122" s="1"/>
  <c r="F3724" i="122"/>
  <c r="H3054" i="122"/>
  <c r="N3054" i="122" s="1"/>
  <c r="F3983" i="122"/>
  <c r="H3313" i="122"/>
  <c r="N3313" i="122" s="1"/>
  <c r="H2903" i="122"/>
  <c r="N2903" i="122" s="1"/>
  <c r="F3573" i="122"/>
  <c r="F3771" i="122"/>
  <c r="H3101" i="122"/>
  <c r="N3101" i="122" s="1"/>
  <c r="G3360" i="122"/>
  <c r="H3015" i="122"/>
  <c r="N3015" i="122" s="1"/>
  <c r="F3685" i="122"/>
  <c r="H2839" i="122"/>
  <c r="N2839" i="122" s="1"/>
  <c r="F3509" i="122"/>
  <c r="F3341" i="122"/>
  <c r="H3043" i="122"/>
  <c r="N3043" i="122" s="1"/>
  <c r="F3713" i="122"/>
  <c r="F4451" i="122"/>
  <c r="H3781" i="122"/>
  <c r="N3781" i="122" s="1"/>
  <c r="F3703" i="122"/>
  <c r="H3033" i="122"/>
  <c r="N3033" i="122" s="1"/>
  <c r="H3067" i="122"/>
  <c r="N3067" i="122" s="1"/>
  <c r="F3737" i="122"/>
  <c r="H2941" i="122"/>
  <c r="N2941" i="122" s="1"/>
  <c r="F3611" i="122"/>
  <c r="N2672" i="122"/>
  <c r="H3019" i="122"/>
  <c r="N3019" i="122" s="1"/>
  <c r="F3689" i="122"/>
  <c r="H3248" i="122"/>
  <c r="N3248" i="122" s="1"/>
  <c r="F3918" i="122"/>
  <c r="F3550" i="122"/>
  <c r="H2880" i="122"/>
  <c r="N2880" i="122" s="1"/>
  <c r="F4643" i="122"/>
  <c r="H3973" i="122"/>
  <c r="N3973" i="122" s="1"/>
  <c r="F3407" i="122"/>
  <c r="H2737" i="122"/>
  <c r="N2737" i="122" s="1"/>
  <c r="H3095" i="122"/>
  <c r="N3095" i="122" s="1"/>
  <c r="F3765" i="122"/>
  <c r="F3798" i="122"/>
  <c r="H3128" i="122"/>
  <c r="N3128" i="122" s="1"/>
  <c r="F3719" i="122"/>
  <c r="H3049" i="122"/>
  <c r="N3049" i="122" s="1"/>
  <c r="E1183" i="122"/>
  <c r="E1853" i="122" s="1"/>
  <c r="E2523" i="122" s="1"/>
  <c r="E3193" i="122" s="1"/>
  <c r="E3863" i="122" s="1"/>
  <c r="E4533" i="122" s="1"/>
  <c r="E5203" i="122" s="1"/>
  <c r="E1227" i="122"/>
  <c r="E1897" i="122" s="1"/>
  <c r="E2567" i="122" s="1"/>
  <c r="E3237" i="122" s="1"/>
  <c r="E3907" i="122" s="1"/>
  <c r="E4577" i="122" s="1"/>
  <c r="E5247" i="122" s="1"/>
  <c r="E1264" i="122"/>
  <c r="E1934" i="122" s="1"/>
  <c r="E2604" i="122" s="1"/>
  <c r="E3274" i="122" s="1"/>
  <c r="E3944" i="122" s="1"/>
  <c r="E4614" i="122" s="1"/>
  <c r="E5284" i="122" s="1"/>
  <c r="F3678" i="122"/>
  <c r="H3008" i="122"/>
  <c r="N3008" i="122" s="1"/>
  <c r="H2705" i="122"/>
  <c r="N2705" i="122" s="1"/>
  <c r="F3375" i="122"/>
  <c r="E1022" i="122"/>
  <c r="E1692" i="122" s="1"/>
  <c r="E2362" i="122" s="1"/>
  <c r="E3032" i="122" s="1"/>
  <c r="E3702" i="122" s="1"/>
  <c r="E4372" i="122" s="1"/>
  <c r="E5042" i="122" s="1"/>
  <c r="E1132" i="122"/>
  <c r="E1802" i="122" s="1"/>
  <c r="E2472" i="122" s="1"/>
  <c r="E3142" i="122" s="1"/>
  <c r="E3812" i="122" s="1"/>
  <c r="E4482" i="122" s="1"/>
  <c r="E5152" i="122" s="1"/>
  <c r="E1154" i="122"/>
  <c r="E1824" i="122" s="1"/>
  <c r="E2494" i="122" s="1"/>
  <c r="E3164" i="122" s="1"/>
  <c r="E3834" i="122" s="1"/>
  <c r="E4504" i="122" s="1"/>
  <c r="E5174" i="122" s="1"/>
  <c r="E1180" i="122"/>
  <c r="E1850" i="122" s="1"/>
  <c r="E2520" i="122" s="1"/>
  <c r="E3190" i="122" s="1"/>
  <c r="E3860" i="122" s="1"/>
  <c r="E4530" i="122" s="1"/>
  <c r="E5200" i="122" s="1"/>
  <c r="E1196" i="122"/>
  <c r="E1866" i="122" s="1"/>
  <c r="E2536" i="122" s="1"/>
  <c r="E3206" i="122" s="1"/>
  <c r="E3876" i="122" s="1"/>
  <c r="E4546" i="122" s="1"/>
  <c r="E5216" i="122" s="1"/>
  <c r="E1270" i="122"/>
  <c r="E1940" i="122" s="1"/>
  <c r="E2610" i="122" s="1"/>
  <c r="E3280" i="122" s="1"/>
  <c r="E3950" i="122" s="1"/>
  <c r="E4620" i="122" s="1"/>
  <c r="E5290" i="122" s="1"/>
  <c r="F3336" i="122"/>
  <c r="F3438" i="122"/>
  <c r="H2768" i="122"/>
  <c r="N2768" i="122" s="1"/>
  <c r="F3670" i="122"/>
  <c r="H3000" i="122"/>
  <c r="N3000" i="122" s="1"/>
  <c r="F3482" i="122"/>
  <c r="H2812" i="122"/>
  <c r="N2812" i="122" s="1"/>
  <c r="F3859" i="122"/>
  <c r="H3189" i="122"/>
  <c r="N3189" i="122" s="1"/>
  <c r="F3794" i="122"/>
  <c r="H3124" i="122"/>
  <c r="N3124" i="122" s="1"/>
  <c r="H3269" i="122"/>
  <c r="N3269" i="122" s="1"/>
  <c r="F3939" i="122"/>
  <c r="H2974" i="122"/>
  <c r="N2974" i="122" s="1"/>
  <c r="F3644" i="122"/>
  <c r="H2726" i="122"/>
  <c r="N2726" i="122" s="1"/>
  <c r="F3396" i="122"/>
  <c r="F3876" i="122"/>
  <c r="H3206" i="122"/>
  <c r="N3206" i="122" s="1"/>
  <c r="F3926" i="122"/>
  <c r="H3256" i="122"/>
  <c r="N3256" i="122" s="1"/>
  <c r="H3301" i="122"/>
  <c r="N3301" i="122" s="1"/>
  <c r="F3971" i="122"/>
  <c r="F3786" i="122"/>
  <c r="H3116" i="122"/>
  <c r="N3116" i="122" s="1"/>
  <c r="F3872" i="122"/>
  <c r="H3202" i="122"/>
  <c r="N3202" i="122" s="1"/>
  <c r="H2885" i="122"/>
  <c r="N2885" i="122" s="1"/>
  <c r="F3555" i="122"/>
  <c r="H2750" i="122"/>
  <c r="N2750" i="122" s="1"/>
  <c r="F3420" i="122"/>
  <c r="H3302" i="122"/>
  <c r="N3302" i="122" s="1"/>
  <c r="F3972" i="122"/>
  <c r="H3957" i="122"/>
  <c r="N3957" i="122" s="1"/>
  <c r="F4627" i="122"/>
  <c r="F3360" i="122"/>
  <c r="H2690" i="122"/>
  <c r="H2799" i="122"/>
  <c r="N2799" i="122" s="1"/>
  <c r="F3469" i="122"/>
  <c r="F4023" i="122"/>
  <c r="H3353" i="122"/>
  <c r="N3353" i="122" s="1"/>
  <c r="F3637" i="122"/>
  <c r="H2967" i="122"/>
  <c r="N2967" i="122" s="1"/>
  <c r="F3715" i="122"/>
  <c r="H3045" i="122"/>
  <c r="N3045" i="122" s="1"/>
  <c r="F3810" i="122"/>
  <c r="H3140" i="122"/>
  <c r="N3140" i="122" s="1"/>
  <c r="F3752" i="122"/>
  <c r="H3082" i="122"/>
  <c r="N3082" i="122" s="1"/>
  <c r="F3834" i="122"/>
  <c r="H3164" i="122"/>
  <c r="N3164" i="122" s="1"/>
  <c r="F3820" i="122"/>
  <c r="H3150" i="122"/>
  <c r="N3150" i="122" s="1"/>
  <c r="F3916" i="122"/>
  <c r="H3246" i="122"/>
  <c r="N3246" i="122" s="1"/>
  <c r="F3816" i="122"/>
  <c r="H3146" i="122"/>
  <c r="N3146" i="122" s="1"/>
  <c r="F3799" i="122"/>
  <c r="H3129" i="122"/>
  <c r="N3129" i="122" s="1"/>
  <c r="F3589" i="122"/>
  <c r="H2919" i="122"/>
  <c r="N2919" i="122" s="1"/>
  <c r="H2861" i="122"/>
  <c r="N2861" i="122" s="1"/>
  <c r="F3531" i="122"/>
  <c r="F3982" i="122"/>
  <c r="H3312" i="122"/>
  <c r="N3312" i="122" s="1"/>
  <c r="F3854" i="122"/>
  <c r="H3184" i="122"/>
  <c r="N3184" i="122" s="1"/>
  <c r="H2858" i="122"/>
  <c r="N2858" i="122" s="1"/>
  <c r="F3528" i="122"/>
  <c r="H3165" i="122"/>
  <c r="N3165" i="122" s="1"/>
  <c r="F3835" i="122"/>
  <c r="F3944" i="122"/>
  <c r="H3274" i="122"/>
  <c r="N3274" i="122" s="1"/>
  <c r="H2889" i="122"/>
  <c r="N2889" i="122" s="1"/>
  <c r="F3559" i="122"/>
  <c r="E1035" i="122"/>
  <c r="E1705" i="122" s="1"/>
  <c r="E2375" i="122" s="1"/>
  <c r="E3045" i="122" s="1"/>
  <c r="E3715" i="122" s="1"/>
  <c r="E4385" i="122" s="1"/>
  <c r="E5055" i="122" s="1"/>
  <c r="E1043" i="122"/>
  <c r="E1713" i="122" s="1"/>
  <c r="E2383" i="122" s="1"/>
  <c r="E3053" i="122" s="1"/>
  <c r="E3723" i="122" s="1"/>
  <c r="E4393" i="122" s="1"/>
  <c r="E5063" i="122" s="1"/>
  <c r="E1051" i="122"/>
  <c r="E1721" i="122" s="1"/>
  <c r="E2391" i="122" s="1"/>
  <c r="E3061" i="122" s="1"/>
  <c r="E3731" i="122" s="1"/>
  <c r="E4401" i="122" s="1"/>
  <c r="E5071" i="122" s="1"/>
  <c r="E1067" i="122"/>
  <c r="E1737" i="122" s="1"/>
  <c r="E2407" i="122" s="1"/>
  <c r="E3077" i="122" s="1"/>
  <c r="E3747" i="122" s="1"/>
  <c r="E4417" i="122" s="1"/>
  <c r="E5087" i="122" s="1"/>
  <c r="E1095" i="122"/>
  <c r="E1765" i="122" s="1"/>
  <c r="E2435" i="122" s="1"/>
  <c r="E3105" i="122" s="1"/>
  <c r="E3775" i="122" s="1"/>
  <c r="E4445" i="122" s="1"/>
  <c r="E5115" i="122" s="1"/>
  <c r="E1136" i="122"/>
  <c r="E1806" i="122" s="1"/>
  <c r="E2476" i="122" s="1"/>
  <c r="E3146" i="122" s="1"/>
  <c r="E3816" i="122" s="1"/>
  <c r="E4486" i="122" s="1"/>
  <c r="E5156" i="122" s="1"/>
  <c r="E1075" i="122"/>
  <c r="E1745" i="122" s="1"/>
  <c r="E2415" i="122" s="1"/>
  <c r="E3085" i="122" s="1"/>
  <c r="E3755" i="122" s="1"/>
  <c r="E4425" i="122" s="1"/>
  <c r="E5095" i="122" s="1"/>
  <c r="E1099" i="122"/>
  <c r="E1769" i="122" s="1"/>
  <c r="E2439" i="122" s="1"/>
  <c r="E3109" i="122" s="1"/>
  <c r="E3779" i="122" s="1"/>
  <c r="E4449" i="122" s="1"/>
  <c r="E5119" i="122" s="1"/>
  <c r="E1144" i="122"/>
  <c r="E1814" i="122" s="1"/>
  <c r="E2484" i="122" s="1"/>
  <c r="E3154" i="122" s="1"/>
  <c r="E3824" i="122" s="1"/>
  <c r="E4494" i="122" s="1"/>
  <c r="E5164" i="122" s="1"/>
  <c r="E1158" i="122"/>
  <c r="E1828" i="122" s="1"/>
  <c r="E2498" i="122" s="1"/>
  <c r="E3168" i="122" s="1"/>
  <c r="E3838" i="122" s="1"/>
  <c r="E4508" i="122" s="1"/>
  <c r="E5178" i="122" s="1"/>
  <c r="E1162" i="122"/>
  <c r="E1832" i="122" s="1"/>
  <c r="E2502" i="122" s="1"/>
  <c r="E3172" i="122" s="1"/>
  <c r="E3842" i="122" s="1"/>
  <c r="E4512" i="122" s="1"/>
  <c r="E5182" i="122" s="1"/>
  <c r="E1166" i="122"/>
  <c r="E1836" i="122" s="1"/>
  <c r="E2506" i="122" s="1"/>
  <c r="E3176" i="122" s="1"/>
  <c r="E3846" i="122" s="1"/>
  <c r="E4516" i="122" s="1"/>
  <c r="E5186" i="122" s="1"/>
  <c r="E1174" i="122"/>
  <c r="E1844" i="122" s="1"/>
  <c r="E2514" i="122" s="1"/>
  <c r="E3184" i="122" s="1"/>
  <c r="E3854" i="122" s="1"/>
  <c r="E4524" i="122" s="1"/>
  <c r="E5194" i="122" s="1"/>
  <c r="E1197" i="122"/>
  <c r="E1867" i="122" s="1"/>
  <c r="E2537" i="122" s="1"/>
  <c r="E3207" i="122" s="1"/>
  <c r="E3877" i="122" s="1"/>
  <c r="E4547" i="122" s="1"/>
  <c r="E5217" i="122" s="1"/>
  <c r="E1201" i="122"/>
  <c r="E1871" i="122" s="1"/>
  <c r="E2541" i="122" s="1"/>
  <c r="E3211" i="122" s="1"/>
  <c r="E3881" i="122" s="1"/>
  <c r="E4551" i="122" s="1"/>
  <c r="E5221" i="122" s="1"/>
  <c r="E1205" i="122"/>
  <c r="E1875" i="122" s="1"/>
  <c r="E2545" i="122" s="1"/>
  <c r="E3215" i="122" s="1"/>
  <c r="E3885" i="122" s="1"/>
  <c r="E4555" i="122" s="1"/>
  <c r="E5225" i="122" s="1"/>
  <c r="E1265" i="122"/>
  <c r="E1935" i="122" s="1"/>
  <c r="E2605" i="122" s="1"/>
  <c r="E3275" i="122" s="1"/>
  <c r="E3945" i="122" s="1"/>
  <c r="E4615" i="122" s="1"/>
  <c r="E5285" i="122" s="1"/>
  <c r="E1268" i="122"/>
  <c r="E1938" i="122" s="1"/>
  <c r="E2608" i="122" s="1"/>
  <c r="E3278" i="122" s="1"/>
  <c r="E3948" i="122" s="1"/>
  <c r="E4618" i="122" s="1"/>
  <c r="E5288" i="122" s="1"/>
  <c r="E1278" i="122"/>
  <c r="E1948" i="122" s="1"/>
  <c r="E2618" i="122" s="1"/>
  <c r="E3288" i="122" s="1"/>
  <c r="E3958" i="122" s="1"/>
  <c r="E4628" i="122" s="1"/>
  <c r="E5298" i="122" s="1"/>
  <c r="F1318" i="122"/>
  <c r="N648" i="122"/>
  <c r="I1345" i="122"/>
  <c r="F1992" i="122"/>
  <c r="N1322" i="122"/>
  <c r="H2835" i="122"/>
  <c r="N2835" i="122" s="1"/>
  <c r="F3505" i="122"/>
  <c r="H3289" i="122"/>
  <c r="N3289" i="122" s="1"/>
  <c r="F3959" i="122"/>
  <c r="H2957" i="122"/>
  <c r="N2957" i="122" s="1"/>
  <c r="F3627" i="122"/>
  <c r="F3837" i="122"/>
  <c r="H3167" i="122"/>
  <c r="N3167" i="122" s="1"/>
  <c r="F3426" i="122"/>
  <c r="H2756" i="122"/>
  <c r="N2756" i="122" s="1"/>
  <c r="F3594" i="122"/>
  <c r="H2924" i="122"/>
  <c r="N2924" i="122" s="1"/>
  <c r="F3976" i="122"/>
  <c r="H3306" i="122"/>
  <c r="N3306" i="122" s="1"/>
  <c r="F3488" i="122"/>
  <c r="H2818" i="122"/>
  <c r="N2818" i="122" s="1"/>
  <c r="F3512" i="122"/>
  <c r="H2842" i="122"/>
  <c r="N2842" i="122" s="1"/>
  <c r="F3702" i="122"/>
  <c r="H3032" i="122"/>
  <c r="N3032" i="122" s="1"/>
  <c r="H3148" i="122"/>
  <c r="N3148" i="122" s="1"/>
  <c r="F3818" i="122"/>
  <c r="H2937" i="122"/>
  <c r="N2937" i="122" s="1"/>
  <c r="F3607" i="122"/>
  <c r="F3936" i="122"/>
  <c r="H3266" i="122"/>
  <c r="N3266" i="122" s="1"/>
  <c r="F3902" i="122"/>
  <c r="H3232" i="122"/>
  <c r="N3232" i="122" s="1"/>
  <c r="F3564" i="122"/>
  <c r="H2894" i="122"/>
  <c r="N2894" i="122" s="1"/>
  <c r="F3398" i="122"/>
  <c r="H2728" i="122"/>
  <c r="N2728" i="122" s="1"/>
  <c r="F4547" i="122"/>
  <c r="H3877" i="122"/>
  <c r="N3877" i="122" s="1"/>
  <c r="F4483" i="122"/>
  <c r="H3813" i="122"/>
  <c r="N3813" i="122" s="1"/>
  <c r="F3441" i="122"/>
  <c r="H2771" i="122"/>
  <c r="N2771" i="122" s="1"/>
  <c r="H3275" i="122"/>
  <c r="N3275" i="122" s="1"/>
  <c r="F3945" i="122"/>
  <c r="H2949" i="122"/>
  <c r="N2949" i="122" s="1"/>
  <c r="F3619" i="122"/>
  <c r="H3252" i="122"/>
  <c r="N3252" i="122" s="1"/>
  <c r="F3922" i="122"/>
  <c r="H3106" i="122"/>
  <c r="N3106" i="122" s="1"/>
  <c r="F3776" i="122"/>
  <c r="F3634" i="122"/>
  <c r="H2964" i="122"/>
  <c r="N2964" i="122" s="1"/>
  <c r="F4579" i="122"/>
  <c r="H3909" i="122"/>
  <c r="N3909" i="122" s="1"/>
  <c r="H2763" i="122"/>
  <c r="N2763" i="122" s="1"/>
  <c r="F3433" i="122"/>
  <c r="F3371" i="122"/>
  <c r="H2701" i="122"/>
  <c r="N2701" i="122" s="1"/>
  <c r="F3640" i="122"/>
  <c r="H2970" i="122"/>
  <c r="N2970" i="122" s="1"/>
  <c r="F3717" i="122"/>
  <c r="H3047" i="122"/>
  <c r="N3047" i="122" s="1"/>
  <c r="H2997" i="122"/>
  <c r="N2997" i="122" s="1"/>
  <c r="F3667" i="122"/>
  <c r="H2960" i="122"/>
  <c r="N2960" i="122" s="1"/>
  <c r="F3630" i="122"/>
  <c r="F3390" i="122"/>
  <c r="H2720" i="122"/>
  <c r="N2720" i="122" s="1"/>
  <c r="F3592" i="122"/>
  <c r="H2922" i="122"/>
  <c r="N2922" i="122" s="1"/>
  <c r="H2773" i="122"/>
  <c r="N2773" i="122" s="1"/>
  <c r="F3443" i="122"/>
  <c r="H3200" i="122"/>
  <c r="N3200" i="122" s="1"/>
  <c r="F3870" i="122"/>
  <c r="F3796" i="122"/>
  <c r="H3126" i="122"/>
  <c r="N3126" i="122" s="1"/>
  <c r="H3123" i="122"/>
  <c r="N3123" i="122" s="1"/>
  <c r="F3793" i="122"/>
  <c r="F3762" i="122"/>
  <c r="H3092" i="122"/>
  <c r="N3092" i="122" s="1"/>
  <c r="F3622" i="122"/>
  <c r="H2952" i="122"/>
  <c r="N2952" i="122" s="1"/>
  <c r="F3448" i="122"/>
  <c r="H2778" i="122"/>
  <c r="N2778" i="122" s="1"/>
  <c r="H2901" i="122"/>
  <c r="N2901" i="122" s="1"/>
  <c r="F3571" i="122"/>
  <c r="F3824" i="122"/>
  <c r="H3154" i="122"/>
  <c r="N3154" i="122" s="1"/>
  <c r="F3673" i="122"/>
  <c r="H3003" i="122"/>
  <c r="N3003" i="122" s="1"/>
  <c r="H2719" i="122"/>
  <c r="N2719" i="122" s="1"/>
  <c r="F3389" i="122"/>
  <c r="H3179" i="122"/>
  <c r="N3179" i="122" s="1"/>
  <c r="F3849" i="122"/>
  <c r="H3133" i="122"/>
  <c r="N3133" i="122" s="1"/>
  <c r="F3803" i="122"/>
  <c r="H3119" i="122"/>
  <c r="N3119" i="122" s="1"/>
  <c r="F3789" i="122"/>
  <c r="F3853" i="122"/>
  <c r="H3183" i="122"/>
  <c r="N3183" i="122" s="1"/>
  <c r="F3986" i="122"/>
  <c r="H3316" i="122"/>
  <c r="N3316" i="122" s="1"/>
  <c r="F3828" i="122"/>
  <c r="H3158" i="122"/>
  <c r="N3158" i="122" s="1"/>
  <c r="F3757" i="122"/>
  <c r="H3087" i="122"/>
  <c r="N3087" i="122" s="1"/>
  <c r="F3966" i="122"/>
  <c r="H3296" i="122"/>
  <c r="N3296" i="122" s="1"/>
  <c r="F3500" i="122"/>
  <c r="H2830" i="122"/>
  <c r="N2830" i="122" s="1"/>
  <c r="F4595" i="122"/>
  <c r="H3925" i="122"/>
  <c r="N3925" i="122" s="1"/>
  <c r="F3822" i="122"/>
  <c r="H3152" i="122"/>
  <c r="N3152" i="122" s="1"/>
  <c r="F3618" i="122"/>
  <c r="H2948" i="122"/>
  <c r="N2948" i="122" s="1"/>
  <c r="F3593" i="122"/>
  <c r="H2923" i="122"/>
  <c r="N2923" i="122" s="1"/>
  <c r="H3181" i="122"/>
  <c r="N3181" i="122" s="1"/>
  <c r="F3851" i="122"/>
  <c r="F3628" i="122"/>
  <c r="H2958" i="122"/>
  <c r="N2958" i="122" s="1"/>
  <c r="H2833" i="122"/>
  <c r="N2833" i="122" s="1"/>
  <c r="F3503" i="122"/>
  <c r="F4194" i="122"/>
  <c r="H3524" i="122"/>
  <c r="N3524" i="122" s="1"/>
  <c r="N2671" i="122"/>
  <c r="H2966" i="122"/>
  <c r="N2966" i="122" s="1"/>
  <c r="F3636" i="122"/>
  <c r="F3882" i="122"/>
  <c r="H3212" i="122"/>
  <c r="N3212" i="122" s="1"/>
  <c r="F3656" i="122"/>
  <c r="H2986" i="122"/>
  <c r="N2986" i="122" s="1"/>
  <c r="H2702" i="122"/>
  <c r="N2702" i="122" s="1"/>
  <c r="F3372" i="122"/>
  <c r="H2911" i="122"/>
  <c r="N2911" i="122" s="1"/>
  <c r="F3581" i="122"/>
  <c r="F3501" i="122"/>
  <c r="H2831" i="122"/>
  <c r="N2831" i="122" s="1"/>
  <c r="F3915" i="122"/>
  <c r="H3245" i="122"/>
  <c r="N3245" i="122" s="1"/>
  <c r="F3538" i="122"/>
  <c r="H2868" i="122"/>
  <c r="N2868" i="122" s="1"/>
  <c r="F3993" i="122"/>
  <c r="F3616" i="122"/>
  <c r="H2946" i="122"/>
  <c r="N2946" i="122" s="1"/>
  <c r="H2713" i="122"/>
  <c r="N2713" i="122" s="1"/>
  <c r="F3383" i="122"/>
  <c r="F3617" i="122"/>
  <c r="H2947" i="122"/>
  <c r="N2947" i="122" s="1"/>
  <c r="F3633" i="122"/>
  <c r="H2963" i="122"/>
  <c r="N2963" i="122" s="1"/>
  <c r="H3253" i="122"/>
  <c r="N3253" i="122" s="1"/>
  <c r="F3923" i="122"/>
  <c r="F3878" i="122"/>
  <c r="H3208" i="122"/>
  <c r="N3208" i="122" s="1"/>
  <c r="F3754" i="122"/>
  <c r="H3084" i="122"/>
  <c r="N3084" i="122" s="1"/>
  <c r="F3691" i="122"/>
  <c r="H3021" i="122"/>
  <c r="N3021" i="122" s="1"/>
  <c r="F3725" i="122"/>
  <c r="H3055" i="122"/>
  <c r="N3055" i="122" s="1"/>
  <c r="F3908" i="122"/>
  <c r="H3238" i="122"/>
  <c r="N3238" i="122" s="1"/>
  <c r="F3773" i="122"/>
  <c r="H3103" i="122"/>
  <c r="N3103" i="122" s="1"/>
  <c r="H3039" i="122"/>
  <c r="N3039" i="122" s="1"/>
  <c r="F3709" i="122"/>
  <c r="H2774" i="122"/>
  <c r="N2774" i="122" s="1"/>
  <c r="F3444" i="122"/>
  <c r="F3722" i="122"/>
  <c r="H3052" i="122"/>
  <c r="N3052" i="122" s="1"/>
  <c r="F3483" i="122"/>
  <c r="H2813" i="122"/>
  <c r="N2813" i="122" s="1"/>
  <c r="E1046" i="122"/>
  <c r="E1716" i="122" s="1"/>
  <c r="E2386" i="122" s="1"/>
  <c r="E3056" i="122" s="1"/>
  <c r="E3726" i="122" s="1"/>
  <c r="E4396" i="122" s="1"/>
  <c r="E5066" i="122" s="1"/>
  <c r="E1070" i="122"/>
  <c r="E1740" i="122" s="1"/>
  <c r="E2410" i="122" s="1"/>
  <c r="E3080" i="122" s="1"/>
  <c r="E3750" i="122" s="1"/>
  <c r="E4420" i="122" s="1"/>
  <c r="E5090" i="122" s="1"/>
  <c r="E1094" i="122"/>
  <c r="E1764" i="122" s="1"/>
  <c r="E2434" i="122" s="1"/>
  <c r="E3104" i="122" s="1"/>
  <c r="E3774" i="122" s="1"/>
  <c r="E4444" i="122" s="1"/>
  <c r="E5114" i="122" s="1"/>
  <c r="E1112" i="122"/>
  <c r="E1782" i="122" s="1"/>
  <c r="E2452" i="122" s="1"/>
  <c r="E3122" i="122" s="1"/>
  <c r="E3792" i="122" s="1"/>
  <c r="E4462" i="122" s="1"/>
  <c r="E5132" i="122" s="1"/>
  <c r="E1164" i="122"/>
  <c r="E1834" i="122" s="1"/>
  <c r="E2504" i="122" s="1"/>
  <c r="E3174" i="122" s="1"/>
  <c r="E3844" i="122" s="1"/>
  <c r="E4514" i="122" s="1"/>
  <c r="E5184" i="122" s="1"/>
  <c r="E1223" i="122"/>
  <c r="E1893" i="122" s="1"/>
  <c r="E2563" i="122" s="1"/>
  <c r="E3233" i="122" s="1"/>
  <c r="E3903" i="122" s="1"/>
  <c r="E4573" i="122" s="1"/>
  <c r="E5243" i="122" s="1"/>
  <c r="G2665" i="122"/>
  <c r="N1995" i="122"/>
  <c r="H3131" i="122"/>
  <c r="N3131" i="122" s="1"/>
  <c r="F3801" i="122"/>
  <c r="F3361" i="122"/>
  <c r="H2691" i="122"/>
  <c r="N2691" i="122" s="1"/>
  <c r="H3278" i="122"/>
  <c r="N3278" i="122" s="1"/>
  <c r="F3948" i="122"/>
  <c r="F3553" i="122"/>
  <c r="H2883" i="122"/>
  <c r="N2883" i="122" s="1"/>
  <c r="F3655" i="122"/>
  <c r="H2985" i="122"/>
  <c r="N2985" i="122" s="1"/>
  <c r="H3281" i="122"/>
  <c r="N3281" i="122" s="1"/>
  <c r="F3951" i="122"/>
  <c r="F3778" i="122"/>
  <c r="H3108" i="122"/>
  <c r="N3108" i="122" s="1"/>
  <c r="H3083" i="122"/>
  <c r="N3083" i="122" s="1"/>
  <c r="F3753" i="122"/>
  <c r="F3661" i="122"/>
  <c r="H2991" i="122"/>
  <c r="N2991" i="122" s="1"/>
  <c r="F3529" i="122"/>
  <c r="H2859" i="122"/>
  <c r="N2859" i="122" s="1"/>
  <c r="F3463" i="122"/>
  <c r="H2793" i="122"/>
  <c r="N2793" i="122" s="1"/>
  <c r="F3598" i="122"/>
  <c r="H2928" i="122"/>
  <c r="N2928" i="122" s="1"/>
  <c r="F3613" i="122"/>
  <c r="H2943" i="122"/>
  <c r="N2943" i="122" s="1"/>
  <c r="F3406" i="122"/>
  <c r="H2736" i="122"/>
  <c r="N2736" i="122" s="1"/>
  <c r="H3198" i="122"/>
  <c r="N3198" i="122" s="1"/>
  <c r="F3868" i="122"/>
  <c r="F3446" i="122"/>
  <c r="H2776" i="122"/>
  <c r="N2776" i="122" s="1"/>
  <c r="H3217" i="122"/>
  <c r="N3217" i="122" s="1"/>
  <c r="F3887" i="122"/>
  <c r="F3924" i="122"/>
  <c r="H3254" i="122"/>
  <c r="N3254" i="122" s="1"/>
  <c r="F3516" i="122"/>
  <c r="H2846" i="122"/>
  <c r="N2846" i="122" s="1"/>
  <c r="H2801" i="122"/>
  <c r="N2801" i="122" s="1"/>
  <c r="F3471" i="122"/>
  <c r="F3440" i="122"/>
  <c r="H2770" i="122"/>
  <c r="N2770" i="122" s="1"/>
  <c r="F3817" i="122"/>
  <c r="H3147" i="122"/>
  <c r="N3147" i="122" s="1"/>
  <c r="F3652" i="122"/>
  <c r="H2982" i="122"/>
  <c r="N2982" i="122" s="1"/>
  <c r="H2926" i="122"/>
  <c r="N2926" i="122" s="1"/>
  <c r="F3596" i="122"/>
  <c r="F3366" i="122"/>
  <c r="H2696" i="122"/>
  <c r="N2696" i="122" s="1"/>
  <c r="F3625" i="122"/>
  <c r="H2955" i="122"/>
  <c r="N2955" i="122" s="1"/>
  <c r="F3744" i="122"/>
  <c r="H3074" i="122"/>
  <c r="N3074" i="122" s="1"/>
  <c r="F4499" i="122"/>
  <c r="H3829" i="122"/>
  <c r="N3829" i="122" s="1"/>
  <c r="F3700" i="122"/>
  <c r="H3030" i="122"/>
  <c r="N3030" i="122" s="1"/>
  <c r="F3514" i="122"/>
  <c r="H2844" i="122"/>
  <c r="N2844" i="122" s="1"/>
  <c r="F3430" i="122"/>
  <c r="H2760" i="122"/>
  <c r="N2760" i="122" s="1"/>
  <c r="H3291" i="122"/>
  <c r="N3291" i="122" s="1"/>
  <c r="F3961" i="122"/>
  <c r="F3827" i="122"/>
  <c r="H3157" i="122"/>
  <c r="N3157" i="122" s="1"/>
  <c r="F3561" i="122"/>
  <c r="H2891" i="122"/>
  <c r="N2891" i="122" s="1"/>
  <c r="F3560" i="122"/>
  <c r="H2890" i="122"/>
  <c r="N2890" i="122" s="1"/>
  <c r="H2798" i="122"/>
  <c r="N2798" i="122" s="1"/>
  <c r="F3468" i="122"/>
  <c r="F4017" i="122"/>
  <c r="H3347" i="122"/>
  <c r="N3347" i="122" s="1"/>
  <c r="H3259" i="122"/>
  <c r="N3259" i="122" s="1"/>
  <c r="F3929" i="122"/>
  <c r="H2735" i="122"/>
  <c r="N2735" i="122" s="1"/>
  <c r="F3405" i="122"/>
  <c r="E1027" i="122"/>
  <c r="E1697" i="122" s="1"/>
  <c r="E2367" i="122" s="1"/>
  <c r="E3037" i="122" s="1"/>
  <c r="E3707" i="122" s="1"/>
  <c r="E4377" i="122" s="1"/>
  <c r="E5047" i="122" s="1"/>
  <c r="E1055" i="122"/>
  <c r="E1725" i="122" s="1"/>
  <c r="E2395" i="122" s="1"/>
  <c r="E3065" i="122" s="1"/>
  <c r="E3735" i="122" s="1"/>
  <c r="E4405" i="122" s="1"/>
  <c r="E5075" i="122" s="1"/>
  <c r="E1091" i="122"/>
  <c r="E1761" i="122" s="1"/>
  <c r="E2431" i="122" s="1"/>
  <c r="E3101" i="122" s="1"/>
  <c r="E3771" i="122" s="1"/>
  <c r="E4441" i="122" s="1"/>
  <c r="E5111" i="122" s="1"/>
  <c r="E1129" i="122"/>
  <c r="E1799" i="122" s="1"/>
  <c r="E2469" i="122" s="1"/>
  <c r="E3139" i="122" s="1"/>
  <c r="E3809" i="122" s="1"/>
  <c r="E4479" i="122" s="1"/>
  <c r="E5149" i="122" s="1"/>
  <c r="E1140" i="122"/>
  <c r="E1810" i="122" s="1"/>
  <c r="E2480" i="122" s="1"/>
  <c r="E3150" i="122" s="1"/>
  <c r="E3820" i="122" s="1"/>
  <c r="E4490" i="122" s="1"/>
  <c r="E5160" i="122" s="1"/>
  <c r="E1212" i="122"/>
  <c r="E1882" i="122" s="1"/>
  <c r="E2552" i="122" s="1"/>
  <c r="E3222" i="122" s="1"/>
  <c r="E3892" i="122" s="1"/>
  <c r="E4562" i="122" s="1"/>
  <c r="E5232" i="122" s="1"/>
  <c r="E1078" i="122"/>
  <c r="E1748" i="122" s="1"/>
  <c r="E2418" i="122" s="1"/>
  <c r="E3088" i="122" s="1"/>
  <c r="E3758" i="122" s="1"/>
  <c r="E4428" i="122" s="1"/>
  <c r="E5098" i="122" s="1"/>
  <c r="E1024" i="122"/>
  <c r="E1694" i="122" s="1"/>
  <c r="E2364" i="122" s="1"/>
  <c r="E3034" i="122" s="1"/>
  <c r="E3704" i="122" s="1"/>
  <c r="E4374" i="122" s="1"/>
  <c r="E5044" i="122" s="1"/>
  <c r="E1040" i="122"/>
  <c r="E1710" i="122" s="1"/>
  <c r="E2380" i="122" s="1"/>
  <c r="E3050" i="122" s="1"/>
  <c r="E3720" i="122" s="1"/>
  <c r="E4390" i="122" s="1"/>
  <c r="E5060" i="122" s="1"/>
  <c r="E1060" i="122"/>
  <c r="E1730" i="122" s="1"/>
  <c r="E2400" i="122" s="1"/>
  <c r="E3070" i="122" s="1"/>
  <c r="E3740" i="122" s="1"/>
  <c r="E4410" i="122" s="1"/>
  <c r="E5080" i="122" s="1"/>
  <c r="E1064" i="122"/>
  <c r="E1734" i="122" s="1"/>
  <c r="E2404" i="122" s="1"/>
  <c r="E3074" i="122" s="1"/>
  <c r="E3744" i="122" s="1"/>
  <c r="E4414" i="122" s="1"/>
  <c r="E5084" i="122" s="1"/>
  <c r="E1072" i="122"/>
  <c r="E1742" i="122" s="1"/>
  <c r="E2412" i="122" s="1"/>
  <c r="E3082" i="122" s="1"/>
  <c r="E3752" i="122" s="1"/>
  <c r="E4422" i="122" s="1"/>
  <c r="E5092" i="122" s="1"/>
  <c r="E1082" i="122"/>
  <c r="E1752" i="122" s="1"/>
  <c r="E2422" i="122" s="1"/>
  <c r="E3092" i="122" s="1"/>
  <c r="E3762" i="122" s="1"/>
  <c r="E4432" i="122" s="1"/>
  <c r="E5102" i="122" s="1"/>
  <c r="E1085" i="122"/>
  <c r="E1755" i="122" s="1"/>
  <c r="E2425" i="122" s="1"/>
  <c r="E3095" i="122" s="1"/>
  <c r="E3765" i="122" s="1"/>
  <c r="E4435" i="122" s="1"/>
  <c r="E5105" i="122" s="1"/>
  <c r="E1096" i="122"/>
  <c r="E1766" i="122" s="1"/>
  <c r="E2436" i="122" s="1"/>
  <c r="E3106" i="122" s="1"/>
  <c r="E3776" i="122" s="1"/>
  <c r="E4446" i="122" s="1"/>
  <c r="E5116" i="122" s="1"/>
  <c r="E1106" i="122"/>
  <c r="E1776" i="122" s="1"/>
  <c r="E2446" i="122" s="1"/>
  <c r="E3116" i="122" s="1"/>
  <c r="E3786" i="122" s="1"/>
  <c r="E4456" i="122" s="1"/>
  <c r="E5126" i="122" s="1"/>
  <c r="E1110" i="122"/>
  <c r="E1780" i="122" s="1"/>
  <c r="E2450" i="122" s="1"/>
  <c r="E3120" i="122" s="1"/>
  <c r="E3790" i="122" s="1"/>
  <c r="E4460" i="122" s="1"/>
  <c r="E5130" i="122" s="1"/>
  <c r="E1114" i="122"/>
  <c r="E1784" i="122" s="1"/>
  <c r="E2454" i="122" s="1"/>
  <c r="E3124" i="122" s="1"/>
  <c r="E3794" i="122" s="1"/>
  <c r="E4464" i="122" s="1"/>
  <c r="E5134" i="122" s="1"/>
  <c r="E1118" i="122"/>
  <c r="E1788" i="122" s="1"/>
  <c r="E2458" i="122" s="1"/>
  <c r="E3128" i="122" s="1"/>
  <c r="E3798" i="122" s="1"/>
  <c r="E4468" i="122" s="1"/>
  <c r="E5138" i="122" s="1"/>
  <c r="E1122" i="122"/>
  <c r="E1792" i="122" s="1"/>
  <c r="E2462" i="122" s="1"/>
  <c r="E3132" i="122" s="1"/>
  <c r="E3802" i="122" s="1"/>
  <c r="E4472" i="122" s="1"/>
  <c r="E5142" i="122" s="1"/>
  <c r="E1130" i="122"/>
  <c r="E1800" i="122" s="1"/>
  <c r="E2470" i="122" s="1"/>
  <c r="E3140" i="122" s="1"/>
  <c r="E3810" i="122" s="1"/>
  <c r="E4480" i="122" s="1"/>
  <c r="E5150" i="122" s="1"/>
  <c r="E1133" i="122"/>
  <c r="E1803" i="122" s="1"/>
  <c r="E2473" i="122" s="1"/>
  <c r="E3143" i="122" s="1"/>
  <c r="E3813" i="122" s="1"/>
  <c r="E4483" i="122" s="1"/>
  <c r="E5153" i="122" s="1"/>
  <c r="E1137" i="122"/>
  <c r="E1807" i="122" s="1"/>
  <c r="E2477" i="122" s="1"/>
  <c r="E3147" i="122" s="1"/>
  <c r="E3817" i="122" s="1"/>
  <c r="E4487" i="122" s="1"/>
  <c r="E5157" i="122" s="1"/>
  <c r="E1171" i="122"/>
  <c r="E1841" i="122" s="1"/>
  <c r="E2511" i="122" s="1"/>
  <c r="E3181" i="122" s="1"/>
  <c r="E3851" i="122" s="1"/>
  <c r="E4521" i="122" s="1"/>
  <c r="E5191" i="122" s="1"/>
  <c r="E1181" i="122"/>
  <c r="E1851" i="122" s="1"/>
  <c r="E2521" i="122" s="1"/>
  <c r="E3191" i="122" s="1"/>
  <c r="E3861" i="122" s="1"/>
  <c r="E4531" i="122" s="1"/>
  <c r="E5201" i="122" s="1"/>
  <c r="E1209" i="122"/>
  <c r="E1879" i="122" s="1"/>
  <c r="E2549" i="122" s="1"/>
  <c r="E3219" i="122" s="1"/>
  <c r="E3889" i="122" s="1"/>
  <c r="E4559" i="122" s="1"/>
  <c r="E5229" i="122" s="1"/>
  <c r="E1213" i="122"/>
  <c r="E1883" i="122" s="1"/>
  <c r="E2553" i="122" s="1"/>
  <c r="E3223" i="122" s="1"/>
  <c r="E3893" i="122" s="1"/>
  <c r="E4563" i="122" s="1"/>
  <c r="E5233" i="122" s="1"/>
  <c r="E1217" i="122"/>
  <c r="E1887" i="122" s="1"/>
  <c r="E2557" i="122" s="1"/>
  <c r="E3227" i="122" s="1"/>
  <c r="E3897" i="122" s="1"/>
  <c r="E4567" i="122" s="1"/>
  <c r="E5237" i="122" s="1"/>
  <c r="E1221" i="122"/>
  <c r="E1891" i="122" s="1"/>
  <c r="E2561" i="122" s="1"/>
  <c r="E3231" i="122" s="1"/>
  <c r="E3901" i="122" s="1"/>
  <c r="E4571" i="122" s="1"/>
  <c r="E5241" i="122" s="1"/>
  <c r="E1241" i="122"/>
  <c r="E1911" i="122" s="1"/>
  <c r="E2581" i="122" s="1"/>
  <c r="E3251" i="122" s="1"/>
  <c r="E3921" i="122" s="1"/>
  <c r="E4591" i="122" s="1"/>
  <c r="E5261" i="122" s="1"/>
  <c r="E1245" i="122"/>
  <c r="E1915" i="122" s="1"/>
  <c r="E2585" i="122" s="1"/>
  <c r="E3255" i="122" s="1"/>
  <c r="E3925" i="122" s="1"/>
  <c r="E4595" i="122" s="1"/>
  <c r="E5265" i="122" s="1"/>
  <c r="E1249" i="122"/>
  <c r="E1919" i="122" s="1"/>
  <c r="E2589" i="122" s="1"/>
  <c r="E3259" i="122" s="1"/>
  <c r="E3929" i="122" s="1"/>
  <c r="E4599" i="122" s="1"/>
  <c r="E5269" i="122" s="1"/>
  <c r="E1253" i="122"/>
  <c r="E1923" i="122" s="1"/>
  <c r="E2593" i="122" s="1"/>
  <c r="E3263" i="122" s="1"/>
  <c r="E3933" i="122" s="1"/>
  <c r="E4603" i="122" s="1"/>
  <c r="E5273" i="122" s="1"/>
  <c r="E1260" i="122"/>
  <c r="E1930" i="122" s="1"/>
  <c r="E2600" i="122" s="1"/>
  <c r="E3270" i="122" s="1"/>
  <c r="E3940" i="122" s="1"/>
  <c r="E4610" i="122" s="1"/>
  <c r="E5280" i="122" s="1"/>
  <c r="E1271" i="122"/>
  <c r="E1941" i="122" s="1"/>
  <c r="E2611" i="122" s="1"/>
  <c r="E3281" i="122" s="1"/>
  <c r="E3951" i="122" s="1"/>
  <c r="E4621" i="122" s="1"/>
  <c r="E5291" i="122" s="1"/>
  <c r="E1283" i="122"/>
  <c r="E1953" i="122" s="1"/>
  <c r="E2623" i="122" s="1"/>
  <c r="E3293" i="122" s="1"/>
  <c r="E3963" i="122" s="1"/>
  <c r="E4633" i="122" s="1"/>
  <c r="E5303" i="122" s="1"/>
  <c r="F1314" i="122"/>
  <c r="N644" i="122"/>
  <c r="F1993" i="122"/>
  <c r="N1323" i="122"/>
  <c r="F3338" i="122"/>
  <c r="H3125" i="122"/>
  <c r="N3125" i="122" s="1"/>
  <c r="F3795" i="122"/>
  <c r="F3699" i="122"/>
  <c r="H3029" i="122"/>
  <c r="N3029" i="122" s="1"/>
  <c r="F3759" i="122"/>
  <c r="H3089" i="122"/>
  <c r="N3089" i="122" s="1"/>
  <c r="F3864" i="122"/>
  <c r="H3194" i="122"/>
  <c r="N3194" i="122" s="1"/>
  <c r="F3855" i="122"/>
  <c r="H3185" i="122"/>
  <c r="N3185" i="122" s="1"/>
  <c r="H2921" i="122"/>
  <c r="N2921" i="122" s="1"/>
  <c r="F3591" i="122"/>
  <c r="F3697" i="122"/>
  <c r="H3027" i="122"/>
  <c r="N3027" i="122" s="1"/>
  <c r="F3457" i="122"/>
  <c r="H2787" i="122"/>
  <c r="N2787" i="122" s="1"/>
  <c r="F3747" i="122"/>
  <c r="H3077" i="122"/>
  <c r="N3077" i="122" s="1"/>
  <c r="H3130" i="122"/>
  <c r="N3130" i="122" s="1"/>
  <c r="F3800" i="122"/>
  <c r="H3277" i="122"/>
  <c r="N3277" i="122" s="1"/>
  <c r="F3947" i="122"/>
  <c r="F3376" i="122"/>
  <c r="H2706" i="122"/>
  <c r="N2706" i="122" s="1"/>
  <c r="F3520" i="122"/>
  <c r="H2850" i="122"/>
  <c r="N2850" i="122" s="1"/>
  <c r="F3814" i="122"/>
  <c r="H3144" i="122"/>
  <c r="N3144" i="122" s="1"/>
  <c r="H2769" i="122"/>
  <c r="N2769" i="122" s="1"/>
  <c r="F3439" i="122"/>
  <c r="F3603" i="122"/>
  <c r="H2933" i="122"/>
  <c r="N2933" i="122" s="1"/>
  <c r="F3599" i="122"/>
  <c r="H2929" i="122"/>
  <c r="N2929" i="122" s="1"/>
  <c r="H2857" i="122"/>
  <c r="N2857" i="122" s="1"/>
  <c r="F3527" i="122"/>
  <c r="H2852" i="122"/>
  <c r="N2852" i="122" s="1"/>
  <c r="F3522" i="122"/>
  <c r="F3370" i="122"/>
  <c r="H2700" i="122"/>
  <c r="N2700" i="122" s="1"/>
  <c r="H2942" i="122"/>
  <c r="N2942" i="122" s="1"/>
  <c r="F3612" i="122"/>
  <c r="F3646" i="122"/>
  <c r="H2976" i="122"/>
  <c r="N2976" i="122" s="1"/>
  <c r="H3279" i="122"/>
  <c r="N3279" i="122" s="1"/>
  <c r="F3949" i="122"/>
  <c r="H3250" i="122"/>
  <c r="N3250" i="122" s="1"/>
  <c r="F3920" i="122"/>
  <c r="F3956" i="122"/>
  <c r="H3286" i="122"/>
  <c r="N3286" i="122" s="1"/>
  <c r="F3639" i="122"/>
  <c r="H2969" i="122"/>
  <c r="N2969" i="122" s="1"/>
  <c r="H3218" i="122"/>
  <c r="N3218" i="122" s="1"/>
  <c r="F3888" i="122"/>
  <c r="F3769" i="122"/>
  <c r="H3099" i="122"/>
  <c r="N3099" i="122" s="1"/>
  <c r="F3825" i="122"/>
  <c r="H3155" i="122"/>
  <c r="N3155" i="122" s="1"/>
  <c r="F3369" i="122"/>
  <c r="H2699" i="122"/>
  <c r="N2699" i="122" s="1"/>
  <c r="F3486" i="122"/>
  <c r="H2816" i="122"/>
  <c r="N2816" i="122" s="1"/>
  <c r="F3889" i="122"/>
  <c r="H3219" i="122"/>
  <c r="N3219" i="122" s="1"/>
  <c r="F3693" i="122"/>
  <c r="H3023" i="122"/>
  <c r="N3023" i="122" s="1"/>
  <c r="H3354" i="122"/>
  <c r="N3354" i="122" s="1"/>
  <c r="F4024" i="122"/>
  <c r="H2786" i="122"/>
  <c r="N2786" i="122" s="1"/>
  <c r="F3456" i="122"/>
  <c r="F3422" i="122"/>
  <c r="H2752" i="122"/>
  <c r="N2752" i="122" s="1"/>
  <c r="H2981" i="122"/>
  <c r="N2981" i="122" s="1"/>
  <c r="F3651" i="122"/>
  <c r="H2731" i="122"/>
  <c r="N2731" i="122" s="1"/>
  <c r="F3401" i="122"/>
  <c r="F3373" i="122"/>
  <c r="H2703" i="122"/>
  <c r="N2703" i="122" s="1"/>
  <c r="F3499" i="122"/>
  <c r="H2829" i="122"/>
  <c r="N2829" i="122" s="1"/>
  <c r="F3695" i="122"/>
  <c r="H3025" i="122"/>
  <c r="N3025" i="122" s="1"/>
  <c r="F3615" i="122"/>
  <c r="H2945" i="122"/>
  <c r="N2945" i="122" s="1"/>
  <c r="F3645" i="122"/>
  <c r="H2975" i="122"/>
  <c r="N2975" i="122" s="1"/>
  <c r="H2694" i="122"/>
  <c r="N2694" i="122" s="1"/>
  <c r="F3364" i="122"/>
  <c r="H3104" i="122"/>
  <c r="N3104" i="122" s="1"/>
  <c r="F3774" i="122"/>
  <c r="F3960" i="122"/>
  <c r="H3290" i="122"/>
  <c r="N3290" i="122" s="1"/>
  <c r="F3539" i="122"/>
  <c r="H2869" i="122"/>
  <c r="N2869" i="122" s="1"/>
  <c r="F3437" i="122"/>
  <c r="H2767" i="122"/>
  <c r="N2767" i="122" s="1"/>
  <c r="F3526" i="122"/>
  <c r="H2856" i="122"/>
  <c r="N2856" i="122" s="1"/>
  <c r="F3577" i="122"/>
  <c r="H2907" i="122"/>
  <c r="N2907" i="122" s="1"/>
  <c r="F3428" i="122"/>
  <c r="H2758" i="122"/>
  <c r="N2758" i="122" s="1"/>
  <c r="F3708" i="122"/>
  <c r="H3038" i="122"/>
  <c r="N3038" i="122" s="1"/>
  <c r="F3969" i="122"/>
  <c r="H3299" i="122"/>
  <c r="N3299" i="122" s="1"/>
  <c r="H3162" i="122"/>
  <c r="N3162" i="122" s="1"/>
  <c r="F3832" i="122"/>
  <c r="H3059" i="122"/>
  <c r="N3059" i="122" s="1"/>
  <c r="F3729" i="122"/>
  <c r="F3716" i="122"/>
  <c r="H3046" i="122"/>
  <c r="N3046" i="122" s="1"/>
  <c r="F3838" i="122"/>
  <c r="H3168" i="122"/>
  <c r="N3168" i="122" s="1"/>
  <c r="F3738" i="122"/>
  <c r="H3068" i="122"/>
  <c r="N3068" i="122" s="1"/>
  <c r="F3743" i="122"/>
  <c r="H3073" i="122"/>
  <c r="N3073" i="122" s="1"/>
  <c r="F3758" i="122"/>
  <c r="H3088" i="122"/>
  <c r="N3088" i="122" s="1"/>
  <c r="F3605" i="122"/>
  <c r="H2935" i="122"/>
  <c r="N2935" i="122" s="1"/>
  <c r="H2817" i="122"/>
  <c r="N2817" i="122" s="1"/>
  <c r="F3487" i="122"/>
  <c r="H3195" i="122"/>
  <c r="N3195" i="122" s="1"/>
  <c r="F3865" i="122"/>
  <c r="F3914" i="122"/>
  <c r="H3244" i="122"/>
  <c r="N3244" i="122" s="1"/>
  <c r="F3831" i="122"/>
  <c r="H3161" i="122"/>
  <c r="N3161" i="122" s="1"/>
  <c r="F3380" i="122"/>
  <c r="H2710" i="122"/>
  <c r="N2710" i="122" s="1"/>
  <c r="F3802" i="122"/>
  <c r="H3132" i="122"/>
  <c r="N3132" i="122" s="1"/>
  <c r="H3292" i="122"/>
  <c r="N3292" i="122" s="1"/>
  <c r="F3962" i="122"/>
  <c r="H2906" i="122"/>
  <c r="N2906" i="122" s="1"/>
  <c r="F3576" i="122"/>
  <c r="F3662" i="122"/>
  <c r="H2992" i="122"/>
  <c r="N2992" i="122" s="1"/>
  <c r="F3748" i="122"/>
  <c r="H3078" i="122"/>
  <c r="N3078" i="122" s="1"/>
  <c r="F3365" i="122"/>
  <c r="H2695" i="122"/>
  <c r="N2695" i="122" s="1"/>
  <c r="F3760" i="122"/>
  <c r="H3090" i="122"/>
  <c r="N3090" i="122" s="1"/>
  <c r="F3732" i="122"/>
  <c r="H3062" i="122"/>
  <c r="N3062" i="122" s="1"/>
  <c r="F3937" i="122"/>
  <c r="H3267" i="122"/>
  <c r="N3267" i="122" s="1"/>
  <c r="F3650" i="122"/>
  <c r="H2980" i="122"/>
  <c r="N2980" i="122" s="1"/>
  <c r="F3404" i="122"/>
  <c r="H2734" i="122"/>
  <c r="N2734" i="122" s="1"/>
  <c r="F3574" i="122"/>
  <c r="H2904" i="122"/>
  <c r="N2904" i="122" s="1"/>
  <c r="F4675" i="122"/>
  <c r="H2682" i="122"/>
  <c r="N2682" i="122" s="1"/>
  <c r="F3677" i="122"/>
  <c r="H3007" i="122"/>
  <c r="N3007" i="122" s="1"/>
  <c r="F3931" i="122"/>
  <c r="H3261" i="122"/>
  <c r="N3261" i="122" s="1"/>
  <c r="E1026" i="122"/>
  <c r="E1696" i="122" s="1"/>
  <c r="E2366" i="122" s="1"/>
  <c r="E3036" i="122" s="1"/>
  <c r="E3706" i="122" s="1"/>
  <c r="E4376" i="122" s="1"/>
  <c r="E5046" i="122" s="1"/>
  <c r="E1062" i="122"/>
  <c r="E1732" i="122" s="1"/>
  <c r="E2402" i="122" s="1"/>
  <c r="E3072" i="122" s="1"/>
  <c r="E3742" i="122" s="1"/>
  <c r="E4412" i="122" s="1"/>
  <c r="E5082" i="122" s="1"/>
  <c r="E1104" i="122"/>
  <c r="E1774" i="122" s="1"/>
  <c r="E2444" i="122" s="1"/>
  <c r="E3114" i="122" s="1"/>
  <c r="E3784" i="122" s="1"/>
  <c r="E4454" i="122" s="1"/>
  <c r="E5124" i="122" s="1"/>
  <c r="E1169" i="122"/>
  <c r="E1839" i="122" s="1"/>
  <c r="E2509" i="122" s="1"/>
  <c r="E3179" i="122" s="1"/>
  <c r="E3849" i="122" s="1"/>
  <c r="E4519" i="122" s="1"/>
  <c r="E5189" i="122" s="1"/>
  <c r="E1247" i="122"/>
  <c r="E1917" i="122" s="1"/>
  <c r="E2587" i="122" s="1"/>
  <c r="E3257" i="122" s="1"/>
  <c r="E3927" i="122" s="1"/>
  <c r="E4597" i="122" s="1"/>
  <c r="E5267" i="122" s="1"/>
  <c r="F3775" i="122"/>
  <c r="H3105" i="122"/>
  <c r="N3105" i="122" s="1"/>
  <c r="F3654" i="122"/>
  <c r="H2984" i="122"/>
  <c r="N2984" i="122" s="1"/>
  <c r="F3674" i="122"/>
  <c r="H3004" i="122"/>
  <c r="N3004" i="122" s="1"/>
  <c r="F3736" i="122"/>
  <c r="H3066" i="122"/>
  <c r="N3066" i="122" s="1"/>
  <c r="F3484" i="122"/>
  <c r="H2814" i="122"/>
  <c r="N2814" i="122" s="1"/>
  <c r="H2759" i="122"/>
  <c r="N2759" i="122" s="1"/>
  <c r="F3429" i="122"/>
  <c r="H3346" i="122"/>
  <c r="N3346" i="122" s="1"/>
  <c r="F4016" i="122"/>
  <c r="F3476" i="122"/>
  <c r="H2806" i="122"/>
  <c r="N2806" i="122" s="1"/>
  <c r="H3086" i="122"/>
  <c r="N3086" i="122" s="1"/>
  <c r="F3756" i="122"/>
  <c r="F3435" i="122"/>
  <c r="H2765" i="122"/>
  <c r="N2765" i="122" s="1"/>
  <c r="F3465" i="122"/>
  <c r="H2795" i="122"/>
  <c r="N2795" i="122" s="1"/>
  <c r="F3694" i="122"/>
  <c r="H3024" i="122"/>
  <c r="N3024" i="122" s="1"/>
  <c r="F3542" i="122"/>
  <c r="H2872" i="122"/>
  <c r="N2872" i="122" s="1"/>
  <c r="H3172" i="122"/>
  <c r="N3172" i="122" s="1"/>
  <c r="F3842" i="122"/>
  <c r="F3964" i="122"/>
  <c r="H3294" i="122"/>
  <c r="N3294" i="122" s="1"/>
  <c r="H3190" i="122"/>
  <c r="N3190" i="122" s="1"/>
  <c r="F3860" i="122"/>
  <c r="H3492" i="122"/>
  <c r="N3492" i="122" s="1"/>
  <c r="F4162" i="122"/>
  <c r="H3213" i="122"/>
  <c r="N3213" i="122" s="1"/>
  <c r="F3883" i="122"/>
  <c r="F3585" i="122"/>
  <c r="H2915" i="122"/>
  <c r="N2915" i="122" s="1"/>
  <c r="F3919" i="122"/>
  <c r="H3249" i="122"/>
  <c r="N3249" i="122" s="1"/>
  <c r="F3890" i="122"/>
  <c r="H3220" i="122"/>
  <c r="N3220" i="122" s="1"/>
  <c r="F3741" i="122"/>
  <c r="H3071" i="122"/>
  <c r="N3071" i="122" s="1"/>
  <c r="F3624" i="122"/>
  <c r="H2954" i="122"/>
  <c r="N2954" i="122" s="1"/>
  <c r="H2959" i="122"/>
  <c r="N2959" i="122" s="1"/>
  <c r="F3629" i="122"/>
  <c r="F3768" i="122"/>
  <c r="H3098" i="122"/>
  <c r="N3098" i="122" s="1"/>
  <c r="F3595" i="122"/>
  <c r="H2925" i="122"/>
  <c r="N2925" i="122" s="1"/>
  <c r="H3893" i="122"/>
  <c r="N3893" i="122" s="1"/>
  <c r="F4563" i="122"/>
  <c r="H2930" i="122"/>
  <c r="N2930" i="122" s="1"/>
  <c r="F3600" i="122"/>
  <c r="F3895" i="122"/>
  <c r="H3225" i="122"/>
  <c r="N3225" i="122" s="1"/>
  <c r="H2996" i="122"/>
  <c r="H2803" i="122"/>
  <c r="N2803" i="122" s="1"/>
  <c r="F3473" i="122"/>
  <c r="F3811" i="122"/>
  <c r="H3141" i="122"/>
  <c r="N3141" i="122" s="1"/>
  <c r="F3932" i="122"/>
  <c r="H3262" i="122"/>
  <c r="N3262" i="122" s="1"/>
  <c r="F3740" i="122"/>
  <c r="H3070" i="122"/>
  <c r="N3070" i="122" s="1"/>
  <c r="H3230" i="122"/>
  <c r="N3230" i="122" s="1"/>
  <c r="F3900" i="122"/>
  <c r="H3072" i="122"/>
  <c r="N3072" i="122" s="1"/>
  <c r="F3742" i="122"/>
  <c r="F3552" i="122"/>
  <c r="H2882" i="122"/>
  <c r="N2882" i="122" s="1"/>
  <c r="F3399" i="122"/>
  <c r="H2729" i="122"/>
  <c r="N2729" i="122" s="1"/>
  <c r="H3192" i="122"/>
  <c r="N3192" i="122" s="1"/>
  <c r="F3862" i="122"/>
  <c r="F3647" i="122"/>
  <c r="H2977" i="122"/>
  <c r="N2977" i="122" s="1"/>
  <c r="F3679" i="122"/>
  <c r="H3009" i="122"/>
  <c r="N3009" i="122" s="1"/>
  <c r="F3675" i="122"/>
  <c r="H3005" i="122"/>
  <c r="N3005" i="122" s="1"/>
  <c r="H3187" i="122"/>
  <c r="N3187" i="122" s="1"/>
  <c r="F3857" i="122"/>
  <c r="H2871" i="122"/>
  <c r="N2871" i="122" s="1"/>
  <c r="F3541" i="122"/>
  <c r="F3461" i="122"/>
  <c r="H2791" i="122"/>
  <c r="N2791" i="122" s="1"/>
  <c r="F3489" i="122"/>
  <c r="H2819" i="122"/>
  <c r="N2819" i="122" s="1"/>
  <c r="F3610" i="122"/>
  <c r="H2940" i="122"/>
  <c r="N2940" i="122" s="1"/>
  <c r="H3134" i="122"/>
  <c r="N3134" i="122" s="1"/>
  <c r="F3804" i="122"/>
  <c r="F3734" i="122"/>
  <c r="H3064" i="122"/>
  <c r="N3064" i="122" s="1"/>
  <c r="F3950" i="122"/>
  <c r="H3280" i="122"/>
  <c r="N3280" i="122" s="1"/>
  <c r="F3374" i="122"/>
  <c r="H2704" i="122"/>
  <c r="N2704" i="122" s="1"/>
  <c r="H3234" i="122"/>
  <c r="N3234" i="122" s="1"/>
  <c r="F3904" i="122"/>
  <c r="H3307" i="122"/>
  <c r="N3307" i="122" s="1"/>
  <c r="F3869" i="122"/>
  <c r="H3199" i="122"/>
  <c r="N3199" i="122" s="1"/>
  <c r="H3100" i="122"/>
  <c r="N3100" i="122" s="1"/>
  <c r="F3770" i="122"/>
  <c r="F3623" i="122"/>
  <c r="H2953" i="122"/>
  <c r="N2953" i="122" s="1"/>
  <c r="F3452" i="122"/>
  <c r="H2782" i="122"/>
  <c r="N2782" i="122" s="1"/>
  <c r="H3137" i="122"/>
  <c r="N3137" i="122" s="1"/>
  <c r="F3807" i="122"/>
  <c r="F3653" i="122"/>
  <c r="H2983" i="122"/>
  <c r="N2983" i="122" s="1"/>
  <c r="F3952" i="122"/>
  <c r="H3282" i="122"/>
  <c r="N3282" i="122" s="1"/>
  <c r="F3554" i="122"/>
  <c r="H2884" i="122"/>
  <c r="N2884" i="122" s="1"/>
  <c r="F3584" i="122"/>
  <c r="H2914" i="122"/>
  <c r="N2914" i="122" s="1"/>
  <c r="F3871" i="122"/>
  <c r="H3201" i="122"/>
  <c r="N3201" i="122" s="1"/>
  <c r="F3451" i="122"/>
  <c r="H2781" i="122"/>
  <c r="N2781" i="122" s="1"/>
  <c r="F3533" i="122"/>
  <c r="H2863" i="122"/>
  <c r="N2863" i="122" s="1"/>
  <c r="H3197" i="122"/>
  <c r="N3197" i="122" s="1"/>
  <c r="F3867" i="122"/>
  <c r="F4020" i="122"/>
  <c r="H3350" i="122"/>
  <c r="N3350" i="122" s="1"/>
  <c r="F3506" i="122"/>
  <c r="H2836" i="122"/>
  <c r="N2836" i="122" s="1"/>
  <c r="H2864" i="122"/>
  <c r="N2864" i="122" s="1"/>
  <c r="F3534" i="122"/>
  <c r="F3686" i="122"/>
  <c r="H3016" i="122"/>
  <c r="N3016" i="122" s="1"/>
  <c r="F3450" i="122"/>
  <c r="H2780" i="122"/>
  <c r="N2780" i="122" s="1"/>
  <c r="H3273" i="122"/>
  <c r="N3273" i="122" s="1"/>
  <c r="F3943" i="122"/>
  <c r="H3221" i="122"/>
  <c r="N3221" i="122" s="1"/>
  <c r="F3891" i="122"/>
  <c r="F3431" i="122"/>
  <c r="H2761" i="122"/>
  <c r="N2761" i="122" s="1"/>
  <c r="F3698" i="122"/>
  <c r="H3028" i="122"/>
  <c r="N3028" i="122" s="1"/>
  <c r="F3844" i="122"/>
  <c r="H3174" i="122"/>
  <c r="N3174" i="122" s="1"/>
  <c r="H3224" i="122"/>
  <c r="N3224" i="122" s="1"/>
  <c r="F3894" i="122"/>
  <c r="F3772" i="122"/>
  <c r="H3102" i="122"/>
  <c r="N3102" i="122" s="1"/>
  <c r="F3626" i="122"/>
  <c r="H2956" i="122"/>
  <c r="N2956" i="122" s="1"/>
  <c r="H3117" i="122"/>
  <c r="N3117" i="122" s="1"/>
  <c r="F3787" i="122"/>
  <c r="F3475" i="122"/>
  <c r="H2805" i="122"/>
  <c r="N2805" i="122" s="1"/>
  <c r="F3421" i="122"/>
  <c r="H2751" i="122"/>
  <c r="N2751" i="122" s="1"/>
  <c r="F3911" i="122"/>
  <c r="H3241" i="122"/>
  <c r="N3241" i="122" s="1"/>
  <c r="F3791" i="122"/>
  <c r="H3121" i="122"/>
  <c r="N3121" i="122" s="1"/>
  <c r="F3826" i="122"/>
  <c r="H3156" i="122"/>
  <c r="N3156" i="122" s="1"/>
  <c r="F3454" i="122"/>
  <c r="H2784" i="122"/>
  <c r="N2784" i="122" s="1"/>
  <c r="H3352" i="122"/>
  <c r="N3352" i="122" s="1"/>
  <c r="F4022" i="122"/>
  <c r="F3386" i="122"/>
  <c r="H2716" i="122"/>
  <c r="N2716" i="122" s="1"/>
  <c r="F3508" i="122"/>
  <c r="H2838" i="122"/>
  <c r="N2838" i="122" s="1"/>
  <c r="E1034" i="122"/>
  <c r="E1704" i="122" s="1"/>
  <c r="E2374" i="122" s="1"/>
  <c r="E3044" i="122" s="1"/>
  <c r="E3714" i="122" s="1"/>
  <c r="E4384" i="122" s="1"/>
  <c r="E5054" i="122" s="1"/>
  <c r="E1054" i="122"/>
  <c r="E1724" i="122" s="1"/>
  <c r="E2394" i="122" s="1"/>
  <c r="E3064" i="122" s="1"/>
  <c r="E3734" i="122" s="1"/>
  <c r="E4404" i="122" s="1"/>
  <c r="E5074" i="122" s="1"/>
  <c r="E1066" i="122"/>
  <c r="E1736" i="122" s="1"/>
  <c r="E2406" i="122" s="1"/>
  <c r="E3076" i="122" s="1"/>
  <c r="E3746" i="122" s="1"/>
  <c r="E4416" i="122" s="1"/>
  <c r="E5086" i="122" s="1"/>
  <c r="E1090" i="122"/>
  <c r="E1760" i="122" s="1"/>
  <c r="E2430" i="122" s="1"/>
  <c r="E3100" i="122" s="1"/>
  <c r="E3770" i="122" s="1"/>
  <c r="E4440" i="122" s="1"/>
  <c r="E5110" i="122" s="1"/>
  <c r="E1108" i="122"/>
  <c r="E1778" i="122" s="1"/>
  <c r="E2448" i="122" s="1"/>
  <c r="E3118" i="122" s="1"/>
  <c r="E3788" i="122" s="1"/>
  <c r="E4458" i="122" s="1"/>
  <c r="E5128" i="122" s="1"/>
  <c r="E1135" i="122"/>
  <c r="E1805" i="122" s="1"/>
  <c r="E2475" i="122" s="1"/>
  <c r="E3145" i="122" s="1"/>
  <c r="E3815" i="122" s="1"/>
  <c r="E4485" i="122" s="1"/>
  <c r="E5155" i="122" s="1"/>
  <c r="E1215" i="122"/>
  <c r="E1885" i="122" s="1"/>
  <c r="E2555" i="122" s="1"/>
  <c r="E3225" i="122" s="1"/>
  <c r="E3895" i="122" s="1"/>
  <c r="E4565" i="122" s="1"/>
  <c r="E5235" i="122" s="1"/>
  <c r="E1255" i="122"/>
  <c r="E1925" i="122" s="1"/>
  <c r="E2595" i="122" s="1"/>
  <c r="E3265" i="122" s="1"/>
  <c r="E3935" i="122" s="1"/>
  <c r="E4605" i="122" s="1"/>
  <c r="E5275" i="122" s="1"/>
  <c r="E1267" i="122"/>
  <c r="E1937" i="122" s="1"/>
  <c r="E2607" i="122" s="1"/>
  <c r="E3277" i="122" s="1"/>
  <c r="E3947" i="122" s="1"/>
  <c r="E4617" i="122" s="1"/>
  <c r="E5287" i="122" s="1"/>
  <c r="F3892" i="122"/>
  <c r="H3222" i="122"/>
  <c r="N3222" i="122" s="1"/>
  <c r="H3176" i="122"/>
  <c r="N3176" i="122" s="1"/>
  <c r="F3846" i="122"/>
  <c r="H3215" i="122"/>
  <c r="N3215" i="122" s="1"/>
  <c r="F3885" i="122"/>
  <c r="H2783" i="122"/>
  <c r="N2783" i="122" s="1"/>
  <c r="F3453" i="122"/>
  <c r="F3590" i="122"/>
  <c r="H2920" i="122"/>
  <c r="N2920" i="122" s="1"/>
  <c r="F3735" i="122"/>
  <c r="H3065" i="122"/>
  <c r="N3065" i="122" s="1"/>
  <c r="F3720" i="122"/>
  <c r="H3050" i="122"/>
  <c r="N3050" i="122" s="1"/>
  <c r="F3540" i="122"/>
  <c r="H2870" i="122"/>
  <c r="N2870" i="122" s="1"/>
  <c r="H3093" i="122"/>
  <c r="N3093" i="122" s="1"/>
  <c r="F3763" i="122"/>
  <c r="F3392" i="122"/>
  <c r="H2722" i="122"/>
  <c r="N2722" i="122" s="1"/>
  <c r="F3934" i="122"/>
  <c r="H3264" i="122"/>
  <c r="N3264" i="122" s="1"/>
  <c r="F3481" i="122"/>
  <c r="H2811" i="122"/>
  <c r="N2811" i="122" s="1"/>
  <c r="F3858" i="122"/>
  <c r="H3188" i="122"/>
  <c r="N3188" i="122" s="1"/>
  <c r="F3567" i="122"/>
  <c r="H2897" i="122"/>
  <c r="N2897" i="122" s="1"/>
  <c r="E1074" i="122"/>
  <c r="E1744" i="122" s="1"/>
  <c r="E2414" i="122" s="1"/>
  <c r="E3084" i="122" s="1"/>
  <c r="E3754" i="122" s="1"/>
  <c r="E4424" i="122" s="1"/>
  <c r="E5094" i="122" s="1"/>
  <c r="E1150" i="122"/>
  <c r="E1820" i="122" s="1"/>
  <c r="E2490" i="122" s="1"/>
  <c r="E3160" i="122" s="1"/>
  <c r="E3830" i="122" s="1"/>
  <c r="E4500" i="122" s="1"/>
  <c r="E5170" i="122" s="1"/>
  <c r="E1173" i="122"/>
  <c r="E1843" i="122" s="1"/>
  <c r="E2513" i="122" s="1"/>
  <c r="E3183" i="122" s="1"/>
  <c r="E3853" i="122" s="1"/>
  <c r="E4523" i="122" s="1"/>
  <c r="E5193" i="122" s="1"/>
  <c r="E1276" i="122"/>
  <c r="E1946" i="122" s="1"/>
  <c r="E2616" i="122" s="1"/>
  <c r="E3286" i="122" s="1"/>
  <c r="E3956" i="122" s="1"/>
  <c r="E4626" i="122" s="1"/>
  <c r="E5296" i="122" s="1"/>
  <c r="G2681" i="122"/>
  <c r="N2011" i="122"/>
  <c r="E1175" i="122"/>
  <c r="E1845" i="122" s="1"/>
  <c r="E2515" i="122" s="1"/>
  <c r="E3185" i="122" s="1"/>
  <c r="E3855" i="122" s="1"/>
  <c r="E4525" i="122" s="1"/>
  <c r="E5195" i="122" s="1"/>
  <c r="E1190" i="122"/>
  <c r="E1860" i="122" s="1"/>
  <c r="E2530" i="122" s="1"/>
  <c r="E3200" i="122" s="1"/>
  <c r="E3870" i="122" s="1"/>
  <c r="E4540" i="122" s="1"/>
  <c r="E5210" i="122" s="1"/>
  <c r="E1290" i="122"/>
  <c r="E1960" i="122" s="1"/>
  <c r="E2630" i="122" s="1"/>
  <c r="E3300" i="122" s="1"/>
  <c r="E3970" i="122" s="1"/>
  <c r="E4640" i="122" s="1"/>
  <c r="E5310" i="122" s="1"/>
  <c r="F3339" i="122"/>
  <c r="F3710" i="122"/>
  <c r="H3040" i="122"/>
  <c r="N3040" i="122" s="1"/>
  <c r="F3684" i="122"/>
  <c r="H3014" i="122"/>
  <c r="N3014" i="122" s="1"/>
  <c r="H3026" i="122"/>
  <c r="N3026" i="122" s="1"/>
  <c r="F3696" i="122"/>
  <c r="F3478" i="122"/>
  <c r="H2808" i="122"/>
  <c r="N2808" i="122" s="1"/>
  <c r="F3658" i="122"/>
  <c r="H2988" i="122"/>
  <c r="N2988" i="122" s="1"/>
  <c r="H2877" i="122"/>
  <c r="N2877" i="122" s="1"/>
  <c r="F3547" i="122"/>
  <c r="F4659" i="122"/>
  <c r="H3989" i="122"/>
  <c r="N3989" i="122" s="1"/>
  <c r="F3434" i="122"/>
  <c r="H2764" i="122"/>
  <c r="N2764" i="122" s="1"/>
  <c r="F4691" i="122"/>
  <c r="H2753" i="122"/>
  <c r="N2753" i="122" s="1"/>
  <c r="F3423" i="122"/>
  <c r="F3416" i="122"/>
  <c r="H2746" i="122"/>
  <c r="N2746" i="122" s="1"/>
  <c r="E1029" i="122"/>
  <c r="E1699" i="122" s="1"/>
  <c r="E2369" i="122" s="1"/>
  <c r="E3039" i="122" s="1"/>
  <c r="E3709" i="122" s="1"/>
  <c r="E4379" i="122" s="1"/>
  <c r="E5049" i="122" s="1"/>
  <c r="E1037" i="122"/>
  <c r="E1707" i="122" s="1"/>
  <c r="E2377" i="122" s="1"/>
  <c r="E3047" i="122" s="1"/>
  <c r="E3717" i="122" s="1"/>
  <c r="E4387" i="122" s="1"/>
  <c r="E5057" i="122" s="1"/>
  <c r="E1041" i="122"/>
  <c r="E1711" i="122" s="1"/>
  <c r="E2381" i="122" s="1"/>
  <c r="E3051" i="122" s="1"/>
  <c r="E3721" i="122" s="1"/>
  <c r="E4391" i="122" s="1"/>
  <c r="E5061" i="122" s="1"/>
  <c r="E1049" i="122"/>
  <c r="E1719" i="122" s="1"/>
  <c r="E2389" i="122" s="1"/>
  <c r="E3059" i="122" s="1"/>
  <c r="E3729" i="122" s="1"/>
  <c r="E4399" i="122" s="1"/>
  <c r="E5069" i="122" s="1"/>
  <c r="E1053" i="122"/>
  <c r="E1723" i="122" s="1"/>
  <c r="E2393" i="122" s="1"/>
  <c r="E3063" i="122" s="1"/>
  <c r="E3733" i="122" s="1"/>
  <c r="E4403" i="122" s="1"/>
  <c r="E5073" i="122" s="1"/>
  <c r="E1061" i="122"/>
  <c r="E1731" i="122" s="1"/>
  <c r="E2401" i="122" s="1"/>
  <c r="E3071" i="122" s="1"/>
  <c r="E3741" i="122" s="1"/>
  <c r="E4411" i="122" s="1"/>
  <c r="E5081" i="122" s="1"/>
  <c r="E1065" i="122"/>
  <c r="E1735" i="122" s="1"/>
  <c r="E2405" i="122" s="1"/>
  <c r="E3075" i="122" s="1"/>
  <c r="E3745" i="122" s="1"/>
  <c r="E4415" i="122" s="1"/>
  <c r="E5085" i="122" s="1"/>
  <c r="E1076" i="122"/>
  <c r="E1746" i="122" s="1"/>
  <c r="E2416" i="122" s="1"/>
  <c r="E3086" i="122" s="1"/>
  <c r="E3756" i="122" s="1"/>
  <c r="E4426" i="122" s="1"/>
  <c r="E5096" i="122" s="1"/>
  <c r="E1089" i="122"/>
  <c r="E1759" i="122" s="1"/>
  <c r="E2429" i="122" s="1"/>
  <c r="E3099" i="122" s="1"/>
  <c r="E3769" i="122" s="1"/>
  <c r="E4439" i="122" s="1"/>
  <c r="E5109" i="122" s="1"/>
  <c r="E1100" i="122"/>
  <c r="E1770" i="122" s="1"/>
  <c r="E2440" i="122" s="1"/>
  <c r="E3110" i="122" s="1"/>
  <c r="E3780" i="122" s="1"/>
  <c r="E4450" i="122" s="1"/>
  <c r="E5120" i="122" s="1"/>
  <c r="E1127" i="122"/>
  <c r="E1797" i="122" s="1"/>
  <c r="E2467" i="122" s="1"/>
  <c r="E3137" i="122" s="1"/>
  <c r="E3807" i="122" s="1"/>
  <c r="E4477" i="122" s="1"/>
  <c r="E5147" i="122" s="1"/>
  <c r="E1131" i="122"/>
  <c r="E1801" i="122" s="1"/>
  <c r="E2471" i="122" s="1"/>
  <c r="E3141" i="122" s="1"/>
  <c r="E3811" i="122" s="1"/>
  <c r="E4481" i="122" s="1"/>
  <c r="E5151" i="122" s="1"/>
  <c r="E1142" i="122"/>
  <c r="E1812" i="122" s="1"/>
  <c r="E2482" i="122" s="1"/>
  <c r="E3152" i="122" s="1"/>
  <c r="E3822" i="122" s="1"/>
  <c r="E4492" i="122" s="1"/>
  <c r="E5162" i="122" s="1"/>
  <c r="E1179" i="122"/>
  <c r="E1849" i="122" s="1"/>
  <c r="E2519" i="122" s="1"/>
  <c r="E3189" i="122" s="1"/>
  <c r="E3859" i="122" s="1"/>
  <c r="E4529" i="122" s="1"/>
  <c r="E5199" i="122" s="1"/>
  <c r="E1182" i="122"/>
  <c r="E1852" i="122" s="1"/>
  <c r="E2522" i="122" s="1"/>
  <c r="E3192" i="122" s="1"/>
  <c r="E3862" i="122" s="1"/>
  <c r="E4532" i="122" s="1"/>
  <c r="E5202" i="122" s="1"/>
  <c r="E1210" i="122"/>
  <c r="E1880" i="122" s="1"/>
  <c r="E2550" i="122" s="1"/>
  <c r="E3220" i="122" s="1"/>
  <c r="E3890" i="122" s="1"/>
  <c r="E4560" i="122" s="1"/>
  <c r="E5230" i="122" s="1"/>
  <c r="E1214" i="122"/>
  <c r="E1884" i="122" s="1"/>
  <c r="E2554" i="122" s="1"/>
  <c r="E3224" i="122" s="1"/>
  <c r="E3894" i="122" s="1"/>
  <c r="E4564" i="122" s="1"/>
  <c r="E5234" i="122" s="1"/>
  <c r="E1218" i="122"/>
  <c r="E1888" i="122" s="1"/>
  <c r="E2558" i="122" s="1"/>
  <c r="E3228" i="122" s="1"/>
  <c r="E3898" i="122" s="1"/>
  <c r="E4568" i="122" s="1"/>
  <c r="E5238" i="122" s="1"/>
  <c r="E1222" i="122"/>
  <c r="E1892" i="122" s="1"/>
  <c r="E2562" i="122" s="1"/>
  <c r="E3232" i="122" s="1"/>
  <c r="E3902" i="122" s="1"/>
  <c r="E4572" i="122" s="1"/>
  <c r="E5242" i="122" s="1"/>
  <c r="E1226" i="122"/>
  <c r="E1896" i="122" s="1"/>
  <c r="E2566" i="122" s="1"/>
  <c r="E3236" i="122" s="1"/>
  <c r="E3906" i="122" s="1"/>
  <c r="E4576" i="122" s="1"/>
  <c r="E5246" i="122" s="1"/>
  <c r="E1250" i="122"/>
  <c r="E1920" i="122" s="1"/>
  <c r="E2590" i="122" s="1"/>
  <c r="E3260" i="122" s="1"/>
  <c r="E3930" i="122" s="1"/>
  <c r="E4600" i="122" s="1"/>
  <c r="E5270" i="122" s="1"/>
  <c r="E1254" i="122"/>
  <c r="E1924" i="122" s="1"/>
  <c r="E2594" i="122" s="1"/>
  <c r="E3264" i="122" s="1"/>
  <c r="E3934" i="122" s="1"/>
  <c r="E4604" i="122" s="1"/>
  <c r="E5274" i="122" s="1"/>
  <c r="E1269" i="122"/>
  <c r="E1939" i="122" s="1"/>
  <c r="E2609" i="122" s="1"/>
  <c r="E3279" i="122" s="1"/>
  <c r="E3949" i="122" s="1"/>
  <c r="E4619" i="122" s="1"/>
  <c r="E5289" i="122" s="1"/>
  <c r="F3977" i="122"/>
  <c r="F1315" i="122"/>
  <c r="N645" i="122"/>
  <c r="I2015" i="122"/>
  <c r="F2659" i="122"/>
  <c r="H2892" i="122"/>
  <c r="N2892" i="122" s="1"/>
  <c r="F3562" i="122"/>
  <c r="H3177" i="122"/>
  <c r="N3177" i="122" s="1"/>
  <c r="F3847" i="122"/>
  <c r="H3257" i="122"/>
  <c r="N3257" i="122" s="1"/>
  <c r="F3927" i="122"/>
  <c r="N2012" i="122"/>
  <c r="F3415" i="122"/>
  <c r="H2745" i="122"/>
  <c r="N2745" i="122" s="1"/>
  <c r="F3682" i="122"/>
  <c r="H3012" i="122"/>
  <c r="N3012" i="122" s="1"/>
  <c r="F3954" i="122"/>
  <c r="H3284" i="122"/>
  <c r="N3284" i="122" s="1"/>
  <c r="F3502" i="122"/>
  <c r="H2832" i="122"/>
  <c r="N2832" i="122" s="1"/>
  <c r="H3112" i="122"/>
  <c r="N3112" i="122" s="1"/>
  <c r="F3782" i="122"/>
  <c r="F3496" i="122"/>
  <c r="H2826" i="122"/>
  <c r="N2826" i="122" s="1"/>
  <c r="F3848" i="122"/>
  <c r="H3178" i="122"/>
  <c r="N3178" i="122" s="1"/>
  <c r="H2725" i="122"/>
  <c r="N2725" i="122" s="1"/>
  <c r="F3395" i="122"/>
  <c r="H3115" i="122"/>
  <c r="N3115" i="122" s="1"/>
  <c r="F3785" i="122"/>
  <c r="H3151" i="122"/>
  <c r="N3151" i="122" s="1"/>
  <c r="F3821" i="122"/>
  <c r="F3417" i="122"/>
  <c r="H2747" i="122"/>
  <c r="N2747" i="122" s="1"/>
  <c r="H3136" i="122"/>
  <c r="N3136" i="122" s="1"/>
  <c r="F3806" i="122"/>
  <c r="F3990" i="122"/>
  <c r="H3320" i="122"/>
  <c r="N3320" i="122" s="1"/>
  <c r="F3843" i="122"/>
  <c r="H3173" i="122"/>
  <c r="N3173" i="122" s="1"/>
  <c r="F3728" i="122"/>
  <c r="H3058" i="122"/>
  <c r="N3058" i="122" s="1"/>
  <c r="F4515" i="122"/>
  <c r="H3845" i="122"/>
  <c r="N3845" i="122" s="1"/>
  <c r="F3879" i="122"/>
  <c r="H3209" i="122"/>
  <c r="N3209" i="122" s="1"/>
  <c r="F3664" i="122"/>
  <c r="H2994" i="122"/>
  <c r="N2994" i="122" s="1"/>
  <c r="F3418" i="122"/>
  <c r="H2748" i="122"/>
  <c r="N2748" i="122" s="1"/>
  <c r="F3385" i="122"/>
  <c r="H2715" i="122"/>
  <c r="N2715" i="122" s="1"/>
  <c r="H3318" i="122"/>
  <c r="N3318" i="122" s="1"/>
  <c r="F3988" i="122"/>
  <c r="H3344" i="122"/>
  <c r="N3344" i="122" s="1"/>
  <c r="F4014" i="122"/>
  <c r="H2909" i="122"/>
  <c r="N2909" i="122" s="1"/>
  <c r="F3579" i="122"/>
  <c r="F3458" i="122"/>
  <c r="H2788" i="122"/>
  <c r="N2788" i="122" s="1"/>
  <c r="H2881" i="122"/>
  <c r="N2881" i="122" s="1"/>
  <c r="F3551" i="122"/>
  <c r="F3597" i="122"/>
  <c r="H2927" i="122"/>
  <c r="N2927" i="122" s="1"/>
  <c r="F3394" i="122"/>
  <c r="H2724" i="122"/>
  <c r="N2724" i="122" s="1"/>
  <c r="F3963" i="122"/>
  <c r="H3293" i="122"/>
  <c r="N3293" i="122" s="1"/>
  <c r="F3805" i="122"/>
  <c r="H3135" i="122"/>
  <c r="N3135" i="122" s="1"/>
  <c r="F3856" i="122"/>
  <c r="H3186" i="122"/>
  <c r="N3186" i="122" s="1"/>
  <c r="H2855" i="122"/>
  <c r="N2855" i="122" s="1"/>
  <c r="F3525" i="122"/>
  <c r="F3543" i="122"/>
  <c r="H2873" i="122"/>
  <c r="N2873" i="122" s="1"/>
  <c r="F3491" i="122"/>
  <c r="H2821" i="122"/>
  <c r="N2821" i="122" s="1"/>
  <c r="H3304" i="122"/>
  <c r="N3304" i="122" s="1"/>
  <c r="F3974" i="122"/>
  <c r="F3382" i="122"/>
  <c r="H2712" i="122"/>
  <c r="N2712" i="122" s="1"/>
  <c r="F4587" i="122"/>
  <c r="H3917" i="122"/>
  <c r="N3917" i="122" s="1"/>
  <c r="F4635" i="122"/>
  <c r="H3965" i="122"/>
  <c r="N3965" i="122" s="1"/>
  <c r="F3940" i="122"/>
  <c r="H3270" i="122"/>
  <c r="N3270" i="122" s="1"/>
  <c r="F3764" i="122"/>
  <c r="H3094" i="122"/>
  <c r="N3094" i="122" s="1"/>
  <c r="F3378" i="122"/>
  <c r="H2708" i="122"/>
  <c r="N2708" i="122" s="1"/>
  <c r="F3377" i="122"/>
  <c r="H2707" i="122"/>
  <c r="N2707" i="122" s="1"/>
  <c r="F3425" i="122"/>
  <c r="H2755" i="122"/>
  <c r="N2755" i="122" s="1"/>
  <c r="F3886" i="122"/>
  <c r="H3216" i="122"/>
  <c r="N3216" i="122" s="1"/>
  <c r="F3409" i="122"/>
  <c r="H2739" i="122"/>
  <c r="N2739" i="122" s="1"/>
  <c r="F3362" i="122"/>
  <c r="H2692" i="122"/>
  <c r="N2692" i="122" s="1"/>
  <c r="F3566" i="122"/>
  <c r="H2896" i="122"/>
  <c r="N2896" i="122" s="1"/>
  <c r="H3432" i="122"/>
  <c r="N3432" i="122" s="1"/>
  <c r="F4102" i="122"/>
  <c r="F3536" i="122"/>
  <c r="H2866" i="122"/>
  <c r="N2866" i="122" s="1"/>
  <c r="F4661" i="122"/>
  <c r="H3991" i="122"/>
  <c r="N3991" i="122" s="1"/>
  <c r="F3687" i="122"/>
  <c r="H3017" i="122"/>
  <c r="N3017" i="122" s="1"/>
  <c r="F3544" i="122"/>
  <c r="H2874" i="122"/>
  <c r="N2874" i="122" s="1"/>
  <c r="F3464" i="122"/>
  <c r="H2794" i="122"/>
  <c r="N2794" i="122" s="1"/>
  <c r="F3532" i="122"/>
  <c r="H2862" i="122"/>
  <c r="N2862" i="122" s="1"/>
  <c r="H3145" i="122"/>
  <c r="N3145" i="122" s="1"/>
  <c r="F3815" i="122"/>
  <c r="H2837" i="122"/>
  <c r="N2837" i="122" s="1"/>
  <c r="F3507" i="122"/>
  <c r="F3866" i="122"/>
  <c r="H3196" i="122"/>
  <c r="N3196" i="122" s="1"/>
  <c r="H2936" i="122"/>
  <c r="N2936" i="122" s="1"/>
  <c r="F3606" i="122"/>
  <c r="F3563" i="122"/>
  <c r="H2893" i="122"/>
  <c r="N2893" i="122" s="1"/>
  <c r="F3680" i="122"/>
  <c r="H3010" i="122"/>
  <c r="N3010" i="122" s="1"/>
  <c r="F3490" i="122"/>
  <c r="H2820" i="122"/>
  <c r="N2820" i="122" s="1"/>
  <c r="F3896" i="122"/>
  <c r="H3226" i="122"/>
  <c r="N3226" i="122" s="1"/>
  <c r="F4070" i="122"/>
  <c r="H3400" i="122"/>
  <c r="N3400" i="122" s="1"/>
  <c r="H3243" i="122"/>
  <c r="N3243" i="122" s="1"/>
  <c r="F3913" i="122"/>
  <c r="H2879" i="122"/>
  <c r="N2879" i="122" s="1"/>
  <c r="F3549" i="122"/>
  <c r="F3480" i="122"/>
  <c r="H2810" i="122"/>
  <c r="N2810" i="122" s="1"/>
  <c r="F3620" i="122"/>
  <c r="H2950" i="122"/>
  <c r="N2950" i="122" s="1"/>
  <c r="F3985" i="122"/>
  <c r="H3315" i="122"/>
  <c r="N3315" i="122" s="1"/>
  <c r="F3666" i="122"/>
  <c r="E1050" i="122"/>
  <c r="E1720" i="122" s="1"/>
  <c r="E2390" i="122" s="1"/>
  <c r="E3060" i="122" s="1"/>
  <c r="E3730" i="122" s="1"/>
  <c r="E4400" i="122" s="1"/>
  <c r="E5070" i="122" s="1"/>
  <c r="E1098" i="122"/>
  <c r="E1768" i="122" s="1"/>
  <c r="E2438" i="122" s="1"/>
  <c r="E3108" i="122" s="1"/>
  <c r="E3778" i="122" s="1"/>
  <c r="E4448" i="122" s="1"/>
  <c r="E5118" i="122" s="1"/>
  <c r="E1116" i="122"/>
  <c r="E1786" i="122" s="1"/>
  <c r="E2456" i="122" s="1"/>
  <c r="E3126" i="122" s="1"/>
  <c r="E3796" i="122" s="1"/>
  <c r="E4466" i="122" s="1"/>
  <c r="E5136" i="122" s="1"/>
  <c r="E1146" i="122"/>
  <c r="E1816" i="122" s="1"/>
  <c r="E2486" i="122" s="1"/>
  <c r="E3156" i="122" s="1"/>
  <c r="E3826" i="122" s="1"/>
  <c r="E4496" i="122" s="1"/>
  <c r="E5166" i="122" s="1"/>
  <c r="E1341" i="122"/>
  <c r="E2011" i="122" s="1"/>
  <c r="E2681" i="122" s="1"/>
  <c r="E3351" i="122" s="1"/>
  <c r="E4021" i="122" s="1"/>
  <c r="E4691" i="122" s="1"/>
  <c r="E5361" i="122" s="1"/>
  <c r="F3565" i="122"/>
  <c r="H2895" i="122"/>
  <c r="N2895" i="122" s="1"/>
  <c r="F3474" i="122"/>
  <c r="H2804" i="122"/>
  <c r="N2804" i="122" s="1"/>
  <c r="F3668" i="122"/>
  <c r="H2998" i="122"/>
  <c r="N2998" i="122" s="1"/>
  <c r="H3933" i="122"/>
  <c r="N3933" i="122" s="1"/>
  <c r="F4603" i="122"/>
  <c r="E1157" i="122"/>
  <c r="E1827" i="122" s="1"/>
  <c r="E2497" i="122" s="1"/>
  <c r="E3167" i="122" s="1"/>
  <c r="E3837" i="122" s="1"/>
  <c r="E4507" i="122" s="1"/>
  <c r="E5177" i="122" s="1"/>
  <c r="E1281" i="122"/>
  <c r="E1951" i="122" s="1"/>
  <c r="E2621" i="122" s="1"/>
  <c r="E3291" i="122" s="1"/>
  <c r="E3961" i="122" s="1"/>
  <c r="E4631" i="122" s="1"/>
  <c r="E5301" i="122" s="1"/>
  <c r="F3367" i="122"/>
  <c r="H2697" i="122"/>
  <c r="N2697" i="122" s="1"/>
  <c r="E1152" i="122"/>
  <c r="E1822" i="122" s="1"/>
  <c r="E2492" i="122" s="1"/>
  <c r="E3162" i="122" s="1"/>
  <c r="E3832" i="122" s="1"/>
  <c r="E4502" i="122" s="1"/>
  <c r="E5172" i="122" s="1"/>
  <c r="E1194" i="122"/>
  <c r="E1864" i="122" s="1"/>
  <c r="E2534" i="122" s="1"/>
  <c r="E3204" i="122" s="1"/>
  <c r="E3874" i="122" s="1"/>
  <c r="E4544" i="122" s="1"/>
  <c r="E5214" i="122" s="1"/>
  <c r="E1263" i="122"/>
  <c r="E1933" i="122" s="1"/>
  <c r="E2603" i="122" s="1"/>
  <c r="E3273" i="122" s="1"/>
  <c r="E3943" i="122" s="1"/>
  <c r="E4613" i="122" s="1"/>
  <c r="E5283" i="122" s="1"/>
  <c r="E1073" i="122"/>
  <c r="E1743" i="122" s="1"/>
  <c r="E2413" i="122" s="1"/>
  <c r="E3083" i="122" s="1"/>
  <c r="E3753" i="122" s="1"/>
  <c r="E4423" i="122" s="1"/>
  <c r="E5093" i="122" s="1"/>
  <c r="E1080" i="122"/>
  <c r="E1750" i="122" s="1"/>
  <c r="E2420" i="122" s="1"/>
  <c r="E3090" i="122" s="1"/>
  <c r="E3760" i="122" s="1"/>
  <c r="E4430" i="122" s="1"/>
  <c r="E5100" i="122" s="1"/>
  <c r="E1086" i="122"/>
  <c r="E1756" i="122" s="1"/>
  <c r="E2426" i="122" s="1"/>
  <c r="E3096" i="122" s="1"/>
  <c r="E3766" i="122" s="1"/>
  <c r="E4436" i="122" s="1"/>
  <c r="E5106" i="122" s="1"/>
  <c r="E1149" i="122"/>
  <c r="E1819" i="122" s="1"/>
  <c r="E2489" i="122" s="1"/>
  <c r="E3159" i="122" s="1"/>
  <c r="E3829" i="122" s="1"/>
  <c r="E4499" i="122" s="1"/>
  <c r="E5169" i="122" s="1"/>
  <c r="E1160" i="122"/>
  <c r="E1830" i="122" s="1"/>
  <c r="E2500" i="122" s="1"/>
  <c r="E3170" i="122" s="1"/>
  <c r="E3840" i="122" s="1"/>
  <c r="E4510" i="122" s="1"/>
  <c r="E5180" i="122" s="1"/>
  <c r="E1176" i="122"/>
  <c r="E1846" i="122" s="1"/>
  <c r="E2516" i="122" s="1"/>
  <c r="E3186" i="122" s="1"/>
  <c r="E3856" i="122" s="1"/>
  <c r="E4526" i="122" s="1"/>
  <c r="E5196" i="122" s="1"/>
  <c r="E1186" i="122"/>
  <c r="E1856" i="122" s="1"/>
  <c r="E2526" i="122" s="1"/>
  <c r="E3196" i="122" s="1"/>
  <c r="E3866" i="122" s="1"/>
  <c r="E4536" i="122" s="1"/>
  <c r="E5206" i="122" s="1"/>
  <c r="E1191" i="122"/>
  <c r="E1861" i="122" s="1"/>
  <c r="E2531" i="122" s="1"/>
  <c r="E3201" i="122" s="1"/>
  <c r="E3871" i="122" s="1"/>
  <c r="E4541" i="122" s="1"/>
  <c r="E5211" i="122" s="1"/>
  <c r="E1199" i="122"/>
  <c r="E1869" i="122" s="1"/>
  <c r="E2539" i="122" s="1"/>
  <c r="E3209" i="122" s="1"/>
  <c r="E3879" i="122" s="1"/>
  <c r="E4549" i="122" s="1"/>
  <c r="E5219" i="122" s="1"/>
  <c r="E1272" i="122"/>
  <c r="E1942" i="122" s="1"/>
  <c r="E2612" i="122" s="1"/>
  <c r="E3282" i="122" s="1"/>
  <c r="E3952" i="122" s="1"/>
  <c r="E4622" i="122" s="1"/>
  <c r="E5292" i="122" s="1"/>
  <c r="E1275" i="122"/>
  <c r="E1945" i="122" s="1"/>
  <c r="E2615" i="122" s="1"/>
  <c r="E3285" i="122" s="1"/>
  <c r="E3955" i="122" s="1"/>
  <c r="E4625" i="122" s="1"/>
  <c r="E5295" i="122" s="1"/>
  <c r="E1280" i="122"/>
  <c r="E1950" i="122" s="1"/>
  <c r="E2620" i="122" s="1"/>
  <c r="E3290" i="122" s="1"/>
  <c r="E3960" i="122" s="1"/>
  <c r="E4630" i="122" s="1"/>
  <c r="E5300" i="122" s="1"/>
  <c r="F3978" i="122"/>
  <c r="F1316" i="122"/>
  <c r="N646" i="122"/>
  <c r="H2660" i="122"/>
  <c r="N2660" i="122" s="1"/>
  <c r="F3330" i="122"/>
  <c r="F3334" i="122"/>
  <c r="F3745" i="122"/>
  <c r="H3075" i="122"/>
  <c r="N3075" i="122" s="1"/>
  <c r="F3466" i="122"/>
  <c r="H2796" i="122"/>
  <c r="N2796" i="122" s="1"/>
  <c r="H3348" i="122"/>
  <c r="N3348" i="122" s="1"/>
  <c r="F4018" i="122"/>
  <c r="H2727" i="122"/>
  <c r="N2727" i="122" s="1"/>
  <c r="F3397" i="122"/>
  <c r="F3572" i="122"/>
  <c r="H2902" i="122"/>
  <c r="N2902" i="122" s="1"/>
  <c r="F3899" i="122"/>
  <c r="H3229" i="122"/>
  <c r="N3229" i="122" s="1"/>
  <c r="H2978" i="122"/>
  <c r="N2978" i="122" s="1"/>
  <c r="F3648" i="122"/>
  <c r="F3970" i="122"/>
  <c r="H3300" i="122"/>
  <c r="N3300" i="122" s="1"/>
  <c r="F3906" i="122"/>
  <c r="H3236" i="122"/>
  <c r="N3236" i="122" s="1"/>
  <c r="H2721" i="122"/>
  <c r="N2721" i="122" s="1"/>
  <c r="F3391" i="122"/>
  <c r="F3841" i="122"/>
  <c r="H3171" i="122"/>
  <c r="N3171" i="122" s="1"/>
  <c r="F3898" i="122"/>
  <c r="H3228" i="122"/>
  <c r="N3228" i="122" s="1"/>
  <c r="F3530" i="122"/>
  <c r="H2860" i="122"/>
  <c r="N2860" i="122" s="1"/>
  <c r="F3711" i="122"/>
  <c r="H3041" i="122"/>
  <c r="N3041" i="122" s="1"/>
  <c r="H3268" i="122"/>
  <c r="N3268" i="122" s="1"/>
  <c r="F3938" i="122"/>
  <c r="F3408" i="122"/>
  <c r="H2738" i="122"/>
  <c r="N2738" i="122" s="1"/>
  <c r="F3510" i="122"/>
  <c r="H2840" i="122"/>
  <c r="N2840" i="122" s="1"/>
  <c r="H2961" i="122"/>
  <c r="N2961" i="122" s="1"/>
  <c r="F3631" i="122"/>
  <c r="F3575" i="122"/>
  <c r="H2905" i="122"/>
  <c r="N2905" i="122" s="1"/>
  <c r="F4001" i="122"/>
  <c r="H3331" i="122"/>
  <c r="N3331" i="122" s="1"/>
  <c r="H3233" i="122"/>
  <c r="N3233" i="122" s="1"/>
  <c r="F3903" i="122"/>
  <c r="H3231" i="122"/>
  <c r="N3231" i="122" s="1"/>
  <c r="F3901" i="122"/>
  <c r="F3479" i="122"/>
  <c r="H2809" i="122"/>
  <c r="N2809" i="122" s="1"/>
  <c r="F3403" i="122"/>
  <c r="H2733" i="122"/>
  <c r="N2733" i="122" s="1"/>
  <c r="F3751" i="122"/>
  <c r="H3081" i="122"/>
  <c r="N3081" i="122" s="1"/>
  <c r="H3205" i="122"/>
  <c r="N3205" i="122" s="1"/>
  <c r="F3875" i="122"/>
  <c r="F3874" i="122"/>
  <c r="H3204" i="122"/>
  <c r="N3204" i="122" s="1"/>
  <c r="F3783" i="122"/>
  <c r="H3113" i="122"/>
  <c r="N3113" i="122" s="1"/>
  <c r="F3485" i="122"/>
  <c r="H2815" i="122"/>
  <c r="N2815" i="122" s="1"/>
  <c r="H3211" i="122"/>
  <c r="N3211" i="122" s="1"/>
  <c r="F3881" i="122"/>
  <c r="N2020" i="122"/>
  <c r="F3643" i="122"/>
  <c r="H2973" i="122"/>
  <c r="N2973" i="122" s="1"/>
  <c r="H3251" i="122"/>
  <c r="N3251" i="122" s="1"/>
  <c r="F3921" i="122"/>
  <c r="F3692" i="122"/>
  <c r="H3022" i="122"/>
  <c r="N3022" i="122" s="1"/>
  <c r="F3726" i="122"/>
  <c r="H3056" i="122"/>
  <c r="N3056" i="122" s="1"/>
  <c r="H2849" i="122"/>
  <c r="N2849" i="122" s="1"/>
  <c r="F3519" i="122"/>
  <c r="F3873" i="122"/>
  <c r="H3203" i="122"/>
  <c r="N3203" i="122" s="1"/>
  <c r="F3410" i="122"/>
  <c r="H2740" i="122"/>
  <c r="N2740" i="122" s="1"/>
  <c r="H3182" i="122"/>
  <c r="N3182" i="122" s="1"/>
  <c r="F3852" i="122"/>
  <c r="F3614" i="122"/>
  <c r="H2944" i="122"/>
  <c r="N2944" i="122" s="1"/>
  <c r="F3379" i="122"/>
  <c r="H2709" i="122"/>
  <c r="N2709" i="122" s="1"/>
  <c r="F3907" i="122"/>
  <c r="H3237" i="122"/>
  <c r="N3237" i="122" s="1"/>
  <c r="H3283" i="122"/>
  <c r="N3283" i="122" s="1"/>
  <c r="F3953" i="122"/>
  <c r="H2742" i="122"/>
  <c r="N2742" i="122" s="1"/>
  <c r="F3412" i="122"/>
  <c r="H3272" i="122"/>
  <c r="N3272" i="122" s="1"/>
  <c r="F3942" i="122"/>
  <c r="F3809" i="122"/>
  <c r="H3139" i="122"/>
  <c r="N3139" i="122" s="1"/>
  <c r="F3470" i="122"/>
  <c r="H2800" i="122"/>
  <c r="N2800" i="122" s="1"/>
  <c r="F3788" i="122"/>
  <c r="H3118" i="122"/>
  <c r="N3118" i="122" s="1"/>
  <c r="H3097" i="122"/>
  <c r="N3097" i="122" s="1"/>
  <c r="F3767" i="122"/>
  <c r="H2789" i="122"/>
  <c r="N2789" i="122" s="1"/>
  <c r="F3459" i="122"/>
  <c r="H2934" i="122"/>
  <c r="N2934" i="122" s="1"/>
  <c r="F3604" i="122"/>
  <c r="F3411" i="122"/>
  <c r="H2741" i="122"/>
  <c r="N2741" i="122" s="1"/>
  <c r="F4019" i="122"/>
  <c r="H3349" i="122"/>
  <c r="N3349" i="122" s="1"/>
  <c r="F3659" i="122"/>
  <c r="H2989" i="122"/>
  <c r="N2989" i="122" s="1"/>
  <c r="F3880" i="122"/>
  <c r="H3210" i="122"/>
  <c r="N3210" i="122" s="1"/>
  <c r="H2807" i="122"/>
  <c r="N2807" i="122" s="1"/>
  <c r="F3477" i="122"/>
  <c r="F3979" i="122"/>
  <c r="H3309" i="122"/>
  <c r="N3309" i="122" s="1"/>
  <c r="F3910" i="122"/>
  <c r="H3240" i="122"/>
  <c r="N3240" i="122" s="1"/>
  <c r="F3863" i="122"/>
  <c r="H3193" i="122"/>
  <c r="N3193" i="122" s="1"/>
  <c r="H2802" i="122"/>
  <c r="N2802" i="122" s="1"/>
  <c r="F3472" i="122"/>
  <c r="F3830" i="122"/>
  <c r="H3160" i="122"/>
  <c r="N3160" i="122" s="1"/>
  <c r="F3493" i="122"/>
  <c r="H2823" i="122"/>
  <c r="N2823" i="122" s="1"/>
  <c r="F3690" i="122"/>
  <c r="H3020" i="122"/>
  <c r="N3020" i="122" s="1"/>
  <c r="F3905" i="122"/>
  <c r="H3235" i="122"/>
  <c r="N3235" i="122" s="1"/>
  <c r="F3414" i="122"/>
  <c r="H2744" i="122"/>
  <c r="N2744" i="122" s="1"/>
  <c r="F3602" i="122"/>
  <c r="H2932" i="122"/>
  <c r="N2932" i="122" s="1"/>
  <c r="F3784" i="122"/>
  <c r="H3114" i="122"/>
  <c r="N3114" i="122" s="1"/>
  <c r="F3958" i="122"/>
  <c r="H3288" i="122"/>
  <c r="N3288" i="122" s="1"/>
  <c r="F3402" i="122"/>
  <c r="H2732" i="122"/>
  <c r="N2732" i="122" s="1"/>
  <c r="F3384" i="122"/>
  <c r="H2714" i="122"/>
  <c r="N2714" i="122" s="1"/>
  <c r="F3641" i="122"/>
  <c r="H2971" i="122"/>
  <c r="N2971" i="122" s="1"/>
  <c r="F3511" i="122"/>
  <c r="H2841" i="122"/>
  <c r="N2841" i="122" s="1"/>
  <c r="F3672" i="122"/>
  <c r="H3002" i="122"/>
  <c r="N3002" i="122" s="1"/>
  <c r="F3635" i="122"/>
  <c r="H2965" i="122"/>
  <c r="N2965" i="122" s="1"/>
  <c r="F3714" i="122"/>
  <c r="H3044" i="122"/>
  <c r="N3044" i="122" s="1"/>
  <c r="F3462" i="122"/>
  <c r="H2792" i="122"/>
  <c r="N2792" i="122" s="1"/>
  <c r="F3928" i="122"/>
  <c r="H3258" i="122"/>
  <c r="N3258" i="122" s="1"/>
  <c r="F3660" i="122"/>
  <c r="H2990" i="122"/>
  <c r="N2990" i="122" s="1"/>
  <c r="H2939" i="122"/>
  <c r="N2939" i="122" s="1"/>
  <c r="F3609" i="122"/>
  <c r="F3839" i="122"/>
  <c r="H3169" i="122"/>
  <c r="N3169" i="122" s="1"/>
  <c r="F3884" i="122"/>
  <c r="H3214" i="122"/>
  <c r="N3214" i="122" s="1"/>
  <c r="H3013" i="122"/>
  <c r="N3013" i="122" s="1"/>
  <c r="F3683" i="122"/>
  <c r="F3987" i="122"/>
  <c r="H3317" i="122"/>
  <c r="N3317" i="122" s="1"/>
  <c r="F3535" i="122"/>
  <c r="H2865" i="122"/>
  <c r="N2865" i="122" s="1"/>
  <c r="H3298" i="122"/>
  <c r="N3298" i="122" s="1"/>
  <c r="F3968" i="122"/>
  <c r="H2797" i="122"/>
  <c r="N2797" i="122" s="1"/>
  <c r="F3467" i="122"/>
  <c r="F3601" i="122"/>
  <c r="H2931" i="122"/>
  <c r="N2931" i="122" s="1"/>
  <c r="H3142" i="122"/>
  <c r="N3142" i="122" s="1"/>
  <c r="F3812" i="122"/>
  <c r="F3746" i="122"/>
  <c r="H3076" i="122"/>
  <c r="N3076" i="122" s="1"/>
  <c r="H2995" i="122"/>
  <c r="N2995" i="122" s="1"/>
  <c r="F3665" i="122"/>
  <c r="A1021" i="122"/>
  <c r="A1691" i="122" s="1"/>
  <c r="A2361" i="122" s="1"/>
  <c r="A3031" i="122" s="1"/>
  <c r="A3701" i="122" s="1"/>
  <c r="A4371" i="122" s="1"/>
  <c r="A5041" i="122" s="1"/>
  <c r="E1322" i="122"/>
  <c r="E1992" i="122" s="1"/>
  <c r="E2662" i="122" s="1"/>
  <c r="E3332" i="122" s="1"/>
  <c r="E4002" i="122" s="1"/>
  <c r="E4672" i="122" s="1"/>
  <c r="E5342" i="122" s="1"/>
  <c r="F4648" i="122" l="1"/>
  <c r="H3978" i="122"/>
  <c r="N3978" i="122" s="1"/>
  <c r="F4336" i="122"/>
  <c r="H3666" i="122"/>
  <c r="N3666" i="122" s="1"/>
  <c r="F4647" i="122"/>
  <c r="H3977" i="122"/>
  <c r="N3977" i="122" s="1"/>
  <c r="E1332" i="122"/>
  <c r="E2002" i="122" s="1"/>
  <c r="E2672" i="122" s="1"/>
  <c r="E3342" i="122" s="1"/>
  <c r="E4012" i="122" s="1"/>
  <c r="E4682" i="122" s="1"/>
  <c r="E5352" i="122" s="1"/>
  <c r="F4142" i="122"/>
  <c r="H3472" i="122"/>
  <c r="N3472" i="122" s="1"/>
  <c r="F4155" i="122"/>
  <c r="H3485" i="122"/>
  <c r="N3485" i="122" s="1"/>
  <c r="F4134" i="122"/>
  <c r="H3464" i="122"/>
  <c r="N3464" i="122" s="1"/>
  <c r="F4476" i="122"/>
  <c r="H3806" i="122"/>
  <c r="N3806" i="122" s="1"/>
  <c r="F4604" i="122"/>
  <c r="H3934" i="122"/>
  <c r="N3934" i="122" s="1"/>
  <c r="H3461" i="122"/>
  <c r="N3461" i="122" s="1"/>
  <c r="F4131" i="122"/>
  <c r="F4386" i="122"/>
  <c r="H3716" i="122"/>
  <c r="N3716" i="122" s="1"/>
  <c r="F4298" i="122"/>
  <c r="H3628" i="122"/>
  <c r="N3628" i="122" s="1"/>
  <c r="F4292" i="122"/>
  <c r="H3622" i="122"/>
  <c r="N3622" i="122" s="1"/>
  <c r="F4041" i="122"/>
  <c r="H3371" i="122"/>
  <c r="N3371" i="122" s="1"/>
  <c r="H3441" i="122"/>
  <c r="N3441" i="122" s="1"/>
  <c r="F4111" i="122"/>
  <c r="F4234" i="122"/>
  <c r="H3564" i="122"/>
  <c r="N3564" i="122" s="1"/>
  <c r="F4646" i="122"/>
  <c r="H3976" i="122"/>
  <c r="N3976" i="122" s="1"/>
  <c r="H3854" i="122"/>
  <c r="N3854" i="122" s="1"/>
  <c r="F4524" i="122"/>
  <c r="F4504" i="122"/>
  <c r="H3834" i="122"/>
  <c r="N3834" i="122" s="1"/>
  <c r="F5297" i="122"/>
  <c r="H5297" i="122" s="1"/>
  <c r="N5297" i="122" s="1"/>
  <c r="H4627" i="122"/>
  <c r="N4627" i="122" s="1"/>
  <c r="F4468" i="122"/>
  <c r="H3798" i="122"/>
  <c r="N3798" i="122" s="1"/>
  <c r="F4407" i="122"/>
  <c r="H3737" i="122"/>
  <c r="N3737" i="122" s="1"/>
  <c r="H3771" i="122"/>
  <c r="N3771" i="122" s="1"/>
  <c r="F4441" i="122"/>
  <c r="F4600" i="122"/>
  <c r="H3930" i="122"/>
  <c r="N3930" i="122" s="1"/>
  <c r="F4278" i="122"/>
  <c r="H3608" i="122"/>
  <c r="N3608" i="122" s="1"/>
  <c r="F4333" i="122"/>
  <c r="H3663" i="122"/>
  <c r="N3663" i="122" s="1"/>
  <c r="F4680" i="122"/>
  <c r="H4010" i="122"/>
  <c r="N4010" i="122" s="1"/>
  <c r="H4403" i="122"/>
  <c r="N4403" i="122" s="1"/>
  <c r="F5073" i="122"/>
  <c r="H5073" i="122" s="1"/>
  <c r="N5073" i="122" s="1"/>
  <c r="F4240" i="122"/>
  <c r="H3570" i="122"/>
  <c r="N3570" i="122" s="1"/>
  <c r="F4238" i="122"/>
  <c r="H3568" i="122"/>
  <c r="N3568" i="122" s="1"/>
  <c r="F4228" i="122"/>
  <c r="H3558" i="122"/>
  <c r="N3558" i="122" s="1"/>
  <c r="F1987" i="122"/>
  <c r="H1317" i="122"/>
  <c r="N1317" i="122" s="1"/>
  <c r="F4685" i="122"/>
  <c r="H4015" i="122"/>
  <c r="N4015" i="122" s="1"/>
  <c r="F4651" i="122"/>
  <c r="H3981" i="122"/>
  <c r="N3981" i="122" s="1"/>
  <c r="H3518" i="122"/>
  <c r="N3518" i="122" s="1"/>
  <c r="F4188" i="122"/>
  <c r="M1994" i="122"/>
  <c r="E1138" i="122"/>
  <c r="E1808" i="122" s="1"/>
  <c r="E2478" i="122" s="1"/>
  <c r="E3148" i="122" s="1"/>
  <c r="E3818" i="122" s="1"/>
  <c r="E4488" i="122" s="1"/>
  <c r="E5158" i="122" s="1"/>
  <c r="H3535" i="122"/>
  <c r="N3535" i="122" s="1"/>
  <c r="F4205" i="122"/>
  <c r="F4509" i="122"/>
  <c r="H3839" i="122"/>
  <c r="N3839" i="122" s="1"/>
  <c r="F4132" i="122"/>
  <c r="H3462" i="122"/>
  <c r="N3462" i="122" s="1"/>
  <c r="F4181" i="122"/>
  <c r="H3511" i="122"/>
  <c r="N3511" i="122" s="1"/>
  <c r="F4628" i="122"/>
  <c r="H3958" i="122"/>
  <c r="N3958" i="122" s="1"/>
  <c r="F4575" i="122"/>
  <c r="H3905" i="122"/>
  <c r="N3905" i="122" s="1"/>
  <c r="F4081" i="122"/>
  <c r="H3411" i="122"/>
  <c r="N3411" i="122" s="1"/>
  <c r="F4082" i="122"/>
  <c r="H3412" i="122"/>
  <c r="N3412" i="122" s="1"/>
  <c r="F4189" i="122"/>
  <c r="H3519" i="122"/>
  <c r="N3519" i="122" s="1"/>
  <c r="F4067" i="122"/>
  <c r="H3397" i="122"/>
  <c r="N3397" i="122" s="1"/>
  <c r="F4583" i="122"/>
  <c r="H3913" i="122"/>
  <c r="N3913" i="122" s="1"/>
  <c r="F4177" i="122"/>
  <c r="H3507" i="122"/>
  <c r="N3507" i="122" s="1"/>
  <c r="F4772" i="122"/>
  <c r="H4772" i="122" s="1"/>
  <c r="N4772" i="122" s="1"/>
  <c r="H4102" i="122"/>
  <c r="N4102" i="122" s="1"/>
  <c r="F4213" i="122"/>
  <c r="H3543" i="122"/>
  <c r="N3543" i="122" s="1"/>
  <c r="F4633" i="122"/>
  <c r="H3963" i="122"/>
  <c r="N3963" i="122" s="1"/>
  <c r="H3458" i="122"/>
  <c r="N3458" i="122" s="1"/>
  <c r="F4128" i="122"/>
  <c r="H3385" i="122"/>
  <c r="N3385" i="122" s="1"/>
  <c r="F4055" i="122"/>
  <c r="F5185" i="122"/>
  <c r="H5185" i="122" s="1"/>
  <c r="N5185" i="122" s="1"/>
  <c r="H4515" i="122"/>
  <c r="N4515" i="122" s="1"/>
  <c r="H3395" i="122"/>
  <c r="N3395" i="122" s="1"/>
  <c r="F4065" i="122"/>
  <c r="F4328" i="122"/>
  <c r="H3658" i="122"/>
  <c r="N3658" i="122" s="1"/>
  <c r="F4380" i="122"/>
  <c r="H3710" i="122"/>
  <c r="N3710" i="122" s="1"/>
  <c r="F4516" i="122"/>
  <c r="H3846" i="122"/>
  <c r="N3846" i="122" s="1"/>
  <c r="F4457" i="122"/>
  <c r="H3787" i="122"/>
  <c r="N3787" i="122" s="1"/>
  <c r="H3943" i="122"/>
  <c r="N3943" i="122" s="1"/>
  <c r="F4613" i="122"/>
  <c r="H3904" i="122"/>
  <c r="N3904" i="122" s="1"/>
  <c r="F4574" i="122"/>
  <c r="F4474" i="122"/>
  <c r="H3804" i="122"/>
  <c r="N3804" i="122" s="1"/>
  <c r="H3541" i="122"/>
  <c r="N3541" i="122" s="1"/>
  <c r="F4211" i="122"/>
  <c r="F4412" i="122"/>
  <c r="H3742" i="122"/>
  <c r="N3742" i="122" s="1"/>
  <c r="F4270" i="122"/>
  <c r="H3600" i="122"/>
  <c r="N3600" i="122" s="1"/>
  <c r="F4299" i="122"/>
  <c r="H3629" i="122"/>
  <c r="N3629" i="122" s="1"/>
  <c r="H3860" i="122"/>
  <c r="N3860" i="122" s="1"/>
  <c r="F4530" i="122"/>
  <c r="F4154" i="122"/>
  <c r="H3484" i="122"/>
  <c r="N3484" i="122" s="1"/>
  <c r="H3775" i="122"/>
  <c r="N3775" i="122" s="1"/>
  <c r="F4445" i="122"/>
  <c r="F4535" i="122"/>
  <c r="H3865" i="122"/>
  <c r="N3865" i="122" s="1"/>
  <c r="H3729" i="122"/>
  <c r="N3729" i="122" s="1"/>
  <c r="F4399" i="122"/>
  <c r="H3422" i="122"/>
  <c r="N3422" i="122" s="1"/>
  <c r="F4092" i="122"/>
  <c r="H3889" i="122"/>
  <c r="N3889" i="122" s="1"/>
  <c r="F4559" i="122"/>
  <c r="H3769" i="122"/>
  <c r="N3769" i="122" s="1"/>
  <c r="F4439" i="122"/>
  <c r="F4040" i="122"/>
  <c r="H3370" i="122"/>
  <c r="N3370" i="122" s="1"/>
  <c r="F4273" i="122"/>
  <c r="H3603" i="122"/>
  <c r="N3603" i="122" s="1"/>
  <c r="F4046" i="122"/>
  <c r="H3376" i="122"/>
  <c r="N3376" i="122" s="1"/>
  <c r="F4127" i="122"/>
  <c r="H3457" i="122"/>
  <c r="N3457" i="122" s="1"/>
  <c r="F4534" i="122"/>
  <c r="H3864" i="122"/>
  <c r="N3864" i="122" s="1"/>
  <c r="F4231" i="122"/>
  <c r="H3561" i="122"/>
  <c r="N3561" i="122" s="1"/>
  <c r="F4184" i="122"/>
  <c r="H3514" i="122"/>
  <c r="N3514" i="122" s="1"/>
  <c r="F4295" i="122"/>
  <c r="H3625" i="122"/>
  <c r="N3625" i="122" s="1"/>
  <c r="F4487" i="122"/>
  <c r="H3817" i="122"/>
  <c r="N3817" i="122" s="1"/>
  <c r="F4594" i="122"/>
  <c r="H3924" i="122"/>
  <c r="N3924" i="122" s="1"/>
  <c r="F4076" i="122"/>
  <c r="H3406" i="122"/>
  <c r="N3406" i="122" s="1"/>
  <c r="F4199" i="122"/>
  <c r="H3529" i="122"/>
  <c r="N3529" i="122" s="1"/>
  <c r="F4031" i="122"/>
  <c r="H3361" i="122"/>
  <c r="N3361" i="122" s="1"/>
  <c r="F4361" i="122"/>
  <c r="H3691" i="122"/>
  <c r="N3691" i="122" s="1"/>
  <c r="F4303" i="122"/>
  <c r="H3633" i="122"/>
  <c r="N3633" i="122" s="1"/>
  <c r="F4663" i="122"/>
  <c r="H3851" i="122"/>
  <c r="N3851" i="122" s="1"/>
  <c r="F4521" i="122"/>
  <c r="F4473" i="122"/>
  <c r="H3803" i="122"/>
  <c r="N3803" i="122" s="1"/>
  <c r="H3443" i="122"/>
  <c r="N3443" i="122" s="1"/>
  <c r="F4113" i="122"/>
  <c r="F4337" i="122"/>
  <c r="H3667" i="122"/>
  <c r="N3667" i="122" s="1"/>
  <c r="F4103" i="122"/>
  <c r="H3433" i="122"/>
  <c r="N3433" i="122" s="1"/>
  <c r="H3922" i="122"/>
  <c r="N3922" i="122" s="1"/>
  <c r="F4592" i="122"/>
  <c r="H3959" i="122"/>
  <c r="N3959" i="122" s="1"/>
  <c r="F4629" i="122"/>
  <c r="F4542" i="122"/>
  <c r="H3872" i="122"/>
  <c r="N3872" i="122" s="1"/>
  <c r="F4546" i="122"/>
  <c r="H3876" i="122"/>
  <c r="N3876" i="122" s="1"/>
  <c r="F4464" i="122"/>
  <c r="H3794" i="122"/>
  <c r="N3794" i="122" s="1"/>
  <c r="F4108" i="122"/>
  <c r="H3438" i="122"/>
  <c r="N3438" i="122" s="1"/>
  <c r="F4435" i="122"/>
  <c r="H3765" i="122"/>
  <c r="N3765" i="122" s="1"/>
  <c r="H3918" i="122"/>
  <c r="N3918" i="122" s="1"/>
  <c r="F4588" i="122"/>
  <c r="F4179" i="122"/>
  <c r="H3509" i="122"/>
  <c r="N3509" i="122" s="1"/>
  <c r="H3573" i="122"/>
  <c r="N3573" i="122" s="1"/>
  <c r="F4243" i="122"/>
  <c r="H3723" i="122"/>
  <c r="N3723" i="122" s="1"/>
  <c r="F4393" i="122"/>
  <c r="F4051" i="122"/>
  <c r="H3381" i="122"/>
  <c r="N3381" i="122" s="1"/>
  <c r="F4057" i="122"/>
  <c r="H3387" i="122"/>
  <c r="N3387" i="122" s="1"/>
  <c r="F4218" i="122"/>
  <c r="H3548" i="122"/>
  <c r="N3548" i="122" s="1"/>
  <c r="H3777" i="122"/>
  <c r="N3777" i="122" s="1"/>
  <c r="F4447" i="122"/>
  <c r="F4327" i="122"/>
  <c r="H3657" i="122"/>
  <c r="N3657" i="122" s="1"/>
  <c r="H3727" i="122"/>
  <c r="N3727" i="122" s="1"/>
  <c r="F4397" i="122"/>
  <c r="H3707" i="122"/>
  <c r="N3707" i="122" s="1"/>
  <c r="F4377" i="122"/>
  <c r="H3447" i="122"/>
  <c r="N3447" i="122" s="1"/>
  <c r="F4117" i="122"/>
  <c r="E1257" i="122"/>
  <c r="E1927" i="122" s="1"/>
  <c r="E2597" i="122" s="1"/>
  <c r="E3267" i="122" s="1"/>
  <c r="E3937" i="122" s="1"/>
  <c r="E4607" i="122" s="1"/>
  <c r="E5277" i="122" s="1"/>
  <c r="F4147" i="122"/>
  <c r="H3477" i="122"/>
  <c r="N3477" i="122" s="1"/>
  <c r="F4049" i="122"/>
  <c r="H3379" i="122"/>
  <c r="N3379" i="122" s="1"/>
  <c r="F4180" i="122"/>
  <c r="H3510" i="122"/>
  <c r="N3510" i="122" s="1"/>
  <c r="H3906" i="122"/>
  <c r="N3906" i="122" s="1"/>
  <c r="F4576" i="122"/>
  <c r="H3572" i="122"/>
  <c r="N3572" i="122" s="1"/>
  <c r="F4242" i="122"/>
  <c r="F4160" i="122"/>
  <c r="H3490" i="122"/>
  <c r="N3490" i="122" s="1"/>
  <c r="H3409" i="122"/>
  <c r="N3409" i="122" s="1"/>
  <c r="F4079" i="122"/>
  <c r="F5257" i="122"/>
  <c r="H5257" i="122" s="1"/>
  <c r="N5257" i="122" s="1"/>
  <c r="H4587" i="122"/>
  <c r="N4587" i="122" s="1"/>
  <c r="F3329" i="122"/>
  <c r="F4390" i="122"/>
  <c r="H3720" i="122"/>
  <c r="N3720" i="122" s="1"/>
  <c r="F4496" i="122"/>
  <c r="H3826" i="122"/>
  <c r="N3826" i="122" s="1"/>
  <c r="H3552" i="122"/>
  <c r="N3552" i="122" s="1"/>
  <c r="F4222" i="122"/>
  <c r="H3890" i="122"/>
  <c r="N3890" i="122" s="1"/>
  <c r="F4560" i="122"/>
  <c r="H3756" i="122"/>
  <c r="N3756" i="122" s="1"/>
  <c r="F4426" i="122"/>
  <c r="F4035" i="122"/>
  <c r="H3365" i="122"/>
  <c r="N3365" i="122" s="1"/>
  <c r="F4107" i="122"/>
  <c r="H3437" i="122"/>
  <c r="N3437" i="122" s="1"/>
  <c r="F4590" i="122"/>
  <c r="H3920" i="122"/>
  <c r="N3920" i="122" s="1"/>
  <c r="F4621" i="122"/>
  <c r="H3951" i="122"/>
  <c r="N3951" i="122" s="1"/>
  <c r="H3709" i="122"/>
  <c r="N3709" i="122" s="1"/>
  <c r="F4379" i="122"/>
  <c r="F4306" i="122"/>
  <c r="H3636" i="122"/>
  <c r="N3636" i="122" s="1"/>
  <c r="F4492" i="122"/>
  <c r="H3822" i="122"/>
  <c r="N3822" i="122" s="1"/>
  <c r="F4427" i="122"/>
  <c r="H3757" i="122"/>
  <c r="N3757" i="122" s="1"/>
  <c r="F4343" i="122"/>
  <c r="H3673" i="122"/>
  <c r="N3673" i="122" s="1"/>
  <c r="F4469" i="122"/>
  <c r="H3799" i="122"/>
  <c r="N3799" i="122" s="1"/>
  <c r="H3637" i="122"/>
  <c r="N3637" i="122" s="1"/>
  <c r="F4307" i="122"/>
  <c r="H3550" i="122"/>
  <c r="N3550" i="122" s="1"/>
  <c r="F4220" i="122"/>
  <c r="H3341" i="122"/>
  <c r="N3341" i="122" s="1"/>
  <c r="F4011" i="122"/>
  <c r="F4510" i="122"/>
  <c r="H3840" i="122"/>
  <c r="N3840" i="122" s="1"/>
  <c r="H3836" i="122"/>
  <c r="N3836" i="122" s="1"/>
  <c r="F4506" i="122"/>
  <c r="H3861" i="122"/>
  <c r="N3861" i="122" s="1"/>
  <c r="F4531" i="122"/>
  <c r="H3761" i="122"/>
  <c r="N3761" i="122" s="1"/>
  <c r="F4431" i="122"/>
  <c r="F4271" i="122"/>
  <c r="H3601" i="122"/>
  <c r="N3601" i="122" s="1"/>
  <c r="F4279" i="122"/>
  <c r="H3609" i="122"/>
  <c r="N3609" i="122" s="1"/>
  <c r="H3604" i="122"/>
  <c r="N3604" i="122" s="1"/>
  <c r="F4274" i="122"/>
  <c r="F4458" i="122"/>
  <c r="H3788" i="122"/>
  <c r="N3788" i="122" s="1"/>
  <c r="H3614" i="122"/>
  <c r="N3614" i="122" s="1"/>
  <c r="F4284" i="122"/>
  <c r="H3643" i="122"/>
  <c r="N3643" i="122" s="1"/>
  <c r="F4313" i="122"/>
  <c r="F4453" i="122"/>
  <c r="H3783" i="122"/>
  <c r="N3783" i="122" s="1"/>
  <c r="F4073" i="122"/>
  <c r="H3403" i="122"/>
  <c r="N3403" i="122" s="1"/>
  <c r="F4671" i="122"/>
  <c r="H4001" i="122"/>
  <c r="N4001" i="122" s="1"/>
  <c r="F4078" i="122"/>
  <c r="H3408" i="122"/>
  <c r="N3408" i="122" s="1"/>
  <c r="F4568" i="122"/>
  <c r="H3898" i="122"/>
  <c r="N3898" i="122" s="1"/>
  <c r="F4640" i="122"/>
  <c r="H3970" i="122"/>
  <c r="N3970" i="122" s="1"/>
  <c r="I3355" i="122"/>
  <c r="H3565" i="122"/>
  <c r="N3565" i="122" s="1"/>
  <c r="F4235" i="122"/>
  <c r="H3985" i="122"/>
  <c r="N3985" i="122" s="1"/>
  <c r="F4655" i="122"/>
  <c r="F4350" i="122"/>
  <c r="H3680" i="122"/>
  <c r="N3680" i="122" s="1"/>
  <c r="F4214" i="122"/>
  <c r="H3544" i="122"/>
  <c r="N3544" i="122" s="1"/>
  <c r="F4556" i="122"/>
  <c r="H3886" i="122"/>
  <c r="N3886" i="122" s="1"/>
  <c r="F4434" i="122"/>
  <c r="H3764" i="122"/>
  <c r="N3764" i="122" s="1"/>
  <c r="F4052" i="122"/>
  <c r="H3382" i="122"/>
  <c r="N3382" i="122" s="1"/>
  <c r="F4195" i="122"/>
  <c r="H3525" i="122"/>
  <c r="N3525" i="122" s="1"/>
  <c r="F4249" i="122"/>
  <c r="H3579" i="122"/>
  <c r="N3579" i="122" s="1"/>
  <c r="F4172" i="122"/>
  <c r="H3502" i="122"/>
  <c r="N3502" i="122" s="1"/>
  <c r="F4597" i="122"/>
  <c r="H3927" i="122"/>
  <c r="N3927" i="122" s="1"/>
  <c r="H3567" i="122"/>
  <c r="N3567" i="122" s="1"/>
  <c r="F4237" i="122"/>
  <c r="H3392" i="122"/>
  <c r="N3392" i="122" s="1"/>
  <c r="F4062" i="122"/>
  <c r="F4405" i="122"/>
  <c r="H3735" i="122"/>
  <c r="N3735" i="122" s="1"/>
  <c r="F4056" i="122"/>
  <c r="H3386" i="122"/>
  <c r="N3386" i="122" s="1"/>
  <c r="F4461" i="122"/>
  <c r="H3791" i="122"/>
  <c r="N3791" i="122" s="1"/>
  <c r="F4514" i="122"/>
  <c r="H3844" i="122"/>
  <c r="N3844" i="122" s="1"/>
  <c r="F4176" i="122"/>
  <c r="H3506" i="122"/>
  <c r="N3506" i="122" s="1"/>
  <c r="F4121" i="122"/>
  <c r="H3451" i="122"/>
  <c r="N3451" i="122" s="1"/>
  <c r="H3952" i="122"/>
  <c r="N3952" i="122" s="1"/>
  <c r="F4622" i="122"/>
  <c r="F4293" i="122"/>
  <c r="H3623" i="122"/>
  <c r="N3623" i="122" s="1"/>
  <c r="F4317" i="122"/>
  <c r="H3647" i="122"/>
  <c r="N3647" i="122" s="1"/>
  <c r="H3811" i="122"/>
  <c r="N3811" i="122" s="1"/>
  <c r="F4481" i="122"/>
  <c r="F4589" i="122"/>
  <c r="H3919" i="122"/>
  <c r="N3919" i="122" s="1"/>
  <c r="F4364" i="122"/>
  <c r="H3694" i="122"/>
  <c r="N3694" i="122" s="1"/>
  <c r="F5345" i="122"/>
  <c r="F4607" i="122"/>
  <c r="H3937" i="122"/>
  <c r="N3937" i="122" s="1"/>
  <c r="H3748" i="122"/>
  <c r="N3748" i="122" s="1"/>
  <c r="F4418" i="122"/>
  <c r="F4472" i="122"/>
  <c r="H3802" i="122"/>
  <c r="N3802" i="122" s="1"/>
  <c r="F4413" i="122"/>
  <c r="H3743" i="122"/>
  <c r="N3743" i="122" s="1"/>
  <c r="F4098" i="122"/>
  <c r="H3428" i="122"/>
  <c r="N3428" i="122" s="1"/>
  <c r="F4209" i="122"/>
  <c r="H3539" i="122"/>
  <c r="N3539" i="122" s="1"/>
  <c r="F4315" i="122"/>
  <c r="H3645" i="122"/>
  <c r="N3645" i="122" s="1"/>
  <c r="H3373" i="122"/>
  <c r="N3373" i="122" s="1"/>
  <c r="F4043" i="122"/>
  <c r="F4126" i="122"/>
  <c r="H3456" i="122"/>
  <c r="N3456" i="122" s="1"/>
  <c r="H3888" i="122"/>
  <c r="N3888" i="122" s="1"/>
  <c r="F4558" i="122"/>
  <c r="F4619" i="122"/>
  <c r="H3949" i="122"/>
  <c r="N3949" i="122" s="1"/>
  <c r="F4192" i="122"/>
  <c r="H3522" i="122"/>
  <c r="N3522" i="122" s="1"/>
  <c r="F4109" i="122"/>
  <c r="H3439" i="122"/>
  <c r="N3439" i="122" s="1"/>
  <c r="F4617" i="122"/>
  <c r="H3947" i="122"/>
  <c r="N3947" i="122" s="1"/>
  <c r="F4557" i="122"/>
  <c r="H3887" i="122"/>
  <c r="N3887" i="122" s="1"/>
  <c r="F4471" i="122"/>
  <c r="H3801" i="122"/>
  <c r="N3801" i="122" s="1"/>
  <c r="F4042" i="122"/>
  <c r="H3372" i="122"/>
  <c r="N3372" i="122" s="1"/>
  <c r="H4595" i="122"/>
  <c r="N4595" i="122" s="1"/>
  <c r="F5265" i="122"/>
  <c r="H5265" i="122" s="1"/>
  <c r="N5265" i="122" s="1"/>
  <c r="H3828" i="122"/>
  <c r="N3828" i="122" s="1"/>
  <c r="F4498" i="122"/>
  <c r="F4494" i="122"/>
  <c r="H3824" i="122"/>
  <c r="N3824" i="122" s="1"/>
  <c r="F4432" i="122"/>
  <c r="H3762" i="122"/>
  <c r="N3762" i="122" s="1"/>
  <c r="H4483" i="122"/>
  <c r="N4483" i="122" s="1"/>
  <c r="F5153" i="122"/>
  <c r="H5153" i="122" s="1"/>
  <c r="N5153" i="122" s="1"/>
  <c r="F4572" i="122"/>
  <c r="H3902" i="122"/>
  <c r="N3902" i="122" s="1"/>
  <c r="F4372" i="122"/>
  <c r="H3702" i="122"/>
  <c r="N3702" i="122" s="1"/>
  <c r="F4264" i="122"/>
  <c r="H3594" i="122"/>
  <c r="N3594" i="122" s="1"/>
  <c r="F4614" i="122"/>
  <c r="H3944" i="122"/>
  <c r="N3944" i="122" s="1"/>
  <c r="F4652" i="122"/>
  <c r="H3982" i="122"/>
  <c r="N3982" i="122" s="1"/>
  <c r="F4486" i="122"/>
  <c r="H3816" i="122"/>
  <c r="N3816" i="122" s="1"/>
  <c r="F4422" i="122"/>
  <c r="H3752" i="122"/>
  <c r="N3752" i="122" s="1"/>
  <c r="F4693" i="122"/>
  <c r="H4023" i="122"/>
  <c r="N4023" i="122" s="1"/>
  <c r="F4642" i="122"/>
  <c r="H3972" i="122"/>
  <c r="N3972" i="122" s="1"/>
  <c r="H3396" i="122"/>
  <c r="N3396" i="122" s="1"/>
  <c r="F4066" i="122"/>
  <c r="F4582" i="122"/>
  <c r="H3912" i="122"/>
  <c r="N3912" i="122" s="1"/>
  <c r="F4185" i="122"/>
  <c r="H3515" i="122"/>
  <c r="N3515" i="122" s="1"/>
  <c r="H3792" i="122"/>
  <c r="N3792" i="122" s="1"/>
  <c r="F4462" i="122"/>
  <c r="F4248" i="122"/>
  <c r="H3578" i="122"/>
  <c r="N3578" i="122" s="1"/>
  <c r="F4400" i="122"/>
  <c r="H3730" i="122"/>
  <c r="N3730" i="122" s="1"/>
  <c r="H3808" i="122"/>
  <c r="N3808" i="122" s="1"/>
  <c r="F4478" i="122"/>
  <c r="F4489" i="122"/>
  <c r="H3819" i="122"/>
  <c r="N3819" i="122" s="1"/>
  <c r="F4388" i="122"/>
  <c r="H3718" i="122"/>
  <c r="N3718" i="122" s="1"/>
  <c r="H3750" i="122"/>
  <c r="N3750" i="122" s="1"/>
  <c r="F4420" i="122"/>
  <c r="H4258" i="122"/>
  <c r="N4258" i="122" s="1"/>
  <c r="F4928" i="122"/>
  <c r="H4928" i="122" s="1"/>
  <c r="N4928" i="122" s="1"/>
  <c r="H3580" i="122"/>
  <c r="N3580" i="122" s="1"/>
  <c r="F4250" i="122"/>
  <c r="F4520" i="122"/>
  <c r="H3850" i="122"/>
  <c r="N3850" i="122" s="1"/>
  <c r="F4358" i="122"/>
  <c r="H3688" i="122"/>
  <c r="N3688" i="122" s="1"/>
  <c r="H3779" i="122"/>
  <c r="N3779" i="122" s="1"/>
  <c r="F4449" i="122"/>
  <c r="F4215" i="122"/>
  <c r="H3545" i="122"/>
  <c r="N3545" i="122" s="1"/>
  <c r="F4033" i="122"/>
  <c r="H3363" i="122"/>
  <c r="N3363" i="122" s="1"/>
  <c r="E1059" i="122"/>
  <c r="E1729" i="122" s="1"/>
  <c r="E2399" i="122" s="1"/>
  <c r="E3069" i="122" s="1"/>
  <c r="E3739" i="122" s="1"/>
  <c r="E4409" i="122" s="1"/>
  <c r="E5079" i="122" s="1"/>
  <c r="F4421" i="122"/>
  <c r="H3751" i="122"/>
  <c r="N3751" i="122" s="1"/>
  <c r="F4415" i="122"/>
  <c r="H3745" i="122"/>
  <c r="N3745" i="122" s="1"/>
  <c r="F4203" i="122"/>
  <c r="H3533" i="122"/>
  <c r="N3533" i="122" s="1"/>
  <c r="F4608" i="122"/>
  <c r="H3938" i="122"/>
  <c r="N3938" i="122" s="1"/>
  <c r="F4318" i="122"/>
  <c r="H3648" i="122"/>
  <c r="N3648" i="122" s="1"/>
  <c r="F4688" i="122"/>
  <c r="H4018" i="122"/>
  <c r="N4018" i="122" s="1"/>
  <c r="F5273" i="122"/>
  <c r="H5273" i="122" s="1"/>
  <c r="N5273" i="122" s="1"/>
  <c r="H4603" i="122"/>
  <c r="N4603" i="122" s="1"/>
  <c r="F4485" i="122"/>
  <c r="H3815" i="122"/>
  <c r="N3815" i="122" s="1"/>
  <c r="F4644" i="122"/>
  <c r="H3974" i="122"/>
  <c r="N3974" i="122" s="1"/>
  <c r="F4064" i="122"/>
  <c r="H3394" i="122"/>
  <c r="N3394" i="122" s="1"/>
  <c r="F4088" i="122"/>
  <c r="H3418" i="122"/>
  <c r="N3418" i="122" s="1"/>
  <c r="F4398" i="122"/>
  <c r="H3728" i="122"/>
  <c r="N3728" i="122" s="1"/>
  <c r="F4087" i="122"/>
  <c r="H3417" i="122"/>
  <c r="N3417" i="122" s="1"/>
  <c r="H1315" i="122"/>
  <c r="N1315" i="122" s="1"/>
  <c r="F1985" i="122"/>
  <c r="F4104" i="122"/>
  <c r="H3434" i="122"/>
  <c r="N3434" i="122" s="1"/>
  <c r="F4148" i="122"/>
  <c r="H3478" i="122"/>
  <c r="N3478" i="122" s="1"/>
  <c r="H3763" i="122"/>
  <c r="N3763" i="122" s="1"/>
  <c r="F4433" i="122"/>
  <c r="H4022" i="122"/>
  <c r="N4022" i="122" s="1"/>
  <c r="F4692" i="122"/>
  <c r="F4440" i="122"/>
  <c r="H3770" i="122"/>
  <c r="N3770" i="122" s="1"/>
  <c r="F4527" i="122"/>
  <c r="H3857" i="122"/>
  <c r="N3857" i="122" s="1"/>
  <c r="F4532" i="122"/>
  <c r="H3862" i="122"/>
  <c r="N3862" i="122" s="1"/>
  <c r="F4570" i="122"/>
  <c r="H3900" i="122"/>
  <c r="N3900" i="122" s="1"/>
  <c r="H3473" i="122"/>
  <c r="N3473" i="122" s="1"/>
  <c r="F4143" i="122"/>
  <c r="F5233" i="122"/>
  <c r="H5233" i="122" s="1"/>
  <c r="N5233" i="122" s="1"/>
  <c r="H4563" i="122"/>
  <c r="N4563" i="122" s="1"/>
  <c r="F4146" i="122"/>
  <c r="H3476" i="122"/>
  <c r="N3476" i="122" s="1"/>
  <c r="F4406" i="122"/>
  <c r="H3736" i="122"/>
  <c r="N3736" i="122" s="1"/>
  <c r="F4157" i="122"/>
  <c r="H3487" i="122"/>
  <c r="N3487" i="122" s="1"/>
  <c r="F4502" i="122"/>
  <c r="H3832" i="122"/>
  <c r="N3832" i="122" s="1"/>
  <c r="F4071" i="122"/>
  <c r="H3401" i="122"/>
  <c r="N3401" i="122" s="1"/>
  <c r="F4156" i="122"/>
  <c r="H3486" i="122"/>
  <c r="N3486" i="122" s="1"/>
  <c r="H3697" i="122"/>
  <c r="N3697" i="122" s="1"/>
  <c r="F4367" i="122"/>
  <c r="H3759" i="122"/>
  <c r="N3759" i="122" s="1"/>
  <c r="F4429" i="122"/>
  <c r="F2663" i="122"/>
  <c r="H1993" i="122"/>
  <c r="N1993" i="122" s="1"/>
  <c r="H4017" i="122"/>
  <c r="N4017" i="122" s="1"/>
  <c r="F4687" i="122"/>
  <c r="H3827" i="122"/>
  <c r="N3827" i="122" s="1"/>
  <c r="F4497" i="122"/>
  <c r="F4370" i="122"/>
  <c r="H3700" i="122"/>
  <c r="N3700" i="122" s="1"/>
  <c r="F4036" i="122"/>
  <c r="H3366" i="122"/>
  <c r="N3366" i="122" s="1"/>
  <c r="F4110" i="122"/>
  <c r="H3440" i="122"/>
  <c r="N3440" i="122" s="1"/>
  <c r="F4283" i="122"/>
  <c r="H3613" i="122"/>
  <c r="N3613" i="122" s="1"/>
  <c r="H3661" i="122"/>
  <c r="N3661" i="122" s="1"/>
  <c r="F4331" i="122"/>
  <c r="H3655" i="122"/>
  <c r="N3655" i="122" s="1"/>
  <c r="F4325" i="122"/>
  <c r="H3483" i="122"/>
  <c r="N3483" i="122" s="1"/>
  <c r="F4153" i="122"/>
  <c r="F4443" i="122"/>
  <c r="H3773" i="122"/>
  <c r="N3773" i="122" s="1"/>
  <c r="H3754" i="122"/>
  <c r="N3754" i="122" s="1"/>
  <c r="F4424" i="122"/>
  <c r="H3617" i="122"/>
  <c r="N3617" i="122" s="1"/>
  <c r="F4287" i="122"/>
  <c r="F4208" i="122"/>
  <c r="H3538" i="122"/>
  <c r="N3538" i="122" s="1"/>
  <c r="F4519" i="122"/>
  <c r="H3849" i="122"/>
  <c r="N3849" i="122" s="1"/>
  <c r="F4241" i="122"/>
  <c r="H3571" i="122"/>
  <c r="N3571" i="122" s="1"/>
  <c r="F4463" i="122"/>
  <c r="H3793" i="122"/>
  <c r="N3793" i="122" s="1"/>
  <c r="H3619" i="122"/>
  <c r="N3619" i="122" s="1"/>
  <c r="F4289" i="122"/>
  <c r="F4175" i="122"/>
  <c r="H3505" i="122"/>
  <c r="N3505" i="122" s="1"/>
  <c r="F2662" i="122"/>
  <c r="H1992" i="122"/>
  <c r="N1992" i="122" s="1"/>
  <c r="F4505" i="122"/>
  <c r="H3835" i="122"/>
  <c r="N3835" i="122" s="1"/>
  <c r="H3531" i="122"/>
  <c r="N3531" i="122" s="1"/>
  <c r="F4201" i="122"/>
  <c r="F4139" i="122"/>
  <c r="H3469" i="122"/>
  <c r="N3469" i="122" s="1"/>
  <c r="F4456" i="122"/>
  <c r="H3786" i="122"/>
  <c r="N3786" i="122" s="1"/>
  <c r="F4529" i="122"/>
  <c r="H3859" i="122"/>
  <c r="N3859" i="122" s="1"/>
  <c r="F4045" i="122"/>
  <c r="H3375" i="122"/>
  <c r="N3375" i="122" s="1"/>
  <c r="F4359" i="122"/>
  <c r="H3689" i="122"/>
  <c r="N3689" i="122" s="1"/>
  <c r="F4373" i="122"/>
  <c r="H3703" i="122"/>
  <c r="N3703" i="122" s="1"/>
  <c r="F4355" i="122"/>
  <c r="H3685" i="122"/>
  <c r="N3685" i="122" s="1"/>
  <c r="F4605" i="122"/>
  <c r="H3935" i="122"/>
  <c r="N3935" i="122" s="1"/>
  <c r="F5009" i="122"/>
  <c r="H5009" i="122" s="1"/>
  <c r="N5009" i="122" s="1"/>
  <c r="H4339" i="122"/>
  <c r="N4339" i="122" s="1"/>
  <c r="F4708" i="122"/>
  <c r="H4708" i="122" s="1"/>
  <c r="N4708" i="122" s="1"/>
  <c r="H4038" i="122"/>
  <c r="N4038" i="122" s="1"/>
  <c r="H3413" i="122"/>
  <c r="N3413" i="122" s="1"/>
  <c r="F4083" i="122"/>
  <c r="F4164" i="122"/>
  <c r="H3494" i="122"/>
  <c r="N3494" i="122" s="1"/>
  <c r="F4106" i="122"/>
  <c r="H3436" i="122"/>
  <c r="N3436" i="122" s="1"/>
  <c r="F4226" i="122"/>
  <c r="H3556" i="122"/>
  <c r="N3556" i="122" s="1"/>
  <c r="F4375" i="122"/>
  <c r="H3705" i="122"/>
  <c r="N3705" i="122" s="1"/>
  <c r="H3393" i="122"/>
  <c r="N3393" i="122" s="1"/>
  <c r="F4063" i="122"/>
  <c r="F4764" i="122"/>
  <c r="H4764" i="122" s="1"/>
  <c r="N4764" i="122" s="1"/>
  <c r="H4094" i="122"/>
  <c r="N4094" i="122" s="1"/>
  <c r="F4382" i="122"/>
  <c r="H3712" i="122"/>
  <c r="N3712" i="122" s="1"/>
  <c r="H3445" i="122"/>
  <c r="N3445" i="122" s="1"/>
  <c r="F4115" i="122"/>
  <c r="H3739" i="122"/>
  <c r="N3739" i="122" s="1"/>
  <c r="F4409" i="122"/>
  <c r="F4436" i="122"/>
  <c r="H3766" i="122"/>
  <c r="N3766" i="122" s="1"/>
  <c r="F5281" i="122"/>
  <c r="H5281" i="122" s="1"/>
  <c r="N5281" i="122" s="1"/>
  <c r="H4611" i="122"/>
  <c r="N4611" i="122" s="1"/>
  <c r="F4493" i="122"/>
  <c r="H3823" i="122"/>
  <c r="N3823" i="122" s="1"/>
  <c r="F4048" i="122"/>
  <c r="H3378" i="122"/>
  <c r="N3378" i="122" s="1"/>
  <c r="F4085" i="122"/>
  <c r="H3415" i="122"/>
  <c r="N3415" i="122" s="1"/>
  <c r="F4145" i="122"/>
  <c r="H3475" i="122"/>
  <c r="N3475" i="122" s="1"/>
  <c r="F4224" i="122"/>
  <c r="H3554" i="122"/>
  <c r="N3554" i="122" s="1"/>
  <c r="H3679" i="122"/>
  <c r="N3679" i="122" s="1"/>
  <c r="F4349" i="122"/>
  <c r="F4438" i="122"/>
  <c r="H3768" i="122"/>
  <c r="N3768" i="122" s="1"/>
  <c r="F4212" i="122"/>
  <c r="H3542" i="122"/>
  <c r="N3542" i="122" s="1"/>
  <c r="F4320" i="122"/>
  <c r="H3650" i="122"/>
  <c r="N3650" i="122" s="1"/>
  <c r="F4125" i="122"/>
  <c r="H3455" i="122"/>
  <c r="N3455" i="122" s="1"/>
  <c r="E1316" i="122"/>
  <c r="E1986" i="122" s="1"/>
  <c r="E2656" i="122" s="1"/>
  <c r="E3326" i="122" s="1"/>
  <c r="E3996" i="122" s="1"/>
  <c r="E4666" i="122" s="1"/>
  <c r="E5336" i="122" s="1"/>
  <c r="F4360" i="122"/>
  <c r="H3690" i="122"/>
  <c r="N3690" i="122" s="1"/>
  <c r="F4550" i="122"/>
  <c r="H3880" i="122"/>
  <c r="N3880" i="122" s="1"/>
  <c r="H3953" i="122"/>
  <c r="N3953" i="122" s="1"/>
  <c r="F4623" i="122"/>
  <c r="E1256" i="122"/>
  <c r="E1926" i="122" s="1"/>
  <c r="E2596" i="122" s="1"/>
  <c r="E3266" i="122" s="1"/>
  <c r="E3936" i="122" s="1"/>
  <c r="E4606" i="122" s="1"/>
  <c r="E5276" i="122" s="1"/>
  <c r="E1069" i="122"/>
  <c r="E1739" i="122" s="1"/>
  <c r="E2409" i="122" s="1"/>
  <c r="E3079" i="122" s="1"/>
  <c r="E3749" i="122" s="1"/>
  <c r="E4419" i="122" s="1"/>
  <c r="E5089" i="122" s="1"/>
  <c r="F4353" i="122"/>
  <c r="H3683" i="122"/>
  <c r="N3683" i="122" s="1"/>
  <c r="H3470" i="122"/>
  <c r="N3470" i="122" s="1"/>
  <c r="F4140" i="122"/>
  <c r="F4396" i="122"/>
  <c r="H3726" i="122"/>
  <c r="N3726" i="122" s="1"/>
  <c r="H3874" i="122"/>
  <c r="N3874" i="122" s="1"/>
  <c r="F4544" i="122"/>
  <c r="F4149" i="122"/>
  <c r="H3479" i="122"/>
  <c r="N3479" i="122" s="1"/>
  <c r="F4245" i="122"/>
  <c r="H3575" i="122"/>
  <c r="N3575" i="122" s="1"/>
  <c r="F4511" i="122"/>
  <c r="H3841" i="122"/>
  <c r="N3841" i="122" s="1"/>
  <c r="F4000" i="122"/>
  <c r="H3330" i="122"/>
  <c r="N3330" i="122" s="1"/>
  <c r="H3367" i="122"/>
  <c r="N3367" i="122" s="1"/>
  <c r="F4037" i="122"/>
  <c r="F4290" i="122"/>
  <c r="H3620" i="122"/>
  <c r="N3620" i="122" s="1"/>
  <c r="H4070" i="122"/>
  <c r="N4070" i="122" s="1"/>
  <c r="F4740" i="122"/>
  <c r="H4740" i="122" s="1"/>
  <c r="N4740" i="122" s="1"/>
  <c r="F4233" i="122"/>
  <c r="H3563" i="122"/>
  <c r="N3563" i="122" s="1"/>
  <c r="H3687" i="122"/>
  <c r="N3687" i="122" s="1"/>
  <c r="F4357" i="122"/>
  <c r="F4236" i="122"/>
  <c r="H3566" i="122"/>
  <c r="N3566" i="122" s="1"/>
  <c r="F4095" i="122"/>
  <c r="H3425" i="122"/>
  <c r="N3425" i="122" s="1"/>
  <c r="F4610" i="122"/>
  <c r="H3940" i="122"/>
  <c r="N3940" i="122" s="1"/>
  <c r="F4684" i="122"/>
  <c r="H4014" i="122"/>
  <c r="N4014" i="122" s="1"/>
  <c r="F4491" i="122"/>
  <c r="H3821" i="122"/>
  <c r="N3821" i="122" s="1"/>
  <c r="F4518" i="122"/>
  <c r="H3848" i="122"/>
  <c r="N3848" i="122" s="1"/>
  <c r="H3954" i="122"/>
  <c r="N3954" i="122" s="1"/>
  <c r="F4624" i="122"/>
  <c r="F4517" i="122"/>
  <c r="H3847" i="122"/>
  <c r="N3847" i="122" s="1"/>
  <c r="F4366" i="122"/>
  <c r="H3696" i="122"/>
  <c r="N3696" i="122" s="1"/>
  <c r="H3858" i="122"/>
  <c r="N3858" i="122" s="1"/>
  <c r="F4528" i="122"/>
  <c r="F4260" i="122"/>
  <c r="H3590" i="122"/>
  <c r="N3590" i="122" s="1"/>
  <c r="F4562" i="122"/>
  <c r="H3892" i="122"/>
  <c r="N3892" i="122" s="1"/>
  <c r="H3911" i="122"/>
  <c r="N3911" i="122" s="1"/>
  <c r="F4581" i="122"/>
  <c r="F4296" i="122"/>
  <c r="H3626" i="122"/>
  <c r="N3626" i="122" s="1"/>
  <c r="F4368" i="122"/>
  <c r="H3698" i="122"/>
  <c r="N3698" i="122" s="1"/>
  <c r="F4120" i="122"/>
  <c r="H3450" i="122"/>
  <c r="N3450" i="122" s="1"/>
  <c r="F4690" i="122"/>
  <c r="H4020" i="122"/>
  <c r="N4020" i="122" s="1"/>
  <c r="H3871" i="122"/>
  <c r="N3871" i="122" s="1"/>
  <c r="F4541" i="122"/>
  <c r="F4323" i="122"/>
  <c r="H3653" i="122"/>
  <c r="N3653" i="122" s="1"/>
  <c r="F4044" i="122"/>
  <c r="H3374" i="122"/>
  <c r="N3374" i="122" s="1"/>
  <c r="H3610" i="122"/>
  <c r="N3610" i="122" s="1"/>
  <c r="F4280" i="122"/>
  <c r="F4294" i="122"/>
  <c r="H3624" i="122"/>
  <c r="N3624" i="122" s="1"/>
  <c r="F4255" i="122"/>
  <c r="H3585" i="122"/>
  <c r="N3585" i="122" s="1"/>
  <c r="H3964" i="122"/>
  <c r="N3964" i="122" s="1"/>
  <c r="F4634" i="122"/>
  <c r="H3465" i="122"/>
  <c r="N3465" i="122" s="1"/>
  <c r="F4135" i="122"/>
  <c r="H4016" i="122"/>
  <c r="N4016" i="122" s="1"/>
  <c r="F4686" i="122"/>
  <c r="F4244" i="122"/>
  <c r="H3574" i="122"/>
  <c r="N3574" i="122" s="1"/>
  <c r="F4402" i="122"/>
  <c r="H3732" i="122"/>
  <c r="N3732" i="122" s="1"/>
  <c r="F4332" i="122"/>
  <c r="H3662" i="122"/>
  <c r="N3662" i="122" s="1"/>
  <c r="F4050" i="122"/>
  <c r="H3380" i="122"/>
  <c r="N3380" i="122" s="1"/>
  <c r="F4408" i="122"/>
  <c r="H3738" i="122"/>
  <c r="N3738" i="122" s="1"/>
  <c r="F4247" i="122"/>
  <c r="H3577" i="122"/>
  <c r="N3577" i="122" s="1"/>
  <c r="F4630" i="122"/>
  <c r="H3960" i="122"/>
  <c r="N3960" i="122" s="1"/>
  <c r="F4285" i="122"/>
  <c r="H3615" i="122"/>
  <c r="N3615" i="122" s="1"/>
  <c r="F4694" i="122"/>
  <c r="H4024" i="122"/>
  <c r="N4024" i="122" s="1"/>
  <c r="F4197" i="122"/>
  <c r="H3527" i="122"/>
  <c r="N3527" i="122" s="1"/>
  <c r="F4470" i="122"/>
  <c r="H3800" i="122"/>
  <c r="N3800" i="122" s="1"/>
  <c r="F4261" i="122"/>
  <c r="H3591" i="122"/>
  <c r="N3591" i="122" s="1"/>
  <c r="F4138" i="122"/>
  <c r="H3468" i="122"/>
  <c r="N3468" i="122" s="1"/>
  <c r="H3961" i="122"/>
  <c r="N3961" i="122" s="1"/>
  <c r="F4631" i="122"/>
  <c r="F4266" i="122"/>
  <c r="H3596" i="122"/>
  <c r="N3596" i="122" s="1"/>
  <c r="H3471" i="122"/>
  <c r="N3471" i="122" s="1"/>
  <c r="F4141" i="122"/>
  <c r="H3753" i="122"/>
  <c r="N3753" i="122" s="1"/>
  <c r="F4423" i="122"/>
  <c r="F4053" i="122"/>
  <c r="H3383" i="122"/>
  <c r="N3383" i="122" s="1"/>
  <c r="H4194" i="122"/>
  <c r="N4194" i="122" s="1"/>
  <c r="F4864" i="122"/>
  <c r="H4864" i="122" s="1"/>
  <c r="N4864" i="122" s="1"/>
  <c r="H3593" i="122"/>
  <c r="N3593" i="122" s="1"/>
  <c r="F4263" i="122"/>
  <c r="F4170" i="122"/>
  <c r="H3500" i="122"/>
  <c r="N3500" i="122" s="1"/>
  <c r="F4656" i="122"/>
  <c r="H3986" i="122"/>
  <c r="N3986" i="122" s="1"/>
  <c r="F4262" i="122"/>
  <c r="H3592" i="122"/>
  <c r="N3592" i="122" s="1"/>
  <c r="F4387" i="122"/>
  <c r="H3717" i="122"/>
  <c r="N3717" i="122" s="1"/>
  <c r="F5249" i="122"/>
  <c r="H5249" i="122" s="1"/>
  <c r="N5249" i="122" s="1"/>
  <c r="H4579" i="122"/>
  <c r="N4579" i="122" s="1"/>
  <c r="F5217" i="122"/>
  <c r="H5217" i="122" s="1"/>
  <c r="N5217" i="122" s="1"/>
  <c r="H4547" i="122"/>
  <c r="N4547" i="122" s="1"/>
  <c r="F4606" i="122"/>
  <c r="H3936" i="122"/>
  <c r="N3936" i="122" s="1"/>
  <c r="F4182" i="122"/>
  <c r="H3512" i="122"/>
  <c r="N3512" i="122" s="1"/>
  <c r="F4096" i="122"/>
  <c r="H3426" i="122"/>
  <c r="N3426" i="122" s="1"/>
  <c r="F4586" i="122"/>
  <c r="H3916" i="122"/>
  <c r="N3916" i="122" s="1"/>
  <c r="F4480" i="122"/>
  <c r="H3810" i="122"/>
  <c r="N3810" i="122" s="1"/>
  <c r="F4090" i="122"/>
  <c r="H3420" i="122"/>
  <c r="N3420" i="122" s="1"/>
  <c r="H3971" i="122"/>
  <c r="N3971" i="122" s="1"/>
  <c r="F4641" i="122"/>
  <c r="F4314" i="122"/>
  <c r="H3644" i="122"/>
  <c r="N3644" i="122" s="1"/>
  <c r="F4077" i="122"/>
  <c r="H3407" i="122"/>
  <c r="N3407" i="122" s="1"/>
  <c r="H3983" i="122"/>
  <c r="N3983" i="122" s="1"/>
  <c r="F4653" i="122"/>
  <c r="F4319" i="122"/>
  <c r="H3649" i="122"/>
  <c r="N3649" i="122" s="1"/>
  <c r="F4677" i="122"/>
  <c r="H4007" i="122"/>
  <c r="N4007" i="122" s="1"/>
  <c r="F4252" i="122"/>
  <c r="H3582" i="122"/>
  <c r="N3582" i="122" s="1"/>
  <c r="H3517" i="122"/>
  <c r="N3517" i="122" s="1"/>
  <c r="F4187" i="122"/>
  <c r="F4119" i="122"/>
  <c r="H3449" i="122"/>
  <c r="N3449" i="122" s="1"/>
  <c r="F4216" i="122"/>
  <c r="H3546" i="122"/>
  <c r="N3546" i="122" s="1"/>
  <c r="F4168" i="122"/>
  <c r="H3498" i="122"/>
  <c r="N3498" i="122" s="1"/>
  <c r="F4341" i="122"/>
  <c r="H3671" i="122"/>
  <c r="N3671" i="122" s="1"/>
  <c r="F4308" i="122"/>
  <c r="H3638" i="122"/>
  <c r="N3638" i="122" s="1"/>
  <c r="F4543" i="122"/>
  <c r="H3873" i="122"/>
  <c r="N3873" i="122" s="1"/>
  <c r="F4144" i="122"/>
  <c r="H3474" i="122"/>
  <c r="N3474" i="122" s="1"/>
  <c r="F4206" i="122"/>
  <c r="H3536" i="122"/>
  <c r="N3536" i="122" s="1"/>
  <c r="F4602" i="122"/>
  <c r="H3932" i="122"/>
  <c r="N3932" i="122" s="1"/>
  <c r="F4378" i="122"/>
  <c r="H3708" i="122"/>
  <c r="N3708" i="122" s="1"/>
  <c r="F4169" i="122"/>
  <c r="H3499" i="122"/>
  <c r="N3499" i="122" s="1"/>
  <c r="E1178" i="122"/>
  <c r="E1848" i="122" s="1"/>
  <c r="E2518" i="122" s="1"/>
  <c r="E3188" i="122" s="1"/>
  <c r="E3858" i="122" s="1"/>
  <c r="E4528" i="122" s="1"/>
  <c r="E5198" i="122" s="1"/>
  <c r="F4335" i="122"/>
  <c r="H3665" i="122"/>
  <c r="N3665" i="122" s="1"/>
  <c r="F4311" i="122"/>
  <c r="H3641" i="122"/>
  <c r="N3641" i="122" s="1"/>
  <c r="F4004" i="122"/>
  <c r="E1331" i="122"/>
  <c r="E2001" i="122" s="1"/>
  <c r="E2671" i="122" s="1"/>
  <c r="E3341" i="122" s="1"/>
  <c r="E4011" i="122" s="1"/>
  <c r="E4681" i="122" s="1"/>
  <c r="E5351" i="122" s="1"/>
  <c r="E1274" i="122"/>
  <c r="E1944" i="122" s="1"/>
  <c r="E2614" i="122" s="1"/>
  <c r="E3284" i="122" s="1"/>
  <c r="E3954" i="122" s="1"/>
  <c r="E4624" i="122" s="1"/>
  <c r="E5294" i="122" s="1"/>
  <c r="M1998" i="122"/>
  <c r="E1071" i="122"/>
  <c r="E1741" i="122" s="1"/>
  <c r="E2411" i="122" s="1"/>
  <c r="E3081" i="122" s="1"/>
  <c r="E3751" i="122" s="1"/>
  <c r="E4421" i="122" s="1"/>
  <c r="E5091" i="122" s="1"/>
  <c r="E1172" i="122"/>
  <c r="E1842" i="122" s="1"/>
  <c r="E2512" i="122" s="1"/>
  <c r="E3182" i="122" s="1"/>
  <c r="E3852" i="122" s="1"/>
  <c r="E4522" i="122" s="1"/>
  <c r="E5192" i="122" s="1"/>
  <c r="E1315" i="122"/>
  <c r="E1985" i="122" s="1"/>
  <c r="E2655" i="122" s="1"/>
  <c r="E3325" i="122" s="1"/>
  <c r="E3995" i="122" s="1"/>
  <c r="E4665" i="122" s="1"/>
  <c r="E5335" i="122" s="1"/>
  <c r="F4330" i="122"/>
  <c r="H3660" i="122"/>
  <c r="N3660" i="122" s="1"/>
  <c r="F4305" i="122"/>
  <c r="H3635" i="122"/>
  <c r="N3635" i="122" s="1"/>
  <c r="H3384" i="122"/>
  <c r="N3384" i="122" s="1"/>
  <c r="F4054" i="122"/>
  <c r="F4272" i="122"/>
  <c r="H3602" i="122"/>
  <c r="N3602" i="122" s="1"/>
  <c r="H3493" i="122"/>
  <c r="N3493" i="122" s="1"/>
  <c r="F4163" i="122"/>
  <c r="H3910" i="122"/>
  <c r="N3910" i="122" s="1"/>
  <c r="F4580" i="122"/>
  <c r="H3659" i="122"/>
  <c r="N3659" i="122" s="1"/>
  <c r="F4329" i="122"/>
  <c r="F4129" i="122"/>
  <c r="H3459" i="122"/>
  <c r="N3459" i="122" s="1"/>
  <c r="F4551" i="122"/>
  <c r="H3881" i="122"/>
  <c r="N3881" i="122" s="1"/>
  <c r="F4545" i="122"/>
  <c r="H3875" i="122"/>
  <c r="N3875" i="122" s="1"/>
  <c r="F4571" i="122"/>
  <c r="H3901" i="122"/>
  <c r="N3901" i="122" s="1"/>
  <c r="H3631" i="122"/>
  <c r="N3631" i="122" s="1"/>
  <c r="F4301" i="122"/>
  <c r="F4061" i="122"/>
  <c r="H3391" i="122"/>
  <c r="N3391" i="122" s="1"/>
  <c r="F4276" i="122"/>
  <c r="H3606" i="122"/>
  <c r="N3606" i="122" s="1"/>
  <c r="F4526" i="122"/>
  <c r="H3856" i="122"/>
  <c r="N3856" i="122" s="1"/>
  <c r="H3597" i="122"/>
  <c r="N3597" i="122" s="1"/>
  <c r="F4267" i="122"/>
  <c r="F4334" i="122"/>
  <c r="H3664" i="122"/>
  <c r="N3664" i="122" s="1"/>
  <c r="H3843" i="122"/>
  <c r="N3843" i="122" s="1"/>
  <c r="F4513" i="122"/>
  <c r="F4086" i="122"/>
  <c r="H3416" i="122"/>
  <c r="N3416" i="122" s="1"/>
  <c r="F5329" i="122"/>
  <c r="H5329" i="122" s="1"/>
  <c r="N5329" i="122" s="1"/>
  <c r="H4659" i="122"/>
  <c r="N4659" i="122" s="1"/>
  <c r="F4009" i="122"/>
  <c r="H3453" i="122"/>
  <c r="N3453" i="122" s="1"/>
  <c r="F4123" i="122"/>
  <c r="F4537" i="122"/>
  <c r="H3867" i="122"/>
  <c r="N3867" i="122" s="1"/>
  <c r="H3807" i="122"/>
  <c r="N3807" i="122" s="1"/>
  <c r="F4477" i="122"/>
  <c r="N2996" i="122"/>
  <c r="F4553" i="122"/>
  <c r="H3883" i="122"/>
  <c r="N3883" i="122" s="1"/>
  <c r="F4512" i="122"/>
  <c r="H3842" i="122"/>
  <c r="N3842" i="122" s="1"/>
  <c r="F4344" i="122"/>
  <c r="H3674" i="122"/>
  <c r="N3674" i="122" s="1"/>
  <c r="H3931" i="122"/>
  <c r="N3931" i="122" s="1"/>
  <c r="F4601" i="122"/>
  <c r="F4246" i="122"/>
  <c r="H3576" i="122"/>
  <c r="N3576" i="122" s="1"/>
  <c r="F4444" i="122"/>
  <c r="H3774" i="122"/>
  <c r="N3774" i="122" s="1"/>
  <c r="F4039" i="122"/>
  <c r="H3369" i="122"/>
  <c r="N3369" i="122" s="1"/>
  <c r="F4309" i="122"/>
  <c r="H3639" i="122"/>
  <c r="N3639" i="122" s="1"/>
  <c r="H3646" i="122"/>
  <c r="N3646" i="122" s="1"/>
  <c r="F4316" i="122"/>
  <c r="H3814" i="122"/>
  <c r="N3814" i="122" s="1"/>
  <c r="F4484" i="122"/>
  <c r="F4369" i="122"/>
  <c r="H3699" i="122"/>
  <c r="N3699" i="122" s="1"/>
  <c r="H1314" i="122"/>
  <c r="N1314" i="122" s="1"/>
  <c r="F1984" i="122"/>
  <c r="F5169" i="122"/>
  <c r="H5169" i="122" s="1"/>
  <c r="N5169" i="122" s="1"/>
  <c r="H4499" i="122"/>
  <c r="N4499" i="122" s="1"/>
  <c r="F4116" i="122"/>
  <c r="H3446" i="122"/>
  <c r="N3446" i="122" s="1"/>
  <c r="F4268" i="122"/>
  <c r="H3598" i="122"/>
  <c r="N3598" i="122" s="1"/>
  <c r="F4223" i="122"/>
  <c r="H3553" i="122"/>
  <c r="N3553" i="122" s="1"/>
  <c r="G3335" i="122"/>
  <c r="H2665" i="122"/>
  <c r="N2665" i="122" s="1"/>
  <c r="F4392" i="122"/>
  <c r="H3722" i="122"/>
  <c r="N3722" i="122" s="1"/>
  <c r="F4578" i="122"/>
  <c r="H3908" i="122"/>
  <c r="N3908" i="122" s="1"/>
  <c r="F4548" i="122"/>
  <c r="H3878" i="122"/>
  <c r="N3878" i="122" s="1"/>
  <c r="F4585" i="122"/>
  <c r="H3915" i="122"/>
  <c r="N3915" i="122" s="1"/>
  <c r="F4326" i="122"/>
  <c r="H3656" i="122"/>
  <c r="N3656" i="122" s="1"/>
  <c r="F4173" i="122"/>
  <c r="H3503" i="122"/>
  <c r="N3503" i="122" s="1"/>
  <c r="F4059" i="122"/>
  <c r="H3389" i="122"/>
  <c r="N3389" i="122" s="1"/>
  <c r="F4615" i="122"/>
  <c r="H3945" i="122"/>
  <c r="N3945" i="122" s="1"/>
  <c r="F4277" i="122"/>
  <c r="H3607" i="122"/>
  <c r="N3607" i="122" s="1"/>
  <c r="F4198" i="122"/>
  <c r="H3528" i="122"/>
  <c r="N3528" i="122" s="1"/>
  <c r="N2690" i="122"/>
  <c r="F4152" i="122"/>
  <c r="H3482" i="122"/>
  <c r="N3482" i="122" s="1"/>
  <c r="H4451" i="122"/>
  <c r="N4451" i="122" s="1"/>
  <c r="F5121" i="122"/>
  <c r="H5121" i="122" s="1"/>
  <c r="N5121" i="122" s="1"/>
  <c r="G4030" i="122"/>
  <c r="F4460" i="122"/>
  <c r="H3790" i="122"/>
  <c r="N3790" i="122" s="1"/>
  <c r="F4450" i="122"/>
  <c r="H3780" i="122"/>
  <c r="N3780" i="122" s="1"/>
  <c r="H3967" i="122"/>
  <c r="N3967" i="122" s="1"/>
  <c r="F4637" i="122"/>
  <c r="F4371" i="122"/>
  <c r="H3701" i="122"/>
  <c r="N3701" i="122" s="1"/>
  <c r="F4183" i="122"/>
  <c r="H3513" i="122"/>
  <c r="N3513" i="122" s="1"/>
  <c r="F4654" i="122"/>
  <c r="H3984" i="122"/>
  <c r="N3984" i="122" s="1"/>
  <c r="F4256" i="122"/>
  <c r="H3586" i="122"/>
  <c r="N3586" i="122" s="1"/>
  <c r="F4191" i="122"/>
  <c r="H3521" i="122"/>
  <c r="N3521" i="122" s="1"/>
  <c r="F4165" i="122"/>
  <c r="H3495" i="122"/>
  <c r="N3495" i="122" s="1"/>
  <c r="F4650" i="122"/>
  <c r="H3980" i="122"/>
  <c r="N3980" i="122" s="1"/>
  <c r="F4616" i="122"/>
  <c r="H3946" i="122"/>
  <c r="N3946" i="122" s="1"/>
  <c r="F4257" i="122"/>
  <c r="H3587" i="122"/>
  <c r="N3587" i="122" s="1"/>
  <c r="F4058" i="122"/>
  <c r="H3388" i="122"/>
  <c r="N3388" i="122" s="1"/>
  <c r="F4404" i="122"/>
  <c r="H3734" i="122"/>
  <c r="N3734" i="122" s="1"/>
  <c r="F4565" i="122"/>
  <c r="H3895" i="122"/>
  <c r="N3895" i="122" s="1"/>
  <c r="H3758" i="122"/>
  <c r="N3758" i="122" s="1"/>
  <c r="F4428" i="122"/>
  <c r="F4008" i="122"/>
  <c r="H3467" i="122"/>
  <c r="N3467" i="122" s="1"/>
  <c r="F4137" i="122"/>
  <c r="H3987" i="122"/>
  <c r="N3987" i="122" s="1"/>
  <c r="F4657" i="122"/>
  <c r="F4384" i="122"/>
  <c r="H3714" i="122"/>
  <c r="N3714" i="122" s="1"/>
  <c r="F4454" i="122"/>
  <c r="H3784" i="122"/>
  <c r="N3784" i="122" s="1"/>
  <c r="F4533" i="122"/>
  <c r="H3863" i="122"/>
  <c r="N3863" i="122" s="1"/>
  <c r="F4522" i="122"/>
  <c r="H3852" i="122"/>
  <c r="N3852" i="122" s="1"/>
  <c r="E1259" i="122"/>
  <c r="E1929" i="122" s="1"/>
  <c r="E2599" i="122" s="1"/>
  <c r="E3269" i="122" s="1"/>
  <c r="E3939" i="122" s="1"/>
  <c r="E4609" i="122" s="1"/>
  <c r="E5279" i="122" s="1"/>
  <c r="M1996" i="122"/>
  <c r="E1314" i="122"/>
  <c r="E1984" i="122" s="1"/>
  <c r="E2654" i="122" s="1"/>
  <c r="E3324" i="122" s="1"/>
  <c r="E3994" i="122" s="1"/>
  <c r="E4664" i="122" s="1"/>
  <c r="E5334" i="122" s="1"/>
  <c r="E1188" i="122"/>
  <c r="E1858" i="122" s="1"/>
  <c r="E2528" i="122" s="1"/>
  <c r="E3198" i="122" s="1"/>
  <c r="E3868" i="122" s="1"/>
  <c r="E4538" i="122" s="1"/>
  <c r="E5208" i="122" s="1"/>
  <c r="F4416" i="122"/>
  <c r="H3746" i="122"/>
  <c r="N3746" i="122" s="1"/>
  <c r="H3968" i="122"/>
  <c r="N3968" i="122" s="1"/>
  <c r="F4638" i="122"/>
  <c r="F4479" i="122"/>
  <c r="H3809" i="122"/>
  <c r="N3809" i="122" s="1"/>
  <c r="F4577" i="122"/>
  <c r="H3907" i="122"/>
  <c r="N3907" i="122" s="1"/>
  <c r="F4080" i="122"/>
  <c r="H3410" i="122"/>
  <c r="N3410" i="122" s="1"/>
  <c r="F4362" i="122"/>
  <c r="H3692" i="122"/>
  <c r="N3692" i="122" s="1"/>
  <c r="F4381" i="122"/>
  <c r="H3711" i="122"/>
  <c r="N3711" i="122" s="1"/>
  <c r="F4569" i="122"/>
  <c r="H3899" i="122"/>
  <c r="N3899" i="122" s="1"/>
  <c r="F4136" i="122"/>
  <c r="H3466" i="122"/>
  <c r="N3466" i="122" s="1"/>
  <c r="F4338" i="122"/>
  <c r="H3668" i="122"/>
  <c r="N3668" i="122" s="1"/>
  <c r="F4150" i="122"/>
  <c r="H3480" i="122"/>
  <c r="N3480" i="122" s="1"/>
  <c r="F4566" i="122"/>
  <c r="H3896" i="122"/>
  <c r="N3896" i="122" s="1"/>
  <c r="F4202" i="122"/>
  <c r="H3532" i="122"/>
  <c r="N3532" i="122" s="1"/>
  <c r="F5331" i="122"/>
  <c r="H5331" i="122" s="1"/>
  <c r="N5331" i="122" s="1"/>
  <c r="H4661" i="122"/>
  <c r="N4661" i="122" s="1"/>
  <c r="F4032" i="122"/>
  <c r="H3362" i="122"/>
  <c r="N3362" i="122" s="1"/>
  <c r="H3377" i="122"/>
  <c r="N3377" i="122" s="1"/>
  <c r="F4047" i="122"/>
  <c r="H4635" i="122"/>
  <c r="N4635" i="122" s="1"/>
  <c r="F5305" i="122"/>
  <c r="H5305" i="122" s="1"/>
  <c r="N5305" i="122" s="1"/>
  <c r="F4161" i="122"/>
  <c r="H3491" i="122"/>
  <c r="N3491" i="122" s="1"/>
  <c r="H3551" i="122"/>
  <c r="N3551" i="122" s="1"/>
  <c r="F4221" i="122"/>
  <c r="F4658" i="122"/>
  <c r="H3988" i="122"/>
  <c r="N3988" i="122" s="1"/>
  <c r="H3785" i="122"/>
  <c r="N3785" i="122" s="1"/>
  <c r="F4455" i="122"/>
  <c r="H3496" i="122"/>
  <c r="N3496" i="122" s="1"/>
  <c r="F4166" i="122"/>
  <c r="F4352" i="122"/>
  <c r="H3682" i="122"/>
  <c r="N3682" i="122" s="1"/>
  <c r="F4232" i="122"/>
  <c r="H3562" i="122"/>
  <c r="N3562" i="122" s="1"/>
  <c r="F4093" i="122"/>
  <c r="H3423" i="122"/>
  <c r="N3423" i="122" s="1"/>
  <c r="F4217" i="122"/>
  <c r="H3547" i="122"/>
  <c r="N3547" i="122" s="1"/>
  <c r="F4151" i="122"/>
  <c r="H3481" i="122"/>
  <c r="N3481" i="122" s="1"/>
  <c r="F4210" i="122"/>
  <c r="H3540" i="122"/>
  <c r="N3540" i="122" s="1"/>
  <c r="H3454" i="122"/>
  <c r="N3454" i="122" s="1"/>
  <c r="F4124" i="122"/>
  <c r="F4091" i="122"/>
  <c r="H3421" i="122"/>
  <c r="N3421" i="122" s="1"/>
  <c r="H3772" i="122"/>
  <c r="N3772" i="122" s="1"/>
  <c r="F4442" i="122"/>
  <c r="F4101" i="122"/>
  <c r="H3431" i="122"/>
  <c r="N3431" i="122" s="1"/>
  <c r="F4356" i="122"/>
  <c r="H3686" i="122"/>
  <c r="N3686" i="122" s="1"/>
  <c r="H3584" i="122"/>
  <c r="N3584" i="122" s="1"/>
  <c r="F4254" i="122"/>
  <c r="F4539" i="122"/>
  <c r="H3869" i="122"/>
  <c r="N3869" i="122" s="1"/>
  <c r="F4620" i="122"/>
  <c r="H3950" i="122"/>
  <c r="N3950" i="122" s="1"/>
  <c r="F4159" i="122"/>
  <c r="H3489" i="122"/>
  <c r="N3489" i="122" s="1"/>
  <c r="F4345" i="122"/>
  <c r="H3675" i="122"/>
  <c r="N3675" i="122" s="1"/>
  <c r="F4069" i="122"/>
  <c r="H3399" i="122"/>
  <c r="N3399" i="122" s="1"/>
  <c r="F4410" i="122"/>
  <c r="H3740" i="122"/>
  <c r="N3740" i="122" s="1"/>
  <c r="F4265" i="122"/>
  <c r="H3595" i="122"/>
  <c r="N3595" i="122" s="1"/>
  <c r="F4411" i="122"/>
  <c r="H3741" i="122"/>
  <c r="N3741" i="122" s="1"/>
  <c r="H3429" i="122"/>
  <c r="N3429" i="122" s="1"/>
  <c r="F4099" i="122"/>
  <c r="F4074" i="122"/>
  <c r="H3404" i="122"/>
  <c r="N3404" i="122" s="1"/>
  <c r="H3760" i="122"/>
  <c r="N3760" i="122" s="1"/>
  <c r="F4430" i="122"/>
  <c r="F4501" i="122"/>
  <c r="H3831" i="122"/>
  <c r="N3831" i="122" s="1"/>
  <c r="H3605" i="122"/>
  <c r="N3605" i="122" s="1"/>
  <c r="F4275" i="122"/>
  <c r="F4508" i="122"/>
  <c r="H3838" i="122"/>
  <c r="N3838" i="122" s="1"/>
  <c r="F4639" i="122"/>
  <c r="H3969" i="122"/>
  <c r="N3969" i="122" s="1"/>
  <c r="F4196" i="122"/>
  <c r="H3526" i="122"/>
  <c r="N3526" i="122" s="1"/>
  <c r="H3695" i="122"/>
  <c r="N3695" i="122" s="1"/>
  <c r="F4365" i="122"/>
  <c r="H3651" i="122"/>
  <c r="N3651" i="122" s="1"/>
  <c r="F4321" i="122"/>
  <c r="F4282" i="122"/>
  <c r="H3612" i="122"/>
  <c r="N3612" i="122" s="1"/>
  <c r="H3795" i="122"/>
  <c r="N3795" i="122" s="1"/>
  <c r="F4465" i="122"/>
  <c r="F4075" i="122"/>
  <c r="H3405" i="122"/>
  <c r="N3405" i="122" s="1"/>
  <c r="F4538" i="122"/>
  <c r="H3868" i="122"/>
  <c r="N3868" i="122" s="1"/>
  <c r="F4618" i="122"/>
  <c r="H3948" i="122"/>
  <c r="N3948" i="122" s="1"/>
  <c r="F4114" i="122"/>
  <c r="H3444" i="122"/>
  <c r="N3444" i="122" s="1"/>
  <c r="H3923" i="122"/>
  <c r="N3923" i="122" s="1"/>
  <c r="F4593" i="122"/>
  <c r="F4288" i="122"/>
  <c r="H3618" i="122"/>
  <c r="N3618" i="122" s="1"/>
  <c r="H3966" i="122"/>
  <c r="N3966" i="122" s="1"/>
  <c r="F4636" i="122"/>
  <c r="H3853" i="122"/>
  <c r="N3853" i="122" s="1"/>
  <c r="F4523" i="122"/>
  <c r="H3448" i="122"/>
  <c r="N3448" i="122" s="1"/>
  <c r="F4118" i="122"/>
  <c r="F4466" i="122"/>
  <c r="H3796" i="122"/>
  <c r="N3796" i="122" s="1"/>
  <c r="F4060" i="122"/>
  <c r="H3390" i="122"/>
  <c r="N3390" i="122" s="1"/>
  <c r="H3640" i="122"/>
  <c r="N3640" i="122" s="1"/>
  <c r="F4310" i="122"/>
  <c r="F4304" i="122"/>
  <c r="H3634" i="122"/>
  <c r="N3634" i="122" s="1"/>
  <c r="F4068" i="122"/>
  <c r="H3398" i="122"/>
  <c r="N3398" i="122" s="1"/>
  <c r="F4158" i="122"/>
  <c r="H3488" i="122"/>
  <c r="N3488" i="122" s="1"/>
  <c r="H3837" i="122"/>
  <c r="N3837" i="122" s="1"/>
  <c r="F4507" i="122"/>
  <c r="H1318" i="122"/>
  <c r="N1318" i="122" s="1"/>
  <c r="F1988" i="122"/>
  <c r="H3589" i="122"/>
  <c r="N3589" i="122" s="1"/>
  <c r="F4259" i="122"/>
  <c r="F4490" i="122"/>
  <c r="H3820" i="122"/>
  <c r="N3820" i="122" s="1"/>
  <c r="H3715" i="122"/>
  <c r="N3715" i="122" s="1"/>
  <c r="F4385" i="122"/>
  <c r="F4030" i="122"/>
  <c r="H3360" i="122"/>
  <c r="F4225" i="122"/>
  <c r="H3555" i="122"/>
  <c r="N3555" i="122" s="1"/>
  <c r="F4609" i="122"/>
  <c r="H3939" i="122"/>
  <c r="N3939" i="122" s="1"/>
  <c r="F4006" i="122"/>
  <c r="F4348" i="122"/>
  <c r="H3678" i="122"/>
  <c r="N3678" i="122" s="1"/>
  <c r="F4389" i="122"/>
  <c r="H3719" i="122"/>
  <c r="N3719" i="122" s="1"/>
  <c r="F5313" i="122"/>
  <c r="H5313" i="122" s="1"/>
  <c r="N5313" i="122" s="1"/>
  <c r="H4643" i="122"/>
  <c r="N4643" i="122" s="1"/>
  <c r="F4281" i="122"/>
  <c r="H3611" i="122"/>
  <c r="N3611" i="122" s="1"/>
  <c r="H3713" i="122"/>
  <c r="N3713" i="122" s="1"/>
  <c r="F4383" i="122"/>
  <c r="F4394" i="122"/>
  <c r="H3724" i="122"/>
  <c r="N3724" i="122" s="1"/>
  <c r="F4374" i="122"/>
  <c r="H3704" i="122"/>
  <c r="N3704" i="122" s="1"/>
  <c r="F4645" i="122"/>
  <c r="H3975" i="122"/>
  <c r="N3975" i="122" s="1"/>
  <c r="F4239" i="122"/>
  <c r="H3569" i="122"/>
  <c r="N3569" i="122" s="1"/>
  <c r="F4193" i="122"/>
  <c r="H3523" i="122"/>
  <c r="N3523" i="122" s="1"/>
  <c r="F4376" i="122"/>
  <c r="H3706" i="122"/>
  <c r="N3706" i="122" s="1"/>
  <c r="H4419" i="122"/>
  <c r="N4419" i="122" s="1"/>
  <c r="F5089" i="122"/>
  <c r="H5089" i="122" s="1"/>
  <c r="N5089" i="122" s="1"/>
  <c r="H3557" i="122"/>
  <c r="N3557" i="122" s="1"/>
  <c r="F4227" i="122"/>
  <c r="H3897" i="122"/>
  <c r="N3897" i="122" s="1"/>
  <c r="F4567" i="122"/>
  <c r="F4302" i="122"/>
  <c r="H3632" i="122"/>
  <c r="N3632" i="122" s="1"/>
  <c r="F4174" i="122"/>
  <c r="H3504" i="122"/>
  <c r="N3504" i="122" s="1"/>
  <c r="F4425" i="122"/>
  <c r="H3755" i="122"/>
  <c r="N3755" i="122" s="1"/>
  <c r="F4253" i="122"/>
  <c r="H3583" i="122"/>
  <c r="N3583" i="122" s="1"/>
  <c r="F4112" i="122"/>
  <c r="H3442" i="122"/>
  <c r="N3442" i="122" s="1"/>
  <c r="H3797" i="122"/>
  <c r="N3797" i="122" s="1"/>
  <c r="F4467" i="122"/>
  <c r="F4346" i="122"/>
  <c r="H3676" i="122"/>
  <c r="N3676" i="122" s="1"/>
  <c r="F4503" i="122"/>
  <c r="H3833" i="122"/>
  <c r="N3833" i="122" s="1"/>
  <c r="F4167" i="122"/>
  <c r="H3497" i="122"/>
  <c r="N3497" i="122" s="1"/>
  <c r="N3308" i="122"/>
  <c r="E1185" i="122"/>
  <c r="E1855" i="122" s="1"/>
  <c r="E2525" i="122" s="1"/>
  <c r="E3195" i="122" s="1"/>
  <c r="E3865" i="122" s="1"/>
  <c r="E4535" i="122" s="1"/>
  <c r="E5205" i="122" s="1"/>
  <c r="F4200" i="122"/>
  <c r="H3530" i="122"/>
  <c r="N3530" i="122" s="1"/>
  <c r="H3866" i="122"/>
  <c r="N3866" i="122" s="1"/>
  <c r="F4536" i="122"/>
  <c r="F5361" i="122"/>
  <c r="G3351" i="122"/>
  <c r="H2681" i="122"/>
  <c r="N2681" i="122" s="1"/>
  <c r="F4178" i="122"/>
  <c r="H3508" i="122"/>
  <c r="N3508" i="122" s="1"/>
  <c r="H3452" i="122"/>
  <c r="N3452" i="122" s="1"/>
  <c r="F4122" i="122"/>
  <c r="F4584" i="122"/>
  <c r="H3914" i="122"/>
  <c r="N3914" i="122" s="1"/>
  <c r="F4599" i="122"/>
  <c r="H3929" i="122"/>
  <c r="N3929" i="122" s="1"/>
  <c r="H3581" i="122"/>
  <c r="N3581" i="122" s="1"/>
  <c r="F4251" i="122"/>
  <c r="M1999" i="122"/>
  <c r="E1198" i="122"/>
  <c r="E1868" i="122" s="1"/>
  <c r="E2538" i="122" s="1"/>
  <c r="E3208" i="122" s="1"/>
  <c r="E3878" i="122" s="1"/>
  <c r="E4548" i="122" s="1"/>
  <c r="E5218" i="122" s="1"/>
  <c r="E1261" i="122"/>
  <c r="E1931" i="122" s="1"/>
  <c r="E2601" i="122" s="1"/>
  <c r="E3271" i="122" s="1"/>
  <c r="E3941" i="122" s="1"/>
  <c r="E4611" i="122" s="1"/>
  <c r="E5281" i="122" s="1"/>
  <c r="E1063" i="122"/>
  <c r="E1733" i="122" s="1"/>
  <c r="E2403" i="122" s="1"/>
  <c r="E3073" i="122" s="1"/>
  <c r="E3743" i="122" s="1"/>
  <c r="E4413" i="122" s="1"/>
  <c r="E5083" i="122" s="1"/>
  <c r="E1134" i="122"/>
  <c r="E1804" i="122" s="1"/>
  <c r="E2474" i="122" s="1"/>
  <c r="E3144" i="122" s="1"/>
  <c r="E3814" i="122" s="1"/>
  <c r="E4484" i="122" s="1"/>
  <c r="E5154" i="122" s="1"/>
  <c r="E1155" i="122"/>
  <c r="E1825" i="122" s="1"/>
  <c r="E2495" i="122" s="1"/>
  <c r="E3165" i="122" s="1"/>
  <c r="E3835" i="122" s="1"/>
  <c r="E4505" i="122" s="1"/>
  <c r="E5175" i="122" s="1"/>
  <c r="H3812" i="122"/>
  <c r="N3812" i="122" s="1"/>
  <c r="F4482" i="122"/>
  <c r="F4554" i="122"/>
  <c r="H3884" i="122"/>
  <c r="N3884" i="122" s="1"/>
  <c r="F4598" i="122"/>
  <c r="H3928" i="122"/>
  <c r="N3928" i="122" s="1"/>
  <c r="F4342" i="122"/>
  <c r="H3672" i="122"/>
  <c r="N3672" i="122" s="1"/>
  <c r="F4072" i="122"/>
  <c r="H3402" i="122"/>
  <c r="N3402" i="122" s="1"/>
  <c r="F4084" i="122"/>
  <c r="H3414" i="122"/>
  <c r="N3414" i="122" s="1"/>
  <c r="H3830" i="122"/>
  <c r="N3830" i="122" s="1"/>
  <c r="F4500" i="122"/>
  <c r="H3979" i="122"/>
  <c r="N3979" i="122" s="1"/>
  <c r="F4649" i="122"/>
  <c r="F4689" i="122"/>
  <c r="H4019" i="122"/>
  <c r="N4019" i="122" s="1"/>
  <c r="F4437" i="122"/>
  <c r="H3767" i="122"/>
  <c r="N3767" i="122" s="1"/>
  <c r="F4612" i="122"/>
  <c r="H3942" i="122"/>
  <c r="N3942" i="122" s="1"/>
  <c r="F4591" i="122"/>
  <c r="H3921" i="122"/>
  <c r="N3921" i="122" s="1"/>
  <c r="H3903" i="122"/>
  <c r="N3903" i="122" s="1"/>
  <c r="F4573" i="122"/>
  <c r="F1986" i="122"/>
  <c r="H1316" i="122"/>
  <c r="N1316" i="122" s="1"/>
  <c r="H3549" i="122"/>
  <c r="N3549" i="122" s="1"/>
  <c r="F4219" i="122"/>
  <c r="F4475" i="122"/>
  <c r="H3805" i="122"/>
  <c r="N3805" i="122" s="1"/>
  <c r="H3879" i="122"/>
  <c r="N3879" i="122" s="1"/>
  <c r="F4549" i="122"/>
  <c r="F4660" i="122"/>
  <c r="H3990" i="122"/>
  <c r="N3990" i="122" s="1"/>
  <c r="F4452" i="122"/>
  <c r="H3782" i="122"/>
  <c r="N3782" i="122" s="1"/>
  <c r="F4354" i="122"/>
  <c r="H3684" i="122"/>
  <c r="N3684" i="122" s="1"/>
  <c r="H3885" i="122"/>
  <c r="N3885" i="122" s="1"/>
  <c r="F4555" i="122"/>
  <c r="F4564" i="122"/>
  <c r="H3894" i="122"/>
  <c r="N3894" i="122" s="1"/>
  <c r="F4561" i="122"/>
  <c r="H3891" i="122"/>
  <c r="N3891" i="122" s="1"/>
  <c r="F4204" i="122"/>
  <c r="H3534" i="122"/>
  <c r="N3534" i="122" s="1"/>
  <c r="F4832" i="122"/>
  <c r="H4832" i="122" s="1"/>
  <c r="N4832" i="122" s="1"/>
  <c r="H4162" i="122"/>
  <c r="N4162" i="122" s="1"/>
  <c r="F4105" i="122"/>
  <c r="H3435" i="122"/>
  <c r="N3435" i="122" s="1"/>
  <c r="F4324" i="122"/>
  <c r="H3654" i="122"/>
  <c r="N3654" i="122" s="1"/>
  <c r="F4347" i="122"/>
  <c r="H3677" i="122"/>
  <c r="N3677" i="122" s="1"/>
  <c r="H3962" i="122"/>
  <c r="N3962" i="122" s="1"/>
  <c r="F4632" i="122"/>
  <c r="F4034" i="122"/>
  <c r="H3364" i="122"/>
  <c r="N3364" i="122" s="1"/>
  <c r="F4363" i="122"/>
  <c r="H3693" i="122"/>
  <c r="N3693" i="122" s="1"/>
  <c r="F4495" i="122"/>
  <c r="H3825" i="122"/>
  <c r="N3825" i="122" s="1"/>
  <c r="H3956" i="122"/>
  <c r="N3956" i="122" s="1"/>
  <c r="F4626" i="122"/>
  <c r="H3599" i="122"/>
  <c r="N3599" i="122" s="1"/>
  <c r="F4269" i="122"/>
  <c r="F4190" i="122"/>
  <c r="H3520" i="122"/>
  <c r="N3520" i="122" s="1"/>
  <c r="F4417" i="122"/>
  <c r="H3747" i="122"/>
  <c r="N3747" i="122" s="1"/>
  <c r="H3855" i="122"/>
  <c r="N3855" i="122" s="1"/>
  <c r="F4525" i="122"/>
  <c r="F4230" i="122"/>
  <c r="H3560" i="122"/>
  <c r="N3560" i="122" s="1"/>
  <c r="F4100" i="122"/>
  <c r="H3430" i="122"/>
  <c r="N3430" i="122" s="1"/>
  <c r="F4414" i="122"/>
  <c r="H3744" i="122"/>
  <c r="N3744" i="122" s="1"/>
  <c r="F4322" i="122"/>
  <c r="H3652" i="122"/>
  <c r="N3652" i="122" s="1"/>
  <c r="H3516" i="122"/>
  <c r="N3516" i="122" s="1"/>
  <c r="F4186" i="122"/>
  <c r="F4133" i="122"/>
  <c r="H3463" i="122"/>
  <c r="N3463" i="122" s="1"/>
  <c r="F4448" i="122"/>
  <c r="H3778" i="122"/>
  <c r="N3778" i="122" s="1"/>
  <c r="H3725" i="122"/>
  <c r="N3725" i="122" s="1"/>
  <c r="F4395" i="122"/>
  <c r="F4286" i="122"/>
  <c r="H3616" i="122"/>
  <c r="N3616" i="122" s="1"/>
  <c r="F4171" i="122"/>
  <c r="H3501" i="122"/>
  <c r="N3501" i="122" s="1"/>
  <c r="F4552" i="122"/>
  <c r="H3882" i="122"/>
  <c r="N3882" i="122" s="1"/>
  <c r="F4459" i="122"/>
  <c r="H3789" i="122"/>
  <c r="N3789" i="122" s="1"/>
  <c r="F4540" i="122"/>
  <c r="H3870" i="122"/>
  <c r="N3870" i="122" s="1"/>
  <c r="F4300" i="122"/>
  <c r="H3630" i="122"/>
  <c r="N3630" i="122" s="1"/>
  <c r="F4446" i="122"/>
  <c r="H3776" i="122"/>
  <c r="N3776" i="122" s="1"/>
  <c r="F4488" i="122"/>
  <c r="H3818" i="122"/>
  <c r="N3818" i="122" s="1"/>
  <c r="F4297" i="122"/>
  <c r="H3627" i="122"/>
  <c r="N3627" i="122" s="1"/>
  <c r="M643" i="122"/>
  <c r="J675" i="122"/>
  <c r="F4229" i="122"/>
  <c r="H3559" i="122"/>
  <c r="N3559" i="122" s="1"/>
  <c r="H3926" i="122"/>
  <c r="N3926" i="122" s="1"/>
  <c r="F4596" i="122"/>
  <c r="F4340" i="122"/>
  <c r="H3670" i="122"/>
  <c r="N3670" i="122" s="1"/>
  <c r="F4089" i="122"/>
  <c r="H3419" i="122"/>
  <c r="N3419" i="122" s="1"/>
  <c r="F4130" i="122"/>
  <c r="H3460" i="122"/>
  <c r="N3460" i="122" s="1"/>
  <c r="F4207" i="122"/>
  <c r="H3537" i="122"/>
  <c r="N3537" i="122" s="1"/>
  <c r="F4625" i="122"/>
  <c r="H3955" i="122"/>
  <c r="N3955" i="122" s="1"/>
  <c r="H3642" i="122"/>
  <c r="N3642" i="122" s="1"/>
  <c r="F4312" i="122"/>
  <c r="F4097" i="122"/>
  <c r="H3427" i="122"/>
  <c r="N3427" i="122" s="1"/>
  <c r="F4351" i="122"/>
  <c r="H3681" i="122"/>
  <c r="N3681" i="122" s="1"/>
  <c r="F4391" i="122"/>
  <c r="H3721" i="122"/>
  <c r="N3721" i="122" s="1"/>
  <c r="F4291" i="122"/>
  <c r="H3621" i="122"/>
  <c r="N3621" i="122" s="1"/>
  <c r="F4683" i="122"/>
  <c r="H4013" i="122"/>
  <c r="N4013" i="122" s="1"/>
  <c r="F4401" i="122"/>
  <c r="H3731" i="122"/>
  <c r="N3731" i="122" s="1"/>
  <c r="F4682" i="122"/>
  <c r="H4012" i="122"/>
  <c r="N4012" i="122" s="1"/>
  <c r="A1023" i="122"/>
  <c r="A1693" i="122" s="1"/>
  <c r="A2363" i="122" s="1"/>
  <c r="A3033" i="122" s="1"/>
  <c r="A3703" i="122" s="1"/>
  <c r="A4373" i="122" s="1"/>
  <c r="A5043" i="122" s="1"/>
  <c r="M675" i="122" l="1"/>
  <c r="G1313" i="122"/>
  <c r="N643" i="122"/>
  <c r="F4803" i="122"/>
  <c r="H4803" i="122" s="1"/>
  <c r="N4803" i="122" s="1"/>
  <c r="H4133" i="122"/>
  <c r="N4133" i="122" s="1"/>
  <c r="H4324" i="122"/>
  <c r="N4324" i="122" s="1"/>
  <c r="F4994" i="122"/>
  <c r="H4994" i="122" s="1"/>
  <c r="N4994" i="122" s="1"/>
  <c r="F4831" i="122"/>
  <c r="H4831" i="122" s="1"/>
  <c r="N4831" i="122" s="1"/>
  <c r="H4161" i="122"/>
  <c r="N4161" i="122" s="1"/>
  <c r="F5130" i="122"/>
  <c r="H5130" i="122" s="1"/>
  <c r="N5130" i="122" s="1"/>
  <c r="H4460" i="122"/>
  <c r="N4460" i="122" s="1"/>
  <c r="H4156" i="122"/>
  <c r="N4156" i="122" s="1"/>
  <c r="F4826" i="122"/>
  <c r="H4826" i="122" s="1"/>
  <c r="N4826" i="122" s="1"/>
  <c r="F4734" i="122"/>
  <c r="H4734" i="122" s="1"/>
  <c r="N4734" i="122" s="1"/>
  <c r="H4064" i="122"/>
  <c r="N4064" i="122" s="1"/>
  <c r="F5312" i="122"/>
  <c r="H5312" i="122" s="1"/>
  <c r="N5312" i="122" s="1"/>
  <c r="H4642" i="122"/>
  <c r="N4642" i="122" s="1"/>
  <c r="F5200" i="122"/>
  <c r="H5200" i="122" s="1"/>
  <c r="N5200" i="122" s="1"/>
  <c r="H4530" i="122"/>
  <c r="N4530" i="122" s="1"/>
  <c r="F5352" i="122"/>
  <c r="H5352" i="122" s="1"/>
  <c r="N5352" i="122" s="1"/>
  <c r="H4682" i="122"/>
  <c r="N4682" i="122" s="1"/>
  <c r="H4391" i="122"/>
  <c r="N4391" i="122" s="1"/>
  <c r="F5061" i="122"/>
  <c r="H5061" i="122" s="1"/>
  <c r="N5061" i="122" s="1"/>
  <c r="F5295" i="122"/>
  <c r="H5295" i="122" s="1"/>
  <c r="N5295" i="122" s="1"/>
  <c r="H4625" i="122"/>
  <c r="N4625" i="122" s="1"/>
  <c r="F5010" i="122"/>
  <c r="H5010" i="122" s="1"/>
  <c r="N5010" i="122" s="1"/>
  <c r="H4340" i="122"/>
  <c r="N4340" i="122" s="1"/>
  <c r="F4967" i="122"/>
  <c r="H4967" i="122" s="1"/>
  <c r="N4967" i="122" s="1"/>
  <c r="H4297" i="122"/>
  <c r="N4297" i="122" s="1"/>
  <c r="F5210" i="122"/>
  <c r="H5210" i="122" s="1"/>
  <c r="N5210" i="122" s="1"/>
  <c r="H4540" i="122"/>
  <c r="N4540" i="122" s="1"/>
  <c r="F4956" i="122"/>
  <c r="H4956" i="122" s="1"/>
  <c r="N4956" i="122" s="1"/>
  <c r="H4286" i="122"/>
  <c r="N4286" i="122" s="1"/>
  <c r="H4230" i="122"/>
  <c r="N4230" i="122" s="1"/>
  <c r="F4900" i="122"/>
  <c r="H4900" i="122" s="1"/>
  <c r="N4900" i="122" s="1"/>
  <c r="H4034" i="122"/>
  <c r="N4034" i="122" s="1"/>
  <c r="F4704" i="122"/>
  <c r="H4704" i="122" s="1"/>
  <c r="N4704" i="122" s="1"/>
  <c r="F4775" i="122"/>
  <c r="H4775" i="122" s="1"/>
  <c r="N4775" i="122" s="1"/>
  <c r="H4105" i="122"/>
  <c r="N4105" i="122" s="1"/>
  <c r="F5234" i="122"/>
  <c r="H5234" i="122" s="1"/>
  <c r="N5234" i="122" s="1"/>
  <c r="H4564" i="122"/>
  <c r="N4564" i="122" s="1"/>
  <c r="F5330" i="122"/>
  <c r="H5330" i="122" s="1"/>
  <c r="N5330" i="122" s="1"/>
  <c r="H4660" i="122"/>
  <c r="N4660" i="122" s="1"/>
  <c r="F2656" i="122"/>
  <c r="H1986" i="122"/>
  <c r="N1986" i="122" s="1"/>
  <c r="H4437" i="122"/>
  <c r="N4437" i="122" s="1"/>
  <c r="F5107" i="122"/>
  <c r="H5107" i="122" s="1"/>
  <c r="N5107" i="122" s="1"/>
  <c r="F4754" i="122"/>
  <c r="H4754" i="122" s="1"/>
  <c r="N4754" i="122" s="1"/>
  <c r="H4084" i="122"/>
  <c r="N4084" i="122" s="1"/>
  <c r="F5224" i="122"/>
  <c r="H5224" i="122" s="1"/>
  <c r="N5224" i="122" s="1"/>
  <c r="H4554" i="122"/>
  <c r="N4554" i="122" s="1"/>
  <c r="F5237" i="122"/>
  <c r="H5237" i="122" s="1"/>
  <c r="N5237" i="122" s="1"/>
  <c r="H4567" i="122"/>
  <c r="N4567" i="122" s="1"/>
  <c r="F5160" i="122"/>
  <c r="H5160" i="122" s="1"/>
  <c r="N5160" i="122" s="1"/>
  <c r="H4490" i="122"/>
  <c r="N4490" i="122" s="1"/>
  <c r="F4828" i="122"/>
  <c r="H4828" i="122" s="1"/>
  <c r="N4828" i="122" s="1"/>
  <c r="H4158" i="122"/>
  <c r="N4158" i="122" s="1"/>
  <c r="F4730" i="122"/>
  <c r="H4730" i="122" s="1"/>
  <c r="N4730" i="122" s="1"/>
  <c r="H4060" i="122"/>
  <c r="N4060" i="122" s="1"/>
  <c r="F5288" i="122"/>
  <c r="H5288" i="122" s="1"/>
  <c r="N5288" i="122" s="1"/>
  <c r="H4618" i="122"/>
  <c r="N4618" i="122" s="1"/>
  <c r="F4952" i="122"/>
  <c r="H4952" i="122" s="1"/>
  <c r="N4952" i="122" s="1"/>
  <c r="H4282" i="122"/>
  <c r="N4282" i="122" s="1"/>
  <c r="F5309" i="122"/>
  <c r="H5309" i="122" s="1"/>
  <c r="N5309" i="122" s="1"/>
  <c r="H4639" i="122"/>
  <c r="N4639" i="122" s="1"/>
  <c r="H4265" i="122"/>
  <c r="N4265" i="122" s="1"/>
  <c r="F4935" i="122"/>
  <c r="H4935" i="122" s="1"/>
  <c r="N4935" i="122" s="1"/>
  <c r="F4829" i="122"/>
  <c r="H4829" i="122" s="1"/>
  <c r="N4829" i="122" s="1"/>
  <c r="H4159" i="122"/>
  <c r="N4159" i="122" s="1"/>
  <c r="F5026" i="122"/>
  <c r="H5026" i="122" s="1"/>
  <c r="N5026" i="122" s="1"/>
  <c r="H4356" i="122"/>
  <c r="N4356" i="122" s="1"/>
  <c r="F4763" i="122"/>
  <c r="H4763" i="122" s="1"/>
  <c r="N4763" i="122" s="1"/>
  <c r="H4093" i="122"/>
  <c r="N4093" i="122" s="1"/>
  <c r="H4202" i="122"/>
  <c r="N4202" i="122" s="1"/>
  <c r="F4872" i="122"/>
  <c r="H4872" i="122" s="1"/>
  <c r="N4872" i="122" s="1"/>
  <c r="F4806" i="122"/>
  <c r="H4806" i="122" s="1"/>
  <c r="N4806" i="122" s="1"/>
  <c r="H4136" i="122"/>
  <c r="N4136" i="122" s="1"/>
  <c r="F4750" i="122"/>
  <c r="H4750" i="122" s="1"/>
  <c r="N4750" i="122" s="1"/>
  <c r="H4080" i="122"/>
  <c r="N4080" i="122" s="1"/>
  <c r="F5086" i="122"/>
  <c r="H5086" i="122" s="1"/>
  <c r="N5086" i="122" s="1"/>
  <c r="H4416" i="122"/>
  <c r="N4416" i="122" s="1"/>
  <c r="F5054" i="122"/>
  <c r="H5054" i="122" s="1"/>
  <c r="N5054" i="122" s="1"/>
  <c r="H4384" i="122"/>
  <c r="N4384" i="122" s="1"/>
  <c r="F4927" i="122"/>
  <c r="H4927" i="122" s="1"/>
  <c r="N4927" i="122" s="1"/>
  <c r="H4257" i="122"/>
  <c r="N4257" i="122" s="1"/>
  <c r="F4861" i="122"/>
  <c r="H4861" i="122" s="1"/>
  <c r="N4861" i="122" s="1"/>
  <c r="H4191" i="122"/>
  <c r="N4191" i="122" s="1"/>
  <c r="H4371" i="122"/>
  <c r="N4371" i="122" s="1"/>
  <c r="F5041" i="122"/>
  <c r="H5041" i="122" s="1"/>
  <c r="N5041" i="122" s="1"/>
  <c r="H4030" i="122"/>
  <c r="G4700" i="122"/>
  <c r="F4868" i="122"/>
  <c r="H4868" i="122" s="1"/>
  <c r="N4868" i="122" s="1"/>
  <c r="H4198" i="122"/>
  <c r="N4198" i="122" s="1"/>
  <c r="H4173" i="122"/>
  <c r="N4173" i="122" s="1"/>
  <c r="F4843" i="122"/>
  <c r="H4843" i="122" s="1"/>
  <c r="N4843" i="122" s="1"/>
  <c r="F5248" i="122"/>
  <c r="H5248" i="122" s="1"/>
  <c r="N5248" i="122" s="1"/>
  <c r="H4578" i="122"/>
  <c r="N4578" i="122" s="1"/>
  <c r="F4938" i="122"/>
  <c r="H4938" i="122" s="1"/>
  <c r="N4938" i="122" s="1"/>
  <c r="H4268" i="122"/>
  <c r="N4268" i="122" s="1"/>
  <c r="H4369" i="122"/>
  <c r="N4369" i="122" s="1"/>
  <c r="F5039" i="122"/>
  <c r="H5039" i="122" s="1"/>
  <c r="N5039" i="122" s="1"/>
  <c r="H4039" i="122"/>
  <c r="N4039" i="122" s="1"/>
  <c r="F4709" i="122"/>
  <c r="H4709" i="122" s="1"/>
  <c r="N4709" i="122" s="1"/>
  <c r="F5014" i="122"/>
  <c r="H5014" i="122" s="1"/>
  <c r="N5014" i="122" s="1"/>
  <c r="H4344" i="122"/>
  <c r="N4344" i="122" s="1"/>
  <c r="F4999" i="122"/>
  <c r="H4999" i="122" s="1"/>
  <c r="N4999" i="122" s="1"/>
  <c r="H4329" i="122"/>
  <c r="N4329" i="122" s="1"/>
  <c r="H4054" i="122"/>
  <c r="N4054" i="122" s="1"/>
  <c r="F4724" i="122"/>
  <c r="H4724" i="122" s="1"/>
  <c r="N4724" i="122" s="1"/>
  <c r="F4857" i="122"/>
  <c r="H4857" i="122" s="1"/>
  <c r="N4857" i="122" s="1"/>
  <c r="H4187" i="122"/>
  <c r="N4187" i="122" s="1"/>
  <c r="F5323" i="122"/>
  <c r="H5323" i="122" s="1"/>
  <c r="N5323" i="122" s="1"/>
  <c r="H4653" i="122"/>
  <c r="N4653" i="122" s="1"/>
  <c r="F4933" i="122"/>
  <c r="H4933" i="122" s="1"/>
  <c r="N4933" i="122" s="1"/>
  <c r="H4263" i="122"/>
  <c r="N4263" i="122" s="1"/>
  <c r="F4811" i="122"/>
  <c r="H4811" i="122" s="1"/>
  <c r="N4811" i="122" s="1"/>
  <c r="H4141" i="122"/>
  <c r="N4141" i="122" s="1"/>
  <c r="F5356" i="122"/>
  <c r="H5356" i="122" s="1"/>
  <c r="N5356" i="122" s="1"/>
  <c r="H4686" i="122"/>
  <c r="N4686" i="122" s="1"/>
  <c r="H4541" i="122"/>
  <c r="N4541" i="122" s="1"/>
  <c r="F5211" i="122"/>
  <c r="H5211" i="122" s="1"/>
  <c r="N5211" i="122" s="1"/>
  <c r="H4528" i="122"/>
  <c r="N4528" i="122" s="1"/>
  <c r="F5198" i="122"/>
  <c r="H5198" i="122" s="1"/>
  <c r="N5198" i="122" s="1"/>
  <c r="F5220" i="122"/>
  <c r="H5220" i="122" s="1"/>
  <c r="N5220" i="122" s="1"/>
  <c r="H4550" i="122"/>
  <c r="N4550" i="122" s="1"/>
  <c r="F4990" i="122"/>
  <c r="H4990" i="122" s="1"/>
  <c r="N4990" i="122" s="1"/>
  <c r="H4320" i="122"/>
  <c r="N4320" i="122" s="1"/>
  <c r="H4224" i="122"/>
  <c r="N4224" i="122" s="1"/>
  <c r="F4894" i="122"/>
  <c r="H4894" i="122" s="1"/>
  <c r="N4894" i="122" s="1"/>
  <c r="F5163" i="122"/>
  <c r="H5163" i="122" s="1"/>
  <c r="N5163" i="122" s="1"/>
  <c r="H4493" i="122"/>
  <c r="N4493" i="122" s="1"/>
  <c r="H4375" i="122"/>
  <c r="N4375" i="122" s="1"/>
  <c r="F5045" i="122"/>
  <c r="H5045" i="122" s="1"/>
  <c r="N5045" i="122" s="1"/>
  <c r="H4355" i="122"/>
  <c r="N4355" i="122" s="1"/>
  <c r="F5025" i="122"/>
  <c r="H5025" i="122" s="1"/>
  <c r="N5025" i="122" s="1"/>
  <c r="F5199" i="122"/>
  <c r="H5199" i="122" s="1"/>
  <c r="N5199" i="122" s="1"/>
  <c r="H4529" i="122"/>
  <c r="N4529" i="122" s="1"/>
  <c r="H4505" i="122"/>
  <c r="N4505" i="122" s="1"/>
  <c r="F5175" i="122"/>
  <c r="H5175" i="122" s="1"/>
  <c r="N5175" i="122" s="1"/>
  <c r="F5133" i="122"/>
  <c r="H5133" i="122" s="1"/>
  <c r="N5133" i="122" s="1"/>
  <c r="H4463" i="122"/>
  <c r="N4463" i="122" s="1"/>
  <c r="F4706" i="122"/>
  <c r="H4706" i="122" s="1"/>
  <c r="N4706" i="122" s="1"/>
  <c r="H4036" i="122"/>
  <c r="N4036" i="122" s="1"/>
  <c r="F3333" i="122"/>
  <c r="H2663" i="122"/>
  <c r="N2663" i="122" s="1"/>
  <c r="H4071" i="122"/>
  <c r="N4071" i="122" s="1"/>
  <c r="F4741" i="122"/>
  <c r="H4741" i="122" s="1"/>
  <c r="N4741" i="122" s="1"/>
  <c r="F4816" i="122"/>
  <c r="H4816" i="122" s="1"/>
  <c r="N4816" i="122" s="1"/>
  <c r="H4146" i="122"/>
  <c r="N4146" i="122" s="1"/>
  <c r="F5202" i="122"/>
  <c r="H5202" i="122" s="1"/>
  <c r="N5202" i="122" s="1"/>
  <c r="H4532" i="122"/>
  <c r="N4532" i="122" s="1"/>
  <c r="H4087" i="122"/>
  <c r="N4087" i="122" s="1"/>
  <c r="F4757" i="122"/>
  <c r="H4757" i="122" s="1"/>
  <c r="N4757" i="122" s="1"/>
  <c r="F5314" i="122"/>
  <c r="H5314" i="122" s="1"/>
  <c r="N5314" i="122" s="1"/>
  <c r="H4644" i="122"/>
  <c r="N4644" i="122" s="1"/>
  <c r="H4318" i="122"/>
  <c r="N4318" i="122" s="1"/>
  <c r="F4988" i="122"/>
  <c r="H4988" i="122" s="1"/>
  <c r="N4988" i="122" s="1"/>
  <c r="F5091" i="122"/>
  <c r="H5091" i="122" s="1"/>
  <c r="N5091" i="122" s="1"/>
  <c r="H4421" i="122"/>
  <c r="N4421" i="122" s="1"/>
  <c r="F4855" i="122"/>
  <c r="H4855" i="122" s="1"/>
  <c r="N4855" i="122" s="1"/>
  <c r="H4185" i="122"/>
  <c r="N4185" i="122" s="1"/>
  <c r="F5363" i="122"/>
  <c r="H5363" i="122" s="1"/>
  <c r="N5363" i="122" s="1"/>
  <c r="H4693" i="122"/>
  <c r="N4693" i="122" s="1"/>
  <c r="F5284" i="122"/>
  <c r="H5284" i="122" s="1"/>
  <c r="N5284" i="122" s="1"/>
  <c r="H4614" i="122"/>
  <c r="N4614" i="122" s="1"/>
  <c r="H4617" i="122"/>
  <c r="N4617" i="122" s="1"/>
  <c r="F5287" i="122"/>
  <c r="H5287" i="122" s="1"/>
  <c r="N5287" i="122" s="1"/>
  <c r="F4879" i="122"/>
  <c r="H4879" i="122" s="1"/>
  <c r="N4879" i="122" s="1"/>
  <c r="H4209" i="122"/>
  <c r="N4209" i="122" s="1"/>
  <c r="H4589" i="122"/>
  <c r="N4589" i="122" s="1"/>
  <c r="F5259" i="122"/>
  <c r="H5259" i="122" s="1"/>
  <c r="N5259" i="122" s="1"/>
  <c r="F5131" i="122"/>
  <c r="H5131" i="122" s="1"/>
  <c r="N5131" i="122" s="1"/>
  <c r="H4461" i="122"/>
  <c r="N4461" i="122" s="1"/>
  <c r="F4865" i="122"/>
  <c r="H4865" i="122" s="1"/>
  <c r="N4865" i="122" s="1"/>
  <c r="H4195" i="122"/>
  <c r="N4195" i="122" s="1"/>
  <c r="H4214" i="122"/>
  <c r="N4214" i="122" s="1"/>
  <c r="F4884" i="122"/>
  <c r="H4884" i="122" s="1"/>
  <c r="N4884" i="122" s="1"/>
  <c r="F5101" i="122"/>
  <c r="H5101" i="122" s="1"/>
  <c r="N5101" i="122" s="1"/>
  <c r="H4431" i="122"/>
  <c r="N4431" i="122" s="1"/>
  <c r="F4681" i="122"/>
  <c r="H4011" i="122"/>
  <c r="N4011" i="122" s="1"/>
  <c r="H4379" i="122"/>
  <c r="N4379" i="122" s="1"/>
  <c r="F5049" i="122"/>
  <c r="H5049" i="122" s="1"/>
  <c r="N5049" i="122" s="1"/>
  <c r="H4079" i="122"/>
  <c r="N4079" i="122" s="1"/>
  <c r="F4749" i="122"/>
  <c r="H4749" i="122" s="1"/>
  <c r="N4749" i="122" s="1"/>
  <c r="F4787" i="122"/>
  <c r="H4787" i="122" s="1"/>
  <c r="N4787" i="122" s="1"/>
  <c r="H4117" i="122"/>
  <c r="N4117" i="122" s="1"/>
  <c r="F5117" i="122"/>
  <c r="H5117" i="122" s="1"/>
  <c r="N5117" i="122" s="1"/>
  <c r="H4447" i="122"/>
  <c r="N4447" i="122" s="1"/>
  <c r="F5063" i="122"/>
  <c r="H5063" i="122" s="1"/>
  <c r="N5063" i="122" s="1"/>
  <c r="H4393" i="122"/>
  <c r="N4393" i="122" s="1"/>
  <c r="F5109" i="122"/>
  <c r="H5109" i="122" s="1"/>
  <c r="N5109" i="122" s="1"/>
  <c r="H4439" i="122"/>
  <c r="N4439" i="122" s="1"/>
  <c r="F4858" i="122"/>
  <c r="H4858" i="122" s="1"/>
  <c r="N4858" i="122" s="1"/>
  <c r="H4188" i="122"/>
  <c r="N4188" i="122" s="1"/>
  <c r="F5111" i="122"/>
  <c r="H5111" i="122" s="1"/>
  <c r="N5111" i="122" s="1"/>
  <c r="H4441" i="122"/>
  <c r="N4441" i="122" s="1"/>
  <c r="F4781" i="122"/>
  <c r="H4781" i="122" s="1"/>
  <c r="N4781" i="122" s="1"/>
  <c r="H4111" i="122"/>
  <c r="N4111" i="122" s="1"/>
  <c r="F4957" i="122"/>
  <c r="H4957" i="122" s="1"/>
  <c r="N4957" i="122" s="1"/>
  <c r="H4287" i="122"/>
  <c r="N4287" i="122" s="1"/>
  <c r="H4433" i="122"/>
  <c r="N4433" i="122" s="1"/>
  <c r="F5103" i="122"/>
  <c r="H5103" i="122" s="1"/>
  <c r="N5103" i="122" s="1"/>
  <c r="F5148" i="122"/>
  <c r="H5148" i="122" s="1"/>
  <c r="N5148" i="122" s="1"/>
  <c r="H4478" i="122"/>
  <c r="N4478" i="122" s="1"/>
  <c r="H4558" i="122"/>
  <c r="N4558" i="122" s="1"/>
  <c r="F5228" i="122"/>
  <c r="H5228" i="122" s="1"/>
  <c r="N5228" i="122" s="1"/>
  <c r="F5088" i="122"/>
  <c r="H5088" i="122" s="1"/>
  <c r="N5088" i="122" s="1"/>
  <c r="H4418" i="122"/>
  <c r="N4418" i="122" s="1"/>
  <c r="F5292" i="122"/>
  <c r="H5292" i="122" s="1"/>
  <c r="N5292" i="122" s="1"/>
  <c r="H4622" i="122"/>
  <c r="N4622" i="122" s="1"/>
  <c r="H4237" i="122"/>
  <c r="N4237" i="122" s="1"/>
  <c r="F4907" i="122"/>
  <c r="H4907" i="122" s="1"/>
  <c r="N4907" i="122" s="1"/>
  <c r="F5341" i="122"/>
  <c r="H5341" i="122" s="1"/>
  <c r="N5341" i="122" s="1"/>
  <c r="H4671" i="122"/>
  <c r="N4671" i="122" s="1"/>
  <c r="F5180" i="122"/>
  <c r="H5180" i="122" s="1"/>
  <c r="N5180" i="122" s="1"/>
  <c r="H4510" i="122"/>
  <c r="N4510" i="122" s="1"/>
  <c r="F4773" i="122"/>
  <c r="H4773" i="122" s="1"/>
  <c r="N4773" i="122" s="1"/>
  <c r="H4103" i="122"/>
  <c r="N4103" i="122" s="1"/>
  <c r="F5157" i="122"/>
  <c r="H5157" i="122" s="1"/>
  <c r="N5157" i="122" s="1"/>
  <c r="H4487" i="122"/>
  <c r="N4487" i="122" s="1"/>
  <c r="F5204" i="122"/>
  <c r="H5204" i="122" s="1"/>
  <c r="N5204" i="122" s="1"/>
  <c r="H4534" i="122"/>
  <c r="N4534" i="122" s="1"/>
  <c r="F4710" i="122"/>
  <c r="H4710" i="122" s="1"/>
  <c r="N4710" i="122" s="1"/>
  <c r="H4040" i="122"/>
  <c r="N4040" i="122" s="1"/>
  <c r="H4457" i="122"/>
  <c r="N4457" i="122" s="1"/>
  <c r="F5127" i="122"/>
  <c r="H5127" i="122" s="1"/>
  <c r="N5127" i="122" s="1"/>
  <c r="F5303" i="122"/>
  <c r="H5303" i="122" s="1"/>
  <c r="N5303" i="122" s="1"/>
  <c r="H4633" i="122"/>
  <c r="N4633" i="122" s="1"/>
  <c r="H4583" i="122"/>
  <c r="N4583" i="122" s="1"/>
  <c r="F5253" i="122"/>
  <c r="H5253" i="122" s="1"/>
  <c r="N5253" i="122" s="1"/>
  <c r="F4751" i="122"/>
  <c r="H4751" i="122" s="1"/>
  <c r="N4751" i="122" s="1"/>
  <c r="H4081" i="122"/>
  <c r="N4081" i="122" s="1"/>
  <c r="F4802" i="122"/>
  <c r="H4802" i="122" s="1"/>
  <c r="N4802" i="122" s="1"/>
  <c r="H4132" i="122"/>
  <c r="N4132" i="122" s="1"/>
  <c r="F2657" i="122"/>
  <c r="H1987" i="122"/>
  <c r="N1987" i="122" s="1"/>
  <c r="F5270" i="122"/>
  <c r="H5270" i="122" s="1"/>
  <c r="N5270" i="122" s="1"/>
  <c r="H4600" i="122"/>
  <c r="N4600" i="122" s="1"/>
  <c r="F5146" i="122"/>
  <c r="H5146" i="122" s="1"/>
  <c r="N5146" i="122" s="1"/>
  <c r="H4476" i="122"/>
  <c r="N4476" i="122" s="1"/>
  <c r="H4596" i="122"/>
  <c r="N4596" i="122" s="1"/>
  <c r="F5266" i="122"/>
  <c r="H5266" i="122" s="1"/>
  <c r="N5266" i="122" s="1"/>
  <c r="F5065" i="122"/>
  <c r="H5065" i="122" s="1"/>
  <c r="N5065" i="122" s="1"/>
  <c r="H4395" i="122"/>
  <c r="N4395" i="122" s="1"/>
  <c r="H4525" i="122"/>
  <c r="N4525" i="122" s="1"/>
  <c r="F5195" i="122"/>
  <c r="H5195" i="122" s="1"/>
  <c r="N5195" i="122" s="1"/>
  <c r="F5296" i="122"/>
  <c r="H5296" i="122" s="1"/>
  <c r="N5296" i="122" s="1"/>
  <c r="H4626" i="122"/>
  <c r="N4626" i="122" s="1"/>
  <c r="F5302" i="122"/>
  <c r="H5302" i="122" s="1"/>
  <c r="N5302" i="122" s="1"/>
  <c r="H4632" i="122"/>
  <c r="N4632" i="122" s="1"/>
  <c r="H4555" i="122"/>
  <c r="N4555" i="122" s="1"/>
  <c r="F5225" i="122"/>
  <c r="H5225" i="122" s="1"/>
  <c r="N5225" i="122" s="1"/>
  <c r="F5219" i="122"/>
  <c r="H5219" i="122" s="1"/>
  <c r="N5219" i="122" s="1"/>
  <c r="H4549" i="122"/>
  <c r="N4549" i="122" s="1"/>
  <c r="F5243" i="122"/>
  <c r="H5243" i="122" s="1"/>
  <c r="N5243" i="122" s="1"/>
  <c r="H4573" i="122"/>
  <c r="N4573" i="122" s="1"/>
  <c r="F5152" i="122"/>
  <c r="H5152" i="122" s="1"/>
  <c r="N5152" i="122" s="1"/>
  <c r="H4482" i="122"/>
  <c r="N4482" i="122" s="1"/>
  <c r="M1989" i="122"/>
  <c r="J2015" i="122"/>
  <c r="F4921" i="122"/>
  <c r="H4921" i="122" s="1"/>
  <c r="N4921" i="122" s="1"/>
  <c r="H4251" i="122"/>
  <c r="N4251" i="122" s="1"/>
  <c r="H4503" i="122"/>
  <c r="N4503" i="122" s="1"/>
  <c r="F5173" i="122"/>
  <c r="H5173" i="122" s="1"/>
  <c r="N5173" i="122" s="1"/>
  <c r="F4923" i="122"/>
  <c r="H4923" i="122" s="1"/>
  <c r="N4923" i="122" s="1"/>
  <c r="H4253" i="122"/>
  <c r="N4253" i="122" s="1"/>
  <c r="H4193" i="122"/>
  <c r="N4193" i="122" s="1"/>
  <c r="F4863" i="122"/>
  <c r="H4863" i="122" s="1"/>
  <c r="N4863" i="122" s="1"/>
  <c r="F5064" i="122"/>
  <c r="H5064" i="122" s="1"/>
  <c r="N5064" i="122" s="1"/>
  <c r="H4394" i="122"/>
  <c r="N4394" i="122" s="1"/>
  <c r="H4389" i="122"/>
  <c r="N4389" i="122" s="1"/>
  <c r="F5059" i="122"/>
  <c r="H5059" i="122" s="1"/>
  <c r="N5059" i="122" s="1"/>
  <c r="F4895" i="122"/>
  <c r="H4895" i="122" s="1"/>
  <c r="N4895" i="122" s="1"/>
  <c r="H4225" i="122"/>
  <c r="N4225" i="122" s="1"/>
  <c r="F4929" i="122"/>
  <c r="H4929" i="122" s="1"/>
  <c r="N4929" i="122" s="1"/>
  <c r="H4259" i="122"/>
  <c r="N4259" i="122" s="1"/>
  <c r="F4991" i="122"/>
  <c r="H4991" i="122" s="1"/>
  <c r="N4991" i="122" s="1"/>
  <c r="H4321" i="122"/>
  <c r="N4321" i="122" s="1"/>
  <c r="H4047" i="122"/>
  <c r="N4047" i="122" s="1"/>
  <c r="F4717" i="122"/>
  <c r="H4717" i="122" s="1"/>
  <c r="N4717" i="122" s="1"/>
  <c r="H4657" i="122"/>
  <c r="N4657" i="122" s="1"/>
  <c r="F5327" i="122"/>
  <c r="H5327" i="122" s="1"/>
  <c r="N5327" i="122" s="1"/>
  <c r="H4637" i="122"/>
  <c r="N4637" i="122" s="1"/>
  <c r="F5307" i="122"/>
  <c r="H5307" i="122" s="1"/>
  <c r="N5307" i="122" s="1"/>
  <c r="F5154" i="122"/>
  <c r="H5154" i="122" s="1"/>
  <c r="N5154" i="122" s="1"/>
  <c r="H4484" i="122"/>
  <c r="N4484" i="122" s="1"/>
  <c r="F5207" i="122"/>
  <c r="H5207" i="122" s="1"/>
  <c r="N5207" i="122" s="1"/>
  <c r="H4537" i="122"/>
  <c r="N4537" i="122" s="1"/>
  <c r="F4756" i="122"/>
  <c r="H4756" i="122" s="1"/>
  <c r="N4756" i="122" s="1"/>
  <c r="H4086" i="122"/>
  <c r="N4086" i="122" s="1"/>
  <c r="F5196" i="122"/>
  <c r="H5196" i="122" s="1"/>
  <c r="N5196" i="122" s="1"/>
  <c r="H4526" i="122"/>
  <c r="N4526" i="122" s="1"/>
  <c r="F5241" i="122"/>
  <c r="H5241" i="122" s="1"/>
  <c r="N5241" i="122" s="1"/>
  <c r="H4571" i="122"/>
  <c r="N4571" i="122" s="1"/>
  <c r="F4876" i="122"/>
  <c r="H4876" i="122" s="1"/>
  <c r="N4876" i="122" s="1"/>
  <c r="H4206" i="122"/>
  <c r="N4206" i="122" s="1"/>
  <c r="F5011" i="122"/>
  <c r="H5011" i="122" s="1"/>
  <c r="N5011" i="122" s="1"/>
  <c r="H4341" i="122"/>
  <c r="N4341" i="122" s="1"/>
  <c r="F4760" i="122"/>
  <c r="H4760" i="122" s="1"/>
  <c r="N4760" i="122" s="1"/>
  <c r="H4090" i="122"/>
  <c r="N4090" i="122" s="1"/>
  <c r="F4852" i="122"/>
  <c r="H4852" i="122" s="1"/>
  <c r="N4852" i="122" s="1"/>
  <c r="H4182" i="122"/>
  <c r="N4182" i="122" s="1"/>
  <c r="H4387" i="122"/>
  <c r="N4387" i="122" s="1"/>
  <c r="F5057" i="122"/>
  <c r="H5057" i="122" s="1"/>
  <c r="N5057" i="122" s="1"/>
  <c r="F4931" i="122"/>
  <c r="H4931" i="122" s="1"/>
  <c r="N4931" i="122" s="1"/>
  <c r="H4261" i="122"/>
  <c r="N4261" i="122" s="1"/>
  <c r="F4955" i="122"/>
  <c r="H4955" i="122" s="1"/>
  <c r="N4955" i="122" s="1"/>
  <c r="H4285" i="122"/>
  <c r="N4285" i="122" s="1"/>
  <c r="H4050" i="122"/>
  <c r="N4050" i="122" s="1"/>
  <c r="F4720" i="122"/>
  <c r="H4720" i="122" s="1"/>
  <c r="N4720" i="122" s="1"/>
  <c r="F4964" i="122"/>
  <c r="H4964" i="122" s="1"/>
  <c r="N4964" i="122" s="1"/>
  <c r="H4294" i="122"/>
  <c r="N4294" i="122" s="1"/>
  <c r="F4966" i="122"/>
  <c r="H4966" i="122" s="1"/>
  <c r="N4966" i="122" s="1"/>
  <c r="H4296" i="122"/>
  <c r="N4296" i="122" s="1"/>
  <c r="F5188" i="122"/>
  <c r="H5188" i="122" s="1"/>
  <c r="N5188" i="122" s="1"/>
  <c r="H4518" i="122"/>
  <c r="N4518" i="122" s="1"/>
  <c r="F4765" i="122"/>
  <c r="H4765" i="122" s="1"/>
  <c r="N4765" i="122" s="1"/>
  <c r="H4095" i="122"/>
  <c r="N4095" i="122" s="1"/>
  <c r="F5181" i="122"/>
  <c r="H5181" i="122" s="1"/>
  <c r="N5181" i="122" s="1"/>
  <c r="H4511" i="122"/>
  <c r="N4511" i="122" s="1"/>
  <c r="F5094" i="122"/>
  <c r="H5094" i="122" s="1"/>
  <c r="N5094" i="122" s="1"/>
  <c r="H4424" i="122"/>
  <c r="N4424" i="122" s="1"/>
  <c r="H4331" i="122"/>
  <c r="N4331" i="122" s="1"/>
  <c r="F5001" i="122"/>
  <c r="H5001" i="122" s="1"/>
  <c r="N5001" i="122" s="1"/>
  <c r="H4429" i="122"/>
  <c r="N4429" i="122" s="1"/>
  <c r="F5099" i="122"/>
  <c r="H5099" i="122" s="1"/>
  <c r="N5099" i="122" s="1"/>
  <c r="F5090" i="122"/>
  <c r="H5090" i="122" s="1"/>
  <c r="N5090" i="122" s="1"/>
  <c r="H4420" i="122"/>
  <c r="N4420" i="122" s="1"/>
  <c r="H4481" i="122"/>
  <c r="N4481" i="122" s="1"/>
  <c r="F5151" i="122"/>
  <c r="H5151" i="122" s="1"/>
  <c r="N5151" i="122" s="1"/>
  <c r="F5310" i="122"/>
  <c r="H5310" i="122" s="1"/>
  <c r="N5310" i="122" s="1"/>
  <c r="H4640" i="122"/>
  <c r="N4640" i="122" s="1"/>
  <c r="F4743" i="122"/>
  <c r="H4743" i="122" s="1"/>
  <c r="N4743" i="122" s="1"/>
  <c r="H4073" i="122"/>
  <c r="N4073" i="122" s="1"/>
  <c r="F5128" i="122"/>
  <c r="H5128" i="122" s="1"/>
  <c r="N5128" i="122" s="1"/>
  <c r="H4458" i="122"/>
  <c r="N4458" i="122" s="1"/>
  <c r="F5013" i="122"/>
  <c r="H5013" i="122" s="1"/>
  <c r="N5013" i="122" s="1"/>
  <c r="H4343" i="122"/>
  <c r="N4343" i="122" s="1"/>
  <c r="F4705" i="122"/>
  <c r="H4705" i="122" s="1"/>
  <c r="N4705" i="122" s="1"/>
  <c r="H4035" i="122"/>
  <c r="N4035" i="122" s="1"/>
  <c r="F5166" i="122"/>
  <c r="H5166" i="122" s="1"/>
  <c r="N5166" i="122" s="1"/>
  <c r="H4496" i="122"/>
  <c r="N4496" i="122" s="1"/>
  <c r="F4850" i="122"/>
  <c r="H4850" i="122" s="1"/>
  <c r="N4850" i="122" s="1"/>
  <c r="H4180" i="122"/>
  <c r="N4180" i="122" s="1"/>
  <c r="F5105" i="122"/>
  <c r="H5105" i="122" s="1"/>
  <c r="N5105" i="122" s="1"/>
  <c r="H4435" i="122"/>
  <c r="N4435" i="122" s="1"/>
  <c r="F5212" i="122"/>
  <c r="H5212" i="122" s="1"/>
  <c r="N5212" i="122" s="1"/>
  <c r="H4542" i="122"/>
  <c r="N4542" i="122" s="1"/>
  <c r="F5007" i="122"/>
  <c r="H5007" i="122" s="1"/>
  <c r="N5007" i="122" s="1"/>
  <c r="H4337" i="122"/>
  <c r="N4337" i="122" s="1"/>
  <c r="F5333" i="122"/>
  <c r="F4869" i="122"/>
  <c r="H4869" i="122" s="1"/>
  <c r="N4869" i="122" s="1"/>
  <c r="H4199" i="122"/>
  <c r="N4199" i="122" s="1"/>
  <c r="F4965" i="122"/>
  <c r="H4965" i="122" s="1"/>
  <c r="N4965" i="122" s="1"/>
  <c r="H4295" i="122"/>
  <c r="N4295" i="122" s="1"/>
  <c r="H4127" i="122"/>
  <c r="N4127" i="122" s="1"/>
  <c r="F4797" i="122"/>
  <c r="H4797" i="122" s="1"/>
  <c r="N4797" i="122" s="1"/>
  <c r="F5205" i="122"/>
  <c r="H5205" i="122" s="1"/>
  <c r="N5205" i="122" s="1"/>
  <c r="H4535" i="122"/>
  <c r="N4535" i="122" s="1"/>
  <c r="F4969" i="122"/>
  <c r="H4969" i="122" s="1"/>
  <c r="N4969" i="122" s="1"/>
  <c r="H4299" i="122"/>
  <c r="N4299" i="122" s="1"/>
  <c r="H4474" i="122"/>
  <c r="N4474" i="122" s="1"/>
  <c r="F5144" i="122"/>
  <c r="H5144" i="122" s="1"/>
  <c r="N5144" i="122" s="1"/>
  <c r="F5186" i="122"/>
  <c r="H5186" i="122" s="1"/>
  <c r="N5186" i="122" s="1"/>
  <c r="H4516" i="122"/>
  <c r="N4516" i="122" s="1"/>
  <c r="F4883" i="122"/>
  <c r="H4883" i="122" s="1"/>
  <c r="N4883" i="122" s="1"/>
  <c r="H4213" i="122"/>
  <c r="N4213" i="122" s="1"/>
  <c r="F4737" i="122"/>
  <c r="H4737" i="122" s="1"/>
  <c r="N4737" i="122" s="1"/>
  <c r="H4067" i="122"/>
  <c r="N4067" i="122" s="1"/>
  <c r="H4575" i="122"/>
  <c r="N4575" i="122" s="1"/>
  <c r="F5245" i="122"/>
  <c r="H5245" i="122" s="1"/>
  <c r="N5245" i="122" s="1"/>
  <c r="F5179" i="122"/>
  <c r="H5179" i="122" s="1"/>
  <c r="N5179" i="122" s="1"/>
  <c r="H4509" i="122"/>
  <c r="N4509" i="122" s="1"/>
  <c r="F4898" i="122"/>
  <c r="H4898" i="122" s="1"/>
  <c r="N4898" i="122" s="1"/>
  <c r="H4228" i="122"/>
  <c r="N4228" i="122" s="1"/>
  <c r="H4680" i="122"/>
  <c r="N4680" i="122" s="1"/>
  <c r="F5350" i="122"/>
  <c r="H5350" i="122" s="1"/>
  <c r="N5350" i="122" s="1"/>
  <c r="F5174" i="122"/>
  <c r="H5174" i="122" s="1"/>
  <c r="N5174" i="122" s="1"/>
  <c r="H4504" i="122"/>
  <c r="N4504" i="122" s="1"/>
  <c r="F5056" i="122"/>
  <c r="H5056" i="122" s="1"/>
  <c r="N5056" i="122" s="1"/>
  <c r="H4386" i="122"/>
  <c r="N4386" i="122" s="1"/>
  <c r="F4804" i="122"/>
  <c r="H4804" i="122" s="1"/>
  <c r="N4804" i="122" s="1"/>
  <c r="H4134" i="122"/>
  <c r="N4134" i="122" s="1"/>
  <c r="F5317" i="122"/>
  <c r="H5317" i="122" s="1"/>
  <c r="N5317" i="122" s="1"/>
  <c r="H4647" i="122"/>
  <c r="N4647" i="122" s="1"/>
  <c r="F4970" i="122"/>
  <c r="H4970" i="122" s="1"/>
  <c r="N4970" i="122" s="1"/>
  <c r="H4300" i="122"/>
  <c r="N4300" i="122" s="1"/>
  <c r="H4190" i="122"/>
  <c r="N4190" i="122" s="1"/>
  <c r="F4860" i="122"/>
  <c r="H4860" i="122" s="1"/>
  <c r="N4860" i="122" s="1"/>
  <c r="F5231" i="122"/>
  <c r="H5231" i="122" s="1"/>
  <c r="N5231" i="122" s="1"/>
  <c r="H4561" i="122"/>
  <c r="N4561" i="122" s="1"/>
  <c r="F5282" i="122"/>
  <c r="H5282" i="122" s="1"/>
  <c r="N5282" i="122" s="1"/>
  <c r="H4612" i="122"/>
  <c r="N4612" i="122" s="1"/>
  <c r="F5171" i="122"/>
  <c r="H5171" i="122" s="1"/>
  <c r="N5171" i="122" s="1"/>
  <c r="H4501" i="122"/>
  <c r="N4501" i="122" s="1"/>
  <c r="F4728" i="122"/>
  <c r="H4728" i="122" s="1"/>
  <c r="N4728" i="122" s="1"/>
  <c r="H4058" i="122"/>
  <c r="N4058" i="122" s="1"/>
  <c r="F5218" i="122"/>
  <c r="H5218" i="122" s="1"/>
  <c r="N5218" i="122" s="1"/>
  <c r="H4548" i="122"/>
  <c r="N4548" i="122" s="1"/>
  <c r="F4795" i="122"/>
  <c r="H4795" i="122" s="1"/>
  <c r="N4795" i="122" s="1"/>
  <c r="H4125" i="122"/>
  <c r="N4125" i="122" s="1"/>
  <c r="F4834" i="122"/>
  <c r="H4834" i="122" s="1"/>
  <c r="N4834" i="122" s="1"/>
  <c r="H4164" i="122"/>
  <c r="N4164" i="122" s="1"/>
  <c r="F4878" i="122"/>
  <c r="H4878" i="122" s="1"/>
  <c r="N4878" i="122" s="1"/>
  <c r="H4208" i="122"/>
  <c r="N4208" i="122" s="1"/>
  <c r="F5159" i="122"/>
  <c r="H5159" i="122" s="1"/>
  <c r="N5159" i="122" s="1"/>
  <c r="H4489" i="122"/>
  <c r="N4489" i="122" s="1"/>
  <c r="H4557" i="122"/>
  <c r="N4557" i="122" s="1"/>
  <c r="F5227" i="122"/>
  <c r="H5227" i="122" s="1"/>
  <c r="N5227" i="122" s="1"/>
  <c r="F4963" i="122"/>
  <c r="H4963" i="122" s="1"/>
  <c r="N4963" i="122" s="1"/>
  <c r="H4293" i="122"/>
  <c r="N4293" i="122" s="1"/>
  <c r="H4576" i="122"/>
  <c r="N4576" i="122" s="1"/>
  <c r="F5246" i="122"/>
  <c r="H5246" i="122" s="1"/>
  <c r="N5246" i="122" s="1"/>
  <c r="H4588" i="122"/>
  <c r="N4588" i="122" s="1"/>
  <c r="F5258" i="122"/>
  <c r="H5258" i="122" s="1"/>
  <c r="N5258" i="122" s="1"/>
  <c r="F4735" i="122"/>
  <c r="H4735" i="122" s="1"/>
  <c r="N4735" i="122" s="1"/>
  <c r="H4065" i="122"/>
  <c r="N4065" i="122" s="1"/>
  <c r="G2664" i="122"/>
  <c r="N1994" i="122"/>
  <c r="F5206" i="122"/>
  <c r="H5206" i="122" s="1"/>
  <c r="N5206" i="122" s="1"/>
  <c r="H4536" i="122"/>
  <c r="N4536" i="122" s="1"/>
  <c r="F4782" i="122"/>
  <c r="H4782" i="122" s="1"/>
  <c r="N4782" i="122" s="1"/>
  <c r="H4112" i="122"/>
  <c r="N4112" i="122" s="1"/>
  <c r="F5044" i="122"/>
  <c r="H5044" i="122" s="1"/>
  <c r="N5044" i="122" s="1"/>
  <c r="H4374" i="122"/>
  <c r="N4374" i="122" s="1"/>
  <c r="F4799" i="122"/>
  <c r="H4799" i="122" s="1"/>
  <c r="N4799" i="122" s="1"/>
  <c r="H4129" i="122"/>
  <c r="N4129" i="122" s="1"/>
  <c r="H4335" i="122"/>
  <c r="N4335" i="122" s="1"/>
  <c r="F5005" i="122"/>
  <c r="H5005" i="122" s="1"/>
  <c r="N5005" i="122" s="1"/>
  <c r="F5272" i="122"/>
  <c r="H5272" i="122" s="1"/>
  <c r="N5272" i="122" s="1"/>
  <c r="H4602" i="122"/>
  <c r="N4602" i="122" s="1"/>
  <c r="F4789" i="122"/>
  <c r="H4789" i="122" s="1"/>
  <c r="N4789" i="122" s="1"/>
  <c r="H4119" i="122"/>
  <c r="N4119" i="122" s="1"/>
  <c r="F4766" i="122"/>
  <c r="H4766" i="122" s="1"/>
  <c r="N4766" i="122" s="1"/>
  <c r="H4096" i="122"/>
  <c r="N4096" i="122" s="1"/>
  <c r="H4138" i="122"/>
  <c r="N4138" i="122" s="1"/>
  <c r="F4808" i="122"/>
  <c r="H4808" i="122" s="1"/>
  <c r="N4808" i="122" s="1"/>
  <c r="F4670" i="122"/>
  <c r="H4000" i="122"/>
  <c r="N4000" i="122" s="1"/>
  <c r="F4941" i="122"/>
  <c r="H4941" i="122" s="1"/>
  <c r="N4941" i="122" s="1"/>
  <c r="H4271" i="122"/>
  <c r="N4271" i="122" s="1"/>
  <c r="H4469" i="122"/>
  <c r="N4469" i="122" s="1"/>
  <c r="F5139" i="122"/>
  <c r="H5139" i="122" s="1"/>
  <c r="N5139" i="122" s="1"/>
  <c r="F4777" i="122"/>
  <c r="H4777" i="122" s="1"/>
  <c r="N4777" i="122" s="1"/>
  <c r="H4107" i="122"/>
  <c r="N4107" i="122" s="1"/>
  <c r="F4997" i="122"/>
  <c r="H4997" i="122" s="1"/>
  <c r="N4997" i="122" s="1"/>
  <c r="H4327" i="122"/>
  <c r="N4327" i="122" s="1"/>
  <c r="F4721" i="122"/>
  <c r="H4721" i="122" s="1"/>
  <c r="N4721" i="122" s="1"/>
  <c r="H4051" i="122"/>
  <c r="N4051" i="122" s="1"/>
  <c r="F5216" i="122"/>
  <c r="H5216" i="122" s="1"/>
  <c r="N5216" i="122" s="1"/>
  <c r="H4546" i="122"/>
  <c r="N4546" i="122" s="1"/>
  <c r="F4701" i="122"/>
  <c r="H4701" i="122" s="1"/>
  <c r="N4701" i="122" s="1"/>
  <c r="H4031" i="122"/>
  <c r="N4031" i="122" s="1"/>
  <c r="F4904" i="122"/>
  <c r="H4904" i="122" s="1"/>
  <c r="N4904" i="122" s="1"/>
  <c r="H4234" i="122"/>
  <c r="N4234" i="122" s="1"/>
  <c r="F4968" i="122"/>
  <c r="H4968" i="122" s="1"/>
  <c r="N4968" i="122" s="1"/>
  <c r="H4298" i="122"/>
  <c r="N4298" i="122" s="1"/>
  <c r="F5071" i="122"/>
  <c r="H5071" i="122" s="1"/>
  <c r="N5071" i="122" s="1"/>
  <c r="H4401" i="122"/>
  <c r="N4401" i="122" s="1"/>
  <c r="F5021" i="122"/>
  <c r="H5021" i="122" s="1"/>
  <c r="N5021" i="122" s="1"/>
  <c r="H4351" i="122"/>
  <c r="N4351" i="122" s="1"/>
  <c r="F4877" i="122"/>
  <c r="H4877" i="122" s="1"/>
  <c r="N4877" i="122" s="1"/>
  <c r="H4207" i="122"/>
  <c r="N4207" i="122" s="1"/>
  <c r="H4488" i="122"/>
  <c r="N4488" i="122" s="1"/>
  <c r="F5158" i="122"/>
  <c r="H5158" i="122" s="1"/>
  <c r="N5158" i="122" s="1"/>
  <c r="F5129" i="122"/>
  <c r="H5129" i="122" s="1"/>
  <c r="N5129" i="122" s="1"/>
  <c r="H4459" i="122"/>
  <c r="N4459" i="122" s="1"/>
  <c r="H4322" i="122"/>
  <c r="N4322" i="122" s="1"/>
  <c r="F4992" i="122"/>
  <c r="H4992" i="122" s="1"/>
  <c r="N4992" i="122" s="1"/>
  <c r="F5359" i="122"/>
  <c r="H5359" i="122" s="1"/>
  <c r="N5359" i="122" s="1"/>
  <c r="H4689" i="122"/>
  <c r="N4689" i="122" s="1"/>
  <c r="F4742" i="122"/>
  <c r="H4742" i="122" s="1"/>
  <c r="N4742" i="122" s="1"/>
  <c r="H4072" i="122"/>
  <c r="N4072" i="122" s="1"/>
  <c r="F4848" i="122"/>
  <c r="H4848" i="122" s="1"/>
  <c r="N4848" i="122" s="1"/>
  <c r="H4178" i="122"/>
  <c r="N4178" i="122" s="1"/>
  <c r="F4870" i="122"/>
  <c r="H4870" i="122" s="1"/>
  <c r="N4870" i="122" s="1"/>
  <c r="H4200" i="122"/>
  <c r="N4200" i="122" s="1"/>
  <c r="F4897" i="122"/>
  <c r="H4897" i="122" s="1"/>
  <c r="N4897" i="122" s="1"/>
  <c r="H4227" i="122"/>
  <c r="N4227" i="122" s="1"/>
  <c r="H4383" i="122"/>
  <c r="N4383" i="122" s="1"/>
  <c r="F5053" i="122"/>
  <c r="H5053" i="122" s="1"/>
  <c r="N5053" i="122" s="1"/>
  <c r="N3360" i="122"/>
  <c r="H4068" i="122"/>
  <c r="N4068" i="122" s="1"/>
  <c r="F4738" i="122"/>
  <c r="H4738" i="122" s="1"/>
  <c r="N4738" i="122" s="1"/>
  <c r="F5136" i="122"/>
  <c r="H5136" i="122" s="1"/>
  <c r="N5136" i="122" s="1"/>
  <c r="H4466" i="122"/>
  <c r="N4466" i="122" s="1"/>
  <c r="F4958" i="122"/>
  <c r="H4958" i="122" s="1"/>
  <c r="N4958" i="122" s="1"/>
  <c r="H4288" i="122"/>
  <c r="N4288" i="122" s="1"/>
  <c r="F5208" i="122"/>
  <c r="H5208" i="122" s="1"/>
  <c r="N5208" i="122" s="1"/>
  <c r="H4538" i="122"/>
  <c r="N4538" i="122" s="1"/>
  <c r="F5178" i="122"/>
  <c r="H5178" i="122" s="1"/>
  <c r="N5178" i="122" s="1"/>
  <c r="H4508" i="122"/>
  <c r="N4508" i="122" s="1"/>
  <c r="F4744" i="122"/>
  <c r="H4744" i="122" s="1"/>
  <c r="N4744" i="122" s="1"/>
  <c r="H4074" i="122"/>
  <c r="N4074" i="122" s="1"/>
  <c r="F5080" i="122"/>
  <c r="H5080" i="122" s="1"/>
  <c r="N5080" i="122" s="1"/>
  <c r="H4410" i="122"/>
  <c r="N4410" i="122" s="1"/>
  <c r="F5290" i="122"/>
  <c r="H5290" i="122" s="1"/>
  <c r="N5290" i="122" s="1"/>
  <c r="H4620" i="122"/>
  <c r="N4620" i="122" s="1"/>
  <c r="F4771" i="122"/>
  <c r="H4771" i="122" s="1"/>
  <c r="N4771" i="122" s="1"/>
  <c r="H4101" i="122"/>
  <c r="N4101" i="122" s="1"/>
  <c r="F4880" i="122"/>
  <c r="H4880" i="122" s="1"/>
  <c r="N4880" i="122" s="1"/>
  <c r="H4210" i="122"/>
  <c r="N4210" i="122" s="1"/>
  <c r="F4902" i="122"/>
  <c r="H4902" i="122" s="1"/>
  <c r="N4902" i="122" s="1"/>
  <c r="H4232" i="122"/>
  <c r="N4232" i="122" s="1"/>
  <c r="F5328" i="122"/>
  <c r="H5328" i="122" s="1"/>
  <c r="N5328" i="122" s="1"/>
  <c r="H4658" i="122"/>
  <c r="N4658" i="122" s="1"/>
  <c r="F5236" i="122"/>
  <c r="H5236" i="122" s="1"/>
  <c r="N5236" i="122" s="1"/>
  <c r="H4566" i="122"/>
  <c r="N4566" i="122" s="1"/>
  <c r="F5239" i="122"/>
  <c r="H5239" i="122" s="1"/>
  <c r="N5239" i="122" s="1"/>
  <c r="H4569" i="122"/>
  <c r="N4569" i="122" s="1"/>
  <c r="F5247" i="122"/>
  <c r="H5247" i="122" s="1"/>
  <c r="N5247" i="122" s="1"/>
  <c r="H4577" i="122"/>
  <c r="N4577" i="122" s="1"/>
  <c r="H4522" i="122"/>
  <c r="N4522" i="122" s="1"/>
  <c r="F5192" i="122"/>
  <c r="H5192" i="122" s="1"/>
  <c r="N5192" i="122" s="1"/>
  <c r="F5235" i="122"/>
  <c r="H5235" i="122" s="1"/>
  <c r="N5235" i="122" s="1"/>
  <c r="H4565" i="122"/>
  <c r="N4565" i="122" s="1"/>
  <c r="F5286" i="122"/>
  <c r="H5286" i="122" s="1"/>
  <c r="N5286" i="122" s="1"/>
  <c r="H4616" i="122"/>
  <c r="N4616" i="122" s="1"/>
  <c r="F4926" i="122"/>
  <c r="H4926" i="122" s="1"/>
  <c r="N4926" i="122" s="1"/>
  <c r="H4256" i="122"/>
  <c r="N4256" i="122" s="1"/>
  <c r="F4947" i="122"/>
  <c r="H4947" i="122" s="1"/>
  <c r="N4947" i="122" s="1"/>
  <c r="H4277" i="122"/>
  <c r="N4277" i="122" s="1"/>
  <c r="F4996" i="122"/>
  <c r="H4996" i="122" s="1"/>
  <c r="N4996" i="122" s="1"/>
  <c r="H4326" i="122"/>
  <c r="N4326" i="122" s="1"/>
  <c r="F5062" i="122"/>
  <c r="H5062" i="122" s="1"/>
  <c r="N5062" i="122" s="1"/>
  <c r="H4392" i="122"/>
  <c r="N4392" i="122" s="1"/>
  <c r="F4786" i="122"/>
  <c r="H4786" i="122" s="1"/>
  <c r="N4786" i="122" s="1"/>
  <c r="H4116" i="122"/>
  <c r="N4116" i="122" s="1"/>
  <c r="F5114" i="122"/>
  <c r="H5114" i="122" s="1"/>
  <c r="N5114" i="122" s="1"/>
  <c r="H4444" i="122"/>
  <c r="N4444" i="122" s="1"/>
  <c r="F5182" i="122"/>
  <c r="H5182" i="122" s="1"/>
  <c r="N5182" i="122" s="1"/>
  <c r="H4512" i="122"/>
  <c r="N4512" i="122" s="1"/>
  <c r="F4793" i="122"/>
  <c r="H4793" i="122" s="1"/>
  <c r="N4793" i="122" s="1"/>
  <c r="H4123" i="122"/>
  <c r="N4123" i="122" s="1"/>
  <c r="F5183" i="122"/>
  <c r="H5183" i="122" s="1"/>
  <c r="N5183" i="122" s="1"/>
  <c r="H4513" i="122"/>
  <c r="N4513" i="122" s="1"/>
  <c r="H4580" i="122"/>
  <c r="N4580" i="122" s="1"/>
  <c r="F5250" i="122"/>
  <c r="H5250" i="122" s="1"/>
  <c r="N5250" i="122" s="1"/>
  <c r="H4135" i="122"/>
  <c r="N4135" i="122" s="1"/>
  <c r="F4805" i="122"/>
  <c r="H4805" i="122" s="1"/>
  <c r="N4805" i="122" s="1"/>
  <c r="F4950" i="122"/>
  <c r="H4950" i="122" s="1"/>
  <c r="N4950" i="122" s="1"/>
  <c r="H4280" i="122"/>
  <c r="N4280" i="122" s="1"/>
  <c r="F5251" i="122"/>
  <c r="H5251" i="122" s="1"/>
  <c r="N5251" i="122" s="1"/>
  <c r="H4581" i="122"/>
  <c r="N4581" i="122" s="1"/>
  <c r="F5066" i="122"/>
  <c r="H5066" i="122" s="1"/>
  <c r="N5066" i="122" s="1"/>
  <c r="H4396" i="122"/>
  <c r="N4396" i="122" s="1"/>
  <c r="F5030" i="122"/>
  <c r="H5030" i="122" s="1"/>
  <c r="N5030" i="122" s="1"/>
  <c r="H4360" i="122"/>
  <c r="N4360" i="122" s="1"/>
  <c r="F4882" i="122"/>
  <c r="H4882" i="122" s="1"/>
  <c r="N4882" i="122" s="1"/>
  <c r="H4212" i="122"/>
  <c r="N4212" i="122" s="1"/>
  <c r="F4815" i="122"/>
  <c r="H4815" i="122" s="1"/>
  <c r="N4815" i="122" s="1"/>
  <c r="H4145" i="122"/>
  <c r="N4145" i="122" s="1"/>
  <c r="F5052" i="122"/>
  <c r="H5052" i="122" s="1"/>
  <c r="N5052" i="122" s="1"/>
  <c r="H4382" i="122"/>
  <c r="N4382" i="122" s="1"/>
  <c r="F4896" i="122"/>
  <c r="H4896" i="122" s="1"/>
  <c r="N4896" i="122" s="1"/>
  <c r="H4226" i="122"/>
  <c r="N4226" i="122" s="1"/>
  <c r="H4373" i="122"/>
  <c r="N4373" i="122" s="1"/>
  <c r="F5043" i="122"/>
  <c r="H5043" i="122" s="1"/>
  <c r="N5043" i="122" s="1"/>
  <c r="F5126" i="122"/>
  <c r="H5126" i="122" s="1"/>
  <c r="N5126" i="122" s="1"/>
  <c r="H4456" i="122"/>
  <c r="N4456" i="122" s="1"/>
  <c r="H2662" i="122"/>
  <c r="N2662" i="122" s="1"/>
  <c r="F3332" i="122"/>
  <c r="F4911" i="122"/>
  <c r="H4911" i="122" s="1"/>
  <c r="N4911" i="122" s="1"/>
  <c r="H4241" i="122"/>
  <c r="N4241" i="122" s="1"/>
  <c r="F5040" i="122"/>
  <c r="H5040" i="122" s="1"/>
  <c r="N5040" i="122" s="1"/>
  <c r="H4370" i="122"/>
  <c r="N4370" i="122" s="1"/>
  <c r="F5172" i="122"/>
  <c r="H5172" i="122" s="1"/>
  <c r="N5172" i="122" s="1"/>
  <c r="H4502" i="122"/>
  <c r="N4502" i="122" s="1"/>
  <c r="F5197" i="122"/>
  <c r="H5197" i="122" s="1"/>
  <c r="N5197" i="122" s="1"/>
  <c r="H4527" i="122"/>
  <c r="N4527" i="122" s="1"/>
  <c r="F4818" i="122"/>
  <c r="H4818" i="122" s="1"/>
  <c r="N4818" i="122" s="1"/>
  <c r="H4148" i="122"/>
  <c r="N4148" i="122" s="1"/>
  <c r="F5068" i="122"/>
  <c r="H5068" i="122" s="1"/>
  <c r="N5068" i="122" s="1"/>
  <c r="H4398" i="122"/>
  <c r="N4398" i="122" s="1"/>
  <c r="H4485" i="122"/>
  <c r="N4485" i="122" s="1"/>
  <c r="F5155" i="122"/>
  <c r="H5155" i="122" s="1"/>
  <c r="N5155" i="122" s="1"/>
  <c r="F5278" i="122"/>
  <c r="H5278" i="122" s="1"/>
  <c r="N5278" i="122" s="1"/>
  <c r="H4608" i="122"/>
  <c r="N4608" i="122" s="1"/>
  <c r="F5028" i="122"/>
  <c r="H5028" i="122" s="1"/>
  <c r="N5028" i="122" s="1"/>
  <c r="H4358" i="122"/>
  <c r="N4358" i="122" s="1"/>
  <c r="F5070" i="122"/>
  <c r="H5070" i="122" s="1"/>
  <c r="N5070" i="122" s="1"/>
  <c r="H4400" i="122"/>
  <c r="N4400" i="122" s="1"/>
  <c r="F5252" i="122"/>
  <c r="H5252" i="122" s="1"/>
  <c r="N5252" i="122" s="1"/>
  <c r="H4582" i="122"/>
  <c r="N4582" i="122" s="1"/>
  <c r="F5092" i="122"/>
  <c r="H5092" i="122" s="1"/>
  <c r="N5092" i="122" s="1"/>
  <c r="H4422" i="122"/>
  <c r="N4422" i="122" s="1"/>
  <c r="F4934" i="122"/>
  <c r="H4934" i="122" s="1"/>
  <c r="N4934" i="122" s="1"/>
  <c r="H4264" i="122"/>
  <c r="N4264" i="122" s="1"/>
  <c r="F5102" i="122"/>
  <c r="H5102" i="122" s="1"/>
  <c r="N5102" i="122" s="1"/>
  <c r="H4432" i="122"/>
  <c r="N4432" i="122" s="1"/>
  <c r="H4042" i="122"/>
  <c r="N4042" i="122" s="1"/>
  <c r="F4712" i="122"/>
  <c r="H4712" i="122" s="1"/>
  <c r="N4712" i="122" s="1"/>
  <c r="F4779" i="122"/>
  <c r="H4779" i="122" s="1"/>
  <c r="N4779" i="122" s="1"/>
  <c r="H4109" i="122"/>
  <c r="N4109" i="122" s="1"/>
  <c r="F4796" i="122"/>
  <c r="H4796" i="122" s="1"/>
  <c r="N4796" i="122" s="1"/>
  <c r="H4126" i="122"/>
  <c r="N4126" i="122" s="1"/>
  <c r="H4098" i="122"/>
  <c r="N4098" i="122" s="1"/>
  <c r="F4768" i="122"/>
  <c r="H4768" i="122" s="1"/>
  <c r="N4768" i="122" s="1"/>
  <c r="F5277" i="122"/>
  <c r="H5277" i="122" s="1"/>
  <c r="N5277" i="122" s="1"/>
  <c r="H4607" i="122"/>
  <c r="N4607" i="122" s="1"/>
  <c r="F4791" i="122"/>
  <c r="H4791" i="122" s="1"/>
  <c r="N4791" i="122" s="1"/>
  <c r="H4121" i="122"/>
  <c r="N4121" i="122" s="1"/>
  <c r="F4726" i="122"/>
  <c r="H4726" i="122" s="1"/>
  <c r="N4726" i="122" s="1"/>
  <c r="H4056" i="122"/>
  <c r="N4056" i="122" s="1"/>
  <c r="H4597" i="122"/>
  <c r="N4597" i="122" s="1"/>
  <c r="F5267" i="122"/>
  <c r="H5267" i="122" s="1"/>
  <c r="N5267" i="122" s="1"/>
  <c r="F4722" i="122"/>
  <c r="H4722" i="122" s="1"/>
  <c r="N4722" i="122" s="1"/>
  <c r="H4052" i="122"/>
  <c r="N4052" i="122" s="1"/>
  <c r="F5020" i="122"/>
  <c r="H5020" i="122" s="1"/>
  <c r="N5020" i="122" s="1"/>
  <c r="H4350" i="122"/>
  <c r="N4350" i="122" s="1"/>
  <c r="F4944" i="122"/>
  <c r="H4944" i="122" s="1"/>
  <c r="N4944" i="122" s="1"/>
  <c r="H4274" i="122"/>
  <c r="N4274" i="122" s="1"/>
  <c r="H4531" i="122"/>
  <c r="N4531" i="122" s="1"/>
  <c r="F5201" i="122"/>
  <c r="H5201" i="122" s="1"/>
  <c r="N5201" i="122" s="1"/>
  <c r="F4890" i="122"/>
  <c r="H4890" i="122" s="1"/>
  <c r="N4890" i="122" s="1"/>
  <c r="H4220" i="122"/>
  <c r="N4220" i="122" s="1"/>
  <c r="F5096" i="122"/>
  <c r="H5096" i="122" s="1"/>
  <c r="N5096" i="122" s="1"/>
  <c r="H4426" i="122"/>
  <c r="N4426" i="122" s="1"/>
  <c r="F5047" i="122"/>
  <c r="H5047" i="122" s="1"/>
  <c r="N5047" i="122" s="1"/>
  <c r="H4377" i="122"/>
  <c r="N4377" i="122" s="1"/>
  <c r="F4913" i="122"/>
  <c r="H4913" i="122" s="1"/>
  <c r="N4913" i="122" s="1"/>
  <c r="H4243" i="122"/>
  <c r="N4243" i="122" s="1"/>
  <c r="H4629" i="122"/>
  <c r="N4629" i="122" s="1"/>
  <c r="F5299" i="122"/>
  <c r="H5299" i="122" s="1"/>
  <c r="N5299" i="122" s="1"/>
  <c r="H4113" i="122"/>
  <c r="N4113" i="122" s="1"/>
  <c r="F4783" i="122"/>
  <c r="H4783" i="122" s="1"/>
  <c r="N4783" i="122" s="1"/>
  <c r="F5229" i="122"/>
  <c r="H5229" i="122" s="1"/>
  <c r="N5229" i="122" s="1"/>
  <c r="H4559" i="122"/>
  <c r="N4559" i="122" s="1"/>
  <c r="F5115" i="122"/>
  <c r="H5115" i="122" s="1"/>
  <c r="N5115" i="122" s="1"/>
  <c r="H4445" i="122"/>
  <c r="N4445" i="122" s="1"/>
  <c r="F5244" i="122"/>
  <c r="H5244" i="122" s="1"/>
  <c r="N5244" i="122" s="1"/>
  <c r="H4574" i="122"/>
  <c r="N4574" i="122" s="1"/>
  <c r="F4725" i="122"/>
  <c r="H4725" i="122" s="1"/>
  <c r="N4725" i="122" s="1"/>
  <c r="H4055" i="122"/>
  <c r="N4055" i="122" s="1"/>
  <c r="F4875" i="122"/>
  <c r="H4875" i="122" s="1"/>
  <c r="N4875" i="122" s="1"/>
  <c r="H4205" i="122"/>
  <c r="N4205" i="122" s="1"/>
  <c r="F5194" i="122"/>
  <c r="H5194" i="122" s="1"/>
  <c r="N5194" i="122" s="1"/>
  <c r="H4524" i="122"/>
  <c r="N4524" i="122" s="1"/>
  <c r="F4801" i="122"/>
  <c r="H4801" i="122" s="1"/>
  <c r="N4801" i="122" s="1"/>
  <c r="H4131" i="122"/>
  <c r="N4131" i="122" s="1"/>
  <c r="F4759" i="122"/>
  <c r="H4759" i="122" s="1"/>
  <c r="N4759" i="122" s="1"/>
  <c r="H4089" i="122"/>
  <c r="N4089" i="122" s="1"/>
  <c r="F4770" i="122"/>
  <c r="H4770" i="122" s="1"/>
  <c r="N4770" i="122" s="1"/>
  <c r="H4100" i="122"/>
  <c r="N4100" i="122" s="1"/>
  <c r="F5254" i="122"/>
  <c r="H5254" i="122" s="1"/>
  <c r="N5254" i="122" s="1"/>
  <c r="H4584" i="122"/>
  <c r="N4584" i="122" s="1"/>
  <c r="H4196" i="122"/>
  <c r="N4196" i="122" s="1"/>
  <c r="F4866" i="122"/>
  <c r="H4866" i="122" s="1"/>
  <c r="N4866" i="122" s="1"/>
  <c r="F5015" i="122"/>
  <c r="H5015" i="122" s="1"/>
  <c r="N5015" i="122" s="1"/>
  <c r="H4345" i="122"/>
  <c r="N4345" i="122" s="1"/>
  <c r="F4761" i="122"/>
  <c r="H4761" i="122" s="1"/>
  <c r="N4761" i="122" s="1"/>
  <c r="H4091" i="122"/>
  <c r="N4091" i="122" s="1"/>
  <c r="F5032" i="122"/>
  <c r="H5032" i="122" s="1"/>
  <c r="N5032" i="122" s="1"/>
  <c r="H4362" i="122"/>
  <c r="N4362" i="122" s="1"/>
  <c r="F5124" i="122"/>
  <c r="H5124" i="122" s="1"/>
  <c r="N5124" i="122" s="1"/>
  <c r="H4454" i="122"/>
  <c r="N4454" i="122" s="1"/>
  <c r="F4678" i="122"/>
  <c r="F4835" i="122"/>
  <c r="H4835" i="122" s="1"/>
  <c r="N4835" i="122" s="1"/>
  <c r="H4165" i="122"/>
  <c r="N4165" i="122" s="1"/>
  <c r="H4059" i="122"/>
  <c r="N4059" i="122" s="1"/>
  <c r="F4729" i="122"/>
  <c r="H4729" i="122" s="1"/>
  <c r="N4729" i="122" s="1"/>
  <c r="F5147" i="122"/>
  <c r="H5147" i="122" s="1"/>
  <c r="N5147" i="122" s="1"/>
  <c r="H4477" i="122"/>
  <c r="N4477" i="122" s="1"/>
  <c r="F4937" i="122"/>
  <c r="H4937" i="122" s="1"/>
  <c r="N4937" i="122" s="1"/>
  <c r="H4267" i="122"/>
  <c r="N4267" i="122" s="1"/>
  <c r="H4641" i="122"/>
  <c r="N4641" i="122" s="1"/>
  <c r="F5311" i="122"/>
  <c r="H5311" i="122" s="1"/>
  <c r="N5311" i="122" s="1"/>
  <c r="F5093" i="122"/>
  <c r="H5093" i="122" s="1"/>
  <c r="N5093" i="122" s="1"/>
  <c r="H4423" i="122"/>
  <c r="N4423" i="122" s="1"/>
  <c r="F4718" i="122"/>
  <c r="H4718" i="122" s="1"/>
  <c r="N4718" i="122" s="1"/>
  <c r="H4048" i="122"/>
  <c r="N4048" i="122" s="1"/>
  <c r="F4715" i="122"/>
  <c r="H4715" i="122" s="1"/>
  <c r="N4715" i="122" s="1"/>
  <c r="H4045" i="122"/>
  <c r="N4045" i="122" s="1"/>
  <c r="F5358" i="122"/>
  <c r="H5358" i="122" s="1"/>
  <c r="N5358" i="122" s="1"/>
  <c r="H4688" i="122"/>
  <c r="N4688" i="122" s="1"/>
  <c r="H4215" i="122"/>
  <c r="N4215" i="122" s="1"/>
  <c r="F4885" i="122"/>
  <c r="H4885" i="122" s="1"/>
  <c r="N4885" i="122" s="1"/>
  <c r="F5322" i="122"/>
  <c r="H5322" i="122" s="1"/>
  <c r="N5322" i="122" s="1"/>
  <c r="H4652" i="122"/>
  <c r="N4652" i="122" s="1"/>
  <c r="F4985" i="122"/>
  <c r="H4985" i="122" s="1"/>
  <c r="N4985" i="122" s="1"/>
  <c r="H4315" i="122"/>
  <c r="N4315" i="122" s="1"/>
  <c r="H4514" i="122"/>
  <c r="N4514" i="122" s="1"/>
  <c r="F5184" i="122"/>
  <c r="H5184" i="122" s="1"/>
  <c r="N5184" i="122" s="1"/>
  <c r="F4954" i="122"/>
  <c r="H4954" i="122" s="1"/>
  <c r="N4954" i="122" s="1"/>
  <c r="H4284" i="122"/>
  <c r="N4284" i="122" s="1"/>
  <c r="F4892" i="122"/>
  <c r="H4892" i="122" s="1"/>
  <c r="N4892" i="122" s="1"/>
  <c r="H4222" i="122"/>
  <c r="N4222" i="122" s="1"/>
  <c r="F5191" i="122"/>
  <c r="H5191" i="122" s="1"/>
  <c r="N5191" i="122" s="1"/>
  <c r="H4521" i="122"/>
  <c r="N4521" i="122" s="1"/>
  <c r="G2669" i="122"/>
  <c r="N1999" i="122"/>
  <c r="H4167" i="122"/>
  <c r="N4167" i="122" s="1"/>
  <c r="F4837" i="122"/>
  <c r="H4837" i="122" s="1"/>
  <c r="N4837" i="122" s="1"/>
  <c r="F4972" i="122"/>
  <c r="H4972" i="122" s="1"/>
  <c r="N4972" i="122" s="1"/>
  <c r="H4302" i="122"/>
  <c r="N4302" i="122" s="1"/>
  <c r="F5046" i="122"/>
  <c r="H5046" i="122" s="1"/>
  <c r="N5046" i="122" s="1"/>
  <c r="H4376" i="122"/>
  <c r="N4376" i="122" s="1"/>
  <c r="H4609" i="122"/>
  <c r="N4609" i="122" s="1"/>
  <c r="F5279" i="122"/>
  <c r="H5279" i="122" s="1"/>
  <c r="N5279" i="122" s="1"/>
  <c r="F4794" i="122"/>
  <c r="H4794" i="122" s="1"/>
  <c r="N4794" i="122" s="1"/>
  <c r="H4124" i="122"/>
  <c r="N4124" i="122" s="1"/>
  <c r="F5098" i="122"/>
  <c r="H5098" i="122" s="1"/>
  <c r="N5098" i="122" s="1"/>
  <c r="H4428" i="122"/>
  <c r="N4428" i="122" s="1"/>
  <c r="F4978" i="122"/>
  <c r="H4978" i="122" s="1"/>
  <c r="N4978" i="122" s="1"/>
  <c r="H4308" i="122"/>
  <c r="N4308" i="122" s="1"/>
  <c r="F5364" i="122"/>
  <c r="H5364" i="122" s="1"/>
  <c r="N5364" i="122" s="1"/>
  <c r="H4694" i="122"/>
  <c r="N4694" i="122" s="1"/>
  <c r="F5078" i="122"/>
  <c r="H5078" i="122" s="1"/>
  <c r="N5078" i="122" s="1"/>
  <c r="H4408" i="122"/>
  <c r="N4408" i="122" s="1"/>
  <c r="F4914" i="122"/>
  <c r="H4914" i="122" s="1"/>
  <c r="N4914" i="122" s="1"/>
  <c r="H4244" i="122"/>
  <c r="N4244" i="122" s="1"/>
  <c r="F4925" i="122"/>
  <c r="H4925" i="122" s="1"/>
  <c r="N4925" i="122" s="1"/>
  <c r="H4255" i="122"/>
  <c r="N4255" i="122" s="1"/>
  <c r="F4993" i="122"/>
  <c r="H4993" i="122" s="1"/>
  <c r="N4993" i="122" s="1"/>
  <c r="H4323" i="122"/>
  <c r="N4323" i="122" s="1"/>
  <c r="F5038" i="122"/>
  <c r="H5038" i="122" s="1"/>
  <c r="N5038" i="122" s="1"/>
  <c r="H4368" i="122"/>
  <c r="N4368" i="122" s="1"/>
  <c r="F4930" i="122"/>
  <c r="H4930" i="122" s="1"/>
  <c r="N4930" i="122" s="1"/>
  <c r="H4260" i="122"/>
  <c r="N4260" i="122" s="1"/>
  <c r="F5280" i="122"/>
  <c r="H5280" i="122" s="1"/>
  <c r="N5280" i="122" s="1"/>
  <c r="H4610" i="122"/>
  <c r="N4610" i="122" s="1"/>
  <c r="F4903" i="122"/>
  <c r="H4903" i="122" s="1"/>
  <c r="N4903" i="122" s="1"/>
  <c r="H4233" i="122"/>
  <c r="N4233" i="122" s="1"/>
  <c r="I675" i="122"/>
  <c r="F1312" i="122"/>
  <c r="N642" i="122"/>
  <c r="N675" i="122" s="1"/>
  <c r="F4785" i="122"/>
  <c r="H4785" i="122" s="1"/>
  <c r="N4785" i="122" s="1"/>
  <c r="H4115" i="122"/>
  <c r="N4115" i="122" s="1"/>
  <c r="F4753" i="122"/>
  <c r="H4753" i="122" s="1"/>
  <c r="N4753" i="122" s="1"/>
  <c r="H4083" i="122"/>
  <c r="N4083" i="122" s="1"/>
  <c r="H4325" i="122"/>
  <c r="N4325" i="122" s="1"/>
  <c r="F4995" i="122"/>
  <c r="H4995" i="122" s="1"/>
  <c r="N4995" i="122" s="1"/>
  <c r="H4449" i="122"/>
  <c r="N4449" i="122" s="1"/>
  <c r="F5119" i="122"/>
  <c r="H5119" i="122" s="1"/>
  <c r="N5119" i="122" s="1"/>
  <c r="F4976" i="122"/>
  <c r="H4976" i="122" s="1"/>
  <c r="N4976" i="122" s="1"/>
  <c r="H4306" i="122"/>
  <c r="N4306" i="122" s="1"/>
  <c r="H1988" i="122"/>
  <c r="N1988" i="122" s="1"/>
  <c r="F2658" i="122"/>
  <c r="H4118" i="122"/>
  <c r="N4118" i="122" s="1"/>
  <c r="F4788" i="122"/>
  <c r="H4788" i="122" s="1"/>
  <c r="N4788" i="122" s="1"/>
  <c r="F5263" i="122"/>
  <c r="H5263" i="122" s="1"/>
  <c r="N5263" i="122" s="1"/>
  <c r="H4593" i="122"/>
  <c r="N4593" i="122" s="1"/>
  <c r="F5035" i="122"/>
  <c r="H5035" i="122" s="1"/>
  <c r="N5035" i="122" s="1"/>
  <c r="H4365" i="122"/>
  <c r="N4365" i="122" s="1"/>
  <c r="F4945" i="122"/>
  <c r="H4945" i="122" s="1"/>
  <c r="N4945" i="122" s="1"/>
  <c r="H4275" i="122"/>
  <c r="N4275" i="122" s="1"/>
  <c r="H4099" i="122"/>
  <c r="N4099" i="122" s="1"/>
  <c r="F4769" i="122"/>
  <c r="H4769" i="122" s="1"/>
  <c r="N4769" i="122" s="1"/>
  <c r="F5112" i="122"/>
  <c r="H5112" i="122" s="1"/>
  <c r="N5112" i="122" s="1"/>
  <c r="H4442" i="122"/>
  <c r="N4442" i="122" s="1"/>
  <c r="H4221" i="122"/>
  <c r="N4221" i="122" s="1"/>
  <c r="F4891" i="122"/>
  <c r="H4891" i="122" s="1"/>
  <c r="N4891" i="122" s="1"/>
  <c r="F4807" i="122"/>
  <c r="H4807" i="122" s="1"/>
  <c r="N4807" i="122" s="1"/>
  <c r="H4137" i="122"/>
  <c r="N4137" i="122" s="1"/>
  <c r="F4986" i="122"/>
  <c r="H4986" i="122" s="1"/>
  <c r="N4986" i="122" s="1"/>
  <c r="H4316" i="122"/>
  <c r="N4316" i="122" s="1"/>
  <c r="F4946" i="122"/>
  <c r="H4946" i="122" s="1"/>
  <c r="N4946" i="122" s="1"/>
  <c r="H4276" i="122"/>
  <c r="N4276" i="122" s="1"/>
  <c r="H4545" i="122"/>
  <c r="N4545" i="122" s="1"/>
  <c r="F5215" i="122"/>
  <c r="H5215" i="122" s="1"/>
  <c r="N5215" i="122" s="1"/>
  <c r="F4975" i="122"/>
  <c r="H4975" i="122" s="1"/>
  <c r="N4975" i="122" s="1"/>
  <c r="H4305" i="122"/>
  <c r="N4305" i="122" s="1"/>
  <c r="F4674" i="122"/>
  <c r="F4839" i="122"/>
  <c r="H4839" i="122" s="1"/>
  <c r="N4839" i="122" s="1"/>
  <c r="H4169" i="122"/>
  <c r="N4169" i="122" s="1"/>
  <c r="F4814" i="122"/>
  <c r="H4814" i="122" s="1"/>
  <c r="N4814" i="122" s="1"/>
  <c r="H4144" i="122"/>
  <c r="N4144" i="122" s="1"/>
  <c r="H4168" i="122"/>
  <c r="N4168" i="122" s="1"/>
  <c r="F4838" i="122"/>
  <c r="H4838" i="122" s="1"/>
  <c r="N4838" i="122" s="1"/>
  <c r="F4922" i="122"/>
  <c r="H4922" i="122" s="1"/>
  <c r="N4922" i="122" s="1"/>
  <c r="H4252" i="122"/>
  <c r="N4252" i="122" s="1"/>
  <c r="F4747" i="122"/>
  <c r="H4747" i="122" s="1"/>
  <c r="N4747" i="122" s="1"/>
  <c r="H4077" i="122"/>
  <c r="N4077" i="122" s="1"/>
  <c r="F5150" i="122"/>
  <c r="H5150" i="122" s="1"/>
  <c r="N5150" i="122" s="1"/>
  <c r="H4480" i="122"/>
  <c r="N4480" i="122" s="1"/>
  <c r="F5276" i="122"/>
  <c r="H5276" i="122" s="1"/>
  <c r="N5276" i="122" s="1"/>
  <c r="H4606" i="122"/>
  <c r="N4606" i="122" s="1"/>
  <c r="F4932" i="122"/>
  <c r="H4932" i="122" s="1"/>
  <c r="N4932" i="122" s="1"/>
  <c r="H4262" i="122"/>
  <c r="N4262" i="122" s="1"/>
  <c r="H4266" i="122"/>
  <c r="N4266" i="122" s="1"/>
  <c r="F4936" i="122"/>
  <c r="H4936" i="122" s="1"/>
  <c r="N4936" i="122" s="1"/>
  <c r="F5140" i="122"/>
  <c r="H5140" i="122" s="1"/>
  <c r="N5140" i="122" s="1"/>
  <c r="H4470" i="122"/>
  <c r="N4470" i="122" s="1"/>
  <c r="F5300" i="122"/>
  <c r="H5300" i="122" s="1"/>
  <c r="N5300" i="122" s="1"/>
  <c r="H4630" i="122"/>
  <c r="N4630" i="122" s="1"/>
  <c r="F5002" i="122"/>
  <c r="H5002" i="122" s="1"/>
  <c r="N5002" i="122" s="1"/>
  <c r="H4332" i="122"/>
  <c r="N4332" i="122" s="1"/>
  <c r="F5360" i="122"/>
  <c r="H5360" i="122" s="1"/>
  <c r="N5360" i="122" s="1"/>
  <c r="H4690" i="122"/>
  <c r="N4690" i="122" s="1"/>
  <c r="H4366" i="122"/>
  <c r="N4366" i="122" s="1"/>
  <c r="F5036" i="122"/>
  <c r="H5036" i="122" s="1"/>
  <c r="N5036" i="122" s="1"/>
  <c r="F5161" i="122"/>
  <c r="H5161" i="122" s="1"/>
  <c r="N5161" i="122" s="1"/>
  <c r="H4491" i="122"/>
  <c r="N4491" i="122" s="1"/>
  <c r="F4906" i="122"/>
  <c r="H4906" i="122" s="1"/>
  <c r="N4906" i="122" s="1"/>
  <c r="H4236" i="122"/>
  <c r="N4236" i="122" s="1"/>
  <c r="F4960" i="122"/>
  <c r="H4960" i="122" s="1"/>
  <c r="N4960" i="122" s="1"/>
  <c r="H4290" i="122"/>
  <c r="N4290" i="122" s="1"/>
  <c r="F4915" i="122"/>
  <c r="H4915" i="122" s="1"/>
  <c r="N4915" i="122" s="1"/>
  <c r="H4245" i="122"/>
  <c r="N4245" i="122" s="1"/>
  <c r="F4810" i="122"/>
  <c r="H4810" i="122" s="1"/>
  <c r="N4810" i="122" s="1"/>
  <c r="H4140" i="122"/>
  <c r="N4140" i="122" s="1"/>
  <c r="F5167" i="122"/>
  <c r="H5167" i="122" s="1"/>
  <c r="N5167" i="122" s="1"/>
  <c r="H4497" i="122"/>
  <c r="N4497" i="122" s="1"/>
  <c r="H4367" i="122"/>
  <c r="N4367" i="122" s="1"/>
  <c r="F5037" i="122"/>
  <c r="H5037" i="122" s="1"/>
  <c r="N5037" i="122" s="1"/>
  <c r="F4813" i="122"/>
  <c r="H4813" i="122" s="1"/>
  <c r="N4813" i="122" s="1"/>
  <c r="H4143" i="122"/>
  <c r="N4143" i="122" s="1"/>
  <c r="H4066" i="122"/>
  <c r="N4066" i="122" s="1"/>
  <c r="F4736" i="122"/>
  <c r="H4736" i="122" s="1"/>
  <c r="N4736" i="122" s="1"/>
  <c r="F4713" i="122"/>
  <c r="H4713" i="122" s="1"/>
  <c r="N4713" i="122" s="1"/>
  <c r="H4043" i="122"/>
  <c r="N4043" i="122" s="1"/>
  <c r="F5325" i="122"/>
  <c r="H5325" i="122" s="1"/>
  <c r="N5325" i="122" s="1"/>
  <c r="H4655" i="122"/>
  <c r="N4655" i="122" s="1"/>
  <c r="F5238" i="122"/>
  <c r="H5238" i="122" s="1"/>
  <c r="N5238" i="122" s="1"/>
  <c r="H4568" i="122"/>
  <c r="N4568" i="122" s="1"/>
  <c r="F5123" i="122"/>
  <c r="H5123" i="122" s="1"/>
  <c r="N5123" i="122" s="1"/>
  <c r="H4453" i="122"/>
  <c r="N4453" i="122" s="1"/>
  <c r="H4427" i="122"/>
  <c r="N4427" i="122" s="1"/>
  <c r="F5097" i="122"/>
  <c r="H5097" i="122" s="1"/>
  <c r="N5097" i="122" s="1"/>
  <c r="F5291" i="122"/>
  <c r="H5291" i="122" s="1"/>
  <c r="N5291" i="122" s="1"/>
  <c r="H4621" i="122"/>
  <c r="N4621" i="122" s="1"/>
  <c r="F5060" i="122"/>
  <c r="H5060" i="122" s="1"/>
  <c r="N5060" i="122" s="1"/>
  <c r="H4390" i="122"/>
  <c r="N4390" i="122" s="1"/>
  <c r="F4830" i="122"/>
  <c r="H4830" i="122" s="1"/>
  <c r="N4830" i="122" s="1"/>
  <c r="H4160" i="122"/>
  <c r="N4160" i="122" s="1"/>
  <c r="H4049" i="122"/>
  <c r="N4049" i="122" s="1"/>
  <c r="F4719" i="122"/>
  <c r="H4719" i="122" s="1"/>
  <c r="N4719" i="122" s="1"/>
  <c r="H4218" i="122"/>
  <c r="N4218" i="122" s="1"/>
  <c r="F4888" i="122"/>
  <c r="H4888" i="122" s="1"/>
  <c r="N4888" i="122" s="1"/>
  <c r="F4778" i="122"/>
  <c r="H4778" i="122" s="1"/>
  <c r="N4778" i="122" s="1"/>
  <c r="H4108" i="122"/>
  <c r="N4108" i="122" s="1"/>
  <c r="F4973" i="122"/>
  <c r="H4973" i="122" s="1"/>
  <c r="N4973" i="122" s="1"/>
  <c r="H4303" i="122"/>
  <c r="N4303" i="122" s="1"/>
  <c r="F4746" i="122"/>
  <c r="H4746" i="122" s="1"/>
  <c r="N4746" i="122" s="1"/>
  <c r="H4076" i="122"/>
  <c r="N4076" i="122" s="1"/>
  <c r="F4854" i="122"/>
  <c r="H4854" i="122" s="1"/>
  <c r="N4854" i="122" s="1"/>
  <c r="H4184" i="122"/>
  <c r="N4184" i="122" s="1"/>
  <c r="F4716" i="122"/>
  <c r="H4716" i="122" s="1"/>
  <c r="N4716" i="122" s="1"/>
  <c r="H4046" i="122"/>
  <c r="N4046" i="122" s="1"/>
  <c r="F4940" i="122"/>
  <c r="H4940" i="122" s="1"/>
  <c r="N4940" i="122" s="1"/>
  <c r="H4270" i="122"/>
  <c r="N4270" i="122" s="1"/>
  <c r="F5050" i="122"/>
  <c r="H5050" i="122" s="1"/>
  <c r="N5050" i="122" s="1"/>
  <c r="H4380" i="122"/>
  <c r="N4380" i="122" s="1"/>
  <c r="F4859" i="122"/>
  <c r="H4859" i="122" s="1"/>
  <c r="N4859" i="122" s="1"/>
  <c r="H4189" i="122"/>
  <c r="N4189" i="122" s="1"/>
  <c r="F5298" i="122"/>
  <c r="H5298" i="122" s="1"/>
  <c r="N5298" i="122" s="1"/>
  <c r="H4628" i="122"/>
  <c r="N4628" i="122" s="1"/>
  <c r="F5321" i="122"/>
  <c r="H5321" i="122" s="1"/>
  <c r="N5321" i="122" s="1"/>
  <c r="H4651" i="122"/>
  <c r="N4651" i="122" s="1"/>
  <c r="F4908" i="122"/>
  <c r="H4908" i="122" s="1"/>
  <c r="N4908" i="122" s="1"/>
  <c r="H4238" i="122"/>
  <c r="N4238" i="122" s="1"/>
  <c r="F5003" i="122"/>
  <c r="H5003" i="122" s="1"/>
  <c r="N5003" i="122" s="1"/>
  <c r="H4333" i="122"/>
  <c r="N4333" i="122" s="1"/>
  <c r="F5077" i="122"/>
  <c r="H5077" i="122" s="1"/>
  <c r="N5077" i="122" s="1"/>
  <c r="H4407" i="122"/>
  <c r="N4407" i="122" s="1"/>
  <c r="H4041" i="122"/>
  <c r="N4041" i="122" s="1"/>
  <c r="F4711" i="122"/>
  <c r="H4711" i="122" s="1"/>
  <c r="N4711" i="122" s="1"/>
  <c r="H4155" i="122"/>
  <c r="N4155" i="122" s="1"/>
  <c r="F4825" i="122"/>
  <c r="H4825" i="122" s="1"/>
  <c r="N4825" i="122" s="1"/>
  <c r="H4336" i="122"/>
  <c r="N4336" i="122" s="1"/>
  <c r="F5006" i="122"/>
  <c r="H5006" i="122" s="1"/>
  <c r="N5006" i="122" s="1"/>
  <c r="F4961" i="122"/>
  <c r="H4961" i="122" s="1"/>
  <c r="N4961" i="122" s="1"/>
  <c r="H4291" i="122"/>
  <c r="N4291" i="122" s="1"/>
  <c r="H4171" i="122"/>
  <c r="N4171" i="122" s="1"/>
  <c r="F4841" i="122"/>
  <c r="H4841" i="122" s="1"/>
  <c r="N4841" i="122" s="1"/>
  <c r="F5033" i="122"/>
  <c r="H5033" i="122" s="1"/>
  <c r="N5033" i="122" s="1"/>
  <c r="H4363" i="122"/>
  <c r="N4363" i="122" s="1"/>
  <c r="F5122" i="122"/>
  <c r="H5122" i="122" s="1"/>
  <c r="N5122" i="122" s="1"/>
  <c r="H4452" i="122"/>
  <c r="N4452" i="122" s="1"/>
  <c r="F5268" i="122"/>
  <c r="H5268" i="122" s="1"/>
  <c r="N5268" i="122" s="1"/>
  <c r="H4598" i="122"/>
  <c r="N4598" i="122" s="1"/>
  <c r="F4784" i="122"/>
  <c r="H4784" i="122" s="1"/>
  <c r="N4784" i="122" s="1"/>
  <c r="H4114" i="122"/>
  <c r="N4114" i="122" s="1"/>
  <c r="F5081" i="122"/>
  <c r="H5081" i="122" s="1"/>
  <c r="N5081" i="122" s="1"/>
  <c r="H4411" i="122"/>
  <c r="N4411" i="122" s="1"/>
  <c r="F4887" i="122"/>
  <c r="H4887" i="122" s="1"/>
  <c r="N4887" i="122" s="1"/>
  <c r="H4217" i="122"/>
  <c r="N4217" i="122" s="1"/>
  <c r="F5008" i="122"/>
  <c r="H5008" i="122" s="1"/>
  <c r="N5008" i="122" s="1"/>
  <c r="H4338" i="122"/>
  <c r="N4338" i="122" s="1"/>
  <c r="H4183" i="122"/>
  <c r="N4183" i="122" s="1"/>
  <c r="F4853" i="122"/>
  <c r="H4853" i="122" s="1"/>
  <c r="N4853" i="122" s="1"/>
  <c r="H4353" i="122"/>
  <c r="N4353" i="122" s="1"/>
  <c r="F5023" i="122"/>
  <c r="H5023" i="122" s="1"/>
  <c r="N5023" i="122" s="1"/>
  <c r="H4110" i="122"/>
  <c r="N4110" i="122" s="1"/>
  <c r="F4780" i="122"/>
  <c r="H4780" i="122" s="1"/>
  <c r="N4780" i="122" s="1"/>
  <c r="H4570" i="122"/>
  <c r="N4570" i="122" s="1"/>
  <c r="F5240" i="122"/>
  <c r="H5240" i="122" s="1"/>
  <c r="N5240" i="122" s="1"/>
  <c r="F5142" i="122"/>
  <c r="H5142" i="122" s="1"/>
  <c r="N5142" i="122" s="1"/>
  <c r="H4472" i="122"/>
  <c r="N4472" i="122" s="1"/>
  <c r="F4919" i="122"/>
  <c r="H4919" i="122" s="1"/>
  <c r="N4919" i="122" s="1"/>
  <c r="H4249" i="122"/>
  <c r="N4249" i="122" s="1"/>
  <c r="F4881" i="122"/>
  <c r="H4881" i="122" s="1"/>
  <c r="N4881" i="122" s="1"/>
  <c r="H4211" i="122"/>
  <c r="N4211" i="122" s="1"/>
  <c r="H4186" i="122"/>
  <c r="N4186" i="122" s="1"/>
  <c r="F4856" i="122"/>
  <c r="H4856" i="122" s="1"/>
  <c r="N4856" i="122" s="1"/>
  <c r="F4939" i="122"/>
  <c r="H4939" i="122" s="1"/>
  <c r="N4939" i="122" s="1"/>
  <c r="H4269" i="122"/>
  <c r="N4269" i="122" s="1"/>
  <c r="F4792" i="122"/>
  <c r="H4792" i="122" s="1"/>
  <c r="N4792" i="122" s="1"/>
  <c r="H4122" i="122"/>
  <c r="N4122" i="122" s="1"/>
  <c r="F5306" i="122"/>
  <c r="H5306" i="122" s="1"/>
  <c r="N5306" i="122" s="1"/>
  <c r="H4636" i="122"/>
  <c r="N4636" i="122" s="1"/>
  <c r="H4430" i="122"/>
  <c r="N4430" i="122" s="1"/>
  <c r="F5100" i="122"/>
  <c r="H5100" i="122" s="1"/>
  <c r="N5100" i="122" s="1"/>
  <c r="F5125" i="122"/>
  <c r="H5125" i="122" s="1"/>
  <c r="N5125" i="122" s="1"/>
  <c r="H4455" i="122"/>
  <c r="N4455" i="122" s="1"/>
  <c r="F4840" i="122"/>
  <c r="H4840" i="122" s="1"/>
  <c r="N4840" i="122" s="1"/>
  <c r="H4170" i="122"/>
  <c r="N4170" i="122" s="1"/>
  <c r="F5319" i="122"/>
  <c r="H5319" i="122" s="1"/>
  <c r="N5319" i="122" s="1"/>
  <c r="H4649" i="122"/>
  <c r="N4649" i="122" s="1"/>
  <c r="F5016" i="122"/>
  <c r="H5016" i="122" s="1"/>
  <c r="N5016" i="122" s="1"/>
  <c r="H4346" i="122"/>
  <c r="N4346" i="122" s="1"/>
  <c r="F5095" i="122"/>
  <c r="H5095" i="122" s="1"/>
  <c r="N5095" i="122" s="1"/>
  <c r="H4425" i="122"/>
  <c r="N4425" i="122" s="1"/>
  <c r="H4239" i="122"/>
  <c r="N4239" i="122" s="1"/>
  <c r="F4909" i="122"/>
  <c r="H4909" i="122" s="1"/>
  <c r="N4909" i="122" s="1"/>
  <c r="F5018" i="122"/>
  <c r="H5018" i="122" s="1"/>
  <c r="N5018" i="122" s="1"/>
  <c r="H4348" i="122"/>
  <c r="N4348" i="122" s="1"/>
  <c r="F5353" i="122"/>
  <c r="H5353" i="122" s="1"/>
  <c r="N5353" i="122" s="1"/>
  <c r="H4683" i="122"/>
  <c r="N4683" i="122" s="1"/>
  <c r="H4097" i="122"/>
  <c r="N4097" i="122" s="1"/>
  <c r="F4767" i="122"/>
  <c r="H4767" i="122" s="1"/>
  <c r="N4767" i="122" s="1"/>
  <c r="H4130" i="122"/>
  <c r="N4130" i="122" s="1"/>
  <c r="F4800" i="122"/>
  <c r="H4800" i="122" s="1"/>
  <c r="N4800" i="122" s="1"/>
  <c r="H4229" i="122"/>
  <c r="N4229" i="122" s="1"/>
  <c r="F4899" i="122"/>
  <c r="H4899" i="122" s="1"/>
  <c r="N4899" i="122" s="1"/>
  <c r="F5116" i="122"/>
  <c r="H5116" i="122" s="1"/>
  <c r="N5116" i="122" s="1"/>
  <c r="H4446" i="122"/>
  <c r="N4446" i="122" s="1"/>
  <c r="H4552" i="122"/>
  <c r="N4552" i="122" s="1"/>
  <c r="F5222" i="122"/>
  <c r="H5222" i="122" s="1"/>
  <c r="N5222" i="122" s="1"/>
  <c r="F5118" i="122"/>
  <c r="H5118" i="122" s="1"/>
  <c r="N5118" i="122" s="1"/>
  <c r="H4448" i="122"/>
  <c r="N4448" i="122" s="1"/>
  <c r="F5084" i="122"/>
  <c r="H5084" i="122" s="1"/>
  <c r="N5084" i="122" s="1"/>
  <c r="H4414" i="122"/>
  <c r="N4414" i="122" s="1"/>
  <c r="F5087" i="122"/>
  <c r="H5087" i="122" s="1"/>
  <c r="N5087" i="122" s="1"/>
  <c r="H4417" i="122"/>
  <c r="N4417" i="122" s="1"/>
  <c r="F5165" i="122"/>
  <c r="H5165" i="122" s="1"/>
  <c r="N5165" i="122" s="1"/>
  <c r="H4495" i="122"/>
  <c r="N4495" i="122" s="1"/>
  <c r="H4347" i="122"/>
  <c r="N4347" i="122" s="1"/>
  <c r="F5017" i="122"/>
  <c r="H5017" i="122" s="1"/>
  <c r="N5017" i="122" s="1"/>
  <c r="F4874" i="122"/>
  <c r="H4874" i="122" s="1"/>
  <c r="N4874" i="122" s="1"/>
  <c r="H4204" i="122"/>
  <c r="N4204" i="122" s="1"/>
  <c r="F5024" i="122"/>
  <c r="H5024" i="122" s="1"/>
  <c r="N5024" i="122" s="1"/>
  <c r="H4354" i="122"/>
  <c r="N4354" i="122" s="1"/>
  <c r="F5145" i="122"/>
  <c r="H5145" i="122" s="1"/>
  <c r="N5145" i="122" s="1"/>
  <c r="H4475" i="122"/>
  <c r="N4475" i="122" s="1"/>
  <c r="F5261" i="122"/>
  <c r="H5261" i="122" s="1"/>
  <c r="N5261" i="122" s="1"/>
  <c r="H4591" i="122"/>
  <c r="N4591" i="122" s="1"/>
  <c r="F5012" i="122"/>
  <c r="H5012" i="122" s="1"/>
  <c r="N5012" i="122" s="1"/>
  <c r="H4342" i="122"/>
  <c r="N4342" i="122" s="1"/>
  <c r="F5269" i="122"/>
  <c r="H5269" i="122" s="1"/>
  <c r="N5269" i="122" s="1"/>
  <c r="H4599" i="122"/>
  <c r="N4599" i="122" s="1"/>
  <c r="G4021" i="122"/>
  <c r="H3351" i="122"/>
  <c r="N3351" i="122" s="1"/>
  <c r="F5137" i="122"/>
  <c r="H5137" i="122" s="1"/>
  <c r="N5137" i="122" s="1"/>
  <c r="H4467" i="122"/>
  <c r="N4467" i="122" s="1"/>
  <c r="F4700" i="122"/>
  <c r="F4974" i="122"/>
  <c r="H4974" i="122" s="1"/>
  <c r="N4974" i="122" s="1"/>
  <c r="H4304" i="122"/>
  <c r="N4304" i="122" s="1"/>
  <c r="F4745" i="122"/>
  <c r="H4745" i="122" s="1"/>
  <c r="N4745" i="122" s="1"/>
  <c r="H4075" i="122"/>
  <c r="N4075" i="122" s="1"/>
  <c r="F4739" i="122"/>
  <c r="H4739" i="122" s="1"/>
  <c r="N4739" i="122" s="1"/>
  <c r="H4069" i="122"/>
  <c r="N4069" i="122" s="1"/>
  <c r="F5209" i="122"/>
  <c r="H5209" i="122" s="1"/>
  <c r="N5209" i="122" s="1"/>
  <c r="H4539" i="122"/>
  <c r="N4539" i="122" s="1"/>
  <c r="F4821" i="122"/>
  <c r="H4821" i="122" s="1"/>
  <c r="N4821" i="122" s="1"/>
  <c r="H4151" i="122"/>
  <c r="N4151" i="122" s="1"/>
  <c r="F5022" i="122"/>
  <c r="H5022" i="122" s="1"/>
  <c r="N5022" i="122" s="1"/>
  <c r="H4352" i="122"/>
  <c r="N4352" i="122" s="1"/>
  <c r="F4702" i="122"/>
  <c r="H4702" i="122" s="1"/>
  <c r="N4702" i="122" s="1"/>
  <c r="H4032" i="122"/>
  <c r="N4032" i="122" s="1"/>
  <c r="F4820" i="122"/>
  <c r="H4820" i="122" s="1"/>
  <c r="N4820" i="122" s="1"/>
  <c r="H4150" i="122"/>
  <c r="N4150" i="122" s="1"/>
  <c r="F5051" i="122"/>
  <c r="H5051" i="122" s="1"/>
  <c r="N5051" i="122" s="1"/>
  <c r="H4381" i="122"/>
  <c r="N4381" i="122" s="1"/>
  <c r="F5149" i="122"/>
  <c r="H5149" i="122" s="1"/>
  <c r="N5149" i="122" s="1"/>
  <c r="H4479" i="122"/>
  <c r="N4479" i="122" s="1"/>
  <c r="F5203" i="122"/>
  <c r="H5203" i="122" s="1"/>
  <c r="N5203" i="122" s="1"/>
  <c r="H4533" i="122"/>
  <c r="N4533" i="122" s="1"/>
  <c r="F5074" i="122"/>
  <c r="H5074" i="122" s="1"/>
  <c r="N5074" i="122" s="1"/>
  <c r="H4404" i="122"/>
  <c r="N4404" i="122" s="1"/>
  <c r="H4650" i="122"/>
  <c r="N4650" i="122" s="1"/>
  <c r="F5320" i="122"/>
  <c r="H5320" i="122" s="1"/>
  <c r="N5320" i="122" s="1"/>
  <c r="F5324" i="122"/>
  <c r="H5324" i="122" s="1"/>
  <c r="N5324" i="122" s="1"/>
  <c r="H4654" i="122"/>
  <c r="N4654" i="122" s="1"/>
  <c r="F5120" i="122"/>
  <c r="H5120" i="122" s="1"/>
  <c r="N5120" i="122" s="1"/>
  <c r="H4450" i="122"/>
  <c r="N4450" i="122" s="1"/>
  <c r="F4822" i="122"/>
  <c r="H4822" i="122" s="1"/>
  <c r="N4822" i="122" s="1"/>
  <c r="H4152" i="122"/>
  <c r="N4152" i="122" s="1"/>
  <c r="H4615" i="122"/>
  <c r="N4615" i="122" s="1"/>
  <c r="F5285" i="122"/>
  <c r="H5285" i="122" s="1"/>
  <c r="N5285" i="122" s="1"/>
  <c r="H4585" i="122"/>
  <c r="N4585" i="122" s="1"/>
  <c r="F5255" i="122"/>
  <c r="H5255" i="122" s="1"/>
  <c r="N5255" i="122" s="1"/>
  <c r="G4005" i="122"/>
  <c r="H3335" i="122"/>
  <c r="N3335" i="122" s="1"/>
  <c r="F4916" i="122"/>
  <c r="H4916" i="122" s="1"/>
  <c r="N4916" i="122" s="1"/>
  <c r="H4246" i="122"/>
  <c r="N4246" i="122" s="1"/>
  <c r="F5223" i="122"/>
  <c r="H5223" i="122" s="1"/>
  <c r="N5223" i="122" s="1"/>
  <c r="H4553" i="122"/>
  <c r="N4553" i="122" s="1"/>
  <c r="F4679" i="122"/>
  <c r="F4833" i="122"/>
  <c r="H4833" i="122" s="1"/>
  <c r="N4833" i="122" s="1"/>
  <c r="H4163" i="122"/>
  <c r="N4163" i="122" s="1"/>
  <c r="G2668" i="122"/>
  <c r="N1998" i="122"/>
  <c r="F5301" i="122"/>
  <c r="H5301" i="122" s="1"/>
  <c r="N5301" i="122" s="1"/>
  <c r="H4631" i="122"/>
  <c r="N4631" i="122" s="1"/>
  <c r="F5304" i="122"/>
  <c r="H5304" i="122" s="1"/>
  <c r="N5304" i="122" s="1"/>
  <c r="H4634" i="122"/>
  <c r="N4634" i="122" s="1"/>
  <c r="H4357" i="122"/>
  <c r="N4357" i="122" s="1"/>
  <c r="F5027" i="122"/>
  <c r="H5027" i="122" s="1"/>
  <c r="N5027" i="122" s="1"/>
  <c r="F4707" i="122"/>
  <c r="H4707" i="122" s="1"/>
  <c r="N4707" i="122" s="1"/>
  <c r="H4037" i="122"/>
  <c r="N4037" i="122" s="1"/>
  <c r="F5108" i="122"/>
  <c r="H5108" i="122" s="1"/>
  <c r="N5108" i="122" s="1"/>
  <c r="H4438" i="122"/>
  <c r="N4438" i="122" s="1"/>
  <c r="F4755" i="122"/>
  <c r="H4755" i="122" s="1"/>
  <c r="N4755" i="122" s="1"/>
  <c r="H4085" i="122"/>
  <c r="N4085" i="122" s="1"/>
  <c r="H4436" i="122"/>
  <c r="N4436" i="122" s="1"/>
  <c r="F5106" i="122"/>
  <c r="H5106" i="122" s="1"/>
  <c r="N5106" i="122" s="1"/>
  <c r="F4776" i="122"/>
  <c r="H4776" i="122" s="1"/>
  <c r="N4776" i="122" s="1"/>
  <c r="H4106" i="122"/>
  <c r="N4106" i="122" s="1"/>
  <c r="H4359" i="122"/>
  <c r="N4359" i="122" s="1"/>
  <c r="F5029" i="122"/>
  <c r="H5029" i="122" s="1"/>
  <c r="N5029" i="122" s="1"/>
  <c r="F4809" i="122"/>
  <c r="H4809" i="122" s="1"/>
  <c r="N4809" i="122" s="1"/>
  <c r="H4139" i="122"/>
  <c r="N4139" i="122" s="1"/>
  <c r="F4845" i="122"/>
  <c r="H4845" i="122" s="1"/>
  <c r="N4845" i="122" s="1"/>
  <c r="H4175" i="122"/>
  <c r="N4175" i="122" s="1"/>
  <c r="F5189" i="122"/>
  <c r="H5189" i="122" s="1"/>
  <c r="N5189" i="122" s="1"/>
  <c r="H4519" i="122"/>
  <c r="N4519" i="122" s="1"/>
  <c r="H4443" i="122"/>
  <c r="N4443" i="122" s="1"/>
  <c r="F5113" i="122"/>
  <c r="H5113" i="122" s="1"/>
  <c r="N5113" i="122" s="1"/>
  <c r="F4953" i="122"/>
  <c r="H4953" i="122" s="1"/>
  <c r="N4953" i="122" s="1"/>
  <c r="H4283" i="122"/>
  <c r="N4283" i="122" s="1"/>
  <c r="F4827" i="122"/>
  <c r="H4827" i="122" s="1"/>
  <c r="N4827" i="122" s="1"/>
  <c r="H4157" i="122"/>
  <c r="N4157" i="122" s="1"/>
  <c r="F5110" i="122"/>
  <c r="H5110" i="122" s="1"/>
  <c r="N5110" i="122" s="1"/>
  <c r="H4440" i="122"/>
  <c r="N4440" i="122" s="1"/>
  <c r="H4104" i="122"/>
  <c r="N4104" i="122" s="1"/>
  <c r="F4774" i="122"/>
  <c r="H4774" i="122" s="1"/>
  <c r="N4774" i="122" s="1"/>
  <c r="F4758" i="122"/>
  <c r="H4758" i="122" s="1"/>
  <c r="N4758" i="122" s="1"/>
  <c r="H4088" i="122"/>
  <c r="N4088" i="122" s="1"/>
  <c r="F4873" i="122"/>
  <c r="H4873" i="122" s="1"/>
  <c r="N4873" i="122" s="1"/>
  <c r="H4203" i="122"/>
  <c r="N4203" i="122" s="1"/>
  <c r="H4033" i="122"/>
  <c r="N4033" i="122" s="1"/>
  <c r="F4703" i="122"/>
  <c r="H4703" i="122" s="1"/>
  <c r="N4703" i="122" s="1"/>
  <c r="F5190" i="122"/>
  <c r="H5190" i="122" s="1"/>
  <c r="N5190" i="122" s="1"/>
  <c r="H4520" i="122"/>
  <c r="N4520" i="122" s="1"/>
  <c r="F5058" i="122"/>
  <c r="H5058" i="122" s="1"/>
  <c r="N5058" i="122" s="1"/>
  <c r="H4388" i="122"/>
  <c r="N4388" i="122" s="1"/>
  <c r="F4918" i="122"/>
  <c r="H4918" i="122" s="1"/>
  <c r="N4918" i="122" s="1"/>
  <c r="H4248" i="122"/>
  <c r="N4248" i="122" s="1"/>
  <c r="F5156" i="122"/>
  <c r="H5156" i="122" s="1"/>
  <c r="N5156" i="122" s="1"/>
  <c r="H4486" i="122"/>
  <c r="N4486" i="122" s="1"/>
  <c r="F5042" i="122"/>
  <c r="H5042" i="122" s="1"/>
  <c r="N5042" i="122" s="1"/>
  <c r="H4372" i="122"/>
  <c r="N4372" i="122" s="1"/>
  <c r="F5164" i="122"/>
  <c r="H5164" i="122" s="1"/>
  <c r="N5164" i="122" s="1"/>
  <c r="H4494" i="122"/>
  <c r="N4494" i="122" s="1"/>
  <c r="F5141" i="122"/>
  <c r="H5141" i="122" s="1"/>
  <c r="N5141" i="122" s="1"/>
  <c r="H4471" i="122"/>
  <c r="N4471" i="122" s="1"/>
  <c r="F4862" i="122"/>
  <c r="H4862" i="122" s="1"/>
  <c r="N4862" i="122" s="1"/>
  <c r="H4192" i="122"/>
  <c r="N4192" i="122" s="1"/>
  <c r="H4413" i="122"/>
  <c r="N4413" i="122" s="1"/>
  <c r="F5083" i="122"/>
  <c r="H5083" i="122" s="1"/>
  <c r="N5083" i="122" s="1"/>
  <c r="H4317" i="122"/>
  <c r="N4317" i="122" s="1"/>
  <c r="F4987" i="122"/>
  <c r="H4987" i="122" s="1"/>
  <c r="N4987" i="122" s="1"/>
  <c r="F4846" i="122"/>
  <c r="H4846" i="122" s="1"/>
  <c r="N4846" i="122" s="1"/>
  <c r="H4176" i="122"/>
  <c r="N4176" i="122" s="1"/>
  <c r="F5075" i="122"/>
  <c r="H5075" i="122" s="1"/>
  <c r="N5075" i="122" s="1"/>
  <c r="H4405" i="122"/>
  <c r="N4405" i="122" s="1"/>
  <c r="F4842" i="122"/>
  <c r="H4842" i="122" s="1"/>
  <c r="N4842" i="122" s="1"/>
  <c r="H4172" i="122"/>
  <c r="N4172" i="122" s="1"/>
  <c r="F5104" i="122"/>
  <c r="H5104" i="122" s="1"/>
  <c r="N5104" i="122" s="1"/>
  <c r="H4434" i="122"/>
  <c r="N4434" i="122" s="1"/>
  <c r="H4313" i="122"/>
  <c r="N4313" i="122" s="1"/>
  <c r="F4983" i="122"/>
  <c r="H4983" i="122" s="1"/>
  <c r="N4983" i="122" s="1"/>
  <c r="F5176" i="122"/>
  <c r="H5176" i="122" s="1"/>
  <c r="N5176" i="122" s="1"/>
  <c r="H4506" i="122"/>
  <c r="N4506" i="122" s="1"/>
  <c r="F4977" i="122"/>
  <c r="H4977" i="122" s="1"/>
  <c r="N4977" i="122" s="1"/>
  <c r="H4307" i="122"/>
  <c r="N4307" i="122" s="1"/>
  <c r="F5230" i="122"/>
  <c r="H5230" i="122" s="1"/>
  <c r="N5230" i="122" s="1"/>
  <c r="H4560" i="122"/>
  <c r="N4560" i="122" s="1"/>
  <c r="H4242" i="122"/>
  <c r="N4242" i="122" s="1"/>
  <c r="F4912" i="122"/>
  <c r="H4912" i="122" s="1"/>
  <c r="N4912" i="122" s="1"/>
  <c r="F5067" i="122"/>
  <c r="H5067" i="122" s="1"/>
  <c r="N5067" i="122" s="1"/>
  <c r="H4397" i="122"/>
  <c r="N4397" i="122" s="1"/>
  <c r="F5262" i="122"/>
  <c r="H5262" i="122" s="1"/>
  <c r="N5262" i="122" s="1"/>
  <c r="H4592" i="122"/>
  <c r="N4592" i="122" s="1"/>
  <c r="F4762" i="122"/>
  <c r="H4762" i="122" s="1"/>
  <c r="N4762" i="122" s="1"/>
  <c r="H4092" i="122"/>
  <c r="N4092" i="122" s="1"/>
  <c r="F5283" i="122"/>
  <c r="H5283" i="122" s="1"/>
  <c r="N5283" i="122" s="1"/>
  <c r="H4613" i="122"/>
  <c r="N4613" i="122" s="1"/>
  <c r="H4128" i="122"/>
  <c r="N4128" i="122" s="1"/>
  <c r="F4798" i="122"/>
  <c r="H4798" i="122" s="1"/>
  <c r="N4798" i="122" s="1"/>
  <c r="F4893" i="122"/>
  <c r="H4893" i="122" s="1"/>
  <c r="N4893" i="122" s="1"/>
  <c r="H4223" i="122"/>
  <c r="N4223" i="122" s="1"/>
  <c r="F4979" i="122"/>
  <c r="H4979" i="122" s="1"/>
  <c r="N4979" i="122" s="1"/>
  <c r="H4309" i="122"/>
  <c r="N4309" i="122" s="1"/>
  <c r="F4971" i="122"/>
  <c r="H4971" i="122" s="1"/>
  <c r="N4971" i="122" s="1"/>
  <c r="H4301" i="122"/>
  <c r="N4301" i="122" s="1"/>
  <c r="F5294" i="122"/>
  <c r="H5294" i="122" s="1"/>
  <c r="N5294" i="122" s="1"/>
  <c r="H4624" i="122"/>
  <c r="N4624" i="122" s="1"/>
  <c r="F5214" i="122"/>
  <c r="H5214" i="122" s="1"/>
  <c r="N5214" i="122" s="1"/>
  <c r="H4544" i="122"/>
  <c r="N4544" i="122" s="1"/>
  <c r="F5275" i="122"/>
  <c r="H5275" i="122" s="1"/>
  <c r="N5275" i="122" s="1"/>
  <c r="H4605" i="122"/>
  <c r="N4605" i="122" s="1"/>
  <c r="F5076" i="122"/>
  <c r="H5076" i="122" s="1"/>
  <c r="N5076" i="122" s="1"/>
  <c r="H4406" i="122"/>
  <c r="N4406" i="122" s="1"/>
  <c r="F5085" i="122"/>
  <c r="H5085" i="122" s="1"/>
  <c r="N5085" i="122" s="1"/>
  <c r="H4415" i="122"/>
  <c r="N4415" i="122" s="1"/>
  <c r="F5242" i="122"/>
  <c r="H5242" i="122" s="1"/>
  <c r="N5242" i="122" s="1"/>
  <c r="H4572" i="122"/>
  <c r="N4572" i="122" s="1"/>
  <c r="H4619" i="122"/>
  <c r="N4619" i="122" s="1"/>
  <c r="F5289" i="122"/>
  <c r="H5289" i="122" s="1"/>
  <c r="N5289" i="122" s="1"/>
  <c r="F5034" i="122"/>
  <c r="H5034" i="122" s="1"/>
  <c r="N5034" i="122" s="1"/>
  <c r="H4364" i="122"/>
  <c r="N4364" i="122" s="1"/>
  <c r="F5226" i="122"/>
  <c r="H5226" i="122" s="1"/>
  <c r="N5226" i="122" s="1"/>
  <c r="H4556" i="122"/>
  <c r="N4556" i="122" s="1"/>
  <c r="H4399" i="122"/>
  <c r="N4399" i="122" s="1"/>
  <c r="F5069" i="122"/>
  <c r="H5069" i="122" s="1"/>
  <c r="N5069" i="122" s="1"/>
  <c r="F4942" i="122"/>
  <c r="H4942" i="122" s="1"/>
  <c r="N4942" i="122" s="1"/>
  <c r="H4272" i="122"/>
  <c r="N4272" i="122" s="1"/>
  <c r="F4989" i="122"/>
  <c r="H4989" i="122" s="1"/>
  <c r="N4989" i="122" s="1"/>
  <c r="H4319" i="122"/>
  <c r="N4319" i="122" s="1"/>
  <c r="F4982" i="122"/>
  <c r="H4982" i="122" s="1"/>
  <c r="N4982" i="122" s="1"/>
  <c r="H4312" i="122"/>
  <c r="N4312" i="122" s="1"/>
  <c r="F4889" i="122"/>
  <c r="H4889" i="122" s="1"/>
  <c r="N4889" i="122" s="1"/>
  <c r="H4219" i="122"/>
  <c r="N4219" i="122" s="1"/>
  <c r="F5170" i="122"/>
  <c r="H5170" i="122" s="1"/>
  <c r="N5170" i="122" s="1"/>
  <c r="H4500" i="122"/>
  <c r="N4500" i="122" s="1"/>
  <c r="H4174" i="122"/>
  <c r="N4174" i="122" s="1"/>
  <c r="F4844" i="122"/>
  <c r="H4844" i="122" s="1"/>
  <c r="N4844" i="122" s="1"/>
  <c r="H4645" i="122"/>
  <c r="N4645" i="122" s="1"/>
  <c r="F5315" i="122"/>
  <c r="H5315" i="122" s="1"/>
  <c r="N5315" i="122" s="1"/>
  <c r="F4951" i="122"/>
  <c r="H4951" i="122" s="1"/>
  <c r="N4951" i="122" s="1"/>
  <c r="H4281" i="122"/>
  <c r="N4281" i="122" s="1"/>
  <c r="F4676" i="122"/>
  <c r="H4385" i="122"/>
  <c r="N4385" i="122" s="1"/>
  <c r="F5055" i="122"/>
  <c r="H5055" i="122" s="1"/>
  <c r="N5055" i="122" s="1"/>
  <c r="F5177" i="122"/>
  <c r="H5177" i="122" s="1"/>
  <c r="N5177" i="122" s="1"/>
  <c r="H4507" i="122"/>
  <c r="N4507" i="122" s="1"/>
  <c r="F4980" i="122"/>
  <c r="H4980" i="122" s="1"/>
  <c r="N4980" i="122" s="1"/>
  <c r="H4310" i="122"/>
  <c r="N4310" i="122" s="1"/>
  <c r="F5193" i="122"/>
  <c r="H5193" i="122" s="1"/>
  <c r="N5193" i="122" s="1"/>
  <c r="H4523" i="122"/>
  <c r="N4523" i="122" s="1"/>
  <c r="F5135" i="122"/>
  <c r="H5135" i="122" s="1"/>
  <c r="N5135" i="122" s="1"/>
  <c r="H4465" i="122"/>
  <c r="N4465" i="122" s="1"/>
  <c r="F4924" i="122"/>
  <c r="H4924" i="122" s="1"/>
  <c r="N4924" i="122" s="1"/>
  <c r="H4254" i="122"/>
  <c r="N4254" i="122" s="1"/>
  <c r="F4836" i="122"/>
  <c r="H4836" i="122" s="1"/>
  <c r="N4836" i="122" s="1"/>
  <c r="H4166" i="122"/>
  <c r="N4166" i="122" s="1"/>
  <c r="H4638" i="122"/>
  <c r="N4638" i="122" s="1"/>
  <c r="F5308" i="122"/>
  <c r="H5308" i="122" s="1"/>
  <c r="N5308" i="122" s="1"/>
  <c r="G2666" i="122"/>
  <c r="N1996" i="122"/>
  <c r="H1984" i="122"/>
  <c r="N1984" i="122" s="1"/>
  <c r="F2654" i="122"/>
  <c r="F5271" i="122"/>
  <c r="H5271" i="122" s="1"/>
  <c r="N5271" i="122" s="1"/>
  <c r="H4601" i="122"/>
  <c r="N4601" i="122" s="1"/>
  <c r="F5004" i="122"/>
  <c r="H5004" i="122" s="1"/>
  <c r="N5004" i="122" s="1"/>
  <c r="H4334" i="122"/>
  <c r="N4334" i="122" s="1"/>
  <c r="F4731" i="122"/>
  <c r="H4731" i="122" s="1"/>
  <c r="N4731" i="122" s="1"/>
  <c r="H4061" i="122"/>
  <c r="N4061" i="122" s="1"/>
  <c r="F5221" i="122"/>
  <c r="H5221" i="122" s="1"/>
  <c r="N5221" i="122" s="1"/>
  <c r="H4551" i="122"/>
  <c r="N4551" i="122" s="1"/>
  <c r="F5000" i="122"/>
  <c r="H5000" i="122" s="1"/>
  <c r="N5000" i="122" s="1"/>
  <c r="H4330" i="122"/>
  <c r="N4330" i="122" s="1"/>
  <c r="F4981" i="122"/>
  <c r="H4981" i="122" s="1"/>
  <c r="N4981" i="122" s="1"/>
  <c r="H4311" i="122"/>
  <c r="N4311" i="122" s="1"/>
  <c r="F5048" i="122"/>
  <c r="H5048" i="122" s="1"/>
  <c r="N5048" i="122" s="1"/>
  <c r="H4378" i="122"/>
  <c r="N4378" i="122" s="1"/>
  <c r="F5213" i="122"/>
  <c r="H5213" i="122" s="1"/>
  <c r="N5213" i="122" s="1"/>
  <c r="H4543" i="122"/>
  <c r="N4543" i="122" s="1"/>
  <c r="F4886" i="122"/>
  <c r="H4886" i="122" s="1"/>
  <c r="N4886" i="122" s="1"/>
  <c r="H4216" i="122"/>
  <c r="N4216" i="122" s="1"/>
  <c r="F5347" i="122"/>
  <c r="H5347" i="122" s="1"/>
  <c r="N5347" i="122" s="1"/>
  <c r="H4677" i="122"/>
  <c r="N4677" i="122" s="1"/>
  <c r="H4314" i="122"/>
  <c r="N4314" i="122" s="1"/>
  <c r="F4984" i="122"/>
  <c r="H4984" i="122" s="1"/>
  <c r="N4984" i="122" s="1"/>
  <c r="F5256" i="122"/>
  <c r="H5256" i="122" s="1"/>
  <c r="N5256" i="122" s="1"/>
  <c r="H4586" i="122"/>
  <c r="N4586" i="122" s="1"/>
  <c r="F5326" i="122"/>
  <c r="H5326" i="122" s="1"/>
  <c r="N5326" i="122" s="1"/>
  <c r="H4656" i="122"/>
  <c r="N4656" i="122" s="1"/>
  <c r="F4723" i="122"/>
  <c r="H4723" i="122" s="1"/>
  <c r="N4723" i="122" s="1"/>
  <c r="H4053" i="122"/>
  <c r="N4053" i="122" s="1"/>
  <c r="H4197" i="122"/>
  <c r="N4197" i="122" s="1"/>
  <c r="F4867" i="122"/>
  <c r="H4867" i="122" s="1"/>
  <c r="N4867" i="122" s="1"/>
  <c r="F4917" i="122"/>
  <c r="H4917" i="122" s="1"/>
  <c r="N4917" i="122" s="1"/>
  <c r="H4247" i="122"/>
  <c r="N4247" i="122" s="1"/>
  <c r="F5072" i="122"/>
  <c r="H5072" i="122" s="1"/>
  <c r="N5072" i="122" s="1"/>
  <c r="H4402" i="122"/>
  <c r="N4402" i="122" s="1"/>
  <c r="F4714" i="122"/>
  <c r="H4714" i="122" s="1"/>
  <c r="N4714" i="122" s="1"/>
  <c r="H4044" i="122"/>
  <c r="N4044" i="122" s="1"/>
  <c r="F4790" i="122"/>
  <c r="H4790" i="122" s="1"/>
  <c r="N4790" i="122" s="1"/>
  <c r="H4120" i="122"/>
  <c r="N4120" i="122" s="1"/>
  <c r="F5232" i="122"/>
  <c r="H5232" i="122" s="1"/>
  <c r="N5232" i="122" s="1"/>
  <c r="H4562" i="122"/>
  <c r="N4562" i="122" s="1"/>
  <c r="F5187" i="122"/>
  <c r="H5187" i="122" s="1"/>
  <c r="N5187" i="122" s="1"/>
  <c r="H4517" i="122"/>
  <c r="N4517" i="122" s="1"/>
  <c r="F5354" i="122"/>
  <c r="H5354" i="122" s="1"/>
  <c r="N5354" i="122" s="1"/>
  <c r="H4684" i="122"/>
  <c r="N4684" i="122" s="1"/>
  <c r="F4819" i="122"/>
  <c r="H4819" i="122" s="1"/>
  <c r="N4819" i="122" s="1"/>
  <c r="H4149" i="122"/>
  <c r="N4149" i="122" s="1"/>
  <c r="H4623" i="122"/>
  <c r="N4623" i="122" s="1"/>
  <c r="F5293" i="122"/>
  <c r="H5293" i="122" s="1"/>
  <c r="N5293" i="122" s="1"/>
  <c r="F5019" i="122"/>
  <c r="H5019" i="122" s="1"/>
  <c r="N5019" i="122" s="1"/>
  <c r="H4349" i="122"/>
  <c r="N4349" i="122" s="1"/>
  <c r="H4409" i="122"/>
  <c r="N4409" i="122" s="1"/>
  <c r="F5079" i="122"/>
  <c r="H5079" i="122" s="1"/>
  <c r="N5079" i="122" s="1"/>
  <c r="H4063" i="122"/>
  <c r="N4063" i="122" s="1"/>
  <c r="F4733" i="122"/>
  <c r="H4733" i="122" s="1"/>
  <c r="N4733" i="122" s="1"/>
  <c r="F4871" i="122"/>
  <c r="H4871" i="122" s="1"/>
  <c r="N4871" i="122" s="1"/>
  <c r="H4201" i="122"/>
  <c r="N4201" i="122" s="1"/>
  <c r="H4289" i="122"/>
  <c r="N4289" i="122" s="1"/>
  <c r="F4959" i="122"/>
  <c r="H4959" i="122" s="1"/>
  <c r="N4959" i="122" s="1"/>
  <c r="F4823" i="122"/>
  <c r="H4823" i="122" s="1"/>
  <c r="N4823" i="122" s="1"/>
  <c r="H4153" i="122"/>
  <c r="N4153" i="122" s="1"/>
  <c r="F5357" i="122"/>
  <c r="H5357" i="122" s="1"/>
  <c r="N5357" i="122" s="1"/>
  <c r="H4687" i="122"/>
  <c r="N4687" i="122" s="1"/>
  <c r="F5362" i="122"/>
  <c r="H5362" i="122" s="1"/>
  <c r="N5362" i="122" s="1"/>
  <c r="H4692" i="122"/>
  <c r="N4692" i="122" s="1"/>
  <c r="F2655" i="122"/>
  <c r="H1985" i="122"/>
  <c r="N1985" i="122" s="1"/>
  <c r="H4250" i="122"/>
  <c r="N4250" i="122" s="1"/>
  <c r="F4920" i="122"/>
  <c r="H4920" i="122" s="1"/>
  <c r="N4920" i="122" s="1"/>
  <c r="F5132" i="122"/>
  <c r="H5132" i="122" s="1"/>
  <c r="N5132" i="122" s="1"/>
  <c r="H4462" i="122"/>
  <c r="N4462" i="122" s="1"/>
  <c r="F5168" i="122"/>
  <c r="H5168" i="122" s="1"/>
  <c r="N5168" i="122" s="1"/>
  <c r="H4498" i="122"/>
  <c r="N4498" i="122" s="1"/>
  <c r="F4732" i="122"/>
  <c r="H4732" i="122" s="1"/>
  <c r="N4732" i="122" s="1"/>
  <c r="H4062" i="122"/>
  <c r="N4062" i="122" s="1"/>
  <c r="H4235" i="122"/>
  <c r="N4235" i="122" s="1"/>
  <c r="F4905" i="122"/>
  <c r="H4905" i="122" s="1"/>
  <c r="N4905" i="122" s="1"/>
  <c r="F4748" i="122"/>
  <c r="H4748" i="122" s="1"/>
  <c r="N4748" i="122" s="1"/>
  <c r="H4078" i="122"/>
  <c r="N4078" i="122" s="1"/>
  <c r="F4949" i="122"/>
  <c r="H4949" i="122" s="1"/>
  <c r="N4949" i="122" s="1"/>
  <c r="H4279" i="122"/>
  <c r="N4279" i="122" s="1"/>
  <c r="F5162" i="122"/>
  <c r="H5162" i="122" s="1"/>
  <c r="N5162" i="122" s="1"/>
  <c r="H4492" i="122"/>
  <c r="N4492" i="122" s="1"/>
  <c r="F5260" i="122"/>
  <c r="H5260" i="122" s="1"/>
  <c r="N5260" i="122" s="1"/>
  <c r="H4590" i="122"/>
  <c r="N4590" i="122" s="1"/>
  <c r="F3999" i="122"/>
  <c r="F4817" i="122"/>
  <c r="H4817" i="122" s="1"/>
  <c r="N4817" i="122" s="1"/>
  <c r="H4147" i="122"/>
  <c r="N4147" i="122" s="1"/>
  <c r="F4727" i="122"/>
  <c r="H4727" i="122" s="1"/>
  <c r="N4727" i="122" s="1"/>
  <c r="H4057" i="122"/>
  <c r="N4057" i="122" s="1"/>
  <c r="F4849" i="122"/>
  <c r="H4849" i="122" s="1"/>
  <c r="N4849" i="122" s="1"/>
  <c r="H4179" i="122"/>
  <c r="N4179" i="122" s="1"/>
  <c r="F5134" i="122"/>
  <c r="H5134" i="122" s="1"/>
  <c r="N5134" i="122" s="1"/>
  <c r="H4464" i="122"/>
  <c r="N4464" i="122" s="1"/>
  <c r="F5143" i="122"/>
  <c r="H5143" i="122" s="1"/>
  <c r="N5143" i="122" s="1"/>
  <c r="H4473" i="122"/>
  <c r="N4473" i="122" s="1"/>
  <c r="F5031" i="122"/>
  <c r="H5031" i="122" s="1"/>
  <c r="N5031" i="122" s="1"/>
  <c r="H4361" i="122"/>
  <c r="N4361" i="122" s="1"/>
  <c r="H4594" i="122"/>
  <c r="N4594" i="122" s="1"/>
  <c r="F5264" i="122"/>
  <c r="H5264" i="122" s="1"/>
  <c r="N5264" i="122" s="1"/>
  <c r="F4901" i="122"/>
  <c r="H4901" i="122" s="1"/>
  <c r="N4901" i="122" s="1"/>
  <c r="H4231" i="122"/>
  <c r="N4231" i="122" s="1"/>
  <c r="F4943" i="122"/>
  <c r="H4943" i="122" s="1"/>
  <c r="N4943" i="122" s="1"/>
  <c r="H4273" i="122"/>
  <c r="N4273" i="122" s="1"/>
  <c r="F4824" i="122"/>
  <c r="H4824" i="122" s="1"/>
  <c r="N4824" i="122" s="1"/>
  <c r="H4154" i="122"/>
  <c r="N4154" i="122" s="1"/>
  <c r="F5082" i="122"/>
  <c r="H5082" i="122" s="1"/>
  <c r="N5082" i="122" s="1"/>
  <c r="H4412" i="122"/>
  <c r="N4412" i="122" s="1"/>
  <c r="F4998" i="122"/>
  <c r="H4998" i="122" s="1"/>
  <c r="N4998" i="122" s="1"/>
  <c r="H4328" i="122"/>
  <c r="N4328" i="122" s="1"/>
  <c r="F4847" i="122"/>
  <c r="H4847" i="122" s="1"/>
  <c r="N4847" i="122" s="1"/>
  <c r="H4177" i="122"/>
  <c r="N4177" i="122" s="1"/>
  <c r="F4752" i="122"/>
  <c r="H4752" i="122" s="1"/>
  <c r="N4752" i="122" s="1"/>
  <c r="H4082" i="122"/>
  <c r="N4082" i="122" s="1"/>
  <c r="F4851" i="122"/>
  <c r="H4851" i="122" s="1"/>
  <c r="N4851" i="122" s="1"/>
  <c r="H4181" i="122"/>
  <c r="N4181" i="122" s="1"/>
  <c r="F5355" i="122"/>
  <c r="H5355" i="122" s="1"/>
  <c r="N5355" i="122" s="1"/>
  <c r="H4685" i="122"/>
  <c r="N4685" i="122" s="1"/>
  <c r="F4910" i="122"/>
  <c r="H4910" i="122" s="1"/>
  <c r="N4910" i="122" s="1"/>
  <c r="H4240" i="122"/>
  <c r="N4240" i="122" s="1"/>
  <c r="F4948" i="122"/>
  <c r="H4948" i="122" s="1"/>
  <c r="N4948" i="122" s="1"/>
  <c r="H4278" i="122"/>
  <c r="N4278" i="122" s="1"/>
  <c r="F5138" i="122"/>
  <c r="H5138" i="122" s="1"/>
  <c r="N5138" i="122" s="1"/>
  <c r="H4468" i="122"/>
  <c r="N4468" i="122" s="1"/>
  <c r="F5316" i="122"/>
  <c r="H5316" i="122" s="1"/>
  <c r="N5316" i="122" s="1"/>
  <c r="H4646" i="122"/>
  <c r="N4646" i="122" s="1"/>
  <c r="F4962" i="122"/>
  <c r="H4962" i="122" s="1"/>
  <c r="N4962" i="122" s="1"/>
  <c r="H4292" i="122"/>
  <c r="N4292" i="122" s="1"/>
  <c r="F5274" i="122"/>
  <c r="H5274" i="122" s="1"/>
  <c r="N5274" i="122" s="1"/>
  <c r="H4604" i="122"/>
  <c r="N4604" i="122" s="1"/>
  <c r="F4812" i="122"/>
  <c r="H4812" i="122" s="1"/>
  <c r="N4812" i="122" s="1"/>
  <c r="H4142" i="122"/>
  <c r="N4142" i="122" s="1"/>
  <c r="F5318" i="122"/>
  <c r="H5318" i="122" s="1"/>
  <c r="N5318" i="122" s="1"/>
  <c r="H4648" i="122"/>
  <c r="N4648" i="122" s="1"/>
  <c r="A1025" i="122"/>
  <c r="A1695" i="122" s="1"/>
  <c r="A2365" i="122" s="1"/>
  <c r="A3035" i="122" s="1"/>
  <c r="A3705" i="122" s="1"/>
  <c r="A4375" i="122" s="1"/>
  <c r="A5045" i="122" s="1"/>
  <c r="F5348" i="122" l="1"/>
  <c r="G3334" i="122"/>
  <c r="H2664" i="122"/>
  <c r="N2664" i="122" s="1"/>
  <c r="M2015" i="122"/>
  <c r="G2659" i="122"/>
  <c r="N1989" i="122"/>
  <c r="F3327" i="122"/>
  <c r="H2657" i="122"/>
  <c r="N2657" i="122" s="1"/>
  <c r="H4681" i="122"/>
  <c r="N4681" i="122" s="1"/>
  <c r="F5351" i="122"/>
  <c r="H5351" i="122" s="1"/>
  <c r="N5351" i="122" s="1"/>
  <c r="F3325" i="122"/>
  <c r="H2655" i="122"/>
  <c r="N2655" i="122" s="1"/>
  <c r="G4691" i="122"/>
  <c r="H4021" i="122"/>
  <c r="N4021" i="122" s="1"/>
  <c r="F4669" i="122"/>
  <c r="G3338" i="122"/>
  <c r="H2668" i="122"/>
  <c r="N2668" i="122" s="1"/>
  <c r="H4700" i="122"/>
  <c r="H2656" i="122"/>
  <c r="N2656" i="122" s="1"/>
  <c r="F3326" i="122"/>
  <c r="F3324" i="122"/>
  <c r="H2654" i="122"/>
  <c r="N2654" i="122" s="1"/>
  <c r="F4002" i="122"/>
  <c r="H3332" i="122"/>
  <c r="N3332" i="122" s="1"/>
  <c r="G3336" i="122"/>
  <c r="H2666" i="122"/>
  <c r="N2666" i="122" s="1"/>
  <c r="G4675" i="122"/>
  <c r="H4005" i="122"/>
  <c r="N4005" i="122" s="1"/>
  <c r="F1982" i="122"/>
  <c r="H1312" i="122"/>
  <c r="F1345" i="122"/>
  <c r="N4030" i="122"/>
  <c r="G1983" i="122"/>
  <c r="H1313" i="122"/>
  <c r="N1313" i="122" s="1"/>
  <c r="G1345" i="122"/>
  <c r="F5344" i="122"/>
  <c r="F3328" i="122"/>
  <c r="H2658" i="122"/>
  <c r="N2658" i="122" s="1"/>
  <c r="G3339" i="122"/>
  <c r="H2669" i="122"/>
  <c r="N2669" i="122" s="1"/>
  <c r="F5346" i="122"/>
  <c r="F5349" i="122"/>
  <c r="H4670" i="122"/>
  <c r="N4670" i="122" s="1"/>
  <c r="F5340" i="122"/>
  <c r="H5340" i="122" s="1"/>
  <c r="N5340" i="122" s="1"/>
  <c r="H3333" i="122"/>
  <c r="N3333" i="122" s="1"/>
  <c r="F4003" i="122"/>
  <c r="A1028" i="122"/>
  <c r="A1698" i="122" s="1"/>
  <c r="A2368" i="122" s="1"/>
  <c r="A3038" i="122" s="1"/>
  <c r="A3708" i="122" s="1"/>
  <c r="A4378" i="122" s="1"/>
  <c r="A5048" i="122" s="1"/>
  <c r="F3996" i="122" l="1"/>
  <c r="H3326" i="122"/>
  <c r="N3326" i="122" s="1"/>
  <c r="F3997" i="122"/>
  <c r="H3327" i="122"/>
  <c r="N3327" i="122" s="1"/>
  <c r="H4003" i="122"/>
  <c r="N4003" i="122" s="1"/>
  <c r="F4673" i="122"/>
  <c r="G5345" i="122"/>
  <c r="H5345" i="122" s="1"/>
  <c r="N5345" i="122" s="1"/>
  <c r="H4675" i="122"/>
  <c r="N4675" i="122" s="1"/>
  <c r="G2653" i="122"/>
  <c r="G2015" i="122"/>
  <c r="H1983" i="122"/>
  <c r="N1983" i="122" s="1"/>
  <c r="G5361" i="122"/>
  <c r="H5361" i="122" s="1"/>
  <c r="N5361" i="122" s="1"/>
  <c r="H4691" i="122"/>
  <c r="N4691" i="122" s="1"/>
  <c r="G3329" i="122"/>
  <c r="H2659" i="122"/>
  <c r="N2659" i="122" s="1"/>
  <c r="N4700" i="122"/>
  <c r="F3995" i="122"/>
  <c r="H3325" i="122"/>
  <c r="N3325" i="122" s="1"/>
  <c r="G4006" i="122"/>
  <c r="H3336" i="122"/>
  <c r="N3336" i="122" s="1"/>
  <c r="F4672" i="122"/>
  <c r="H4002" i="122"/>
  <c r="N4002" i="122" s="1"/>
  <c r="G4004" i="122"/>
  <c r="H3334" i="122"/>
  <c r="N3334" i="122" s="1"/>
  <c r="F3998" i="122"/>
  <c r="H3328" i="122"/>
  <c r="N3328" i="122" s="1"/>
  <c r="N1312" i="122"/>
  <c r="N1345" i="122" s="1"/>
  <c r="H1345" i="122"/>
  <c r="G4008" i="122"/>
  <c r="H3338" i="122"/>
  <c r="N3338" i="122" s="1"/>
  <c r="G4009" i="122"/>
  <c r="H3339" i="122"/>
  <c r="N3339" i="122" s="1"/>
  <c r="F2652" i="122"/>
  <c r="H1982" i="122"/>
  <c r="F2015" i="122"/>
  <c r="H3324" i="122"/>
  <c r="N3324" i="122" s="1"/>
  <c r="F3994" i="122"/>
  <c r="F5339" i="122"/>
  <c r="F3322" i="122" l="1"/>
  <c r="H2652" i="122"/>
  <c r="F2685" i="122"/>
  <c r="G3999" i="122"/>
  <c r="H3329" i="122"/>
  <c r="N3329" i="122" s="1"/>
  <c r="F5343" i="122"/>
  <c r="H5343" i="122" s="1"/>
  <c r="N5343" i="122" s="1"/>
  <c r="H4673" i="122"/>
  <c r="N4673" i="122" s="1"/>
  <c r="F4668" i="122"/>
  <c r="H3998" i="122"/>
  <c r="N3998" i="122" s="1"/>
  <c r="A1030" i="122"/>
  <c r="A1700" i="122" s="1"/>
  <c r="A2370" i="122" s="1"/>
  <c r="A3040" i="122" s="1"/>
  <c r="A3710" i="122" s="1"/>
  <c r="A4380" i="122" s="1"/>
  <c r="A5050" i="122" s="1"/>
  <c r="G4676" i="122"/>
  <c r="H4006" i="122"/>
  <c r="N4006" i="122" s="1"/>
  <c r="G4679" i="122"/>
  <c r="H4009" i="122"/>
  <c r="N4009" i="122" s="1"/>
  <c r="F4667" i="122"/>
  <c r="H3997" i="122"/>
  <c r="N3997" i="122" s="1"/>
  <c r="G3323" i="122"/>
  <c r="G2685" i="122"/>
  <c r="H2653" i="122"/>
  <c r="N2653" i="122" s="1"/>
  <c r="F4666" i="122"/>
  <c r="H3996" i="122"/>
  <c r="N3996" i="122" s="1"/>
  <c r="N1982" i="122"/>
  <c r="N2015" i="122" s="1"/>
  <c r="H2015" i="122"/>
  <c r="F5342" i="122"/>
  <c r="H5342" i="122" s="1"/>
  <c r="N5342" i="122" s="1"/>
  <c r="H4672" i="122"/>
  <c r="N4672" i="122" s="1"/>
  <c r="F4664" i="122"/>
  <c r="H3994" i="122"/>
  <c r="N3994" i="122" s="1"/>
  <c r="F4665" i="122"/>
  <c r="H3995" i="122"/>
  <c r="N3995" i="122" s="1"/>
  <c r="G4674" i="122"/>
  <c r="H4004" i="122"/>
  <c r="N4004" i="122" s="1"/>
  <c r="G4678" i="122"/>
  <c r="H4008" i="122"/>
  <c r="N4008" i="122" s="1"/>
  <c r="N2652" i="122" l="1"/>
  <c r="N2685" i="122" s="1"/>
  <c r="H2685" i="122"/>
  <c r="F5337" i="122"/>
  <c r="H5337" i="122" s="1"/>
  <c r="N5337" i="122" s="1"/>
  <c r="H4667" i="122"/>
  <c r="N4667" i="122" s="1"/>
  <c r="H3322" i="122"/>
  <c r="F3992" i="122"/>
  <c r="F3355" i="122"/>
  <c r="G5344" i="122"/>
  <c r="H5344" i="122" s="1"/>
  <c r="N5344" i="122" s="1"/>
  <c r="H4674" i="122"/>
  <c r="N4674" i="122" s="1"/>
  <c r="H4664" i="122"/>
  <c r="N4664" i="122" s="1"/>
  <c r="F5334" i="122"/>
  <c r="H5334" i="122" s="1"/>
  <c r="N5334" i="122" s="1"/>
  <c r="G5346" i="122"/>
  <c r="H5346" i="122" s="1"/>
  <c r="N5346" i="122" s="1"/>
  <c r="H4676" i="122"/>
  <c r="N4676" i="122" s="1"/>
  <c r="G4669" i="122"/>
  <c r="H3999" i="122"/>
  <c r="N3999" i="122" s="1"/>
  <c r="G5348" i="122"/>
  <c r="H5348" i="122" s="1"/>
  <c r="N5348" i="122" s="1"/>
  <c r="H4678" i="122"/>
  <c r="N4678" i="122" s="1"/>
  <c r="H4668" i="122"/>
  <c r="N4668" i="122" s="1"/>
  <c r="F5338" i="122"/>
  <c r="H5338" i="122" s="1"/>
  <c r="N5338" i="122" s="1"/>
  <c r="G5349" i="122"/>
  <c r="H5349" i="122" s="1"/>
  <c r="N5349" i="122" s="1"/>
  <c r="H4679" i="122"/>
  <c r="N4679" i="122" s="1"/>
  <c r="F5335" i="122"/>
  <c r="H5335" i="122" s="1"/>
  <c r="N5335" i="122" s="1"/>
  <c r="H4665" i="122"/>
  <c r="N4665" i="122" s="1"/>
  <c r="F5336" i="122"/>
  <c r="H5336" i="122" s="1"/>
  <c r="N5336" i="122" s="1"/>
  <c r="H4666" i="122"/>
  <c r="N4666" i="122" s="1"/>
  <c r="G3993" i="122"/>
  <c r="G3355" i="122"/>
  <c r="H3323" i="122"/>
  <c r="N3323" i="122" s="1"/>
  <c r="G5339" i="122" l="1"/>
  <c r="H5339" i="122" s="1"/>
  <c r="N5339" i="122" s="1"/>
  <c r="H4669" i="122"/>
  <c r="N4669" i="122" s="1"/>
  <c r="F4662" i="122"/>
  <c r="H3992" i="122"/>
  <c r="F4025" i="122"/>
  <c r="N3322" i="122"/>
  <c r="N3355" i="122" s="1"/>
  <c r="H3355" i="122"/>
  <c r="G4663" i="122"/>
  <c r="G4025" i="122"/>
  <c r="H3993" i="122"/>
  <c r="N3993" i="122" s="1"/>
  <c r="N3992" i="122" l="1"/>
  <c r="N4025" i="122" s="1"/>
  <c r="H4025" i="122"/>
  <c r="F5332" i="122"/>
  <c r="H4662" i="122"/>
  <c r="F4695" i="122"/>
  <c r="G5333" i="122"/>
  <c r="H4663" i="122"/>
  <c r="N4663" i="122" s="1"/>
  <c r="G4695" i="122"/>
  <c r="H5333" i="122" l="1"/>
  <c r="N5333" i="122" s="1"/>
  <c r="G5365" i="122"/>
  <c r="E970" i="122"/>
  <c r="E1640" i="122" s="1"/>
  <c r="E2310" i="122" s="1"/>
  <c r="E2980" i="122" s="1"/>
  <c r="E3650" i="122" s="1"/>
  <c r="E4320" i="122" s="1"/>
  <c r="E4990" i="122" s="1"/>
  <c r="N4662" i="122"/>
  <c r="N4695" i="122" s="1"/>
  <c r="H4695" i="122"/>
  <c r="H5332" i="122"/>
  <c r="F5365" i="122"/>
  <c r="E951" i="122"/>
  <c r="E1621" i="122" s="1"/>
  <c r="E2291" i="122" s="1"/>
  <c r="E2961" i="122" s="1"/>
  <c r="E3631" i="122" s="1"/>
  <c r="E4301" i="122" s="1"/>
  <c r="E4971" i="122" s="1"/>
  <c r="E932" i="122"/>
  <c r="E1602" i="122" s="1"/>
  <c r="E2272" i="122" s="1"/>
  <c r="E2942" i="122" s="1"/>
  <c r="E3612" i="122" s="1"/>
  <c r="E4282" i="122" s="1"/>
  <c r="E4952" i="122" s="1"/>
  <c r="N5332" i="122" l="1"/>
  <c r="N5365" i="122" s="1"/>
  <c r="H5365" i="122"/>
  <c r="D962" i="122" l="1"/>
  <c r="D1632" i="122" s="1"/>
  <c r="D2302" i="122" s="1"/>
  <c r="D2972" i="122" s="1"/>
  <c r="D3642" i="122" s="1"/>
  <c r="D4312" i="122" s="1"/>
  <c r="D4982" i="122" s="1"/>
  <c r="C962" i="122"/>
  <c r="C1632" i="122" s="1"/>
  <c r="C2302" i="122" s="1"/>
  <c r="C2972" i="122" s="1"/>
  <c r="C3642" i="122" s="1"/>
  <c r="C4312" i="122" s="1"/>
  <c r="C4982" i="122" s="1"/>
  <c r="D959" i="122"/>
  <c r="D1629" i="122" s="1"/>
  <c r="D2299" i="122" s="1"/>
  <c r="D2969" i="122" s="1"/>
  <c r="D3639" i="122" s="1"/>
  <c r="D4309" i="122" s="1"/>
  <c r="D4979" i="122" s="1"/>
  <c r="C959" i="122"/>
  <c r="C1629" i="122" s="1"/>
  <c r="C2299" i="122" s="1"/>
  <c r="C2969" i="122" s="1"/>
  <c r="C3639" i="122" s="1"/>
  <c r="C4309" i="122" s="1"/>
  <c r="C4979" i="122" s="1"/>
  <c r="D952" i="122"/>
  <c r="D1622" i="122" s="1"/>
  <c r="D2292" i="122" s="1"/>
  <c r="D2962" i="122" s="1"/>
  <c r="D3632" i="122" s="1"/>
  <c r="D4302" i="122" s="1"/>
  <c r="D4972" i="122" s="1"/>
  <c r="C952" i="122"/>
  <c r="C1622" i="122" s="1"/>
  <c r="C2292" i="122" s="1"/>
  <c r="C2962" i="122" s="1"/>
  <c r="C3632" i="122" s="1"/>
  <c r="C4302" i="122" s="1"/>
  <c r="C4972" i="122" s="1"/>
  <c r="D949" i="122"/>
  <c r="D1619" i="122" s="1"/>
  <c r="D2289" i="122" s="1"/>
  <c r="D2959" i="122" s="1"/>
  <c r="D3629" i="122" s="1"/>
  <c r="D4299" i="122" s="1"/>
  <c r="D4969" i="122" s="1"/>
  <c r="E948" i="122" l="1"/>
  <c r="E1618" i="122" s="1"/>
  <c r="E2288" i="122" s="1"/>
  <c r="E2958" i="122" s="1"/>
  <c r="E3628" i="122" s="1"/>
  <c r="E4298" i="122" s="1"/>
  <c r="E4968" i="122" s="1"/>
  <c r="D950" i="122"/>
  <c r="D1620" i="122" s="1"/>
  <c r="D2290" i="122" s="1"/>
  <c r="D2960" i="122" s="1"/>
  <c r="D3630" i="122" s="1"/>
  <c r="D4300" i="122" s="1"/>
  <c r="D4970" i="122" s="1"/>
  <c r="D960" i="122"/>
  <c r="D1630" i="122" s="1"/>
  <c r="D2300" i="122" s="1"/>
  <c r="D2970" i="122" s="1"/>
  <c r="D3640" i="122" s="1"/>
  <c r="D4310" i="122" s="1"/>
  <c r="D4980" i="122" s="1"/>
  <c r="C953" i="122"/>
  <c r="C1623" i="122" s="1"/>
  <c r="C2293" i="122" s="1"/>
  <c r="C2963" i="122" s="1"/>
  <c r="C3633" i="122" s="1"/>
  <c r="C4303" i="122" s="1"/>
  <c r="C4973" i="122" s="1"/>
  <c r="D953" i="122"/>
  <c r="D1623" i="122" s="1"/>
  <c r="D2293" i="122" s="1"/>
  <c r="D2963" i="122" s="1"/>
  <c r="D3633" i="122" s="1"/>
  <c r="D4303" i="122" s="1"/>
  <c r="D4973" i="122" s="1"/>
  <c r="C960" i="122"/>
  <c r="C1630" i="122" s="1"/>
  <c r="C2300" i="122" s="1"/>
  <c r="C2970" i="122" s="1"/>
  <c r="C3640" i="122" s="1"/>
  <c r="C4310" i="122" s="1"/>
  <c r="C4980" i="122" s="1"/>
  <c r="C963" i="122" l="1"/>
  <c r="C1633" i="122" s="1"/>
  <c r="C2303" i="122" s="1"/>
  <c r="C2973" i="122" s="1"/>
  <c r="C3643" i="122" s="1"/>
  <c r="C4313" i="122" s="1"/>
  <c r="C4983" i="122" s="1"/>
  <c r="D963" i="122"/>
  <c r="D1633" i="122" s="1"/>
  <c r="D2303" i="122" s="1"/>
  <c r="D2973" i="122" s="1"/>
  <c r="D3643" i="122" s="1"/>
  <c r="D4313" i="122" s="1"/>
  <c r="D4983" i="122" s="1"/>
  <c r="C954" i="122"/>
  <c r="C1624" i="122" s="1"/>
  <c r="C2294" i="122" s="1"/>
  <c r="C2964" i="122" s="1"/>
  <c r="C3634" i="122" s="1"/>
  <c r="C4304" i="122" s="1"/>
  <c r="C4974" i="122" s="1"/>
  <c r="D954" i="122"/>
  <c r="D1624" i="122" s="1"/>
  <c r="D2294" i="122" s="1"/>
  <c r="D2964" i="122" s="1"/>
  <c r="D3634" i="122" s="1"/>
  <c r="D4304" i="122" s="1"/>
  <c r="D4974" i="122" s="1"/>
  <c r="C964" i="122" l="1"/>
  <c r="C1634" i="122" s="1"/>
  <c r="C2304" i="122" s="1"/>
  <c r="C2974" i="122" s="1"/>
  <c r="C3644" i="122" s="1"/>
  <c r="C4314" i="122" s="1"/>
  <c r="C4984" i="122" s="1"/>
  <c r="D965" i="122"/>
  <c r="D1635" i="122" s="1"/>
  <c r="D2305" i="122" s="1"/>
  <c r="D2975" i="122" s="1"/>
  <c r="D3645" i="122" s="1"/>
  <c r="D4315" i="122" s="1"/>
  <c r="D4985" i="122" s="1"/>
  <c r="D964" i="122"/>
  <c r="D1634" i="122" s="1"/>
  <c r="D2304" i="122" s="1"/>
  <c r="D2974" i="122" s="1"/>
  <c r="D3644" i="122" s="1"/>
  <c r="D4314" i="122" s="1"/>
  <c r="D4984" i="122" s="1"/>
  <c r="D966" i="122"/>
  <c r="D1636" i="122" s="1"/>
  <c r="D2306" i="122" s="1"/>
  <c r="D2976" i="122" s="1"/>
  <c r="D3646" i="122" s="1"/>
  <c r="D4316" i="122" s="1"/>
  <c r="D4986" i="122" s="1"/>
  <c r="D955" i="122"/>
  <c r="D1625" i="122" s="1"/>
  <c r="D2295" i="122" s="1"/>
  <c r="D2965" i="122" s="1"/>
  <c r="D3635" i="122" s="1"/>
  <c r="D4305" i="122" s="1"/>
  <c r="D4975" i="122" s="1"/>
  <c r="C955" i="122"/>
  <c r="C1625" i="122" s="1"/>
  <c r="C2295" i="122" s="1"/>
  <c r="C2965" i="122" s="1"/>
  <c r="C3635" i="122" s="1"/>
  <c r="C4305" i="122" s="1"/>
  <c r="C4975" i="122" s="1"/>
  <c r="C966" i="122" l="1"/>
  <c r="C1636" i="122" s="1"/>
  <c r="C2306" i="122" s="1"/>
  <c r="C2976" i="122" s="1"/>
  <c r="C3646" i="122" s="1"/>
  <c r="C4316" i="122" s="1"/>
  <c r="C4986" i="122" s="1"/>
  <c r="C965" i="122"/>
  <c r="C1635" i="122" s="1"/>
  <c r="C2305" i="122" s="1"/>
  <c r="C2975" i="122" s="1"/>
  <c r="C3645" i="122" s="1"/>
  <c r="C4315" i="122" s="1"/>
  <c r="C4985" i="122" s="1"/>
  <c r="C967" i="122"/>
  <c r="C1637" i="122" s="1"/>
  <c r="C2307" i="122" s="1"/>
  <c r="C2977" i="122" s="1"/>
  <c r="C3647" i="122" s="1"/>
  <c r="C4317" i="122" s="1"/>
  <c r="C4987" i="122" s="1"/>
  <c r="D956" i="122"/>
  <c r="D1626" i="122" s="1"/>
  <c r="D2296" i="122" s="1"/>
  <c r="D2966" i="122" s="1"/>
  <c r="D3636" i="122" s="1"/>
  <c r="D4306" i="122" s="1"/>
  <c r="D4976" i="122" s="1"/>
  <c r="C956" i="122"/>
  <c r="C1626" i="122" s="1"/>
  <c r="C2296" i="122" s="1"/>
  <c r="C2966" i="122" s="1"/>
  <c r="C3636" i="122" s="1"/>
  <c r="C4306" i="122" s="1"/>
  <c r="C4976" i="122" s="1"/>
  <c r="D967" i="122"/>
  <c r="D1637" i="122" s="1"/>
  <c r="D2307" i="122" s="1"/>
  <c r="D2977" i="122" s="1"/>
  <c r="D3647" i="122" s="1"/>
  <c r="D4317" i="122" s="1"/>
  <c r="D4987" i="122" s="1"/>
  <c r="D968" i="122" l="1"/>
  <c r="D1638" i="122" s="1"/>
  <c r="D2308" i="122" s="1"/>
  <c r="D2978" i="122" s="1"/>
  <c r="D3648" i="122" s="1"/>
  <c r="D4318" i="122" s="1"/>
  <c r="D4988" i="122" s="1"/>
  <c r="D957" i="122"/>
  <c r="D1627" i="122" s="1"/>
  <c r="D2297" i="122" s="1"/>
  <c r="D2967" i="122" s="1"/>
  <c r="D3637" i="122" s="1"/>
  <c r="D4307" i="122" s="1"/>
  <c r="D4977" i="122" s="1"/>
  <c r="C957" i="122"/>
  <c r="C1627" i="122" s="1"/>
  <c r="C2297" i="122" s="1"/>
  <c r="C2967" i="122" s="1"/>
  <c r="C3637" i="122" s="1"/>
  <c r="C4307" i="122" s="1"/>
  <c r="C4977" i="122" s="1"/>
  <c r="C968" i="122"/>
  <c r="C1638" i="122" s="1"/>
  <c r="C2308" i="122" s="1"/>
  <c r="C2978" i="122" s="1"/>
  <c r="C3648" i="122" s="1"/>
  <c r="C4318" i="122" s="1"/>
  <c r="C4988" i="122" s="1"/>
  <c r="C969" i="122" l="1"/>
  <c r="C1639" i="122" s="1"/>
  <c r="C2309" i="122" s="1"/>
  <c r="C2979" i="122" s="1"/>
  <c r="C3649" i="122" s="1"/>
  <c r="C4319" i="122" s="1"/>
  <c r="C4989" i="122" s="1"/>
  <c r="D969" i="122"/>
  <c r="D1639" i="122" s="1"/>
  <c r="D2309" i="122" s="1"/>
  <c r="D2979" i="122" s="1"/>
  <c r="D3649" i="122" s="1"/>
  <c r="D4319" i="122" s="1"/>
  <c r="D4989" i="122" s="1"/>
  <c r="D946" i="122" l="1"/>
  <c r="D1616" i="122" s="1"/>
  <c r="D2286" i="122" s="1"/>
  <c r="D2956" i="122" s="1"/>
  <c r="D3626" i="122" s="1"/>
  <c r="D4296" i="122" s="1"/>
  <c r="D4966" i="122" s="1"/>
  <c r="C946" i="122"/>
  <c r="C1616" i="122" s="1"/>
  <c r="C2286" i="122" s="1"/>
  <c r="C2956" i="122" s="1"/>
  <c r="C3626" i="122" s="1"/>
  <c r="C4296" i="122" s="1"/>
  <c r="C4966" i="122" s="1"/>
  <c r="E943" i="122"/>
  <c r="E1613" i="122" s="1"/>
  <c r="E2283" i="122" s="1"/>
  <c r="E2953" i="122" s="1"/>
  <c r="E3623" i="122" s="1"/>
  <c r="E4293" i="122" s="1"/>
  <c r="E4963" i="122" s="1"/>
  <c r="D943" i="122"/>
  <c r="D1613" i="122" s="1"/>
  <c r="D2283" i="122" s="1"/>
  <c r="D2953" i="122" s="1"/>
  <c r="D3623" i="122" s="1"/>
  <c r="D4293" i="122" s="1"/>
  <c r="D4963" i="122" s="1"/>
  <c r="C943" i="122"/>
  <c r="C1613" i="122" s="1"/>
  <c r="C2283" i="122" s="1"/>
  <c r="C2953" i="122" s="1"/>
  <c r="C3623" i="122" s="1"/>
  <c r="C4293" i="122" s="1"/>
  <c r="C4963" i="122" s="1"/>
  <c r="E945" i="122" l="1"/>
  <c r="E1615" i="122" s="1"/>
  <c r="E2285" i="122" s="1"/>
  <c r="E2955" i="122" s="1"/>
  <c r="E3625" i="122" s="1"/>
  <c r="E4295" i="122" s="1"/>
  <c r="E4965" i="122" s="1"/>
  <c r="C944" i="122"/>
  <c r="C1614" i="122" s="1"/>
  <c r="C2284" i="122" s="1"/>
  <c r="C2954" i="122" s="1"/>
  <c r="C3624" i="122" s="1"/>
  <c r="C4294" i="122" s="1"/>
  <c r="C4964" i="122" s="1"/>
  <c r="C947" i="122"/>
  <c r="C1617" i="122" s="1"/>
  <c r="C2287" i="122" s="1"/>
  <c r="C2957" i="122" s="1"/>
  <c r="C3627" i="122" s="1"/>
  <c r="C4297" i="122" s="1"/>
  <c r="C4967" i="122" s="1"/>
  <c r="D944" i="122"/>
  <c r="D1614" i="122" s="1"/>
  <c r="D2284" i="122" s="1"/>
  <c r="D2954" i="122" s="1"/>
  <c r="D3624" i="122" s="1"/>
  <c r="D4294" i="122" s="1"/>
  <c r="D4964" i="122" s="1"/>
  <c r="D947" i="122"/>
  <c r="D1617" i="122" s="1"/>
  <c r="D2287" i="122" s="1"/>
  <c r="D2957" i="122" s="1"/>
  <c r="D3627" i="122" s="1"/>
  <c r="D4297" i="122" s="1"/>
  <c r="D4967" i="122" s="1"/>
  <c r="E942" i="122" l="1"/>
  <c r="E1612" i="122" s="1"/>
  <c r="E2282" i="122" s="1"/>
  <c r="E2952" i="122" s="1"/>
  <c r="E3622" i="122" s="1"/>
  <c r="E4292" i="122" s="1"/>
  <c r="E4962" i="122" s="1"/>
  <c r="D933" i="122" l="1"/>
  <c r="D1603" i="122" s="1"/>
  <c r="D2273" i="122" s="1"/>
  <c r="D2943" i="122" s="1"/>
  <c r="D3613" i="122" s="1"/>
  <c r="D4283" i="122" s="1"/>
  <c r="D4953" i="122" s="1"/>
  <c r="D930" i="122"/>
  <c r="D1600" i="122" s="1"/>
  <c r="D2270" i="122" s="1"/>
  <c r="D2940" i="122" s="1"/>
  <c r="D3610" i="122" s="1"/>
  <c r="D4280" i="122" s="1"/>
  <c r="D4950" i="122" s="1"/>
  <c r="C933" i="122"/>
  <c r="C1603" i="122" s="1"/>
  <c r="C2273" i="122" s="1"/>
  <c r="C2943" i="122" s="1"/>
  <c r="C3613" i="122" s="1"/>
  <c r="C4283" i="122" s="1"/>
  <c r="C4953" i="122" s="1"/>
  <c r="C934" i="122" l="1"/>
  <c r="C1604" i="122" s="1"/>
  <c r="C2274" i="122" s="1"/>
  <c r="C2944" i="122" s="1"/>
  <c r="C3614" i="122" s="1"/>
  <c r="C4284" i="122" s="1"/>
  <c r="C4954" i="122" s="1"/>
  <c r="D931" i="122"/>
  <c r="D1601" i="122" s="1"/>
  <c r="D2271" i="122" s="1"/>
  <c r="D2941" i="122" s="1"/>
  <c r="D3611" i="122" s="1"/>
  <c r="D4281" i="122" s="1"/>
  <c r="D4951" i="122" s="1"/>
  <c r="D934" i="122"/>
  <c r="D1604" i="122" s="1"/>
  <c r="D2274" i="122" s="1"/>
  <c r="D2944" i="122" s="1"/>
  <c r="D3614" i="122" s="1"/>
  <c r="D4284" i="122" s="1"/>
  <c r="D4954" i="122" s="1"/>
  <c r="D935" i="122" l="1"/>
  <c r="D1605" i="122" s="1"/>
  <c r="D2275" i="122" s="1"/>
  <c r="D2945" i="122" s="1"/>
  <c r="D3615" i="122" s="1"/>
  <c r="D4285" i="122" s="1"/>
  <c r="D4955" i="122" s="1"/>
  <c r="C935" i="122"/>
  <c r="C1605" i="122" s="1"/>
  <c r="C2275" i="122" s="1"/>
  <c r="C2945" i="122" s="1"/>
  <c r="C3615" i="122" s="1"/>
  <c r="C4285" i="122" s="1"/>
  <c r="C4955" i="122" s="1"/>
  <c r="C936" i="122" l="1"/>
  <c r="C1606" i="122" s="1"/>
  <c r="C2276" i="122" s="1"/>
  <c r="C2946" i="122" s="1"/>
  <c r="C3616" i="122" s="1"/>
  <c r="C4286" i="122" s="1"/>
  <c r="C4956" i="122" s="1"/>
  <c r="D936" i="122"/>
  <c r="D1606" i="122" s="1"/>
  <c r="D2276" i="122" s="1"/>
  <c r="D2946" i="122" s="1"/>
  <c r="D3616" i="122" s="1"/>
  <c r="D4286" i="122" s="1"/>
  <c r="D4956" i="122" s="1"/>
  <c r="D937" i="122" l="1"/>
  <c r="D1607" i="122" s="1"/>
  <c r="D2277" i="122" s="1"/>
  <c r="D2947" i="122" s="1"/>
  <c r="D3617" i="122" s="1"/>
  <c r="D4287" i="122" s="1"/>
  <c r="D4957" i="122" s="1"/>
  <c r="C937" i="122"/>
  <c r="C1607" i="122" s="1"/>
  <c r="C2277" i="122" s="1"/>
  <c r="C2947" i="122" s="1"/>
  <c r="C3617" i="122" s="1"/>
  <c r="C4287" i="122" s="1"/>
  <c r="C4957" i="122" s="1"/>
  <c r="C938" i="122" l="1"/>
  <c r="C1608" i="122" s="1"/>
  <c r="C2278" i="122" s="1"/>
  <c r="C2948" i="122" s="1"/>
  <c r="C3618" i="122" s="1"/>
  <c r="C4288" i="122" s="1"/>
  <c r="C4958" i="122" s="1"/>
  <c r="D938" i="122"/>
  <c r="D1608" i="122" s="1"/>
  <c r="D2278" i="122" s="1"/>
  <c r="D2948" i="122" s="1"/>
  <c r="D3618" i="122" s="1"/>
  <c r="D4288" i="122" s="1"/>
  <c r="D4958" i="122" s="1"/>
  <c r="D939" i="122" l="1"/>
  <c r="D1609" i="122" s="1"/>
  <c r="D2279" i="122" s="1"/>
  <c r="D2949" i="122" s="1"/>
  <c r="D3619" i="122" s="1"/>
  <c r="D4289" i="122" s="1"/>
  <c r="D4959" i="122" s="1"/>
  <c r="C939" i="122"/>
  <c r="C1609" i="122" s="1"/>
  <c r="C2279" i="122" s="1"/>
  <c r="C2949" i="122" s="1"/>
  <c r="C3619" i="122" s="1"/>
  <c r="C4289" i="122" s="1"/>
  <c r="C4959" i="122" s="1"/>
  <c r="C940" i="122" l="1"/>
  <c r="C1610" i="122" s="1"/>
  <c r="C2280" i="122" s="1"/>
  <c r="C2950" i="122" s="1"/>
  <c r="C3620" i="122" s="1"/>
  <c r="C4290" i="122" s="1"/>
  <c r="C4960" i="122" s="1"/>
  <c r="D940" i="122"/>
  <c r="D1610" i="122" s="1"/>
  <c r="D2280" i="122" s="1"/>
  <c r="D2950" i="122" s="1"/>
  <c r="D3620" i="122" s="1"/>
  <c r="D4290" i="122" s="1"/>
  <c r="D4960" i="122" s="1"/>
  <c r="D941" i="122" l="1"/>
  <c r="D1611" i="122" s="1"/>
  <c r="D2281" i="122" s="1"/>
  <c r="D2951" i="122" s="1"/>
  <c r="D3621" i="122" s="1"/>
  <c r="D4291" i="122" s="1"/>
  <c r="D4961" i="122" s="1"/>
  <c r="C941" i="122"/>
  <c r="C1611" i="122" s="1"/>
  <c r="C2281" i="122" s="1"/>
  <c r="C2951" i="122" s="1"/>
  <c r="C3621" i="122" s="1"/>
  <c r="C4291" i="122" s="1"/>
  <c r="C4961" i="122" s="1"/>
  <c r="C930" i="122" l="1"/>
  <c r="C1600" i="122" s="1"/>
  <c r="C2270" i="122" s="1"/>
  <c r="C2940" i="122" s="1"/>
  <c r="C3610" i="122" s="1"/>
  <c r="C4280" i="122" s="1"/>
  <c r="C4950" i="122" s="1"/>
  <c r="C931" i="122" l="1"/>
  <c r="C1601" i="122" s="1"/>
  <c r="C2271" i="122" s="1"/>
  <c r="C2941" i="122" s="1"/>
  <c r="C3611" i="122" s="1"/>
  <c r="C4281" i="122" s="1"/>
  <c r="C4951" i="122" s="1"/>
  <c r="E717" i="122" l="1"/>
  <c r="E1387" i="122" s="1"/>
  <c r="E2057" i="122" s="1"/>
  <c r="E2727" i="122" s="1"/>
  <c r="E3397" i="122" s="1"/>
  <c r="E4067" i="122" s="1"/>
  <c r="E4737" i="122" s="1"/>
  <c r="D681" i="122" l="1"/>
  <c r="D1351" i="122" s="1"/>
  <c r="D2021" i="122" s="1"/>
  <c r="D2691" i="122" s="1"/>
  <c r="D3361" i="122" s="1"/>
  <c r="D4031" i="122" s="1"/>
  <c r="D4701" i="122" s="1"/>
  <c r="D699" i="122"/>
  <c r="D1369" i="122" s="1"/>
  <c r="D2039" i="122" s="1"/>
  <c r="D2709" i="122" s="1"/>
  <c r="D3379" i="122" s="1"/>
  <c r="D4049" i="122" s="1"/>
  <c r="D4719" i="122" s="1"/>
  <c r="D712" i="122"/>
  <c r="D1382" i="122" s="1"/>
  <c r="D2052" i="122" s="1"/>
  <c r="D2722" i="122" s="1"/>
  <c r="D3392" i="122" s="1"/>
  <c r="D4062" i="122" s="1"/>
  <c r="D4732" i="122" s="1"/>
  <c r="D718" i="122"/>
  <c r="D1388" i="122" s="1"/>
  <c r="D2058" i="122" s="1"/>
  <c r="D2728" i="122" s="1"/>
  <c r="D3398" i="122" s="1"/>
  <c r="D4068" i="122" s="1"/>
  <c r="D4738" i="122" s="1"/>
  <c r="D722" i="122"/>
  <c r="D1392" i="122" s="1"/>
  <c r="D2062" i="122" s="1"/>
  <c r="D2732" i="122" s="1"/>
  <c r="D3402" i="122" s="1"/>
  <c r="D4072" i="122" s="1"/>
  <c r="D4742" i="122" s="1"/>
  <c r="D724" i="122"/>
  <c r="D1394" i="122" s="1"/>
  <c r="D2064" i="122" s="1"/>
  <c r="D2734" i="122" s="1"/>
  <c r="D3404" i="122" s="1"/>
  <c r="D4074" i="122" s="1"/>
  <c r="D4744" i="122" s="1"/>
  <c r="D726" i="122"/>
  <c r="D1396" i="122" s="1"/>
  <c r="D2066" i="122" s="1"/>
  <c r="D2736" i="122" s="1"/>
  <c r="D3406" i="122" s="1"/>
  <c r="D4076" i="122" s="1"/>
  <c r="D4746" i="122" s="1"/>
  <c r="D730" i="122"/>
  <c r="D1400" i="122" s="1"/>
  <c r="D2070" i="122" s="1"/>
  <c r="D2740" i="122" s="1"/>
  <c r="D3410" i="122" s="1"/>
  <c r="D4080" i="122" s="1"/>
  <c r="D4750" i="122" s="1"/>
  <c r="D734" i="122"/>
  <c r="D1404" i="122" s="1"/>
  <c r="D2074" i="122" s="1"/>
  <c r="D2744" i="122" s="1"/>
  <c r="D3414" i="122" s="1"/>
  <c r="D4084" i="122" s="1"/>
  <c r="D4754" i="122" s="1"/>
  <c r="D737" i="122"/>
  <c r="D1407" i="122" s="1"/>
  <c r="D2077" i="122" s="1"/>
  <c r="D2747" i="122" s="1"/>
  <c r="D3417" i="122" s="1"/>
  <c r="D4087" i="122" s="1"/>
  <c r="D4757" i="122" s="1"/>
  <c r="D742" i="122"/>
  <c r="D1412" i="122" s="1"/>
  <c r="D2082" i="122" s="1"/>
  <c r="D2752" i="122" s="1"/>
  <c r="D3422" i="122" s="1"/>
  <c r="D4092" i="122" s="1"/>
  <c r="D4762" i="122" s="1"/>
  <c r="D753" i="122"/>
  <c r="D1423" i="122" s="1"/>
  <c r="D2093" i="122" s="1"/>
  <c r="D2763" i="122" s="1"/>
  <c r="D3433" i="122" s="1"/>
  <c r="D4103" i="122" s="1"/>
  <c r="D4773" i="122" s="1"/>
  <c r="D757" i="122"/>
  <c r="D1427" i="122" s="1"/>
  <c r="D2097" i="122" s="1"/>
  <c r="D2767" i="122" s="1"/>
  <c r="D3437" i="122" s="1"/>
  <c r="D4107" i="122" s="1"/>
  <c r="D4777" i="122" s="1"/>
  <c r="D765" i="122"/>
  <c r="D1435" i="122" s="1"/>
  <c r="D2105" i="122" s="1"/>
  <c r="D2775" i="122" s="1"/>
  <c r="D3445" i="122" s="1"/>
  <c r="D4115" i="122" s="1"/>
  <c r="D4785" i="122" s="1"/>
  <c r="D768" i="122"/>
  <c r="D1438" i="122" s="1"/>
  <c r="D2108" i="122" s="1"/>
  <c r="D2778" i="122" s="1"/>
  <c r="D3448" i="122" s="1"/>
  <c r="D4118" i="122" s="1"/>
  <c r="D4788" i="122" s="1"/>
  <c r="D776" i="122"/>
  <c r="D1446" i="122" s="1"/>
  <c r="D2116" i="122" s="1"/>
  <c r="D2786" i="122" s="1"/>
  <c r="D3456" i="122" s="1"/>
  <c r="D4126" i="122" s="1"/>
  <c r="D4796" i="122" s="1"/>
  <c r="D780" i="122"/>
  <c r="D1450" i="122" s="1"/>
  <c r="D2120" i="122" s="1"/>
  <c r="D2790" i="122" s="1"/>
  <c r="D3460" i="122" s="1"/>
  <c r="D4130" i="122" s="1"/>
  <c r="D4800" i="122" s="1"/>
  <c r="D785" i="122"/>
  <c r="D1455" i="122" s="1"/>
  <c r="D2125" i="122" s="1"/>
  <c r="D2795" i="122" s="1"/>
  <c r="D3465" i="122" s="1"/>
  <c r="D4135" i="122" s="1"/>
  <c r="D4805" i="122" s="1"/>
  <c r="D789" i="122"/>
  <c r="D1459" i="122" s="1"/>
  <c r="D2129" i="122" s="1"/>
  <c r="D2799" i="122" s="1"/>
  <c r="D3469" i="122" s="1"/>
  <c r="D4139" i="122" s="1"/>
  <c r="D4809" i="122" s="1"/>
  <c r="D795" i="122"/>
  <c r="D1465" i="122" s="1"/>
  <c r="D2135" i="122" s="1"/>
  <c r="D2805" i="122" s="1"/>
  <c r="D3475" i="122" s="1"/>
  <c r="D4145" i="122" s="1"/>
  <c r="D4815" i="122" s="1"/>
  <c r="D808" i="122"/>
  <c r="D1478" i="122" s="1"/>
  <c r="D2148" i="122" s="1"/>
  <c r="D2818" i="122" s="1"/>
  <c r="D3488" i="122" s="1"/>
  <c r="D4158" i="122" s="1"/>
  <c r="D4828" i="122" s="1"/>
  <c r="D813" i="122"/>
  <c r="D1483" i="122" s="1"/>
  <c r="D2153" i="122" s="1"/>
  <c r="D2823" i="122" s="1"/>
  <c r="D3493" i="122" s="1"/>
  <c r="D4163" i="122" s="1"/>
  <c r="D4833" i="122" s="1"/>
  <c r="D818" i="122"/>
  <c r="D1488" i="122" s="1"/>
  <c r="D2158" i="122" s="1"/>
  <c r="D2828" i="122" s="1"/>
  <c r="D3498" i="122" s="1"/>
  <c r="D4168" i="122" s="1"/>
  <c r="D4838" i="122" s="1"/>
  <c r="D820" i="122"/>
  <c r="D1490" i="122" s="1"/>
  <c r="D2160" i="122" s="1"/>
  <c r="D2830" i="122" s="1"/>
  <c r="D3500" i="122" s="1"/>
  <c r="D4170" i="122" s="1"/>
  <c r="D4840" i="122" s="1"/>
  <c r="D826" i="122"/>
  <c r="D1496" i="122" s="1"/>
  <c r="D2166" i="122" s="1"/>
  <c r="D2836" i="122" s="1"/>
  <c r="D3506" i="122" s="1"/>
  <c r="D4176" i="122" s="1"/>
  <c r="D4846" i="122" s="1"/>
  <c r="D831" i="122"/>
  <c r="D1501" i="122" s="1"/>
  <c r="D2171" i="122" s="1"/>
  <c r="D2841" i="122" s="1"/>
  <c r="D3511" i="122" s="1"/>
  <c r="D4181" i="122" s="1"/>
  <c r="D4851" i="122" s="1"/>
  <c r="D836" i="122"/>
  <c r="D1506" i="122" s="1"/>
  <c r="D2176" i="122" s="1"/>
  <c r="D2846" i="122" s="1"/>
  <c r="D3516" i="122" s="1"/>
  <c r="D4186" i="122" s="1"/>
  <c r="D4856" i="122" s="1"/>
  <c r="D842" i="122"/>
  <c r="D1512" i="122" s="1"/>
  <c r="D2182" i="122" s="1"/>
  <c r="D2852" i="122" s="1"/>
  <c r="D3522" i="122" s="1"/>
  <c r="D4192" i="122" s="1"/>
  <c r="D4862" i="122" s="1"/>
  <c r="D855" i="122"/>
  <c r="D1525" i="122" s="1"/>
  <c r="D2195" i="122" s="1"/>
  <c r="D2865" i="122" s="1"/>
  <c r="D3535" i="122" s="1"/>
  <c r="D4205" i="122" s="1"/>
  <c r="D4875" i="122" s="1"/>
  <c r="D859" i="122"/>
  <c r="D1529" i="122" s="1"/>
  <c r="D2199" i="122" s="1"/>
  <c r="D2869" i="122" s="1"/>
  <c r="D3539" i="122" s="1"/>
  <c r="D4209" i="122" s="1"/>
  <c r="D4879" i="122" s="1"/>
  <c r="D862" i="122"/>
  <c r="D1532" i="122" s="1"/>
  <c r="D2202" i="122" s="1"/>
  <c r="D2872" i="122" s="1"/>
  <c r="D3542" i="122" s="1"/>
  <c r="D4212" i="122" s="1"/>
  <c r="D4882" i="122" s="1"/>
  <c r="D868" i="122"/>
  <c r="D1538" i="122" s="1"/>
  <c r="D2208" i="122" s="1"/>
  <c r="D2878" i="122" s="1"/>
  <c r="D3548" i="122" s="1"/>
  <c r="D4218" i="122" s="1"/>
  <c r="D4888" i="122" s="1"/>
  <c r="D871" i="122"/>
  <c r="D1541" i="122" s="1"/>
  <c r="D2211" i="122" s="1"/>
  <c r="D2881" i="122" s="1"/>
  <c r="D3551" i="122" s="1"/>
  <c r="D4221" i="122" s="1"/>
  <c r="D4891" i="122" s="1"/>
  <c r="D877" i="122"/>
  <c r="D1547" i="122" s="1"/>
  <c r="D2217" i="122" s="1"/>
  <c r="D2887" i="122" s="1"/>
  <c r="D3557" i="122" s="1"/>
  <c r="D4227" i="122" s="1"/>
  <c r="D4897" i="122" s="1"/>
  <c r="D880" i="122"/>
  <c r="D1550" i="122" s="1"/>
  <c r="D2220" i="122" s="1"/>
  <c r="D2890" i="122" s="1"/>
  <c r="D3560" i="122" s="1"/>
  <c r="D4230" i="122" s="1"/>
  <c r="D4900" i="122" s="1"/>
  <c r="D882" i="122"/>
  <c r="D1552" i="122" s="1"/>
  <c r="D2222" i="122" s="1"/>
  <c r="D2892" i="122" s="1"/>
  <c r="D3562" i="122" s="1"/>
  <c r="D4232" i="122" s="1"/>
  <c r="D4902" i="122" s="1"/>
  <c r="D888" i="122"/>
  <c r="D1558" i="122" s="1"/>
  <c r="D2228" i="122" s="1"/>
  <c r="D2898" i="122" s="1"/>
  <c r="D3568" i="122" s="1"/>
  <c r="D4238" i="122" s="1"/>
  <c r="D4908" i="122" s="1"/>
  <c r="D890" i="122"/>
  <c r="D1560" i="122" s="1"/>
  <c r="D2230" i="122" s="1"/>
  <c r="D2900" i="122" s="1"/>
  <c r="D3570" i="122" s="1"/>
  <c r="D4240" i="122" s="1"/>
  <c r="D4910" i="122" s="1"/>
  <c r="D892" i="122"/>
  <c r="D1562" i="122" s="1"/>
  <c r="D2232" i="122" s="1"/>
  <c r="D2902" i="122" s="1"/>
  <c r="D3572" i="122" s="1"/>
  <c r="D4242" i="122" s="1"/>
  <c r="D4912" i="122" s="1"/>
  <c r="D896" i="122"/>
  <c r="D1566" i="122" s="1"/>
  <c r="D2236" i="122" s="1"/>
  <c r="D2906" i="122" s="1"/>
  <c r="D3576" i="122" s="1"/>
  <c r="D4246" i="122" s="1"/>
  <c r="D4916" i="122" s="1"/>
  <c r="D898" i="122"/>
  <c r="D1568" i="122" s="1"/>
  <c r="D2238" i="122" s="1"/>
  <c r="D2908" i="122" s="1"/>
  <c r="D3578" i="122" s="1"/>
  <c r="D4248" i="122" s="1"/>
  <c r="D4918" i="122" s="1"/>
  <c r="D902" i="122"/>
  <c r="D1572" i="122" s="1"/>
  <c r="D2242" i="122" s="1"/>
  <c r="D2912" i="122" s="1"/>
  <c r="D3582" i="122" s="1"/>
  <c r="D4252" i="122" s="1"/>
  <c r="D4922" i="122" s="1"/>
  <c r="D906" i="122"/>
  <c r="D1576" i="122" s="1"/>
  <c r="D2246" i="122" s="1"/>
  <c r="D2916" i="122" s="1"/>
  <c r="D3586" i="122" s="1"/>
  <c r="D4256" i="122" s="1"/>
  <c r="D4926" i="122" s="1"/>
  <c r="D910" i="122"/>
  <c r="D1580" i="122" s="1"/>
  <c r="D2250" i="122" s="1"/>
  <c r="D2920" i="122" s="1"/>
  <c r="D3590" i="122" s="1"/>
  <c r="D4260" i="122" s="1"/>
  <c r="D4930" i="122" s="1"/>
  <c r="D915" i="122"/>
  <c r="D1585" i="122" s="1"/>
  <c r="D2255" i="122" s="1"/>
  <c r="D2925" i="122" s="1"/>
  <c r="D3595" i="122" s="1"/>
  <c r="D4265" i="122" s="1"/>
  <c r="D4935" i="122" s="1"/>
  <c r="D918" i="122"/>
  <c r="D1588" i="122" s="1"/>
  <c r="D2258" i="122" s="1"/>
  <c r="D2928" i="122" s="1"/>
  <c r="D3598" i="122" s="1"/>
  <c r="D4268" i="122" s="1"/>
  <c r="D4938" i="122" s="1"/>
  <c r="D921" i="122"/>
  <c r="D1591" i="122" s="1"/>
  <c r="D2261" i="122" s="1"/>
  <c r="D2931" i="122" s="1"/>
  <c r="D3601" i="122" s="1"/>
  <c r="D4271" i="122" s="1"/>
  <c r="D4941" i="122" s="1"/>
  <c r="D865" i="122" l="1"/>
  <c r="D1535" i="122" s="1"/>
  <c r="D2205" i="122" s="1"/>
  <c r="D2875" i="122" s="1"/>
  <c r="D3545" i="122" s="1"/>
  <c r="D4215" i="122" s="1"/>
  <c r="D4885" i="122" s="1"/>
  <c r="D822" i="122"/>
  <c r="D1492" i="122" s="1"/>
  <c r="D2162" i="122" s="1"/>
  <c r="D2832" i="122" s="1"/>
  <c r="D3502" i="122" s="1"/>
  <c r="D4172" i="122" s="1"/>
  <c r="D4842" i="122" s="1"/>
  <c r="D885" i="122"/>
  <c r="D1555" i="122" s="1"/>
  <c r="D2225" i="122" s="1"/>
  <c r="D2895" i="122" s="1"/>
  <c r="D3565" i="122" s="1"/>
  <c r="D4235" i="122" s="1"/>
  <c r="D4905" i="122" s="1"/>
  <c r="D772" i="122"/>
  <c r="D1442" i="122" s="1"/>
  <c r="D2112" i="122" s="1"/>
  <c r="D2782" i="122" s="1"/>
  <c r="D3452" i="122" s="1"/>
  <c r="D4122" i="122" s="1"/>
  <c r="D4792" i="122" s="1"/>
  <c r="D802" i="122"/>
  <c r="D1472" i="122" s="1"/>
  <c r="D2142" i="122" s="1"/>
  <c r="D2812" i="122" s="1"/>
  <c r="D3482" i="122" s="1"/>
  <c r="D4152" i="122" s="1"/>
  <c r="D4822" i="122" s="1"/>
  <c r="D924" i="122"/>
  <c r="D1594" i="122" s="1"/>
  <c r="D2264" i="122" s="1"/>
  <c r="D2934" i="122" s="1"/>
  <c r="D3604" i="122" s="1"/>
  <c r="D4274" i="122" s="1"/>
  <c r="D4944" i="122" s="1"/>
  <c r="D886" i="122"/>
  <c r="D1556" i="122" s="1"/>
  <c r="D2226" i="122" s="1"/>
  <c r="D2896" i="122" s="1"/>
  <c r="D3566" i="122" s="1"/>
  <c r="D4236" i="122" s="1"/>
  <c r="D4906" i="122" s="1"/>
  <c r="D823" i="122"/>
  <c r="D1493" i="122" s="1"/>
  <c r="D2163" i="122" s="1"/>
  <c r="D2833" i="122" s="1"/>
  <c r="D3503" i="122" s="1"/>
  <c r="D4173" i="122" s="1"/>
  <c r="D4843" i="122" s="1"/>
  <c r="D803" i="122"/>
  <c r="D1473" i="122" s="1"/>
  <c r="D2143" i="122" s="1"/>
  <c r="D2813" i="122" s="1"/>
  <c r="D3483" i="122" s="1"/>
  <c r="D4153" i="122" s="1"/>
  <c r="D4823" i="122" s="1"/>
  <c r="D872" i="122"/>
  <c r="D1542" i="122" s="1"/>
  <c r="D2212" i="122" s="1"/>
  <c r="D2882" i="122" s="1"/>
  <c r="D3552" i="122" s="1"/>
  <c r="D4222" i="122" s="1"/>
  <c r="D4892" i="122" s="1"/>
  <c r="D827" i="122"/>
  <c r="D1497" i="122" s="1"/>
  <c r="D2167" i="122" s="1"/>
  <c r="D2837" i="122" s="1"/>
  <c r="D3507" i="122" s="1"/>
  <c r="D4177" i="122" s="1"/>
  <c r="D4847" i="122" s="1"/>
  <c r="D790" i="122"/>
  <c r="D1460" i="122" s="1"/>
  <c r="D2130" i="122" s="1"/>
  <c r="D2800" i="122" s="1"/>
  <c r="D3470" i="122" s="1"/>
  <c r="D4140" i="122" s="1"/>
  <c r="D4810" i="122" s="1"/>
  <c r="D786" i="122"/>
  <c r="D1456" i="122" s="1"/>
  <c r="D2126" i="122" s="1"/>
  <c r="D2796" i="122" s="1"/>
  <c r="D3466" i="122" s="1"/>
  <c r="D4136" i="122" s="1"/>
  <c r="D4806" i="122" s="1"/>
  <c r="D727" i="122"/>
  <c r="D1397" i="122" s="1"/>
  <c r="D2067" i="122" s="1"/>
  <c r="D2737" i="122" s="1"/>
  <c r="D3407" i="122" s="1"/>
  <c r="D4077" i="122" s="1"/>
  <c r="D4747" i="122" s="1"/>
  <c r="D809" i="122"/>
  <c r="D1479" i="122" s="1"/>
  <c r="D2149" i="122" s="1"/>
  <c r="D2819" i="122" s="1"/>
  <c r="D3489" i="122" s="1"/>
  <c r="D4159" i="122" s="1"/>
  <c r="D4829" i="122" s="1"/>
  <c r="D878" i="122"/>
  <c r="D1548" i="122" s="1"/>
  <c r="D2218" i="122" s="1"/>
  <c r="D2888" i="122" s="1"/>
  <c r="D3558" i="122" s="1"/>
  <c r="D4228" i="122" s="1"/>
  <c r="D4898" i="122" s="1"/>
  <c r="D731" i="122"/>
  <c r="D1401" i="122" s="1"/>
  <c r="D2071" i="122" s="1"/>
  <c r="D2741" i="122" s="1"/>
  <c r="D3411" i="122" s="1"/>
  <c r="D4081" i="122" s="1"/>
  <c r="D4751" i="122" s="1"/>
  <c r="D719" i="122"/>
  <c r="D1389" i="122" s="1"/>
  <c r="D2059" i="122" s="1"/>
  <c r="D2729" i="122" s="1"/>
  <c r="D3399" i="122" s="1"/>
  <c r="D4069" i="122" s="1"/>
  <c r="D4739" i="122" s="1"/>
  <c r="D893" i="122"/>
  <c r="D1563" i="122" s="1"/>
  <c r="D2233" i="122" s="1"/>
  <c r="D2903" i="122" s="1"/>
  <c r="D3573" i="122" s="1"/>
  <c r="D4243" i="122" s="1"/>
  <c r="D4913" i="122" s="1"/>
  <c r="D883" i="122"/>
  <c r="D1553" i="122" s="1"/>
  <c r="D2223" i="122" s="1"/>
  <c r="D2893" i="122" s="1"/>
  <c r="D3563" i="122" s="1"/>
  <c r="D4233" i="122" s="1"/>
  <c r="D4903" i="122" s="1"/>
  <c r="D869" i="122"/>
  <c r="D1539" i="122" s="1"/>
  <c r="D2209" i="122" s="1"/>
  <c r="D2879" i="122" s="1"/>
  <c r="D3549" i="122" s="1"/>
  <c r="D4219" i="122" s="1"/>
  <c r="D4889" i="122" s="1"/>
  <c r="D860" i="122"/>
  <c r="D1530" i="122" s="1"/>
  <c r="D2200" i="122" s="1"/>
  <c r="D2870" i="122" s="1"/>
  <c r="D3540" i="122" s="1"/>
  <c r="D4210" i="122" s="1"/>
  <c r="D4880" i="122" s="1"/>
  <c r="D843" i="122"/>
  <c r="D1513" i="122" s="1"/>
  <c r="D2183" i="122" s="1"/>
  <c r="D2853" i="122" s="1"/>
  <c r="D3523" i="122" s="1"/>
  <c r="D4193" i="122" s="1"/>
  <c r="D4863" i="122" s="1"/>
  <c r="D832" i="122"/>
  <c r="D1502" i="122" s="1"/>
  <c r="D2172" i="122" s="1"/>
  <c r="D2842" i="122" s="1"/>
  <c r="D3512" i="122" s="1"/>
  <c r="D4182" i="122" s="1"/>
  <c r="D4852" i="122" s="1"/>
  <c r="D738" i="122"/>
  <c r="D1408" i="122" s="1"/>
  <c r="D2078" i="122" s="1"/>
  <c r="D2748" i="122" s="1"/>
  <c r="D3418" i="122" s="1"/>
  <c r="D4088" i="122" s="1"/>
  <c r="D4758" i="122" s="1"/>
  <c r="D713" i="122"/>
  <c r="D1383" i="122" s="1"/>
  <c r="D2053" i="122" s="1"/>
  <c r="D2723" i="122" s="1"/>
  <c r="D3393" i="122" s="1"/>
  <c r="D4063" i="122" s="1"/>
  <c r="D4733" i="122" s="1"/>
  <c r="D758" i="122"/>
  <c r="D1428" i="122" s="1"/>
  <c r="D2098" i="122" s="1"/>
  <c r="D2768" i="122" s="1"/>
  <c r="D3438" i="122" s="1"/>
  <c r="D4108" i="122" s="1"/>
  <c r="D4778" i="122" s="1"/>
  <c r="D682" i="122"/>
  <c r="D1352" i="122" s="1"/>
  <c r="D2022" i="122" s="1"/>
  <c r="D2692" i="122" s="1"/>
  <c r="D3362" i="122" s="1"/>
  <c r="D4032" i="122" s="1"/>
  <c r="D4702" i="122" s="1"/>
  <c r="D925" i="122"/>
  <c r="D1595" i="122" s="1"/>
  <c r="D2265" i="122" s="1"/>
  <c r="D2935" i="122" s="1"/>
  <c r="D3605" i="122" s="1"/>
  <c r="D4275" i="122" s="1"/>
  <c r="D4945" i="122" s="1"/>
  <c r="D919" i="122"/>
  <c r="D1589" i="122" s="1"/>
  <c r="D2259" i="122" s="1"/>
  <c r="D2929" i="122" s="1"/>
  <c r="D3599" i="122" s="1"/>
  <c r="D4269" i="122" s="1"/>
  <c r="D4939" i="122" s="1"/>
  <c r="D916" i="122"/>
  <c r="D1586" i="122" s="1"/>
  <c r="D2256" i="122" s="1"/>
  <c r="D2926" i="122" s="1"/>
  <c r="D3596" i="122" s="1"/>
  <c r="D4266" i="122" s="1"/>
  <c r="D4936" i="122" s="1"/>
  <c r="D911" i="122"/>
  <c r="D1581" i="122" s="1"/>
  <c r="D2251" i="122" s="1"/>
  <c r="D2921" i="122" s="1"/>
  <c r="D3591" i="122" s="1"/>
  <c r="D4261" i="122" s="1"/>
  <c r="D4931" i="122" s="1"/>
  <c r="D907" i="122"/>
  <c r="D1577" i="122" s="1"/>
  <c r="D2247" i="122" s="1"/>
  <c r="D2917" i="122" s="1"/>
  <c r="D3587" i="122" s="1"/>
  <c r="D4257" i="122" s="1"/>
  <c r="D4927" i="122" s="1"/>
  <c r="D903" i="122"/>
  <c r="D1573" i="122" s="1"/>
  <c r="D2243" i="122" s="1"/>
  <c r="D2913" i="122" s="1"/>
  <c r="D3583" i="122" s="1"/>
  <c r="D4253" i="122" s="1"/>
  <c r="D4923" i="122" s="1"/>
  <c r="D899" i="122"/>
  <c r="D1569" i="122" s="1"/>
  <c r="D2239" i="122" s="1"/>
  <c r="D2909" i="122" s="1"/>
  <c r="D3579" i="122" s="1"/>
  <c r="D4249" i="122" s="1"/>
  <c r="D4919" i="122" s="1"/>
  <c r="D863" i="122"/>
  <c r="D1533" i="122" s="1"/>
  <c r="D2203" i="122" s="1"/>
  <c r="D2873" i="122" s="1"/>
  <c r="D3543" i="122" s="1"/>
  <c r="D4213" i="122" s="1"/>
  <c r="D4883" i="122" s="1"/>
  <c r="D856" i="122"/>
  <c r="D1526" i="122" s="1"/>
  <c r="D2196" i="122" s="1"/>
  <c r="D2866" i="122" s="1"/>
  <c r="D3536" i="122" s="1"/>
  <c r="D4206" i="122" s="1"/>
  <c r="D4876" i="122" s="1"/>
  <c r="D814" i="122"/>
  <c r="D1484" i="122" s="1"/>
  <c r="D2154" i="122" s="1"/>
  <c r="D2824" i="122" s="1"/>
  <c r="D3494" i="122" s="1"/>
  <c r="D4164" i="122" s="1"/>
  <c r="D4834" i="122" s="1"/>
  <c r="D781" i="122"/>
  <c r="D1451" i="122" s="1"/>
  <c r="D2121" i="122" s="1"/>
  <c r="D2791" i="122" s="1"/>
  <c r="D3461" i="122" s="1"/>
  <c r="D4131" i="122" s="1"/>
  <c r="D4801" i="122" s="1"/>
  <c r="D769" i="122"/>
  <c r="D1439" i="122" s="1"/>
  <c r="D2109" i="122" s="1"/>
  <c r="D2779" i="122" s="1"/>
  <c r="D3449" i="122" s="1"/>
  <c r="D4119" i="122" s="1"/>
  <c r="D4789" i="122" s="1"/>
  <c r="D766" i="122"/>
  <c r="D1436" i="122" s="1"/>
  <c r="D2106" i="122" s="1"/>
  <c r="D2776" i="122" s="1"/>
  <c r="D3446" i="122" s="1"/>
  <c r="D4116" i="122" s="1"/>
  <c r="D4786" i="122" s="1"/>
  <c r="D754" i="122"/>
  <c r="D1424" i="122" s="1"/>
  <c r="D2094" i="122" s="1"/>
  <c r="D2764" i="122" s="1"/>
  <c r="D3434" i="122" s="1"/>
  <c r="D4104" i="122" s="1"/>
  <c r="D4774" i="122" s="1"/>
  <c r="D743" i="122"/>
  <c r="D1413" i="122" s="1"/>
  <c r="D2083" i="122" s="1"/>
  <c r="D2753" i="122" s="1"/>
  <c r="D3423" i="122" s="1"/>
  <c r="D4093" i="122" s="1"/>
  <c r="D4763" i="122" s="1"/>
  <c r="D735" i="122"/>
  <c r="D1405" i="122" s="1"/>
  <c r="D2075" i="122" s="1"/>
  <c r="D2745" i="122" s="1"/>
  <c r="D3415" i="122" s="1"/>
  <c r="D4085" i="122" s="1"/>
  <c r="D4755" i="122" s="1"/>
  <c r="D700" i="122"/>
  <c r="D1370" i="122" s="1"/>
  <c r="D2040" i="122" s="1"/>
  <c r="D2710" i="122" s="1"/>
  <c r="D3380" i="122" s="1"/>
  <c r="D4050" i="122" s="1"/>
  <c r="D4720" i="122" s="1"/>
  <c r="D796" i="122" l="1"/>
  <c r="D1466" i="122" s="1"/>
  <c r="D2136" i="122" s="1"/>
  <c r="D2806" i="122" s="1"/>
  <c r="D3476" i="122" s="1"/>
  <c r="D4146" i="122" s="1"/>
  <c r="D4816" i="122" s="1"/>
  <c r="D777" i="122"/>
  <c r="D1447" i="122" s="1"/>
  <c r="D2117" i="122" s="1"/>
  <c r="D2787" i="122" s="1"/>
  <c r="D3457" i="122" s="1"/>
  <c r="D4127" i="122" s="1"/>
  <c r="D4797" i="122" s="1"/>
  <c r="D922" i="122"/>
  <c r="D1592" i="122" s="1"/>
  <c r="D2262" i="122" s="1"/>
  <c r="D2932" i="122" s="1"/>
  <c r="D3602" i="122" s="1"/>
  <c r="D4272" i="122" s="1"/>
  <c r="D4942" i="122" s="1"/>
  <c r="D866" i="122"/>
  <c r="D1536" i="122" s="1"/>
  <c r="D2206" i="122" s="1"/>
  <c r="D2876" i="122" s="1"/>
  <c r="D3546" i="122" s="1"/>
  <c r="D4216" i="122" s="1"/>
  <c r="D4886" i="122" s="1"/>
  <c r="D774" i="122"/>
  <c r="D1444" i="122" s="1"/>
  <c r="D2114" i="122" s="1"/>
  <c r="D2784" i="122" s="1"/>
  <c r="D3454" i="122" s="1"/>
  <c r="D4124" i="122" s="1"/>
  <c r="D4794" i="122" s="1"/>
  <c r="D773" i="122"/>
  <c r="D1443" i="122" s="1"/>
  <c r="D2113" i="122" s="1"/>
  <c r="D2783" i="122" s="1"/>
  <c r="D3453" i="122" s="1"/>
  <c r="D4123" i="122" s="1"/>
  <c r="D4793" i="122" s="1"/>
  <c r="D837" i="122"/>
  <c r="D1507" i="122" s="1"/>
  <c r="D2177" i="122" s="1"/>
  <c r="D2847" i="122" s="1"/>
  <c r="D3517" i="122" s="1"/>
  <c r="D4187" i="122" s="1"/>
  <c r="D4857" i="122" s="1"/>
  <c r="D805" i="122"/>
  <c r="D1475" i="122" s="1"/>
  <c r="D2145" i="122" s="1"/>
  <c r="D2815" i="122" s="1"/>
  <c r="D3485" i="122" s="1"/>
  <c r="D4155" i="122" s="1"/>
  <c r="D4825" i="122" s="1"/>
  <c r="D804" i="122"/>
  <c r="D1474" i="122" s="1"/>
  <c r="D2144" i="122" s="1"/>
  <c r="D2814" i="122" s="1"/>
  <c r="D3484" i="122" s="1"/>
  <c r="D4154" i="122" s="1"/>
  <c r="D4824" i="122" s="1"/>
  <c r="D824" i="122"/>
  <c r="D1494" i="122" s="1"/>
  <c r="D2164" i="122" s="1"/>
  <c r="D2834" i="122" s="1"/>
  <c r="D3504" i="122" s="1"/>
  <c r="D4174" i="122" s="1"/>
  <c r="D4844" i="122" s="1"/>
  <c r="D797" i="122"/>
  <c r="D1467" i="122" s="1"/>
  <c r="D2137" i="122" s="1"/>
  <c r="D2807" i="122" s="1"/>
  <c r="D3477" i="122" s="1"/>
  <c r="D4147" i="122" s="1"/>
  <c r="D4817" i="122" s="1"/>
  <c r="D778" i="122"/>
  <c r="D1448" i="122" s="1"/>
  <c r="D2118" i="122" s="1"/>
  <c r="D2788" i="122" s="1"/>
  <c r="D3458" i="122" s="1"/>
  <c r="D4128" i="122" s="1"/>
  <c r="D4798" i="122" s="1"/>
  <c r="D838" i="122"/>
  <c r="D1508" i="122" s="1"/>
  <c r="D2178" i="122" s="1"/>
  <c r="D2848" i="122" s="1"/>
  <c r="D3518" i="122" s="1"/>
  <c r="D4188" i="122" s="1"/>
  <c r="D4858" i="122" s="1"/>
  <c r="D806" i="122"/>
  <c r="D1476" i="122" s="1"/>
  <c r="D2146" i="122" s="1"/>
  <c r="D2816" i="122" s="1"/>
  <c r="D3486" i="122" s="1"/>
  <c r="D4156" i="122" s="1"/>
  <c r="D4826" i="122" s="1"/>
  <c r="D759" i="122"/>
  <c r="D1429" i="122" s="1"/>
  <c r="D2099" i="122" s="1"/>
  <c r="D2769" i="122" s="1"/>
  <c r="D3439" i="122" s="1"/>
  <c r="D4109" i="122" s="1"/>
  <c r="D4779" i="122" s="1"/>
  <c r="D787" i="122"/>
  <c r="D1457" i="122" s="1"/>
  <c r="D2127" i="122" s="1"/>
  <c r="D2797" i="122" s="1"/>
  <c r="D3467" i="122" s="1"/>
  <c r="D4137" i="122" s="1"/>
  <c r="D4807" i="122" s="1"/>
  <c r="D728" i="122"/>
  <c r="D1398" i="122" s="1"/>
  <c r="D2068" i="122" s="1"/>
  <c r="D2738" i="122" s="1"/>
  <c r="D3408" i="122" s="1"/>
  <c r="D4078" i="122" s="1"/>
  <c r="D4748" i="122" s="1"/>
  <c r="D810" i="122"/>
  <c r="D1480" i="122" s="1"/>
  <c r="D2150" i="122" s="1"/>
  <c r="D2820" i="122" s="1"/>
  <c r="D3490" i="122" s="1"/>
  <c r="D4160" i="122" s="1"/>
  <c r="D4830" i="122" s="1"/>
  <c r="D732" i="122"/>
  <c r="D1402" i="122" s="1"/>
  <c r="D2072" i="122" s="1"/>
  <c r="D2742" i="122" s="1"/>
  <c r="D3412" i="122" s="1"/>
  <c r="D4082" i="122" s="1"/>
  <c r="D4752" i="122" s="1"/>
  <c r="D739" i="122"/>
  <c r="D1409" i="122" s="1"/>
  <c r="D2079" i="122" s="1"/>
  <c r="D2749" i="122" s="1"/>
  <c r="D3419" i="122" s="1"/>
  <c r="D4089" i="122" s="1"/>
  <c r="D4759" i="122" s="1"/>
  <c r="D894" i="122"/>
  <c r="D1564" i="122" s="1"/>
  <c r="D2234" i="122" s="1"/>
  <c r="D2904" i="122" s="1"/>
  <c r="D3574" i="122" s="1"/>
  <c r="D4244" i="122" s="1"/>
  <c r="D4914" i="122" s="1"/>
  <c r="D844" i="122"/>
  <c r="D1514" i="122" s="1"/>
  <c r="D2184" i="122" s="1"/>
  <c r="D2854" i="122" s="1"/>
  <c r="D3524" i="122" s="1"/>
  <c r="D4194" i="122" s="1"/>
  <c r="D4864" i="122" s="1"/>
  <c r="D720" i="122"/>
  <c r="D1390" i="122" s="1"/>
  <c r="D2060" i="122" s="1"/>
  <c r="D2730" i="122" s="1"/>
  <c r="D3400" i="122" s="1"/>
  <c r="D4070" i="122" s="1"/>
  <c r="D4740" i="122" s="1"/>
  <c r="D714" i="122"/>
  <c r="D1384" i="122" s="1"/>
  <c r="D2054" i="122" s="1"/>
  <c r="D2724" i="122" s="1"/>
  <c r="D3394" i="122" s="1"/>
  <c r="D4064" i="122" s="1"/>
  <c r="D4734" i="122" s="1"/>
  <c r="D683" i="122"/>
  <c r="D1353" i="122" s="1"/>
  <c r="D2023" i="122" s="1"/>
  <c r="D2693" i="122" s="1"/>
  <c r="D3363" i="122" s="1"/>
  <c r="D4033" i="122" s="1"/>
  <c r="D4703" i="122" s="1"/>
  <c r="D912" i="122"/>
  <c r="D1582" i="122" s="1"/>
  <c r="D2252" i="122" s="1"/>
  <c r="D2922" i="122" s="1"/>
  <c r="D3592" i="122" s="1"/>
  <c r="D4262" i="122" s="1"/>
  <c r="D4932" i="122" s="1"/>
  <c r="D908" i="122"/>
  <c r="D1578" i="122" s="1"/>
  <c r="D2248" i="122" s="1"/>
  <c r="D2918" i="122" s="1"/>
  <c r="D3588" i="122" s="1"/>
  <c r="D4258" i="122" s="1"/>
  <c r="D4928" i="122" s="1"/>
  <c r="D904" i="122"/>
  <c r="D1574" i="122" s="1"/>
  <c r="D2244" i="122" s="1"/>
  <c r="D2914" i="122" s="1"/>
  <c r="D3584" i="122" s="1"/>
  <c r="D4254" i="122" s="1"/>
  <c r="D4924" i="122" s="1"/>
  <c r="D900" i="122"/>
  <c r="D1570" i="122" s="1"/>
  <c r="D2240" i="122" s="1"/>
  <c r="D2910" i="122" s="1"/>
  <c r="D3580" i="122" s="1"/>
  <c r="D4250" i="122" s="1"/>
  <c r="D4920" i="122" s="1"/>
  <c r="D857" i="122"/>
  <c r="D1527" i="122" s="1"/>
  <c r="D2197" i="122" s="1"/>
  <c r="D2867" i="122" s="1"/>
  <c r="D3537" i="122" s="1"/>
  <c r="D4207" i="122" s="1"/>
  <c r="D4877" i="122" s="1"/>
  <c r="D815" i="122"/>
  <c r="D1485" i="122" s="1"/>
  <c r="D2155" i="122" s="1"/>
  <c r="D2825" i="122" s="1"/>
  <c r="D3495" i="122" s="1"/>
  <c r="D4165" i="122" s="1"/>
  <c r="D4835" i="122" s="1"/>
  <c r="D782" i="122"/>
  <c r="D1452" i="122" s="1"/>
  <c r="D2122" i="122" s="1"/>
  <c r="D2792" i="122" s="1"/>
  <c r="D3462" i="122" s="1"/>
  <c r="D4132" i="122" s="1"/>
  <c r="D4802" i="122" s="1"/>
  <c r="D770" i="122"/>
  <c r="D1440" i="122" s="1"/>
  <c r="D2110" i="122" s="1"/>
  <c r="D2780" i="122" s="1"/>
  <c r="D3450" i="122" s="1"/>
  <c r="D4120" i="122" s="1"/>
  <c r="D4790" i="122" s="1"/>
  <c r="D755" i="122"/>
  <c r="D1425" i="122" s="1"/>
  <c r="D2095" i="122" s="1"/>
  <c r="D2765" i="122" s="1"/>
  <c r="D3435" i="122" s="1"/>
  <c r="D4105" i="122" s="1"/>
  <c r="D4775" i="122" s="1"/>
  <c r="D744" i="122"/>
  <c r="D1414" i="122" s="1"/>
  <c r="D2084" i="122" s="1"/>
  <c r="D2754" i="122" s="1"/>
  <c r="D3424" i="122" s="1"/>
  <c r="D4094" i="122" s="1"/>
  <c r="D4764" i="122" s="1"/>
  <c r="D701" i="122"/>
  <c r="D1371" i="122" s="1"/>
  <c r="D2041" i="122" s="1"/>
  <c r="D2711" i="122" s="1"/>
  <c r="D3381" i="122" s="1"/>
  <c r="D4051" i="122" s="1"/>
  <c r="D4721" i="122" s="1"/>
  <c r="E920" i="122"/>
  <c r="E1590" i="122" s="1"/>
  <c r="E2260" i="122" s="1"/>
  <c r="E2930" i="122" s="1"/>
  <c r="E3600" i="122" s="1"/>
  <c r="E4270" i="122" s="1"/>
  <c r="E4940" i="122" s="1"/>
  <c r="D926" i="122" l="1"/>
  <c r="D1596" i="122" s="1"/>
  <c r="D2266" i="122" s="1"/>
  <c r="D2936" i="122" s="1"/>
  <c r="D3606" i="122" s="1"/>
  <c r="D4276" i="122" s="1"/>
  <c r="D4946" i="122" s="1"/>
  <c r="E923" i="122"/>
  <c r="E1593" i="122" s="1"/>
  <c r="E2263" i="122" s="1"/>
  <c r="E2933" i="122" s="1"/>
  <c r="E3603" i="122" s="1"/>
  <c r="E4273" i="122" s="1"/>
  <c r="E4943" i="122" s="1"/>
  <c r="D791" i="122"/>
  <c r="D1461" i="122" s="1"/>
  <c r="D2131" i="122" s="1"/>
  <c r="D2801" i="122" s="1"/>
  <c r="D3471" i="122" s="1"/>
  <c r="D4141" i="122" s="1"/>
  <c r="D4811" i="122" s="1"/>
  <c r="D928" i="122"/>
  <c r="D1598" i="122" s="1"/>
  <c r="D2268" i="122" s="1"/>
  <c r="D2938" i="122" s="1"/>
  <c r="D3608" i="122" s="1"/>
  <c r="D4278" i="122" s="1"/>
  <c r="D4948" i="122" s="1"/>
  <c r="D833" i="122"/>
  <c r="D1503" i="122" s="1"/>
  <c r="D2173" i="122" s="1"/>
  <c r="D2843" i="122" s="1"/>
  <c r="D3513" i="122" s="1"/>
  <c r="D4183" i="122" s="1"/>
  <c r="D4853" i="122" s="1"/>
  <c r="D828" i="122"/>
  <c r="D1498" i="122" s="1"/>
  <c r="D2168" i="122" s="1"/>
  <c r="D2838" i="122" s="1"/>
  <c r="D3508" i="122" s="1"/>
  <c r="D4178" i="122" s="1"/>
  <c r="D4848" i="122" s="1"/>
  <c r="D927" i="122"/>
  <c r="D1597" i="122" s="1"/>
  <c r="D2267" i="122" s="1"/>
  <c r="D2937" i="122" s="1"/>
  <c r="D3607" i="122" s="1"/>
  <c r="D4277" i="122" s="1"/>
  <c r="D4947" i="122" s="1"/>
  <c r="D834" i="122"/>
  <c r="D1504" i="122" s="1"/>
  <c r="D2174" i="122" s="1"/>
  <c r="D2844" i="122" s="1"/>
  <c r="D3514" i="122" s="1"/>
  <c r="D4184" i="122" s="1"/>
  <c r="D4854" i="122" s="1"/>
  <c r="D792" i="122"/>
  <c r="D1462" i="122" s="1"/>
  <c r="D2132" i="122" s="1"/>
  <c r="D2802" i="122" s="1"/>
  <c r="D3472" i="122" s="1"/>
  <c r="D4142" i="122" s="1"/>
  <c r="D4812" i="122" s="1"/>
  <c r="D829" i="122"/>
  <c r="D1499" i="122" s="1"/>
  <c r="D2169" i="122" s="1"/>
  <c r="D2839" i="122" s="1"/>
  <c r="D3509" i="122" s="1"/>
  <c r="D4179" i="122" s="1"/>
  <c r="D4849" i="122" s="1"/>
  <c r="D715" i="122"/>
  <c r="D1385" i="122" s="1"/>
  <c r="D2055" i="122" s="1"/>
  <c r="D2725" i="122" s="1"/>
  <c r="D3395" i="122" s="1"/>
  <c r="D4065" i="122" s="1"/>
  <c r="D4735" i="122" s="1"/>
  <c r="D740" i="122"/>
  <c r="D1410" i="122" s="1"/>
  <c r="D2080" i="122" s="1"/>
  <c r="D2750" i="122" s="1"/>
  <c r="D3420" i="122" s="1"/>
  <c r="D4090" i="122" s="1"/>
  <c r="D4760" i="122" s="1"/>
  <c r="D811" i="122"/>
  <c r="D1481" i="122" s="1"/>
  <c r="D2151" i="122" s="1"/>
  <c r="D2821" i="122" s="1"/>
  <c r="D3491" i="122" s="1"/>
  <c r="D4161" i="122" s="1"/>
  <c r="D4831" i="122" s="1"/>
  <c r="E901" i="122"/>
  <c r="E1571" i="122" s="1"/>
  <c r="E2241" i="122" s="1"/>
  <c r="E2911" i="122" s="1"/>
  <c r="E3581" i="122" s="1"/>
  <c r="E4251" i="122" s="1"/>
  <c r="E4921" i="122" s="1"/>
  <c r="D845" i="122"/>
  <c r="D1515" i="122" s="1"/>
  <c r="D2185" i="122" s="1"/>
  <c r="D2855" i="122" s="1"/>
  <c r="D3525" i="122" s="1"/>
  <c r="D4195" i="122" s="1"/>
  <c r="D4865" i="122" s="1"/>
  <c r="D684" i="122"/>
  <c r="D1354" i="122" s="1"/>
  <c r="D2024" i="122" s="1"/>
  <c r="D2694" i="122" s="1"/>
  <c r="D3364" i="122" s="1"/>
  <c r="D4034" i="122" s="1"/>
  <c r="D4704" i="122" s="1"/>
  <c r="D913" i="122"/>
  <c r="D1583" i="122" s="1"/>
  <c r="D2253" i="122" s="1"/>
  <c r="D2923" i="122" s="1"/>
  <c r="D3593" i="122" s="1"/>
  <c r="D4263" i="122" s="1"/>
  <c r="D4933" i="122" s="1"/>
  <c r="D816" i="122"/>
  <c r="D1486" i="122" s="1"/>
  <c r="D2156" i="122" s="1"/>
  <c r="D2826" i="122" s="1"/>
  <c r="D3496" i="122" s="1"/>
  <c r="D4166" i="122" s="1"/>
  <c r="D4836" i="122" s="1"/>
  <c r="D783" i="122"/>
  <c r="D1453" i="122" s="1"/>
  <c r="D2123" i="122" s="1"/>
  <c r="D2793" i="122" s="1"/>
  <c r="D3463" i="122" s="1"/>
  <c r="D4133" i="122" s="1"/>
  <c r="D4803" i="122" s="1"/>
  <c r="D745" i="122"/>
  <c r="D1415" i="122" s="1"/>
  <c r="D2085" i="122" s="1"/>
  <c r="D2755" i="122" s="1"/>
  <c r="D3425" i="122" s="1"/>
  <c r="D4095" i="122" s="1"/>
  <c r="D4765" i="122" s="1"/>
  <c r="D702" i="122"/>
  <c r="D1372" i="122" s="1"/>
  <c r="D2042" i="122" s="1"/>
  <c r="D2712" i="122" s="1"/>
  <c r="D3382" i="122" s="1"/>
  <c r="D4052" i="122" s="1"/>
  <c r="D4722" i="122" s="1"/>
  <c r="E917" i="122"/>
  <c r="E1587" i="122" s="1"/>
  <c r="E2257" i="122" s="1"/>
  <c r="E2927" i="122" s="1"/>
  <c r="E3597" i="122" s="1"/>
  <c r="E4267" i="122" s="1"/>
  <c r="E4937" i="122" s="1"/>
  <c r="E914" i="122"/>
  <c r="E1584" i="122" s="1"/>
  <c r="E2254" i="122" s="1"/>
  <c r="E2924" i="122" s="1"/>
  <c r="E3594" i="122" s="1"/>
  <c r="E4264" i="122" s="1"/>
  <c r="E4934" i="122" s="1"/>
  <c r="E909" i="122"/>
  <c r="E1579" i="122" s="1"/>
  <c r="E2249" i="122" s="1"/>
  <c r="E2919" i="122" s="1"/>
  <c r="E3589" i="122" s="1"/>
  <c r="E4259" i="122" s="1"/>
  <c r="E4929" i="122" s="1"/>
  <c r="E905" i="122"/>
  <c r="E1575" i="122" s="1"/>
  <c r="E2245" i="122" s="1"/>
  <c r="E2915" i="122" s="1"/>
  <c r="E3585" i="122" s="1"/>
  <c r="E4255" i="122" s="1"/>
  <c r="E4925" i="122" s="1"/>
  <c r="E897" i="122"/>
  <c r="E1567" i="122" s="1"/>
  <c r="E2237" i="122" s="1"/>
  <c r="E2907" i="122" s="1"/>
  <c r="E3577" i="122" s="1"/>
  <c r="E4247" i="122" s="1"/>
  <c r="E4917" i="122" s="1"/>
  <c r="E895" i="122"/>
  <c r="E1565" i="122" s="1"/>
  <c r="E2235" i="122" s="1"/>
  <c r="E2905" i="122" s="1"/>
  <c r="E3575" i="122" s="1"/>
  <c r="E4245" i="122" s="1"/>
  <c r="E4915" i="122" s="1"/>
  <c r="E889" i="122"/>
  <c r="E1559" i="122" s="1"/>
  <c r="E2229" i="122" s="1"/>
  <c r="E2899" i="122" s="1"/>
  <c r="E3569" i="122" s="1"/>
  <c r="E4239" i="122" s="1"/>
  <c r="E4909" i="122" s="1"/>
  <c r="E887" i="122"/>
  <c r="E1557" i="122" s="1"/>
  <c r="E2227" i="122" s="1"/>
  <c r="E2897" i="122" s="1"/>
  <c r="E3567" i="122" s="1"/>
  <c r="E4237" i="122" s="1"/>
  <c r="E4907" i="122" s="1"/>
  <c r="E884" i="122"/>
  <c r="E1554" i="122" s="1"/>
  <c r="E2224" i="122" s="1"/>
  <c r="E2894" i="122" s="1"/>
  <c r="E3564" i="122" s="1"/>
  <c r="E4234" i="122" s="1"/>
  <c r="E4904" i="122" s="1"/>
  <c r="E881" i="122"/>
  <c r="E1551" i="122" s="1"/>
  <c r="E2221" i="122" s="1"/>
  <c r="E2891" i="122" s="1"/>
  <c r="E3561" i="122" s="1"/>
  <c r="E4231" i="122" s="1"/>
  <c r="E4901" i="122" s="1"/>
  <c r="E879" i="122"/>
  <c r="E1549" i="122" s="1"/>
  <c r="E2219" i="122" s="1"/>
  <c r="E2889" i="122" s="1"/>
  <c r="E3559" i="122" s="1"/>
  <c r="E4229" i="122" s="1"/>
  <c r="E4899" i="122" s="1"/>
  <c r="E876" i="122"/>
  <c r="E1546" i="122" s="1"/>
  <c r="E2216" i="122" s="1"/>
  <c r="E2886" i="122" s="1"/>
  <c r="E3556" i="122" s="1"/>
  <c r="E4226" i="122" s="1"/>
  <c r="E4896" i="122" s="1"/>
  <c r="E867" i="122"/>
  <c r="E1537" i="122" s="1"/>
  <c r="E2207" i="122" s="1"/>
  <c r="E2877" i="122" s="1"/>
  <c r="E3547" i="122" s="1"/>
  <c r="E4217" i="122" s="1"/>
  <c r="E4887" i="122" s="1"/>
  <c r="E864" i="122"/>
  <c r="E1534" i="122" s="1"/>
  <c r="E2204" i="122" s="1"/>
  <c r="E2874" i="122" s="1"/>
  <c r="E3544" i="122" s="1"/>
  <c r="E4214" i="122" s="1"/>
  <c r="E4884" i="122" s="1"/>
  <c r="E858" i="122"/>
  <c r="E1528" i="122" s="1"/>
  <c r="E2198" i="122" s="1"/>
  <c r="E2868" i="122" s="1"/>
  <c r="E3538" i="122" s="1"/>
  <c r="E4208" i="122" s="1"/>
  <c r="E4878" i="122" s="1"/>
  <c r="E854" i="122"/>
  <c r="E1524" i="122" s="1"/>
  <c r="E2194" i="122" s="1"/>
  <c r="E2864" i="122" s="1"/>
  <c r="E3534" i="122" s="1"/>
  <c r="E4204" i="122" s="1"/>
  <c r="E4874" i="122" s="1"/>
  <c r="E841" i="122"/>
  <c r="E1511" i="122" s="1"/>
  <c r="E2181" i="122" s="1"/>
  <c r="E2851" i="122" s="1"/>
  <c r="E3521" i="122" s="1"/>
  <c r="E4191" i="122" s="1"/>
  <c r="E4861" i="122" s="1"/>
  <c r="E830" i="122"/>
  <c r="E1500" i="122" s="1"/>
  <c r="E2170" i="122" s="1"/>
  <c r="E2840" i="122" s="1"/>
  <c r="E3510" i="122" s="1"/>
  <c r="E4180" i="122" s="1"/>
  <c r="E4850" i="122" s="1"/>
  <c r="E825" i="122"/>
  <c r="E1495" i="122" s="1"/>
  <c r="E2165" i="122" s="1"/>
  <c r="E2835" i="122" s="1"/>
  <c r="E3505" i="122" s="1"/>
  <c r="E4175" i="122" s="1"/>
  <c r="E4845" i="122" s="1"/>
  <c r="E821" i="122"/>
  <c r="E1491" i="122" s="1"/>
  <c r="E2161" i="122" s="1"/>
  <c r="E2831" i="122" s="1"/>
  <c r="E3501" i="122" s="1"/>
  <c r="E4171" i="122" s="1"/>
  <c r="E4841" i="122" s="1"/>
  <c r="E819" i="122"/>
  <c r="E1489" i="122" s="1"/>
  <c r="E2159" i="122" s="1"/>
  <c r="E2829" i="122" s="1"/>
  <c r="E3499" i="122" s="1"/>
  <c r="E4169" i="122" s="1"/>
  <c r="E4839" i="122" s="1"/>
  <c r="E817" i="122"/>
  <c r="E1487" i="122" s="1"/>
  <c r="E2157" i="122" s="1"/>
  <c r="E2827" i="122" s="1"/>
  <c r="E3497" i="122" s="1"/>
  <c r="E4167" i="122" s="1"/>
  <c r="E4837" i="122" s="1"/>
  <c r="E812" i="122"/>
  <c r="E1482" i="122" s="1"/>
  <c r="E2152" i="122" s="1"/>
  <c r="E2822" i="122" s="1"/>
  <c r="E3492" i="122" s="1"/>
  <c r="E4162" i="122" s="1"/>
  <c r="E4832" i="122" s="1"/>
  <c r="E807" i="122"/>
  <c r="E1477" i="122" s="1"/>
  <c r="E2147" i="122" s="1"/>
  <c r="E2817" i="122" s="1"/>
  <c r="E3487" i="122" s="1"/>
  <c r="E4157" i="122" s="1"/>
  <c r="E4827" i="122" s="1"/>
  <c r="E801" i="122"/>
  <c r="E1471" i="122" s="1"/>
  <c r="E2141" i="122" s="1"/>
  <c r="E2811" i="122" s="1"/>
  <c r="E3481" i="122" s="1"/>
  <c r="E4151" i="122" s="1"/>
  <c r="E4821" i="122" s="1"/>
  <c r="E794" i="122"/>
  <c r="E1464" i="122" s="1"/>
  <c r="E2134" i="122" s="1"/>
  <c r="E2804" i="122" s="1"/>
  <c r="E3474" i="122" s="1"/>
  <c r="E4144" i="122" s="1"/>
  <c r="E4814" i="122" s="1"/>
  <c r="E788" i="122"/>
  <c r="E1458" i="122" s="1"/>
  <c r="E2128" i="122" s="1"/>
  <c r="E2798" i="122" s="1"/>
  <c r="E3468" i="122" s="1"/>
  <c r="E4138" i="122" s="1"/>
  <c r="E4808" i="122" s="1"/>
  <c r="E779" i="122"/>
  <c r="E1449" i="122" s="1"/>
  <c r="E2119" i="122" s="1"/>
  <c r="E2789" i="122" s="1"/>
  <c r="E3459" i="122" s="1"/>
  <c r="E4129" i="122" s="1"/>
  <c r="E4799" i="122" s="1"/>
  <c r="E771" i="122"/>
  <c r="E1441" i="122" s="1"/>
  <c r="E2111" i="122" s="1"/>
  <c r="E2781" i="122" s="1"/>
  <c r="E3451" i="122" s="1"/>
  <c r="E4121" i="122" s="1"/>
  <c r="E4791" i="122" s="1"/>
  <c r="E767" i="122"/>
  <c r="E1437" i="122" s="1"/>
  <c r="E2107" i="122" s="1"/>
  <c r="E2777" i="122" s="1"/>
  <c r="E3447" i="122" s="1"/>
  <c r="E4117" i="122" s="1"/>
  <c r="E4787" i="122" s="1"/>
  <c r="E764" i="122"/>
  <c r="E1434" i="122" s="1"/>
  <c r="E2104" i="122" s="1"/>
  <c r="E2774" i="122" s="1"/>
  <c r="E3444" i="122" s="1"/>
  <c r="E4114" i="122" s="1"/>
  <c r="E4784" i="122" s="1"/>
  <c r="E756" i="122"/>
  <c r="E1426" i="122" s="1"/>
  <c r="E2096" i="122" s="1"/>
  <c r="E2766" i="122" s="1"/>
  <c r="E3436" i="122" s="1"/>
  <c r="E4106" i="122" s="1"/>
  <c r="E4776" i="122" s="1"/>
  <c r="E752" i="122"/>
  <c r="E1422" i="122" s="1"/>
  <c r="E2092" i="122" s="1"/>
  <c r="E2762" i="122" s="1"/>
  <c r="E3432" i="122" s="1"/>
  <c r="E4102" i="122" s="1"/>
  <c r="E4772" i="122" s="1"/>
  <c r="E741" i="122"/>
  <c r="E1411" i="122" s="1"/>
  <c r="E2081" i="122" s="1"/>
  <c r="E2751" i="122" s="1"/>
  <c r="E3421" i="122" s="1"/>
  <c r="E4091" i="122" s="1"/>
  <c r="E4761" i="122" s="1"/>
  <c r="E736" i="122"/>
  <c r="E1406" i="122" s="1"/>
  <c r="E2076" i="122" s="1"/>
  <c r="E2746" i="122" s="1"/>
  <c r="E3416" i="122" s="1"/>
  <c r="E4086" i="122" s="1"/>
  <c r="E4756" i="122" s="1"/>
  <c r="E733" i="122"/>
  <c r="E1403" i="122" s="1"/>
  <c r="E2073" i="122" s="1"/>
  <c r="E2743" i="122" s="1"/>
  <c r="E3413" i="122" s="1"/>
  <c r="E4083" i="122" s="1"/>
  <c r="E4753" i="122" s="1"/>
  <c r="E729" i="122"/>
  <c r="E1399" i="122" s="1"/>
  <c r="E2069" i="122" s="1"/>
  <c r="E2739" i="122" s="1"/>
  <c r="E3409" i="122" s="1"/>
  <c r="E4079" i="122" s="1"/>
  <c r="E4749" i="122" s="1"/>
  <c r="E728" i="122"/>
  <c r="E1398" i="122" s="1"/>
  <c r="E2068" i="122" s="1"/>
  <c r="E2738" i="122" s="1"/>
  <c r="E3408" i="122" s="1"/>
  <c r="E4078" i="122" s="1"/>
  <c r="E4748" i="122" s="1"/>
  <c r="E723" i="122"/>
  <c r="E1393" i="122" s="1"/>
  <c r="E2063" i="122" s="1"/>
  <c r="E2733" i="122" s="1"/>
  <c r="E3403" i="122" s="1"/>
  <c r="E4073" i="122" s="1"/>
  <c r="E4743" i="122" s="1"/>
  <c r="E721" i="122"/>
  <c r="E1391" i="122" s="1"/>
  <c r="E2061" i="122" s="1"/>
  <c r="E2731" i="122" s="1"/>
  <c r="E3401" i="122" s="1"/>
  <c r="E4071" i="122" s="1"/>
  <c r="E4741" i="122" s="1"/>
  <c r="E711" i="122"/>
  <c r="E1381" i="122" s="1"/>
  <c r="E2051" i="122" s="1"/>
  <c r="E2721" i="122" s="1"/>
  <c r="E3391" i="122" s="1"/>
  <c r="E4061" i="122" s="1"/>
  <c r="E4731" i="122" s="1"/>
  <c r="E698" i="122"/>
  <c r="E1368" i="122" s="1"/>
  <c r="E2038" i="122" s="1"/>
  <c r="E2708" i="122" s="1"/>
  <c r="E3378" i="122" s="1"/>
  <c r="E4048" i="122" s="1"/>
  <c r="E4718" i="122" s="1"/>
  <c r="E680" i="122"/>
  <c r="E1350" i="122" s="1"/>
  <c r="E2020" i="122" s="1"/>
  <c r="E2690" i="122" s="1"/>
  <c r="E3360" i="122" s="1"/>
  <c r="E4030" i="122" s="1"/>
  <c r="E4700" i="122" s="1"/>
  <c r="D760" i="122" l="1"/>
  <c r="D1430" i="122" s="1"/>
  <c r="D2100" i="122" s="1"/>
  <c r="D2770" i="122" s="1"/>
  <c r="D3440" i="122" s="1"/>
  <c r="D4110" i="122" s="1"/>
  <c r="D4780" i="122" s="1"/>
  <c r="D798" i="122"/>
  <c r="D1468" i="122" s="1"/>
  <c r="D2138" i="122" s="1"/>
  <c r="D2808" i="122" s="1"/>
  <c r="D3478" i="122" s="1"/>
  <c r="D4148" i="122" s="1"/>
  <c r="D4818" i="122" s="1"/>
  <c r="D840" i="122"/>
  <c r="D1510" i="122" s="1"/>
  <c r="D2180" i="122" s="1"/>
  <c r="D2850" i="122" s="1"/>
  <c r="D3520" i="122" s="1"/>
  <c r="D4190" i="122" s="1"/>
  <c r="D4860" i="122" s="1"/>
  <c r="D839" i="122"/>
  <c r="D1509" i="122" s="1"/>
  <c r="D2179" i="122" s="1"/>
  <c r="D2849" i="122" s="1"/>
  <c r="D3519" i="122" s="1"/>
  <c r="D4189" i="122" s="1"/>
  <c r="D4859" i="122" s="1"/>
  <c r="D761" i="122"/>
  <c r="D1431" i="122" s="1"/>
  <c r="D2101" i="122" s="1"/>
  <c r="D2771" i="122" s="1"/>
  <c r="D3441" i="122" s="1"/>
  <c r="D4111" i="122" s="1"/>
  <c r="D4781" i="122" s="1"/>
  <c r="E725" i="122"/>
  <c r="E1395" i="122" s="1"/>
  <c r="E2065" i="122" s="1"/>
  <c r="E2735" i="122" s="1"/>
  <c r="E3405" i="122" s="1"/>
  <c r="E4075" i="122" s="1"/>
  <c r="E4745" i="122" s="1"/>
  <c r="E784" i="122"/>
  <c r="E1454" i="122" s="1"/>
  <c r="E2124" i="122" s="1"/>
  <c r="E2794" i="122" s="1"/>
  <c r="E3464" i="122" s="1"/>
  <c r="E4134" i="122" s="1"/>
  <c r="E4804" i="122" s="1"/>
  <c r="E870" i="122"/>
  <c r="E1540" i="122" s="1"/>
  <c r="E2210" i="122" s="1"/>
  <c r="E2880" i="122" s="1"/>
  <c r="E3550" i="122" s="1"/>
  <c r="E4220" i="122" s="1"/>
  <c r="E4890" i="122" s="1"/>
  <c r="E861" i="122"/>
  <c r="E1531" i="122" s="1"/>
  <c r="E2201" i="122" s="1"/>
  <c r="E2871" i="122" s="1"/>
  <c r="E3541" i="122" s="1"/>
  <c r="E4211" i="122" s="1"/>
  <c r="E4881" i="122" s="1"/>
  <c r="D716" i="122"/>
  <c r="D1386" i="122" s="1"/>
  <c r="D2056" i="122" s="1"/>
  <c r="D2726" i="122" s="1"/>
  <c r="D3396" i="122" s="1"/>
  <c r="D4066" i="122" s="1"/>
  <c r="D4736" i="122" s="1"/>
  <c r="E835" i="122"/>
  <c r="E1505" i="122" s="1"/>
  <c r="E2175" i="122" s="1"/>
  <c r="E2845" i="122" s="1"/>
  <c r="E3515" i="122" s="1"/>
  <c r="E4185" i="122" s="1"/>
  <c r="E4855" i="122" s="1"/>
  <c r="D846" i="122"/>
  <c r="D1516" i="122" s="1"/>
  <c r="D2186" i="122" s="1"/>
  <c r="D2856" i="122" s="1"/>
  <c r="D3526" i="122" s="1"/>
  <c r="D4196" i="122" s="1"/>
  <c r="D4866" i="122" s="1"/>
  <c r="E891" i="122"/>
  <c r="E1561" i="122" s="1"/>
  <c r="E2231" i="122" s="1"/>
  <c r="E2901" i="122" s="1"/>
  <c r="E3571" i="122" s="1"/>
  <c r="E4241" i="122" s="1"/>
  <c r="E4911" i="122" s="1"/>
  <c r="D685" i="122"/>
  <c r="D1355" i="122" s="1"/>
  <c r="D2025" i="122" s="1"/>
  <c r="D2695" i="122" s="1"/>
  <c r="D3365" i="122" s="1"/>
  <c r="D4035" i="122" s="1"/>
  <c r="D4705" i="122" s="1"/>
  <c r="D746" i="122"/>
  <c r="D1416" i="122" s="1"/>
  <c r="D2086" i="122" s="1"/>
  <c r="D2756" i="122" s="1"/>
  <c r="D3426" i="122" s="1"/>
  <c r="D4096" i="122" s="1"/>
  <c r="D4766" i="122" s="1"/>
  <c r="D703" i="122"/>
  <c r="D1373" i="122" s="1"/>
  <c r="D2043" i="122" s="1"/>
  <c r="D2713" i="122" s="1"/>
  <c r="D3383" i="122" s="1"/>
  <c r="D4053" i="122" s="1"/>
  <c r="D4723" i="122" s="1"/>
  <c r="E775" i="122"/>
  <c r="E1445" i="122" s="1"/>
  <c r="E2115" i="122" s="1"/>
  <c r="E2785" i="122" s="1"/>
  <c r="E3455" i="122" s="1"/>
  <c r="E4125" i="122" s="1"/>
  <c r="E4795" i="122" s="1"/>
  <c r="D800" i="122" l="1"/>
  <c r="D1470" i="122" s="1"/>
  <c r="D2140" i="122" s="1"/>
  <c r="D2810" i="122" s="1"/>
  <c r="D3480" i="122" s="1"/>
  <c r="D4150" i="122" s="1"/>
  <c r="D4820" i="122" s="1"/>
  <c r="D799" i="122"/>
  <c r="D1469" i="122" s="1"/>
  <c r="D2139" i="122" s="1"/>
  <c r="D2809" i="122" s="1"/>
  <c r="D3479" i="122" s="1"/>
  <c r="D4149" i="122" s="1"/>
  <c r="D4819" i="122" s="1"/>
  <c r="D793" i="122"/>
  <c r="D1463" i="122" s="1"/>
  <c r="D2133" i="122" s="1"/>
  <c r="D2803" i="122" s="1"/>
  <c r="D3473" i="122" s="1"/>
  <c r="D4143" i="122" s="1"/>
  <c r="D4813" i="122" s="1"/>
  <c r="D847" i="122"/>
  <c r="D1517" i="122" s="1"/>
  <c r="D2187" i="122" s="1"/>
  <c r="D2857" i="122" s="1"/>
  <c r="D3527" i="122" s="1"/>
  <c r="D4197" i="122" s="1"/>
  <c r="D4867" i="122" s="1"/>
  <c r="D686" i="122"/>
  <c r="D1356" i="122" s="1"/>
  <c r="D2026" i="122" s="1"/>
  <c r="D2696" i="122" s="1"/>
  <c r="D3366" i="122" s="1"/>
  <c r="D4036" i="122" s="1"/>
  <c r="D4706" i="122" s="1"/>
  <c r="D747" i="122"/>
  <c r="D1417" i="122" s="1"/>
  <c r="D2087" i="122" s="1"/>
  <c r="D2757" i="122" s="1"/>
  <c r="D3427" i="122" s="1"/>
  <c r="D4097" i="122" s="1"/>
  <c r="D4767" i="122" s="1"/>
  <c r="D704" i="122"/>
  <c r="D1374" i="122" s="1"/>
  <c r="D2044" i="122" s="1"/>
  <c r="D2714" i="122" s="1"/>
  <c r="D3384" i="122" s="1"/>
  <c r="D4054" i="122" s="1"/>
  <c r="D4724" i="122" s="1"/>
  <c r="C921" i="122"/>
  <c r="C1591" i="122" s="1"/>
  <c r="C2261" i="122" s="1"/>
  <c r="C2931" i="122" s="1"/>
  <c r="C3601" i="122" s="1"/>
  <c r="C4271" i="122" s="1"/>
  <c r="C4941" i="122" s="1"/>
  <c r="C918" i="122"/>
  <c r="C1588" i="122" s="1"/>
  <c r="C2258" i="122" s="1"/>
  <c r="C2928" i="122" s="1"/>
  <c r="C3598" i="122" s="1"/>
  <c r="C4268" i="122" s="1"/>
  <c r="C4938" i="122" s="1"/>
  <c r="C915" i="122"/>
  <c r="C1585" i="122" s="1"/>
  <c r="C2255" i="122" s="1"/>
  <c r="C2925" i="122" s="1"/>
  <c r="C3595" i="122" s="1"/>
  <c r="C4265" i="122" s="1"/>
  <c r="C4935" i="122" s="1"/>
  <c r="C910" i="122"/>
  <c r="C1580" i="122" s="1"/>
  <c r="C2250" i="122" s="1"/>
  <c r="C2920" i="122" s="1"/>
  <c r="C3590" i="122" s="1"/>
  <c r="C4260" i="122" s="1"/>
  <c r="C4930" i="122" s="1"/>
  <c r="C906" i="122"/>
  <c r="C1576" i="122" s="1"/>
  <c r="C2246" i="122" s="1"/>
  <c r="C2916" i="122" s="1"/>
  <c r="C3586" i="122" s="1"/>
  <c r="C4256" i="122" s="1"/>
  <c r="C4926" i="122" s="1"/>
  <c r="C902" i="122"/>
  <c r="C1572" i="122" s="1"/>
  <c r="C2242" i="122" s="1"/>
  <c r="C2912" i="122" s="1"/>
  <c r="C3582" i="122" s="1"/>
  <c r="C4252" i="122" s="1"/>
  <c r="C4922" i="122" s="1"/>
  <c r="C898" i="122"/>
  <c r="C1568" i="122" s="1"/>
  <c r="C2238" i="122" s="1"/>
  <c r="C2908" i="122" s="1"/>
  <c r="C3578" i="122" s="1"/>
  <c r="C4248" i="122" s="1"/>
  <c r="C4918" i="122" s="1"/>
  <c r="C896" i="122"/>
  <c r="C1566" i="122" s="1"/>
  <c r="C2236" i="122" s="1"/>
  <c r="C2906" i="122" s="1"/>
  <c r="C3576" i="122" s="1"/>
  <c r="C4246" i="122" s="1"/>
  <c r="C4916" i="122" s="1"/>
  <c r="C892" i="122"/>
  <c r="C1562" i="122" s="1"/>
  <c r="C2232" i="122" s="1"/>
  <c r="C2902" i="122" s="1"/>
  <c r="C3572" i="122" s="1"/>
  <c r="C4242" i="122" s="1"/>
  <c r="C4912" i="122" s="1"/>
  <c r="C890" i="122"/>
  <c r="C1560" i="122" s="1"/>
  <c r="C2230" i="122" s="1"/>
  <c r="C2900" i="122" s="1"/>
  <c r="C3570" i="122" s="1"/>
  <c r="C4240" i="122" s="1"/>
  <c r="C4910" i="122" s="1"/>
  <c r="C888" i="122"/>
  <c r="C1558" i="122" s="1"/>
  <c r="C2228" i="122" s="1"/>
  <c r="C2898" i="122" s="1"/>
  <c r="C3568" i="122" s="1"/>
  <c r="C4238" i="122" s="1"/>
  <c r="C4908" i="122" s="1"/>
  <c r="C885" i="122"/>
  <c r="C1555" i="122" s="1"/>
  <c r="C2225" i="122" s="1"/>
  <c r="C2895" i="122" s="1"/>
  <c r="C3565" i="122" s="1"/>
  <c r="C4235" i="122" s="1"/>
  <c r="C4905" i="122" s="1"/>
  <c r="C882" i="122"/>
  <c r="C1552" i="122" s="1"/>
  <c r="C2222" i="122" s="1"/>
  <c r="C2892" i="122" s="1"/>
  <c r="C3562" i="122" s="1"/>
  <c r="C4232" i="122" s="1"/>
  <c r="C4902" i="122" s="1"/>
  <c r="C880" i="122"/>
  <c r="C1550" i="122" s="1"/>
  <c r="C2220" i="122" s="1"/>
  <c r="C2890" i="122" s="1"/>
  <c r="C3560" i="122" s="1"/>
  <c r="C4230" i="122" s="1"/>
  <c r="C4900" i="122" s="1"/>
  <c r="C877" i="122"/>
  <c r="C1547" i="122" s="1"/>
  <c r="C2217" i="122" s="1"/>
  <c r="C2887" i="122" s="1"/>
  <c r="C3557" i="122" s="1"/>
  <c r="C4227" i="122" s="1"/>
  <c r="C4897" i="122" s="1"/>
  <c r="C871" i="122"/>
  <c r="C1541" i="122" s="1"/>
  <c r="C2211" i="122" s="1"/>
  <c r="C2881" i="122" s="1"/>
  <c r="C3551" i="122" s="1"/>
  <c r="C4221" i="122" s="1"/>
  <c r="C4891" i="122" s="1"/>
  <c r="C868" i="122"/>
  <c r="C1538" i="122" s="1"/>
  <c r="C2208" i="122" s="1"/>
  <c r="C2878" i="122" s="1"/>
  <c r="C3548" i="122" s="1"/>
  <c r="C4218" i="122" s="1"/>
  <c r="C4888" i="122" s="1"/>
  <c r="C862" i="122"/>
  <c r="C1532" i="122" s="1"/>
  <c r="C2202" i="122" s="1"/>
  <c r="C2872" i="122" s="1"/>
  <c r="C3542" i="122" s="1"/>
  <c r="C4212" i="122" s="1"/>
  <c r="C4882" i="122" s="1"/>
  <c r="C859" i="122"/>
  <c r="C1529" i="122" s="1"/>
  <c r="C2199" i="122" s="1"/>
  <c r="C2869" i="122" s="1"/>
  <c r="C3539" i="122" s="1"/>
  <c r="C4209" i="122" s="1"/>
  <c r="C4879" i="122" s="1"/>
  <c r="C855" i="122"/>
  <c r="C1525" i="122" s="1"/>
  <c r="C2195" i="122" s="1"/>
  <c r="C2865" i="122" s="1"/>
  <c r="C3535" i="122" s="1"/>
  <c r="C4205" i="122" s="1"/>
  <c r="C4875" i="122" s="1"/>
  <c r="C842" i="122"/>
  <c r="C1512" i="122" s="1"/>
  <c r="C2182" i="122" s="1"/>
  <c r="C2852" i="122" s="1"/>
  <c r="C3522" i="122" s="1"/>
  <c r="C4192" i="122" s="1"/>
  <c r="C4862" i="122" s="1"/>
  <c r="C836" i="122"/>
  <c r="C1506" i="122" s="1"/>
  <c r="C2176" i="122" s="1"/>
  <c r="C2846" i="122" s="1"/>
  <c r="C3516" i="122" s="1"/>
  <c r="C4186" i="122" s="1"/>
  <c r="C4856" i="122" s="1"/>
  <c r="C831" i="122"/>
  <c r="C1501" i="122" s="1"/>
  <c r="C2171" i="122" s="1"/>
  <c r="C2841" i="122" s="1"/>
  <c r="C3511" i="122" s="1"/>
  <c r="C4181" i="122" s="1"/>
  <c r="C4851" i="122" s="1"/>
  <c r="C826" i="122"/>
  <c r="C1496" i="122" s="1"/>
  <c r="C2166" i="122" s="1"/>
  <c r="C2836" i="122" s="1"/>
  <c r="C3506" i="122" s="1"/>
  <c r="C4176" i="122" s="1"/>
  <c r="C4846" i="122" s="1"/>
  <c r="C822" i="122"/>
  <c r="C1492" i="122" s="1"/>
  <c r="C2162" i="122" s="1"/>
  <c r="C2832" i="122" s="1"/>
  <c r="C3502" i="122" s="1"/>
  <c r="C4172" i="122" s="1"/>
  <c r="C4842" i="122" s="1"/>
  <c r="C820" i="122"/>
  <c r="C1490" i="122" s="1"/>
  <c r="C2160" i="122" s="1"/>
  <c r="C2830" i="122" s="1"/>
  <c r="C3500" i="122" s="1"/>
  <c r="C4170" i="122" s="1"/>
  <c r="C4840" i="122" s="1"/>
  <c r="C818" i="122"/>
  <c r="C1488" i="122" s="1"/>
  <c r="C2158" i="122" s="1"/>
  <c r="C2828" i="122" s="1"/>
  <c r="C3498" i="122" s="1"/>
  <c r="C4168" i="122" s="1"/>
  <c r="C4838" i="122" s="1"/>
  <c r="C813" i="122"/>
  <c r="C1483" i="122" s="1"/>
  <c r="C2153" i="122" s="1"/>
  <c r="C2823" i="122" s="1"/>
  <c r="C3493" i="122" s="1"/>
  <c r="C4163" i="122" s="1"/>
  <c r="C4833" i="122" s="1"/>
  <c r="C808" i="122"/>
  <c r="C1478" i="122" s="1"/>
  <c r="C2148" i="122" s="1"/>
  <c r="C2818" i="122" s="1"/>
  <c r="C3488" i="122" s="1"/>
  <c r="C4158" i="122" s="1"/>
  <c r="C4828" i="122" s="1"/>
  <c r="C802" i="122"/>
  <c r="C1472" i="122" s="1"/>
  <c r="C2142" i="122" s="1"/>
  <c r="C2812" i="122" s="1"/>
  <c r="C3482" i="122" s="1"/>
  <c r="C4152" i="122" s="1"/>
  <c r="C4822" i="122" s="1"/>
  <c r="C795" i="122"/>
  <c r="C1465" i="122" s="1"/>
  <c r="C2135" i="122" s="1"/>
  <c r="C2805" i="122" s="1"/>
  <c r="C3475" i="122" s="1"/>
  <c r="C4145" i="122" s="1"/>
  <c r="C4815" i="122" s="1"/>
  <c r="C789" i="122"/>
  <c r="C1459" i="122" s="1"/>
  <c r="C2129" i="122" s="1"/>
  <c r="C2799" i="122" s="1"/>
  <c r="C3469" i="122" s="1"/>
  <c r="C4139" i="122" s="1"/>
  <c r="C4809" i="122" s="1"/>
  <c r="C785" i="122"/>
  <c r="C1455" i="122" s="1"/>
  <c r="C2125" i="122" s="1"/>
  <c r="C2795" i="122" s="1"/>
  <c r="C3465" i="122" s="1"/>
  <c r="C4135" i="122" s="1"/>
  <c r="C4805" i="122" s="1"/>
  <c r="C780" i="122"/>
  <c r="C1450" i="122" s="1"/>
  <c r="C2120" i="122" s="1"/>
  <c r="C2790" i="122" s="1"/>
  <c r="C3460" i="122" s="1"/>
  <c r="C4130" i="122" s="1"/>
  <c r="C4800" i="122" s="1"/>
  <c r="C776" i="122"/>
  <c r="C1446" i="122" s="1"/>
  <c r="C2116" i="122" s="1"/>
  <c r="C2786" i="122" s="1"/>
  <c r="C3456" i="122" s="1"/>
  <c r="C4126" i="122" s="1"/>
  <c r="C4796" i="122" s="1"/>
  <c r="C772" i="122"/>
  <c r="C1442" i="122" s="1"/>
  <c r="C2112" i="122" s="1"/>
  <c r="C2782" i="122" s="1"/>
  <c r="C3452" i="122" s="1"/>
  <c r="C4122" i="122" s="1"/>
  <c r="C4792" i="122" s="1"/>
  <c r="C768" i="122"/>
  <c r="C1438" i="122" s="1"/>
  <c r="C2108" i="122" s="1"/>
  <c r="C2778" i="122" s="1"/>
  <c r="C3448" i="122" s="1"/>
  <c r="C4118" i="122" s="1"/>
  <c r="C4788" i="122" s="1"/>
  <c r="C765" i="122"/>
  <c r="C1435" i="122" s="1"/>
  <c r="C2105" i="122" s="1"/>
  <c r="C2775" i="122" s="1"/>
  <c r="C3445" i="122" s="1"/>
  <c r="C4115" i="122" s="1"/>
  <c r="C4785" i="122" s="1"/>
  <c r="C757" i="122"/>
  <c r="C1427" i="122" s="1"/>
  <c r="C2097" i="122" s="1"/>
  <c r="C2767" i="122" s="1"/>
  <c r="C3437" i="122" s="1"/>
  <c r="C4107" i="122" s="1"/>
  <c r="C4777" i="122" s="1"/>
  <c r="C753" i="122"/>
  <c r="C1423" i="122" s="1"/>
  <c r="C2093" i="122" s="1"/>
  <c r="C2763" i="122" s="1"/>
  <c r="C3433" i="122" s="1"/>
  <c r="C4103" i="122" s="1"/>
  <c r="C4773" i="122" s="1"/>
  <c r="C742" i="122"/>
  <c r="C1412" i="122" s="1"/>
  <c r="C2082" i="122" s="1"/>
  <c r="C2752" i="122" s="1"/>
  <c r="C3422" i="122" s="1"/>
  <c r="C4092" i="122" s="1"/>
  <c r="C4762" i="122" s="1"/>
  <c r="C737" i="122"/>
  <c r="C1407" i="122" s="1"/>
  <c r="C2077" i="122" s="1"/>
  <c r="C2747" i="122" s="1"/>
  <c r="C3417" i="122" s="1"/>
  <c r="C4087" i="122" s="1"/>
  <c r="C4757" i="122" s="1"/>
  <c r="C734" i="122"/>
  <c r="C1404" i="122" s="1"/>
  <c r="C2074" i="122" s="1"/>
  <c r="C2744" i="122" s="1"/>
  <c r="C3414" i="122" s="1"/>
  <c r="C4084" i="122" s="1"/>
  <c r="C4754" i="122" s="1"/>
  <c r="C730" i="122"/>
  <c r="C1400" i="122" s="1"/>
  <c r="C2070" i="122" s="1"/>
  <c r="C2740" i="122" s="1"/>
  <c r="C3410" i="122" s="1"/>
  <c r="C4080" i="122" s="1"/>
  <c r="C4750" i="122" s="1"/>
  <c r="C726" i="122"/>
  <c r="C1396" i="122" s="1"/>
  <c r="C2066" i="122" s="1"/>
  <c r="C2736" i="122" s="1"/>
  <c r="C3406" i="122" s="1"/>
  <c r="C4076" i="122" s="1"/>
  <c r="C4746" i="122" s="1"/>
  <c r="C724" i="122"/>
  <c r="C1394" i="122" s="1"/>
  <c r="C2064" i="122" s="1"/>
  <c r="C2734" i="122" s="1"/>
  <c r="C3404" i="122" s="1"/>
  <c r="C4074" i="122" s="1"/>
  <c r="C4744" i="122" s="1"/>
  <c r="C722" i="122"/>
  <c r="C1392" i="122" s="1"/>
  <c r="C2062" i="122" s="1"/>
  <c r="C2732" i="122" s="1"/>
  <c r="C3402" i="122" s="1"/>
  <c r="C4072" i="122" s="1"/>
  <c r="C4742" i="122" s="1"/>
  <c r="C718" i="122"/>
  <c r="C1388" i="122" s="1"/>
  <c r="C2058" i="122" s="1"/>
  <c r="C2728" i="122" s="1"/>
  <c r="C3398" i="122" s="1"/>
  <c r="C4068" i="122" s="1"/>
  <c r="C4738" i="122" s="1"/>
  <c r="C712" i="122"/>
  <c r="C1382" i="122" s="1"/>
  <c r="C2052" i="122" s="1"/>
  <c r="C2722" i="122" s="1"/>
  <c r="C3392" i="122" s="1"/>
  <c r="C4062" i="122" s="1"/>
  <c r="C4732" i="122" s="1"/>
  <c r="C699" i="122"/>
  <c r="C1369" i="122" s="1"/>
  <c r="C2039" i="122" s="1"/>
  <c r="C2709" i="122" s="1"/>
  <c r="C3379" i="122" s="1"/>
  <c r="C4049" i="122" s="1"/>
  <c r="C4719" i="122" s="1"/>
  <c r="C681" i="122"/>
  <c r="C1351" i="122" s="1"/>
  <c r="C2021" i="122" s="1"/>
  <c r="C2691" i="122" s="1"/>
  <c r="C3361" i="122" s="1"/>
  <c r="C4031" i="122" s="1"/>
  <c r="C4701" i="122" s="1"/>
  <c r="C924" i="122" l="1"/>
  <c r="C1594" i="122" s="1"/>
  <c r="C2264" i="122" s="1"/>
  <c r="C2934" i="122" s="1"/>
  <c r="C3604" i="122" s="1"/>
  <c r="C4274" i="122" s="1"/>
  <c r="C4944" i="122" s="1"/>
  <c r="D762" i="122"/>
  <c r="D1432" i="122" s="1"/>
  <c r="D2102" i="122" s="1"/>
  <c r="D2772" i="122" s="1"/>
  <c r="D3442" i="122" s="1"/>
  <c r="D4112" i="122" s="1"/>
  <c r="D4782" i="122" s="1"/>
  <c r="C865" i="122"/>
  <c r="C1535" i="122" s="1"/>
  <c r="C2205" i="122" s="1"/>
  <c r="C2875" i="122" s="1"/>
  <c r="C3545" i="122" s="1"/>
  <c r="C4215" i="122" s="1"/>
  <c r="C4885" i="122" s="1"/>
  <c r="C682" i="122"/>
  <c r="C1352" i="122" s="1"/>
  <c r="C2022" i="122" s="1"/>
  <c r="C2692" i="122" s="1"/>
  <c r="C3362" i="122" s="1"/>
  <c r="C4032" i="122" s="1"/>
  <c r="C4702" i="122" s="1"/>
  <c r="C925" i="122"/>
  <c r="C1595" i="122" s="1"/>
  <c r="C2265" i="122" s="1"/>
  <c r="C2935" i="122" s="1"/>
  <c r="C3605" i="122" s="1"/>
  <c r="C4275" i="122" s="1"/>
  <c r="C4945" i="122" s="1"/>
  <c r="C919" i="122"/>
  <c r="C1589" i="122" s="1"/>
  <c r="C2259" i="122" s="1"/>
  <c r="C2929" i="122" s="1"/>
  <c r="C3599" i="122" s="1"/>
  <c r="C4269" i="122" s="1"/>
  <c r="C4939" i="122" s="1"/>
  <c r="C916" i="122"/>
  <c r="C1586" i="122" s="1"/>
  <c r="C2256" i="122" s="1"/>
  <c r="C2926" i="122" s="1"/>
  <c r="C3596" i="122" s="1"/>
  <c r="C4266" i="122" s="1"/>
  <c r="C4936" i="122" s="1"/>
  <c r="C911" i="122"/>
  <c r="C1581" i="122" s="1"/>
  <c r="C2251" i="122" s="1"/>
  <c r="C2921" i="122" s="1"/>
  <c r="C3591" i="122" s="1"/>
  <c r="C4261" i="122" s="1"/>
  <c r="C4931" i="122" s="1"/>
  <c r="C907" i="122"/>
  <c r="C1577" i="122" s="1"/>
  <c r="C2247" i="122" s="1"/>
  <c r="C2917" i="122" s="1"/>
  <c r="C3587" i="122" s="1"/>
  <c r="C4257" i="122" s="1"/>
  <c r="C4927" i="122" s="1"/>
  <c r="C903" i="122"/>
  <c r="C1573" i="122" s="1"/>
  <c r="C2243" i="122" s="1"/>
  <c r="C2913" i="122" s="1"/>
  <c r="C3583" i="122" s="1"/>
  <c r="C4253" i="122" s="1"/>
  <c r="C4923" i="122" s="1"/>
  <c r="C899" i="122"/>
  <c r="C1569" i="122" s="1"/>
  <c r="C2239" i="122" s="1"/>
  <c r="C2909" i="122" s="1"/>
  <c r="C3579" i="122" s="1"/>
  <c r="C4249" i="122" s="1"/>
  <c r="C4919" i="122" s="1"/>
  <c r="C893" i="122"/>
  <c r="C1563" i="122" s="1"/>
  <c r="C2233" i="122" s="1"/>
  <c r="C2903" i="122" s="1"/>
  <c r="C3573" i="122" s="1"/>
  <c r="C4243" i="122" s="1"/>
  <c r="C4913" i="122" s="1"/>
  <c r="C886" i="122"/>
  <c r="C1556" i="122" s="1"/>
  <c r="C2226" i="122" s="1"/>
  <c r="C2896" i="122" s="1"/>
  <c r="C3566" i="122" s="1"/>
  <c r="C4236" i="122" s="1"/>
  <c r="C4906" i="122" s="1"/>
  <c r="C883" i="122"/>
  <c r="C1553" i="122" s="1"/>
  <c r="C2223" i="122" s="1"/>
  <c r="C2893" i="122" s="1"/>
  <c r="C3563" i="122" s="1"/>
  <c r="C4233" i="122" s="1"/>
  <c r="C4903" i="122" s="1"/>
  <c r="C878" i="122"/>
  <c r="C1548" i="122" s="1"/>
  <c r="C2218" i="122" s="1"/>
  <c r="C2888" i="122" s="1"/>
  <c r="C3558" i="122" s="1"/>
  <c r="C4228" i="122" s="1"/>
  <c r="C4898" i="122" s="1"/>
  <c r="C872" i="122"/>
  <c r="C1542" i="122" s="1"/>
  <c r="C2212" i="122" s="1"/>
  <c r="C2882" i="122" s="1"/>
  <c r="C3552" i="122" s="1"/>
  <c r="C4222" i="122" s="1"/>
  <c r="C4892" i="122" s="1"/>
  <c r="C869" i="122"/>
  <c r="C1539" i="122" s="1"/>
  <c r="C2209" i="122" s="1"/>
  <c r="C2879" i="122" s="1"/>
  <c r="C3549" i="122" s="1"/>
  <c r="C4219" i="122" s="1"/>
  <c r="C4889" i="122" s="1"/>
  <c r="C863" i="122"/>
  <c r="C1533" i="122" s="1"/>
  <c r="C2203" i="122" s="1"/>
  <c r="C2873" i="122" s="1"/>
  <c r="C3543" i="122" s="1"/>
  <c r="C4213" i="122" s="1"/>
  <c r="C4883" i="122" s="1"/>
  <c r="C860" i="122"/>
  <c r="C1530" i="122" s="1"/>
  <c r="C2200" i="122" s="1"/>
  <c r="C2870" i="122" s="1"/>
  <c r="C3540" i="122" s="1"/>
  <c r="C4210" i="122" s="1"/>
  <c r="C4880" i="122" s="1"/>
  <c r="C856" i="122"/>
  <c r="C1526" i="122" s="1"/>
  <c r="C2196" i="122" s="1"/>
  <c r="C2866" i="122" s="1"/>
  <c r="C3536" i="122" s="1"/>
  <c r="C4206" i="122" s="1"/>
  <c r="C4876" i="122" s="1"/>
  <c r="C843" i="122"/>
  <c r="C1513" i="122" s="1"/>
  <c r="C2183" i="122" s="1"/>
  <c r="C2853" i="122" s="1"/>
  <c r="C3523" i="122" s="1"/>
  <c r="C4193" i="122" s="1"/>
  <c r="C4863" i="122" s="1"/>
  <c r="C837" i="122"/>
  <c r="C1507" i="122" s="1"/>
  <c r="C2177" i="122" s="1"/>
  <c r="C2847" i="122" s="1"/>
  <c r="C3517" i="122" s="1"/>
  <c r="C4187" i="122" s="1"/>
  <c r="C4857" i="122" s="1"/>
  <c r="C832" i="122"/>
  <c r="C1502" i="122" s="1"/>
  <c r="C2172" i="122" s="1"/>
  <c r="C2842" i="122" s="1"/>
  <c r="C3512" i="122" s="1"/>
  <c r="C4182" i="122" s="1"/>
  <c r="C4852" i="122" s="1"/>
  <c r="C827" i="122"/>
  <c r="C1497" i="122" s="1"/>
  <c r="C2167" i="122" s="1"/>
  <c r="C2837" i="122" s="1"/>
  <c r="C3507" i="122" s="1"/>
  <c r="C4177" i="122" s="1"/>
  <c r="C4847" i="122" s="1"/>
  <c r="C823" i="122"/>
  <c r="C1493" i="122" s="1"/>
  <c r="C2163" i="122" s="1"/>
  <c r="C2833" i="122" s="1"/>
  <c r="C3503" i="122" s="1"/>
  <c r="C4173" i="122" s="1"/>
  <c r="C4843" i="122" s="1"/>
  <c r="C814" i="122"/>
  <c r="C1484" i="122" s="1"/>
  <c r="C2154" i="122" s="1"/>
  <c r="C2824" i="122" s="1"/>
  <c r="C3494" i="122" s="1"/>
  <c r="C4164" i="122" s="1"/>
  <c r="C4834" i="122" s="1"/>
  <c r="C809" i="122"/>
  <c r="C1479" i="122" s="1"/>
  <c r="C2149" i="122" s="1"/>
  <c r="C2819" i="122" s="1"/>
  <c r="C3489" i="122" s="1"/>
  <c r="C4159" i="122" s="1"/>
  <c r="C4829" i="122" s="1"/>
  <c r="C804" i="122"/>
  <c r="C1474" i="122" s="1"/>
  <c r="C2144" i="122" s="1"/>
  <c r="C2814" i="122" s="1"/>
  <c r="C3484" i="122" s="1"/>
  <c r="C4154" i="122" s="1"/>
  <c r="C4824" i="122" s="1"/>
  <c r="C803" i="122"/>
  <c r="C1473" i="122" s="1"/>
  <c r="C2143" i="122" s="1"/>
  <c r="C2813" i="122" s="1"/>
  <c r="C3483" i="122" s="1"/>
  <c r="C4153" i="122" s="1"/>
  <c r="C4823" i="122" s="1"/>
  <c r="C796" i="122"/>
  <c r="C1466" i="122" s="1"/>
  <c r="C2136" i="122" s="1"/>
  <c r="C2806" i="122" s="1"/>
  <c r="C3476" i="122" s="1"/>
  <c r="C4146" i="122" s="1"/>
  <c r="C4816" i="122" s="1"/>
  <c r="C790" i="122"/>
  <c r="C1460" i="122" s="1"/>
  <c r="C2130" i="122" s="1"/>
  <c r="C2800" i="122" s="1"/>
  <c r="C3470" i="122" s="1"/>
  <c r="C4140" i="122" s="1"/>
  <c r="C4810" i="122" s="1"/>
  <c r="C786" i="122"/>
  <c r="C1456" i="122" s="1"/>
  <c r="C2126" i="122" s="1"/>
  <c r="C2796" i="122" s="1"/>
  <c r="C3466" i="122" s="1"/>
  <c r="C4136" i="122" s="1"/>
  <c r="C4806" i="122" s="1"/>
  <c r="C781" i="122"/>
  <c r="C1451" i="122" s="1"/>
  <c r="C2121" i="122" s="1"/>
  <c r="C2791" i="122" s="1"/>
  <c r="C3461" i="122" s="1"/>
  <c r="C4131" i="122" s="1"/>
  <c r="C4801" i="122" s="1"/>
  <c r="C777" i="122"/>
  <c r="C1447" i="122" s="1"/>
  <c r="C2117" i="122" s="1"/>
  <c r="C2787" i="122" s="1"/>
  <c r="C3457" i="122" s="1"/>
  <c r="C4127" i="122" s="1"/>
  <c r="C4797" i="122" s="1"/>
  <c r="C773" i="122"/>
  <c r="C1443" i="122" s="1"/>
  <c r="C2113" i="122" s="1"/>
  <c r="C2783" i="122" s="1"/>
  <c r="C3453" i="122" s="1"/>
  <c r="C4123" i="122" s="1"/>
  <c r="C4793" i="122" s="1"/>
  <c r="C769" i="122"/>
  <c r="C1439" i="122" s="1"/>
  <c r="C2109" i="122" s="1"/>
  <c r="C2779" i="122" s="1"/>
  <c r="C3449" i="122" s="1"/>
  <c r="C4119" i="122" s="1"/>
  <c r="C4789" i="122" s="1"/>
  <c r="C766" i="122"/>
  <c r="C1436" i="122" s="1"/>
  <c r="C2106" i="122" s="1"/>
  <c r="C2776" i="122" s="1"/>
  <c r="C3446" i="122" s="1"/>
  <c r="C4116" i="122" s="1"/>
  <c r="C4786" i="122" s="1"/>
  <c r="C758" i="122"/>
  <c r="C1428" i="122" s="1"/>
  <c r="C2098" i="122" s="1"/>
  <c r="C2768" i="122" s="1"/>
  <c r="C3438" i="122" s="1"/>
  <c r="C4108" i="122" s="1"/>
  <c r="C4778" i="122" s="1"/>
  <c r="C754" i="122"/>
  <c r="C1424" i="122" s="1"/>
  <c r="C2094" i="122" s="1"/>
  <c r="C2764" i="122" s="1"/>
  <c r="C3434" i="122" s="1"/>
  <c r="C4104" i="122" s="1"/>
  <c r="C4774" i="122" s="1"/>
  <c r="C743" i="122"/>
  <c r="C1413" i="122" s="1"/>
  <c r="C2083" i="122" s="1"/>
  <c r="C2753" i="122" s="1"/>
  <c r="C3423" i="122" s="1"/>
  <c r="C4093" i="122" s="1"/>
  <c r="C4763" i="122" s="1"/>
  <c r="C738" i="122"/>
  <c r="C1408" i="122" s="1"/>
  <c r="C2078" i="122" s="1"/>
  <c r="C2748" i="122" s="1"/>
  <c r="C3418" i="122" s="1"/>
  <c r="C4088" i="122" s="1"/>
  <c r="C4758" i="122" s="1"/>
  <c r="C735" i="122"/>
  <c r="C1405" i="122" s="1"/>
  <c r="C2075" i="122" s="1"/>
  <c r="C2745" i="122" s="1"/>
  <c r="C3415" i="122" s="1"/>
  <c r="C4085" i="122" s="1"/>
  <c r="C4755" i="122" s="1"/>
  <c r="C731" i="122"/>
  <c r="C1401" i="122" s="1"/>
  <c r="C2071" i="122" s="1"/>
  <c r="C2741" i="122" s="1"/>
  <c r="C3411" i="122" s="1"/>
  <c r="C4081" i="122" s="1"/>
  <c r="C4751" i="122" s="1"/>
  <c r="C727" i="122"/>
  <c r="C1397" i="122" s="1"/>
  <c r="C2067" i="122" s="1"/>
  <c r="C2737" i="122" s="1"/>
  <c r="C3407" i="122" s="1"/>
  <c r="C4077" i="122" s="1"/>
  <c r="C4747" i="122" s="1"/>
  <c r="C719" i="122"/>
  <c r="C1389" i="122" s="1"/>
  <c r="C2059" i="122" s="1"/>
  <c r="C2729" i="122" s="1"/>
  <c r="C3399" i="122" s="1"/>
  <c r="C4069" i="122" s="1"/>
  <c r="C4739" i="122" s="1"/>
  <c r="C713" i="122"/>
  <c r="C1383" i="122" s="1"/>
  <c r="C2053" i="122" s="1"/>
  <c r="C2723" i="122" s="1"/>
  <c r="C3393" i="122" s="1"/>
  <c r="C4063" i="122" s="1"/>
  <c r="C4733" i="122" s="1"/>
  <c r="C700" i="122"/>
  <c r="C1370" i="122" s="1"/>
  <c r="C2040" i="122" s="1"/>
  <c r="C2710" i="122" s="1"/>
  <c r="C3380" i="122" s="1"/>
  <c r="C4050" i="122" s="1"/>
  <c r="C4720" i="122" s="1"/>
  <c r="D848" i="122"/>
  <c r="D1518" i="122" s="1"/>
  <c r="D2188" i="122" s="1"/>
  <c r="D2858" i="122" s="1"/>
  <c r="D3528" i="122" s="1"/>
  <c r="D4198" i="122" s="1"/>
  <c r="D4868" i="122" s="1"/>
  <c r="D687" i="122"/>
  <c r="D1357" i="122" s="1"/>
  <c r="D2027" i="122" s="1"/>
  <c r="D2697" i="122" s="1"/>
  <c r="D3367" i="122" s="1"/>
  <c r="D4037" i="122" s="1"/>
  <c r="D4707" i="122" s="1"/>
  <c r="D748" i="122"/>
  <c r="D1418" i="122" s="1"/>
  <c r="D2088" i="122" s="1"/>
  <c r="D2758" i="122" s="1"/>
  <c r="D3428" i="122" s="1"/>
  <c r="D4098" i="122" s="1"/>
  <c r="D4768" i="122" s="1"/>
  <c r="D705" i="122"/>
  <c r="D1375" i="122" s="1"/>
  <c r="D2045" i="122" s="1"/>
  <c r="D2715" i="122" s="1"/>
  <c r="D3385" i="122" s="1"/>
  <c r="D4055" i="122" s="1"/>
  <c r="D4725" i="122" s="1"/>
  <c r="D763" i="122" l="1"/>
  <c r="D1433" i="122" s="1"/>
  <c r="D2103" i="122" s="1"/>
  <c r="D2773" i="122" s="1"/>
  <c r="D3443" i="122" s="1"/>
  <c r="D4113" i="122" s="1"/>
  <c r="D4783" i="122" s="1"/>
  <c r="C922" i="122"/>
  <c r="C1592" i="122" s="1"/>
  <c r="C2262" i="122" s="1"/>
  <c r="C2932" i="122" s="1"/>
  <c r="C3602" i="122" s="1"/>
  <c r="C4272" i="122" s="1"/>
  <c r="C4942" i="122" s="1"/>
  <c r="C866" i="122"/>
  <c r="C1536" i="122" s="1"/>
  <c r="C2206" i="122" s="1"/>
  <c r="C2876" i="122" s="1"/>
  <c r="C3546" i="122" s="1"/>
  <c r="C4216" i="122" s="1"/>
  <c r="C4886" i="122" s="1"/>
  <c r="C683" i="122"/>
  <c r="C1353" i="122" s="1"/>
  <c r="C2023" i="122" s="1"/>
  <c r="C2693" i="122" s="1"/>
  <c r="C3363" i="122" s="1"/>
  <c r="C4033" i="122" s="1"/>
  <c r="C4703" i="122" s="1"/>
  <c r="C912" i="122"/>
  <c r="C1582" i="122" s="1"/>
  <c r="C2252" i="122" s="1"/>
  <c r="C2922" i="122" s="1"/>
  <c r="C3592" i="122" s="1"/>
  <c r="C4262" i="122" s="1"/>
  <c r="C4932" i="122" s="1"/>
  <c r="C908" i="122"/>
  <c r="C1578" i="122" s="1"/>
  <c r="C2248" i="122" s="1"/>
  <c r="C2918" i="122" s="1"/>
  <c r="C3588" i="122" s="1"/>
  <c r="C4258" i="122" s="1"/>
  <c r="C4928" i="122" s="1"/>
  <c r="C904" i="122"/>
  <c r="C1574" i="122" s="1"/>
  <c r="C2244" i="122" s="1"/>
  <c r="C2914" i="122" s="1"/>
  <c r="C3584" i="122" s="1"/>
  <c r="C4254" i="122" s="1"/>
  <c r="C4924" i="122" s="1"/>
  <c r="C900" i="122"/>
  <c r="C1570" i="122" s="1"/>
  <c r="C2240" i="122" s="1"/>
  <c r="C2910" i="122" s="1"/>
  <c r="C3580" i="122" s="1"/>
  <c r="C4250" i="122" s="1"/>
  <c r="C4920" i="122" s="1"/>
  <c r="C894" i="122"/>
  <c r="C1564" i="122" s="1"/>
  <c r="C2234" i="122" s="1"/>
  <c r="C2904" i="122" s="1"/>
  <c r="C3574" i="122" s="1"/>
  <c r="C4244" i="122" s="1"/>
  <c r="C4914" i="122" s="1"/>
  <c r="C857" i="122"/>
  <c r="C1527" i="122" s="1"/>
  <c r="C2197" i="122" s="1"/>
  <c r="C2867" i="122" s="1"/>
  <c r="C3537" i="122" s="1"/>
  <c r="C4207" i="122" s="1"/>
  <c r="C4877" i="122" s="1"/>
  <c r="C844" i="122"/>
  <c r="C1514" i="122" s="1"/>
  <c r="C2184" i="122" s="1"/>
  <c r="C2854" i="122" s="1"/>
  <c r="C3524" i="122" s="1"/>
  <c r="C4194" i="122" s="1"/>
  <c r="C4864" i="122" s="1"/>
  <c r="C838" i="122"/>
  <c r="C1508" i="122" s="1"/>
  <c r="C2178" i="122" s="1"/>
  <c r="C2848" i="122" s="1"/>
  <c r="C3518" i="122" s="1"/>
  <c r="C4188" i="122" s="1"/>
  <c r="C4858" i="122" s="1"/>
  <c r="C833" i="122"/>
  <c r="C1503" i="122" s="1"/>
  <c r="C2173" i="122" s="1"/>
  <c r="C2843" i="122" s="1"/>
  <c r="C3513" i="122" s="1"/>
  <c r="C4183" i="122" s="1"/>
  <c r="C4853" i="122" s="1"/>
  <c r="C828" i="122"/>
  <c r="C1498" i="122" s="1"/>
  <c r="C2168" i="122" s="1"/>
  <c r="C2838" i="122" s="1"/>
  <c r="C3508" i="122" s="1"/>
  <c r="C4178" i="122" s="1"/>
  <c r="C4848" i="122" s="1"/>
  <c r="C824" i="122"/>
  <c r="C1494" i="122" s="1"/>
  <c r="C2164" i="122" s="1"/>
  <c r="C2834" i="122" s="1"/>
  <c r="C3504" i="122" s="1"/>
  <c r="C4174" i="122" s="1"/>
  <c r="C4844" i="122" s="1"/>
  <c r="C815" i="122"/>
  <c r="C1485" i="122" s="1"/>
  <c r="C2155" i="122" s="1"/>
  <c r="C2825" i="122" s="1"/>
  <c r="C3495" i="122" s="1"/>
  <c r="C4165" i="122" s="1"/>
  <c r="C4835" i="122" s="1"/>
  <c r="C810" i="122"/>
  <c r="C1480" i="122" s="1"/>
  <c r="C2150" i="122" s="1"/>
  <c r="C2820" i="122" s="1"/>
  <c r="C3490" i="122" s="1"/>
  <c r="C4160" i="122" s="1"/>
  <c r="C4830" i="122" s="1"/>
  <c r="C805" i="122"/>
  <c r="C1475" i="122" s="1"/>
  <c r="C2145" i="122" s="1"/>
  <c r="C2815" i="122" s="1"/>
  <c r="C3485" i="122" s="1"/>
  <c r="C4155" i="122" s="1"/>
  <c r="C4825" i="122" s="1"/>
  <c r="C797" i="122"/>
  <c r="C1467" i="122" s="1"/>
  <c r="C2137" i="122" s="1"/>
  <c r="C2807" i="122" s="1"/>
  <c r="C3477" i="122" s="1"/>
  <c r="C4147" i="122" s="1"/>
  <c r="C4817" i="122" s="1"/>
  <c r="C791" i="122"/>
  <c r="C1461" i="122" s="1"/>
  <c r="C2131" i="122" s="1"/>
  <c r="C2801" i="122" s="1"/>
  <c r="C3471" i="122" s="1"/>
  <c r="C4141" i="122" s="1"/>
  <c r="C4811" i="122" s="1"/>
  <c r="C787" i="122"/>
  <c r="C1457" i="122" s="1"/>
  <c r="C2127" i="122" s="1"/>
  <c r="C2797" i="122" s="1"/>
  <c r="C3467" i="122" s="1"/>
  <c r="C4137" i="122" s="1"/>
  <c r="C4807" i="122" s="1"/>
  <c r="C782" i="122"/>
  <c r="C1452" i="122" s="1"/>
  <c r="C2122" i="122" s="1"/>
  <c r="C2792" i="122" s="1"/>
  <c r="C3462" i="122" s="1"/>
  <c r="C4132" i="122" s="1"/>
  <c r="C4802" i="122" s="1"/>
  <c r="C778" i="122"/>
  <c r="C1448" i="122" s="1"/>
  <c r="C2118" i="122" s="1"/>
  <c r="C2788" i="122" s="1"/>
  <c r="C3458" i="122" s="1"/>
  <c r="C4128" i="122" s="1"/>
  <c r="C4798" i="122" s="1"/>
  <c r="C774" i="122"/>
  <c r="C1444" i="122" s="1"/>
  <c r="C2114" i="122" s="1"/>
  <c r="C2784" i="122" s="1"/>
  <c r="C3454" i="122" s="1"/>
  <c r="C4124" i="122" s="1"/>
  <c r="C4794" i="122" s="1"/>
  <c r="C770" i="122"/>
  <c r="C1440" i="122" s="1"/>
  <c r="C2110" i="122" s="1"/>
  <c r="C2780" i="122" s="1"/>
  <c r="C3450" i="122" s="1"/>
  <c r="C4120" i="122" s="1"/>
  <c r="C4790" i="122" s="1"/>
  <c r="C759" i="122"/>
  <c r="C1429" i="122" s="1"/>
  <c r="C2099" i="122" s="1"/>
  <c r="C2769" i="122" s="1"/>
  <c r="C3439" i="122" s="1"/>
  <c r="C4109" i="122" s="1"/>
  <c r="C4779" i="122" s="1"/>
  <c r="C755" i="122"/>
  <c r="C1425" i="122" s="1"/>
  <c r="C2095" i="122" s="1"/>
  <c r="C2765" i="122" s="1"/>
  <c r="C3435" i="122" s="1"/>
  <c r="C4105" i="122" s="1"/>
  <c r="C4775" i="122" s="1"/>
  <c r="C744" i="122"/>
  <c r="C1414" i="122" s="1"/>
  <c r="C2084" i="122" s="1"/>
  <c r="C2754" i="122" s="1"/>
  <c r="C3424" i="122" s="1"/>
  <c r="C4094" i="122" s="1"/>
  <c r="C4764" i="122" s="1"/>
  <c r="C739" i="122"/>
  <c r="C1409" i="122" s="1"/>
  <c r="C2079" i="122" s="1"/>
  <c r="C2749" i="122" s="1"/>
  <c r="C3419" i="122" s="1"/>
  <c r="C4089" i="122" s="1"/>
  <c r="C4759" i="122" s="1"/>
  <c r="C732" i="122"/>
  <c r="C1402" i="122" s="1"/>
  <c r="C2072" i="122" s="1"/>
  <c r="C2742" i="122" s="1"/>
  <c r="C3412" i="122" s="1"/>
  <c r="C4082" i="122" s="1"/>
  <c r="C4752" i="122" s="1"/>
  <c r="C728" i="122"/>
  <c r="C1398" i="122" s="1"/>
  <c r="C2068" i="122" s="1"/>
  <c r="C2738" i="122" s="1"/>
  <c r="C3408" i="122" s="1"/>
  <c r="C4078" i="122" s="1"/>
  <c r="C4748" i="122" s="1"/>
  <c r="C720" i="122"/>
  <c r="C1390" i="122" s="1"/>
  <c r="C2060" i="122" s="1"/>
  <c r="C2730" i="122" s="1"/>
  <c r="C3400" i="122" s="1"/>
  <c r="C4070" i="122" s="1"/>
  <c r="C4740" i="122" s="1"/>
  <c r="C714" i="122"/>
  <c r="C1384" i="122" s="1"/>
  <c r="C2054" i="122" s="1"/>
  <c r="C2724" i="122" s="1"/>
  <c r="C3394" i="122" s="1"/>
  <c r="C4064" i="122" s="1"/>
  <c r="C4734" i="122" s="1"/>
  <c r="C701" i="122"/>
  <c r="C1371" i="122" s="1"/>
  <c r="C2041" i="122" s="1"/>
  <c r="C2711" i="122" s="1"/>
  <c r="C3381" i="122" s="1"/>
  <c r="C4051" i="122" s="1"/>
  <c r="C4721" i="122" s="1"/>
  <c r="D849" i="122"/>
  <c r="D1519" i="122" s="1"/>
  <c r="D2189" i="122" s="1"/>
  <c r="D2859" i="122" s="1"/>
  <c r="D3529" i="122" s="1"/>
  <c r="D4199" i="122" s="1"/>
  <c r="D4869" i="122" s="1"/>
  <c r="D688" i="122"/>
  <c r="D1358" i="122" s="1"/>
  <c r="D2028" i="122" s="1"/>
  <c r="D2698" i="122" s="1"/>
  <c r="D3368" i="122" s="1"/>
  <c r="D4038" i="122" s="1"/>
  <c r="D4708" i="122" s="1"/>
  <c r="D749" i="122"/>
  <c r="D1419" i="122" s="1"/>
  <c r="D2089" i="122" s="1"/>
  <c r="D2759" i="122" s="1"/>
  <c r="D3429" i="122" s="1"/>
  <c r="D4099" i="122" s="1"/>
  <c r="D4769" i="122" s="1"/>
  <c r="D706" i="122"/>
  <c r="D1376" i="122" s="1"/>
  <c r="D2046" i="122" s="1"/>
  <c r="D2716" i="122" s="1"/>
  <c r="D3386" i="122" s="1"/>
  <c r="D4056" i="122" s="1"/>
  <c r="D4726" i="122" s="1"/>
  <c r="C928" i="122" l="1"/>
  <c r="C1598" i="122" s="1"/>
  <c r="C2268" i="122" s="1"/>
  <c r="C2938" i="122" s="1"/>
  <c r="C3608" i="122" s="1"/>
  <c r="C4278" i="122" s="1"/>
  <c r="C4948" i="122" s="1"/>
  <c r="C926" i="122"/>
  <c r="C1596" i="122" s="1"/>
  <c r="C2266" i="122" s="1"/>
  <c r="C2936" i="122" s="1"/>
  <c r="C3606" i="122" s="1"/>
  <c r="C4276" i="122" s="1"/>
  <c r="C4946" i="122" s="1"/>
  <c r="C927" i="122"/>
  <c r="C1597" i="122" s="1"/>
  <c r="C2267" i="122" s="1"/>
  <c r="C2937" i="122" s="1"/>
  <c r="C3607" i="122" s="1"/>
  <c r="C4277" i="122" s="1"/>
  <c r="C4947" i="122" s="1"/>
  <c r="C684" i="122"/>
  <c r="C1354" i="122" s="1"/>
  <c r="C2024" i="122" s="1"/>
  <c r="C2694" i="122" s="1"/>
  <c r="C3364" i="122" s="1"/>
  <c r="C4034" i="122" s="1"/>
  <c r="C4704" i="122" s="1"/>
  <c r="C913" i="122"/>
  <c r="C1583" i="122" s="1"/>
  <c r="C2253" i="122" s="1"/>
  <c r="C2923" i="122" s="1"/>
  <c r="C3593" i="122" s="1"/>
  <c r="C4263" i="122" s="1"/>
  <c r="C4933" i="122" s="1"/>
  <c r="C845" i="122"/>
  <c r="C1515" i="122" s="1"/>
  <c r="C2185" i="122" s="1"/>
  <c r="C2855" i="122" s="1"/>
  <c r="C3525" i="122" s="1"/>
  <c r="C4195" i="122" s="1"/>
  <c r="C4865" i="122" s="1"/>
  <c r="C839" i="122"/>
  <c r="C1509" i="122" s="1"/>
  <c r="C2179" i="122" s="1"/>
  <c r="C2849" i="122" s="1"/>
  <c r="C3519" i="122" s="1"/>
  <c r="C4189" i="122" s="1"/>
  <c r="C4859" i="122" s="1"/>
  <c r="C834" i="122"/>
  <c r="C1504" i="122" s="1"/>
  <c r="C2174" i="122" s="1"/>
  <c r="C2844" i="122" s="1"/>
  <c r="C3514" i="122" s="1"/>
  <c r="C4184" i="122" s="1"/>
  <c r="C4854" i="122" s="1"/>
  <c r="C829" i="122"/>
  <c r="C1499" i="122" s="1"/>
  <c r="C2169" i="122" s="1"/>
  <c r="C2839" i="122" s="1"/>
  <c r="C3509" i="122" s="1"/>
  <c r="C4179" i="122" s="1"/>
  <c r="C4849" i="122" s="1"/>
  <c r="C816" i="122"/>
  <c r="C1486" i="122" s="1"/>
  <c r="C2156" i="122" s="1"/>
  <c r="C2826" i="122" s="1"/>
  <c r="C3496" i="122" s="1"/>
  <c r="C4166" i="122" s="1"/>
  <c r="C4836" i="122" s="1"/>
  <c r="C811" i="122"/>
  <c r="C1481" i="122" s="1"/>
  <c r="C2151" i="122" s="1"/>
  <c r="C2821" i="122" s="1"/>
  <c r="C3491" i="122" s="1"/>
  <c r="C4161" i="122" s="1"/>
  <c r="C4831" i="122" s="1"/>
  <c r="C806" i="122"/>
  <c r="C1476" i="122" s="1"/>
  <c r="C2146" i="122" s="1"/>
  <c r="C2816" i="122" s="1"/>
  <c r="C3486" i="122" s="1"/>
  <c r="C4156" i="122" s="1"/>
  <c r="C4826" i="122" s="1"/>
  <c r="C798" i="122"/>
  <c r="C1468" i="122" s="1"/>
  <c r="C2138" i="122" s="1"/>
  <c r="C2808" i="122" s="1"/>
  <c r="C3478" i="122" s="1"/>
  <c r="C4148" i="122" s="1"/>
  <c r="C4818" i="122" s="1"/>
  <c r="C792" i="122"/>
  <c r="C1462" i="122" s="1"/>
  <c r="C2132" i="122" s="1"/>
  <c r="C2802" i="122" s="1"/>
  <c r="C3472" i="122" s="1"/>
  <c r="C4142" i="122" s="1"/>
  <c r="C4812" i="122" s="1"/>
  <c r="C783" i="122"/>
  <c r="C1453" i="122" s="1"/>
  <c r="C2123" i="122" s="1"/>
  <c r="C2793" i="122" s="1"/>
  <c r="C3463" i="122" s="1"/>
  <c r="C4133" i="122" s="1"/>
  <c r="C4803" i="122" s="1"/>
  <c r="C760" i="122"/>
  <c r="C1430" i="122" s="1"/>
  <c r="C2100" i="122" s="1"/>
  <c r="C2770" i="122" s="1"/>
  <c r="C3440" i="122" s="1"/>
  <c r="C4110" i="122" s="1"/>
  <c r="C4780" i="122" s="1"/>
  <c r="C745" i="122"/>
  <c r="C1415" i="122" s="1"/>
  <c r="C2085" i="122" s="1"/>
  <c r="C2755" i="122" s="1"/>
  <c r="C3425" i="122" s="1"/>
  <c r="C4095" i="122" s="1"/>
  <c r="C4765" i="122" s="1"/>
  <c r="C740" i="122"/>
  <c r="C1410" i="122" s="1"/>
  <c r="C2080" i="122" s="1"/>
  <c r="C2750" i="122" s="1"/>
  <c r="C3420" i="122" s="1"/>
  <c r="C4090" i="122" s="1"/>
  <c r="C4760" i="122" s="1"/>
  <c r="C715" i="122"/>
  <c r="C1385" i="122" s="1"/>
  <c r="C2055" i="122" s="1"/>
  <c r="C2725" i="122" s="1"/>
  <c r="C3395" i="122" s="1"/>
  <c r="C4065" i="122" s="1"/>
  <c r="C4735" i="122" s="1"/>
  <c r="C702" i="122"/>
  <c r="C1372" i="122" s="1"/>
  <c r="C2042" i="122" s="1"/>
  <c r="C2712" i="122" s="1"/>
  <c r="C3382" i="122" s="1"/>
  <c r="C4052" i="122" s="1"/>
  <c r="C4722" i="122" s="1"/>
  <c r="D850" i="122"/>
  <c r="D1520" i="122" s="1"/>
  <c r="D2190" i="122" s="1"/>
  <c r="D2860" i="122" s="1"/>
  <c r="D3530" i="122" s="1"/>
  <c r="D4200" i="122" s="1"/>
  <c r="D4870" i="122" s="1"/>
  <c r="D689" i="122"/>
  <c r="D1359" i="122" s="1"/>
  <c r="D2029" i="122" s="1"/>
  <c r="D2699" i="122" s="1"/>
  <c r="D3369" i="122" s="1"/>
  <c r="D4039" i="122" s="1"/>
  <c r="D4709" i="122" s="1"/>
  <c r="D750" i="122"/>
  <c r="D1420" i="122" s="1"/>
  <c r="D2090" i="122" s="1"/>
  <c r="D2760" i="122" s="1"/>
  <c r="D3430" i="122" s="1"/>
  <c r="D4100" i="122" s="1"/>
  <c r="D4770" i="122" s="1"/>
  <c r="D707" i="122"/>
  <c r="D1377" i="122" s="1"/>
  <c r="D2047" i="122" s="1"/>
  <c r="D2717" i="122" s="1"/>
  <c r="D3387" i="122" s="1"/>
  <c r="D4057" i="122" s="1"/>
  <c r="D4727" i="122" s="1"/>
  <c r="C685" i="122" l="1"/>
  <c r="C1355" i="122" s="1"/>
  <c r="C2025" i="122" s="1"/>
  <c r="C2695" i="122" s="1"/>
  <c r="C3365" i="122" s="1"/>
  <c r="C4035" i="122" s="1"/>
  <c r="C4705" i="122" s="1"/>
  <c r="C846" i="122"/>
  <c r="C1516" i="122" s="1"/>
  <c r="C2186" i="122" s="1"/>
  <c r="C2856" i="122" s="1"/>
  <c r="C3526" i="122" s="1"/>
  <c r="C4196" i="122" s="1"/>
  <c r="C4866" i="122" s="1"/>
  <c r="C840" i="122"/>
  <c r="C1510" i="122" s="1"/>
  <c r="C2180" i="122" s="1"/>
  <c r="C2850" i="122" s="1"/>
  <c r="C3520" i="122" s="1"/>
  <c r="C4190" i="122" s="1"/>
  <c r="C4860" i="122" s="1"/>
  <c r="C799" i="122"/>
  <c r="C1469" i="122" s="1"/>
  <c r="C2139" i="122" s="1"/>
  <c r="C2809" i="122" s="1"/>
  <c r="C3479" i="122" s="1"/>
  <c r="C4149" i="122" s="1"/>
  <c r="C4819" i="122" s="1"/>
  <c r="C793" i="122"/>
  <c r="C1463" i="122" s="1"/>
  <c r="C2133" i="122" s="1"/>
  <c r="C2803" i="122" s="1"/>
  <c r="C3473" i="122" s="1"/>
  <c r="C4143" i="122" s="1"/>
  <c r="C4813" i="122" s="1"/>
  <c r="C761" i="122"/>
  <c r="C1431" i="122" s="1"/>
  <c r="C2101" i="122" s="1"/>
  <c r="C2771" i="122" s="1"/>
  <c r="C3441" i="122" s="1"/>
  <c r="C4111" i="122" s="1"/>
  <c r="C4781" i="122" s="1"/>
  <c r="C746" i="122"/>
  <c r="C1416" i="122" s="1"/>
  <c r="C2086" i="122" s="1"/>
  <c r="C2756" i="122" s="1"/>
  <c r="C3426" i="122" s="1"/>
  <c r="C4096" i="122" s="1"/>
  <c r="C4766" i="122" s="1"/>
  <c r="C716" i="122"/>
  <c r="C1386" i="122" s="1"/>
  <c r="C2056" i="122" s="1"/>
  <c r="C2726" i="122" s="1"/>
  <c r="C3396" i="122" s="1"/>
  <c r="C4066" i="122" s="1"/>
  <c r="C4736" i="122" s="1"/>
  <c r="C703" i="122"/>
  <c r="C1373" i="122" s="1"/>
  <c r="C2043" i="122" s="1"/>
  <c r="C2713" i="122" s="1"/>
  <c r="C3383" i="122" s="1"/>
  <c r="C4053" i="122" s="1"/>
  <c r="C4723" i="122" s="1"/>
  <c r="D851" i="122"/>
  <c r="D1521" i="122" s="1"/>
  <c r="D2191" i="122" s="1"/>
  <c r="D2861" i="122" s="1"/>
  <c r="D3531" i="122" s="1"/>
  <c r="D4201" i="122" s="1"/>
  <c r="D4871" i="122" s="1"/>
  <c r="D690" i="122"/>
  <c r="D1360" i="122" s="1"/>
  <c r="D2030" i="122" s="1"/>
  <c r="D2700" i="122" s="1"/>
  <c r="D3370" i="122" s="1"/>
  <c r="D4040" i="122" s="1"/>
  <c r="D4710" i="122" s="1"/>
  <c r="D751" i="122"/>
  <c r="D1421" i="122" s="1"/>
  <c r="D2091" i="122" s="1"/>
  <c r="D2761" i="122" s="1"/>
  <c r="D3431" i="122" s="1"/>
  <c r="D4101" i="122" s="1"/>
  <c r="D4771" i="122" s="1"/>
  <c r="D708" i="122"/>
  <c r="D1378" i="122" s="1"/>
  <c r="D2048" i="122" s="1"/>
  <c r="D2718" i="122" s="1"/>
  <c r="D3388" i="122" s="1"/>
  <c r="D4058" i="122" s="1"/>
  <c r="D4728" i="122" s="1"/>
  <c r="C686" i="122" l="1"/>
  <c r="C1356" i="122" s="1"/>
  <c r="C2026" i="122" s="1"/>
  <c r="C2696" i="122" s="1"/>
  <c r="C3366" i="122" s="1"/>
  <c r="C4036" i="122" s="1"/>
  <c r="C4706" i="122" s="1"/>
  <c r="C847" i="122"/>
  <c r="C1517" i="122" s="1"/>
  <c r="C2187" i="122" s="1"/>
  <c r="C2857" i="122" s="1"/>
  <c r="C3527" i="122" s="1"/>
  <c r="C4197" i="122" s="1"/>
  <c r="C4867" i="122" s="1"/>
  <c r="C800" i="122"/>
  <c r="C1470" i="122" s="1"/>
  <c r="C2140" i="122" s="1"/>
  <c r="C2810" i="122" s="1"/>
  <c r="C3480" i="122" s="1"/>
  <c r="C4150" i="122" s="1"/>
  <c r="C4820" i="122" s="1"/>
  <c r="C762" i="122"/>
  <c r="C1432" i="122" s="1"/>
  <c r="C2102" i="122" s="1"/>
  <c r="C2772" i="122" s="1"/>
  <c r="C3442" i="122" s="1"/>
  <c r="C4112" i="122" s="1"/>
  <c r="C4782" i="122" s="1"/>
  <c r="C747" i="122"/>
  <c r="C1417" i="122" s="1"/>
  <c r="C2087" i="122" s="1"/>
  <c r="C2757" i="122" s="1"/>
  <c r="C3427" i="122" s="1"/>
  <c r="C4097" i="122" s="1"/>
  <c r="C4767" i="122" s="1"/>
  <c r="C704" i="122"/>
  <c r="C1374" i="122" s="1"/>
  <c r="C2044" i="122" s="1"/>
  <c r="C2714" i="122" s="1"/>
  <c r="C3384" i="122" s="1"/>
  <c r="C4054" i="122" s="1"/>
  <c r="C4724" i="122" s="1"/>
  <c r="D852" i="122"/>
  <c r="D1522" i="122" s="1"/>
  <c r="D2192" i="122" s="1"/>
  <c r="D2862" i="122" s="1"/>
  <c r="D3532" i="122" s="1"/>
  <c r="D4202" i="122" s="1"/>
  <c r="D4872" i="122" s="1"/>
  <c r="D691" i="122"/>
  <c r="D1361" i="122" s="1"/>
  <c r="D2031" i="122" s="1"/>
  <c r="D2701" i="122" s="1"/>
  <c r="D3371" i="122" s="1"/>
  <c r="D4041" i="122" s="1"/>
  <c r="D4711" i="122" s="1"/>
  <c r="D709" i="122"/>
  <c r="D1379" i="122" s="1"/>
  <c r="D2049" i="122" s="1"/>
  <c r="D2719" i="122" s="1"/>
  <c r="D3389" i="122" s="1"/>
  <c r="D4059" i="122" s="1"/>
  <c r="D4729" i="122" s="1"/>
  <c r="C687" i="122" l="1"/>
  <c r="C1357" i="122" s="1"/>
  <c r="C2027" i="122" s="1"/>
  <c r="C2697" i="122" s="1"/>
  <c r="C3367" i="122" s="1"/>
  <c r="C4037" i="122" s="1"/>
  <c r="C4707" i="122" s="1"/>
  <c r="C848" i="122"/>
  <c r="C1518" i="122" s="1"/>
  <c r="C2188" i="122" s="1"/>
  <c r="C2858" i="122" s="1"/>
  <c r="C3528" i="122" s="1"/>
  <c r="C4198" i="122" s="1"/>
  <c r="C4868" i="122" s="1"/>
  <c r="C763" i="122"/>
  <c r="C1433" i="122" s="1"/>
  <c r="C2103" i="122" s="1"/>
  <c r="C2773" i="122" s="1"/>
  <c r="C3443" i="122" s="1"/>
  <c r="C4113" i="122" s="1"/>
  <c r="C4783" i="122" s="1"/>
  <c r="C748" i="122"/>
  <c r="C1418" i="122" s="1"/>
  <c r="C2088" i="122" s="1"/>
  <c r="C2758" i="122" s="1"/>
  <c r="C3428" i="122" s="1"/>
  <c r="C4098" i="122" s="1"/>
  <c r="C4768" i="122" s="1"/>
  <c r="C705" i="122"/>
  <c r="C1375" i="122" s="1"/>
  <c r="C2045" i="122" s="1"/>
  <c r="C2715" i="122" s="1"/>
  <c r="C3385" i="122" s="1"/>
  <c r="C4055" i="122" s="1"/>
  <c r="C4725" i="122" s="1"/>
  <c r="D853" i="122"/>
  <c r="D1523" i="122" s="1"/>
  <c r="D2193" i="122" s="1"/>
  <c r="D2863" i="122" s="1"/>
  <c r="D3533" i="122" s="1"/>
  <c r="D4203" i="122" s="1"/>
  <c r="D4873" i="122" s="1"/>
  <c r="D692" i="122"/>
  <c r="D1362" i="122" s="1"/>
  <c r="D2032" i="122" s="1"/>
  <c r="D2702" i="122" s="1"/>
  <c r="D3372" i="122" s="1"/>
  <c r="D4042" i="122" s="1"/>
  <c r="D4712" i="122" s="1"/>
  <c r="D710" i="122"/>
  <c r="D1380" i="122" s="1"/>
  <c r="D2050" i="122" s="1"/>
  <c r="D2720" i="122" s="1"/>
  <c r="D3390" i="122" s="1"/>
  <c r="D4060" i="122" s="1"/>
  <c r="D4730" i="122" s="1"/>
  <c r="C688" i="122" l="1"/>
  <c r="C1358" i="122" s="1"/>
  <c r="C2028" i="122" s="1"/>
  <c r="C2698" i="122" s="1"/>
  <c r="C3368" i="122" s="1"/>
  <c r="C4038" i="122" s="1"/>
  <c r="C4708" i="122" s="1"/>
  <c r="C849" i="122"/>
  <c r="C1519" i="122" s="1"/>
  <c r="C2189" i="122" s="1"/>
  <c r="C2859" i="122" s="1"/>
  <c r="C3529" i="122" s="1"/>
  <c r="C4199" i="122" s="1"/>
  <c r="C4869" i="122" s="1"/>
  <c r="C749" i="122"/>
  <c r="C1419" i="122" s="1"/>
  <c r="C2089" i="122" s="1"/>
  <c r="C2759" i="122" s="1"/>
  <c r="C3429" i="122" s="1"/>
  <c r="C4099" i="122" s="1"/>
  <c r="C4769" i="122" s="1"/>
  <c r="C706" i="122"/>
  <c r="C1376" i="122" s="1"/>
  <c r="C2046" i="122" s="1"/>
  <c r="C2716" i="122" s="1"/>
  <c r="C3386" i="122" s="1"/>
  <c r="C4056" i="122" s="1"/>
  <c r="C4726" i="122" s="1"/>
  <c r="D693" i="122"/>
  <c r="D1363" i="122" s="1"/>
  <c r="D2033" i="122" s="1"/>
  <c r="D2703" i="122" s="1"/>
  <c r="D3373" i="122" s="1"/>
  <c r="D4043" i="122" s="1"/>
  <c r="D4713" i="122" s="1"/>
  <c r="C689" i="122" l="1"/>
  <c r="C1359" i="122" s="1"/>
  <c r="C2029" i="122" s="1"/>
  <c r="C2699" i="122" s="1"/>
  <c r="C3369" i="122" s="1"/>
  <c r="C4039" i="122" s="1"/>
  <c r="C4709" i="122" s="1"/>
  <c r="C850" i="122"/>
  <c r="C1520" i="122" s="1"/>
  <c r="C2190" i="122" s="1"/>
  <c r="C2860" i="122" s="1"/>
  <c r="C3530" i="122" s="1"/>
  <c r="C4200" i="122" s="1"/>
  <c r="C4870" i="122" s="1"/>
  <c r="C750" i="122"/>
  <c r="C1420" i="122" s="1"/>
  <c r="C2090" i="122" s="1"/>
  <c r="C2760" i="122" s="1"/>
  <c r="C3430" i="122" s="1"/>
  <c r="C4100" i="122" s="1"/>
  <c r="C4770" i="122" s="1"/>
  <c r="C707" i="122"/>
  <c r="C1377" i="122" s="1"/>
  <c r="C2047" i="122" s="1"/>
  <c r="C2717" i="122" s="1"/>
  <c r="C3387" i="122" s="1"/>
  <c r="C4057" i="122" s="1"/>
  <c r="C4727" i="122" s="1"/>
  <c r="D694" i="122"/>
  <c r="D1364" i="122" s="1"/>
  <c r="D2034" i="122" s="1"/>
  <c r="D2704" i="122" s="1"/>
  <c r="D3374" i="122" s="1"/>
  <c r="D4044" i="122" s="1"/>
  <c r="D4714" i="122" s="1"/>
  <c r="C690" i="122" l="1"/>
  <c r="C1360" i="122" s="1"/>
  <c r="C2030" i="122" s="1"/>
  <c r="C2700" i="122" s="1"/>
  <c r="C3370" i="122" s="1"/>
  <c r="C4040" i="122" s="1"/>
  <c r="C4710" i="122" s="1"/>
  <c r="C851" i="122"/>
  <c r="C1521" i="122" s="1"/>
  <c r="C2191" i="122" s="1"/>
  <c r="C2861" i="122" s="1"/>
  <c r="C3531" i="122" s="1"/>
  <c r="C4201" i="122" s="1"/>
  <c r="C4871" i="122" s="1"/>
  <c r="C751" i="122"/>
  <c r="C1421" i="122" s="1"/>
  <c r="C2091" i="122" s="1"/>
  <c r="C2761" i="122" s="1"/>
  <c r="C3431" i="122" s="1"/>
  <c r="C4101" i="122" s="1"/>
  <c r="C4771" i="122" s="1"/>
  <c r="C708" i="122"/>
  <c r="C1378" i="122" s="1"/>
  <c r="C2048" i="122" s="1"/>
  <c r="C2718" i="122" s="1"/>
  <c r="C3388" i="122" s="1"/>
  <c r="C4058" i="122" s="1"/>
  <c r="C4728" i="122" s="1"/>
  <c r="D695" i="122"/>
  <c r="D1365" i="122" s="1"/>
  <c r="D2035" i="122" s="1"/>
  <c r="D2705" i="122" s="1"/>
  <c r="D3375" i="122" s="1"/>
  <c r="D4045" i="122" s="1"/>
  <c r="D4715" i="122" s="1"/>
  <c r="C691" i="122" l="1"/>
  <c r="C1361" i="122" s="1"/>
  <c r="C2031" i="122" s="1"/>
  <c r="C2701" i="122" s="1"/>
  <c r="C3371" i="122" s="1"/>
  <c r="C4041" i="122" s="1"/>
  <c r="C4711" i="122" s="1"/>
  <c r="C852" i="122"/>
  <c r="C1522" i="122" s="1"/>
  <c r="C2192" i="122" s="1"/>
  <c r="C2862" i="122" s="1"/>
  <c r="C3532" i="122" s="1"/>
  <c r="C4202" i="122" s="1"/>
  <c r="C4872" i="122" s="1"/>
  <c r="C709" i="122"/>
  <c r="C1379" i="122" s="1"/>
  <c r="C2049" i="122" s="1"/>
  <c r="C2719" i="122" s="1"/>
  <c r="C3389" i="122" s="1"/>
  <c r="C4059" i="122" s="1"/>
  <c r="C4729" i="122" s="1"/>
  <c r="D696" i="122"/>
  <c r="D1366" i="122" s="1"/>
  <c r="D2036" i="122" s="1"/>
  <c r="D2706" i="122" s="1"/>
  <c r="D3376" i="122" s="1"/>
  <c r="D4046" i="122" s="1"/>
  <c r="D4716" i="122" s="1"/>
  <c r="C692" i="122" l="1"/>
  <c r="C1362" i="122" s="1"/>
  <c r="C2032" i="122" s="1"/>
  <c r="C2702" i="122" s="1"/>
  <c r="C3372" i="122" s="1"/>
  <c r="C4042" i="122" s="1"/>
  <c r="C4712" i="122" s="1"/>
  <c r="C853" i="122"/>
  <c r="C1523" i="122" s="1"/>
  <c r="C2193" i="122" s="1"/>
  <c r="C2863" i="122" s="1"/>
  <c r="C3533" i="122" s="1"/>
  <c r="C4203" i="122" s="1"/>
  <c r="C4873" i="122" s="1"/>
  <c r="C710" i="122"/>
  <c r="C1380" i="122" s="1"/>
  <c r="C2050" i="122" s="1"/>
  <c r="C2720" i="122" s="1"/>
  <c r="C3390" i="122" s="1"/>
  <c r="C4060" i="122" s="1"/>
  <c r="C4730" i="122" s="1"/>
  <c r="D697" i="122"/>
  <c r="D1367" i="122" s="1"/>
  <c r="D2037" i="122" s="1"/>
  <c r="D2707" i="122" s="1"/>
  <c r="D3377" i="122" s="1"/>
  <c r="D4047" i="122" s="1"/>
  <c r="D4717" i="122" s="1"/>
  <c r="C693" i="122" l="1"/>
  <c r="C1363" i="122" s="1"/>
  <c r="C2033" i="122" s="1"/>
  <c r="C2703" i="122" s="1"/>
  <c r="C3373" i="122" s="1"/>
  <c r="C4043" i="122" s="1"/>
  <c r="C4713" i="122" s="1"/>
  <c r="C694" i="122" l="1"/>
  <c r="C1364" i="122" s="1"/>
  <c r="C2034" i="122" s="1"/>
  <c r="C2704" i="122" s="1"/>
  <c r="C3374" i="122" s="1"/>
  <c r="C4044" i="122" s="1"/>
  <c r="C4714" i="122" s="1"/>
  <c r="C695" i="122" l="1"/>
  <c r="C1365" i="122" s="1"/>
  <c r="C2035" i="122" s="1"/>
  <c r="C2705" i="122" s="1"/>
  <c r="C3375" i="122" s="1"/>
  <c r="C4045" i="122" s="1"/>
  <c r="C4715" i="122" s="1"/>
  <c r="C696" i="122" l="1"/>
  <c r="C1366" i="122" s="1"/>
  <c r="C2036" i="122" s="1"/>
  <c r="C2706" i="122" s="1"/>
  <c r="C3376" i="122" s="1"/>
  <c r="C4046" i="122" s="1"/>
  <c r="C4716" i="122" s="1"/>
  <c r="C697" i="122" l="1"/>
  <c r="C1367" i="122" s="1"/>
  <c r="C2037" i="122" s="1"/>
  <c r="C2707" i="122" s="1"/>
  <c r="C3377" i="122" s="1"/>
  <c r="C4047" i="122" s="1"/>
  <c r="C4717" i="122" s="1"/>
  <c r="Q10" i="93" l="1"/>
  <c r="S10" i="93"/>
  <c r="R10" i="93"/>
  <c r="P10" i="93" l="1"/>
  <c r="O10" i="93"/>
  <c r="M10" i="93"/>
  <c r="E10" i="93"/>
  <c r="H10" i="93"/>
  <c r="F3" i="76" l="1"/>
  <c r="F2" i="76"/>
  <c r="B8" i="76"/>
  <c r="B9" i="76" s="1"/>
  <c r="F54" i="67" l="1"/>
  <c r="G54" i="67"/>
  <c r="H54" i="67"/>
  <c r="F55" i="67"/>
  <c r="G55" i="67"/>
  <c r="H55" i="67"/>
  <c r="F56" i="67"/>
  <c r="G56" i="67"/>
  <c r="H56" i="67"/>
  <c r="F61" i="67"/>
  <c r="G61" i="67"/>
  <c r="H61" i="67"/>
  <c r="F62" i="67"/>
  <c r="G62" i="67"/>
  <c r="H62" i="67"/>
  <c r="F67" i="67"/>
  <c r="G67" i="67"/>
  <c r="H67" i="67"/>
  <c r="F68" i="67"/>
  <c r="G68" i="67"/>
  <c r="H68" i="67"/>
  <c r="F73" i="67"/>
  <c r="G73" i="67"/>
  <c r="H73" i="67"/>
  <c r="F74" i="67"/>
  <c r="G74" i="67"/>
  <c r="H74" i="67"/>
  <c r="N25" i="59" l="1"/>
  <c r="N36" i="81"/>
  <c r="N35" i="81"/>
  <c r="P41" i="81" l="1"/>
  <c r="W20" i="59"/>
  <c r="V20" i="59"/>
  <c r="U20" i="59"/>
  <c r="T20" i="59"/>
  <c r="S20" i="59"/>
  <c r="O25" i="81"/>
  <c r="J60" i="81"/>
  <c r="F56" i="81"/>
  <c r="F52" i="81"/>
  <c r="E25" i="59"/>
  <c r="F25" i="59"/>
  <c r="E20" i="59"/>
  <c r="G25" i="81" l="1"/>
  <c r="E25" i="81"/>
  <c r="K47" i="100"/>
  <c r="J25" i="59"/>
  <c r="F38" i="81"/>
  <c r="K46" i="100"/>
  <c r="M25" i="81"/>
  <c r="N15" i="81" l="1"/>
  <c r="V41" i="119" l="1"/>
  <c r="V42" i="119"/>
  <c r="V43" i="119"/>
  <c r="V44" i="119"/>
  <c r="V45" i="119"/>
  <c r="V46" i="119"/>
  <c r="V47" i="119"/>
  <c r="V48" i="119"/>
  <c r="V49" i="119"/>
  <c r="V50" i="119"/>
  <c r="V51" i="119"/>
  <c r="V52" i="119"/>
  <c r="V53" i="119"/>
  <c r="V54" i="119"/>
  <c r="V55" i="119"/>
  <c r="V56" i="119"/>
  <c r="V40" i="119"/>
  <c r="Q41" i="119"/>
  <c r="Q42" i="119"/>
  <c r="Q43" i="119"/>
  <c r="Q44" i="119"/>
  <c r="Q45" i="119"/>
  <c r="Q46" i="119"/>
  <c r="Q47" i="119"/>
  <c r="Q48" i="119"/>
  <c r="Q49" i="119"/>
  <c r="Q50" i="119"/>
  <c r="Q51" i="119"/>
  <c r="Q52" i="119"/>
  <c r="Q53" i="119"/>
  <c r="Q54" i="119"/>
  <c r="Q55" i="119"/>
  <c r="Q56" i="119"/>
  <c r="Q40" i="119"/>
  <c r="L56" i="119"/>
  <c r="L55" i="119"/>
  <c r="L54" i="119"/>
  <c r="L53" i="119"/>
  <c r="L52" i="119"/>
  <c r="L51" i="119"/>
  <c r="L50" i="119"/>
  <c r="L49" i="119"/>
  <c r="L48" i="119"/>
  <c r="L47" i="119"/>
  <c r="L46" i="119"/>
  <c r="L45" i="119"/>
  <c r="L44" i="119"/>
  <c r="L43" i="119"/>
  <c r="L42" i="119"/>
  <c r="L41" i="119"/>
  <c r="L40" i="119"/>
  <c r="G56" i="119"/>
  <c r="G55" i="119"/>
  <c r="G54" i="119"/>
  <c r="G53" i="119"/>
  <c r="G52" i="119"/>
  <c r="G51" i="119"/>
  <c r="G50" i="119"/>
  <c r="G49" i="119"/>
  <c r="G48" i="119"/>
  <c r="G47" i="119"/>
  <c r="G46" i="119"/>
  <c r="G45" i="119"/>
  <c r="G44" i="119"/>
  <c r="G43" i="119"/>
  <c r="G42" i="119"/>
  <c r="G41" i="119"/>
  <c r="G40" i="119"/>
  <c r="V30" i="119"/>
  <c r="V29" i="119"/>
  <c r="V28" i="119"/>
  <c r="V27" i="119"/>
  <c r="V26" i="119"/>
  <c r="V25" i="119"/>
  <c r="V24" i="119"/>
  <c r="V23" i="119"/>
  <c r="V22" i="119"/>
  <c r="V21" i="119"/>
  <c r="V20" i="119"/>
  <c r="V19" i="119"/>
  <c r="V18" i="119"/>
  <c r="V17" i="119"/>
  <c r="V16" i="119"/>
  <c r="V15" i="119"/>
  <c r="V14" i="119"/>
  <c r="R174" i="59"/>
  <c r="R175" i="59" s="1"/>
  <c r="Q174" i="59"/>
  <c r="Q175" i="59" s="1"/>
  <c r="O174" i="59"/>
  <c r="O175" i="59" s="1"/>
  <c r="N174" i="59"/>
  <c r="N175" i="59" s="1"/>
  <c r="L174" i="59"/>
  <c r="L175" i="59" s="1"/>
  <c r="K174" i="59"/>
  <c r="K175" i="59" s="1"/>
  <c r="I174" i="59"/>
  <c r="I175" i="59" s="1"/>
  <c r="H174" i="59"/>
  <c r="H175" i="59" s="1"/>
  <c r="F174" i="59"/>
  <c r="F175" i="59" s="1"/>
  <c r="E174" i="59"/>
  <c r="E175" i="59" s="1"/>
  <c r="K186" i="59" l="1"/>
  <c r="K184" i="59"/>
  <c r="Q186" i="59"/>
  <c r="Q184" i="59"/>
  <c r="H186" i="59"/>
  <c r="H184" i="59"/>
  <c r="I186" i="59"/>
  <c r="L186" i="59"/>
  <c r="F186" i="59"/>
  <c r="E186" i="59"/>
  <c r="E184" i="59"/>
  <c r="R186" i="59"/>
  <c r="N186" i="59"/>
  <c r="N184" i="59"/>
  <c r="O186" i="59"/>
  <c r="E177" i="59"/>
  <c r="F177" i="59"/>
  <c r="N177" i="59"/>
  <c r="O177" i="59"/>
  <c r="R177" i="59"/>
  <c r="Q177" i="59"/>
  <c r="K177" i="59"/>
  <c r="L177" i="59"/>
  <c r="H177" i="59"/>
  <c r="I177" i="59"/>
  <c r="V96" i="119" l="1"/>
  <c r="V97" i="119"/>
  <c r="V98" i="119"/>
  <c r="V99" i="119"/>
  <c r="V100" i="119"/>
  <c r="V101" i="119"/>
  <c r="V102" i="119"/>
  <c r="V103" i="119"/>
  <c r="V104" i="119"/>
  <c r="V105" i="119"/>
  <c r="V106" i="119"/>
  <c r="V107" i="119"/>
  <c r="V108" i="119"/>
  <c r="V109" i="119"/>
  <c r="V110" i="119"/>
  <c r="V111" i="119"/>
  <c r="V95" i="119"/>
  <c r="Q96" i="119"/>
  <c r="Q97" i="119"/>
  <c r="Q98" i="119"/>
  <c r="Q99" i="119"/>
  <c r="Q100" i="119"/>
  <c r="Q101" i="119"/>
  <c r="Q102" i="119"/>
  <c r="Q103" i="119"/>
  <c r="Q104" i="119"/>
  <c r="Q105" i="119"/>
  <c r="Q106" i="119"/>
  <c r="Q107" i="119"/>
  <c r="Q108" i="119"/>
  <c r="Q109" i="119"/>
  <c r="Q110" i="119"/>
  <c r="Q111" i="119"/>
  <c r="Q95" i="119"/>
  <c r="L96" i="119"/>
  <c r="L97" i="119"/>
  <c r="L98" i="119"/>
  <c r="L99" i="119"/>
  <c r="L100" i="119"/>
  <c r="L101" i="119"/>
  <c r="L102" i="119"/>
  <c r="L103" i="119"/>
  <c r="L104" i="119"/>
  <c r="L105" i="119"/>
  <c r="L106" i="119"/>
  <c r="L107" i="119"/>
  <c r="L108" i="119"/>
  <c r="L109" i="119"/>
  <c r="L110" i="119"/>
  <c r="L111" i="119"/>
  <c r="L95" i="119"/>
  <c r="G96" i="119"/>
  <c r="G97" i="119"/>
  <c r="G98" i="119"/>
  <c r="G99" i="119"/>
  <c r="G100" i="119"/>
  <c r="G101" i="119"/>
  <c r="G102" i="119"/>
  <c r="G103" i="119"/>
  <c r="G104" i="119"/>
  <c r="G105" i="119"/>
  <c r="G106" i="119"/>
  <c r="G107" i="119"/>
  <c r="G108" i="119"/>
  <c r="G109" i="119"/>
  <c r="G110" i="119"/>
  <c r="G111" i="119"/>
  <c r="G95" i="119"/>
  <c r="V68" i="119"/>
  <c r="V69" i="119"/>
  <c r="V70" i="119"/>
  <c r="V71" i="119"/>
  <c r="V72" i="119"/>
  <c r="V73" i="119"/>
  <c r="V74" i="119"/>
  <c r="V75" i="119"/>
  <c r="V76" i="119"/>
  <c r="V77" i="119"/>
  <c r="V78" i="119"/>
  <c r="V79" i="119"/>
  <c r="V80" i="119"/>
  <c r="V81" i="119"/>
  <c r="V82" i="119"/>
  <c r="V83" i="119"/>
  <c r="V84" i="119"/>
  <c r="K18" i="55"/>
  <c r="E12" i="78"/>
  <c r="D12" i="78"/>
  <c r="W12" i="66"/>
  <c r="M17" i="65"/>
  <c r="M13" i="58" s="1"/>
  <c r="I17" i="65"/>
  <c r="E17" i="65"/>
  <c r="P15" i="65"/>
  <c r="O15" i="65"/>
  <c r="K15" i="65"/>
  <c r="G15" i="65"/>
  <c r="H15" i="65" s="1"/>
  <c r="I19" i="65"/>
  <c r="H19" i="65"/>
  <c r="G19" i="65"/>
  <c r="F19" i="65"/>
  <c r="E19" i="65"/>
  <c r="Q16" i="65"/>
  <c r="R16" i="65" s="1"/>
  <c r="L16" i="65"/>
  <c r="H16" i="65"/>
  <c r="B11" i="65"/>
  <c r="B12" i="65" s="1"/>
  <c r="B13" i="65" s="1"/>
  <c r="B14" i="65" s="1"/>
  <c r="B15" i="65" s="1"/>
  <c r="B16" i="65" s="1"/>
  <c r="B17" i="65" s="1"/>
  <c r="Q15" i="65" l="1"/>
  <c r="R15" i="65" s="1"/>
  <c r="W16" i="66"/>
  <c r="W14" i="66"/>
  <c r="W15" i="66"/>
  <c r="W13" i="66"/>
  <c r="W17" i="66" s="1"/>
  <c r="L15" i="65"/>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B12" i="58"/>
  <c r="B13" i="58" s="1"/>
  <c r="B14" i="58" s="1"/>
  <c r="B15" i="58" s="1"/>
  <c r="B16" i="58" s="1"/>
  <c r="B17" i="58" s="1"/>
  <c r="B72" i="60"/>
  <c r="B73" i="60" s="1"/>
  <c r="B74" i="60" s="1"/>
  <c r="B75" i="60" s="1"/>
  <c r="B76" i="60" s="1"/>
  <c r="B77" i="60" s="1"/>
  <c r="B78" i="60" s="1"/>
  <c r="B79" i="60" s="1"/>
  <c r="B80" i="60" s="1"/>
  <c r="B81" i="60" s="1"/>
  <c r="B58" i="60"/>
  <c r="B59" i="60" s="1"/>
  <c r="B60" i="60" s="1"/>
  <c r="B61" i="60" s="1"/>
  <c r="B62" i="60" s="1"/>
  <c r="B63" i="60" s="1"/>
  <c r="B64" i="60" s="1"/>
  <c r="B65" i="60" s="1"/>
  <c r="B66" i="60" s="1"/>
  <c r="B67" i="60" s="1"/>
  <c r="B18" i="58" l="1"/>
  <c r="B19" i="58" s="1"/>
  <c r="B20" i="58" s="1"/>
  <c r="B21" i="58" s="1"/>
  <c r="B22" i="58" s="1"/>
  <c r="B23" i="58" s="1"/>
  <c r="B24" i="58" s="1"/>
  <c r="B25" i="58" l="1"/>
  <c r="B26" i="58" s="1"/>
  <c r="B27" i="58" s="1"/>
  <c r="H18" i="55" l="1"/>
  <c r="E62" i="105" l="1"/>
  <c r="J62" i="105" s="1"/>
  <c r="O62" i="105" s="1"/>
  <c r="T62" i="105" s="1"/>
  <c r="Y62" i="105" s="1"/>
  <c r="F36" i="81" l="1"/>
  <c r="F35" i="81"/>
  <c r="F37" i="81" s="1"/>
  <c r="I43" i="59" l="1"/>
  <c r="J43" i="59" s="1"/>
  <c r="W11" i="81" l="1"/>
  <c r="V11" i="81"/>
  <c r="U11" i="81"/>
  <c r="T11" i="81"/>
  <c r="S11" i="81"/>
  <c r="S52" i="81"/>
  <c r="G33" i="105"/>
  <c r="G164" i="119" l="1"/>
  <c r="G162" i="119"/>
  <c r="G161" i="119"/>
  <c r="G157" i="119"/>
  <c r="G154" i="119"/>
  <c r="G153" i="119"/>
  <c r="G151" i="119"/>
  <c r="G149" i="119"/>
  <c r="V57" i="119"/>
  <c r="L57" i="119"/>
  <c r="G148" i="119"/>
  <c r="V138" i="119"/>
  <c r="V134" i="119"/>
  <c r="V133" i="119"/>
  <c r="V132" i="119"/>
  <c r="V131" i="119"/>
  <c r="V130" i="119"/>
  <c r="V128" i="119"/>
  <c r="V126" i="119"/>
  <c r="V125" i="119"/>
  <c r="V123" i="119"/>
  <c r="V122" i="119"/>
  <c r="Q84" i="119"/>
  <c r="L84" i="119"/>
  <c r="G84" i="119"/>
  <c r="Q83" i="119"/>
  <c r="L83" i="119"/>
  <c r="G83" i="119"/>
  <c r="Q82" i="119"/>
  <c r="L82" i="119"/>
  <c r="G82" i="119"/>
  <c r="Q81" i="119"/>
  <c r="L81" i="119"/>
  <c r="G81" i="119"/>
  <c r="Q80" i="119"/>
  <c r="L80" i="119"/>
  <c r="G80" i="119"/>
  <c r="Q79" i="119"/>
  <c r="L79" i="119"/>
  <c r="G79" i="119"/>
  <c r="Q78" i="119"/>
  <c r="L78" i="119"/>
  <c r="G78" i="119"/>
  <c r="Q77" i="119"/>
  <c r="L77" i="119"/>
  <c r="G77" i="119"/>
  <c r="Q76" i="119"/>
  <c r="L76" i="119"/>
  <c r="G76" i="119"/>
  <c r="Q75" i="119"/>
  <c r="L75" i="119"/>
  <c r="G75" i="119"/>
  <c r="Q74" i="119"/>
  <c r="L74" i="119"/>
  <c r="G74" i="119"/>
  <c r="Q73" i="119"/>
  <c r="L73" i="119"/>
  <c r="G73" i="119"/>
  <c r="Q72" i="119"/>
  <c r="L72" i="119"/>
  <c r="G72" i="119"/>
  <c r="Q71" i="119"/>
  <c r="L71" i="119"/>
  <c r="G71" i="119"/>
  <c r="Q70" i="119"/>
  <c r="L70" i="119"/>
  <c r="G70" i="119"/>
  <c r="Q69" i="119"/>
  <c r="L69" i="119"/>
  <c r="G69" i="119"/>
  <c r="Q68" i="119"/>
  <c r="L68" i="119"/>
  <c r="G68" i="119"/>
  <c r="Q30" i="119"/>
  <c r="L30" i="119"/>
  <c r="G30" i="119"/>
  <c r="G138" i="119" s="1"/>
  <c r="Q29" i="119"/>
  <c r="Q137" i="119" s="1"/>
  <c r="L29" i="119"/>
  <c r="G29" i="119"/>
  <c r="Q28" i="119"/>
  <c r="L28" i="119"/>
  <c r="G28" i="119"/>
  <c r="Q27" i="119"/>
  <c r="L27" i="119"/>
  <c r="L135" i="119" s="1"/>
  <c r="G27" i="119"/>
  <c r="G135" i="119" s="1"/>
  <c r="Q26" i="119"/>
  <c r="Q134" i="119" s="1"/>
  <c r="L26" i="119"/>
  <c r="G26" i="119"/>
  <c r="Q25" i="119"/>
  <c r="L25" i="119"/>
  <c r="G25" i="119"/>
  <c r="Q24" i="119"/>
  <c r="L24" i="119"/>
  <c r="G24" i="119"/>
  <c r="G132" i="119" s="1"/>
  <c r="Q23" i="119"/>
  <c r="L23" i="119"/>
  <c r="G23" i="119"/>
  <c r="Q22" i="119"/>
  <c r="L22" i="119"/>
  <c r="G22" i="119"/>
  <c r="Q21" i="119"/>
  <c r="Q129" i="119" s="1"/>
  <c r="L21" i="119"/>
  <c r="G21" i="119"/>
  <c r="G129" i="119" s="1"/>
  <c r="Q20" i="119"/>
  <c r="L20" i="119"/>
  <c r="G20" i="119"/>
  <c r="Q19" i="119"/>
  <c r="L19" i="119"/>
  <c r="L127" i="119" s="1"/>
  <c r="G19" i="119"/>
  <c r="Q18" i="119"/>
  <c r="Q126" i="119" s="1"/>
  <c r="L18" i="119"/>
  <c r="G18" i="119"/>
  <c r="Q17" i="119"/>
  <c r="L17" i="119"/>
  <c r="G17" i="119"/>
  <c r="Q16" i="119"/>
  <c r="L16" i="119"/>
  <c r="G16" i="119"/>
  <c r="G124" i="119" s="1"/>
  <c r="Q15" i="119"/>
  <c r="L15" i="119"/>
  <c r="G15" i="119"/>
  <c r="Q14" i="119"/>
  <c r="L14" i="119"/>
  <c r="G14" i="119"/>
  <c r="G122" i="119" s="1"/>
  <c r="K5" i="119"/>
  <c r="K4" i="119"/>
  <c r="V165" i="119"/>
  <c r="U165" i="119"/>
  <c r="T165" i="119"/>
  <c r="Q165" i="119"/>
  <c r="P165" i="119"/>
  <c r="O165" i="119"/>
  <c r="L165" i="119"/>
  <c r="K165" i="119"/>
  <c r="J165" i="119"/>
  <c r="B149" i="119"/>
  <c r="B150" i="119" s="1"/>
  <c r="B151" i="119" s="1"/>
  <c r="B152" i="119" s="1"/>
  <c r="B153" i="119" s="1"/>
  <c r="B154" i="119" s="1"/>
  <c r="B155" i="119" s="1"/>
  <c r="B156" i="119" s="1"/>
  <c r="B157" i="119" s="1"/>
  <c r="B158" i="119" s="1"/>
  <c r="B159" i="119" s="1"/>
  <c r="B160" i="119" s="1"/>
  <c r="B161" i="119" s="1"/>
  <c r="B162" i="119" s="1"/>
  <c r="B163" i="119" s="1"/>
  <c r="B164" i="119" s="1"/>
  <c r="B123" i="119"/>
  <c r="B124" i="119" s="1"/>
  <c r="B125" i="119" s="1"/>
  <c r="B126" i="119" s="1"/>
  <c r="B127" i="119" s="1"/>
  <c r="B128" i="119" s="1"/>
  <c r="B129" i="119" s="1"/>
  <c r="B130" i="119" s="1"/>
  <c r="B131" i="119" s="1"/>
  <c r="B132" i="119" s="1"/>
  <c r="B133" i="119" s="1"/>
  <c r="B134" i="119" s="1"/>
  <c r="B135" i="119" s="1"/>
  <c r="B136" i="119" s="1"/>
  <c r="B137" i="119" s="1"/>
  <c r="B138" i="119" s="1"/>
  <c r="B96" i="119"/>
  <c r="B97" i="119" s="1"/>
  <c r="B98" i="119" s="1"/>
  <c r="B99" i="119" s="1"/>
  <c r="B100" i="119" s="1"/>
  <c r="B101" i="119" s="1"/>
  <c r="B102" i="119" s="1"/>
  <c r="B103" i="119" s="1"/>
  <c r="B104" i="119" s="1"/>
  <c r="B105" i="119" s="1"/>
  <c r="B106" i="119" s="1"/>
  <c r="B107" i="119" s="1"/>
  <c r="B108" i="119" s="1"/>
  <c r="B109" i="119" s="1"/>
  <c r="B110" i="119" s="1"/>
  <c r="B111" i="119" s="1"/>
  <c r="L112" i="119"/>
  <c r="B69" i="119"/>
  <c r="B70" i="119" s="1"/>
  <c r="B71" i="119" s="1"/>
  <c r="B72" i="119" s="1"/>
  <c r="B73" i="119" s="1"/>
  <c r="B74" i="119" s="1"/>
  <c r="B75" i="119" s="1"/>
  <c r="B76" i="119" s="1"/>
  <c r="B77" i="119" s="1"/>
  <c r="B78" i="119" s="1"/>
  <c r="B79" i="119" s="1"/>
  <c r="B80" i="119" s="1"/>
  <c r="B81" i="119" s="1"/>
  <c r="B82" i="119" s="1"/>
  <c r="B83" i="119" s="1"/>
  <c r="B84" i="119" s="1"/>
  <c r="G160" i="119"/>
  <c r="G150" i="119"/>
  <c r="B41" i="119"/>
  <c r="B42" i="119" s="1"/>
  <c r="B43" i="119" s="1"/>
  <c r="B44" i="119" s="1"/>
  <c r="B45" i="119" s="1"/>
  <c r="B46" i="119" s="1"/>
  <c r="B47" i="119" s="1"/>
  <c r="B48" i="119" s="1"/>
  <c r="B49" i="119" s="1"/>
  <c r="B50" i="119" s="1"/>
  <c r="B51" i="119" s="1"/>
  <c r="B52" i="119" s="1"/>
  <c r="B53" i="119" s="1"/>
  <c r="B54" i="119" s="1"/>
  <c r="B55" i="119" s="1"/>
  <c r="B56" i="119" s="1"/>
  <c r="B15" i="119"/>
  <c r="B16" i="119" s="1"/>
  <c r="B17" i="119" s="1"/>
  <c r="B18" i="119" s="1"/>
  <c r="B19" i="119" s="1"/>
  <c r="B20" i="119" s="1"/>
  <c r="B21" i="119" s="1"/>
  <c r="B22" i="119" s="1"/>
  <c r="B23" i="119" s="1"/>
  <c r="B24" i="119" s="1"/>
  <c r="B25" i="119" s="1"/>
  <c r="B26" i="119" s="1"/>
  <c r="B27" i="119" s="1"/>
  <c r="B28" i="119" s="1"/>
  <c r="B29" i="119" s="1"/>
  <c r="B30" i="119" s="1"/>
  <c r="Q125" i="119" l="1"/>
  <c r="G123" i="119"/>
  <c r="L138" i="119"/>
  <c r="G137" i="119"/>
  <c r="Q127" i="119"/>
  <c r="Q135" i="119"/>
  <c r="G125" i="119"/>
  <c r="G133" i="119"/>
  <c r="G130" i="119"/>
  <c r="Q123" i="119"/>
  <c r="Q131" i="119"/>
  <c r="L131" i="119"/>
  <c r="L134" i="119"/>
  <c r="Q124" i="119"/>
  <c r="Q132" i="119"/>
  <c r="L129" i="119"/>
  <c r="L137" i="119"/>
  <c r="G131" i="119"/>
  <c r="Q85" i="119"/>
  <c r="V129" i="119"/>
  <c r="V137" i="119"/>
  <c r="L133" i="119"/>
  <c r="L128" i="119"/>
  <c r="L136" i="119"/>
  <c r="V136" i="119"/>
  <c r="V127" i="119"/>
  <c r="G163" i="119"/>
  <c r="Q130" i="119"/>
  <c r="G134" i="119"/>
  <c r="Q138" i="119"/>
  <c r="L126" i="119"/>
  <c r="Q128" i="119"/>
  <c r="G128" i="119"/>
  <c r="J86" i="119"/>
  <c r="G155" i="119"/>
  <c r="G159" i="119"/>
  <c r="V31" i="119"/>
  <c r="G85" i="119"/>
  <c r="G152" i="119"/>
  <c r="L123" i="119"/>
  <c r="G127" i="119"/>
  <c r="L130" i="119"/>
  <c r="Q57" i="119"/>
  <c r="G156" i="119"/>
  <c r="L85" i="119"/>
  <c r="V85" i="119"/>
  <c r="Q112" i="119"/>
  <c r="Q122" i="119"/>
  <c r="Q31" i="119"/>
  <c r="L124" i="119"/>
  <c r="V124" i="119"/>
  <c r="L122" i="119"/>
  <c r="L31" i="119"/>
  <c r="G136" i="119"/>
  <c r="L132" i="119"/>
  <c r="G57" i="119"/>
  <c r="V135" i="119"/>
  <c r="Q136" i="119"/>
  <c r="G112" i="119"/>
  <c r="Q133" i="119"/>
  <c r="L125" i="119"/>
  <c r="G126" i="119"/>
  <c r="G31" i="119"/>
  <c r="V112" i="119"/>
  <c r="G158" i="119"/>
  <c r="E113" i="119" l="1"/>
  <c r="O86" i="119"/>
  <c r="G139" i="119"/>
  <c r="V139" i="119"/>
  <c r="G165" i="119"/>
  <c r="Q139" i="119"/>
  <c r="L139" i="119"/>
  <c r="B2" i="118"/>
  <c r="B2" i="117"/>
  <c r="A2" i="115"/>
  <c r="L2" i="114"/>
  <c r="C2" i="113"/>
  <c r="F2" i="112"/>
  <c r="B2" i="111"/>
  <c r="G2" i="110"/>
  <c r="H3" i="109"/>
  <c r="H2" i="108"/>
  <c r="C2" i="107"/>
  <c r="E2" i="106"/>
  <c r="B4" i="118" l="1"/>
  <c r="B9" i="118"/>
  <c r="B10" i="118" s="1"/>
  <c r="B11" i="118" s="1"/>
  <c r="B12" i="118" s="1"/>
  <c r="B13" i="118" s="1"/>
  <c r="B14" i="118" s="1"/>
  <c r="B15" i="118" s="1"/>
  <c r="B16" i="118" s="1"/>
  <c r="B17" i="118" s="1"/>
  <c r="B18" i="118" s="1"/>
  <c r="B19" i="118" s="1"/>
  <c r="B20" i="118" s="1"/>
  <c r="B5" i="117" l="1"/>
  <c r="B15" i="117"/>
  <c r="P5" i="104" l="1"/>
  <c r="P5" i="105"/>
  <c r="T39" i="114" l="1"/>
  <c r="B64" i="55"/>
  <c r="B65" i="55" s="1"/>
  <c r="B55" i="55"/>
  <c r="B56" i="55" s="1"/>
  <c r="B57" i="55" s="1"/>
  <c r="B58" i="55" s="1"/>
  <c r="AA87" i="105"/>
  <c r="V87" i="105"/>
  <c r="Q87" i="105"/>
  <c r="L87" i="105"/>
  <c r="G87" i="105"/>
  <c r="D86" i="105"/>
  <c r="B71" i="105"/>
  <c r="B72" i="105" s="1"/>
  <c r="B73" i="105" s="1"/>
  <c r="B74" i="105" s="1"/>
  <c r="B75" i="105" s="1"/>
  <c r="B76" i="105" s="1"/>
  <c r="B77" i="105" s="1"/>
  <c r="B78" i="105" s="1"/>
  <c r="B79" i="105" s="1"/>
  <c r="B80" i="105" s="1"/>
  <c r="B81" i="105" s="1"/>
  <c r="B82" i="105" s="1"/>
  <c r="B83" i="105" s="1"/>
  <c r="B84" i="105" s="1"/>
  <c r="B85" i="105" s="1"/>
  <c r="B86" i="105" s="1"/>
  <c r="V61" i="105"/>
  <c r="Q61" i="105"/>
  <c r="L61" i="105"/>
  <c r="G61" i="105"/>
  <c r="F60" i="105"/>
  <c r="F58" i="105"/>
  <c r="F57" i="105"/>
  <c r="F56" i="105"/>
  <c r="F55" i="105"/>
  <c r="F54" i="105"/>
  <c r="F53" i="105"/>
  <c r="F52" i="105"/>
  <c r="F51" i="105"/>
  <c r="F50" i="105"/>
  <c r="F49" i="105"/>
  <c r="F48" i="105"/>
  <c r="F47" i="105"/>
  <c r="F46" i="105"/>
  <c r="F45" i="105"/>
  <c r="B45" i="105"/>
  <c r="B46" i="105" s="1"/>
  <c r="B47" i="105" s="1"/>
  <c r="B48" i="105" s="1"/>
  <c r="B49" i="105" s="1"/>
  <c r="B50" i="105" s="1"/>
  <c r="B51" i="105" s="1"/>
  <c r="B52" i="105" s="1"/>
  <c r="B53" i="105" s="1"/>
  <c r="B54" i="105" s="1"/>
  <c r="B55" i="105" s="1"/>
  <c r="B56" i="105" s="1"/>
  <c r="B57" i="105" s="1"/>
  <c r="B58" i="105" s="1"/>
  <c r="B59" i="105" s="1"/>
  <c r="B60" i="105" s="1"/>
  <c r="F44" i="105"/>
  <c r="AA33" i="105"/>
  <c r="V33" i="105"/>
  <c r="Q33" i="105"/>
  <c r="L33" i="105"/>
  <c r="B17" i="105"/>
  <c r="B18" i="105" s="1"/>
  <c r="B19" i="105" s="1"/>
  <c r="B20" i="105" s="1"/>
  <c r="B21" i="105" s="1"/>
  <c r="B22" i="105" s="1"/>
  <c r="B23" i="105" s="1"/>
  <c r="B24" i="105" s="1"/>
  <c r="B25" i="105" s="1"/>
  <c r="B26" i="105" s="1"/>
  <c r="B27" i="105" s="1"/>
  <c r="B28" i="105" s="1"/>
  <c r="B29" i="105" s="1"/>
  <c r="B30" i="105" s="1"/>
  <c r="B31" i="105" s="1"/>
  <c r="B32" i="105" s="1"/>
  <c r="P4" i="105"/>
  <c r="K5" i="104"/>
  <c r="K4" i="104"/>
  <c r="H14" i="104"/>
  <c r="I14" i="104" s="1"/>
  <c r="B15" i="104"/>
  <c r="B16" i="104" s="1"/>
  <c r="B17" i="104" s="1"/>
  <c r="B18" i="104" s="1"/>
  <c r="B19" i="104" s="1"/>
  <c r="B20" i="104" s="1"/>
  <c r="B21" i="104" s="1"/>
  <c r="B22" i="104" s="1"/>
  <c r="B23" i="104" s="1"/>
  <c r="B24" i="104" s="1"/>
  <c r="B25" i="104" s="1"/>
  <c r="B26" i="104" s="1"/>
  <c r="B27" i="104" s="1"/>
  <c r="B28" i="104" s="1"/>
  <c r="B29" i="104" s="1"/>
  <c r="B30" i="104" s="1"/>
  <c r="H15" i="104"/>
  <c r="I15" i="104" s="1"/>
  <c r="M15" i="104" s="1"/>
  <c r="N15" i="104" s="1"/>
  <c r="H16" i="104"/>
  <c r="I16" i="104" s="1"/>
  <c r="H17" i="104"/>
  <c r="I17" i="104" s="1"/>
  <c r="M17" i="104" s="1"/>
  <c r="N17" i="104" s="1"/>
  <c r="R17" i="104" s="1"/>
  <c r="S17" i="104" s="1"/>
  <c r="W17" i="104" s="1"/>
  <c r="D43" i="104" s="1"/>
  <c r="H43" i="104" s="1"/>
  <c r="I43" i="104" s="1"/>
  <c r="M43" i="104" s="1"/>
  <c r="N43" i="104" s="1"/>
  <c r="R43" i="104" s="1"/>
  <c r="S43" i="104" s="1"/>
  <c r="W43" i="104" s="1"/>
  <c r="H18" i="104"/>
  <c r="I18" i="104" s="1"/>
  <c r="M18" i="104" s="1"/>
  <c r="N18" i="104" s="1"/>
  <c r="R18" i="104" s="1"/>
  <c r="S18" i="104" s="1"/>
  <c r="W18" i="104" s="1"/>
  <c r="D44" i="104" s="1"/>
  <c r="H44" i="104" s="1"/>
  <c r="I44" i="104" s="1"/>
  <c r="M44" i="104" s="1"/>
  <c r="N44" i="104" s="1"/>
  <c r="R44" i="104" s="1"/>
  <c r="S44" i="104" s="1"/>
  <c r="W44" i="104" s="1"/>
  <c r="H19" i="104"/>
  <c r="I19" i="104" s="1"/>
  <c r="M19" i="104" s="1"/>
  <c r="N19" i="104" s="1"/>
  <c r="R19" i="104" s="1"/>
  <c r="S19" i="104" s="1"/>
  <c r="W19" i="104" s="1"/>
  <c r="D45" i="104" s="1"/>
  <c r="H45" i="104" s="1"/>
  <c r="I45" i="104" s="1"/>
  <c r="H20" i="104"/>
  <c r="I20" i="104" s="1"/>
  <c r="M20" i="104" s="1"/>
  <c r="N20" i="104" s="1"/>
  <c r="R20" i="104" s="1"/>
  <c r="S20" i="104" s="1"/>
  <c r="W20" i="104" s="1"/>
  <c r="D46" i="104" s="1"/>
  <c r="H46" i="104" s="1"/>
  <c r="I46" i="104" s="1"/>
  <c r="M46" i="104" s="1"/>
  <c r="N46" i="104" s="1"/>
  <c r="R46" i="104" s="1"/>
  <c r="S46" i="104" s="1"/>
  <c r="W46" i="104" s="1"/>
  <c r="H21" i="104"/>
  <c r="I21" i="104" s="1"/>
  <c r="H22" i="104"/>
  <c r="I22" i="104" s="1"/>
  <c r="M22" i="104" s="1"/>
  <c r="N22" i="104" s="1"/>
  <c r="R22" i="104" s="1"/>
  <c r="S22" i="104" s="1"/>
  <c r="W22" i="104" s="1"/>
  <c r="D48" i="104" s="1"/>
  <c r="H48" i="104" s="1"/>
  <c r="I48" i="104" s="1"/>
  <c r="M48" i="104" s="1"/>
  <c r="N48" i="104" s="1"/>
  <c r="R48" i="104" s="1"/>
  <c r="S48" i="104" s="1"/>
  <c r="H23" i="104"/>
  <c r="I23" i="104" s="1"/>
  <c r="M23" i="104" s="1"/>
  <c r="N23" i="104" s="1"/>
  <c r="R23" i="104" s="1"/>
  <c r="S23" i="104" s="1"/>
  <c r="W23" i="104" s="1"/>
  <c r="D49" i="104" s="1"/>
  <c r="H49" i="104" s="1"/>
  <c r="I49" i="104" s="1"/>
  <c r="M49" i="104" s="1"/>
  <c r="N49" i="104" s="1"/>
  <c r="R49" i="104" s="1"/>
  <c r="S49" i="104" s="1"/>
  <c r="W49" i="104" s="1"/>
  <c r="H24" i="104"/>
  <c r="I24" i="104" s="1"/>
  <c r="M24" i="104" s="1"/>
  <c r="N24" i="104" s="1"/>
  <c r="R24" i="104" s="1"/>
  <c r="S24" i="104" s="1"/>
  <c r="W24" i="104" s="1"/>
  <c r="D50" i="104" s="1"/>
  <c r="H50" i="104" s="1"/>
  <c r="I50" i="104" s="1"/>
  <c r="M50" i="104" s="1"/>
  <c r="N50" i="104" s="1"/>
  <c r="R50" i="104" s="1"/>
  <c r="S50" i="104" s="1"/>
  <c r="W50" i="104" s="1"/>
  <c r="H25" i="104"/>
  <c r="I25" i="104" s="1"/>
  <c r="M25" i="104" s="1"/>
  <c r="N25" i="104" s="1"/>
  <c r="R25" i="104" s="1"/>
  <c r="S25" i="104" s="1"/>
  <c r="W25" i="104" s="1"/>
  <c r="D51" i="104" s="1"/>
  <c r="H51" i="104" s="1"/>
  <c r="I51" i="104" s="1"/>
  <c r="M51" i="104" s="1"/>
  <c r="N51" i="104" s="1"/>
  <c r="R51" i="104" s="1"/>
  <c r="S51" i="104" s="1"/>
  <c r="W51" i="104" s="1"/>
  <c r="H26" i="104"/>
  <c r="I26" i="104" s="1"/>
  <c r="M26" i="104" s="1"/>
  <c r="N26" i="104" s="1"/>
  <c r="R26" i="104" s="1"/>
  <c r="S26" i="104" s="1"/>
  <c r="W26" i="104" s="1"/>
  <c r="D52" i="104" s="1"/>
  <c r="H52" i="104" s="1"/>
  <c r="I52" i="104" s="1"/>
  <c r="M52" i="104" s="1"/>
  <c r="N52" i="104" s="1"/>
  <c r="R52" i="104" s="1"/>
  <c r="S52" i="104" s="1"/>
  <c r="W52" i="104" s="1"/>
  <c r="H27" i="104"/>
  <c r="I27" i="104" s="1"/>
  <c r="H28" i="104"/>
  <c r="I28" i="104" s="1"/>
  <c r="M28" i="104" s="1"/>
  <c r="N28" i="104" s="1"/>
  <c r="R28" i="104" s="1"/>
  <c r="S28" i="104" s="1"/>
  <c r="W28" i="104" s="1"/>
  <c r="D54" i="104" s="1"/>
  <c r="H54" i="104" s="1"/>
  <c r="I54" i="104" s="1"/>
  <c r="M54" i="104" s="1"/>
  <c r="N54" i="104" s="1"/>
  <c r="R54" i="104" s="1"/>
  <c r="S54" i="104" s="1"/>
  <c r="W54" i="104" s="1"/>
  <c r="H29" i="104"/>
  <c r="I29" i="104" s="1"/>
  <c r="M29" i="104" s="1"/>
  <c r="N29" i="104" s="1"/>
  <c r="R29" i="104" s="1"/>
  <c r="S29" i="104" s="1"/>
  <c r="W29" i="104" s="1"/>
  <c r="D55" i="104" s="1"/>
  <c r="H55" i="104" s="1"/>
  <c r="I55" i="104" s="1"/>
  <c r="M55" i="104" s="1"/>
  <c r="N55" i="104" s="1"/>
  <c r="R55" i="104" s="1"/>
  <c r="S55" i="104" s="1"/>
  <c r="W55" i="104" s="1"/>
  <c r="H30" i="104"/>
  <c r="I30" i="104" s="1"/>
  <c r="J31" i="104"/>
  <c r="K31" i="104"/>
  <c r="L31" i="104"/>
  <c r="O31" i="104"/>
  <c r="P31" i="104"/>
  <c r="Q31" i="104"/>
  <c r="T31" i="104"/>
  <c r="U31" i="104"/>
  <c r="V31" i="104"/>
  <c r="B41" i="104"/>
  <c r="B42" i="104" s="1"/>
  <c r="B43" i="104" s="1"/>
  <c r="B44" i="104" s="1"/>
  <c r="B45" i="104" s="1"/>
  <c r="B46" i="104" s="1"/>
  <c r="B47" i="104" s="1"/>
  <c r="B48" i="104" s="1"/>
  <c r="B49" i="104" s="1"/>
  <c r="B50" i="104" s="1"/>
  <c r="B51" i="104" s="1"/>
  <c r="B52" i="104" s="1"/>
  <c r="B53" i="104" s="1"/>
  <c r="B54" i="104" s="1"/>
  <c r="B55" i="104" s="1"/>
  <c r="B56" i="104" s="1"/>
  <c r="E57" i="104"/>
  <c r="F57" i="104"/>
  <c r="G57" i="104"/>
  <c r="J57" i="104"/>
  <c r="K57" i="104"/>
  <c r="L57" i="104"/>
  <c r="O57" i="104"/>
  <c r="P57" i="104"/>
  <c r="Q57" i="104"/>
  <c r="T57" i="104"/>
  <c r="U57" i="104"/>
  <c r="V57" i="104"/>
  <c r="E68" i="104"/>
  <c r="F68" i="104"/>
  <c r="F122" i="104" s="1"/>
  <c r="B69" i="104"/>
  <c r="B70" i="104" s="1"/>
  <c r="B71" i="104" s="1"/>
  <c r="B72" i="104" s="1"/>
  <c r="B73" i="104" s="1"/>
  <c r="B74" i="104" s="1"/>
  <c r="B75" i="104" s="1"/>
  <c r="B76" i="104" s="1"/>
  <c r="B77" i="104" s="1"/>
  <c r="B78" i="104" s="1"/>
  <c r="B79" i="104" s="1"/>
  <c r="B80" i="104" s="1"/>
  <c r="B81" i="104" s="1"/>
  <c r="B82" i="104" s="1"/>
  <c r="B83" i="104" s="1"/>
  <c r="B84" i="104" s="1"/>
  <c r="E69" i="104"/>
  <c r="E123" i="104" s="1"/>
  <c r="F69" i="104"/>
  <c r="F123" i="104" s="1"/>
  <c r="E70" i="104"/>
  <c r="F70" i="104"/>
  <c r="F124" i="104" s="1"/>
  <c r="E71" i="104"/>
  <c r="E125" i="104" s="1"/>
  <c r="F71" i="104"/>
  <c r="F125" i="104" s="1"/>
  <c r="E72" i="104"/>
  <c r="E126" i="104" s="1"/>
  <c r="F72" i="104"/>
  <c r="F126" i="104" s="1"/>
  <c r="E73" i="104"/>
  <c r="F73" i="104"/>
  <c r="F127" i="104" s="1"/>
  <c r="E74" i="104"/>
  <c r="E128" i="104" s="1"/>
  <c r="F74" i="104"/>
  <c r="F128" i="104" s="1"/>
  <c r="E75" i="104"/>
  <c r="F75" i="104"/>
  <c r="F129" i="104" s="1"/>
  <c r="E76" i="104"/>
  <c r="E130" i="104" s="1"/>
  <c r="F76" i="104"/>
  <c r="E77" i="104"/>
  <c r="F77" i="104"/>
  <c r="F131" i="104" s="1"/>
  <c r="E78" i="104"/>
  <c r="F78" i="104"/>
  <c r="F132" i="104" s="1"/>
  <c r="E79" i="104"/>
  <c r="E133" i="104" s="1"/>
  <c r="F79" i="104"/>
  <c r="F133" i="104" s="1"/>
  <c r="E80" i="104"/>
  <c r="E134" i="104" s="1"/>
  <c r="F80" i="104"/>
  <c r="F134" i="104" s="1"/>
  <c r="E81" i="104"/>
  <c r="E135" i="104" s="1"/>
  <c r="F81" i="104"/>
  <c r="F135" i="104" s="1"/>
  <c r="E82" i="104"/>
  <c r="F82" i="104"/>
  <c r="F136" i="104" s="1"/>
  <c r="E83" i="104"/>
  <c r="F83" i="104"/>
  <c r="F137" i="104" s="1"/>
  <c r="E84" i="104"/>
  <c r="F84" i="104"/>
  <c r="F138" i="104" s="1"/>
  <c r="G85" i="104"/>
  <c r="L85" i="104"/>
  <c r="Q85" i="104"/>
  <c r="V85" i="104"/>
  <c r="B96" i="104"/>
  <c r="B97" i="104" s="1"/>
  <c r="B98" i="104" s="1"/>
  <c r="B99" i="104" s="1"/>
  <c r="B100" i="104" s="1"/>
  <c r="B101" i="104" s="1"/>
  <c r="B102" i="104" s="1"/>
  <c r="B103" i="104" s="1"/>
  <c r="B104" i="104" s="1"/>
  <c r="B105" i="104" s="1"/>
  <c r="B106" i="104" s="1"/>
  <c r="B107" i="104" s="1"/>
  <c r="B108" i="104" s="1"/>
  <c r="B109" i="104" s="1"/>
  <c r="B110" i="104" s="1"/>
  <c r="B111" i="104" s="1"/>
  <c r="G112" i="104"/>
  <c r="L112" i="104"/>
  <c r="Q112" i="104"/>
  <c r="V112" i="104"/>
  <c r="D122" i="104"/>
  <c r="B123" i="104"/>
  <c r="B124" i="104" s="1"/>
  <c r="B125" i="104" s="1"/>
  <c r="B126" i="104" s="1"/>
  <c r="B127" i="104" s="1"/>
  <c r="B128" i="104" s="1"/>
  <c r="B129" i="104" s="1"/>
  <c r="B130" i="104" s="1"/>
  <c r="B131" i="104" s="1"/>
  <c r="B132" i="104" s="1"/>
  <c r="B133" i="104" s="1"/>
  <c r="B134" i="104" s="1"/>
  <c r="B135" i="104" s="1"/>
  <c r="B136" i="104" s="1"/>
  <c r="B137" i="104" s="1"/>
  <c r="B138" i="104" s="1"/>
  <c r="D123" i="104"/>
  <c r="D124" i="104"/>
  <c r="D125" i="104"/>
  <c r="D126" i="104"/>
  <c r="D127" i="104"/>
  <c r="D128" i="104"/>
  <c r="D129" i="104"/>
  <c r="D130" i="104"/>
  <c r="F130" i="104"/>
  <c r="D131" i="104"/>
  <c r="D132" i="104"/>
  <c r="D133" i="104"/>
  <c r="D134" i="104"/>
  <c r="D135" i="104"/>
  <c r="D136" i="104"/>
  <c r="D137" i="104"/>
  <c r="D138" i="104"/>
  <c r="G139" i="104"/>
  <c r="L139" i="104"/>
  <c r="Q139" i="104"/>
  <c r="V139" i="104"/>
  <c r="B149" i="104"/>
  <c r="B150" i="104" s="1"/>
  <c r="B151" i="104" s="1"/>
  <c r="B152" i="104" s="1"/>
  <c r="B153" i="104" s="1"/>
  <c r="B154" i="104" s="1"/>
  <c r="B155" i="104" s="1"/>
  <c r="B156" i="104" s="1"/>
  <c r="B157" i="104" s="1"/>
  <c r="B158" i="104" s="1"/>
  <c r="B159" i="104" s="1"/>
  <c r="B160" i="104" s="1"/>
  <c r="B161" i="104" s="1"/>
  <c r="B162" i="104" s="1"/>
  <c r="B163" i="104" s="1"/>
  <c r="B164" i="104" s="1"/>
  <c r="G165" i="104"/>
  <c r="L165" i="104"/>
  <c r="Q165" i="104"/>
  <c r="V165" i="104"/>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H80" i="104" l="1"/>
  <c r="I80" i="104" s="1"/>
  <c r="H135" i="104"/>
  <c r="H78" i="104"/>
  <c r="I78" i="104" s="1"/>
  <c r="I132" i="104" s="1"/>
  <c r="H70" i="104"/>
  <c r="I70" i="104" s="1"/>
  <c r="J70" i="104" s="1"/>
  <c r="J124" i="104" s="1"/>
  <c r="E124" i="104"/>
  <c r="H125" i="104"/>
  <c r="H124" i="104"/>
  <c r="H75" i="104"/>
  <c r="I75" i="104" s="1"/>
  <c r="J75" i="104" s="1"/>
  <c r="J129" i="104" s="1"/>
  <c r="M21" i="104"/>
  <c r="N21" i="104" s="1"/>
  <c r="R21" i="104" s="1"/>
  <c r="S21" i="104" s="1"/>
  <c r="W21" i="104" s="1"/>
  <c r="D47" i="104" s="1"/>
  <c r="H47" i="104" s="1"/>
  <c r="I47" i="104" s="1"/>
  <c r="M47" i="104" s="1"/>
  <c r="N47" i="104" s="1"/>
  <c r="R47" i="104" s="1"/>
  <c r="S47" i="104" s="1"/>
  <c r="W47" i="104" s="1"/>
  <c r="M16" i="104"/>
  <c r="N16" i="104" s="1"/>
  <c r="K78" i="104"/>
  <c r="K132" i="104" s="1"/>
  <c r="J78" i="104"/>
  <c r="J132" i="104" s="1"/>
  <c r="E132" i="104"/>
  <c r="H132" i="104" s="1"/>
  <c r="H72" i="104"/>
  <c r="I72" i="104" s="1"/>
  <c r="I126" i="104" s="1"/>
  <c r="E129" i="104"/>
  <c r="H129" i="104" s="1"/>
  <c r="H128" i="104"/>
  <c r="H83" i="104"/>
  <c r="I83" i="104" s="1"/>
  <c r="I137" i="104" s="1"/>
  <c r="H77" i="104"/>
  <c r="I77" i="104" s="1"/>
  <c r="I131" i="104" s="1"/>
  <c r="H31" i="104"/>
  <c r="H134" i="104"/>
  <c r="F139" i="104"/>
  <c r="M27" i="104"/>
  <c r="N27" i="104" s="1"/>
  <c r="R27" i="104" s="1"/>
  <c r="S27" i="104" s="1"/>
  <c r="W27" i="104" s="1"/>
  <c r="D53" i="104" s="1"/>
  <c r="H53" i="104" s="1"/>
  <c r="I53" i="104" s="1"/>
  <c r="M53" i="104" s="1"/>
  <c r="N53" i="104" s="1"/>
  <c r="R53" i="104" s="1"/>
  <c r="S53" i="104" s="1"/>
  <c r="W53" i="104" s="1"/>
  <c r="M30" i="104"/>
  <c r="N30" i="104" s="1"/>
  <c r="R30" i="104" s="1"/>
  <c r="S30" i="104" s="1"/>
  <c r="W30" i="104" s="1"/>
  <c r="D56" i="104" s="1"/>
  <c r="H56" i="104" s="1"/>
  <c r="I56" i="104" s="1"/>
  <c r="M56" i="104" s="1"/>
  <c r="N56" i="104" s="1"/>
  <c r="R56" i="104" s="1"/>
  <c r="S56" i="104" s="1"/>
  <c r="W56" i="104" s="1"/>
  <c r="H76" i="104"/>
  <c r="I76" i="104" s="1"/>
  <c r="J76" i="104" s="1"/>
  <c r="J130" i="104" s="1"/>
  <c r="H130" i="104"/>
  <c r="E137" i="104"/>
  <c r="H137" i="104" s="1"/>
  <c r="F85" i="104"/>
  <c r="H82" i="104"/>
  <c r="I82" i="104" s="1"/>
  <c r="I136" i="104" s="1"/>
  <c r="H73" i="104"/>
  <c r="I73" i="104" s="1"/>
  <c r="I127" i="104" s="1"/>
  <c r="H68" i="104"/>
  <c r="I68" i="104" s="1"/>
  <c r="H133" i="104"/>
  <c r="H84" i="104"/>
  <c r="I84" i="104" s="1"/>
  <c r="K84" i="104" s="1"/>
  <c r="K138" i="104" s="1"/>
  <c r="I134" i="104"/>
  <c r="E131" i="104"/>
  <c r="H131" i="104" s="1"/>
  <c r="E127" i="104"/>
  <c r="H127" i="104" s="1"/>
  <c r="H126" i="104"/>
  <c r="H79" i="104"/>
  <c r="I79" i="104" s="1"/>
  <c r="I133" i="104" s="1"/>
  <c r="H123" i="104"/>
  <c r="H81" i="104"/>
  <c r="I81" i="104" s="1"/>
  <c r="K81" i="104" s="1"/>
  <c r="K135" i="104" s="1"/>
  <c r="E138" i="104"/>
  <c r="H138" i="104" s="1"/>
  <c r="E122" i="104"/>
  <c r="H122" i="104" s="1"/>
  <c r="E136" i="104"/>
  <c r="H136" i="104" s="1"/>
  <c r="H71" i="104"/>
  <c r="I71" i="104" s="1"/>
  <c r="I125" i="104" s="1"/>
  <c r="H69" i="104"/>
  <c r="I69" i="104" s="1"/>
  <c r="I123" i="104" s="1"/>
  <c r="M45" i="104"/>
  <c r="N45" i="104" s="1"/>
  <c r="W48" i="104"/>
  <c r="K80" i="104"/>
  <c r="K134" i="104" s="1"/>
  <c r="J80" i="104"/>
  <c r="J134" i="104" s="1"/>
  <c r="R15" i="104"/>
  <c r="S15" i="104" s="1"/>
  <c r="H74" i="104"/>
  <c r="I74" i="104" s="1"/>
  <c r="E85" i="104"/>
  <c r="D139" i="104"/>
  <c r="K83" i="104"/>
  <c r="K137" i="104" s="1"/>
  <c r="J83" i="104"/>
  <c r="J137" i="104" s="1"/>
  <c r="R16" i="104"/>
  <c r="S16" i="104" s="1"/>
  <c r="I31" i="104"/>
  <c r="M14" i="104"/>
  <c r="P11" i="81"/>
  <c r="O11" i="81"/>
  <c r="I124" i="104" l="1"/>
  <c r="K72" i="104"/>
  <c r="K126" i="104" s="1"/>
  <c r="M137" i="104"/>
  <c r="K79" i="104"/>
  <c r="K133" i="104" s="1"/>
  <c r="K77" i="104"/>
  <c r="K131" i="104" s="1"/>
  <c r="M83" i="104"/>
  <c r="N83" i="104" s="1"/>
  <c r="P83" i="104" s="1"/>
  <c r="P137" i="104" s="1"/>
  <c r="K75" i="104"/>
  <c r="K129" i="104" s="1"/>
  <c r="J72" i="104"/>
  <c r="J126" i="104" s="1"/>
  <c r="M126" i="104" s="1"/>
  <c r="K70" i="104"/>
  <c r="K124" i="104" s="1"/>
  <c r="J71" i="104"/>
  <c r="J125" i="104" s="1"/>
  <c r="M124" i="104"/>
  <c r="J73" i="104"/>
  <c r="J127" i="104" s="1"/>
  <c r="I129" i="104"/>
  <c r="M134" i="104"/>
  <c r="M70" i="104"/>
  <c r="N70" i="104" s="1"/>
  <c r="N124" i="104" s="1"/>
  <c r="J77" i="104"/>
  <c r="J131" i="104" s="1"/>
  <c r="M131" i="104" s="1"/>
  <c r="J84" i="104"/>
  <c r="J138" i="104" s="1"/>
  <c r="I138" i="104"/>
  <c r="I135" i="104"/>
  <c r="M78" i="104"/>
  <c r="N78" i="104" s="1"/>
  <c r="P78" i="104" s="1"/>
  <c r="P132" i="104" s="1"/>
  <c r="K73" i="104"/>
  <c r="K127" i="104" s="1"/>
  <c r="H139" i="104"/>
  <c r="M132" i="104"/>
  <c r="J79" i="104"/>
  <c r="J133" i="104" s="1"/>
  <c r="M133" i="104" s="1"/>
  <c r="K71" i="104"/>
  <c r="K125" i="104" s="1"/>
  <c r="K76" i="104"/>
  <c r="K130" i="104" s="1"/>
  <c r="I130" i="104"/>
  <c r="E139" i="104"/>
  <c r="J81" i="104"/>
  <c r="M81" i="104" s="1"/>
  <c r="N81" i="104" s="1"/>
  <c r="J69" i="104"/>
  <c r="J123" i="104" s="1"/>
  <c r="J82" i="104"/>
  <c r="J136" i="104" s="1"/>
  <c r="K69" i="104"/>
  <c r="K123" i="104" s="1"/>
  <c r="K82" i="104"/>
  <c r="K136" i="104" s="1"/>
  <c r="K74" i="104"/>
  <c r="K128" i="104" s="1"/>
  <c r="J74" i="104"/>
  <c r="J128" i="104" s="1"/>
  <c r="I128" i="104"/>
  <c r="H85" i="104"/>
  <c r="M84" i="104"/>
  <c r="N84" i="104" s="1"/>
  <c r="M80" i="104"/>
  <c r="N80" i="104" s="1"/>
  <c r="W16" i="104"/>
  <c r="D42" i="104" s="1"/>
  <c r="M31" i="104"/>
  <c r="N14" i="104"/>
  <c r="K68" i="104"/>
  <c r="I85" i="104"/>
  <c r="J85" i="104" s="1"/>
  <c r="I122" i="104"/>
  <c r="J68" i="104"/>
  <c r="J122" i="104" s="1"/>
  <c r="W15" i="104"/>
  <c r="D41" i="104" s="1"/>
  <c r="R45" i="104"/>
  <c r="S45" i="104" s="1"/>
  <c r="H315" i="54"/>
  <c r="H298" i="54"/>
  <c r="H299" i="54" s="1"/>
  <c r="H300" i="54" s="1"/>
  <c r="H288" i="54"/>
  <c r="H289" i="54" s="1"/>
  <c r="H290" i="54" s="1"/>
  <c r="M127" i="104" l="1"/>
  <c r="N137" i="104"/>
  <c r="M72" i="104"/>
  <c r="N72" i="104" s="1"/>
  <c r="N126" i="104" s="1"/>
  <c r="M76" i="104"/>
  <c r="N76" i="104" s="1"/>
  <c r="O83" i="104"/>
  <c r="O137" i="104" s="1"/>
  <c r="M129" i="104"/>
  <c r="M75" i="104"/>
  <c r="N75" i="104" s="1"/>
  <c r="O75" i="104" s="1"/>
  <c r="O129" i="104" s="1"/>
  <c r="M125" i="104"/>
  <c r="M68" i="104"/>
  <c r="N68" i="104" s="1"/>
  <c r="N122" i="104" s="1"/>
  <c r="M71" i="104"/>
  <c r="N71" i="104" s="1"/>
  <c r="O71" i="104" s="1"/>
  <c r="O125" i="104" s="1"/>
  <c r="M130" i="104"/>
  <c r="P72" i="104"/>
  <c r="P126" i="104" s="1"/>
  <c r="M69" i="104"/>
  <c r="N69" i="104" s="1"/>
  <c r="N123" i="104" s="1"/>
  <c r="M77" i="104"/>
  <c r="N77" i="104" s="1"/>
  <c r="O70" i="104"/>
  <c r="O124" i="104" s="1"/>
  <c r="N132" i="104"/>
  <c r="P70" i="104"/>
  <c r="P124" i="104" s="1"/>
  <c r="O78" i="104"/>
  <c r="O132" i="104" s="1"/>
  <c r="M138" i="104"/>
  <c r="M79" i="104"/>
  <c r="N79" i="104" s="1"/>
  <c r="O79" i="104" s="1"/>
  <c r="O133" i="104" s="1"/>
  <c r="M73" i="104"/>
  <c r="N73" i="104" s="1"/>
  <c r="N127" i="104" s="1"/>
  <c r="R137" i="104"/>
  <c r="J135" i="104"/>
  <c r="M135" i="104" s="1"/>
  <c r="M128" i="104"/>
  <c r="M136" i="104"/>
  <c r="M82" i="104"/>
  <c r="N82" i="104" s="1"/>
  <c r="P82" i="104" s="1"/>
  <c r="P136" i="104" s="1"/>
  <c r="M74" i="104"/>
  <c r="N74" i="104" s="1"/>
  <c r="O74" i="104" s="1"/>
  <c r="O128" i="104" s="1"/>
  <c r="M123" i="104"/>
  <c r="P81" i="104"/>
  <c r="P135" i="104" s="1"/>
  <c r="O81" i="104"/>
  <c r="O135" i="104" s="1"/>
  <c r="N135" i="104"/>
  <c r="W45" i="104"/>
  <c r="I139" i="104"/>
  <c r="H42" i="104"/>
  <c r="I42" i="104" s="1"/>
  <c r="R14" i="104"/>
  <c r="N31" i="104"/>
  <c r="H41" i="104"/>
  <c r="I41" i="104" s="1"/>
  <c r="P80" i="104"/>
  <c r="P134" i="104" s="1"/>
  <c r="O80" i="104"/>
  <c r="O134" i="104" s="1"/>
  <c r="N134" i="104"/>
  <c r="P84" i="104"/>
  <c r="P138" i="104" s="1"/>
  <c r="O84" i="104"/>
  <c r="O138" i="104" s="1"/>
  <c r="N138" i="104"/>
  <c r="K85" i="104"/>
  <c r="K122" i="104"/>
  <c r="K139" i="104" s="1"/>
  <c r="P76" i="104"/>
  <c r="P130" i="104" s="1"/>
  <c r="O76" i="104"/>
  <c r="O130" i="104" s="1"/>
  <c r="N130" i="104"/>
  <c r="N125" i="104" l="1"/>
  <c r="R83" i="104"/>
  <c r="S83" i="104" s="1"/>
  <c r="P75" i="104"/>
  <c r="P129" i="104" s="1"/>
  <c r="R70" i="104"/>
  <c r="S70" i="104" s="1"/>
  <c r="T70" i="104" s="1"/>
  <c r="T124" i="104" s="1"/>
  <c r="O72" i="104"/>
  <c r="O126" i="104" s="1"/>
  <c r="R126" i="104" s="1"/>
  <c r="N129" i="104"/>
  <c r="R129" i="104" s="1"/>
  <c r="P71" i="104"/>
  <c r="P125" i="104" s="1"/>
  <c r="R125" i="104" s="1"/>
  <c r="J139" i="104"/>
  <c r="P69" i="104"/>
  <c r="P123" i="104" s="1"/>
  <c r="R124" i="104"/>
  <c r="O73" i="104"/>
  <c r="O127" i="104" s="1"/>
  <c r="P73" i="104"/>
  <c r="P127" i="104" s="1"/>
  <c r="O69" i="104"/>
  <c r="O123" i="104" s="1"/>
  <c r="R123" i="104" s="1"/>
  <c r="R132" i="104"/>
  <c r="P79" i="104"/>
  <c r="P133" i="104" s="1"/>
  <c r="O77" i="104"/>
  <c r="N131" i="104"/>
  <c r="P77" i="104"/>
  <c r="P131" i="104" s="1"/>
  <c r="N133" i="104"/>
  <c r="R78" i="104"/>
  <c r="S78" i="104" s="1"/>
  <c r="R135" i="104"/>
  <c r="R81" i="104"/>
  <c r="S81" i="104" s="1"/>
  <c r="S135" i="104" s="1"/>
  <c r="P74" i="104"/>
  <c r="P128" i="104" s="1"/>
  <c r="N128" i="104"/>
  <c r="N136" i="104"/>
  <c r="M85" i="104"/>
  <c r="O82" i="104"/>
  <c r="O136" i="104" s="1"/>
  <c r="R134" i="104"/>
  <c r="R80" i="104"/>
  <c r="S80" i="104" s="1"/>
  <c r="S14" i="104"/>
  <c r="R31" i="104"/>
  <c r="U70" i="104"/>
  <c r="U124" i="104" s="1"/>
  <c r="P68" i="104"/>
  <c r="O68" i="104"/>
  <c r="O122" i="104" s="1"/>
  <c r="N85" i="104"/>
  <c r="O85" i="104" s="1"/>
  <c r="M42" i="104"/>
  <c r="N42" i="104" s="1"/>
  <c r="R130" i="104"/>
  <c r="R138" i="104"/>
  <c r="M122" i="104"/>
  <c r="M139" i="104" s="1"/>
  <c r="R84" i="104"/>
  <c r="S84" i="104" s="1"/>
  <c r="R76" i="104"/>
  <c r="S76" i="104" s="1"/>
  <c r="M41" i="104"/>
  <c r="N41" i="104" s="1"/>
  <c r="U83" i="104"/>
  <c r="U137" i="104" s="1"/>
  <c r="T83" i="104"/>
  <c r="T137" i="104" s="1"/>
  <c r="S137" i="104"/>
  <c r="I17" i="55"/>
  <c r="I20" i="61"/>
  <c r="G20" i="61"/>
  <c r="M35" i="59"/>
  <c r="M34" i="59"/>
  <c r="I35" i="59"/>
  <c r="I34" i="59"/>
  <c r="M25" i="59"/>
  <c r="I25" i="59"/>
  <c r="R75" i="104" l="1"/>
  <c r="S75" i="104" s="1"/>
  <c r="S124" i="104"/>
  <c r="W124" i="104" s="1"/>
  <c r="I41" i="59"/>
  <c r="J56" i="81"/>
  <c r="M39" i="59"/>
  <c r="N39" i="59" s="1"/>
  <c r="N52" i="81"/>
  <c r="M41" i="59"/>
  <c r="N56" i="81"/>
  <c r="I39" i="59"/>
  <c r="J39" i="59" s="1"/>
  <c r="J52" i="81"/>
  <c r="R71" i="104"/>
  <c r="S71" i="104" s="1"/>
  <c r="U71" i="104" s="1"/>
  <c r="U125" i="104" s="1"/>
  <c r="R127" i="104"/>
  <c r="R136" i="104"/>
  <c r="R72" i="104"/>
  <c r="S72" i="104" s="1"/>
  <c r="U72" i="104" s="1"/>
  <c r="U126" i="104" s="1"/>
  <c r="M12" i="59"/>
  <c r="R69" i="104"/>
  <c r="S69" i="104" s="1"/>
  <c r="U69" i="104" s="1"/>
  <c r="U123" i="104" s="1"/>
  <c r="R73" i="104"/>
  <c r="S73" i="104" s="1"/>
  <c r="R79" i="104"/>
  <c r="S79" i="104" s="1"/>
  <c r="T79" i="104" s="1"/>
  <c r="U81" i="104"/>
  <c r="U135" i="104" s="1"/>
  <c r="R133" i="104"/>
  <c r="T81" i="104"/>
  <c r="T135" i="104" s="1"/>
  <c r="I37" i="81"/>
  <c r="I33" i="59"/>
  <c r="I36" i="59" s="1"/>
  <c r="I37" i="59" s="1"/>
  <c r="U78" i="104"/>
  <c r="U132" i="104" s="1"/>
  <c r="S132" i="104"/>
  <c r="T78" i="104"/>
  <c r="T132" i="104" s="1"/>
  <c r="M37" i="81"/>
  <c r="O131" i="104"/>
  <c r="R131" i="104" s="1"/>
  <c r="R77" i="104"/>
  <c r="S77" i="104" s="1"/>
  <c r="N139" i="104"/>
  <c r="R128" i="104"/>
  <c r="R68" i="104"/>
  <c r="S68" i="104" s="1"/>
  <c r="S122" i="104" s="1"/>
  <c r="R82" i="104"/>
  <c r="S82" i="104" s="1"/>
  <c r="U82" i="104" s="1"/>
  <c r="U136" i="104" s="1"/>
  <c r="R74" i="104"/>
  <c r="S74" i="104" s="1"/>
  <c r="S133" i="104"/>
  <c r="S31" i="104"/>
  <c r="W14" i="104"/>
  <c r="U80" i="104"/>
  <c r="U134" i="104" s="1"/>
  <c r="S134" i="104"/>
  <c r="T80" i="104"/>
  <c r="T134" i="104" s="1"/>
  <c r="R41" i="104"/>
  <c r="S41" i="104" s="1"/>
  <c r="T71" i="104"/>
  <c r="T125" i="104" s="1"/>
  <c r="U84" i="104"/>
  <c r="U138" i="104" s="1"/>
  <c r="T84" i="104"/>
  <c r="T138" i="104" s="1"/>
  <c r="S138" i="104"/>
  <c r="W70" i="104"/>
  <c r="D97" i="104" s="1"/>
  <c r="R42" i="104"/>
  <c r="S42" i="104" s="1"/>
  <c r="U76" i="104"/>
  <c r="U130" i="104" s="1"/>
  <c r="T76" i="104"/>
  <c r="T130" i="104" s="1"/>
  <c r="S130" i="104"/>
  <c r="U75" i="104"/>
  <c r="U129" i="104" s="1"/>
  <c r="T75" i="104"/>
  <c r="T129" i="104" s="1"/>
  <c r="S129" i="104"/>
  <c r="P122" i="104"/>
  <c r="P139" i="104" s="1"/>
  <c r="P85" i="104"/>
  <c r="U73" i="104"/>
  <c r="U127" i="104" s="1"/>
  <c r="T73" i="104"/>
  <c r="T127" i="104" s="1"/>
  <c r="S127" i="104"/>
  <c r="W137" i="104"/>
  <c r="W83" i="104"/>
  <c r="D110" i="104" s="1"/>
  <c r="S125" i="104" l="1"/>
  <c r="S123" i="104"/>
  <c r="T69" i="104"/>
  <c r="T123" i="104" s="1"/>
  <c r="W123" i="104" s="1"/>
  <c r="J41" i="59"/>
  <c r="N41" i="59"/>
  <c r="R122" i="104"/>
  <c r="R139" i="104" s="1"/>
  <c r="S126" i="104"/>
  <c r="M48" i="81"/>
  <c r="M42" i="81"/>
  <c r="M45" i="81" s="1"/>
  <c r="I48" i="81"/>
  <c r="I42" i="81"/>
  <c r="I45" i="81" s="1"/>
  <c r="U79" i="104"/>
  <c r="U133" i="104" s="1"/>
  <c r="T72" i="104"/>
  <c r="T126" i="104" s="1"/>
  <c r="W135" i="104"/>
  <c r="M33" i="59"/>
  <c r="M36" i="59" s="1"/>
  <c r="M37" i="59" s="1"/>
  <c r="T133" i="104"/>
  <c r="W133" i="104" s="1"/>
  <c r="O139" i="104"/>
  <c r="W127" i="104"/>
  <c r="W81" i="104"/>
  <c r="D108" i="104" s="1"/>
  <c r="E108" i="104" s="1"/>
  <c r="E161" i="104" s="1"/>
  <c r="M28" i="59"/>
  <c r="I28" i="59"/>
  <c r="W78" i="104"/>
  <c r="D105" i="104" s="1"/>
  <c r="W130" i="104"/>
  <c r="U77" i="104"/>
  <c r="U131" i="104" s="1"/>
  <c r="T77" i="104"/>
  <c r="S131" i="104"/>
  <c r="W132" i="104"/>
  <c r="W84" i="104"/>
  <c r="D111" i="104" s="1"/>
  <c r="D164" i="104" s="1"/>
  <c r="W76" i="104"/>
  <c r="D103" i="104" s="1"/>
  <c r="D156" i="104" s="1"/>
  <c r="T82" i="104"/>
  <c r="T136" i="104" s="1"/>
  <c r="W71" i="104"/>
  <c r="D98" i="104" s="1"/>
  <c r="F98" i="104" s="1"/>
  <c r="F151" i="104" s="1"/>
  <c r="R85" i="104"/>
  <c r="U74" i="104"/>
  <c r="U128" i="104" s="1"/>
  <c r="T74" i="104"/>
  <c r="T128" i="104" s="1"/>
  <c r="S128" i="104"/>
  <c r="S136" i="104"/>
  <c r="W129" i="104"/>
  <c r="W75" i="104"/>
  <c r="D102" i="104" s="1"/>
  <c r="E102" i="104" s="1"/>
  <c r="E155" i="104" s="1"/>
  <c r="W134" i="104"/>
  <c r="W73" i="104"/>
  <c r="D100" i="104" s="1"/>
  <c r="W138" i="104"/>
  <c r="W125" i="104"/>
  <c r="W80" i="104"/>
  <c r="D107" i="104" s="1"/>
  <c r="D161" i="104"/>
  <c r="W42" i="104"/>
  <c r="W31" i="104"/>
  <c r="D40" i="104"/>
  <c r="E97" i="104"/>
  <c r="E150" i="104" s="1"/>
  <c r="F97" i="104"/>
  <c r="F150" i="104" s="1"/>
  <c r="D150" i="104"/>
  <c r="E110" i="104"/>
  <c r="E163" i="104" s="1"/>
  <c r="F110" i="104"/>
  <c r="F163" i="104" s="1"/>
  <c r="D163" i="104"/>
  <c r="U68" i="104"/>
  <c r="S85" i="104"/>
  <c r="T85" i="104" s="1"/>
  <c r="T68" i="104"/>
  <c r="T122" i="104" s="1"/>
  <c r="W41" i="104"/>
  <c r="W69" i="104" l="1"/>
  <c r="D96" i="104" s="1"/>
  <c r="E96" i="104" s="1"/>
  <c r="E149" i="104" s="1"/>
  <c r="W126" i="104"/>
  <c r="W79" i="104"/>
  <c r="D106" i="104" s="1"/>
  <c r="D159" i="104" s="1"/>
  <c r="W72" i="104"/>
  <c r="D99" i="104" s="1"/>
  <c r="E99" i="104" s="1"/>
  <c r="E152" i="104" s="1"/>
  <c r="F96" i="104"/>
  <c r="F149" i="104" s="1"/>
  <c r="F106" i="104"/>
  <c r="F159" i="104" s="1"/>
  <c r="F108" i="104"/>
  <c r="F161" i="104" s="1"/>
  <c r="H161" i="104" s="1"/>
  <c r="D149" i="104"/>
  <c r="H149" i="104" s="1"/>
  <c r="F111" i="104"/>
  <c r="F164" i="104" s="1"/>
  <c r="F99" i="104"/>
  <c r="F152" i="104" s="1"/>
  <c r="D152" i="104"/>
  <c r="W82" i="104"/>
  <c r="D109" i="104" s="1"/>
  <c r="D162" i="104" s="1"/>
  <c r="T131" i="104"/>
  <c r="W131" i="104" s="1"/>
  <c r="W77" i="104"/>
  <c r="D104" i="104" s="1"/>
  <c r="F103" i="104"/>
  <c r="F156" i="104" s="1"/>
  <c r="E103" i="104"/>
  <c r="E156" i="104" s="1"/>
  <c r="W136" i="104"/>
  <c r="E105" i="104"/>
  <c r="E158" i="104" s="1"/>
  <c r="F105" i="104"/>
  <c r="F158" i="104" s="1"/>
  <c r="D158" i="104"/>
  <c r="H150" i="104"/>
  <c r="E98" i="104"/>
  <c r="E151" i="104" s="1"/>
  <c r="H163" i="104"/>
  <c r="W74" i="104"/>
  <c r="D101" i="104" s="1"/>
  <c r="D151" i="104"/>
  <c r="D155" i="104"/>
  <c r="H110" i="104"/>
  <c r="I110" i="104" s="1"/>
  <c r="J110" i="104" s="1"/>
  <c r="J163" i="104" s="1"/>
  <c r="F102" i="104"/>
  <c r="F155" i="104" s="1"/>
  <c r="W128" i="104"/>
  <c r="S139" i="104"/>
  <c r="E107" i="104"/>
  <c r="E160" i="104" s="1"/>
  <c r="F107" i="104"/>
  <c r="F160" i="104" s="1"/>
  <c r="D160" i="104"/>
  <c r="H97" i="104"/>
  <c r="I97" i="104" s="1"/>
  <c r="U85" i="104"/>
  <c r="U122" i="104"/>
  <c r="U139" i="104" s="1"/>
  <c r="H96" i="104"/>
  <c r="I96" i="104" s="1"/>
  <c r="W68" i="104"/>
  <c r="H40" i="104"/>
  <c r="D57" i="104"/>
  <c r="E111" i="104" s="1"/>
  <c r="F100" i="104"/>
  <c r="F153" i="104" s="1"/>
  <c r="E100" i="104"/>
  <c r="E153" i="104" s="1"/>
  <c r="D153" i="104"/>
  <c r="E20" i="61"/>
  <c r="E106" i="104" l="1"/>
  <c r="E159" i="104" s="1"/>
  <c r="H159" i="104"/>
  <c r="H106" i="104"/>
  <c r="I106" i="104" s="1"/>
  <c r="H156" i="104"/>
  <c r="H108" i="104"/>
  <c r="I108" i="104" s="1"/>
  <c r="H99" i="104"/>
  <c r="I99" i="104" s="1"/>
  <c r="K99" i="104" s="1"/>
  <c r="K152" i="104" s="1"/>
  <c r="H151" i="104"/>
  <c r="H152" i="104"/>
  <c r="F109" i="104"/>
  <c r="F162" i="104" s="1"/>
  <c r="E109" i="104"/>
  <c r="E162" i="104" s="1"/>
  <c r="H162" i="104" s="1"/>
  <c r="T139" i="104"/>
  <c r="I163" i="104"/>
  <c r="H105" i="104"/>
  <c r="I105" i="104" s="1"/>
  <c r="F104" i="104"/>
  <c r="F157" i="104" s="1"/>
  <c r="E104" i="104"/>
  <c r="D157" i="104"/>
  <c r="H158" i="104"/>
  <c r="K110" i="104"/>
  <c r="K163" i="104" s="1"/>
  <c r="H102" i="104"/>
  <c r="I102" i="104" s="1"/>
  <c r="K102" i="104" s="1"/>
  <c r="K155" i="104" s="1"/>
  <c r="H103" i="104"/>
  <c r="I103" i="104" s="1"/>
  <c r="J103" i="104" s="1"/>
  <c r="J156" i="104" s="1"/>
  <c r="D154" i="104"/>
  <c r="F101" i="104"/>
  <c r="F154" i="104" s="1"/>
  <c r="E101" i="104"/>
  <c r="E154" i="104" s="1"/>
  <c r="H100" i="104"/>
  <c r="I100" i="104" s="1"/>
  <c r="I153" i="104" s="1"/>
  <c r="H98" i="104"/>
  <c r="I98" i="104" s="1"/>
  <c r="W122" i="104"/>
  <c r="W139" i="104" s="1"/>
  <c r="H153" i="104"/>
  <c r="H155" i="104"/>
  <c r="H107" i="104"/>
  <c r="I107" i="104" s="1"/>
  <c r="E164" i="104"/>
  <c r="H164" i="104" s="1"/>
  <c r="H111" i="104"/>
  <c r="I111" i="104" s="1"/>
  <c r="K96" i="104"/>
  <c r="K149" i="104" s="1"/>
  <c r="J96" i="104"/>
  <c r="J149" i="104" s="1"/>
  <c r="I149" i="104"/>
  <c r="J106" i="104"/>
  <c r="J159" i="104" s="1"/>
  <c r="K106" i="104"/>
  <c r="K159" i="104" s="1"/>
  <c r="I159" i="104"/>
  <c r="H57" i="104"/>
  <c r="I40" i="104"/>
  <c r="J97" i="104"/>
  <c r="J150" i="104" s="1"/>
  <c r="K97" i="104"/>
  <c r="K150" i="104" s="1"/>
  <c r="I150" i="104"/>
  <c r="W85" i="104"/>
  <c r="D95" i="104"/>
  <c r="H160" i="104"/>
  <c r="J99" i="104" l="1"/>
  <c r="J152" i="104" s="1"/>
  <c r="I152" i="104"/>
  <c r="H109" i="104"/>
  <c r="I109" i="104" s="1"/>
  <c r="K109" i="104" s="1"/>
  <c r="K162" i="104" s="1"/>
  <c r="K108" i="104"/>
  <c r="K161" i="104" s="1"/>
  <c r="I161" i="104"/>
  <c r="J108" i="104"/>
  <c r="J109" i="104"/>
  <c r="J162" i="104" s="1"/>
  <c r="K103" i="104"/>
  <c r="K156" i="104" s="1"/>
  <c r="I156" i="104"/>
  <c r="M159" i="104"/>
  <c r="J102" i="104"/>
  <c r="J155" i="104" s="1"/>
  <c r="M99" i="104"/>
  <c r="N99" i="104" s="1"/>
  <c r="M163" i="104"/>
  <c r="M152" i="104"/>
  <c r="H101" i="104"/>
  <c r="I101" i="104" s="1"/>
  <c r="J101" i="104" s="1"/>
  <c r="J154" i="104" s="1"/>
  <c r="E157" i="104"/>
  <c r="H157" i="104" s="1"/>
  <c r="H104" i="104"/>
  <c r="I104" i="104" s="1"/>
  <c r="K100" i="104"/>
  <c r="K153" i="104" s="1"/>
  <c r="I155" i="104"/>
  <c r="J100" i="104"/>
  <c r="M110" i="104"/>
  <c r="N110" i="104" s="1"/>
  <c r="P110" i="104" s="1"/>
  <c r="P163" i="104" s="1"/>
  <c r="J105" i="104"/>
  <c r="J158" i="104" s="1"/>
  <c r="K105" i="104"/>
  <c r="K158" i="104" s="1"/>
  <c r="I158" i="104"/>
  <c r="M150" i="104"/>
  <c r="H154" i="104"/>
  <c r="M97" i="104"/>
  <c r="N97" i="104" s="1"/>
  <c r="O97" i="104" s="1"/>
  <c r="O150" i="104" s="1"/>
  <c r="K98" i="104"/>
  <c r="K151" i="104" s="1"/>
  <c r="I151" i="104"/>
  <c r="J98" i="104"/>
  <c r="M109" i="104"/>
  <c r="N109" i="104" s="1"/>
  <c r="M106" i="104"/>
  <c r="N106" i="104" s="1"/>
  <c r="D112" i="104"/>
  <c r="E95" i="104"/>
  <c r="F95" i="104"/>
  <c r="D148" i="104"/>
  <c r="K111" i="104"/>
  <c r="K164" i="104" s="1"/>
  <c r="I164" i="104"/>
  <c r="M149" i="104"/>
  <c r="M96" i="104"/>
  <c r="N96" i="104" s="1"/>
  <c r="I57" i="104"/>
  <c r="J111" i="104" s="1"/>
  <c r="M40" i="104"/>
  <c r="J107" i="104"/>
  <c r="J160" i="104" s="1"/>
  <c r="K107" i="104"/>
  <c r="K160" i="104" s="1"/>
  <c r="I160" i="104"/>
  <c r="I162" i="104" l="1"/>
  <c r="M162" i="104" s="1"/>
  <c r="M103" i="104"/>
  <c r="N103" i="104" s="1"/>
  <c r="M156" i="104"/>
  <c r="J161" i="104"/>
  <c r="M108" i="104"/>
  <c r="N108" i="104" s="1"/>
  <c r="M161" i="104"/>
  <c r="M155" i="104"/>
  <c r="M102" i="104"/>
  <c r="N102" i="104" s="1"/>
  <c r="P102" i="104" s="1"/>
  <c r="P155" i="104" s="1"/>
  <c r="P97" i="104"/>
  <c r="P150" i="104" s="1"/>
  <c r="K101" i="104"/>
  <c r="K154" i="104" s="1"/>
  <c r="I154" i="104"/>
  <c r="M154" i="104" s="1"/>
  <c r="M158" i="104"/>
  <c r="N152" i="104"/>
  <c r="P99" i="104"/>
  <c r="P152" i="104" s="1"/>
  <c r="O99" i="104"/>
  <c r="O152" i="104" s="1"/>
  <c r="J153" i="104"/>
  <c r="M153" i="104" s="1"/>
  <c r="M100" i="104"/>
  <c r="N100" i="104" s="1"/>
  <c r="N163" i="104"/>
  <c r="M105" i="104"/>
  <c r="N105" i="104" s="1"/>
  <c r="J104" i="104"/>
  <c r="J157" i="104" s="1"/>
  <c r="K104" i="104"/>
  <c r="K157" i="104" s="1"/>
  <c r="I157" i="104"/>
  <c r="O110" i="104"/>
  <c r="O163" i="104" s="1"/>
  <c r="N150" i="104"/>
  <c r="R150" i="104" s="1"/>
  <c r="J151" i="104"/>
  <c r="M151" i="104" s="1"/>
  <c r="M98" i="104"/>
  <c r="N98" i="104" s="1"/>
  <c r="J164" i="104"/>
  <c r="M164" i="104" s="1"/>
  <c r="M111" i="104"/>
  <c r="N111" i="104" s="1"/>
  <c r="P106" i="104"/>
  <c r="P159" i="104" s="1"/>
  <c r="N159" i="104"/>
  <c r="O106" i="104"/>
  <c r="O159" i="104" s="1"/>
  <c r="E148" i="104"/>
  <c r="E165" i="104" s="1"/>
  <c r="E112" i="104"/>
  <c r="O109" i="104"/>
  <c r="O162" i="104" s="1"/>
  <c r="P109" i="104"/>
  <c r="P162" i="104" s="1"/>
  <c r="N162" i="104"/>
  <c r="M57" i="104"/>
  <c r="N40" i="104"/>
  <c r="F148" i="104"/>
  <c r="F165" i="104" s="1"/>
  <c r="F112" i="104"/>
  <c r="D165" i="104"/>
  <c r="M107" i="104"/>
  <c r="N107" i="104" s="1"/>
  <c r="O103" i="104"/>
  <c r="O156" i="104" s="1"/>
  <c r="P103" i="104"/>
  <c r="P156" i="104" s="1"/>
  <c r="N156" i="104"/>
  <c r="H95" i="104"/>
  <c r="P96" i="104"/>
  <c r="P149" i="104" s="1"/>
  <c r="O96" i="104"/>
  <c r="O149" i="104" s="1"/>
  <c r="N149" i="104"/>
  <c r="M160" i="104"/>
  <c r="R97" i="104" l="1"/>
  <c r="S97" i="104" s="1"/>
  <c r="U97" i="104" s="1"/>
  <c r="U150" i="104" s="1"/>
  <c r="N155" i="104"/>
  <c r="M101" i="104"/>
  <c r="N101" i="104" s="1"/>
  <c r="O101" i="104" s="1"/>
  <c r="O154" i="104" s="1"/>
  <c r="O108" i="104"/>
  <c r="P108" i="104"/>
  <c r="P161" i="104" s="1"/>
  <c r="N161" i="104"/>
  <c r="O102" i="104"/>
  <c r="O155" i="104" s="1"/>
  <c r="R155" i="104" s="1"/>
  <c r="M157" i="104"/>
  <c r="R99" i="104"/>
  <c r="S99" i="104" s="1"/>
  <c r="S152" i="104" s="1"/>
  <c r="P101" i="104"/>
  <c r="P154" i="104" s="1"/>
  <c r="N154" i="104"/>
  <c r="R154" i="104" s="1"/>
  <c r="S150" i="104"/>
  <c r="R152" i="104"/>
  <c r="R110" i="104"/>
  <c r="S110" i="104" s="1"/>
  <c r="T110" i="104" s="1"/>
  <c r="T163" i="104" s="1"/>
  <c r="R163" i="104"/>
  <c r="N158" i="104"/>
  <c r="O105" i="104"/>
  <c r="O158" i="104" s="1"/>
  <c r="P105" i="104"/>
  <c r="P158" i="104" s="1"/>
  <c r="M104" i="104"/>
  <c r="N104" i="104" s="1"/>
  <c r="O100" i="104"/>
  <c r="P100" i="104"/>
  <c r="P153" i="104" s="1"/>
  <c r="N153" i="104"/>
  <c r="T97" i="104"/>
  <c r="T150" i="104" s="1"/>
  <c r="O98" i="104"/>
  <c r="O151" i="104" s="1"/>
  <c r="P98" i="104"/>
  <c r="P151" i="104" s="1"/>
  <c r="N151" i="104"/>
  <c r="R96" i="104"/>
  <c r="S96" i="104" s="1"/>
  <c r="U96" i="104" s="1"/>
  <c r="U149" i="104" s="1"/>
  <c r="R149" i="104"/>
  <c r="R156" i="104"/>
  <c r="R40" i="104"/>
  <c r="N57" i="104"/>
  <c r="O111" i="104" s="1"/>
  <c r="O164" i="104" s="1"/>
  <c r="R103" i="104"/>
  <c r="S103" i="104" s="1"/>
  <c r="R159" i="104"/>
  <c r="O107" i="104"/>
  <c r="O160" i="104" s="1"/>
  <c r="P107" i="104"/>
  <c r="P160" i="104" s="1"/>
  <c r="N160" i="104"/>
  <c r="R109" i="104"/>
  <c r="S109" i="104" s="1"/>
  <c r="R106" i="104"/>
  <c r="S106" i="104" s="1"/>
  <c r="R162" i="104"/>
  <c r="H112" i="104"/>
  <c r="I95" i="104"/>
  <c r="H148" i="104"/>
  <c r="H165" i="104" s="1"/>
  <c r="P111" i="104"/>
  <c r="P164" i="104" s="1"/>
  <c r="N164" i="104"/>
  <c r="R102" i="104" l="1"/>
  <c r="S102" i="104" s="1"/>
  <c r="U102" i="104" s="1"/>
  <c r="U155" i="104" s="1"/>
  <c r="U110" i="104"/>
  <c r="U163" i="104" s="1"/>
  <c r="S155" i="104"/>
  <c r="S163" i="104"/>
  <c r="W163" i="104" s="1"/>
  <c r="T102" i="104"/>
  <c r="T155" i="104" s="1"/>
  <c r="W155" i="104" s="1"/>
  <c r="O161" i="104"/>
  <c r="R161" i="104" s="1"/>
  <c r="R108" i="104"/>
  <c r="S108" i="104" s="1"/>
  <c r="S149" i="104"/>
  <c r="W150" i="104"/>
  <c r="U99" i="104"/>
  <c r="U152" i="104" s="1"/>
  <c r="T99" i="104"/>
  <c r="T152" i="104" s="1"/>
  <c r="R101" i="104"/>
  <c r="S101" i="104" s="1"/>
  <c r="T101" i="104" s="1"/>
  <c r="T154" i="104" s="1"/>
  <c r="S154" i="104"/>
  <c r="R105" i="104"/>
  <c r="S105" i="104" s="1"/>
  <c r="S158" i="104" s="1"/>
  <c r="T96" i="104"/>
  <c r="T149" i="104" s="1"/>
  <c r="W149" i="104" s="1"/>
  <c r="O153" i="104"/>
  <c r="R153" i="104" s="1"/>
  <c r="R100" i="104"/>
  <c r="S100" i="104" s="1"/>
  <c r="O104" i="104"/>
  <c r="O157" i="104" s="1"/>
  <c r="N157" i="104"/>
  <c r="P104" i="104"/>
  <c r="P157" i="104" s="1"/>
  <c r="R98" i="104"/>
  <c r="S98" i="104" s="1"/>
  <c r="T98" i="104" s="1"/>
  <c r="T151" i="104" s="1"/>
  <c r="R158" i="104"/>
  <c r="R151" i="104"/>
  <c r="W97" i="104"/>
  <c r="R160" i="104"/>
  <c r="T106" i="104"/>
  <c r="T159" i="104" s="1"/>
  <c r="U106" i="104"/>
  <c r="U159" i="104" s="1"/>
  <c r="S159" i="104"/>
  <c r="U109" i="104"/>
  <c r="U162" i="104" s="1"/>
  <c r="T109" i="104"/>
  <c r="T162" i="104" s="1"/>
  <c r="S162" i="104"/>
  <c r="J95" i="104"/>
  <c r="K95" i="104"/>
  <c r="I112" i="104"/>
  <c r="I148" i="104"/>
  <c r="T103" i="104"/>
  <c r="T156" i="104" s="1"/>
  <c r="U103" i="104"/>
  <c r="U156" i="104" s="1"/>
  <c r="S156" i="104"/>
  <c r="R107" i="104"/>
  <c r="S107" i="104" s="1"/>
  <c r="R111" i="104"/>
  <c r="S111" i="104" s="1"/>
  <c r="R164" i="104"/>
  <c r="S40" i="104"/>
  <c r="R57" i="104"/>
  <c r="W102" i="104" l="1"/>
  <c r="W110" i="104"/>
  <c r="W152" i="104"/>
  <c r="T108" i="104"/>
  <c r="T161" i="104" s="1"/>
  <c r="S161" i="104"/>
  <c r="U108" i="104"/>
  <c r="U161" i="104" s="1"/>
  <c r="W99" i="104"/>
  <c r="U101" i="104"/>
  <c r="U154" i="104" s="1"/>
  <c r="W154" i="104" s="1"/>
  <c r="T105" i="104"/>
  <c r="T158" i="104" s="1"/>
  <c r="U105" i="104"/>
  <c r="U158" i="104" s="1"/>
  <c r="S151" i="104"/>
  <c r="U98" i="104"/>
  <c r="U151" i="104" s="1"/>
  <c r="R104" i="104"/>
  <c r="S104" i="104" s="1"/>
  <c r="U104" i="104" s="1"/>
  <c r="U157" i="104" s="1"/>
  <c r="W96" i="104"/>
  <c r="U100" i="104"/>
  <c r="U153" i="104" s="1"/>
  <c r="T100" i="104"/>
  <c r="T153" i="104" s="1"/>
  <c r="S153" i="104"/>
  <c r="R157" i="104"/>
  <c r="W156" i="104"/>
  <c r="W106" i="104"/>
  <c r="W103" i="104"/>
  <c r="M95" i="104"/>
  <c r="N95" i="104" s="1"/>
  <c r="W159" i="104"/>
  <c r="I165" i="104"/>
  <c r="W40" i="104"/>
  <c r="W57" i="104" s="1"/>
  <c r="S57" i="104"/>
  <c r="T111" i="104" s="1"/>
  <c r="W109" i="104"/>
  <c r="U107" i="104"/>
  <c r="U160" i="104" s="1"/>
  <c r="T107" i="104"/>
  <c r="T160" i="104" s="1"/>
  <c r="S160" i="104"/>
  <c r="K112" i="104"/>
  <c r="K148" i="104"/>
  <c r="K165" i="104" s="1"/>
  <c r="J112" i="104"/>
  <c r="J148" i="104"/>
  <c r="J165" i="104" s="1"/>
  <c r="U111" i="104"/>
  <c r="U164" i="104" s="1"/>
  <c r="S164" i="104"/>
  <c r="W162" i="104"/>
  <c r="E12" i="59"/>
  <c r="W108" i="104" l="1"/>
  <c r="W151" i="104"/>
  <c r="W105" i="104"/>
  <c r="W161" i="104"/>
  <c r="W101" i="104"/>
  <c r="W158" i="104"/>
  <c r="T104" i="104"/>
  <c r="W104" i="104" s="1"/>
  <c r="W100" i="104"/>
  <c r="W98" i="104"/>
  <c r="W153" i="104"/>
  <c r="S157" i="104"/>
  <c r="M112" i="104"/>
  <c r="W160" i="104"/>
  <c r="T164" i="104"/>
  <c r="W164" i="104" s="1"/>
  <c r="W111" i="104"/>
  <c r="M148" i="104"/>
  <c r="M165" i="104" s="1"/>
  <c r="W107" i="104"/>
  <c r="O95" i="104"/>
  <c r="P95" i="104"/>
  <c r="N112" i="104"/>
  <c r="N148" i="104"/>
  <c r="T157" i="104" l="1"/>
  <c r="W157" i="104"/>
  <c r="R95" i="104"/>
  <c r="R112" i="104" s="1"/>
  <c r="S95" i="104"/>
  <c r="P112" i="104"/>
  <c r="P148" i="104"/>
  <c r="P165" i="104" s="1"/>
  <c r="O148" i="104"/>
  <c r="O165" i="104" s="1"/>
  <c r="O112" i="104"/>
  <c r="N165" i="104"/>
  <c r="R148" i="104" l="1"/>
  <c r="R165" i="104" s="1"/>
  <c r="S112" i="104"/>
  <c r="T95" i="104"/>
  <c r="U95" i="104"/>
  <c r="S148" i="104"/>
  <c r="S165" i="104" l="1"/>
  <c r="U112" i="104"/>
  <c r="U148" i="104"/>
  <c r="U165" i="104" s="1"/>
  <c r="T112" i="104"/>
  <c r="T148" i="104"/>
  <c r="T165" i="104" s="1"/>
  <c r="W95" i="104"/>
  <c r="W112" i="104" s="1"/>
  <c r="F11" i="59" l="1"/>
  <c r="G11" i="81"/>
  <c r="W148" i="104"/>
  <c r="W165" i="104" s="1"/>
  <c r="E15" i="54"/>
  <c r="E11" i="59" l="1"/>
  <c r="E11" i="81" s="1"/>
  <c r="F11" i="81"/>
  <c r="N3" i="58"/>
  <c r="F41" i="59" l="1"/>
  <c r="E64" i="59"/>
  <c r="E63" i="59"/>
  <c r="F39" i="59"/>
  <c r="E33" i="59"/>
  <c r="F43" i="59" l="1"/>
  <c r="E24" i="60" s="1"/>
  <c r="H24" i="60"/>
  <c r="E315" i="54" l="1"/>
  <c r="E41" i="81"/>
  <c r="E37" i="81"/>
  <c r="E42" i="81" s="1"/>
  <c r="E45" i="81" s="1"/>
  <c r="B375" i="98" l="1"/>
  <c r="B387" i="98" s="1"/>
  <c r="B337" i="98"/>
  <c r="B349" i="98" s="1"/>
  <c r="B299" i="98"/>
  <c r="B311" i="98" s="1"/>
  <c r="K39" i="81"/>
  <c r="K40" i="81"/>
  <c r="J38" i="81"/>
  <c r="J35" i="81"/>
  <c r="J36"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Q28" i="91"/>
  <c r="Q25" i="91"/>
  <c r="J18" i="55"/>
  <c r="G18" i="55"/>
  <c r="M26" i="58"/>
  <c r="I26" i="58"/>
  <c r="N37" i="81" l="1"/>
  <c r="J39" i="81"/>
  <c r="J40" i="81"/>
  <c r="L40" i="81" s="1"/>
  <c r="I18" i="55"/>
  <c r="J37" i="81"/>
  <c r="J41" i="81" l="1"/>
  <c r="E26" i="58"/>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Q17" i="91"/>
  <c r="B9" i="91"/>
  <c r="B10" i="91" s="1"/>
  <c r="B11" i="91" s="1"/>
  <c r="B12" i="91" s="1"/>
  <c r="B13" i="91" s="1"/>
  <c r="B14" i="91" s="1"/>
  <c r="B15" i="91" s="1"/>
  <c r="B16" i="91" s="1"/>
  <c r="B17" i="91" s="1"/>
  <c r="B18" i="91" s="1"/>
  <c r="B19" i="91" s="1"/>
  <c r="B20" i="91" s="1"/>
  <c r="B21" i="91" s="1"/>
  <c r="B22" i="91" s="1"/>
  <c r="B23" i="91" s="1"/>
  <c r="B24" i="91" s="1"/>
  <c r="B25" i="91" s="1"/>
  <c r="B26" i="91" s="1"/>
  <c r="B27" i="91" s="1"/>
  <c r="B28" i="91" s="1"/>
  <c r="B30" i="91" s="1"/>
  <c r="B31" i="91" s="1"/>
  <c r="J12" i="61"/>
  <c r="J15" i="61"/>
  <c r="J16" i="61"/>
  <c r="J13" i="61"/>
  <c r="H15" i="61"/>
  <c r="H16" i="61"/>
  <c r="H12" i="61"/>
  <c r="H13" i="61"/>
  <c r="E10" i="61"/>
  <c r="B33" i="61"/>
  <c r="B34" i="61" s="1"/>
  <c r="B35" i="61" s="1"/>
  <c r="F40" i="81"/>
  <c r="F39" i="81"/>
  <c r="G40" i="81"/>
  <c r="G39" i="81"/>
  <c r="J28" i="59"/>
  <c r="E35" i="59"/>
  <c r="E34" i="59"/>
  <c r="H31" i="59"/>
  <c r="Q31" i="59"/>
  <c r="L31" i="59"/>
  <c r="E28" i="59"/>
  <c r="P32" i="59"/>
  <c r="B27" i="59"/>
  <c r="B28" i="59" s="1"/>
  <c r="H111" i="60"/>
  <c r="H110" i="60"/>
  <c r="H96" i="60"/>
  <c r="H95" i="60"/>
  <c r="H94" i="60"/>
  <c r="E111" i="60"/>
  <c r="E110" i="60"/>
  <c r="E96" i="60"/>
  <c r="E95" i="60"/>
  <c r="H40" i="81" l="1"/>
  <c r="E36" i="59"/>
  <c r="E37" i="59" s="1"/>
  <c r="H39" i="81"/>
  <c r="L46" i="73"/>
  <c r="R31" i="59"/>
  <c r="F41" i="81" l="1"/>
  <c r="W65" i="59" l="1"/>
  <c r="W111" i="59" s="1"/>
  <c r="V65" i="59"/>
  <c r="V111" i="59" s="1"/>
  <c r="U65" i="59"/>
  <c r="U111" i="59" s="1"/>
  <c r="T65" i="59"/>
  <c r="T111" i="59" s="1"/>
  <c r="S65" i="59"/>
  <c r="S111" i="59" s="1"/>
  <c r="T131" i="59" l="1"/>
  <c r="U131" i="59"/>
  <c r="V131" i="59"/>
  <c r="W131" i="59"/>
  <c r="T137" i="59"/>
  <c r="U137" i="59"/>
  <c r="V137" i="59"/>
  <c r="W137" i="59"/>
  <c r="S137" i="59"/>
  <c r="S131" i="59"/>
  <c r="T80" i="59"/>
  <c r="T123" i="59" s="1"/>
  <c r="U80" i="59"/>
  <c r="U123" i="59" s="1"/>
  <c r="V80" i="59"/>
  <c r="V123" i="59" s="1"/>
  <c r="W80" i="59"/>
  <c r="W123" i="59" s="1"/>
  <c r="S80" i="59"/>
  <c r="S123" i="59" s="1"/>
  <c r="T56" i="81"/>
  <c r="U56" i="81"/>
  <c r="V56" i="81"/>
  <c r="W56" i="81"/>
  <c r="S56" i="81"/>
  <c r="T52" i="81"/>
  <c r="U52" i="81"/>
  <c r="V52" i="81"/>
  <c r="W52" i="81"/>
  <c r="H49" i="81"/>
  <c r="T31" i="81"/>
  <c r="U31" i="81"/>
  <c r="V31" i="81"/>
  <c r="W31" i="81"/>
  <c r="S31" i="81"/>
  <c r="T18" i="81"/>
  <c r="U18" i="81"/>
  <c r="V18" i="81"/>
  <c r="W18" i="81"/>
  <c r="T19" i="81"/>
  <c r="U19" i="81"/>
  <c r="V19" i="81"/>
  <c r="W19" i="81"/>
  <c r="T21" i="81"/>
  <c r="U21" i="81"/>
  <c r="V21" i="81"/>
  <c r="W21" i="81"/>
  <c r="T22" i="81"/>
  <c r="U22" i="81"/>
  <c r="V22" i="81"/>
  <c r="W22" i="81"/>
  <c r="S21" i="81"/>
  <c r="S22" i="81"/>
  <c r="S19" i="81"/>
  <c r="S18" i="81"/>
  <c r="S37" i="66"/>
  <c r="O37" i="66"/>
  <c r="M21" i="58"/>
  <c r="I21" i="58"/>
  <c r="O25" i="71" l="1"/>
  <c r="Q38" i="59"/>
  <c r="N38" i="59" s="1"/>
  <c r="O65" i="71"/>
  <c r="O57" i="71"/>
  <c r="O49" i="71"/>
  <c r="D14" i="93"/>
  <c r="D12" i="55" s="1"/>
  <c r="L13" i="54"/>
  <c r="L14" i="54"/>
  <c r="L20"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09" i="54" l="1"/>
  <c r="L99" i="54"/>
  <c r="L89" i="54"/>
  <c r="L79" i="54"/>
  <c r="L69" i="54"/>
  <c r="L49" i="54"/>
  <c r="L39" i="54"/>
  <c r="L146" i="54"/>
  <c r="D17" i="54"/>
  <c r="D18" i="54" s="1"/>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4" i="58"/>
  <c r="L14" i="58"/>
  <c r="E39" i="67" l="1"/>
  <c r="I11" i="80" l="1"/>
  <c r="F11" i="80"/>
  <c r="M11" i="58"/>
  <c r="I11" i="58"/>
  <c r="R14" i="58"/>
  <c r="E13" i="58" l="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30" i="59"/>
  <c r="R30" i="59" s="1"/>
  <c r="L30" i="59"/>
  <c r="H30" i="59"/>
  <c r="L22" i="59"/>
  <c r="H22" i="59"/>
  <c r="F131" i="59" l="1"/>
  <c r="H128" i="59"/>
  <c r="H131" i="59" s="1"/>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144" i="59"/>
  <c r="L144" i="59" s="1"/>
  <c r="O153" i="59"/>
  <c r="J148" i="59"/>
  <c r="L148" i="59" s="1"/>
  <c r="J145" i="59"/>
  <c r="L145" i="59" s="1"/>
  <c r="J152" i="59"/>
  <c r="L152" i="59" s="1"/>
  <c r="J137" i="59"/>
  <c r="L134" i="59"/>
  <c r="L137" i="59" s="1"/>
  <c r="J149" i="59"/>
  <c r="L149" i="59" s="1"/>
  <c r="J142" i="59"/>
  <c r="L142" i="59" s="1"/>
  <c r="J146" i="59"/>
  <c r="L146" i="59" s="1"/>
  <c r="J150" i="59"/>
  <c r="L150" i="59" s="1"/>
  <c r="F152" i="59"/>
  <c r="H152" i="59" s="1"/>
  <c r="J143" i="59"/>
  <c r="L143" i="59" s="1"/>
  <c r="J147" i="59"/>
  <c r="L147" i="59" s="1"/>
  <c r="J151" i="59"/>
  <c r="L151" i="59" s="1"/>
  <c r="N140" i="59" l="1"/>
  <c r="Q153"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B116" i="60" l="1"/>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H43" i="68"/>
  <c r="Q56" i="91" l="1"/>
  <c r="Q44"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J111" i="60" l="1"/>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Q298" i="54"/>
  <c r="N298" i="54"/>
  <c r="E298" i="54"/>
  <c r="E299" i="54" s="1"/>
  <c r="E300" i="54" s="1"/>
  <c r="Q290" i="54"/>
  <c r="N290" i="54"/>
  <c r="Q288" i="54"/>
  <c r="N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8" i="55" l="1"/>
  <c r="D19" i="55" l="1"/>
  <c r="L31" i="72" l="1"/>
  <c r="O10" i="7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8" i="68"/>
  <c r="H36" i="68"/>
  <c r="H35" i="68"/>
  <c r="H34" i="68"/>
  <c r="H33" i="68"/>
  <c r="H32" i="68"/>
  <c r="H31" i="68"/>
  <c r="H30" i="68"/>
  <c r="H29" i="68"/>
  <c r="H28" i="68"/>
  <c r="H27" i="68"/>
  <c r="H26" i="68"/>
  <c r="H25" i="68"/>
  <c r="H23" i="68"/>
  <c r="H19" i="68"/>
  <c r="H18" i="68"/>
  <c r="H49" i="67"/>
  <c r="T67" i="66"/>
  <c r="U67" i="66" s="1"/>
  <c r="T66" i="66"/>
  <c r="U66" i="66" s="1"/>
  <c r="T65" i="66"/>
  <c r="U65" i="66" s="1"/>
  <c r="T64" i="66"/>
  <c r="U64" i="66" s="1"/>
  <c r="P67" i="66"/>
  <c r="P66" i="66"/>
  <c r="P65" i="66"/>
  <c r="P64" i="66"/>
  <c r="M67" i="66"/>
  <c r="M66" i="66"/>
  <c r="M65" i="66"/>
  <c r="M64" i="66"/>
  <c r="W55" i="66"/>
  <c r="X55" i="66" s="1"/>
  <c r="W54" i="66"/>
  <c r="X54" i="66" s="1"/>
  <c r="W53" i="66"/>
  <c r="X53" i="66" s="1"/>
  <c r="W52" i="66"/>
  <c r="X52" i="66" s="1"/>
  <c r="W51" i="66"/>
  <c r="X51" i="66" s="1"/>
  <c r="W48" i="66"/>
  <c r="X48" i="66" s="1"/>
  <c r="W47" i="66"/>
  <c r="X47" i="66" s="1"/>
  <c r="W46" i="66"/>
  <c r="X46" i="66" s="1"/>
  <c r="W45" i="66"/>
  <c r="X45" i="66" s="1"/>
  <c r="W44" i="66"/>
  <c r="X44" i="66" s="1"/>
  <c r="W41" i="66"/>
  <c r="X41" i="66" s="1"/>
  <c r="W40" i="66"/>
  <c r="X40" i="66" s="1"/>
  <c r="W39" i="66"/>
  <c r="X39" i="66" s="1"/>
  <c r="W38" i="66"/>
  <c r="X38" i="66" s="1"/>
  <c r="W37" i="66"/>
  <c r="X37" i="66" s="1"/>
  <c r="S55" i="66"/>
  <c r="S54" i="66"/>
  <c r="S53" i="66"/>
  <c r="S52" i="66"/>
  <c r="S51" i="66"/>
  <c r="S48" i="66"/>
  <c r="S47" i="66"/>
  <c r="S46" i="66"/>
  <c r="S45" i="66"/>
  <c r="S44" i="66"/>
  <c r="S41" i="66"/>
  <c r="S40" i="66"/>
  <c r="S39" i="66"/>
  <c r="S38" i="66"/>
  <c r="O55" i="66"/>
  <c r="O54" i="66"/>
  <c r="O53" i="66"/>
  <c r="O52" i="66"/>
  <c r="O51" i="66"/>
  <c r="O48" i="66"/>
  <c r="O47" i="66"/>
  <c r="O46" i="66"/>
  <c r="O45" i="66"/>
  <c r="O44" i="66"/>
  <c r="O41" i="66"/>
  <c r="O40" i="66"/>
  <c r="O39" i="66"/>
  <c r="O38" i="66"/>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G18" i="54" s="1"/>
  <c r="G19" i="54" s="1"/>
  <c r="J15" i="54" s="1"/>
  <c r="J18" i="54" s="1"/>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9" i="55"/>
  <c r="G21" i="55" s="1"/>
  <c r="I24" i="58" s="1"/>
  <c r="G14" i="55"/>
  <c r="J10" i="55" s="1"/>
  <c r="J19" i="55" s="1"/>
  <c r="J21" i="55" s="1"/>
  <c r="J19" i="54"/>
  <c r="J21" i="54" s="1"/>
  <c r="G21" i="54"/>
  <c r="G23" i="54" s="1"/>
  <c r="G25" i="54" l="1"/>
  <c r="I17" i="58" s="1"/>
  <c r="J23" i="54"/>
  <c r="M24" i="58"/>
  <c r="J14" i="55"/>
  <c r="B12" i="93"/>
  <c r="B13" i="93" s="1"/>
  <c r="B14" i="93" s="1"/>
  <c r="J25" i="54" l="1"/>
  <c r="M17" i="58"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0" i="91" s="1"/>
  <c r="B41" i="91" s="1"/>
  <c r="B42" i="91" s="1"/>
  <c r="B43" i="91" s="1"/>
  <c r="B44" i="91" s="1"/>
  <c r="B45" i="91" s="1"/>
  <c r="B46" i="91" s="1"/>
  <c r="B47" i="91" s="1"/>
  <c r="B48" i="91" s="1"/>
  <c r="B49" i="91" s="1"/>
  <c r="B50" i="91" s="1"/>
  <c r="B51" i="91" s="1"/>
  <c r="B52" i="91" s="1"/>
  <c r="B53" i="91" s="1"/>
  <c r="B54" i="91" s="1"/>
  <c r="B55" i="91" s="1"/>
  <c r="B57" i="91" l="1"/>
  <c r="B58"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I13" i="58" l="1"/>
  <c r="L14" i="73" l="1"/>
  <c r="M14" i="73"/>
  <c r="D39" i="67" l="1"/>
  <c r="E11" i="58" l="1"/>
  <c r="C11" i="80"/>
  <c r="H40" i="68" l="1"/>
  <c r="H21" i="68"/>
  <c r="H41" i="68"/>
  <c r="P34" i="81" l="1"/>
  <c r="O34" i="81"/>
  <c r="P56" i="81" l="1"/>
  <c r="N11" i="59"/>
  <c r="N11" i="81" s="1"/>
  <c r="O56" i="81"/>
  <c r="F3" i="100"/>
  <c r="M11" i="59" l="1"/>
  <c r="M11" i="81" s="1"/>
  <c r="N60" i="81"/>
  <c r="O24" i="60"/>
  <c r="P15" i="81"/>
  <c r="O15" i="81"/>
  <c r="Q15" i="81" s="1"/>
  <c r="N28" i="59" l="1"/>
  <c r="R20" i="59"/>
  <c r="Q25" i="81"/>
  <c r="Q56" i="81"/>
  <c r="R56" i="81" s="1"/>
  <c r="R41" i="59"/>
  <c r="Q52" i="81"/>
  <c r="R52" i="81" s="1"/>
  <c r="N38" i="81" l="1"/>
  <c r="N41" i="81" s="1"/>
  <c r="R15" i="81"/>
  <c r="Q11" i="59" l="1"/>
  <c r="Q11" i="81" s="1"/>
  <c r="R11" i="59" l="1"/>
  <c r="R11" i="81" s="1"/>
  <c r="P24" i="59" l="1"/>
  <c r="N24" i="59" l="1"/>
  <c r="P31" i="81"/>
  <c r="L13" i="74"/>
  <c r="L25" i="73"/>
  <c r="M25" i="73"/>
  <c r="M13" i="74"/>
  <c r="R38" i="59" l="1"/>
  <c r="N31" i="81"/>
  <c r="M36" i="73"/>
  <c r="M24" i="74"/>
  <c r="L36" i="73"/>
  <c r="L24" i="74"/>
  <c r="J94" i="60" l="1"/>
  <c r="J141" i="59"/>
  <c r="L141" i="59" s="1"/>
  <c r="K56" i="81" l="1"/>
  <c r="J140" i="59"/>
  <c r="J153" i="59" s="1"/>
  <c r="K153" i="59"/>
  <c r="L140" i="59" l="1"/>
  <c r="L153" i="59" s="1"/>
  <c r="L34" i="81"/>
  <c r="L56" i="81" l="1"/>
  <c r="F15" i="54" l="1"/>
  <c r="F141" i="59" l="1"/>
  <c r="H141" i="59" s="1"/>
  <c r="G153" i="59" l="1"/>
  <c r="F140" i="59"/>
  <c r="F153" i="59" s="1"/>
  <c r="H140" i="59" l="1"/>
  <c r="H153" i="59" s="1"/>
  <c r="M69" i="78" l="1"/>
  <c r="H20" i="59" l="1"/>
  <c r="H25" i="81"/>
  <c r="F60" i="81"/>
  <c r="F28" i="59" l="1"/>
  <c r="H11" i="59" l="1"/>
  <c r="H11" i="81" s="1"/>
  <c r="H22" i="58" l="1"/>
  <c r="E18" i="78" l="1"/>
  <c r="F18" i="78" l="1"/>
  <c r="L18" i="78"/>
  <c r="G18" i="78"/>
  <c r="J22" i="58" l="1"/>
  <c r="D47" i="78" s="1"/>
  <c r="L22" i="58" l="1"/>
  <c r="F47" i="78"/>
  <c r="G47" i="78"/>
  <c r="N22" i="58"/>
  <c r="R22" i="58" s="1"/>
  <c r="P80" i="59" l="1"/>
  <c r="P123" i="59" l="1"/>
  <c r="G12" i="78" l="1"/>
  <c r="L12" i="78" l="1"/>
  <c r="F12" i="78"/>
  <c r="U153" i="59" l="1"/>
  <c r="T153" i="59" l="1"/>
  <c r="S153" i="59" l="1"/>
  <c r="V153" i="59" l="1"/>
  <c r="W153" i="59"/>
  <c r="O30" i="60" l="1"/>
  <c r="O38" i="60"/>
  <c r="O32" i="60"/>
  <c r="O31" i="60"/>
  <c r="O104" i="60"/>
  <c r="O106" i="60"/>
  <c r="O107" i="60"/>
  <c r="O111" i="60"/>
  <c r="O19" i="60"/>
  <c r="O21" i="60"/>
  <c r="O15" i="60"/>
  <c r="O12" i="60"/>
  <c r="O20" i="60"/>
  <c r="O13" i="60"/>
  <c r="O17" i="60"/>
  <c r="O47" i="60"/>
  <c r="O51" i="60"/>
  <c r="O52" i="60"/>
  <c r="O50" i="60"/>
  <c r="O44" i="60"/>
  <c r="O49" i="60"/>
  <c r="O46" i="60"/>
  <c r="O45" i="60"/>
  <c r="O48" i="60"/>
  <c r="O108" i="60" l="1"/>
  <c r="O35" i="60"/>
  <c r="O22" i="60"/>
  <c r="O101" i="60"/>
  <c r="O14" i="60"/>
  <c r="O105" i="60"/>
  <c r="O29" i="60"/>
  <c r="O11" i="60"/>
  <c r="O110" i="60"/>
  <c r="O37" i="60"/>
  <c r="O16" i="60"/>
  <c r="O102" i="60"/>
  <c r="O33" i="60"/>
  <c r="O103" i="60"/>
  <c r="O100" i="60"/>
  <c r="O18" i="60"/>
  <c r="O109" i="60"/>
  <c r="O34" i="60"/>
  <c r="O36" i="60"/>
  <c r="O43" i="60" l="1"/>
  <c r="O54" i="60" s="1"/>
  <c r="O112" i="60"/>
  <c r="O23" i="60"/>
  <c r="O26" i="60" s="1"/>
  <c r="O40" i="60"/>
  <c r="O88" i="60" l="1"/>
  <c r="O92" i="60"/>
  <c r="O96" i="60"/>
  <c r="O95" i="60"/>
  <c r="O89" i="60"/>
  <c r="O93" i="60"/>
  <c r="O94" i="60"/>
  <c r="O90" i="60"/>
  <c r="O91" i="60"/>
  <c r="O87" i="60"/>
  <c r="O85" i="60" l="1"/>
  <c r="O86" i="60"/>
  <c r="O97" i="60" l="1"/>
  <c r="P111" i="59" l="1"/>
  <c r="O20" i="59" l="1"/>
  <c r="R34" i="81" l="1"/>
  <c r="R25" i="81" l="1"/>
  <c r="M20" i="59"/>
  <c r="W12" i="59" l="1"/>
  <c r="W37" i="81" l="1"/>
  <c r="S37" i="81"/>
  <c r="S28" i="59"/>
  <c r="T37" i="81"/>
  <c r="V37" i="81"/>
  <c r="U37" i="81"/>
  <c r="T12" i="59" l="1"/>
  <c r="U12" i="59"/>
  <c r="S12" i="59"/>
  <c r="V12" i="59"/>
  <c r="T28" i="59" l="1"/>
  <c r="U28" i="59" l="1"/>
  <c r="V28" i="59" l="1"/>
  <c r="W28" i="59"/>
  <c r="U62" i="59" l="1"/>
  <c r="V77" i="59"/>
  <c r="S77" i="59"/>
  <c r="T77" i="59"/>
  <c r="S120" i="59" l="1"/>
  <c r="T62" i="59"/>
  <c r="S62" i="59"/>
  <c r="V62" i="59"/>
  <c r="W62" i="59"/>
  <c r="W77" i="59"/>
  <c r="W120" i="59" s="1"/>
  <c r="U77" i="59"/>
  <c r="U120" i="59" s="1"/>
  <c r="T120" i="59"/>
  <c r="V120" i="59" l="1"/>
  <c r="U41" i="81" l="1"/>
  <c r="V41" i="81"/>
  <c r="S41" i="81"/>
  <c r="W41" i="81"/>
  <c r="T41" i="81"/>
  <c r="W32" i="59" l="1"/>
  <c r="T32" i="59"/>
  <c r="S53" i="81"/>
  <c r="E168" i="59"/>
  <c r="V32" i="59"/>
  <c r="S32" i="59"/>
  <c r="H168" i="59"/>
  <c r="T53" i="81"/>
  <c r="Q168" i="59"/>
  <c r="W53" i="81"/>
  <c r="K168" i="59"/>
  <c r="U53" i="81"/>
  <c r="N168" i="59"/>
  <c r="V53" i="81"/>
  <c r="U32" i="59"/>
  <c r="F168" i="59" l="1"/>
  <c r="R168" i="59"/>
  <c r="I168" i="59"/>
  <c r="O168" i="59"/>
  <c r="L168" i="59"/>
  <c r="D61" i="105" l="1"/>
  <c r="F59" i="105"/>
  <c r="F61" i="105" l="1"/>
  <c r="S81" i="59" l="1"/>
  <c r="T66" i="59"/>
  <c r="T112" i="59" s="1"/>
  <c r="T81" i="59"/>
  <c r="T124" i="59" s="1"/>
  <c r="S66" i="59"/>
  <c r="U81" i="59" l="1"/>
  <c r="U124" i="59" s="1"/>
  <c r="U66" i="59"/>
  <c r="U112" i="59" s="1"/>
  <c r="V66" i="59" l="1"/>
  <c r="V112" i="59" s="1"/>
  <c r="V81" i="59"/>
  <c r="V124" i="59" s="1"/>
  <c r="W66" i="59" l="1"/>
  <c r="W112" i="59" s="1"/>
  <c r="W81" i="59"/>
  <c r="W124" i="59" s="1"/>
  <c r="S124" i="59" l="1"/>
  <c r="S112" i="59"/>
  <c r="F84" i="61" l="1"/>
  <c r="G84" i="61"/>
  <c r="H84" i="61"/>
  <c r="I84" i="61"/>
  <c r="E84" i="61"/>
  <c r="F38" i="59" l="1"/>
  <c r="H38" i="59" s="1"/>
  <c r="R12" i="59" l="1"/>
  <c r="J10" i="61"/>
  <c r="O12" i="59"/>
  <c r="P12" i="59" s="1"/>
  <c r="I10" i="61"/>
  <c r="G12" i="59"/>
  <c r="H12" i="59" s="1"/>
  <c r="F10" i="61"/>
  <c r="H15" i="81"/>
  <c r="G15" i="81"/>
  <c r="I12" i="59" l="1"/>
  <c r="G10" i="61" s="1"/>
  <c r="D3" i="100"/>
  <c r="G69" i="67" l="1"/>
  <c r="F69" i="67"/>
  <c r="H69" i="67"/>
  <c r="F58" i="67"/>
  <c r="G58" i="67"/>
  <c r="H58" i="67"/>
  <c r="F59" i="67"/>
  <c r="H59" i="67"/>
  <c r="G59" i="67"/>
  <c r="G72" i="67"/>
  <c r="F72" i="67"/>
  <c r="H72" i="67"/>
  <c r="G63" i="67"/>
  <c r="F63" i="67"/>
  <c r="H63" i="67"/>
  <c r="G51" i="67"/>
  <c r="F51" i="67"/>
  <c r="H51" i="67"/>
  <c r="G64" i="67"/>
  <c r="F64" i="67"/>
  <c r="H64" i="67"/>
  <c r="F76" i="67"/>
  <c r="G76" i="67"/>
  <c r="H76" i="67"/>
  <c r="F57" i="67"/>
  <c r="H57" i="67"/>
  <c r="G57" i="67"/>
  <c r="G70" i="67"/>
  <c r="F70" i="67"/>
  <c r="H70" i="67"/>
  <c r="F71" i="67"/>
  <c r="G71" i="67"/>
  <c r="H71" i="67"/>
  <c r="F60" i="67"/>
  <c r="G60" i="67"/>
  <c r="H60" i="67"/>
  <c r="G50" i="67"/>
  <c r="F50" i="67"/>
  <c r="E79" i="67"/>
  <c r="H50" i="67"/>
  <c r="F75" i="67"/>
  <c r="H75" i="67"/>
  <c r="G75" i="67"/>
  <c r="H52" i="67"/>
  <c r="F52" i="67"/>
  <c r="G52" i="67"/>
  <c r="H65" i="67"/>
  <c r="F65" i="67"/>
  <c r="G65" i="67"/>
  <c r="H77" i="67"/>
  <c r="F77" i="67"/>
  <c r="G77" i="67"/>
  <c r="F53" i="67"/>
  <c r="G53" i="67"/>
  <c r="H53" i="67"/>
  <c r="H66" i="67"/>
  <c r="G66" i="67"/>
  <c r="F66" i="67"/>
  <c r="F78" i="67"/>
  <c r="G78" i="67"/>
  <c r="H78" i="67"/>
  <c r="H79" i="67" l="1"/>
  <c r="F79" i="67"/>
  <c r="G79" i="67"/>
  <c r="D79" i="67" l="1"/>
  <c r="L19" i="59" l="1"/>
  <c r="K22" i="81"/>
  <c r="L22" i="81" s="1"/>
  <c r="K18" i="81"/>
  <c r="L18" i="81" s="1"/>
  <c r="L15" i="59"/>
  <c r="L18" i="59"/>
  <c r="K21" i="81"/>
  <c r="L21" i="81" s="1"/>
  <c r="L16" i="59"/>
  <c r="K19" i="81"/>
  <c r="L19" i="81" s="1"/>
  <c r="Q35" i="91" l="1"/>
  <c r="Q38" i="91"/>
  <c r="F26" i="81" l="1"/>
  <c r="H26" i="81" s="1"/>
  <c r="F16" i="81"/>
  <c r="G13" i="59"/>
  <c r="D4" i="100"/>
  <c r="J26" i="81"/>
  <c r="L26" i="81" s="1"/>
  <c r="J13" i="59" l="1"/>
  <c r="L13" i="59" s="1"/>
  <c r="F21" i="59"/>
  <c r="H21" i="59" s="1"/>
  <c r="J21" i="59"/>
  <c r="L21" i="59" s="1"/>
  <c r="F18" i="59"/>
  <c r="F15" i="61" s="1"/>
  <c r="G21" i="81"/>
  <c r="H21" i="81" s="1"/>
  <c r="G22" i="81"/>
  <c r="H22" i="81" s="1"/>
  <c r="F19" i="59"/>
  <c r="F16" i="61" s="1"/>
  <c r="F13" i="59"/>
  <c r="H16" i="81" s="1"/>
  <c r="J16" i="81"/>
  <c r="L16" i="81" s="1"/>
  <c r="E4" i="100"/>
  <c r="F15" i="59"/>
  <c r="F12" i="61" s="1"/>
  <c r="G18" i="81"/>
  <c r="H18" i="81" s="1"/>
  <c r="F16" i="59"/>
  <c r="F13" i="61" s="1"/>
  <c r="G19" i="81"/>
  <c r="H19" i="81" s="1"/>
  <c r="H19" i="59" l="1"/>
  <c r="H13" i="59"/>
  <c r="H16" i="59"/>
  <c r="H15" i="59"/>
  <c r="H18" i="59"/>
  <c r="O46" i="119" l="1"/>
  <c r="O54" i="119"/>
  <c r="O48" i="119"/>
  <c r="O42" i="119"/>
  <c r="O50" i="119"/>
  <c r="E48" i="119"/>
  <c r="E56" i="119"/>
  <c r="O44" i="119"/>
  <c r="O52" i="119"/>
  <c r="O56" i="119"/>
  <c r="J41" i="119"/>
  <c r="J49" i="119"/>
  <c r="O47" i="119"/>
  <c r="O55" i="119"/>
  <c r="J47" i="119"/>
  <c r="J55" i="119"/>
  <c r="O45" i="119"/>
  <c r="O53" i="119"/>
  <c r="J43" i="119"/>
  <c r="J51" i="119"/>
  <c r="O41" i="119"/>
  <c r="O49" i="119"/>
  <c r="J45" i="119"/>
  <c r="J53" i="119"/>
  <c r="O43" i="119"/>
  <c r="O51" i="119"/>
  <c r="E41" i="119"/>
  <c r="E49" i="119"/>
  <c r="T33" i="105"/>
  <c r="J44" i="119"/>
  <c r="J46" i="119"/>
  <c r="J48" i="119"/>
  <c r="J50" i="119"/>
  <c r="J52" i="119"/>
  <c r="J54" i="119"/>
  <c r="J56" i="119"/>
  <c r="E40" i="119"/>
  <c r="E57" i="70"/>
  <c r="E42" i="119"/>
  <c r="E43" i="119"/>
  <c r="E44" i="119"/>
  <c r="E45" i="119"/>
  <c r="E46" i="119"/>
  <c r="E47" i="119"/>
  <c r="E50" i="119"/>
  <c r="E51" i="119"/>
  <c r="E52" i="119"/>
  <c r="E53" i="119"/>
  <c r="E54" i="119"/>
  <c r="E55" i="119"/>
  <c r="J33" i="105"/>
  <c r="O33" i="105"/>
  <c r="O57" i="70"/>
  <c r="O40" i="119"/>
  <c r="J42" i="119"/>
  <c r="J57" i="70"/>
  <c r="J40" i="119"/>
  <c r="O57" i="119" l="1"/>
  <c r="E57" i="119"/>
  <c r="E33" i="105"/>
  <c r="J57" i="119"/>
  <c r="E60" i="105"/>
  <c r="H60" i="105" s="1"/>
  <c r="I60" i="105" s="1"/>
  <c r="T30" i="119"/>
  <c r="T29" i="119"/>
  <c r="T28" i="119"/>
  <c r="T27" i="119"/>
  <c r="T26" i="119"/>
  <c r="T25" i="119"/>
  <c r="T24" i="119"/>
  <c r="T23" i="119"/>
  <c r="T22" i="119"/>
  <c r="T21" i="119"/>
  <c r="T20" i="119"/>
  <c r="T19" i="119"/>
  <c r="T18" i="119"/>
  <c r="T17" i="119"/>
  <c r="T16" i="119"/>
  <c r="T15" i="119"/>
  <c r="Q12" i="93" l="1"/>
  <c r="P12" i="93"/>
  <c r="R12" i="93"/>
  <c r="E86" i="105"/>
  <c r="T31" i="70"/>
  <c r="T14" i="119"/>
  <c r="T31" i="119" s="1"/>
  <c r="K60" i="105"/>
  <c r="P14" i="93" l="1"/>
  <c r="P15" i="93" s="1"/>
  <c r="Q14" i="93"/>
  <c r="Q15" i="93" s="1"/>
  <c r="R14" i="93"/>
  <c r="P17" i="54" s="1"/>
  <c r="O12" i="93"/>
  <c r="O17" i="54" l="1"/>
  <c r="N17" i="54"/>
  <c r="E56" i="55"/>
  <c r="E64" i="55" s="1"/>
  <c r="F56" i="55"/>
  <c r="F64" i="55" s="1"/>
  <c r="O14" i="93"/>
  <c r="O15" i="93" s="1"/>
  <c r="R15" i="93"/>
  <c r="G56" i="55"/>
  <c r="G64" i="55" s="1"/>
  <c r="M17" i="54"/>
  <c r="J29" i="72"/>
  <c r="D56" i="55" l="1"/>
  <c r="D64" i="55" s="1"/>
  <c r="N29" i="72"/>
  <c r="M31" i="72"/>
  <c r="P22" i="81" l="1"/>
  <c r="P21" i="81"/>
  <c r="P19" i="81"/>
  <c r="P18" i="81"/>
  <c r="N119" i="60" l="1"/>
  <c r="K119" i="60" s="1"/>
  <c r="O119" i="60" s="1"/>
  <c r="N123" i="60"/>
  <c r="K123" i="60" s="1"/>
  <c r="O123" i="60" s="1"/>
  <c r="Q65" i="59"/>
  <c r="N65" i="59" s="1"/>
  <c r="R65" i="59" s="1"/>
  <c r="L138" i="60"/>
  <c r="O81" i="59" s="1"/>
  <c r="O124" i="59" s="1"/>
  <c r="O110" i="59"/>
  <c r="O106" i="59"/>
  <c r="N115" i="60"/>
  <c r="L125" i="60"/>
  <c r="O80" i="59" s="1"/>
  <c r="O41" i="81"/>
  <c r="O109" i="59"/>
  <c r="O105" i="59"/>
  <c r="Q101" i="59"/>
  <c r="O111" i="59"/>
  <c r="Q111" i="59" s="1"/>
  <c r="N118" i="60"/>
  <c r="K118" i="60" s="1"/>
  <c r="O118" i="60" s="1"/>
  <c r="O92" i="59"/>
  <c r="O104" i="59"/>
  <c r="L23" i="60"/>
  <c r="L40" i="60"/>
  <c r="L112" i="60"/>
  <c r="N117" i="60"/>
  <c r="K117" i="60" s="1"/>
  <c r="O117" i="60" s="1"/>
  <c r="L24" i="60"/>
  <c r="O112" i="59"/>
  <c r="O70" i="59"/>
  <c r="N122" i="60"/>
  <c r="K122" i="60" s="1"/>
  <c r="O122" i="60" s="1"/>
  <c r="N121" i="60"/>
  <c r="K121" i="60" s="1"/>
  <c r="O121" i="60" s="1"/>
  <c r="L54" i="60"/>
  <c r="L97" i="60"/>
  <c r="N116" i="60"/>
  <c r="K116" i="60" s="1"/>
  <c r="O116" i="60" s="1"/>
  <c r="N120" i="60"/>
  <c r="K120" i="60" s="1"/>
  <c r="O120" i="60" s="1"/>
  <c r="N124" i="60"/>
  <c r="K124" i="60" s="1"/>
  <c r="O124" i="60" s="1"/>
  <c r="O85" i="59" l="1"/>
  <c r="O84" i="59"/>
  <c r="O91" i="59"/>
  <c r="O123" i="59"/>
  <c r="Q123" i="59" s="1"/>
  <c r="Q80" i="59"/>
  <c r="L26" i="60"/>
  <c r="O89" i="59"/>
  <c r="O34" i="59"/>
  <c r="O35" i="59"/>
  <c r="O33" i="59"/>
  <c r="O24" i="59"/>
  <c r="O32" i="59"/>
  <c r="O86" i="59"/>
  <c r="O42" i="81"/>
  <c r="O44" i="81"/>
  <c r="O43" i="81"/>
  <c r="Q55" i="59"/>
  <c r="N55" i="59" s="1"/>
  <c r="R55" i="59" s="1"/>
  <c r="O74" i="59"/>
  <c r="O79" i="59"/>
  <c r="K115" i="60"/>
  <c r="K125" i="60" s="1"/>
  <c r="N80" i="59" s="1"/>
  <c r="N125" i="60"/>
  <c r="O75" i="59"/>
  <c r="O113" i="59"/>
  <c r="O40" i="59" s="1"/>
  <c r="O90" i="59"/>
  <c r="O78" i="59"/>
  <c r="O36" i="59" l="1"/>
  <c r="O37" i="59" s="1"/>
  <c r="O121" i="59"/>
  <c r="O122" i="59"/>
  <c r="O73" i="59"/>
  <c r="O115" i="60"/>
  <c r="O125" i="60" s="1"/>
  <c r="R80" i="59"/>
  <c r="O45" i="81"/>
  <c r="O118" i="59"/>
  <c r="O117" i="59"/>
  <c r="Q24" i="59"/>
  <c r="R24" i="59" s="1"/>
  <c r="O31" i="81"/>
  <c r="Q31" i="81" s="1"/>
  <c r="R31" i="81" s="1"/>
  <c r="O116" i="59" l="1"/>
  <c r="O48" i="81"/>
  <c r="O125" i="59" l="1"/>
  <c r="O155" i="59" s="1"/>
  <c r="O11" i="58" l="1"/>
  <c r="O157" i="59"/>
  <c r="E30" i="119" l="1"/>
  <c r="E29" i="119"/>
  <c r="E28" i="119"/>
  <c r="E27" i="119"/>
  <c r="E26" i="119"/>
  <c r="E25" i="119"/>
  <c r="E24" i="119"/>
  <c r="E23" i="119"/>
  <c r="E22" i="119"/>
  <c r="E21" i="119"/>
  <c r="E20" i="119"/>
  <c r="E19" i="119"/>
  <c r="E18" i="119"/>
  <c r="E17" i="119"/>
  <c r="E16" i="119"/>
  <c r="E15" i="119"/>
  <c r="U31" i="70" l="1"/>
  <c r="P57" i="70"/>
  <c r="T57" i="70"/>
  <c r="K57" i="70"/>
  <c r="U57" i="70"/>
  <c r="E14" i="119"/>
  <c r="E31" i="119" s="1"/>
  <c r="E31" i="70"/>
  <c r="F57" i="70"/>
  <c r="F85" i="105"/>
  <c r="F84" i="105"/>
  <c r="F83" i="105"/>
  <c r="F82" i="105"/>
  <c r="F81" i="105"/>
  <c r="F80" i="105"/>
  <c r="F79" i="105"/>
  <c r="F78" i="105"/>
  <c r="F77" i="105"/>
  <c r="F76" i="105"/>
  <c r="F75" i="105"/>
  <c r="F74" i="105"/>
  <c r="F73" i="105"/>
  <c r="F72" i="105"/>
  <c r="F71" i="105"/>
  <c r="U14" i="119"/>
  <c r="T56" i="119"/>
  <c r="T54" i="119"/>
  <c r="T53" i="119"/>
  <c r="T52" i="119"/>
  <c r="T50" i="119"/>
  <c r="T49" i="119"/>
  <c r="T45" i="119"/>
  <c r="T44" i="119"/>
  <c r="T43" i="119"/>
  <c r="T42" i="119"/>
  <c r="U56" i="119"/>
  <c r="U54" i="119"/>
  <c r="U49" i="119"/>
  <c r="U46" i="119"/>
  <c r="U45" i="119"/>
  <c r="U43" i="119"/>
  <c r="U42" i="119"/>
  <c r="U41" i="119"/>
  <c r="P55" i="119"/>
  <c r="P52" i="119"/>
  <c r="P49" i="119"/>
  <c r="P43" i="119"/>
  <c r="P40" i="119"/>
  <c r="K55" i="119"/>
  <c r="K48" i="119"/>
  <c r="F55" i="119"/>
  <c r="K15" i="119"/>
  <c r="K16" i="119"/>
  <c r="K17" i="119"/>
  <c r="K18" i="119"/>
  <c r="K19" i="119"/>
  <c r="K20" i="119"/>
  <c r="K21" i="119"/>
  <c r="K22" i="119"/>
  <c r="K23" i="119"/>
  <c r="K24" i="119"/>
  <c r="K25" i="119"/>
  <c r="K26" i="119"/>
  <c r="K27" i="119"/>
  <c r="K28" i="119"/>
  <c r="K29" i="119"/>
  <c r="K30" i="119"/>
  <c r="J15" i="119"/>
  <c r="J16" i="119"/>
  <c r="J17" i="119"/>
  <c r="J18" i="119"/>
  <c r="J19" i="119"/>
  <c r="J20" i="119"/>
  <c r="J21" i="119"/>
  <c r="J22" i="119"/>
  <c r="J23" i="119"/>
  <c r="J24" i="119"/>
  <c r="J25" i="119"/>
  <c r="J26" i="119"/>
  <c r="J27" i="119"/>
  <c r="J28" i="119"/>
  <c r="J29" i="119"/>
  <c r="J30" i="119"/>
  <c r="F15" i="119"/>
  <c r="F16" i="119"/>
  <c r="F17" i="119"/>
  <c r="F18" i="119"/>
  <c r="F19" i="119"/>
  <c r="F20" i="119"/>
  <c r="F21" i="119"/>
  <c r="F22" i="119"/>
  <c r="F23" i="119"/>
  <c r="F24" i="119"/>
  <c r="F25" i="119"/>
  <c r="F26" i="119"/>
  <c r="F27" i="119"/>
  <c r="F28" i="119"/>
  <c r="F29" i="119"/>
  <c r="F30" i="119"/>
  <c r="E12" i="93" l="1"/>
  <c r="U16" i="119"/>
  <c r="U27" i="119"/>
  <c r="U19" i="119"/>
  <c r="U23" i="119"/>
  <c r="U18" i="119"/>
  <c r="U22" i="119"/>
  <c r="U15" i="119"/>
  <c r="U26" i="119"/>
  <c r="F44" i="119"/>
  <c r="F52" i="119"/>
  <c r="K43" i="119"/>
  <c r="K51" i="119"/>
  <c r="P41" i="119"/>
  <c r="Z33" i="105"/>
  <c r="T47" i="119"/>
  <c r="T55" i="119"/>
  <c r="D73" i="105"/>
  <c r="H19" i="105"/>
  <c r="I19" i="105" s="1"/>
  <c r="E47" i="105"/>
  <c r="U20" i="119"/>
  <c r="F53" i="119"/>
  <c r="K44" i="119"/>
  <c r="K52" i="119"/>
  <c r="Y33" i="105"/>
  <c r="T48" i="119"/>
  <c r="D74" i="105"/>
  <c r="H20" i="105"/>
  <c r="I20" i="105" s="1"/>
  <c r="E48" i="105"/>
  <c r="D82" i="105"/>
  <c r="H28" i="105"/>
  <c r="I28" i="105" s="1"/>
  <c r="E56" i="105"/>
  <c r="F46" i="119"/>
  <c r="K45" i="119"/>
  <c r="K53" i="119"/>
  <c r="P51" i="119"/>
  <c r="U50" i="119"/>
  <c r="F33" i="105"/>
  <c r="F70" i="105"/>
  <c r="F86" i="105"/>
  <c r="H86" i="105" s="1"/>
  <c r="H32" i="105"/>
  <c r="I32" i="105" s="1"/>
  <c r="H29" i="105"/>
  <c r="I29" i="105" s="1"/>
  <c r="D83" i="105"/>
  <c r="E57" i="105"/>
  <c r="P45" i="119"/>
  <c r="H23" i="105"/>
  <c r="I23" i="105" s="1"/>
  <c r="D77" i="105"/>
  <c r="E51" i="105"/>
  <c r="K14" i="119"/>
  <c r="K31" i="119" s="1"/>
  <c r="K31" i="70"/>
  <c r="F41" i="119"/>
  <c r="F49" i="119"/>
  <c r="P33" i="105"/>
  <c r="K56" i="119"/>
  <c r="P46" i="119"/>
  <c r="P54" i="119"/>
  <c r="U53" i="119"/>
  <c r="H16" i="105"/>
  <c r="D70" i="105"/>
  <c r="E44" i="105"/>
  <c r="H24" i="105"/>
  <c r="I24" i="105" s="1"/>
  <c r="D78" i="105"/>
  <c r="E52" i="105"/>
  <c r="U40" i="119"/>
  <c r="K40" i="119"/>
  <c r="U28" i="119"/>
  <c r="F42" i="119"/>
  <c r="F50" i="119"/>
  <c r="K41" i="119"/>
  <c r="K49" i="119"/>
  <c r="P47" i="119"/>
  <c r="D71" i="105"/>
  <c r="H17" i="105"/>
  <c r="I17" i="105" s="1"/>
  <c r="E45" i="105"/>
  <c r="H25" i="105"/>
  <c r="I25" i="105" s="1"/>
  <c r="D79" i="105"/>
  <c r="E53" i="105"/>
  <c r="U17" i="119"/>
  <c r="U48" i="119"/>
  <c r="D81" i="105"/>
  <c r="H27" i="105"/>
  <c r="I27" i="105" s="1"/>
  <c r="E55" i="105"/>
  <c r="F45" i="119"/>
  <c r="P42" i="119"/>
  <c r="P50" i="119"/>
  <c r="F54" i="119"/>
  <c r="T41" i="119"/>
  <c r="H21" i="105"/>
  <c r="I21" i="105" s="1"/>
  <c r="D75" i="105"/>
  <c r="E49" i="105"/>
  <c r="T40" i="119"/>
  <c r="F31" i="70"/>
  <c r="F14" i="119"/>
  <c r="F31" i="119" s="1"/>
  <c r="F47" i="119"/>
  <c r="K46" i="119"/>
  <c r="K54" i="119"/>
  <c r="P44" i="119"/>
  <c r="U51" i="119"/>
  <c r="H22" i="105"/>
  <c r="I22" i="105" s="1"/>
  <c r="D76" i="105"/>
  <c r="E50" i="105"/>
  <c r="D84" i="105"/>
  <c r="H30" i="105"/>
  <c r="I30" i="105" s="1"/>
  <c r="E58" i="105"/>
  <c r="J14" i="119"/>
  <c r="J31" i="119" s="1"/>
  <c r="J31" i="70"/>
  <c r="K33" i="105"/>
  <c r="F48" i="119"/>
  <c r="F56" i="119"/>
  <c r="K86" i="105"/>
  <c r="K47" i="119"/>
  <c r="P53" i="119"/>
  <c r="U44" i="119"/>
  <c r="U52" i="119"/>
  <c r="T51" i="119"/>
  <c r="U21" i="119"/>
  <c r="F43" i="119"/>
  <c r="F51" i="119"/>
  <c r="K42" i="119"/>
  <c r="K50" i="119"/>
  <c r="U33" i="105"/>
  <c r="P48" i="119"/>
  <c r="P56" i="119"/>
  <c r="U47" i="119"/>
  <c r="U55" i="119"/>
  <c r="T46" i="119"/>
  <c r="D72" i="105"/>
  <c r="H18" i="105"/>
  <c r="I18" i="105" s="1"/>
  <c r="E46" i="105"/>
  <c r="D80" i="105"/>
  <c r="H26" i="105"/>
  <c r="I26" i="105" s="1"/>
  <c r="E54" i="105"/>
  <c r="F40" i="119"/>
  <c r="U29" i="119"/>
  <c r="U25" i="119"/>
  <c r="U30" i="119"/>
  <c r="U24" i="119"/>
  <c r="E14" i="93" l="1"/>
  <c r="E15" i="93" s="1"/>
  <c r="F12" i="93"/>
  <c r="F14" i="93" s="1"/>
  <c r="H12" i="93"/>
  <c r="P57" i="119"/>
  <c r="F87" i="105"/>
  <c r="F57" i="119"/>
  <c r="U31" i="119"/>
  <c r="H44" i="105"/>
  <c r="E70" i="105"/>
  <c r="H70" i="105" s="1"/>
  <c r="H54" i="105"/>
  <c r="I54" i="105" s="1"/>
  <c r="I80" i="105" s="1"/>
  <c r="E80" i="105"/>
  <c r="H80" i="105" s="1"/>
  <c r="M26" i="105"/>
  <c r="N26" i="105" s="1"/>
  <c r="M30" i="105"/>
  <c r="N30" i="105" s="1"/>
  <c r="M25" i="105"/>
  <c r="N25" i="105" s="1"/>
  <c r="I16" i="105"/>
  <c r="H45" i="105"/>
  <c r="I45" i="105" s="1"/>
  <c r="E71" i="105"/>
  <c r="H71" i="105" s="1"/>
  <c r="M29" i="105"/>
  <c r="N29" i="105" s="1"/>
  <c r="H46" i="105"/>
  <c r="I46" i="105" s="1"/>
  <c r="E72" i="105"/>
  <c r="H72" i="105" s="1"/>
  <c r="T57" i="119"/>
  <c r="H52" i="105"/>
  <c r="I52" i="105" s="1"/>
  <c r="I78" i="105" s="1"/>
  <c r="E78" i="105"/>
  <c r="H78" i="105" s="1"/>
  <c r="M32" i="105"/>
  <c r="N32" i="105" s="1"/>
  <c r="I86" i="105"/>
  <c r="J60" i="105"/>
  <c r="M22" i="105"/>
  <c r="N22" i="105" s="1"/>
  <c r="R22" i="105" s="1"/>
  <c r="S22" i="105" s="1"/>
  <c r="M24" i="105"/>
  <c r="N24" i="105" s="1"/>
  <c r="R24" i="105" s="1"/>
  <c r="S24" i="105" s="1"/>
  <c r="M23" i="105"/>
  <c r="N23" i="105" s="1"/>
  <c r="H48" i="105"/>
  <c r="I48" i="105" s="1"/>
  <c r="E74" i="105"/>
  <c r="H74" i="105" s="1"/>
  <c r="M19" i="105"/>
  <c r="N19" i="105" s="1"/>
  <c r="H53" i="105"/>
  <c r="I53" i="105" s="1"/>
  <c r="E79" i="105"/>
  <c r="H79" i="105" s="1"/>
  <c r="H58" i="105"/>
  <c r="I58" i="105" s="1"/>
  <c r="E84" i="105"/>
  <c r="H84" i="105" s="1"/>
  <c r="H57" i="105"/>
  <c r="I57" i="105" s="1"/>
  <c r="E83" i="105"/>
  <c r="H83" i="105" s="1"/>
  <c r="H55" i="105"/>
  <c r="I55" i="105" s="1"/>
  <c r="E81" i="105"/>
  <c r="H81" i="105" s="1"/>
  <c r="K57" i="119"/>
  <c r="M27" i="105"/>
  <c r="N27" i="105" s="1"/>
  <c r="R27" i="105" s="1"/>
  <c r="S27" i="105" s="1"/>
  <c r="U57" i="119"/>
  <c r="H56" i="105"/>
  <c r="I56" i="105" s="1"/>
  <c r="I82" i="105" s="1"/>
  <c r="E82" i="105"/>
  <c r="H82" i="105" s="1"/>
  <c r="H50" i="105"/>
  <c r="I50" i="105" s="1"/>
  <c r="E76" i="105"/>
  <c r="H76" i="105" s="1"/>
  <c r="M17" i="105"/>
  <c r="N17" i="105" s="1"/>
  <c r="R17" i="105" s="1"/>
  <c r="S17" i="105" s="1"/>
  <c r="H51" i="105"/>
  <c r="I51" i="105" s="1"/>
  <c r="E77" i="105"/>
  <c r="H77" i="105" s="1"/>
  <c r="M28" i="105"/>
  <c r="N28" i="105" s="1"/>
  <c r="M18" i="105"/>
  <c r="N18" i="105" s="1"/>
  <c r="H49" i="105"/>
  <c r="I49" i="105" s="1"/>
  <c r="I75" i="105" s="1"/>
  <c r="E75" i="105"/>
  <c r="H75" i="105" s="1"/>
  <c r="H47" i="105"/>
  <c r="I47" i="105" s="1"/>
  <c r="I73" i="105" s="1"/>
  <c r="E73" i="105"/>
  <c r="H73" i="105" s="1"/>
  <c r="M21" i="105"/>
  <c r="N21" i="105" s="1"/>
  <c r="M20" i="105"/>
  <c r="N20" i="105" s="1"/>
  <c r="E17" i="54" l="1"/>
  <c r="F17" i="54" s="1"/>
  <c r="I12" i="93"/>
  <c r="I14" i="93" s="1"/>
  <c r="E12" i="55"/>
  <c r="F12" i="55" s="1"/>
  <c r="H14" i="93"/>
  <c r="H15" i="93" s="1"/>
  <c r="S12" i="93"/>
  <c r="R20" i="105"/>
  <c r="S20" i="105" s="1"/>
  <c r="R18" i="105"/>
  <c r="S18" i="105" s="1"/>
  <c r="J50" i="105"/>
  <c r="J76" i="105" s="1"/>
  <c r="K50" i="105"/>
  <c r="K76" i="105" s="1"/>
  <c r="K55" i="105"/>
  <c r="K81" i="105" s="1"/>
  <c r="J55" i="105"/>
  <c r="J81" i="105" s="1"/>
  <c r="K53" i="105"/>
  <c r="K79" i="105" s="1"/>
  <c r="J53" i="105"/>
  <c r="J79" i="105" s="1"/>
  <c r="R23" i="105"/>
  <c r="S23" i="105" s="1"/>
  <c r="R29" i="105"/>
  <c r="S29" i="105" s="1"/>
  <c r="R30" i="105"/>
  <c r="S30" i="105" s="1"/>
  <c r="J52" i="105"/>
  <c r="J78" i="105" s="1"/>
  <c r="K52" i="105"/>
  <c r="K78" i="105" s="1"/>
  <c r="R21" i="105"/>
  <c r="S21" i="105" s="1"/>
  <c r="R28" i="105"/>
  <c r="S28" i="105" s="1"/>
  <c r="W28" i="105" s="1"/>
  <c r="X28" i="105" s="1"/>
  <c r="AB28" i="105" s="1"/>
  <c r="J56" i="105"/>
  <c r="J82" i="105" s="1"/>
  <c r="K56" i="105"/>
  <c r="K82" i="105" s="1"/>
  <c r="J57" i="105"/>
  <c r="J83" i="105" s="1"/>
  <c r="K57" i="105"/>
  <c r="K83" i="105" s="1"/>
  <c r="W24" i="105"/>
  <c r="X24" i="105" s="1"/>
  <c r="J45" i="105"/>
  <c r="J71" i="105" s="1"/>
  <c r="K45" i="105"/>
  <c r="K71" i="105" s="1"/>
  <c r="R26" i="105"/>
  <c r="S26" i="105" s="1"/>
  <c r="I76" i="105"/>
  <c r="K47" i="105"/>
  <c r="K73" i="105" s="1"/>
  <c r="J47" i="105"/>
  <c r="J73" i="105" s="1"/>
  <c r="K51" i="105"/>
  <c r="K77" i="105" s="1"/>
  <c r="J51" i="105"/>
  <c r="I81" i="105"/>
  <c r="M16" i="105"/>
  <c r="I71" i="105"/>
  <c r="J86" i="105"/>
  <c r="M86" i="105" s="1"/>
  <c r="M60" i="105"/>
  <c r="N60" i="105" s="1"/>
  <c r="N86" i="105" s="1"/>
  <c r="K49" i="105"/>
  <c r="K75" i="105" s="1"/>
  <c r="J49" i="105"/>
  <c r="W17" i="105"/>
  <c r="X17" i="105" s="1"/>
  <c r="K58" i="105"/>
  <c r="K84" i="105" s="1"/>
  <c r="J58" i="105"/>
  <c r="K48" i="105"/>
  <c r="K74" i="105" s="1"/>
  <c r="J48" i="105"/>
  <c r="J74" i="105" s="1"/>
  <c r="K46" i="105"/>
  <c r="K72" i="105" s="1"/>
  <c r="J46" i="105"/>
  <c r="J72" i="105" s="1"/>
  <c r="R25" i="105"/>
  <c r="S25" i="105" s="1"/>
  <c r="R19" i="105"/>
  <c r="S19" i="105" s="1"/>
  <c r="W22" i="105"/>
  <c r="X22" i="105" s="1"/>
  <c r="K54" i="105"/>
  <c r="K80" i="105" s="1"/>
  <c r="J54" i="105"/>
  <c r="J80" i="105" s="1"/>
  <c r="W27" i="105"/>
  <c r="X27" i="105" s="1"/>
  <c r="I79" i="105"/>
  <c r="I74" i="105"/>
  <c r="I72" i="105"/>
  <c r="I77" i="105"/>
  <c r="R32" i="105"/>
  <c r="S32" i="105" s="1"/>
  <c r="I83" i="105"/>
  <c r="I84" i="105"/>
  <c r="I44" i="105"/>
  <c r="I70" i="105" s="1"/>
  <c r="S14" i="93" l="1"/>
  <c r="Q17" i="54" s="1"/>
  <c r="M73" i="105"/>
  <c r="H17" i="54"/>
  <c r="I17" i="54" s="1"/>
  <c r="H12" i="55"/>
  <c r="M45" i="105"/>
  <c r="N45" i="105" s="1"/>
  <c r="P45" i="105" s="1"/>
  <c r="M50" i="105"/>
  <c r="N50" i="105" s="1"/>
  <c r="O50" i="105" s="1"/>
  <c r="O76" i="105" s="1"/>
  <c r="M57" i="105"/>
  <c r="N57" i="105" s="1"/>
  <c r="P57" i="105" s="1"/>
  <c r="P83" i="105" s="1"/>
  <c r="M74" i="105"/>
  <c r="M78" i="105"/>
  <c r="M48" i="105"/>
  <c r="N48" i="105" s="1"/>
  <c r="O48" i="105" s="1"/>
  <c r="O74" i="105" s="1"/>
  <c r="M47" i="105"/>
  <c r="N47" i="105" s="1"/>
  <c r="N73" i="105" s="1"/>
  <c r="M79" i="105"/>
  <c r="M80" i="105"/>
  <c r="M82" i="105"/>
  <c r="M53" i="105"/>
  <c r="N53" i="105" s="1"/>
  <c r="N79" i="105" s="1"/>
  <c r="M76" i="105"/>
  <c r="M72" i="105"/>
  <c r="AB17" i="105"/>
  <c r="M49" i="105"/>
  <c r="N49" i="105" s="1"/>
  <c r="J75" i="105"/>
  <c r="M75" i="105" s="1"/>
  <c r="W23" i="105"/>
  <c r="X23" i="105" s="1"/>
  <c r="J44" i="105"/>
  <c r="K44" i="105"/>
  <c r="W26" i="105"/>
  <c r="X26" i="105" s="1"/>
  <c r="M83" i="105"/>
  <c r="W18" i="105"/>
  <c r="X18" i="105" s="1"/>
  <c r="M54" i="105"/>
  <c r="N54" i="105" s="1"/>
  <c r="W25" i="105"/>
  <c r="X25" i="105" s="1"/>
  <c r="M58" i="105"/>
  <c r="N58" i="105" s="1"/>
  <c r="J84" i="105"/>
  <c r="M84" i="105" s="1"/>
  <c r="M71" i="105"/>
  <c r="M56" i="105"/>
  <c r="N56" i="105" s="1"/>
  <c r="M52" i="105"/>
  <c r="N52" i="105" s="1"/>
  <c r="W30" i="105"/>
  <c r="X30" i="105" s="1"/>
  <c r="AB30" i="105" s="1"/>
  <c r="M55" i="105"/>
  <c r="N55" i="105" s="1"/>
  <c r="W29" i="105"/>
  <c r="X29" i="105" s="1"/>
  <c r="N16" i="105"/>
  <c r="AB22" i="105"/>
  <c r="M81" i="105"/>
  <c r="AB24" i="105"/>
  <c r="M51" i="105"/>
  <c r="N51" i="105" s="1"/>
  <c r="J77" i="105"/>
  <c r="M77" i="105" s="1"/>
  <c r="W19" i="105"/>
  <c r="X19" i="105" s="1"/>
  <c r="AB19" i="105" s="1"/>
  <c r="O60" i="105"/>
  <c r="O86" i="105" s="1"/>
  <c r="P60" i="105"/>
  <c r="P86" i="105" s="1"/>
  <c r="W21" i="105"/>
  <c r="X21" i="105" s="1"/>
  <c r="AB27" i="105"/>
  <c r="W32" i="105"/>
  <c r="X32" i="105" s="1"/>
  <c r="M46" i="105"/>
  <c r="N46" i="105" s="1"/>
  <c r="W20" i="105"/>
  <c r="X20" i="105" s="1"/>
  <c r="U76" i="59"/>
  <c r="V76" i="59"/>
  <c r="T61" i="59"/>
  <c r="V61" i="59"/>
  <c r="U61" i="59"/>
  <c r="W61" i="59"/>
  <c r="W76" i="59"/>
  <c r="N71" i="105" l="1"/>
  <c r="S15" i="93"/>
  <c r="H56" i="55"/>
  <c r="H64" i="55" s="1"/>
  <c r="O45" i="105"/>
  <c r="O71" i="105" s="1"/>
  <c r="N83" i="105"/>
  <c r="N76" i="105"/>
  <c r="O57" i="105"/>
  <c r="O83" i="105" s="1"/>
  <c r="P50" i="105"/>
  <c r="P76" i="105" s="1"/>
  <c r="R86" i="105"/>
  <c r="O47" i="105"/>
  <c r="O73" i="105" s="1"/>
  <c r="P47" i="105"/>
  <c r="P48" i="105"/>
  <c r="P74" i="105" s="1"/>
  <c r="M44" i="105"/>
  <c r="N44" i="105" s="1"/>
  <c r="N74" i="105"/>
  <c r="O53" i="105"/>
  <c r="P53" i="105"/>
  <c r="P79" i="105" s="1"/>
  <c r="R60" i="105"/>
  <c r="S60" i="105" s="1"/>
  <c r="S86" i="105" s="1"/>
  <c r="P51" i="105"/>
  <c r="P77" i="105" s="1"/>
  <c r="O51" i="105"/>
  <c r="O77" i="105" s="1"/>
  <c r="N77" i="105"/>
  <c r="AB25" i="105"/>
  <c r="AB32" i="105"/>
  <c r="O54" i="105"/>
  <c r="O80" i="105" s="1"/>
  <c r="P54" i="105"/>
  <c r="N80" i="105"/>
  <c r="P49" i="105"/>
  <c r="P75" i="105" s="1"/>
  <c r="O49" i="105"/>
  <c r="O75" i="105" s="1"/>
  <c r="N75" i="105"/>
  <c r="R16" i="105"/>
  <c r="P56" i="105"/>
  <c r="P82" i="105" s="1"/>
  <c r="O56" i="105"/>
  <c r="O82" i="105" s="1"/>
  <c r="N82" i="105"/>
  <c r="AB29" i="105"/>
  <c r="U119" i="59"/>
  <c r="AB20" i="105"/>
  <c r="O58" i="105"/>
  <c r="O84" i="105" s="1"/>
  <c r="P58" i="105"/>
  <c r="P84" i="105" s="1"/>
  <c r="N84" i="105"/>
  <c r="AB26" i="105"/>
  <c r="AB21" i="105"/>
  <c r="R45" i="105"/>
  <c r="S45" i="105" s="1"/>
  <c r="P71" i="105"/>
  <c r="R71" i="105" s="1"/>
  <c r="W119" i="59"/>
  <c r="N78" i="105"/>
  <c r="P52" i="105"/>
  <c r="P78" i="105" s="1"/>
  <c r="O52" i="105"/>
  <c r="O78" i="105" s="1"/>
  <c r="V119" i="59"/>
  <c r="AB18" i="105"/>
  <c r="K70" i="105"/>
  <c r="J70" i="105"/>
  <c r="O46" i="105"/>
  <c r="O72" i="105" s="1"/>
  <c r="P46" i="105"/>
  <c r="P72" i="105" s="1"/>
  <c r="N72" i="105"/>
  <c r="N81" i="105"/>
  <c r="P55" i="105"/>
  <c r="P81" i="105" s="1"/>
  <c r="O55" i="105"/>
  <c r="AB23" i="105"/>
  <c r="R83" i="105" l="1"/>
  <c r="R76" i="105"/>
  <c r="R50" i="105"/>
  <c r="S50" i="105" s="1"/>
  <c r="T50" i="105" s="1"/>
  <c r="T76" i="105" s="1"/>
  <c r="R74" i="105"/>
  <c r="R47" i="105"/>
  <c r="S47" i="105" s="1"/>
  <c r="U47" i="105" s="1"/>
  <c r="U73" i="105" s="1"/>
  <c r="P73" i="105"/>
  <c r="R73" i="105" s="1"/>
  <c r="R48" i="105"/>
  <c r="S48" i="105" s="1"/>
  <c r="S74" i="105" s="1"/>
  <c r="R57" i="105"/>
  <c r="S57" i="105" s="1"/>
  <c r="S83" i="105" s="1"/>
  <c r="R72" i="105"/>
  <c r="R46" i="105"/>
  <c r="S46" i="105" s="1"/>
  <c r="S72" i="105" s="1"/>
  <c r="R53" i="105"/>
  <c r="S53" i="105" s="1"/>
  <c r="U53" i="105" s="1"/>
  <c r="U79" i="105" s="1"/>
  <c r="O79" i="105"/>
  <c r="R79" i="105" s="1"/>
  <c r="U60" i="105"/>
  <c r="U86" i="105" s="1"/>
  <c r="R51" i="105"/>
  <c r="S51" i="105" s="1"/>
  <c r="S77" i="105" s="1"/>
  <c r="R77" i="105"/>
  <c r="R82" i="105"/>
  <c r="T60" i="105"/>
  <c r="T86" i="105" s="1"/>
  <c r="R49" i="105"/>
  <c r="S49" i="105" s="1"/>
  <c r="U49" i="105" s="1"/>
  <c r="U75" i="105" s="1"/>
  <c r="R56" i="105"/>
  <c r="S56" i="105" s="1"/>
  <c r="T56" i="105" s="1"/>
  <c r="R58" i="105"/>
  <c r="S58" i="105" s="1"/>
  <c r="U58" i="105" s="1"/>
  <c r="U84" i="105" s="1"/>
  <c r="R52" i="105"/>
  <c r="S52" i="105" s="1"/>
  <c r="S78" i="105" s="1"/>
  <c r="R75" i="105"/>
  <c r="R84" i="105"/>
  <c r="S16" i="105"/>
  <c r="M70" i="105"/>
  <c r="O44" i="105"/>
  <c r="P44" i="105"/>
  <c r="R55" i="105"/>
  <c r="S55" i="105" s="1"/>
  <c r="O81" i="105"/>
  <c r="R81" i="105" s="1"/>
  <c r="R78" i="105"/>
  <c r="R54" i="105"/>
  <c r="S54" i="105" s="1"/>
  <c r="P80" i="105"/>
  <c r="R80" i="105" s="1"/>
  <c r="T45" i="105"/>
  <c r="T71" i="105" s="1"/>
  <c r="U45" i="105"/>
  <c r="U71" i="105" s="1"/>
  <c r="S71" i="105"/>
  <c r="N70" i="105"/>
  <c r="S73" i="105" l="1"/>
  <c r="T47" i="105"/>
  <c r="T73" i="105" s="1"/>
  <c r="S76" i="105"/>
  <c r="U50" i="105"/>
  <c r="W50" i="105" s="1"/>
  <c r="X50" i="105" s="1"/>
  <c r="U57" i="105"/>
  <c r="U83" i="105" s="1"/>
  <c r="T57" i="105"/>
  <c r="T83" i="105" s="1"/>
  <c r="T48" i="105"/>
  <c r="T74" i="105" s="1"/>
  <c r="U48" i="105"/>
  <c r="U74" i="105" s="1"/>
  <c r="U46" i="105"/>
  <c r="U72" i="105" s="1"/>
  <c r="T46" i="105"/>
  <c r="S79" i="105"/>
  <c r="T53" i="105"/>
  <c r="T79" i="105" s="1"/>
  <c r="U52" i="105"/>
  <c r="U78" i="105" s="1"/>
  <c r="U51" i="105"/>
  <c r="U77" i="105" s="1"/>
  <c r="T52" i="105"/>
  <c r="T78" i="105" s="1"/>
  <c r="W86" i="105"/>
  <c r="T51" i="105"/>
  <c r="T77" i="105" s="1"/>
  <c r="S75" i="105"/>
  <c r="T49" i="105"/>
  <c r="T75" i="105" s="1"/>
  <c r="U56" i="105"/>
  <c r="U82" i="105" s="1"/>
  <c r="S82" i="105"/>
  <c r="S84" i="105"/>
  <c r="W60" i="105"/>
  <c r="X60" i="105" s="1"/>
  <c r="T82" i="105"/>
  <c r="T58" i="105"/>
  <c r="W58" i="105" s="1"/>
  <c r="X58" i="105" s="1"/>
  <c r="W71" i="105"/>
  <c r="W45" i="105"/>
  <c r="X45" i="105" s="1"/>
  <c r="Z45" i="105" s="1"/>
  <c r="Z71" i="105" s="1"/>
  <c r="P70" i="105"/>
  <c r="O70" i="105"/>
  <c r="U55" i="105"/>
  <c r="U81" i="105" s="1"/>
  <c r="T55" i="105"/>
  <c r="T81" i="105" s="1"/>
  <c r="S81" i="105"/>
  <c r="U54" i="105"/>
  <c r="U80" i="105" s="1"/>
  <c r="T54" i="105"/>
  <c r="T80" i="105" s="1"/>
  <c r="S80" i="105"/>
  <c r="R44" i="105"/>
  <c r="W16" i="105"/>
  <c r="W73" i="105" l="1"/>
  <c r="W47" i="105"/>
  <c r="X47" i="105" s="1"/>
  <c r="X73" i="105" s="1"/>
  <c r="W46" i="105"/>
  <c r="X46" i="105" s="1"/>
  <c r="Z46" i="105" s="1"/>
  <c r="Z72" i="105" s="1"/>
  <c r="U76" i="105"/>
  <c r="W76" i="105" s="1"/>
  <c r="W83" i="105"/>
  <c r="W78" i="105"/>
  <c r="W74" i="105"/>
  <c r="W57" i="105"/>
  <c r="X57" i="105" s="1"/>
  <c r="T72" i="105"/>
  <c r="W72" i="105" s="1"/>
  <c r="W48" i="105"/>
  <c r="X48" i="105" s="1"/>
  <c r="Z48" i="105" s="1"/>
  <c r="Z74" i="105" s="1"/>
  <c r="W79" i="105"/>
  <c r="W77" i="105"/>
  <c r="W52" i="105"/>
  <c r="X52" i="105" s="1"/>
  <c r="Z52" i="105" s="1"/>
  <c r="Z78" i="105" s="1"/>
  <c r="W53" i="105"/>
  <c r="X53" i="105" s="1"/>
  <c r="X79" i="105" s="1"/>
  <c r="W51" i="105"/>
  <c r="X51" i="105" s="1"/>
  <c r="Z51" i="105" s="1"/>
  <c r="Z77" i="105" s="1"/>
  <c r="W75" i="105"/>
  <c r="W49" i="105"/>
  <c r="X49" i="105" s="1"/>
  <c r="Y49" i="105" s="1"/>
  <c r="Y75" i="105" s="1"/>
  <c r="W56" i="105"/>
  <c r="X56" i="105" s="1"/>
  <c r="X71" i="105"/>
  <c r="W82" i="105"/>
  <c r="X86" i="105"/>
  <c r="Y60" i="105"/>
  <c r="Y86" i="105" s="1"/>
  <c r="Z60" i="105"/>
  <c r="Z86" i="105" s="1"/>
  <c r="W55" i="105"/>
  <c r="X55" i="105" s="1"/>
  <c r="Y55" i="105" s="1"/>
  <c r="Y81" i="105" s="1"/>
  <c r="T84" i="105"/>
  <c r="W84" i="105" s="1"/>
  <c r="Y45" i="105"/>
  <c r="Y71" i="105" s="1"/>
  <c r="R70" i="105"/>
  <c r="W80" i="105"/>
  <c r="W54" i="105"/>
  <c r="X54" i="105" s="1"/>
  <c r="Z54" i="105" s="1"/>
  <c r="Z80" i="105" s="1"/>
  <c r="X16" i="105"/>
  <c r="X84" i="105"/>
  <c r="Y58" i="105"/>
  <c r="Y84" i="105" s="1"/>
  <c r="Z58" i="105"/>
  <c r="Z84" i="105" s="1"/>
  <c r="Y50" i="105"/>
  <c r="Y76" i="105" s="1"/>
  <c r="Z50" i="105"/>
  <c r="Z76" i="105" s="1"/>
  <c r="X76" i="105"/>
  <c r="S44" i="105"/>
  <c r="W81" i="105"/>
  <c r="Z47" i="105" l="1"/>
  <c r="Z73" i="105" s="1"/>
  <c r="X72" i="105"/>
  <c r="Y47" i="105"/>
  <c r="Y73" i="105" s="1"/>
  <c r="Y46" i="105"/>
  <c r="Y72" i="105" s="1"/>
  <c r="AB71" i="105"/>
  <c r="X78" i="105"/>
  <c r="Y52" i="105"/>
  <c r="Y78" i="105" s="1"/>
  <c r="Z57" i="105"/>
  <c r="Z83" i="105" s="1"/>
  <c r="Y57" i="105"/>
  <c r="Y83" i="105" s="1"/>
  <c r="X83" i="105"/>
  <c r="X74" i="105"/>
  <c r="Y48" i="105"/>
  <c r="Y74" i="105" s="1"/>
  <c r="Z53" i="105"/>
  <c r="Z79" i="105" s="1"/>
  <c r="Y53" i="105"/>
  <c r="Y79" i="105" s="1"/>
  <c r="X77" i="105"/>
  <c r="Y51" i="105"/>
  <c r="Y77" i="105" s="1"/>
  <c r="X75" i="105"/>
  <c r="Z49" i="105"/>
  <c r="Z75" i="105" s="1"/>
  <c r="X80" i="105"/>
  <c r="X81" i="105"/>
  <c r="Z55" i="105"/>
  <c r="Z81" i="105" s="1"/>
  <c r="X82" i="105"/>
  <c r="Y56" i="105"/>
  <c r="Y82" i="105" s="1"/>
  <c r="Z56" i="105"/>
  <c r="Z82" i="105" s="1"/>
  <c r="AB86" i="105"/>
  <c r="Y54" i="105"/>
  <c r="Y80" i="105" s="1"/>
  <c r="AB76" i="105"/>
  <c r="U44" i="105"/>
  <c r="T44" i="105"/>
  <c r="S70" i="105"/>
  <c r="AB16" i="105"/>
  <c r="AB84" i="105"/>
  <c r="AB73" i="105" l="1"/>
  <c r="AB72" i="105"/>
  <c r="AB83" i="105"/>
  <c r="AB78" i="105"/>
  <c r="AB79" i="105"/>
  <c r="AB74" i="105"/>
  <c r="AB77" i="105"/>
  <c r="AB75" i="105"/>
  <c r="AB80" i="105"/>
  <c r="W44" i="105"/>
  <c r="X44" i="105" s="1"/>
  <c r="AB82" i="105"/>
  <c r="AB81" i="105"/>
  <c r="T70" i="105"/>
  <c r="U70" i="105"/>
  <c r="W70" i="105" l="1"/>
  <c r="Z44" i="105"/>
  <c r="Z70" i="105" s="1"/>
  <c r="Y44" i="105"/>
  <c r="Y70" i="105" s="1"/>
  <c r="X70" i="105"/>
  <c r="AB70" i="105" l="1"/>
  <c r="S61" i="59" l="1"/>
  <c r="T76" i="59" l="1"/>
  <c r="T119" i="59" s="1"/>
  <c r="S76" i="59" l="1"/>
  <c r="S119" i="59" s="1"/>
  <c r="O19" i="81" l="1"/>
  <c r="Q19" i="81" s="1"/>
  <c r="Q16" i="59"/>
  <c r="O22" i="81"/>
  <c r="Q22" i="81" s="1"/>
  <c r="Q19" i="59"/>
  <c r="Q15" i="59"/>
  <c r="O18" i="81"/>
  <c r="Q18" i="81" s="1"/>
  <c r="O21" i="81"/>
  <c r="Q21" i="81" s="1"/>
  <c r="Q18" i="59"/>
  <c r="D14" i="66" l="1"/>
  <c r="E14" i="66"/>
  <c r="F14" i="66"/>
  <c r="F16" i="66" l="1"/>
  <c r="D16" i="66"/>
  <c r="E16" i="66"/>
  <c r="I253" i="54" l="1"/>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6" i="54"/>
  <c r="I45" i="54"/>
  <c r="I44" i="54"/>
  <c r="H137" i="60"/>
  <c r="J137" i="60" s="1"/>
  <c r="H136" i="60"/>
  <c r="J136" i="60" s="1"/>
  <c r="H135" i="60"/>
  <c r="J135" i="60" s="1"/>
  <c r="H134" i="60"/>
  <c r="J134" i="60" s="1"/>
  <c r="H133" i="60"/>
  <c r="J133" i="60" s="1"/>
  <c r="H132" i="60"/>
  <c r="J132" i="60" s="1"/>
  <c r="H131" i="60"/>
  <c r="J131" i="60" s="1"/>
  <c r="H130" i="60"/>
  <c r="J130" i="60" s="1"/>
  <c r="H129" i="60"/>
  <c r="J129" i="60" s="1"/>
  <c r="H124" i="60"/>
  <c r="J124" i="60" s="1"/>
  <c r="H123" i="60"/>
  <c r="J123" i="60" s="1"/>
  <c r="H122" i="60"/>
  <c r="J122" i="60" s="1"/>
  <c r="H121" i="60"/>
  <c r="J121" i="60" s="1"/>
  <c r="H120" i="60"/>
  <c r="J120" i="60" s="1"/>
  <c r="H119" i="60"/>
  <c r="J119" i="60" s="1"/>
  <c r="H118" i="60"/>
  <c r="J118" i="60" s="1"/>
  <c r="H117" i="60"/>
  <c r="J117" i="60" s="1"/>
  <c r="H116" i="60"/>
  <c r="J116" i="60" s="1"/>
  <c r="H93" i="60"/>
  <c r="J93" i="60" s="1"/>
  <c r="H92" i="60"/>
  <c r="J92" i="60" s="1"/>
  <c r="H91" i="60"/>
  <c r="J91" i="60" s="1"/>
  <c r="H90" i="60"/>
  <c r="J90" i="60" s="1"/>
  <c r="H89" i="60"/>
  <c r="J89" i="60" s="1"/>
  <c r="H88" i="60"/>
  <c r="J88" i="60" s="1"/>
  <c r="H87" i="60"/>
  <c r="J87" i="60" s="1"/>
  <c r="H86" i="60"/>
  <c r="J86" i="60" s="1"/>
  <c r="H109" i="60"/>
  <c r="J109" i="60" s="1"/>
  <c r="H108" i="60"/>
  <c r="J108" i="60" s="1"/>
  <c r="H107" i="60"/>
  <c r="J107" i="60" s="1"/>
  <c r="H106" i="60"/>
  <c r="J106" i="60" s="1"/>
  <c r="H105" i="60"/>
  <c r="J105" i="60" s="1"/>
  <c r="H104" i="60"/>
  <c r="J104" i="60" s="1"/>
  <c r="H103" i="60"/>
  <c r="J103" i="60" s="1"/>
  <c r="H102" i="60"/>
  <c r="J102" i="60" s="1"/>
  <c r="H101" i="60"/>
  <c r="J101" i="60" s="1"/>
  <c r="H53" i="60"/>
  <c r="J53" i="60" s="1"/>
  <c r="H52" i="60"/>
  <c r="J52" i="60" s="1"/>
  <c r="H51" i="60"/>
  <c r="J51" i="60" s="1"/>
  <c r="H50" i="60"/>
  <c r="J50" i="60" s="1"/>
  <c r="H49" i="60"/>
  <c r="J49" i="60" s="1"/>
  <c r="H48" i="60"/>
  <c r="J48" i="60" s="1"/>
  <c r="H47" i="60"/>
  <c r="J47" i="60" s="1"/>
  <c r="H46" i="60"/>
  <c r="J46" i="60" s="1"/>
  <c r="H45" i="60"/>
  <c r="J45" i="60" s="1"/>
  <c r="H44" i="60"/>
  <c r="J44" i="60" s="1"/>
  <c r="H39" i="60"/>
  <c r="J39" i="60" s="1"/>
  <c r="H38" i="60"/>
  <c r="J38" i="60" s="1"/>
  <c r="H37" i="60"/>
  <c r="J37" i="60" s="1"/>
  <c r="H36" i="60"/>
  <c r="J36" i="60" s="1"/>
  <c r="H35" i="60"/>
  <c r="J35" i="60" s="1"/>
  <c r="H34" i="60"/>
  <c r="J34" i="60" s="1"/>
  <c r="H33" i="60"/>
  <c r="J33" i="60" s="1"/>
  <c r="H32" i="60"/>
  <c r="J32" i="60" s="1"/>
  <c r="H31" i="60"/>
  <c r="J31" i="60" s="1"/>
  <c r="H30" i="60"/>
  <c r="J30" i="60" s="1"/>
  <c r="H22" i="60"/>
  <c r="J22" i="60" s="1"/>
  <c r="H21" i="60"/>
  <c r="J21" i="60" s="1"/>
  <c r="H20" i="60"/>
  <c r="J20" i="60" s="1"/>
  <c r="H19" i="60"/>
  <c r="J19" i="60" s="1"/>
  <c r="H18" i="60"/>
  <c r="J18" i="60" s="1"/>
  <c r="H17" i="60"/>
  <c r="J17" i="60" s="1"/>
  <c r="H16" i="60"/>
  <c r="J16" i="60" s="1"/>
  <c r="H15" i="60"/>
  <c r="J15" i="60" s="1"/>
  <c r="H14" i="60"/>
  <c r="J14" i="60" s="1"/>
  <c r="H13" i="60"/>
  <c r="J13" i="60" s="1"/>
  <c r="H12" i="60"/>
  <c r="J12" i="60" s="1"/>
  <c r="J66" i="59"/>
  <c r="L66" i="59" s="1"/>
  <c r="J65" i="59"/>
  <c r="L65" i="59" s="1"/>
  <c r="J64" i="59"/>
  <c r="L64" i="59" s="1"/>
  <c r="J63" i="59"/>
  <c r="L63" i="59" s="1"/>
  <c r="J49" i="59"/>
  <c r="L49" i="59" s="1"/>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H53" i="81"/>
  <c r="F66" i="59"/>
  <c r="H66" i="59" s="1"/>
  <c r="F65" i="59"/>
  <c r="H65" i="59" s="1"/>
  <c r="F64" i="59"/>
  <c r="H64" i="59" s="1"/>
  <c r="F63" i="59"/>
  <c r="H63" i="59" s="1"/>
  <c r="F59" i="59"/>
  <c r="H59" i="59" s="1"/>
  <c r="F49" i="59"/>
  <c r="H49" i="59" s="1"/>
  <c r="N9" i="71"/>
  <c r="N11" i="71" s="1"/>
  <c r="M9" i="71"/>
  <c r="M11" i="71" s="1"/>
  <c r="L9" i="71"/>
  <c r="L11" i="71" s="1"/>
  <c r="K9" i="71"/>
  <c r="K11" i="71" s="1"/>
  <c r="J9" i="71"/>
  <c r="J11" i="71" s="1"/>
  <c r="I9" i="71"/>
  <c r="I11" i="71" s="1"/>
  <c r="H9" i="71"/>
  <c r="H11" i="71" s="1"/>
  <c r="G9" i="71"/>
  <c r="G11" i="71" s="1"/>
  <c r="F9" i="71"/>
  <c r="F11" i="71" s="1"/>
  <c r="E9" i="71"/>
  <c r="E11" i="71" s="1"/>
  <c r="D9" i="71"/>
  <c r="D11" i="71" s="1"/>
  <c r="P29" i="91"/>
  <c r="O29" i="91"/>
  <c r="N29" i="91"/>
  <c r="M29" i="91"/>
  <c r="L29" i="91"/>
  <c r="K29" i="91"/>
  <c r="J29" i="91"/>
  <c r="I29" i="91"/>
  <c r="H29" i="91"/>
  <c r="G29" i="91"/>
  <c r="F29" i="91"/>
  <c r="K18" i="91"/>
  <c r="E37" i="55"/>
  <c r="O27" i="91" l="1"/>
  <c r="O30" i="91" s="1"/>
  <c r="O31" i="91" s="1"/>
  <c r="F24" i="54"/>
  <c r="I24" i="54"/>
  <c r="H12" i="67"/>
  <c r="H11" i="69"/>
  <c r="H39" i="68"/>
  <c r="L18" i="91"/>
  <c r="I27" i="91"/>
  <c r="I30" i="91" s="1"/>
  <c r="I31" i="91" s="1"/>
  <c r="G27" i="91"/>
  <c r="G30" i="91" s="1"/>
  <c r="G31" i="91" s="1"/>
  <c r="H22" i="67"/>
  <c r="H13" i="68"/>
  <c r="H22" i="68"/>
  <c r="H29" i="67"/>
  <c r="H12" i="69"/>
  <c r="H20" i="68"/>
  <c r="P27" i="91"/>
  <c r="P30" i="91" s="1"/>
  <c r="P31" i="91" s="1"/>
  <c r="J27" i="91"/>
  <c r="J30" i="91" s="1"/>
  <c r="J31" i="91" s="1"/>
  <c r="H27" i="91"/>
  <c r="H30" i="91" s="1"/>
  <c r="H31" i="91" s="1"/>
  <c r="H13" i="67"/>
  <c r="H14" i="69"/>
  <c r="G21" i="69"/>
  <c r="P13" i="65" s="1"/>
  <c r="H42" i="68"/>
  <c r="K20" i="91"/>
  <c r="L20" i="91"/>
  <c r="G44" i="68"/>
  <c r="G46" i="68" s="1"/>
  <c r="H34" i="67"/>
  <c r="H15" i="68"/>
  <c r="H24" i="68"/>
  <c r="H16" i="68"/>
  <c r="H37" i="68"/>
  <c r="E123" i="54"/>
  <c r="F40" i="54"/>
  <c r="F70" i="54"/>
  <c r="J48" i="59"/>
  <c r="H37" i="54"/>
  <c r="I33" i="54"/>
  <c r="H116" i="54"/>
  <c r="I90" i="54"/>
  <c r="I143" i="54"/>
  <c r="H265" i="54"/>
  <c r="I157" i="54"/>
  <c r="I197" i="54"/>
  <c r="E184" i="54"/>
  <c r="F184" i="54" s="1"/>
  <c r="F180" i="54"/>
  <c r="K105" i="59"/>
  <c r="K111" i="59"/>
  <c r="H100" i="60"/>
  <c r="H112" i="60" s="1"/>
  <c r="J78" i="59" s="1"/>
  <c r="I112" i="60"/>
  <c r="K78" i="59" s="1"/>
  <c r="K121" i="59" s="1"/>
  <c r="H117" i="54"/>
  <c r="I34" i="54"/>
  <c r="I50" i="54"/>
  <c r="I93" i="54"/>
  <c r="H97" i="54"/>
  <c r="I97" i="54" s="1"/>
  <c r="I160" i="54"/>
  <c r="H164" i="54"/>
  <c r="I164" i="54" s="1"/>
  <c r="I200" i="54"/>
  <c r="H204" i="54"/>
  <c r="I204" i="54" s="1"/>
  <c r="I240" i="54"/>
  <c r="H244" i="54"/>
  <c r="I244" i="54" s="1"/>
  <c r="M18" i="91"/>
  <c r="M20" i="91"/>
  <c r="G106" i="59"/>
  <c r="F100" i="54"/>
  <c r="F141" i="54"/>
  <c r="E263" i="54"/>
  <c r="F247" i="54"/>
  <c r="F21" i="69"/>
  <c r="O13" i="65" s="1"/>
  <c r="Q13" i="65" s="1"/>
  <c r="H10" i="69"/>
  <c r="J38" i="59"/>
  <c r="L38" i="59" s="1"/>
  <c r="K84" i="59"/>
  <c r="K70" i="59"/>
  <c r="N18" i="91"/>
  <c r="N20" i="91"/>
  <c r="F40" i="60"/>
  <c r="G74" i="59" s="1"/>
  <c r="G117" i="59" s="1"/>
  <c r="E29" i="60"/>
  <c r="E40" i="60" s="1"/>
  <c r="F74" i="59" s="1"/>
  <c r="F63" i="54"/>
  <c r="E67" i="54"/>
  <c r="F67" i="54" s="1"/>
  <c r="E107" i="54"/>
  <c r="F107" i="54" s="1"/>
  <c r="F103" i="54"/>
  <c r="E264" i="54"/>
  <c r="F142" i="54"/>
  <c r="K104" i="59"/>
  <c r="K110" i="59"/>
  <c r="H115" i="60"/>
  <c r="H125" i="60" s="1"/>
  <c r="J80" i="59" s="1"/>
  <c r="I125" i="60"/>
  <c r="K80" i="59" s="1"/>
  <c r="K123" i="59" s="1"/>
  <c r="H119" i="54"/>
  <c r="I36" i="54"/>
  <c r="H87" i="54"/>
  <c r="I87" i="54" s="1"/>
  <c r="I83" i="54"/>
  <c r="H194" i="54"/>
  <c r="I194" i="54" s="1"/>
  <c r="I190" i="54"/>
  <c r="I230" i="54"/>
  <c r="H234" i="54"/>
  <c r="I234" i="54" s="1"/>
  <c r="K27" i="91"/>
  <c r="K30" i="91" s="1"/>
  <c r="K31" i="91" s="1"/>
  <c r="G18" i="91"/>
  <c r="O20" i="91"/>
  <c r="F48" i="59"/>
  <c r="G111" i="59"/>
  <c r="G36" i="67"/>
  <c r="L57" i="81"/>
  <c r="J50" i="59"/>
  <c r="J60" i="59" s="1"/>
  <c r="L60" i="59" s="1"/>
  <c r="I110" i="54"/>
  <c r="I217" i="54"/>
  <c r="Q8" i="91"/>
  <c r="Q11" i="91"/>
  <c r="Q15" i="91"/>
  <c r="H18" i="91"/>
  <c r="P20" i="91"/>
  <c r="F23" i="60"/>
  <c r="E11" i="60"/>
  <c r="E23" i="60" s="1"/>
  <c r="E26" i="60" s="1"/>
  <c r="F73" i="59" s="1"/>
  <c r="F54" i="60"/>
  <c r="G75" i="59" s="1"/>
  <c r="E43" i="60"/>
  <c r="E54" i="60" s="1"/>
  <c r="F75" i="59" s="1"/>
  <c r="F50" i="54"/>
  <c r="F160" i="54"/>
  <c r="E164" i="54"/>
  <c r="F164" i="54" s="1"/>
  <c r="E204" i="54"/>
  <c r="F204" i="54" s="1"/>
  <c r="F200" i="54"/>
  <c r="E244" i="54"/>
  <c r="F244" i="54" s="1"/>
  <c r="F240" i="54"/>
  <c r="K109" i="59"/>
  <c r="H11" i="60"/>
  <c r="H23" i="60" s="1"/>
  <c r="H26" i="60" s="1"/>
  <c r="J73" i="59" s="1"/>
  <c r="I23" i="60"/>
  <c r="E27" i="91"/>
  <c r="Q21" i="91"/>
  <c r="M27" i="91"/>
  <c r="M30" i="91" s="1"/>
  <c r="M31" i="91" s="1"/>
  <c r="I18" i="91"/>
  <c r="I20" i="91"/>
  <c r="E29" i="91"/>
  <c r="Q29" i="91" s="1"/>
  <c r="E11" i="72" s="1"/>
  <c r="Q24" i="91"/>
  <c r="Q26" i="91"/>
  <c r="G70" i="59"/>
  <c r="G104" i="59"/>
  <c r="G110" i="59"/>
  <c r="F35" i="54"/>
  <c r="E118" i="54"/>
  <c r="F53" i="54"/>
  <c r="E57" i="54"/>
  <c r="F57" i="54" s="1"/>
  <c r="F80" i="54"/>
  <c r="E269" i="54"/>
  <c r="F147" i="54"/>
  <c r="F187" i="54"/>
  <c r="F227" i="54"/>
  <c r="H16" i="67"/>
  <c r="F44" i="68"/>
  <c r="H11" i="68"/>
  <c r="H14" i="68"/>
  <c r="E36" i="67"/>
  <c r="E44" i="68"/>
  <c r="L53" i="81"/>
  <c r="I60" i="54"/>
  <c r="I100" i="54"/>
  <c r="I141" i="54"/>
  <c r="H263" i="54"/>
  <c r="I167" i="54"/>
  <c r="I207" i="54"/>
  <c r="I247" i="54"/>
  <c r="Q16" i="91"/>
  <c r="G11" i="72" s="1"/>
  <c r="G13" i="72" s="1"/>
  <c r="C9" i="71"/>
  <c r="F50" i="59"/>
  <c r="F60" i="59" s="1"/>
  <c r="H60" i="59" s="1"/>
  <c r="G109" i="59"/>
  <c r="F110" i="54"/>
  <c r="F177" i="54"/>
  <c r="F217" i="54"/>
  <c r="F257" i="54"/>
  <c r="K112" i="59"/>
  <c r="I237" i="54"/>
  <c r="F37" i="55"/>
  <c r="Q14" i="91"/>
  <c r="Q19" i="91"/>
  <c r="G90" i="59"/>
  <c r="H57" i="81"/>
  <c r="D44" i="68"/>
  <c r="F43" i="54"/>
  <c r="E47" i="54"/>
  <c r="F47" i="54" s="1"/>
  <c r="E77" i="54"/>
  <c r="F77" i="54" s="1"/>
  <c r="F73" i="54"/>
  <c r="F140" i="54"/>
  <c r="E144" i="54"/>
  <c r="E145" i="54" s="1"/>
  <c r="E262" i="54"/>
  <c r="F220" i="54"/>
  <c r="E224" i="54"/>
  <c r="F224" i="54" s="1"/>
  <c r="K11" i="81"/>
  <c r="J11" i="59"/>
  <c r="E18" i="91"/>
  <c r="Q22" i="91"/>
  <c r="E20" i="91"/>
  <c r="Q23" i="91"/>
  <c r="F60" i="54"/>
  <c r="F167" i="54"/>
  <c r="F207" i="54"/>
  <c r="H11" i="67"/>
  <c r="F36" i="67"/>
  <c r="L61" i="81"/>
  <c r="I35" i="54"/>
  <c r="H118" i="54"/>
  <c r="H57" i="54"/>
  <c r="I57" i="54" s="1"/>
  <c r="I53" i="54"/>
  <c r="I80" i="54"/>
  <c r="I147" i="54"/>
  <c r="H269" i="54"/>
  <c r="I187" i="54"/>
  <c r="I227" i="54"/>
  <c r="F18" i="91"/>
  <c r="F20" i="91"/>
  <c r="G112" i="59"/>
  <c r="F97" i="60"/>
  <c r="G79" i="59" s="1"/>
  <c r="G122" i="59" s="1"/>
  <c r="E85" i="60"/>
  <c r="E97" i="60" s="1"/>
  <c r="F79" i="59" s="1"/>
  <c r="E128" i="60"/>
  <c r="E138" i="60" s="1"/>
  <c r="F81" i="59" s="1"/>
  <c r="F138" i="60"/>
  <c r="G81" i="59" s="1"/>
  <c r="F170" i="54"/>
  <c r="E174" i="54"/>
  <c r="F174" i="54" s="1"/>
  <c r="E214" i="54"/>
  <c r="F214" i="54" s="1"/>
  <c r="F210" i="54"/>
  <c r="F250" i="54"/>
  <c r="E254" i="54"/>
  <c r="F254" i="54" s="1"/>
  <c r="I150" i="54"/>
  <c r="H154" i="54"/>
  <c r="I154" i="54" s="1"/>
  <c r="O18" i="91"/>
  <c r="G20" i="91"/>
  <c r="G105" i="59"/>
  <c r="E116" i="54"/>
  <c r="E37" i="54"/>
  <c r="F33" i="54"/>
  <c r="F90" i="54"/>
  <c r="F143" i="54"/>
  <c r="E265" i="54"/>
  <c r="F157" i="54"/>
  <c r="F197" i="54"/>
  <c r="F237" i="54"/>
  <c r="I25" i="81"/>
  <c r="I20" i="59" s="1"/>
  <c r="H123" i="54"/>
  <c r="I40" i="54"/>
  <c r="I70" i="54"/>
  <c r="I177" i="54"/>
  <c r="I257" i="54"/>
  <c r="L27" i="91"/>
  <c r="L30" i="91" s="1"/>
  <c r="L31" i="91" s="1"/>
  <c r="P18" i="91"/>
  <c r="H20" i="91"/>
  <c r="E26" i="75"/>
  <c r="F34" i="54"/>
  <c r="E117" i="54"/>
  <c r="F93" i="54"/>
  <c r="E97" i="54"/>
  <c r="F97" i="54" s="1"/>
  <c r="H29" i="60"/>
  <c r="H40" i="60" s="1"/>
  <c r="J74" i="59" s="1"/>
  <c r="I40" i="60"/>
  <c r="K74" i="59" s="1"/>
  <c r="H85" i="60"/>
  <c r="H97" i="60" s="1"/>
  <c r="J79" i="59" s="1"/>
  <c r="I97" i="60"/>
  <c r="K79" i="59" s="1"/>
  <c r="K122" i="59" s="1"/>
  <c r="H47" i="54"/>
  <c r="I47" i="54" s="1"/>
  <c r="I43" i="54"/>
  <c r="H77" i="54"/>
  <c r="I77" i="54" s="1"/>
  <c r="I73" i="54"/>
  <c r="I140" i="54"/>
  <c r="H262" i="54"/>
  <c r="H144" i="54"/>
  <c r="H184" i="54"/>
  <c r="I184" i="54" s="1"/>
  <c r="I180" i="54"/>
  <c r="I220" i="54"/>
  <c r="H224" i="54"/>
  <c r="I224" i="54" s="1"/>
  <c r="F27" i="91"/>
  <c r="F30" i="91" s="1"/>
  <c r="F31" i="91" s="1"/>
  <c r="N27" i="91"/>
  <c r="N30" i="91" s="1"/>
  <c r="N31" i="91" s="1"/>
  <c r="J18" i="91"/>
  <c r="J20" i="91"/>
  <c r="H61" i="81"/>
  <c r="F112" i="60"/>
  <c r="G78" i="59" s="1"/>
  <c r="E100" i="60"/>
  <c r="E112" i="60" s="1"/>
  <c r="F78" i="59" s="1"/>
  <c r="E115" i="60"/>
  <c r="E125" i="60" s="1"/>
  <c r="F80" i="59" s="1"/>
  <c r="F125" i="60"/>
  <c r="G80" i="59" s="1"/>
  <c r="D36" i="67"/>
  <c r="F36" i="54"/>
  <c r="E119" i="54"/>
  <c r="F83" i="54"/>
  <c r="E87" i="54"/>
  <c r="F87" i="54" s="1"/>
  <c r="F150" i="54"/>
  <c r="E154" i="54"/>
  <c r="F154" i="54" s="1"/>
  <c r="F190" i="54"/>
  <c r="E194" i="54"/>
  <c r="F194" i="54" s="1"/>
  <c r="E234" i="54"/>
  <c r="F234" i="54" s="1"/>
  <c r="F230" i="54"/>
  <c r="H32" i="67"/>
  <c r="H12" i="68"/>
  <c r="H17" i="68"/>
  <c r="H26" i="75"/>
  <c r="J59" i="59"/>
  <c r="J69" i="59" s="1"/>
  <c r="K106" i="59"/>
  <c r="H43" i="60"/>
  <c r="H54" i="60" s="1"/>
  <c r="J75" i="59" s="1"/>
  <c r="I54" i="60"/>
  <c r="K75" i="59" s="1"/>
  <c r="H128" i="60"/>
  <c r="H138" i="60" s="1"/>
  <c r="J81" i="59" s="1"/>
  <c r="I138" i="60"/>
  <c r="K81" i="59" s="1"/>
  <c r="H67" i="54"/>
  <c r="I67" i="54" s="1"/>
  <c r="I63" i="54"/>
  <c r="H107" i="54"/>
  <c r="I107" i="54" s="1"/>
  <c r="I103" i="54"/>
  <c r="I142" i="54"/>
  <c r="H264" i="54"/>
  <c r="I170" i="54"/>
  <c r="H174" i="54"/>
  <c r="I174" i="54" s="1"/>
  <c r="I210" i="54"/>
  <c r="H214" i="54"/>
  <c r="I214" i="54" s="1"/>
  <c r="I250" i="54"/>
  <c r="H254" i="54"/>
  <c r="I254" i="54" s="1"/>
  <c r="H42" i="59" l="1"/>
  <c r="L42" i="59"/>
  <c r="J58" i="59"/>
  <c r="L58" i="59" s="1"/>
  <c r="E98" i="54"/>
  <c r="F98" i="54" s="1"/>
  <c r="F99" i="54" s="1"/>
  <c r="H21" i="69"/>
  <c r="H80" i="59"/>
  <c r="E68" i="54"/>
  <c r="F68" i="54" s="1"/>
  <c r="F69" i="54" s="1"/>
  <c r="P12" i="65"/>
  <c r="H98" i="54"/>
  <c r="I98" i="54" s="1"/>
  <c r="I99" i="54" s="1"/>
  <c r="H245" i="54"/>
  <c r="I245" i="54" s="1"/>
  <c r="I246" i="54" s="1"/>
  <c r="G100" i="60"/>
  <c r="G112" i="60" s="1"/>
  <c r="H88" i="54"/>
  <c r="I88" i="54" s="1"/>
  <c r="I89" i="54" s="1"/>
  <c r="E48" i="54"/>
  <c r="F48" i="54" s="1"/>
  <c r="F49" i="54" s="1"/>
  <c r="E185" i="54"/>
  <c r="F185" i="54" s="1"/>
  <c r="F186" i="54" s="1"/>
  <c r="H215" i="54"/>
  <c r="I215" i="54" s="1"/>
  <c r="I216" i="54" s="1"/>
  <c r="J43" i="60"/>
  <c r="J54" i="60" s="1"/>
  <c r="H108" i="54"/>
  <c r="I108" i="54" s="1"/>
  <c r="I109" i="54" s="1"/>
  <c r="L75" i="59"/>
  <c r="G128" i="60"/>
  <c r="G138" i="60" s="1"/>
  <c r="H81" i="59"/>
  <c r="H48" i="54"/>
  <c r="I48" i="54" s="1"/>
  <c r="I49" i="54" s="1"/>
  <c r="E215" i="54"/>
  <c r="E225" i="54"/>
  <c r="F225" i="54" s="1"/>
  <c r="F226" i="54" s="1"/>
  <c r="H50" i="59"/>
  <c r="H195" i="54"/>
  <c r="I195" i="54" s="1"/>
  <c r="I196" i="54" s="1"/>
  <c r="J115" i="60"/>
  <c r="J125" i="60" s="1"/>
  <c r="G11" i="60"/>
  <c r="H48" i="59"/>
  <c r="K91" i="59"/>
  <c r="E165" i="54"/>
  <c r="F165" i="54" s="1"/>
  <c r="F166" i="54" s="1"/>
  <c r="L50" i="59"/>
  <c r="H205" i="54"/>
  <c r="K86" i="59"/>
  <c r="K89" i="59"/>
  <c r="G86" i="59"/>
  <c r="J128" i="60"/>
  <c r="J138" i="60" s="1"/>
  <c r="L59" i="59"/>
  <c r="E235" i="54"/>
  <c r="F235" i="54" s="1"/>
  <c r="F236" i="54" s="1"/>
  <c r="H78" i="54"/>
  <c r="I78" i="54" s="1"/>
  <c r="I79" i="54" s="1"/>
  <c r="J29" i="60"/>
  <c r="J40" i="60" s="1"/>
  <c r="H155" i="54"/>
  <c r="I155" i="54" s="1"/>
  <c r="I156" i="54" s="1"/>
  <c r="E175" i="54"/>
  <c r="F175" i="54" s="1"/>
  <c r="H58" i="54"/>
  <c r="I58" i="54" s="1"/>
  <c r="I59" i="54" s="1"/>
  <c r="G89" i="59"/>
  <c r="J100" i="60"/>
  <c r="J112" i="60" s="1"/>
  <c r="L74" i="59"/>
  <c r="E78" i="54"/>
  <c r="F78" i="54" s="1"/>
  <c r="F79" i="54" s="1"/>
  <c r="L78" i="59"/>
  <c r="E30" i="91"/>
  <c r="E31" i="91" s="1"/>
  <c r="H75" i="59"/>
  <c r="G123" i="59"/>
  <c r="G118" i="59"/>
  <c r="H68" i="54"/>
  <c r="E155" i="54"/>
  <c r="F155" i="54" s="1"/>
  <c r="F156" i="54" s="1"/>
  <c r="G115" i="60"/>
  <c r="G125" i="60" s="1"/>
  <c r="H185" i="54"/>
  <c r="I185" i="54" s="1"/>
  <c r="I186" i="54" s="1"/>
  <c r="J11" i="60"/>
  <c r="J23" i="60" s="1"/>
  <c r="E205" i="54"/>
  <c r="F205" i="54" s="1"/>
  <c r="F206" i="54" s="1"/>
  <c r="G43" i="60"/>
  <c r="G54" i="60" s="1"/>
  <c r="G29" i="60"/>
  <c r="G40" i="60" s="1"/>
  <c r="L48" i="59"/>
  <c r="H38" i="81"/>
  <c r="G41" i="81"/>
  <c r="H41" i="81" s="1"/>
  <c r="G92" i="59"/>
  <c r="F92" i="59" s="1"/>
  <c r="F23" i="59"/>
  <c r="H23" i="59" s="1"/>
  <c r="G34" i="59"/>
  <c r="G33" i="59"/>
  <c r="G35" i="59"/>
  <c r="L11" i="72"/>
  <c r="L13" i="72" s="1"/>
  <c r="G113" i="59"/>
  <c r="G40" i="59" s="1"/>
  <c r="H29" i="59"/>
  <c r="H32" i="59" s="1"/>
  <c r="G32" i="59"/>
  <c r="M25" i="75"/>
  <c r="M13" i="75"/>
  <c r="E88" i="54"/>
  <c r="G85" i="60"/>
  <c r="G97" i="60" s="1"/>
  <c r="O11" i="65"/>
  <c r="F38" i="67"/>
  <c r="F40" i="67" s="1"/>
  <c r="M11" i="72"/>
  <c r="M13" i="72" s="1"/>
  <c r="Q20" i="91"/>
  <c r="F11" i="72" s="1"/>
  <c r="G42" i="81"/>
  <c r="F30" i="81"/>
  <c r="H30" i="81" s="1"/>
  <c r="G43" i="81"/>
  <c r="G44" i="81"/>
  <c r="J46" i="100"/>
  <c r="E58" i="54"/>
  <c r="H58" i="59"/>
  <c r="F68" i="59"/>
  <c r="H68" i="59" s="1"/>
  <c r="L80" i="59"/>
  <c r="K113" i="59"/>
  <c r="K40" i="59" s="1"/>
  <c r="K90" i="59"/>
  <c r="K35" i="59"/>
  <c r="K34" i="59"/>
  <c r="K33" i="59"/>
  <c r="H165" i="54"/>
  <c r="L26" i="75"/>
  <c r="P26" i="58" s="1"/>
  <c r="K15" i="81"/>
  <c r="L15" i="81" s="1"/>
  <c r="E3" i="100"/>
  <c r="E38" i="54"/>
  <c r="F37" i="54"/>
  <c r="E120" i="54"/>
  <c r="H36" i="67"/>
  <c r="H38" i="67" s="1"/>
  <c r="H40" i="67" s="1"/>
  <c r="O9" i="71"/>
  <c r="O11" i="71" s="1"/>
  <c r="C11" i="71"/>
  <c r="E46" i="68"/>
  <c r="K12" i="65"/>
  <c r="K43" i="81"/>
  <c r="J47" i="100"/>
  <c r="K42" i="81"/>
  <c r="K44" i="81"/>
  <c r="J30" i="81"/>
  <c r="L30" i="81" s="1"/>
  <c r="G11" i="65"/>
  <c r="D38" i="67"/>
  <c r="D40" i="67" s="1"/>
  <c r="H272" i="54"/>
  <c r="H274" i="54" s="1"/>
  <c r="M23" i="75"/>
  <c r="M22" i="75"/>
  <c r="L44" i="59"/>
  <c r="I24" i="60"/>
  <c r="J24" i="60" s="1"/>
  <c r="M16" i="75"/>
  <c r="M24" i="75"/>
  <c r="M11" i="75"/>
  <c r="K26" i="75"/>
  <c r="M20" i="75"/>
  <c r="M15" i="75"/>
  <c r="H175" i="54"/>
  <c r="H10" i="61"/>
  <c r="K12" i="59"/>
  <c r="L12" i="59" s="1"/>
  <c r="E195" i="54"/>
  <c r="H145" i="54"/>
  <c r="I144" i="54"/>
  <c r="H266" i="54"/>
  <c r="H126" i="54"/>
  <c r="H128" i="54" s="1"/>
  <c r="H79" i="59"/>
  <c r="Q18" i="91"/>
  <c r="D11" i="72" s="1"/>
  <c r="K11" i="72"/>
  <c r="K13" i="72" s="1"/>
  <c r="F145" i="54"/>
  <c r="F146" i="54" s="1"/>
  <c r="K92" i="59"/>
  <c r="K11" i="65"/>
  <c r="E38" i="67"/>
  <c r="E40" i="67" s="1"/>
  <c r="G38" i="67"/>
  <c r="G40" i="67" s="1"/>
  <c r="P11" i="65"/>
  <c r="K117" i="59"/>
  <c r="H38" i="54"/>
  <c r="H120" i="54"/>
  <c r="I37" i="54"/>
  <c r="H44" i="59"/>
  <c r="F24" i="60"/>
  <c r="G24" i="60" s="1"/>
  <c r="I11" i="59"/>
  <c r="I11" i="81" s="1"/>
  <c r="J11" i="81"/>
  <c r="K124" i="59"/>
  <c r="L81" i="59"/>
  <c r="I26" i="75"/>
  <c r="K26" i="58"/>
  <c r="G121" i="59"/>
  <c r="H78" i="59"/>
  <c r="J85" i="60"/>
  <c r="J97" i="60" s="1"/>
  <c r="L20" i="59"/>
  <c r="K25" i="81"/>
  <c r="L25" i="81" s="1"/>
  <c r="E146" i="54"/>
  <c r="G84" i="59"/>
  <c r="E108" i="54"/>
  <c r="H74" i="59"/>
  <c r="K85" i="59"/>
  <c r="F46" i="68"/>
  <c r="O12" i="65"/>
  <c r="E272" i="54"/>
  <c r="E274" i="54" s="1"/>
  <c r="L29" i="59"/>
  <c r="L32" i="59" s="1"/>
  <c r="K32" i="59"/>
  <c r="G26" i="58"/>
  <c r="F26" i="75"/>
  <c r="K41" i="81"/>
  <c r="L38" i="81"/>
  <c r="L41" i="81" s="1"/>
  <c r="H255" i="54"/>
  <c r="K118" i="59"/>
  <c r="H225" i="54"/>
  <c r="L79" i="59"/>
  <c r="G85" i="59"/>
  <c r="E255" i="54"/>
  <c r="G124" i="59"/>
  <c r="L11" i="59"/>
  <c r="L11" i="81" s="1"/>
  <c r="E266" i="54"/>
  <c r="F144" i="54"/>
  <c r="G12" i="65"/>
  <c r="D46" i="68"/>
  <c r="H44" i="68"/>
  <c r="H46" i="68" s="1"/>
  <c r="Q27" i="91"/>
  <c r="Q30" i="91" s="1"/>
  <c r="Q31" i="91" s="1"/>
  <c r="C11" i="72"/>
  <c r="J11" i="72" s="1"/>
  <c r="E245" i="54"/>
  <c r="G23" i="60"/>
  <c r="G91" i="59"/>
  <c r="H235" i="54"/>
  <c r="E126" i="54"/>
  <c r="E128" i="54" s="1"/>
  <c r="N16" i="71"/>
  <c r="N18" i="71" s="1"/>
  <c r="M16" i="71"/>
  <c r="M18" i="71" s="1"/>
  <c r="L16" i="71"/>
  <c r="L18" i="71" s="1"/>
  <c r="K16" i="71"/>
  <c r="K18" i="71" s="1"/>
  <c r="J16" i="71"/>
  <c r="J18" i="71" s="1"/>
  <c r="I16" i="71"/>
  <c r="I18" i="71" s="1"/>
  <c r="H16" i="71"/>
  <c r="H18" i="71" s="1"/>
  <c r="G16" i="71"/>
  <c r="G18" i="71" s="1"/>
  <c r="F16" i="71"/>
  <c r="F18" i="71" s="1"/>
  <c r="E16" i="71"/>
  <c r="E18" i="71" s="1"/>
  <c r="D16" i="71"/>
  <c r="D18" i="71" s="1"/>
  <c r="L47" i="91"/>
  <c r="K47" i="91"/>
  <c r="J47" i="91"/>
  <c r="I47" i="91"/>
  <c r="E79" i="54" l="1"/>
  <c r="E69" i="54"/>
  <c r="Q12" i="65"/>
  <c r="H40" i="59"/>
  <c r="L40" i="59"/>
  <c r="E99" i="54"/>
  <c r="J68" i="59"/>
  <c r="L68" i="59" s="1"/>
  <c r="H109" i="54"/>
  <c r="H79" i="54"/>
  <c r="H246" i="54"/>
  <c r="E186" i="54"/>
  <c r="H99" i="54"/>
  <c r="H216" i="54"/>
  <c r="E49" i="54"/>
  <c r="E206" i="54"/>
  <c r="E226" i="54"/>
  <c r="E166" i="54"/>
  <c r="J26" i="60"/>
  <c r="H196" i="54"/>
  <c r="E236" i="54"/>
  <c r="H89" i="54"/>
  <c r="F215" i="54"/>
  <c r="F216" i="54" s="1"/>
  <c r="E216" i="54"/>
  <c r="H49" i="54"/>
  <c r="H59" i="54"/>
  <c r="H156" i="54"/>
  <c r="J91" i="59"/>
  <c r="L91" i="59" s="1"/>
  <c r="I205" i="54"/>
  <c r="I206" i="54" s="1"/>
  <c r="H206" i="54"/>
  <c r="I45" i="91"/>
  <c r="E176" i="54"/>
  <c r="F176" i="54" s="1"/>
  <c r="M54" i="91"/>
  <c r="M57" i="91" s="1"/>
  <c r="M58" i="91" s="1"/>
  <c r="F54" i="91"/>
  <c r="F57" i="91" s="1"/>
  <c r="F58" i="91" s="1"/>
  <c r="J45" i="91"/>
  <c r="N54" i="91"/>
  <c r="N57" i="91" s="1"/>
  <c r="N58" i="91" s="1"/>
  <c r="O54" i="91"/>
  <c r="O57" i="91" s="1"/>
  <c r="O58" i="91" s="1"/>
  <c r="E156" i="54"/>
  <c r="H54" i="91"/>
  <c r="H57" i="91" s="1"/>
  <c r="H58" i="91" s="1"/>
  <c r="P54" i="91"/>
  <c r="P57" i="91" s="1"/>
  <c r="P58" i="91" s="1"/>
  <c r="L45" i="91"/>
  <c r="H186" i="54"/>
  <c r="K45" i="91"/>
  <c r="I68" i="54"/>
  <c r="I69" i="54" s="1"/>
  <c r="H69" i="54"/>
  <c r="G54" i="91"/>
  <c r="G57" i="91" s="1"/>
  <c r="G58" i="91" s="1"/>
  <c r="J90" i="59"/>
  <c r="L90" i="59" s="1"/>
  <c r="I235" i="54"/>
  <c r="I236" i="54" s="1"/>
  <c r="H236" i="54"/>
  <c r="F255" i="54"/>
  <c r="F256" i="54" s="1"/>
  <c r="E256" i="54"/>
  <c r="J26" i="58"/>
  <c r="D51" i="78" s="1"/>
  <c r="E51" i="78"/>
  <c r="I165" i="54"/>
  <c r="I166" i="54" s="1"/>
  <c r="H166" i="54"/>
  <c r="Q11" i="65"/>
  <c r="C16" i="71"/>
  <c r="Q43" i="91"/>
  <c r="G20" i="72" s="1"/>
  <c r="G22" i="72" s="1"/>
  <c r="F245" i="54"/>
  <c r="F246" i="54" s="1"/>
  <c r="E246" i="54"/>
  <c r="E267" i="54"/>
  <c r="I54" i="91"/>
  <c r="I57" i="91" s="1"/>
  <c r="I58" i="91" s="1"/>
  <c r="Q49" i="91"/>
  <c r="E45" i="91"/>
  <c r="M45" i="91"/>
  <c r="E47" i="91"/>
  <c r="Q50" i="91"/>
  <c r="M47" i="91"/>
  <c r="Q53" i="91"/>
  <c r="L20" i="72" s="1"/>
  <c r="L22" i="72" s="1"/>
  <c r="F91" i="59"/>
  <c r="F101" i="59" s="1"/>
  <c r="I145" i="54"/>
  <c r="I146" i="54" s="1"/>
  <c r="H267" i="54"/>
  <c r="H146" i="54"/>
  <c r="G36" i="59"/>
  <c r="G37" i="59" s="1"/>
  <c r="J13" i="72"/>
  <c r="N11" i="72"/>
  <c r="N13" i="72" s="1"/>
  <c r="Q42" i="91"/>
  <c r="J54" i="91"/>
  <c r="J57" i="91" s="1"/>
  <c r="J58" i="91" s="1"/>
  <c r="F45" i="91"/>
  <c r="N45" i="91"/>
  <c r="F47" i="91"/>
  <c r="N47" i="91"/>
  <c r="I38" i="54"/>
  <c r="I39" i="54" s="1"/>
  <c r="H121" i="54"/>
  <c r="H122" i="54" s="1"/>
  <c r="H39" i="54"/>
  <c r="F195" i="54"/>
  <c r="F196" i="54" s="1"/>
  <c r="E196" i="54"/>
  <c r="O26" i="58"/>
  <c r="Q26" i="58" s="1"/>
  <c r="M26" i="75"/>
  <c r="N26" i="75" s="1"/>
  <c r="J43" i="81"/>
  <c r="L43" i="81" s="1"/>
  <c r="J44" i="81"/>
  <c r="L44" i="81" s="1"/>
  <c r="J23" i="59"/>
  <c r="J42" i="81"/>
  <c r="E39" i="54"/>
  <c r="F38" i="54"/>
  <c r="F39" i="54" s="1"/>
  <c r="E121" i="54"/>
  <c r="E122" i="54" s="1"/>
  <c r="K36" i="59"/>
  <c r="K37" i="59" s="1"/>
  <c r="F88" i="54"/>
  <c r="F89" i="54" s="1"/>
  <c r="E89" i="54"/>
  <c r="F90" i="59"/>
  <c r="I255" i="54"/>
  <c r="I256" i="54" s="1"/>
  <c r="H256" i="54"/>
  <c r="K54" i="91"/>
  <c r="K57" i="91" s="1"/>
  <c r="K58" i="91" s="1"/>
  <c r="G45" i="91"/>
  <c r="O45" i="91"/>
  <c r="G47" i="91"/>
  <c r="O47" i="91"/>
  <c r="F26" i="60"/>
  <c r="G73" i="59" s="1"/>
  <c r="I225" i="54"/>
  <c r="I226" i="54" s="1"/>
  <c r="H226" i="54"/>
  <c r="F42" i="81"/>
  <c r="F44" i="81"/>
  <c r="H44" i="81" s="1"/>
  <c r="F43" i="81"/>
  <c r="H43" i="81" s="1"/>
  <c r="I26" i="60"/>
  <c r="K73" i="59" s="1"/>
  <c r="F34" i="59"/>
  <c r="H34" i="59" s="1"/>
  <c r="F33" i="59"/>
  <c r="H33" i="59" s="1"/>
  <c r="F113" i="59"/>
  <c r="F35" i="59"/>
  <c r="H35" i="59" s="1"/>
  <c r="Q48" i="91"/>
  <c r="C20" i="72" s="1"/>
  <c r="J20" i="72" s="1"/>
  <c r="E54" i="91"/>
  <c r="F108" i="54"/>
  <c r="F109" i="54" s="1"/>
  <c r="E109" i="54"/>
  <c r="I175" i="54"/>
  <c r="I176" i="54" s="1"/>
  <c r="H176" i="54"/>
  <c r="J89" i="59"/>
  <c r="Q41" i="91"/>
  <c r="L54" i="91"/>
  <c r="L57" i="91" s="1"/>
  <c r="L58" i="91" s="1"/>
  <c r="H45" i="91"/>
  <c r="P45" i="91"/>
  <c r="H47" i="91"/>
  <c r="P47" i="91"/>
  <c r="G26" i="60"/>
  <c r="E22" i="78"/>
  <c r="F26" i="58"/>
  <c r="D22" i="78" s="1"/>
  <c r="J92" i="59"/>
  <c r="K45" i="81"/>
  <c r="F58" i="54"/>
  <c r="F59" i="54" s="1"/>
  <c r="E59" i="54"/>
  <c r="G45" i="81"/>
  <c r="H92" i="59"/>
  <c r="F102" i="59"/>
  <c r="F89" i="59"/>
  <c r="N26" i="58" l="1"/>
  <c r="R26" i="58" s="1"/>
  <c r="J102" i="59"/>
  <c r="J124" i="59" s="1"/>
  <c r="L124" i="59" s="1"/>
  <c r="H26" i="58"/>
  <c r="F45" i="81"/>
  <c r="F48" i="81" s="1"/>
  <c r="H36" i="59"/>
  <c r="H37" i="59" s="1"/>
  <c r="H91" i="59"/>
  <c r="J22" i="72"/>
  <c r="J35" i="59"/>
  <c r="L35" i="59" s="1"/>
  <c r="J113" i="59"/>
  <c r="J34" i="59"/>
  <c r="L34" i="59" s="1"/>
  <c r="J33" i="59"/>
  <c r="L23" i="59"/>
  <c r="F99" i="59"/>
  <c r="H89" i="59"/>
  <c r="L92" i="59"/>
  <c r="K20" i="72"/>
  <c r="K22" i="72" s="1"/>
  <c r="Q45" i="91"/>
  <c r="D20" i="72" s="1"/>
  <c r="F124" i="59"/>
  <c r="H124" i="59" s="1"/>
  <c r="F112" i="59"/>
  <c r="H112" i="59" s="1"/>
  <c r="H102" i="59"/>
  <c r="Q54" i="91"/>
  <c r="Q57" i="91" s="1"/>
  <c r="Q58" i="91" s="1"/>
  <c r="E57" i="91"/>
  <c r="E58" i="91" s="1"/>
  <c r="F100" i="59"/>
  <c r="H90" i="59"/>
  <c r="L42" i="81"/>
  <c r="J45" i="81"/>
  <c r="J48" i="81" s="1"/>
  <c r="C18" i="71"/>
  <c r="O16" i="71"/>
  <c r="O18" i="71" s="1"/>
  <c r="G22" i="78"/>
  <c r="L22" i="78"/>
  <c r="F22" i="78"/>
  <c r="R30" i="91"/>
  <c r="E28" i="78"/>
  <c r="J100" i="59"/>
  <c r="F111" i="59"/>
  <c r="H111" i="59" s="1"/>
  <c r="F123" i="59"/>
  <c r="H123" i="59" s="1"/>
  <c r="H101" i="59"/>
  <c r="L26" i="58"/>
  <c r="J101" i="59"/>
  <c r="H42" i="81"/>
  <c r="H22" i="54"/>
  <c r="H268" i="54"/>
  <c r="G48" i="81"/>
  <c r="L89" i="59"/>
  <c r="J99" i="59"/>
  <c r="Q47" i="91"/>
  <c r="F20" i="72" s="1"/>
  <c r="M20" i="72"/>
  <c r="M22" i="72" s="1"/>
  <c r="F36" i="59"/>
  <c r="F37" i="59" s="1"/>
  <c r="E22" i="54"/>
  <c r="F22" i="54" s="1"/>
  <c r="E268" i="54"/>
  <c r="K48" i="81"/>
  <c r="L73" i="59"/>
  <c r="K116" i="59"/>
  <c r="H73" i="59"/>
  <c r="G116" i="59"/>
  <c r="L51" i="78"/>
  <c r="F51" i="78"/>
  <c r="G51" i="78"/>
  <c r="H48" i="81" l="1"/>
  <c r="H45" i="81"/>
  <c r="L102" i="59"/>
  <c r="J112" i="59"/>
  <c r="L112" i="59" s="1"/>
  <c r="F109" i="59"/>
  <c r="F121" i="59"/>
  <c r="H99" i="59"/>
  <c r="L48" i="81"/>
  <c r="L45" i="81"/>
  <c r="L99" i="59"/>
  <c r="J109" i="59"/>
  <c r="L109" i="59" s="1"/>
  <c r="J121" i="59"/>
  <c r="J122" i="59"/>
  <c r="L122" i="59" s="1"/>
  <c r="J110" i="59"/>
  <c r="L110" i="59" s="1"/>
  <c r="L100" i="59"/>
  <c r="J36" i="59"/>
  <c r="J37" i="59" s="1"/>
  <c r="L33" i="59"/>
  <c r="L36" i="59" s="1"/>
  <c r="L37" i="59" s="1"/>
  <c r="M22" i="54"/>
  <c r="Q22" i="54"/>
  <c r="O22" i="54"/>
  <c r="P22" i="54"/>
  <c r="I22" i="54"/>
  <c r="N22" i="54"/>
  <c r="K22" i="54"/>
  <c r="L22" i="54" s="1"/>
  <c r="F122" i="59"/>
  <c r="H122" i="59" s="1"/>
  <c r="F110" i="59"/>
  <c r="H110" i="59" s="1"/>
  <c r="H100" i="59"/>
  <c r="G125" i="59"/>
  <c r="G155" i="59" s="1"/>
  <c r="J111" i="59"/>
  <c r="L111" i="59" s="1"/>
  <c r="J123" i="59"/>
  <c r="L123" i="59" s="1"/>
  <c r="L101" i="59"/>
  <c r="L28" i="78"/>
  <c r="F28" i="78"/>
  <c r="G28" i="78"/>
  <c r="N20" i="72"/>
  <c r="K125" i="59"/>
  <c r="K155" i="59" s="1"/>
  <c r="J106" i="59" l="1"/>
  <c r="L106" i="59" s="1"/>
  <c r="K11" i="58"/>
  <c r="K157" i="59"/>
  <c r="F22" i="61"/>
  <c r="F29" i="61"/>
  <c r="H121" i="59"/>
  <c r="H109" i="59"/>
  <c r="F104" i="59"/>
  <c r="F106" i="59"/>
  <c r="F105" i="59"/>
  <c r="L121" i="59"/>
  <c r="H22" i="61"/>
  <c r="H29" i="61"/>
  <c r="N22" i="72"/>
  <c r="E57" i="78"/>
  <c r="J104" i="59"/>
  <c r="G157" i="59"/>
  <c r="G11" i="58"/>
  <c r="J105" i="59"/>
  <c r="R58" i="91" l="1"/>
  <c r="J96" i="59"/>
  <c r="J86" i="59" s="1"/>
  <c r="L86" i="59" s="1"/>
  <c r="F96" i="59"/>
  <c r="H106" i="59"/>
  <c r="H104" i="59"/>
  <c r="F94" i="59"/>
  <c r="E11" i="80"/>
  <c r="J95" i="59"/>
  <c r="L105" i="59"/>
  <c r="F57" i="78"/>
  <c r="L57" i="78"/>
  <c r="E10" i="78"/>
  <c r="H11" i="80"/>
  <c r="J94" i="59"/>
  <c r="L104" i="59"/>
  <c r="F95" i="59"/>
  <c r="H105" i="59"/>
  <c r="E39" i="78"/>
  <c r="L96" i="59" l="1"/>
  <c r="J118" i="59"/>
  <c r="L118" i="59" s="1"/>
  <c r="L113" i="59"/>
  <c r="F85" i="59"/>
  <c r="H85" i="59" s="1"/>
  <c r="F117" i="59"/>
  <c r="H117" i="59" s="1"/>
  <c r="H95" i="59"/>
  <c r="F84" i="59"/>
  <c r="H84" i="59" s="1"/>
  <c r="F116" i="59"/>
  <c r="H94" i="59"/>
  <c r="F70" i="59"/>
  <c r="H70" i="59" s="1"/>
  <c r="J84" i="59"/>
  <c r="L84" i="59" s="1"/>
  <c r="J116" i="59"/>
  <c r="L94" i="59"/>
  <c r="J70" i="59"/>
  <c r="L70" i="59" s="1"/>
  <c r="H113" i="59"/>
  <c r="J85" i="59"/>
  <c r="L85" i="59" s="1"/>
  <c r="J117" i="59"/>
  <c r="L117" i="59" s="1"/>
  <c r="L95" i="59"/>
  <c r="F118" i="59"/>
  <c r="H118" i="59" s="1"/>
  <c r="F86" i="59"/>
  <c r="H86" i="59" s="1"/>
  <c r="H96" i="59"/>
  <c r="F20" i="61" l="1"/>
  <c r="F125" i="59"/>
  <c r="F155" i="59" s="1"/>
  <c r="F19" i="61"/>
  <c r="H116" i="59"/>
  <c r="H125" i="59" s="1"/>
  <c r="H155" i="59" s="1"/>
  <c r="H20" i="61"/>
  <c r="H19" i="61"/>
  <c r="J125" i="59"/>
  <c r="J155" i="59" s="1"/>
  <c r="L116" i="59"/>
  <c r="L125" i="59" s="1"/>
  <c r="L155" i="59" s="1"/>
  <c r="F11" i="58" l="1"/>
  <c r="F157" i="59"/>
  <c r="J157" i="59"/>
  <c r="J11" i="58"/>
  <c r="D39" i="78" l="1"/>
  <c r="L11" i="58"/>
  <c r="D11" i="80"/>
  <c r="N46" i="100"/>
  <c r="H157" i="59"/>
  <c r="N47" i="100"/>
  <c r="G11" i="80"/>
  <c r="L157" i="59"/>
  <c r="D10" i="78"/>
  <c r="H11" i="58"/>
  <c r="G10" i="78" l="1"/>
  <c r="H10" i="78" s="1"/>
  <c r="L10" i="78" s="1"/>
  <c r="F10" i="78"/>
  <c r="G39" i="78"/>
  <c r="H39" i="78" s="1"/>
  <c r="L39" i="78" s="1"/>
  <c r="F39" i="78"/>
  <c r="R61" i="81" l="1"/>
  <c r="R44" i="59"/>
  <c r="J53" i="59" l="1"/>
  <c r="L53" i="59" s="1"/>
  <c r="J56" i="59" l="1"/>
  <c r="L56" i="59" s="1"/>
  <c r="J54" i="59"/>
  <c r="L54" i="59" s="1"/>
  <c r="J55" i="59"/>
  <c r="L55" i="59" s="1"/>
  <c r="S58" i="59" l="1"/>
  <c r="S60" i="59"/>
  <c r="S59" i="59"/>
  <c r="Q96" i="59" l="1"/>
  <c r="Q60" i="59"/>
  <c r="Q59" i="59"/>
  <c r="N59" i="59" s="1"/>
  <c r="Q95" i="59"/>
  <c r="Q49" i="59"/>
  <c r="S68" i="59"/>
  <c r="S104" i="59" s="1"/>
  <c r="Q50" i="59"/>
  <c r="Q69" i="59"/>
  <c r="T59" i="59"/>
  <c r="T58" i="59"/>
  <c r="T60" i="59"/>
  <c r="N69" i="59" l="1"/>
  <c r="T68" i="59"/>
  <c r="T70" i="59" s="1"/>
  <c r="N50" i="59"/>
  <c r="N60" i="59" s="1"/>
  <c r="R60" i="59" s="1"/>
  <c r="P105" i="59"/>
  <c r="Q105" i="59" s="1"/>
  <c r="S105" i="59"/>
  <c r="E169" i="59"/>
  <c r="S108" i="59"/>
  <c r="S107" i="59"/>
  <c r="N49" i="59"/>
  <c r="R59" i="59" s="1"/>
  <c r="S106" i="59"/>
  <c r="S70" i="59"/>
  <c r="U60" i="59"/>
  <c r="U58" i="59"/>
  <c r="U59" i="59"/>
  <c r="R50" i="59" l="1"/>
  <c r="T104" i="59"/>
  <c r="E170" i="59"/>
  <c r="E178" i="59" s="1"/>
  <c r="F169" i="59"/>
  <c r="F170" i="59" s="1"/>
  <c r="F178" i="59" s="1"/>
  <c r="F184" i="59" s="1"/>
  <c r="U68" i="59"/>
  <c r="U105" i="59" s="1"/>
  <c r="T105" i="59"/>
  <c r="H169" i="59"/>
  <c r="T108" i="59"/>
  <c r="T107" i="59"/>
  <c r="R49" i="59"/>
  <c r="T106" i="59"/>
  <c r="V60" i="59"/>
  <c r="V58" i="59"/>
  <c r="V59" i="59"/>
  <c r="U70" i="59" l="1"/>
  <c r="U104" i="59"/>
  <c r="U106" i="59"/>
  <c r="K169" i="59"/>
  <c r="U108" i="59"/>
  <c r="U107" i="59"/>
  <c r="V68" i="59"/>
  <c r="V106" i="59" s="1"/>
  <c r="H170" i="59"/>
  <c r="H178" i="59" s="1"/>
  <c r="I169" i="59"/>
  <c r="I170" i="59" s="1"/>
  <c r="I178" i="59" s="1"/>
  <c r="I184" i="59" s="1"/>
  <c r="W60" i="59"/>
  <c r="W58" i="59"/>
  <c r="W59" i="59"/>
  <c r="V104" i="59" l="1"/>
  <c r="W68" i="59"/>
  <c r="W70" i="59" s="1"/>
  <c r="V105" i="59"/>
  <c r="N169" i="59"/>
  <c r="V108" i="59"/>
  <c r="V107" i="59"/>
  <c r="V70" i="59"/>
  <c r="K170" i="59"/>
  <c r="K178" i="59" s="1"/>
  <c r="L169" i="59"/>
  <c r="L170" i="59" s="1"/>
  <c r="L178" i="59" s="1"/>
  <c r="L184" i="59" s="1"/>
  <c r="W104" i="59" l="1"/>
  <c r="W105" i="59"/>
  <c r="N170" i="59"/>
  <c r="N178" i="59" s="1"/>
  <c r="O169" i="59"/>
  <c r="O170" i="59" s="1"/>
  <c r="O178" i="59" s="1"/>
  <c r="O184" i="59" s="1"/>
  <c r="W106" i="59"/>
  <c r="Q169" i="59"/>
  <c r="W108" i="59"/>
  <c r="W107" i="59"/>
  <c r="R169" i="59" l="1"/>
  <c r="R170" i="59" s="1"/>
  <c r="R178" i="59" s="1"/>
  <c r="R184" i="59" s="1"/>
  <c r="Q170" i="59"/>
  <c r="Q178" i="59" s="1"/>
  <c r="E23" i="65"/>
  <c r="F23" i="65" l="1"/>
  <c r="E82" i="61"/>
  <c r="E24" i="65"/>
  <c r="S14" i="58" l="1"/>
  <c r="E81" i="61"/>
  <c r="F24" i="65"/>
  <c r="F82" i="61"/>
  <c r="G23" i="65"/>
  <c r="G24" i="65" l="1"/>
  <c r="G82" i="61"/>
  <c r="H23" i="65"/>
  <c r="F81" i="61"/>
  <c r="T14" i="58"/>
  <c r="H24" i="65" l="1"/>
  <c r="H82" i="61"/>
  <c r="I23" i="65"/>
  <c r="U14" i="58"/>
  <c r="G81" i="61"/>
  <c r="I82" i="61" l="1"/>
  <c r="I24" i="65"/>
  <c r="H81" i="61"/>
  <c r="V14" i="58"/>
  <c r="W14" i="58" l="1"/>
  <c r="I81" i="61"/>
  <c r="L24" i="54" l="1"/>
  <c r="Q99" i="59" l="1"/>
  <c r="Q42" i="59" l="1"/>
  <c r="P30" i="119"/>
  <c r="P15" i="119"/>
  <c r="Q100" i="59"/>
  <c r="P18" i="119"/>
  <c r="P26" i="119"/>
  <c r="P24" i="119"/>
  <c r="P25" i="119"/>
  <c r="P19" i="119"/>
  <c r="P27" i="119"/>
  <c r="P22" i="119"/>
  <c r="P16" i="119"/>
  <c r="P17" i="119"/>
  <c r="P20" i="119"/>
  <c r="P28" i="119"/>
  <c r="P14" i="119"/>
  <c r="P31" i="70"/>
  <c r="P23" i="119"/>
  <c r="P21" i="119"/>
  <c r="P29" i="119"/>
  <c r="P112" i="59"/>
  <c r="Q112" i="59" s="1"/>
  <c r="N128" i="60"/>
  <c r="Q102" i="59"/>
  <c r="N131" i="60"/>
  <c r="K131" i="60" s="1"/>
  <c r="O131" i="60" s="1"/>
  <c r="N135" i="60"/>
  <c r="K135" i="60" s="1"/>
  <c r="O135" i="60" s="1"/>
  <c r="N132" i="60"/>
  <c r="K132" i="60" s="1"/>
  <c r="O132" i="60" s="1"/>
  <c r="N134" i="60"/>
  <c r="K134" i="60" s="1"/>
  <c r="O134" i="60" s="1"/>
  <c r="N129" i="60"/>
  <c r="K129" i="60" s="1"/>
  <c r="O129" i="60" s="1"/>
  <c r="N133" i="60"/>
  <c r="K133" i="60" s="1"/>
  <c r="O133" i="60" s="1"/>
  <c r="N130" i="60"/>
  <c r="K130" i="60" s="1"/>
  <c r="O130" i="60" s="1"/>
  <c r="N137" i="60"/>
  <c r="K137" i="60" s="1"/>
  <c r="O137" i="60" s="1"/>
  <c r="N136" i="60"/>
  <c r="Q66" i="59"/>
  <c r="N66" i="59" s="1"/>
  <c r="R66" i="59" s="1"/>
  <c r="Q57" i="81" l="1"/>
  <c r="R57" i="81" s="1"/>
  <c r="R42" i="59"/>
  <c r="K128" i="60"/>
  <c r="N138" i="60"/>
  <c r="P31" i="119"/>
  <c r="K136" i="60"/>
  <c r="O136" i="60" s="1"/>
  <c r="O128" i="60" l="1"/>
  <c r="O138" i="60" s="1"/>
  <c r="K138" i="60"/>
  <c r="N81" i="59" s="1"/>
  <c r="J14" i="65" l="1"/>
  <c r="E41" i="78"/>
  <c r="D41" i="78" l="1"/>
  <c r="F41" i="78" s="1"/>
  <c r="G41" i="78" l="1"/>
  <c r="H41" i="78" s="1"/>
  <c r="L41" i="78" s="1"/>
  <c r="I28" i="66"/>
  <c r="F6" i="100"/>
  <c r="M26" i="77" l="1"/>
  <c r="N26" i="77" s="1"/>
  <c r="M23" i="77"/>
  <c r="N23" i="77" s="1"/>
  <c r="M20" i="77"/>
  <c r="N20" i="77" s="1"/>
  <c r="M17" i="77"/>
  <c r="M16" i="77"/>
  <c r="M15" i="77"/>
  <c r="N15" i="77" s="1"/>
  <c r="M12" i="77"/>
  <c r="N12" i="77" s="1"/>
  <c r="M19" i="77" l="1"/>
  <c r="N19" i="77" s="1"/>
  <c r="M21" i="77"/>
  <c r="N21" i="77" s="1"/>
  <c r="M13" i="77"/>
  <c r="N13" i="77" s="1"/>
  <c r="M14" i="77"/>
  <c r="N14" i="77" s="1"/>
  <c r="M22" i="77"/>
  <c r="N22" i="77" s="1"/>
  <c r="M24" i="77"/>
  <c r="M11" i="77"/>
  <c r="K27" i="77"/>
  <c r="O21" i="58" s="1"/>
  <c r="L27" i="77"/>
  <c r="P21" i="58" s="1"/>
  <c r="M25" i="77"/>
  <c r="M18" i="77"/>
  <c r="N18" i="77" s="1"/>
  <c r="Q21" i="58" l="1"/>
  <c r="N21" i="58" s="1"/>
  <c r="R21" i="58" s="1"/>
  <c r="N11" i="77"/>
  <c r="N27" i="77" s="1"/>
  <c r="M27" i="77"/>
  <c r="I26" i="77" l="1"/>
  <c r="I23" i="77"/>
  <c r="I22" i="77"/>
  <c r="I21" i="77"/>
  <c r="I13" i="77"/>
  <c r="I12" i="77"/>
  <c r="E21" i="69"/>
  <c r="K13" i="65" l="1"/>
  <c r="E42" i="78"/>
  <c r="E6" i="100"/>
  <c r="I11" i="77" l="1"/>
  <c r="I27" i="77" s="1"/>
  <c r="H27" i="77"/>
  <c r="K21" i="58" s="1"/>
  <c r="D42" i="78"/>
  <c r="L42" i="78"/>
  <c r="K10" i="65"/>
  <c r="K17" i="65"/>
  <c r="M47" i="100" l="1"/>
  <c r="O47" i="100" s="1"/>
  <c r="G58" i="78" s="1"/>
  <c r="H58" i="78" s="1"/>
  <c r="L58" i="78" s="1"/>
  <c r="L59" i="78" s="1"/>
  <c r="E40" i="78"/>
  <c r="K13" i="58"/>
  <c r="J21" i="58"/>
  <c r="D46" i="78" s="1"/>
  <c r="E46" i="78"/>
  <c r="S21" i="58"/>
  <c r="P47" i="100" l="1"/>
  <c r="L21" i="58"/>
  <c r="L46" i="78"/>
  <c r="G46" i="78"/>
  <c r="F46" i="78"/>
  <c r="T21" i="58"/>
  <c r="S26" i="58"/>
  <c r="P81" i="59" l="1"/>
  <c r="Q53" i="59"/>
  <c r="N53" i="59" s="1"/>
  <c r="R53" i="59" s="1"/>
  <c r="Q54" i="59"/>
  <c r="N54" i="59" s="1"/>
  <c r="R54" i="59" s="1"/>
  <c r="Q56" i="59"/>
  <c r="N56" i="59" s="1"/>
  <c r="R56" i="59" s="1"/>
  <c r="T26" i="58"/>
  <c r="T78" i="59"/>
  <c r="T121" i="59" s="1"/>
  <c r="S78" i="59"/>
  <c r="T79" i="59"/>
  <c r="T122" i="59" s="1"/>
  <c r="U26" i="58"/>
  <c r="S63" i="59"/>
  <c r="S64" i="59"/>
  <c r="S79" i="59"/>
  <c r="T64" i="59"/>
  <c r="T110" i="59" s="1"/>
  <c r="P79" i="59" l="1"/>
  <c r="N97" i="60"/>
  <c r="K97" i="60" s="1"/>
  <c r="N79" i="59" s="1"/>
  <c r="P78" i="59"/>
  <c r="N112" i="60"/>
  <c r="K112" i="60" s="1"/>
  <c r="N78" i="59" s="1"/>
  <c r="Q81" i="59"/>
  <c r="R81" i="59" s="1"/>
  <c r="P124" i="59"/>
  <c r="Q124" i="59" s="1"/>
  <c r="F68" i="61"/>
  <c r="F61" i="61"/>
  <c r="U21" i="58"/>
  <c r="U64" i="59"/>
  <c r="U110" i="59" s="1"/>
  <c r="U79" i="59"/>
  <c r="U122" i="59" s="1"/>
  <c r="U78" i="59"/>
  <c r="U121" i="59" s="1"/>
  <c r="V79" i="59"/>
  <c r="V122" i="59" s="1"/>
  <c r="W21" i="58"/>
  <c r="V21" i="58"/>
  <c r="W26" i="58"/>
  <c r="V26" i="58"/>
  <c r="T63" i="59"/>
  <c r="T109" i="59" s="1"/>
  <c r="T113" i="59" s="1"/>
  <c r="T23" i="59" s="1"/>
  <c r="Q78" i="59" l="1"/>
  <c r="R78" i="59" s="1"/>
  <c r="P121" i="59"/>
  <c r="Q121" i="59" s="1"/>
  <c r="Q64" i="59"/>
  <c r="N64" i="59" s="1"/>
  <c r="R64" i="59" s="1"/>
  <c r="P110" i="59"/>
  <c r="Q110" i="59" s="1"/>
  <c r="I182" i="59"/>
  <c r="T91" i="59"/>
  <c r="T30" i="81"/>
  <c r="T92" i="59"/>
  <c r="H182" i="59"/>
  <c r="T34" i="59"/>
  <c r="T88" i="59"/>
  <c r="T35" i="59"/>
  <c r="T33" i="59"/>
  <c r="T87" i="59"/>
  <c r="T84" i="59"/>
  <c r="T86" i="59"/>
  <c r="T85" i="59"/>
  <c r="T89" i="59"/>
  <c r="T90" i="59"/>
  <c r="Q63" i="59"/>
  <c r="N63" i="59" s="1"/>
  <c r="R63" i="59" s="1"/>
  <c r="P109" i="59"/>
  <c r="G68" i="61"/>
  <c r="G61" i="61"/>
  <c r="Q79" i="59"/>
  <c r="R79" i="59" s="1"/>
  <c r="P122" i="59"/>
  <c r="Q122" i="59" s="1"/>
  <c r="V78" i="59"/>
  <c r="V121" i="59" s="1"/>
  <c r="V64" i="59"/>
  <c r="V110" i="59" s="1"/>
  <c r="U63" i="59"/>
  <c r="U109" i="59" s="1"/>
  <c r="U113" i="59" s="1"/>
  <c r="U23" i="59" s="1"/>
  <c r="T36" i="59" l="1"/>
  <c r="T37" i="59" s="1"/>
  <c r="E40" i="71" s="1"/>
  <c r="E42" i="71" s="1"/>
  <c r="T42" i="81"/>
  <c r="T43" i="81"/>
  <c r="T44" i="81"/>
  <c r="Q109" i="59"/>
  <c r="I185" i="59"/>
  <c r="I187" i="59" s="1"/>
  <c r="I191" i="59"/>
  <c r="I194" i="59" s="1"/>
  <c r="I196" i="59" s="1"/>
  <c r="L182" i="59"/>
  <c r="U91" i="59"/>
  <c r="U30" i="81"/>
  <c r="U92" i="59"/>
  <c r="K182" i="59"/>
  <c r="U35" i="59"/>
  <c r="U34" i="59"/>
  <c r="U33" i="59"/>
  <c r="U88" i="59"/>
  <c r="U87" i="59"/>
  <c r="U84" i="59"/>
  <c r="U86" i="59"/>
  <c r="U85" i="59"/>
  <c r="U89" i="59"/>
  <c r="U90" i="59"/>
  <c r="H68" i="61"/>
  <c r="H61" i="61"/>
  <c r="H191" i="59"/>
  <c r="H194" i="59" s="1"/>
  <c r="H196" i="59" s="1"/>
  <c r="H185" i="59"/>
  <c r="H187" i="59" s="1"/>
  <c r="W64" i="59"/>
  <c r="W110" i="59" s="1"/>
  <c r="W63" i="59"/>
  <c r="W109" i="59" s="1"/>
  <c r="W79" i="59"/>
  <c r="W122" i="59" s="1"/>
  <c r="V63" i="59"/>
  <c r="V109" i="59" s="1"/>
  <c r="V113" i="59" s="1"/>
  <c r="V23" i="59" s="1"/>
  <c r="W78" i="59"/>
  <c r="W121" i="59" s="1"/>
  <c r="D40" i="71" l="1"/>
  <c r="D42" i="71" s="1"/>
  <c r="C40" i="71"/>
  <c r="C42" i="71" s="1"/>
  <c r="M40" i="71"/>
  <c r="M42" i="71" s="1"/>
  <c r="K40" i="71"/>
  <c r="K42" i="71" s="1"/>
  <c r="N40" i="71"/>
  <c r="N42" i="71" s="1"/>
  <c r="G23" i="73"/>
  <c r="G22" i="74" s="1"/>
  <c r="G24" i="74" s="1"/>
  <c r="F40" i="71"/>
  <c r="F42" i="71" s="1"/>
  <c r="I40" i="71"/>
  <c r="I42" i="71" s="1"/>
  <c r="L40" i="71"/>
  <c r="L42" i="71" s="1"/>
  <c r="G40" i="71"/>
  <c r="G42" i="71" s="1"/>
  <c r="H40" i="71"/>
  <c r="H42" i="71" s="1"/>
  <c r="J40" i="71"/>
  <c r="J42" i="71" s="1"/>
  <c r="J196" i="59"/>
  <c r="U36" i="59"/>
  <c r="U37" i="59" s="1"/>
  <c r="I48" i="71" s="1"/>
  <c r="I50" i="71" s="1"/>
  <c r="W113" i="59"/>
  <c r="W23" i="59" s="1"/>
  <c r="W91" i="59" s="1"/>
  <c r="I198" i="59"/>
  <c r="L185" i="59"/>
  <c r="L187" i="59" s="1"/>
  <c r="L191" i="59"/>
  <c r="L194" i="59" s="1"/>
  <c r="L196" i="59" s="1"/>
  <c r="O182" i="59"/>
  <c r="V91" i="59"/>
  <c r="V35" i="59"/>
  <c r="V30" i="81"/>
  <c r="N182" i="59"/>
  <c r="V88" i="59"/>
  <c r="V92" i="59"/>
  <c r="V34" i="59"/>
  <c r="V33" i="59"/>
  <c r="V87" i="59"/>
  <c r="V85" i="59"/>
  <c r="V86" i="59"/>
  <c r="V84" i="59"/>
  <c r="V89" i="59"/>
  <c r="V90" i="59"/>
  <c r="U43" i="81"/>
  <c r="U42" i="81"/>
  <c r="U44" i="81"/>
  <c r="I61" i="61"/>
  <c r="I68" i="61"/>
  <c r="K191" i="59"/>
  <c r="K194" i="59" s="1"/>
  <c r="K196" i="59" s="1"/>
  <c r="K185" i="59"/>
  <c r="K187" i="59" s="1"/>
  <c r="H198" i="59"/>
  <c r="J187" i="59"/>
  <c r="T45" i="81"/>
  <c r="T48" i="81" s="1"/>
  <c r="G25" i="73" l="1"/>
  <c r="W33" i="59"/>
  <c r="R182" i="59"/>
  <c r="R185" i="59" s="1"/>
  <c r="R187" i="59" s="1"/>
  <c r="O40" i="71"/>
  <c r="O42" i="71" s="1"/>
  <c r="W90" i="59"/>
  <c r="W89" i="59"/>
  <c r="J48" i="71"/>
  <c r="J50" i="71" s="1"/>
  <c r="C48" i="71"/>
  <c r="C50" i="71" s="1"/>
  <c r="F48" i="71"/>
  <c r="F50" i="71" s="1"/>
  <c r="G48" i="71"/>
  <c r="G50" i="71" s="1"/>
  <c r="N48" i="71"/>
  <c r="N50" i="71" s="1"/>
  <c r="K48" i="71"/>
  <c r="K50" i="71" s="1"/>
  <c r="D48" i="71"/>
  <c r="D50" i="71" s="1"/>
  <c r="L48" i="71"/>
  <c r="L50" i="71" s="1"/>
  <c r="M48" i="71"/>
  <c r="M50" i="71" s="1"/>
  <c r="Q182" i="59"/>
  <c r="Q191" i="59" s="1"/>
  <c r="Q194" i="59" s="1"/>
  <c r="Q196" i="59" s="1"/>
  <c r="G34" i="73"/>
  <c r="G36" i="73" s="1"/>
  <c r="E48" i="71"/>
  <c r="E50" i="71" s="1"/>
  <c r="W88" i="59"/>
  <c r="W92" i="59"/>
  <c r="W85" i="59"/>
  <c r="H48" i="71"/>
  <c r="H50" i="71" s="1"/>
  <c r="W84" i="59"/>
  <c r="W35" i="59"/>
  <c r="W86" i="59"/>
  <c r="W87" i="59"/>
  <c r="W34" i="59"/>
  <c r="W30" i="81"/>
  <c r="W42" i="81" s="1"/>
  <c r="M196" i="59"/>
  <c r="N185" i="59"/>
  <c r="N187" i="59" s="1"/>
  <c r="N191" i="59"/>
  <c r="N194" i="59" s="1"/>
  <c r="N196" i="59" s="1"/>
  <c r="J198" i="59"/>
  <c r="U45" i="81"/>
  <c r="U48" i="81" s="1"/>
  <c r="V36" i="59"/>
  <c r="V37" i="59" s="1"/>
  <c r="O185" i="59"/>
  <c r="O187" i="59" s="1"/>
  <c r="O191" i="59"/>
  <c r="O194" i="59" s="1"/>
  <c r="O196" i="59" s="1"/>
  <c r="L198" i="59"/>
  <c r="V42" i="81"/>
  <c r="V44" i="81"/>
  <c r="V43" i="81"/>
  <c r="K198" i="59"/>
  <c r="M187" i="59"/>
  <c r="R191" i="59" l="1"/>
  <c r="R194" i="59" s="1"/>
  <c r="R196" i="59" s="1"/>
  <c r="S196" i="59" s="1"/>
  <c r="W44" i="81"/>
  <c r="G31" i="74"/>
  <c r="G33" i="74" s="1"/>
  <c r="W43" i="81"/>
  <c r="Q185" i="59"/>
  <c r="Q187" i="59" s="1"/>
  <c r="Q198" i="59" s="1"/>
  <c r="O48" i="71"/>
  <c r="O50" i="71" s="1"/>
  <c r="W36" i="59"/>
  <c r="W37" i="59" s="1"/>
  <c r="G54" i="73" s="1"/>
  <c r="M198" i="59"/>
  <c r="P196" i="59"/>
  <c r="E64" i="71"/>
  <c r="E66" i="71" s="1"/>
  <c r="F64" i="71"/>
  <c r="F66" i="71" s="1"/>
  <c r="I56" i="71"/>
  <c r="I58" i="71" s="1"/>
  <c r="N56" i="71"/>
  <c r="N58" i="71" s="1"/>
  <c r="F56" i="71"/>
  <c r="F58" i="71" s="1"/>
  <c r="C56" i="71"/>
  <c r="E56" i="71"/>
  <c r="E58" i="71" s="1"/>
  <c r="L56" i="71"/>
  <c r="L58" i="71" s="1"/>
  <c r="M56" i="71"/>
  <c r="M58" i="71" s="1"/>
  <c r="D56" i="71"/>
  <c r="D58" i="71" s="1"/>
  <c r="J64" i="71"/>
  <c r="J66" i="71" s="1"/>
  <c r="N64" i="71"/>
  <c r="N66" i="71" s="1"/>
  <c r="J56" i="71"/>
  <c r="J58" i="71" s="1"/>
  <c r="D64" i="71"/>
  <c r="D66" i="71" s="1"/>
  <c r="G64" i="71"/>
  <c r="G66" i="71" s="1"/>
  <c r="K56" i="71"/>
  <c r="K58" i="71" s="1"/>
  <c r="H64" i="71"/>
  <c r="H66" i="71" s="1"/>
  <c r="L64" i="71"/>
  <c r="L66" i="71" s="1"/>
  <c r="G44" i="73"/>
  <c r="M64" i="71"/>
  <c r="M66" i="71" s="1"/>
  <c r="K64" i="71"/>
  <c r="K66" i="71" s="1"/>
  <c r="I64" i="71"/>
  <c r="I66" i="71" s="1"/>
  <c r="G56" i="71"/>
  <c r="G58" i="71" s="1"/>
  <c r="H56" i="71"/>
  <c r="H58" i="71" s="1"/>
  <c r="V45" i="81"/>
  <c r="V48" i="81" s="1"/>
  <c r="T12" i="58"/>
  <c r="F79" i="61"/>
  <c r="F80" i="61"/>
  <c r="N198" i="59"/>
  <c r="P187" i="59"/>
  <c r="O198" i="59"/>
  <c r="U12" i="58" l="1"/>
  <c r="G80" i="61"/>
  <c r="G79" i="61"/>
  <c r="R198" i="59"/>
  <c r="S198" i="59" s="1"/>
  <c r="I80" i="61" s="1"/>
  <c r="S187" i="59"/>
  <c r="W45" i="81"/>
  <c r="W48" i="81" s="1"/>
  <c r="G49" i="74"/>
  <c r="G51" i="74" s="1"/>
  <c r="G56" i="73"/>
  <c r="C64" i="71"/>
  <c r="C66" i="71" s="1"/>
  <c r="C58" i="71"/>
  <c r="O56" i="71"/>
  <c r="O58" i="71" s="1"/>
  <c r="F83" i="61"/>
  <c r="F85" i="61" s="1"/>
  <c r="T20" i="58" s="1"/>
  <c r="G46" i="73"/>
  <c r="G40" i="74"/>
  <c r="G42" i="74" s="1"/>
  <c r="P198" i="59"/>
  <c r="G83" i="61" l="1"/>
  <c r="G85" i="61" s="1"/>
  <c r="U20" i="58" s="1"/>
  <c r="I79" i="61"/>
  <c r="I83" i="61" s="1"/>
  <c r="I85" i="61" s="1"/>
  <c r="W20" i="58" s="1"/>
  <c r="O64" i="71"/>
  <c r="O66" i="71" s="1"/>
  <c r="W12" i="58"/>
  <c r="H80" i="61"/>
  <c r="H79" i="61"/>
  <c r="V12" i="58"/>
  <c r="H83" i="61" l="1"/>
  <c r="H85" i="61" s="1"/>
  <c r="V20" i="58" s="1"/>
  <c r="P14" i="65" l="1"/>
  <c r="P17" i="65" s="1"/>
  <c r="P13" i="58" s="1"/>
  <c r="O17" i="65"/>
  <c r="O13" i="58" s="1"/>
  <c r="Q13" i="58" l="1"/>
  <c r="Q14" i="65"/>
  <c r="S14" i="65"/>
  <c r="L13" i="66"/>
  <c r="N14" i="65" l="1"/>
  <c r="Q17" i="65"/>
  <c r="N13" i="66"/>
  <c r="T14" i="65"/>
  <c r="U14" i="65" l="1"/>
  <c r="P13" i="66"/>
  <c r="R13" i="66" l="1"/>
  <c r="V14" i="65"/>
  <c r="T13" i="66" l="1"/>
  <c r="W14" i="65"/>
  <c r="E13" i="78" l="1"/>
  <c r="D6" i="100"/>
  <c r="D13" i="78" l="1"/>
  <c r="L13" i="78"/>
  <c r="M46" i="100" l="1"/>
  <c r="O46" i="100" s="1"/>
  <c r="G29" i="78" s="1"/>
  <c r="H29" i="78" s="1"/>
  <c r="P46" i="100" l="1"/>
  <c r="L29" i="78"/>
  <c r="L30" i="78" s="1"/>
  <c r="S109" i="59" l="1"/>
  <c r="S121" i="59"/>
  <c r="S122" i="59" l="1"/>
  <c r="E61" i="61" s="1"/>
  <c r="S110" i="59"/>
  <c r="S113" i="59" s="1"/>
  <c r="S23" i="59" s="1"/>
  <c r="S90" i="59" s="1"/>
  <c r="S91" i="59" l="1"/>
  <c r="S30" i="81"/>
  <c r="S92" i="59"/>
  <c r="S35" i="59"/>
  <c r="S34" i="59"/>
  <c r="S88" i="59"/>
  <c r="E182" i="59"/>
  <c r="F182" i="59"/>
  <c r="S33" i="59"/>
  <c r="S87" i="59"/>
  <c r="S84" i="59"/>
  <c r="S86" i="59"/>
  <c r="S85" i="59"/>
  <c r="S89" i="59"/>
  <c r="E68" i="61"/>
  <c r="F191" i="59" l="1"/>
  <c r="F194" i="59" s="1"/>
  <c r="F196" i="59" s="1"/>
  <c r="F185" i="59"/>
  <c r="F187" i="59" s="1"/>
  <c r="E185" i="59"/>
  <c r="E187" i="59" s="1"/>
  <c r="E191" i="59"/>
  <c r="E194" i="59" s="1"/>
  <c r="E196" i="59" s="1"/>
  <c r="S42" i="81"/>
  <c r="S43" i="81"/>
  <c r="S44" i="81"/>
  <c r="S36" i="59"/>
  <c r="S37" i="59" s="1"/>
  <c r="F198" i="59" l="1"/>
  <c r="G196" i="59"/>
  <c r="M32" i="71"/>
  <c r="M34" i="71" s="1"/>
  <c r="G32" i="71"/>
  <c r="G34" i="71" s="1"/>
  <c r="C32" i="71"/>
  <c r="E32" i="71"/>
  <c r="E34" i="71" s="1"/>
  <c r="G12" i="73"/>
  <c r="F32" i="71"/>
  <c r="F34" i="71" s="1"/>
  <c r="D32" i="71"/>
  <c r="D34" i="71" s="1"/>
  <c r="I32" i="71"/>
  <c r="I34" i="71" s="1"/>
  <c r="H32" i="71"/>
  <c r="H34" i="71" s="1"/>
  <c r="K32" i="71"/>
  <c r="K34" i="71" s="1"/>
  <c r="N32" i="71"/>
  <c r="N34" i="71" s="1"/>
  <c r="L32" i="71"/>
  <c r="L34" i="71" s="1"/>
  <c r="J32" i="71"/>
  <c r="J34" i="71" s="1"/>
  <c r="E198" i="59"/>
  <c r="G187" i="59"/>
  <c r="S45" i="81"/>
  <c r="S48" i="81" s="1"/>
  <c r="G198" i="59" l="1"/>
  <c r="E80" i="61" s="1"/>
  <c r="C34" i="71"/>
  <c r="O32" i="71"/>
  <c r="O34" i="71" s="1"/>
  <c r="G14" i="73"/>
  <c r="G11" i="74"/>
  <c r="G13" i="74" s="1"/>
  <c r="E79" i="61" l="1"/>
  <c r="E83" i="61" s="1"/>
  <c r="E85" i="61" s="1"/>
  <c r="S20" i="58" s="1"/>
  <c r="S12" i="58"/>
  <c r="D21" i="69" l="1"/>
  <c r="G13" i="65" l="1"/>
  <c r="G17" i="65" l="1"/>
  <c r="G10" i="65"/>
  <c r="E11" i="78" l="1"/>
  <c r="G13" i="58"/>
  <c r="F56" i="59"/>
  <c r="H56" i="59" s="1"/>
  <c r="F55" i="59"/>
  <c r="H55" i="59" s="1"/>
  <c r="F54" i="59" l="1"/>
  <c r="H54" i="59" s="1"/>
  <c r="F53" i="59"/>
  <c r="H53" i="59" s="1"/>
  <c r="F23" i="77" l="1"/>
  <c r="F22" i="77"/>
  <c r="F21" i="77"/>
  <c r="F26" i="77"/>
  <c r="F13" i="77"/>
  <c r="F12" i="77"/>
  <c r="E27" i="77" l="1"/>
  <c r="G21" i="58" s="1"/>
  <c r="F11" i="77"/>
  <c r="F27" i="77" s="1"/>
  <c r="F21" i="58" l="1"/>
  <c r="E17" i="78"/>
  <c r="H21" i="58" l="1"/>
  <c r="L17" i="78"/>
  <c r="D17" i="78"/>
  <c r="G17" i="78" s="1"/>
  <c r="F17" i="78" l="1"/>
  <c r="D85" i="105" l="1"/>
  <c r="H31" i="105"/>
  <c r="E59" i="105"/>
  <c r="D33" i="105"/>
  <c r="H59" i="105" l="1"/>
  <c r="E85" i="105"/>
  <c r="E87" i="105" s="1"/>
  <c r="E61" i="105"/>
  <c r="I31" i="105"/>
  <c r="H33" i="105"/>
  <c r="D87" i="105"/>
  <c r="H85" i="105" l="1"/>
  <c r="H87" i="105" s="1"/>
  <c r="M31" i="105"/>
  <c r="I33" i="105"/>
  <c r="I59" i="105"/>
  <c r="H61" i="105"/>
  <c r="I85" i="105" l="1"/>
  <c r="K59" i="105"/>
  <c r="J59" i="105"/>
  <c r="I61" i="105"/>
  <c r="N31" i="105"/>
  <c r="M33" i="105"/>
  <c r="M59" i="105" l="1"/>
  <c r="J85" i="105"/>
  <c r="J87" i="105" s="1"/>
  <c r="J61" i="105"/>
  <c r="K85" i="105"/>
  <c r="K87" i="105" s="1"/>
  <c r="K61" i="105"/>
  <c r="R31" i="105"/>
  <c r="N33" i="105"/>
  <c r="I87" i="105"/>
  <c r="M85" i="105" l="1"/>
  <c r="M87" i="105" s="1"/>
  <c r="S31" i="105"/>
  <c r="R33" i="105"/>
  <c r="N59" i="105"/>
  <c r="M61" i="105"/>
  <c r="N85" i="105" l="1"/>
  <c r="P59" i="105"/>
  <c r="O59" i="105"/>
  <c r="N61" i="105"/>
  <c r="W31" i="105"/>
  <c r="S33" i="105"/>
  <c r="R59" i="105" l="1"/>
  <c r="S59" i="105" s="1"/>
  <c r="O85" i="105"/>
  <c r="O87" i="105" s="1"/>
  <c r="O61" i="105"/>
  <c r="X31" i="105"/>
  <c r="W33" i="105"/>
  <c r="P85" i="105"/>
  <c r="P87" i="105" s="1"/>
  <c r="P61" i="105"/>
  <c r="N87" i="105"/>
  <c r="R61" i="105" l="1"/>
  <c r="AB31" i="105"/>
  <c r="AB33" i="105" s="1"/>
  <c r="X33" i="105"/>
  <c r="U59" i="105"/>
  <c r="T59" i="105"/>
  <c r="S61" i="105"/>
  <c r="S85" i="105"/>
  <c r="R85" i="105"/>
  <c r="R87" i="105" s="1"/>
  <c r="S87" i="105" l="1"/>
  <c r="W59" i="105"/>
  <c r="T85" i="105"/>
  <c r="T87" i="105" s="1"/>
  <c r="T61" i="105"/>
  <c r="U85" i="105"/>
  <c r="U87" i="105" s="1"/>
  <c r="U61" i="105"/>
  <c r="X59" i="105" l="1"/>
  <c r="W61" i="105"/>
  <c r="W85" i="105"/>
  <c r="W87" i="105" s="1"/>
  <c r="Z59" i="105" l="1"/>
  <c r="Z85" i="105" s="1"/>
  <c r="Z87" i="105" s="1"/>
  <c r="Y59" i="105"/>
  <c r="Y85" i="105" s="1"/>
  <c r="Y87" i="105" s="1"/>
  <c r="X61" i="105"/>
  <c r="X85" i="105"/>
  <c r="AB85" i="105" l="1"/>
  <c r="AB87" i="105" s="1"/>
  <c r="X87" i="105"/>
  <c r="W21" i="59" l="1"/>
  <c r="U21" i="59"/>
  <c r="V21" i="59"/>
  <c r="T21" i="59" l="1"/>
  <c r="U13" i="59" l="1"/>
  <c r="V13" i="59"/>
  <c r="W13" i="59"/>
  <c r="T13" i="59" l="1"/>
  <c r="S75" i="59"/>
  <c r="S118" i="59" s="1"/>
  <c r="P75" i="59" l="1"/>
  <c r="N54" i="60"/>
  <c r="K54" i="60" s="1"/>
  <c r="N75" i="59" s="1"/>
  <c r="S73" i="59"/>
  <c r="S116" i="59" s="1"/>
  <c r="S74" i="59"/>
  <c r="S117" i="59" s="1"/>
  <c r="T75" i="59"/>
  <c r="T118" i="59" s="1"/>
  <c r="P73" i="59" l="1"/>
  <c r="E59" i="61"/>
  <c r="E58" i="61"/>
  <c r="S125" i="59"/>
  <c r="S155" i="59" s="1"/>
  <c r="P74" i="59"/>
  <c r="N40" i="60"/>
  <c r="K40" i="60" s="1"/>
  <c r="N74" i="59" s="1"/>
  <c r="Q75" i="59"/>
  <c r="R75" i="59" s="1"/>
  <c r="P118" i="59"/>
  <c r="Q118" i="59" s="1"/>
  <c r="T74" i="59"/>
  <c r="T117" i="59" s="1"/>
  <c r="T73" i="59"/>
  <c r="T116" i="59" s="1"/>
  <c r="U75" i="59"/>
  <c r="U118" i="59" s="1"/>
  <c r="Q74" i="59" l="1"/>
  <c r="R74" i="59" s="1"/>
  <c r="P117" i="59"/>
  <c r="Q117" i="59" s="1"/>
  <c r="F59" i="61"/>
  <c r="F58" i="61"/>
  <c r="T125" i="59"/>
  <c r="T155" i="59" s="1"/>
  <c r="S11" i="58"/>
  <c r="S157" i="59"/>
  <c r="U74" i="59"/>
  <c r="U117" i="59" s="1"/>
  <c r="U73" i="59"/>
  <c r="U116" i="59" s="1"/>
  <c r="V75" i="59"/>
  <c r="V118" i="59" s="1"/>
  <c r="L11" i="80" l="1"/>
  <c r="D12" i="73"/>
  <c r="T11" i="58"/>
  <c r="T157" i="59"/>
  <c r="G58" i="61"/>
  <c r="G59" i="61"/>
  <c r="U125" i="59"/>
  <c r="U155" i="59" s="1"/>
  <c r="V74" i="59"/>
  <c r="V117" i="59" s="1"/>
  <c r="W75" i="59"/>
  <c r="W118" i="59" s="1"/>
  <c r="V73" i="59"/>
  <c r="V116" i="59" s="1"/>
  <c r="U11" i="58" l="1"/>
  <c r="U157" i="59"/>
  <c r="M11" i="80"/>
  <c r="D23" i="73"/>
  <c r="H58" i="61"/>
  <c r="H59" i="61"/>
  <c r="V125" i="59"/>
  <c r="V155" i="59" s="1"/>
  <c r="D11" i="74"/>
  <c r="K12" i="73"/>
  <c r="W74" i="59"/>
  <c r="W117" i="59" s="1"/>
  <c r="W73" i="59"/>
  <c r="W116" i="59" s="1"/>
  <c r="K11" i="74" l="1"/>
  <c r="K13" i="74" s="1"/>
  <c r="K14" i="73"/>
  <c r="I58" i="61"/>
  <c r="I59" i="61"/>
  <c r="W125" i="59"/>
  <c r="W155" i="59" s="1"/>
  <c r="D22" i="74"/>
  <c r="K23" i="73"/>
  <c r="N11" i="80"/>
  <c r="D34" i="73"/>
  <c r="V11" i="58"/>
  <c r="V157" i="59"/>
  <c r="K22" i="74" l="1"/>
  <c r="K24" i="74" s="1"/>
  <c r="K25" i="73"/>
  <c r="W11" i="58"/>
  <c r="W157" i="59"/>
  <c r="O11" i="80"/>
  <c r="D44" i="73"/>
  <c r="D31" i="74"/>
  <c r="K34" i="73"/>
  <c r="D40" i="74" l="1"/>
  <c r="K44" i="73"/>
  <c r="D54" i="73"/>
  <c r="P11" i="80"/>
  <c r="K31" i="74"/>
  <c r="K33" i="74" s="1"/>
  <c r="K36" i="73"/>
  <c r="D49" i="74" l="1"/>
  <c r="K54" i="73"/>
  <c r="K40" i="74"/>
  <c r="K42" i="74" s="1"/>
  <c r="K46" i="73"/>
  <c r="K49" i="74" l="1"/>
  <c r="K51" i="74" s="1"/>
  <c r="K56" i="73"/>
  <c r="O28" i="119" l="1"/>
  <c r="O22" i="119"/>
  <c r="O26" i="119"/>
  <c r="O15" i="119"/>
  <c r="O29" i="119"/>
  <c r="O25" i="119"/>
  <c r="O24" i="119"/>
  <c r="O27" i="119"/>
  <c r="O30" i="119"/>
  <c r="O23" i="119"/>
  <c r="O20" i="119" l="1"/>
  <c r="O16" i="119"/>
  <c r="O17" i="119"/>
  <c r="O14" i="119"/>
  <c r="O31" i="70"/>
  <c r="O21" i="119"/>
  <c r="O19" i="119"/>
  <c r="O18" i="119"/>
  <c r="O31" i="119" l="1"/>
  <c r="L14" i="93" l="1"/>
  <c r="K14" i="93" l="1"/>
  <c r="M12" i="93"/>
  <c r="M14" i="93" s="1"/>
  <c r="M15" i="93" s="1"/>
  <c r="N12" i="93" l="1"/>
  <c r="N14" i="93" s="1"/>
  <c r="K17" i="54"/>
  <c r="K12" i="55"/>
  <c r="L12" i="55" l="1"/>
  <c r="L17" i="54"/>
  <c r="S21" i="59" l="1"/>
  <c r="S13" i="59" l="1"/>
  <c r="Q48" i="59" l="1"/>
  <c r="Q94" i="59"/>
  <c r="Q58" i="59"/>
  <c r="P68" i="59"/>
  <c r="P70" i="59"/>
  <c r="N26" i="60"/>
  <c r="K26" i="60" s="1"/>
  <c r="N73" i="59" s="1"/>
  <c r="Q73" i="59"/>
  <c r="P116" i="59"/>
  <c r="R73" i="59" l="1"/>
  <c r="P104" i="59"/>
  <c r="P106" i="59"/>
  <c r="Q106" i="59" s="1"/>
  <c r="Q68" i="59"/>
  <c r="Q70" i="59" s="1"/>
  <c r="P125" i="59"/>
  <c r="P155" i="59" s="1"/>
  <c r="Q116" i="59"/>
  <c r="N48" i="59"/>
  <c r="N58" i="59" s="1"/>
  <c r="R48" i="59" l="1"/>
  <c r="N68" i="59"/>
  <c r="R68" i="59" s="1"/>
  <c r="R58" i="59"/>
  <c r="P11" i="58"/>
  <c r="Q11" i="58" s="1"/>
  <c r="Q125" i="59"/>
  <c r="Q155" i="59" s="1"/>
  <c r="Q104" i="59"/>
  <c r="P113" i="59"/>
  <c r="Q113" i="59" l="1"/>
  <c r="I26" i="71" l="1"/>
  <c r="K26" i="71"/>
  <c r="J26" i="71"/>
  <c r="N26" i="71"/>
  <c r="M26" i="71"/>
  <c r="L26" i="71"/>
  <c r="P42" i="81"/>
  <c r="P44" i="81"/>
  <c r="Q44" i="81" s="1"/>
  <c r="P43" i="81"/>
  <c r="Q43" i="81" s="1"/>
  <c r="Q30" i="81"/>
  <c r="N30" i="81" s="1"/>
  <c r="P33" i="59"/>
  <c r="P92" i="59"/>
  <c r="Q92" i="59" s="1"/>
  <c r="Q23" i="59"/>
  <c r="P85" i="59"/>
  <c r="P89" i="59"/>
  <c r="P35" i="59"/>
  <c r="Q35" i="59" s="1"/>
  <c r="P90" i="59"/>
  <c r="P34" i="59"/>
  <c r="Q34" i="59" s="1"/>
  <c r="P86" i="59"/>
  <c r="P91" i="59"/>
  <c r="Q91" i="59" s="1"/>
  <c r="P84" i="59"/>
  <c r="P40" i="59"/>
  <c r="P53" i="81" s="1"/>
  <c r="P45" i="81" l="1"/>
  <c r="Q42" i="81"/>
  <c r="N23" i="59"/>
  <c r="Q89" i="59"/>
  <c r="Q90" i="59"/>
  <c r="Q13" i="59"/>
  <c r="Q86" i="59"/>
  <c r="Q85" i="59"/>
  <c r="Q84" i="59"/>
  <c r="Q40" i="59"/>
  <c r="R30" i="81"/>
  <c r="N43" i="81"/>
  <c r="R43" i="81" s="1"/>
  <c r="N42" i="81"/>
  <c r="N44" i="81"/>
  <c r="R44" i="81" s="1"/>
  <c r="R38" i="81"/>
  <c r="Q41" i="81"/>
  <c r="G30" i="72"/>
  <c r="P36" i="59"/>
  <c r="P37" i="59" s="1"/>
  <c r="N35" i="59" l="1"/>
  <c r="R35" i="59" s="1"/>
  <c r="N113" i="59"/>
  <c r="N34" i="59"/>
  <c r="R34" i="59" s="1"/>
  <c r="N33" i="59"/>
  <c r="R42" i="81"/>
  <c r="N45" i="81"/>
  <c r="N48" i="81" s="1"/>
  <c r="Q45" i="81"/>
  <c r="P48" i="81"/>
  <c r="Q48" i="81" s="1"/>
  <c r="N89" i="59"/>
  <c r="N99" i="59" s="1"/>
  <c r="N92" i="59"/>
  <c r="R23" i="59"/>
  <c r="F4" i="100"/>
  <c r="N16" i="81"/>
  <c r="R16" i="81"/>
  <c r="R13" i="59" s="1"/>
  <c r="N90" i="59"/>
  <c r="N100" i="59" s="1"/>
  <c r="Q53" i="81"/>
  <c r="R53" i="81" s="1"/>
  <c r="R40" i="59"/>
  <c r="Q37" i="59"/>
  <c r="P157" i="59"/>
  <c r="N91" i="59"/>
  <c r="N13" i="59"/>
  <c r="Q21" i="59"/>
  <c r="N21" i="59" s="1"/>
  <c r="R21" i="59" s="1"/>
  <c r="N26" i="81"/>
  <c r="R26" i="81" s="1"/>
  <c r="R89" i="59" l="1"/>
  <c r="R90" i="59"/>
  <c r="R45" i="81"/>
  <c r="N36" i="59"/>
  <c r="N37" i="59" s="1"/>
  <c r="N101" i="59"/>
  <c r="R91" i="59"/>
  <c r="N102" i="59"/>
  <c r="R92" i="59"/>
  <c r="D24" i="71"/>
  <c r="D26" i="71" s="1"/>
  <c r="G24" i="71"/>
  <c r="G26" i="71" s="1"/>
  <c r="F24" i="71"/>
  <c r="F26" i="71" s="1"/>
  <c r="E24" i="71"/>
  <c r="E26" i="71" s="1"/>
  <c r="H24" i="71"/>
  <c r="H26" i="71" s="1"/>
  <c r="C24" i="71"/>
  <c r="Q157" i="59"/>
  <c r="K11" i="80" s="1"/>
  <c r="Q36" i="59"/>
  <c r="Q33" i="59" s="1"/>
  <c r="R99" i="59"/>
  <c r="N121" i="59"/>
  <c r="N109" i="59"/>
  <c r="R109" i="59" s="1"/>
  <c r="N122" i="59"/>
  <c r="R122" i="59" s="1"/>
  <c r="R100" i="59"/>
  <c r="N110" i="59"/>
  <c r="R110" i="59" s="1"/>
  <c r="R48" i="81"/>
  <c r="Q29" i="59" l="1"/>
  <c r="R33" i="59"/>
  <c r="R36" i="59" s="1"/>
  <c r="R37" i="59" s="1"/>
  <c r="N124" i="59"/>
  <c r="R124" i="59" s="1"/>
  <c r="R102" i="59"/>
  <c r="N112" i="59"/>
  <c r="R112" i="59" s="1"/>
  <c r="O24" i="71"/>
  <c r="O26" i="71" s="1"/>
  <c r="C26" i="71"/>
  <c r="G29" i="72" s="1"/>
  <c r="R121" i="59"/>
  <c r="N123" i="59"/>
  <c r="R123" i="59" s="1"/>
  <c r="N111" i="59"/>
  <c r="R101" i="59"/>
  <c r="R111" i="59" l="1"/>
  <c r="N106" i="59"/>
  <c r="N105" i="59"/>
  <c r="J22" i="61"/>
  <c r="F29" i="72"/>
  <c r="G31" i="72"/>
  <c r="D29" i="72"/>
  <c r="N104" i="59"/>
  <c r="J29" i="61"/>
  <c r="R29" i="59"/>
  <c r="R32" i="59" s="1"/>
  <c r="Q32" i="59"/>
  <c r="N95" i="59" l="1"/>
  <c r="R105" i="59"/>
  <c r="N94" i="59"/>
  <c r="R104" i="59"/>
  <c r="N96" i="59"/>
  <c r="R106" i="59"/>
  <c r="N70" i="59" l="1"/>
  <c r="R70" i="59" s="1"/>
  <c r="N84" i="59"/>
  <c r="R84" i="59" s="1"/>
  <c r="N116" i="59"/>
  <c r="R94" i="59"/>
  <c r="N118" i="59"/>
  <c r="R118" i="59" s="1"/>
  <c r="N86" i="59"/>
  <c r="R86" i="59" s="1"/>
  <c r="R96" i="59"/>
  <c r="R95" i="59"/>
  <c r="N117" i="59"/>
  <c r="R117" i="59" s="1"/>
  <c r="N85" i="59"/>
  <c r="R85" i="59" s="1"/>
  <c r="R113" i="59"/>
  <c r="N125" i="59" l="1"/>
  <c r="N155" i="59" s="1"/>
  <c r="J20" i="61"/>
  <c r="J19" i="61"/>
  <c r="R116" i="59"/>
  <c r="R125" i="59" s="1"/>
  <c r="R155" i="59" s="1"/>
  <c r="R157" i="59" s="1"/>
  <c r="N11" i="58" l="1"/>
  <c r="R11" i="58" s="1"/>
  <c r="N157" i="59"/>
  <c r="J11" i="80" s="1"/>
  <c r="E30" i="61" l="1"/>
  <c r="G30" i="61"/>
  <c r="G34" i="61" s="1"/>
  <c r="I19" i="58" s="1"/>
  <c r="I23" i="58" s="1"/>
  <c r="I27" i="58" s="1"/>
  <c r="F9" i="80" s="1"/>
  <c r="I30" i="61"/>
  <c r="I34" i="61" s="1"/>
  <c r="M19" i="58" s="1"/>
  <c r="M23" i="58" s="1"/>
  <c r="M27" i="58" s="1"/>
  <c r="I9" i="80" s="1"/>
  <c r="E34" i="61"/>
  <c r="E19" i="58" s="1"/>
  <c r="E23" i="58" s="1"/>
  <c r="E27" i="58" s="1"/>
  <c r="C9" i="80" s="1"/>
  <c r="K30" i="72" l="1"/>
  <c r="K31" i="72" s="1"/>
  <c r="A111" i="119" l="1"/>
  <c r="A110" i="119"/>
  <c r="A109" i="119"/>
  <c r="A108" i="119"/>
  <c r="A107" i="119"/>
  <c r="A106" i="119"/>
  <c r="A105" i="119"/>
  <c r="A104" i="119"/>
  <c r="A103" i="119"/>
  <c r="A102" i="119"/>
  <c r="A101" i="119"/>
  <c r="A100" i="119"/>
  <c r="A99" i="119"/>
  <c r="A98" i="119"/>
  <c r="A97" i="119"/>
  <c r="A96" i="119"/>
  <c r="A95" i="119"/>
  <c r="E19" i="55" l="1"/>
  <c r="F10" i="55"/>
  <c r="E40" i="55"/>
  <c r="D74" i="119"/>
  <c r="F74" i="70"/>
  <c r="D82" i="119"/>
  <c r="F82" i="70"/>
  <c r="A97" i="70"/>
  <c r="E70" i="70"/>
  <c r="E74" i="70"/>
  <c r="A101" i="70"/>
  <c r="A105" i="70"/>
  <c r="E82" i="70"/>
  <c r="H82" i="70" s="1"/>
  <c r="I82" i="70" s="1"/>
  <c r="A109" i="70"/>
  <c r="D14" i="119"/>
  <c r="D31" i="70"/>
  <c r="H14" i="70"/>
  <c r="D122" i="70"/>
  <c r="H15" i="70"/>
  <c r="I15" i="70" s="1"/>
  <c r="D123" i="70"/>
  <c r="D15" i="119"/>
  <c r="H16" i="70"/>
  <c r="I16" i="70" s="1"/>
  <c r="D124" i="70"/>
  <c r="D16" i="119"/>
  <c r="H17" i="70"/>
  <c r="I17" i="70" s="1"/>
  <c r="D17" i="119"/>
  <c r="D125" i="70"/>
  <c r="D126" i="70"/>
  <c r="D18" i="119"/>
  <c r="H18" i="70"/>
  <c r="I18" i="70" s="1"/>
  <c r="M18" i="70" s="1"/>
  <c r="N18" i="70" s="1"/>
  <c r="H19" i="70"/>
  <c r="I19" i="70" s="1"/>
  <c r="M19" i="70" s="1"/>
  <c r="N19" i="70" s="1"/>
  <c r="D19" i="119"/>
  <c r="D127" i="70"/>
  <c r="D20" i="119"/>
  <c r="H20" i="70"/>
  <c r="I20" i="70" s="1"/>
  <c r="D128" i="70"/>
  <c r="D21" i="119"/>
  <c r="H21" i="70"/>
  <c r="I21" i="70" s="1"/>
  <c r="D129" i="70"/>
  <c r="H22" i="70"/>
  <c r="I22" i="70" s="1"/>
  <c r="D22" i="119"/>
  <c r="D130" i="70"/>
  <c r="D23" i="119"/>
  <c r="D131" i="70"/>
  <c r="H23" i="70"/>
  <c r="I23" i="70" s="1"/>
  <c r="D132" i="70"/>
  <c r="H24" i="70"/>
  <c r="I24" i="70" s="1"/>
  <c r="M24" i="70" s="1"/>
  <c r="N24" i="70" s="1"/>
  <c r="D24" i="119"/>
  <c r="H25" i="70"/>
  <c r="I25" i="70" s="1"/>
  <c r="D133" i="70"/>
  <c r="D25" i="119"/>
  <c r="D26" i="119"/>
  <c r="D134" i="70"/>
  <c r="H26" i="70"/>
  <c r="I26" i="70" s="1"/>
  <c r="H27" i="70"/>
  <c r="I27" i="70" s="1"/>
  <c r="D27" i="119"/>
  <c r="D135" i="70"/>
  <c r="D136" i="70"/>
  <c r="D28" i="119"/>
  <c r="H28" i="70"/>
  <c r="I28" i="70" s="1"/>
  <c r="D29" i="119"/>
  <c r="D137" i="70"/>
  <c r="H29" i="70"/>
  <c r="I29" i="70" s="1"/>
  <c r="H30" i="70"/>
  <c r="I30" i="70" s="1"/>
  <c r="D30" i="119"/>
  <c r="D138" i="70"/>
  <c r="D75" i="119"/>
  <c r="F75" i="70"/>
  <c r="F83" i="70"/>
  <c r="D83" i="119"/>
  <c r="D68" i="119"/>
  <c r="F68" i="70"/>
  <c r="D85" i="70"/>
  <c r="D76" i="119"/>
  <c r="F76" i="70"/>
  <c r="E76" i="70"/>
  <c r="H76" i="70" s="1"/>
  <c r="I76" i="70" s="1"/>
  <c r="F84" i="70"/>
  <c r="D84" i="119"/>
  <c r="A96" i="70"/>
  <c r="A100" i="70"/>
  <c r="A104" i="70"/>
  <c r="E77" i="70"/>
  <c r="A108" i="70"/>
  <c r="E81" i="70"/>
  <c r="D73" i="119"/>
  <c r="F73" i="70"/>
  <c r="E73" i="70"/>
  <c r="H73" i="70" s="1"/>
  <c r="I73" i="70" s="1"/>
  <c r="F69" i="70"/>
  <c r="D69" i="119"/>
  <c r="E69" i="70"/>
  <c r="D77" i="119"/>
  <c r="F77" i="70"/>
  <c r="D81" i="119"/>
  <c r="F81" i="70"/>
  <c r="F70" i="70"/>
  <c r="H70" i="70" s="1"/>
  <c r="I70" i="70" s="1"/>
  <c r="D70" i="119"/>
  <c r="E78" i="70"/>
  <c r="F78" i="70"/>
  <c r="D78" i="119"/>
  <c r="H78" i="70"/>
  <c r="I78" i="70" s="1"/>
  <c r="A95" i="70"/>
  <c r="E68" i="70"/>
  <c r="H68" i="70" s="1"/>
  <c r="A99" i="70"/>
  <c r="A103" i="70"/>
  <c r="E80" i="70"/>
  <c r="H80" i="70" s="1"/>
  <c r="I80" i="70" s="1"/>
  <c r="A107" i="70"/>
  <c r="A111" i="70"/>
  <c r="E84" i="70"/>
  <c r="H84" i="70" s="1"/>
  <c r="I84" i="70" s="1"/>
  <c r="D71" i="119"/>
  <c r="H71" i="70"/>
  <c r="I71" i="70" s="1"/>
  <c r="E71" i="70"/>
  <c r="F71" i="70"/>
  <c r="D79" i="119"/>
  <c r="F79" i="70"/>
  <c r="E72" i="70"/>
  <c r="F72" i="70"/>
  <c r="D72" i="119"/>
  <c r="D80" i="119"/>
  <c r="F80" i="70"/>
  <c r="A98" i="70"/>
  <c r="A102" i="70"/>
  <c r="E75" i="70"/>
  <c r="A106" i="70"/>
  <c r="E79" i="70"/>
  <c r="H79" i="70" s="1"/>
  <c r="I79" i="70" s="1"/>
  <c r="E83" i="70"/>
  <c r="A110" i="70"/>
  <c r="H83" i="70" l="1"/>
  <c r="I83" i="70" s="1"/>
  <c r="J83" i="70"/>
  <c r="M83" i="70" s="1"/>
  <c r="N83" i="70" s="1"/>
  <c r="K83" i="70"/>
  <c r="K76" i="70"/>
  <c r="J76" i="70"/>
  <c r="J82" i="70"/>
  <c r="K82" i="70"/>
  <c r="K84" i="70"/>
  <c r="J84" i="70"/>
  <c r="M84" i="70" s="1"/>
  <c r="N84" i="70" s="1"/>
  <c r="K80" i="70"/>
  <c r="J80" i="70"/>
  <c r="M80" i="70" s="1"/>
  <c r="N80" i="70" s="1"/>
  <c r="J71" i="70"/>
  <c r="K71" i="70"/>
  <c r="I68" i="70"/>
  <c r="F129" i="70"/>
  <c r="F75" i="119"/>
  <c r="F129" i="119" s="1"/>
  <c r="H26" i="119"/>
  <c r="I26" i="119" s="1"/>
  <c r="D134" i="119"/>
  <c r="F126" i="70"/>
  <c r="F72" i="119"/>
  <c r="F126" i="119" s="1"/>
  <c r="F70" i="119"/>
  <c r="F124" i="119" s="1"/>
  <c r="F124" i="70"/>
  <c r="E123" i="70"/>
  <c r="E69" i="119"/>
  <c r="E123" i="119" s="1"/>
  <c r="E135" i="70"/>
  <c r="E81" i="119"/>
  <c r="E135" i="119" s="1"/>
  <c r="H28" i="119"/>
  <c r="I28" i="119" s="1"/>
  <c r="D136" i="119"/>
  <c r="D133" i="119"/>
  <c r="H25" i="119"/>
  <c r="I25" i="119" s="1"/>
  <c r="D131" i="119"/>
  <c r="H23" i="119"/>
  <c r="I23" i="119" s="1"/>
  <c r="M20" i="70"/>
  <c r="N20" i="70" s="1"/>
  <c r="M15" i="70"/>
  <c r="N15" i="70" s="1"/>
  <c r="H74" i="70"/>
  <c r="I74" i="70" s="1"/>
  <c r="I128" i="70" s="1"/>
  <c r="F74" i="119"/>
  <c r="F128" i="119" s="1"/>
  <c r="F128" i="70"/>
  <c r="M28" i="70"/>
  <c r="N28" i="70" s="1"/>
  <c r="I136" i="70"/>
  <c r="E72" i="119"/>
  <c r="E126" i="119" s="1"/>
  <c r="E126" i="70"/>
  <c r="E138" i="70"/>
  <c r="E84" i="119"/>
  <c r="E138" i="119" s="1"/>
  <c r="E122" i="70"/>
  <c r="E85" i="70"/>
  <c r="E68" i="119"/>
  <c r="J70" i="70"/>
  <c r="K70" i="70"/>
  <c r="F122" i="70"/>
  <c r="F68" i="119"/>
  <c r="F85" i="70"/>
  <c r="H133" i="70"/>
  <c r="H20" i="119"/>
  <c r="I20" i="119" s="1"/>
  <c r="D128" i="119"/>
  <c r="H17" i="119"/>
  <c r="I17" i="119" s="1"/>
  <c r="D125" i="119"/>
  <c r="D139" i="70"/>
  <c r="J79" i="70"/>
  <c r="K79" i="70"/>
  <c r="H81" i="70"/>
  <c r="I81" i="70" s="1"/>
  <c r="I135" i="70" s="1"/>
  <c r="H69" i="70"/>
  <c r="I69" i="70" s="1"/>
  <c r="E131" i="70"/>
  <c r="E77" i="119"/>
  <c r="E131" i="119" s="1"/>
  <c r="F84" i="119"/>
  <c r="F138" i="119" s="1"/>
  <c r="F138" i="70"/>
  <c r="D85" i="119"/>
  <c r="H30" i="119"/>
  <c r="I30" i="119" s="1"/>
  <c r="D138" i="119"/>
  <c r="H138" i="119" s="1"/>
  <c r="M25" i="70"/>
  <c r="N25" i="70" s="1"/>
  <c r="I133" i="70"/>
  <c r="D130" i="119"/>
  <c r="H22" i="119"/>
  <c r="I22" i="119" s="1"/>
  <c r="I125" i="70"/>
  <c r="M17" i="70"/>
  <c r="N17" i="70" s="1"/>
  <c r="H31" i="70"/>
  <c r="I14" i="70"/>
  <c r="E128" i="70"/>
  <c r="H128" i="70" s="1"/>
  <c r="E74" i="119"/>
  <c r="E128" i="119" s="1"/>
  <c r="F79" i="119"/>
  <c r="F133" i="119" s="1"/>
  <c r="F133" i="70"/>
  <c r="I132" i="70"/>
  <c r="K78" i="70"/>
  <c r="J78" i="70"/>
  <c r="M78" i="70"/>
  <c r="N78" i="70" s="1"/>
  <c r="N132" i="70" s="1"/>
  <c r="F81" i="119"/>
  <c r="F135" i="119" s="1"/>
  <c r="F135" i="70"/>
  <c r="H135" i="70" s="1"/>
  <c r="F123" i="70"/>
  <c r="F69" i="119"/>
  <c r="F123" i="119" s="1"/>
  <c r="M30" i="70"/>
  <c r="N30" i="70" s="1"/>
  <c r="I138" i="70"/>
  <c r="D135" i="119"/>
  <c r="H27" i="119"/>
  <c r="I27" i="119" s="1"/>
  <c r="H24" i="119"/>
  <c r="I24" i="119" s="1"/>
  <c r="D132" i="119"/>
  <c r="M22" i="70"/>
  <c r="N22" i="70" s="1"/>
  <c r="I130" i="70"/>
  <c r="H19" i="119"/>
  <c r="I19" i="119" s="1"/>
  <c r="D127" i="119"/>
  <c r="D124" i="119"/>
  <c r="H124" i="119" s="1"/>
  <c r="H16" i="119"/>
  <c r="I16" i="119" s="1"/>
  <c r="D23" i="69"/>
  <c r="E16" i="54"/>
  <c r="E70" i="119"/>
  <c r="E124" i="119" s="1"/>
  <c r="E124" i="70"/>
  <c r="E137" i="70"/>
  <c r="E83" i="119"/>
  <c r="E137" i="119" s="1"/>
  <c r="F134" i="70"/>
  <c r="H134" i="70" s="1"/>
  <c r="F80" i="119"/>
  <c r="F134" i="119" s="1"/>
  <c r="E80" i="119"/>
  <c r="E134" i="119" s="1"/>
  <c r="E134" i="70"/>
  <c r="I127" i="70"/>
  <c r="J73" i="70"/>
  <c r="M73" i="70" s="1"/>
  <c r="N73" i="70" s="1"/>
  <c r="K73" i="70"/>
  <c r="E130" i="70"/>
  <c r="H130" i="70" s="1"/>
  <c r="E76" i="119"/>
  <c r="E130" i="119" s="1"/>
  <c r="M29" i="70"/>
  <c r="N29" i="70" s="1"/>
  <c r="I137" i="70"/>
  <c r="M27" i="70"/>
  <c r="N27" i="70" s="1"/>
  <c r="R24" i="70"/>
  <c r="S24" i="70" s="1"/>
  <c r="R19" i="70"/>
  <c r="S19" i="70" s="1"/>
  <c r="H14" i="119"/>
  <c r="D122" i="119"/>
  <c r="D31" i="119"/>
  <c r="E79" i="119"/>
  <c r="E133" i="119" s="1"/>
  <c r="E133" i="70"/>
  <c r="F71" i="119"/>
  <c r="F125" i="119" s="1"/>
  <c r="F125" i="70"/>
  <c r="F132" i="70"/>
  <c r="F78" i="119"/>
  <c r="F132" i="119" s="1"/>
  <c r="H77" i="70"/>
  <c r="I77" i="70" s="1"/>
  <c r="E73" i="119"/>
  <c r="E127" i="119" s="1"/>
  <c r="E127" i="70"/>
  <c r="F76" i="119"/>
  <c r="F130" i="119" s="1"/>
  <c r="F130" i="70"/>
  <c r="F83" i="119"/>
  <c r="F137" i="119" s="1"/>
  <c r="F137" i="70"/>
  <c r="H137" i="70" s="1"/>
  <c r="M26" i="70"/>
  <c r="N26" i="70" s="1"/>
  <c r="I134" i="70"/>
  <c r="M21" i="70"/>
  <c r="N21" i="70" s="1"/>
  <c r="R18" i="70"/>
  <c r="S18" i="70" s="1"/>
  <c r="M16" i="70"/>
  <c r="N16" i="70" s="1"/>
  <c r="I124" i="70"/>
  <c r="F19" i="55"/>
  <c r="E129" i="70"/>
  <c r="E75" i="119"/>
  <c r="E129" i="119" s="1"/>
  <c r="H123" i="70"/>
  <c r="H72" i="70"/>
  <c r="I72" i="70" s="1"/>
  <c r="E125" i="70"/>
  <c r="H125" i="70" s="1"/>
  <c r="E71" i="119"/>
  <c r="E125" i="119" s="1"/>
  <c r="E78" i="119"/>
  <c r="E132" i="119" s="1"/>
  <c r="E132" i="70"/>
  <c r="F77" i="119"/>
  <c r="F131" i="119" s="1"/>
  <c r="F131" i="70"/>
  <c r="F73" i="119"/>
  <c r="F127" i="119" s="1"/>
  <c r="F127" i="70"/>
  <c r="H75" i="70"/>
  <c r="I75" i="70" s="1"/>
  <c r="D137" i="119"/>
  <c r="H29" i="119"/>
  <c r="I29" i="119" s="1"/>
  <c r="M23" i="70"/>
  <c r="N23" i="70" s="1"/>
  <c r="H21" i="119"/>
  <c r="I21" i="119" s="1"/>
  <c r="D129" i="119"/>
  <c r="H18" i="119"/>
  <c r="I18" i="119" s="1"/>
  <c r="D126" i="119"/>
  <c r="D123" i="119"/>
  <c r="H123" i="119" s="1"/>
  <c r="H15" i="119"/>
  <c r="I15" i="119" s="1"/>
  <c r="E136" i="70"/>
  <c r="E82" i="119"/>
  <c r="E136" i="119" s="1"/>
  <c r="F136" i="70"/>
  <c r="F82" i="119"/>
  <c r="F136" i="119" s="1"/>
  <c r="E13" i="55"/>
  <c r="H129" i="70" l="1"/>
  <c r="H71" i="119"/>
  <c r="I71" i="119" s="1"/>
  <c r="H132" i="70"/>
  <c r="H137" i="119"/>
  <c r="H136" i="70"/>
  <c r="H124" i="70"/>
  <c r="H130" i="119"/>
  <c r="H76" i="119"/>
  <c r="I76" i="119" s="1"/>
  <c r="I130" i="119" s="1"/>
  <c r="H127" i="70"/>
  <c r="H132" i="119"/>
  <c r="H131" i="70"/>
  <c r="H129" i="119"/>
  <c r="P73" i="70"/>
  <c r="O73" i="70"/>
  <c r="R73" i="70"/>
  <c r="S73" i="70" s="1"/>
  <c r="N127" i="70"/>
  <c r="P80" i="70"/>
  <c r="O80" i="70"/>
  <c r="R80" i="70" s="1"/>
  <c r="S80" i="70" s="1"/>
  <c r="P84" i="70"/>
  <c r="O84" i="70"/>
  <c r="R84" i="70"/>
  <c r="S84" i="70" s="1"/>
  <c r="M15" i="119"/>
  <c r="N15" i="119" s="1"/>
  <c r="R21" i="70"/>
  <c r="S21" i="70" s="1"/>
  <c r="J133" i="70"/>
  <c r="J79" i="119"/>
  <c r="J133" i="119" s="1"/>
  <c r="K70" i="119"/>
  <c r="K124" i="119" s="1"/>
  <c r="K124" i="70"/>
  <c r="M28" i="119"/>
  <c r="N28" i="119" s="1"/>
  <c r="J125" i="70"/>
  <c r="J71" i="119"/>
  <c r="J125" i="119" s="1"/>
  <c r="K82" i="119"/>
  <c r="K136" i="119" s="1"/>
  <c r="K136" i="70"/>
  <c r="M29" i="119"/>
  <c r="N29" i="119" s="1"/>
  <c r="J77" i="70"/>
  <c r="K77" i="70"/>
  <c r="H72" i="119"/>
  <c r="I72" i="119" s="1"/>
  <c r="I126" i="119" s="1"/>
  <c r="S24" i="119"/>
  <c r="W24" i="70"/>
  <c r="D50" i="70" s="1"/>
  <c r="H79" i="119"/>
  <c r="I79" i="119" s="1"/>
  <c r="F27" i="61"/>
  <c r="D24" i="69"/>
  <c r="M24" i="119"/>
  <c r="N24" i="119" s="1"/>
  <c r="J124" i="70"/>
  <c r="J70" i="119"/>
  <c r="J124" i="119" s="1"/>
  <c r="H75" i="119"/>
  <c r="I75" i="119" s="1"/>
  <c r="I129" i="119" s="1"/>
  <c r="H85" i="70"/>
  <c r="J82" i="119"/>
  <c r="J136" i="119" s="1"/>
  <c r="J136" i="70"/>
  <c r="M136" i="70" s="1"/>
  <c r="H126" i="119"/>
  <c r="R26" i="70"/>
  <c r="S26" i="70" s="1"/>
  <c r="N134" i="70"/>
  <c r="M16" i="119"/>
  <c r="N16" i="119" s="1"/>
  <c r="M27" i="119"/>
  <c r="N27" i="119" s="1"/>
  <c r="I135" i="119"/>
  <c r="M14" i="70"/>
  <c r="I31" i="70"/>
  <c r="E23" i="69" s="1"/>
  <c r="I122" i="70"/>
  <c r="R25" i="70"/>
  <c r="S25" i="70" s="1"/>
  <c r="H74" i="119"/>
  <c r="I74" i="119" s="1"/>
  <c r="E122" i="119"/>
  <c r="E139" i="119" s="1"/>
  <c r="E85" i="119"/>
  <c r="F86" i="119" s="1"/>
  <c r="R28" i="70"/>
  <c r="S28" i="70" s="1"/>
  <c r="R20" i="70"/>
  <c r="S20" i="70" s="1"/>
  <c r="K68" i="70"/>
  <c r="M68" i="70" s="1"/>
  <c r="J68" i="70"/>
  <c r="I85" i="70"/>
  <c r="J134" i="70"/>
  <c r="M134" i="70" s="1"/>
  <c r="J80" i="119"/>
  <c r="J134" i="119" s="1"/>
  <c r="J76" i="119"/>
  <c r="J130" i="119" s="1"/>
  <c r="J130" i="70"/>
  <c r="F16" i="54"/>
  <c r="E18" i="54"/>
  <c r="O78" i="70"/>
  <c r="R78" i="70" s="1"/>
  <c r="S78" i="70" s="1"/>
  <c r="P78" i="70"/>
  <c r="E41" i="55"/>
  <c r="E42" i="55" s="1"/>
  <c r="E20" i="55"/>
  <c r="F13" i="55"/>
  <c r="E14" i="55"/>
  <c r="M18" i="119"/>
  <c r="N18" i="119" s="1"/>
  <c r="K75" i="70"/>
  <c r="J75" i="70"/>
  <c r="M124" i="70"/>
  <c r="D139" i="119"/>
  <c r="R27" i="70"/>
  <c r="S27" i="70" s="1"/>
  <c r="J127" i="70"/>
  <c r="J73" i="119"/>
  <c r="J127" i="119" s="1"/>
  <c r="H135" i="119"/>
  <c r="J78" i="119"/>
  <c r="J132" i="119" s="1"/>
  <c r="J132" i="70"/>
  <c r="F122" i="119"/>
  <c r="F139" i="119" s="1"/>
  <c r="F85" i="119"/>
  <c r="G15" i="58"/>
  <c r="F86" i="70"/>
  <c r="M23" i="119"/>
  <c r="N23" i="119" s="1"/>
  <c r="H82" i="119"/>
  <c r="I82" i="119" s="1"/>
  <c r="H73" i="119"/>
  <c r="I73" i="119" s="1"/>
  <c r="K134" i="70"/>
  <c r="K80" i="119"/>
  <c r="K134" i="119" s="1"/>
  <c r="M76" i="70"/>
  <c r="N76" i="70" s="1"/>
  <c r="R16" i="70"/>
  <c r="S16" i="70" s="1"/>
  <c r="I14" i="119"/>
  <c r="H31" i="119"/>
  <c r="H127" i="119"/>
  <c r="K132" i="70"/>
  <c r="K78" i="119"/>
  <c r="K132" i="119" s="1"/>
  <c r="R17" i="70"/>
  <c r="S17" i="70" s="1"/>
  <c r="K69" i="70"/>
  <c r="J69" i="70"/>
  <c r="H125" i="119"/>
  <c r="F139" i="70"/>
  <c r="H122" i="70"/>
  <c r="E139" i="70"/>
  <c r="H131" i="119"/>
  <c r="H77" i="119"/>
  <c r="I77" i="119" s="1"/>
  <c r="K76" i="119"/>
  <c r="K130" i="119" s="1"/>
  <c r="K130" i="70"/>
  <c r="M130" i="70" s="1"/>
  <c r="K127" i="70"/>
  <c r="K73" i="119"/>
  <c r="K127" i="119" s="1"/>
  <c r="M21" i="119"/>
  <c r="N21" i="119" s="1"/>
  <c r="I126" i="70"/>
  <c r="J72" i="70"/>
  <c r="K72" i="70"/>
  <c r="R29" i="70"/>
  <c r="S29" i="70" s="1"/>
  <c r="N137" i="70"/>
  <c r="H81" i="119"/>
  <c r="I81" i="119" s="1"/>
  <c r="I127" i="119"/>
  <c r="M19" i="119"/>
  <c r="N19" i="119" s="1"/>
  <c r="R30" i="70"/>
  <c r="S30" i="70" s="1"/>
  <c r="N138" i="70"/>
  <c r="M132" i="70"/>
  <c r="M30" i="119"/>
  <c r="N30" i="119" s="1"/>
  <c r="J81" i="70"/>
  <c r="K81" i="70"/>
  <c r="M17" i="119"/>
  <c r="N17" i="119" s="1"/>
  <c r="I125" i="119"/>
  <c r="H84" i="119"/>
  <c r="I84" i="119" s="1"/>
  <c r="I138" i="119" s="1"/>
  <c r="K74" i="70"/>
  <c r="J74" i="70"/>
  <c r="M74" i="70"/>
  <c r="N74" i="70" s="1"/>
  <c r="I133" i="119"/>
  <c r="M25" i="119"/>
  <c r="N25" i="119" s="1"/>
  <c r="H134" i="119"/>
  <c r="H70" i="119"/>
  <c r="I70" i="119" s="1"/>
  <c r="J84" i="119"/>
  <c r="J138" i="119" s="1"/>
  <c r="J138" i="70"/>
  <c r="P83" i="70"/>
  <c r="O83" i="70"/>
  <c r="R83" i="70"/>
  <c r="S83" i="70" s="1"/>
  <c r="I131" i="70"/>
  <c r="S18" i="119"/>
  <c r="W18" i="70"/>
  <c r="D44" i="70" s="1"/>
  <c r="H80" i="119"/>
  <c r="I80" i="119" s="1"/>
  <c r="W19" i="70"/>
  <c r="D45" i="70" s="1"/>
  <c r="S19" i="119"/>
  <c r="S127" i="70"/>
  <c r="H83" i="119"/>
  <c r="I83" i="119" s="1"/>
  <c r="M83" i="119" s="1"/>
  <c r="N83" i="119" s="1"/>
  <c r="H78" i="119"/>
  <c r="I78" i="119" s="1"/>
  <c r="I132" i="119" s="1"/>
  <c r="H68" i="119"/>
  <c r="M79" i="70"/>
  <c r="N79" i="70" s="1"/>
  <c r="N133" i="70" s="1"/>
  <c r="H128" i="119"/>
  <c r="H69" i="119"/>
  <c r="I69" i="119" s="1"/>
  <c r="I123" i="119" s="1"/>
  <c r="H138" i="70"/>
  <c r="I123" i="70"/>
  <c r="H133" i="119"/>
  <c r="M26" i="119"/>
  <c r="N26" i="119" s="1"/>
  <c r="I134" i="119"/>
  <c r="M71" i="70"/>
  <c r="N71" i="70" s="1"/>
  <c r="N125" i="70" s="1"/>
  <c r="K138" i="70"/>
  <c r="K84" i="119"/>
  <c r="K138" i="119" s="1"/>
  <c r="K83" i="119"/>
  <c r="K137" i="119" s="1"/>
  <c r="K137" i="70"/>
  <c r="R23" i="70"/>
  <c r="S23" i="70" s="1"/>
  <c r="I129" i="70"/>
  <c r="R22" i="70"/>
  <c r="S22" i="70" s="1"/>
  <c r="M22" i="119"/>
  <c r="N22" i="119" s="1"/>
  <c r="K133" i="70"/>
  <c r="K79" i="119"/>
  <c r="K133" i="119" s="1"/>
  <c r="M20" i="119"/>
  <c r="N20" i="119" s="1"/>
  <c r="I128" i="119"/>
  <c r="M70" i="70"/>
  <c r="N70" i="70" s="1"/>
  <c r="N124" i="70" s="1"/>
  <c r="H126" i="70"/>
  <c r="R15" i="70"/>
  <c r="S15" i="70" s="1"/>
  <c r="H136" i="119"/>
  <c r="K71" i="119"/>
  <c r="K125" i="119" s="1"/>
  <c r="K125" i="70"/>
  <c r="M125" i="70" s="1"/>
  <c r="M82" i="70"/>
  <c r="N82" i="70" s="1"/>
  <c r="J137" i="70"/>
  <c r="J83" i="119"/>
  <c r="J137" i="119" s="1"/>
  <c r="M70" i="119" l="1"/>
  <c r="N70" i="119" s="1"/>
  <c r="M125" i="119"/>
  <c r="M132" i="119"/>
  <c r="H139" i="70"/>
  <c r="M82" i="119"/>
  <c r="N82" i="119" s="1"/>
  <c r="M127" i="70"/>
  <c r="M127" i="119"/>
  <c r="M133" i="70"/>
  <c r="U78" i="70"/>
  <c r="T78" i="70"/>
  <c r="S132" i="70"/>
  <c r="H44" i="70"/>
  <c r="I44" i="70" s="1"/>
  <c r="M44" i="70" s="1"/>
  <c r="N44" i="70" s="1"/>
  <c r="R44" i="70" s="1"/>
  <c r="S44" i="70" s="1"/>
  <c r="W44" i="70" s="1"/>
  <c r="H27" i="61"/>
  <c r="E24" i="69"/>
  <c r="T80" i="70"/>
  <c r="U80" i="70"/>
  <c r="W80" i="70" s="1"/>
  <c r="D107" i="70" s="1"/>
  <c r="R20" i="119"/>
  <c r="R26" i="119"/>
  <c r="M78" i="119"/>
  <c r="N78" i="119" s="1"/>
  <c r="W18" i="119"/>
  <c r="D44" i="119" s="1"/>
  <c r="R17" i="119"/>
  <c r="M72" i="70"/>
  <c r="N72" i="70" s="1"/>
  <c r="J72" i="119"/>
  <c r="J126" i="119" s="1"/>
  <c r="J126" i="70"/>
  <c r="I131" i="119"/>
  <c r="M75" i="70"/>
  <c r="N75" i="70" s="1"/>
  <c r="J75" i="119"/>
  <c r="J129" i="119" s="1"/>
  <c r="J129" i="70"/>
  <c r="M129" i="70" s="1"/>
  <c r="W28" i="70"/>
  <c r="D54" i="70" s="1"/>
  <c r="S28" i="119"/>
  <c r="M31" i="70"/>
  <c r="N14" i="70"/>
  <c r="R24" i="119"/>
  <c r="N132" i="119"/>
  <c r="K131" i="70"/>
  <c r="K77" i="119"/>
  <c r="K131" i="119" s="1"/>
  <c r="O134" i="70"/>
  <c r="O80" i="119"/>
  <c r="O134" i="119" s="1"/>
  <c r="N68" i="70"/>
  <c r="M77" i="70"/>
  <c r="N77" i="70" s="1"/>
  <c r="J77" i="119"/>
  <c r="J131" i="119" s="1"/>
  <c r="J131" i="70"/>
  <c r="M71" i="119"/>
  <c r="N71" i="119" s="1"/>
  <c r="N125" i="119" s="1"/>
  <c r="W21" i="70"/>
  <c r="D47" i="70" s="1"/>
  <c r="S21" i="119"/>
  <c r="P134" i="70"/>
  <c r="P80" i="119"/>
  <c r="P134" i="119" s="1"/>
  <c r="H85" i="119"/>
  <c r="I68" i="119"/>
  <c r="M134" i="119"/>
  <c r="K129" i="70"/>
  <c r="K75" i="119"/>
  <c r="K129" i="119" s="1"/>
  <c r="M129" i="119" s="1"/>
  <c r="U83" i="70"/>
  <c r="T83" i="70"/>
  <c r="M133" i="119"/>
  <c r="J81" i="119"/>
  <c r="J135" i="119" s="1"/>
  <c r="M135" i="119" s="1"/>
  <c r="J135" i="70"/>
  <c r="R19" i="119"/>
  <c r="M76" i="119"/>
  <c r="N76" i="119" s="1"/>
  <c r="O132" i="70"/>
  <c r="O78" i="119"/>
  <c r="O132" i="119" s="1"/>
  <c r="R27" i="119"/>
  <c r="I136" i="119"/>
  <c r="M136" i="119" s="1"/>
  <c r="I31" i="119"/>
  <c r="M14" i="119"/>
  <c r="K81" i="119"/>
  <c r="K135" i="119" s="1"/>
  <c r="K135" i="70"/>
  <c r="R23" i="119"/>
  <c r="M130" i="119"/>
  <c r="O83" i="119"/>
  <c r="O137" i="119" s="1"/>
  <c r="O137" i="70"/>
  <c r="R137" i="70" s="1"/>
  <c r="O74" i="70"/>
  <c r="P74" i="70"/>
  <c r="M81" i="70"/>
  <c r="N81" i="70" s="1"/>
  <c r="R21" i="119"/>
  <c r="P76" i="70"/>
  <c r="O76" i="70"/>
  <c r="R76" i="70"/>
  <c r="S76" i="70" s="1"/>
  <c r="F15" i="58"/>
  <c r="H15" i="58" s="1"/>
  <c r="R18" i="119"/>
  <c r="F18" i="54"/>
  <c r="E19" i="54"/>
  <c r="J85" i="70"/>
  <c r="J122" i="70"/>
  <c r="J68" i="119"/>
  <c r="R16" i="119"/>
  <c r="N124" i="119"/>
  <c r="M79" i="119"/>
  <c r="N79" i="119" s="1"/>
  <c r="I137" i="119"/>
  <c r="M137" i="119" s="1"/>
  <c r="R28" i="119"/>
  <c r="N136" i="119"/>
  <c r="R15" i="119"/>
  <c r="U73" i="70"/>
  <c r="T73" i="70"/>
  <c r="R25" i="119"/>
  <c r="N133" i="119"/>
  <c r="W16" i="70"/>
  <c r="D42" i="70" s="1"/>
  <c r="S16" i="119"/>
  <c r="W16" i="119" s="1"/>
  <c r="D42" i="119" s="1"/>
  <c r="W15" i="70"/>
  <c r="D41" i="70" s="1"/>
  <c r="S15" i="119"/>
  <c r="R22" i="119"/>
  <c r="H45" i="70"/>
  <c r="I45" i="70" s="1"/>
  <c r="M45" i="70" s="1"/>
  <c r="N45" i="70" s="1"/>
  <c r="R45" i="70" s="1"/>
  <c r="S45" i="70" s="1"/>
  <c r="W45" i="70" s="1"/>
  <c r="P83" i="119"/>
  <c r="P137" i="119" s="1"/>
  <c r="P137" i="70"/>
  <c r="J128" i="70"/>
  <c r="J74" i="119"/>
  <c r="J128" i="119" s="1"/>
  <c r="M128" i="119" s="1"/>
  <c r="W27" i="70"/>
  <c r="D53" i="70" s="1"/>
  <c r="S27" i="119"/>
  <c r="F14" i="55"/>
  <c r="H10" i="55"/>
  <c r="K68" i="119"/>
  <c r="K122" i="70"/>
  <c r="K85" i="70"/>
  <c r="I124" i="119"/>
  <c r="M124" i="119" s="1"/>
  <c r="R29" i="119"/>
  <c r="N137" i="119"/>
  <c r="R137" i="119" s="1"/>
  <c r="T84" i="70"/>
  <c r="U84" i="70"/>
  <c r="O73" i="119"/>
  <c r="O127" i="119" s="1"/>
  <c r="O127" i="70"/>
  <c r="O82" i="70"/>
  <c r="P82" i="70"/>
  <c r="K126" i="70"/>
  <c r="K72" i="119"/>
  <c r="K126" i="119" s="1"/>
  <c r="N136" i="70"/>
  <c r="W23" i="70"/>
  <c r="D49" i="70" s="1"/>
  <c r="S23" i="119"/>
  <c r="S30" i="119"/>
  <c r="W30" i="70"/>
  <c r="D56" i="70" s="1"/>
  <c r="S138" i="70"/>
  <c r="P78" i="119"/>
  <c r="P132" i="119" s="1"/>
  <c r="P132" i="70"/>
  <c r="N130" i="70"/>
  <c r="M80" i="119"/>
  <c r="N80" i="119" s="1"/>
  <c r="M138" i="70"/>
  <c r="K74" i="119"/>
  <c r="K128" i="119" s="1"/>
  <c r="K128" i="70"/>
  <c r="R30" i="119"/>
  <c r="H122" i="119"/>
  <c r="H139" i="119" s="1"/>
  <c r="N128" i="70"/>
  <c r="W25" i="70"/>
  <c r="D51" i="70" s="1"/>
  <c r="S25" i="119"/>
  <c r="H50" i="70"/>
  <c r="I50" i="70" s="1"/>
  <c r="M50" i="70" s="1"/>
  <c r="N50" i="70" s="1"/>
  <c r="R50" i="70" s="1"/>
  <c r="S50" i="70" s="1"/>
  <c r="W50" i="70" s="1"/>
  <c r="O84" i="119"/>
  <c r="O138" i="119" s="1"/>
  <c r="O138" i="70"/>
  <c r="P73" i="119"/>
  <c r="P127" i="119" s="1"/>
  <c r="P127" i="70"/>
  <c r="K123" i="70"/>
  <c r="K69" i="119"/>
  <c r="K123" i="119" s="1"/>
  <c r="S17" i="119"/>
  <c r="W17" i="70"/>
  <c r="D43" i="70" s="1"/>
  <c r="W19" i="119"/>
  <c r="D45" i="119" s="1"/>
  <c r="M137" i="70"/>
  <c r="P70" i="70"/>
  <c r="O70" i="70"/>
  <c r="S22" i="119"/>
  <c r="W22" i="70"/>
  <c r="D48" i="70" s="1"/>
  <c r="P71" i="70"/>
  <c r="O71" i="70"/>
  <c r="P79" i="70"/>
  <c r="O79" i="70"/>
  <c r="M138" i="119"/>
  <c r="M84" i="119"/>
  <c r="N84" i="119" s="1"/>
  <c r="S29" i="119"/>
  <c r="W29" i="70"/>
  <c r="D55" i="70" s="1"/>
  <c r="S137" i="70"/>
  <c r="M69" i="70"/>
  <c r="N69" i="70" s="1"/>
  <c r="J69" i="119"/>
  <c r="J123" i="119" s="1"/>
  <c r="J123" i="70"/>
  <c r="M73" i="119"/>
  <c r="N73" i="119" s="1"/>
  <c r="F20" i="55"/>
  <c r="E21" i="55"/>
  <c r="W20" i="70"/>
  <c r="D46" i="70" s="1"/>
  <c r="S20" i="119"/>
  <c r="I139" i="70"/>
  <c r="S26" i="119"/>
  <c r="W26" i="70"/>
  <c r="D52" i="70" s="1"/>
  <c r="S134" i="70"/>
  <c r="W24" i="119"/>
  <c r="D50" i="119" s="1"/>
  <c r="P84" i="119"/>
  <c r="P138" i="119" s="1"/>
  <c r="P138" i="70"/>
  <c r="M123" i="70" l="1"/>
  <c r="R134" i="70"/>
  <c r="R127" i="70"/>
  <c r="K139" i="70"/>
  <c r="R84" i="119"/>
  <c r="S84" i="119" s="1"/>
  <c r="M126" i="119"/>
  <c r="M75" i="119"/>
  <c r="N75" i="119" s="1"/>
  <c r="N129" i="119" s="1"/>
  <c r="M126" i="70"/>
  <c r="M128" i="70"/>
  <c r="R80" i="119"/>
  <c r="S80" i="119" s="1"/>
  <c r="W84" i="70"/>
  <c r="D111" i="70" s="1"/>
  <c r="E111" i="70" s="1"/>
  <c r="M131" i="119"/>
  <c r="E107" i="70"/>
  <c r="F107" i="70"/>
  <c r="H107" i="70"/>
  <c r="I107" i="70" s="1"/>
  <c r="F111" i="70"/>
  <c r="W28" i="119"/>
  <c r="D54" i="119" s="1"/>
  <c r="W22" i="119"/>
  <c r="D48" i="119" s="1"/>
  <c r="H49" i="70"/>
  <c r="I49" i="70" s="1"/>
  <c r="M49" i="70" s="1"/>
  <c r="N49" i="70" s="1"/>
  <c r="R49" i="70" s="1"/>
  <c r="S49" i="70" s="1"/>
  <c r="W49" i="70" s="1"/>
  <c r="K122" i="119"/>
  <c r="K139" i="119" s="1"/>
  <c r="K85" i="119"/>
  <c r="E21" i="54"/>
  <c r="H15" i="54"/>
  <c r="F19" i="54"/>
  <c r="R74" i="70"/>
  <c r="S74" i="70" s="1"/>
  <c r="O128" i="70"/>
  <c r="O74" i="119"/>
  <c r="O128" i="119" s="1"/>
  <c r="M72" i="119"/>
  <c r="N72" i="119" s="1"/>
  <c r="R132" i="119"/>
  <c r="I122" i="119"/>
  <c r="I85" i="119"/>
  <c r="M68" i="119"/>
  <c r="M131" i="70"/>
  <c r="H54" i="70"/>
  <c r="I54" i="70" s="1"/>
  <c r="M54" i="70" s="1"/>
  <c r="N54" i="70" s="1"/>
  <c r="R54" i="70" s="1"/>
  <c r="S54" i="70" s="1"/>
  <c r="W54" i="70" s="1"/>
  <c r="P72" i="70"/>
  <c r="O72" i="70"/>
  <c r="N126" i="70"/>
  <c r="N14" i="119"/>
  <c r="M31" i="119"/>
  <c r="R132" i="70"/>
  <c r="W83" i="70"/>
  <c r="D110" i="70" s="1"/>
  <c r="T137" i="70"/>
  <c r="T83" i="119"/>
  <c r="T137" i="119" s="1"/>
  <c r="H48" i="70"/>
  <c r="I48" i="70" s="1"/>
  <c r="M48" i="70" s="1"/>
  <c r="N48" i="70" s="1"/>
  <c r="R48" i="70" s="1"/>
  <c r="S48" i="70" s="1"/>
  <c r="W48" i="70" s="1"/>
  <c r="P74" i="119"/>
  <c r="P128" i="119" s="1"/>
  <c r="P128" i="70"/>
  <c r="N138" i="119"/>
  <c r="R138" i="119" s="1"/>
  <c r="W15" i="119"/>
  <c r="D41" i="119" s="1"/>
  <c r="M123" i="119"/>
  <c r="T84" i="119"/>
  <c r="T138" i="119" s="1"/>
  <c r="T138" i="70"/>
  <c r="H41" i="70"/>
  <c r="I41" i="70" s="1"/>
  <c r="M41" i="70" s="1"/>
  <c r="N41" i="70" s="1"/>
  <c r="R41" i="70" s="1"/>
  <c r="S41" i="70" s="1"/>
  <c r="W41" i="70" s="1"/>
  <c r="W73" i="70"/>
  <c r="D100" i="70" s="1"/>
  <c r="U73" i="119"/>
  <c r="U127" i="119" s="1"/>
  <c r="U127" i="70"/>
  <c r="O130" i="70"/>
  <c r="O76" i="119"/>
  <c r="O130" i="119" s="1"/>
  <c r="U83" i="119"/>
  <c r="U137" i="119" s="1"/>
  <c r="U137" i="70"/>
  <c r="P77" i="70"/>
  <c r="O77" i="70"/>
  <c r="N131" i="70"/>
  <c r="W17" i="119"/>
  <c r="D43" i="119" s="1"/>
  <c r="M122" i="70"/>
  <c r="U84" i="119"/>
  <c r="U138" i="119" s="1"/>
  <c r="U138" i="70"/>
  <c r="O71" i="119"/>
  <c r="O125" i="119" s="1"/>
  <c r="O125" i="70"/>
  <c r="P76" i="119"/>
  <c r="P130" i="119" s="1"/>
  <c r="P130" i="70"/>
  <c r="M85" i="70"/>
  <c r="O75" i="70"/>
  <c r="R75" i="70" s="1"/>
  <c r="S75" i="70" s="1"/>
  <c r="P75" i="70"/>
  <c r="N129" i="70"/>
  <c r="U80" i="119"/>
  <c r="U134" i="119" s="1"/>
  <c r="U134" i="70"/>
  <c r="H52" i="70"/>
  <c r="I52" i="70" s="1"/>
  <c r="M52" i="70" s="1"/>
  <c r="N52" i="70" s="1"/>
  <c r="R52" i="70" s="1"/>
  <c r="S52" i="70" s="1"/>
  <c r="W52" i="70" s="1"/>
  <c r="D160" i="70"/>
  <c r="R73" i="119"/>
  <c r="S73" i="119" s="1"/>
  <c r="R70" i="70"/>
  <c r="S70" i="70" s="1"/>
  <c r="O124" i="70"/>
  <c r="O70" i="119"/>
  <c r="T127" i="70"/>
  <c r="T73" i="119"/>
  <c r="T127" i="119" s="1"/>
  <c r="P124" i="70"/>
  <c r="P70" i="119"/>
  <c r="P124" i="119" s="1"/>
  <c r="W20" i="119"/>
  <c r="D46" i="119" s="1"/>
  <c r="R71" i="70"/>
  <c r="S71" i="70" s="1"/>
  <c r="W25" i="119"/>
  <c r="D51" i="119" s="1"/>
  <c r="H56" i="70"/>
  <c r="I56" i="70" s="1"/>
  <c r="M56" i="70" s="1"/>
  <c r="N56" i="70" s="1"/>
  <c r="R56" i="70" s="1"/>
  <c r="S56" i="70" s="1"/>
  <c r="W56" i="70" s="1"/>
  <c r="D164" i="70"/>
  <c r="P82" i="119"/>
  <c r="P136" i="119" s="1"/>
  <c r="P136" i="70"/>
  <c r="W27" i="119"/>
  <c r="D53" i="119" s="1"/>
  <c r="M74" i="119"/>
  <c r="N74" i="119" s="1"/>
  <c r="N127" i="119"/>
  <c r="R127" i="119" s="1"/>
  <c r="N85" i="70"/>
  <c r="O68" i="70"/>
  <c r="P68" i="70"/>
  <c r="N31" i="70"/>
  <c r="R14" i="70"/>
  <c r="N122" i="70"/>
  <c r="H44" i="119"/>
  <c r="I44" i="119" s="1"/>
  <c r="M44" i="119" s="1"/>
  <c r="N44" i="119" s="1"/>
  <c r="R44" i="119" s="1"/>
  <c r="S44" i="119" s="1"/>
  <c r="W44" i="119" s="1"/>
  <c r="T80" i="119"/>
  <c r="T134" i="119" s="1"/>
  <c r="T134" i="70"/>
  <c r="W78" i="70"/>
  <c r="D105" i="70" s="1"/>
  <c r="T132" i="70"/>
  <c r="W132" i="70" s="1"/>
  <c r="T78" i="119"/>
  <c r="T132" i="119" s="1"/>
  <c r="W26" i="119"/>
  <c r="D52" i="119" s="1"/>
  <c r="S134" i="119"/>
  <c r="R79" i="70"/>
  <c r="S79" i="70" s="1"/>
  <c r="O133" i="70"/>
  <c r="O79" i="119"/>
  <c r="O133" i="119" s="1"/>
  <c r="R133" i="119" s="1"/>
  <c r="U76" i="70"/>
  <c r="T76" i="70"/>
  <c r="W76" i="70"/>
  <c r="D103" i="70" s="1"/>
  <c r="P133" i="70"/>
  <c r="P79" i="119"/>
  <c r="P133" i="119" s="1"/>
  <c r="O69" i="70"/>
  <c r="P69" i="70"/>
  <c r="N123" i="70"/>
  <c r="H50" i="119"/>
  <c r="I50" i="119" s="1"/>
  <c r="M50" i="119" s="1"/>
  <c r="N50" i="119" s="1"/>
  <c r="R50" i="119" s="1"/>
  <c r="S50" i="119" s="1"/>
  <c r="W50" i="119" s="1"/>
  <c r="H46" i="70"/>
  <c r="I46" i="70" s="1"/>
  <c r="M46" i="70" s="1"/>
  <c r="N46" i="70" s="1"/>
  <c r="R46" i="70" s="1"/>
  <c r="S46" i="70" s="1"/>
  <c r="W46" i="70" s="1"/>
  <c r="H55" i="70"/>
  <c r="I55" i="70" s="1"/>
  <c r="M55" i="70" s="1"/>
  <c r="N55" i="70" s="1"/>
  <c r="R55" i="70" s="1"/>
  <c r="S55" i="70" s="1"/>
  <c r="W55" i="70" s="1"/>
  <c r="D163" i="70"/>
  <c r="P125" i="70"/>
  <c r="P71" i="119"/>
  <c r="P125" i="119" s="1"/>
  <c r="H45" i="119"/>
  <c r="I45" i="119" s="1"/>
  <c r="M45" i="119" s="1"/>
  <c r="N45" i="119" s="1"/>
  <c r="R45" i="119" s="1"/>
  <c r="S45" i="119" s="1"/>
  <c r="W45" i="119" s="1"/>
  <c r="H51" i="70"/>
  <c r="I51" i="70" s="1"/>
  <c r="M51" i="70" s="1"/>
  <c r="N51" i="70" s="1"/>
  <c r="R51" i="70" s="1"/>
  <c r="S51" i="70" s="1"/>
  <c r="W51" i="70" s="1"/>
  <c r="W30" i="119"/>
  <c r="D56" i="119" s="1"/>
  <c r="S138" i="119"/>
  <c r="R82" i="70"/>
  <c r="S82" i="70" s="1"/>
  <c r="O82" i="119"/>
  <c r="O136" i="70"/>
  <c r="H53" i="70"/>
  <c r="I53" i="70" s="1"/>
  <c r="M53" i="70" s="1"/>
  <c r="N53" i="70" s="1"/>
  <c r="R53" i="70" s="1"/>
  <c r="S53" i="70" s="1"/>
  <c r="W53" i="70" s="1"/>
  <c r="M69" i="119"/>
  <c r="N69" i="119" s="1"/>
  <c r="H42" i="119"/>
  <c r="I42" i="119" s="1"/>
  <c r="M42" i="119" s="1"/>
  <c r="N42" i="119" s="1"/>
  <c r="R42" i="119" s="1"/>
  <c r="S42" i="119" s="1"/>
  <c r="W42" i="119" s="1"/>
  <c r="J122" i="119"/>
  <c r="J139" i="119" s="1"/>
  <c r="J85" i="119"/>
  <c r="K15" i="58" s="1"/>
  <c r="W21" i="119"/>
  <c r="D47" i="119" s="1"/>
  <c r="M77" i="119"/>
  <c r="N77" i="119" s="1"/>
  <c r="R78" i="119"/>
  <c r="S78" i="119" s="1"/>
  <c r="U132" i="70"/>
  <c r="U78" i="119"/>
  <c r="U132" i="119" s="1"/>
  <c r="W23" i="119"/>
  <c r="D49" i="119" s="1"/>
  <c r="H19" i="55"/>
  <c r="H13" i="55"/>
  <c r="F40" i="55"/>
  <c r="W134" i="70"/>
  <c r="F21" i="55"/>
  <c r="G24" i="58"/>
  <c r="W29" i="119"/>
  <c r="D55" i="119" s="1"/>
  <c r="S130" i="70"/>
  <c r="H43" i="70"/>
  <c r="I43" i="70" s="1"/>
  <c r="M43" i="70" s="1"/>
  <c r="N43" i="70" s="1"/>
  <c r="R43" i="70" s="1"/>
  <c r="S43" i="70" s="1"/>
  <c r="W43" i="70" s="1"/>
  <c r="R138" i="70"/>
  <c r="R128" i="70"/>
  <c r="W80" i="119"/>
  <c r="D107" i="119" s="1"/>
  <c r="M81" i="119"/>
  <c r="N81" i="119" s="1"/>
  <c r="N130" i="119"/>
  <c r="H42" i="70"/>
  <c r="I42" i="70" s="1"/>
  <c r="M42" i="70" s="1"/>
  <c r="N42" i="70" s="1"/>
  <c r="R42" i="70" s="1"/>
  <c r="S42" i="70" s="1"/>
  <c r="W42" i="70" s="1"/>
  <c r="J139" i="70"/>
  <c r="O81" i="70"/>
  <c r="P81" i="70"/>
  <c r="R81" i="70"/>
  <c r="S81" i="70" s="1"/>
  <c r="N135" i="70"/>
  <c r="M135" i="70"/>
  <c r="R83" i="119"/>
  <c r="S83" i="119" s="1"/>
  <c r="W83" i="119" s="1"/>
  <c r="D110" i="119" s="1"/>
  <c r="H47" i="70"/>
  <c r="I47" i="70" s="1"/>
  <c r="M47" i="70" s="1"/>
  <c r="N47" i="70" s="1"/>
  <c r="R47" i="70" s="1"/>
  <c r="S47" i="70" s="1"/>
  <c r="W47" i="70" s="1"/>
  <c r="N134" i="119"/>
  <c r="R134" i="119" s="1"/>
  <c r="W127" i="70" l="1"/>
  <c r="R125" i="119"/>
  <c r="R133" i="70"/>
  <c r="R124" i="70"/>
  <c r="R76" i="119"/>
  <c r="S76" i="119" s="1"/>
  <c r="W76" i="119" s="1"/>
  <c r="D103" i="119" s="1"/>
  <c r="W137" i="70"/>
  <c r="R130" i="119"/>
  <c r="R136" i="70"/>
  <c r="R130" i="70"/>
  <c r="T75" i="70"/>
  <c r="U75" i="70"/>
  <c r="W75" i="70"/>
  <c r="D102" i="70" s="1"/>
  <c r="S129" i="70"/>
  <c r="N139" i="70"/>
  <c r="R72" i="70"/>
  <c r="S72" i="70" s="1"/>
  <c r="O126" i="70"/>
  <c r="R126" i="70" s="1"/>
  <c r="O72" i="119"/>
  <c r="O126" i="119" s="1"/>
  <c r="S137" i="119"/>
  <c r="W137" i="119" s="1"/>
  <c r="I19" i="55"/>
  <c r="T130" i="70"/>
  <c r="T76" i="119"/>
  <c r="T130" i="119" s="1"/>
  <c r="R31" i="70"/>
  <c r="S14" i="70"/>
  <c r="T71" i="70"/>
  <c r="U71" i="70"/>
  <c r="S125" i="70"/>
  <c r="F100" i="70"/>
  <c r="E100" i="70"/>
  <c r="H100" i="70"/>
  <c r="I100" i="70" s="1"/>
  <c r="D153" i="70"/>
  <c r="F110" i="70"/>
  <c r="E110" i="70"/>
  <c r="P72" i="119"/>
  <c r="P126" i="119" s="1"/>
  <c r="P126" i="70"/>
  <c r="R72" i="119"/>
  <c r="S72" i="119" s="1"/>
  <c r="N126" i="119"/>
  <c r="R126" i="119" s="1"/>
  <c r="R79" i="119"/>
  <c r="S79" i="119" s="1"/>
  <c r="H54" i="119"/>
  <c r="I54" i="119" s="1"/>
  <c r="M54" i="119" s="1"/>
  <c r="N54" i="119" s="1"/>
  <c r="R54" i="119" s="1"/>
  <c r="S54" i="119" s="1"/>
  <c r="W54" i="119" s="1"/>
  <c r="R71" i="119"/>
  <c r="S71" i="119" s="1"/>
  <c r="F23" i="69"/>
  <c r="G23" i="69"/>
  <c r="G24" i="69" s="1"/>
  <c r="H53" i="119"/>
  <c r="I53" i="119" s="1"/>
  <c r="M53" i="119" s="1"/>
  <c r="N53" i="119" s="1"/>
  <c r="R53" i="119" s="1"/>
  <c r="S53" i="119" s="1"/>
  <c r="W53" i="119" s="1"/>
  <c r="U70" i="70"/>
  <c r="T70" i="70"/>
  <c r="S124" i="70"/>
  <c r="P129" i="70"/>
  <c r="P75" i="119"/>
  <c r="P129" i="119" s="1"/>
  <c r="R128" i="119"/>
  <c r="E111" i="119"/>
  <c r="E164" i="119" s="1"/>
  <c r="E164" i="70"/>
  <c r="F103" i="70"/>
  <c r="E103" i="70"/>
  <c r="O124" i="119"/>
  <c r="R124" i="119" s="1"/>
  <c r="R70" i="119"/>
  <c r="S70" i="119" s="1"/>
  <c r="H41" i="119"/>
  <c r="I41" i="119" s="1"/>
  <c r="M41" i="119" s="1"/>
  <c r="N41" i="119" s="1"/>
  <c r="R41" i="119" s="1"/>
  <c r="S41" i="119" s="1"/>
  <c r="W41" i="119" s="1"/>
  <c r="T81" i="70"/>
  <c r="U81" i="70"/>
  <c r="S135" i="70"/>
  <c r="J15" i="58"/>
  <c r="O136" i="119"/>
  <c r="R136" i="119" s="1"/>
  <c r="R82" i="119"/>
  <c r="S82" i="119" s="1"/>
  <c r="E105" i="70"/>
  <c r="F105" i="70"/>
  <c r="H105" i="70"/>
  <c r="I105" i="70" s="1"/>
  <c r="D158" i="70"/>
  <c r="P85" i="70"/>
  <c r="P68" i="119"/>
  <c r="P122" i="70"/>
  <c r="H46" i="119"/>
  <c r="I46" i="119" s="1"/>
  <c r="M46" i="119" s="1"/>
  <c r="N46" i="119" s="1"/>
  <c r="R46" i="119" s="1"/>
  <c r="S46" i="119" s="1"/>
  <c r="W46" i="119" s="1"/>
  <c r="W73" i="119"/>
  <c r="D100" i="119" s="1"/>
  <c r="S127" i="119"/>
  <c r="W127" i="119" s="1"/>
  <c r="O75" i="119"/>
  <c r="O129" i="70"/>
  <c r="M139" i="70"/>
  <c r="H111" i="70"/>
  <c r="I111" i="70" s="1"/>
  <c r="F111" i="119"/>
  <c r="F164" i="119" s="1"/>
  <c r="F164" i="70"/>
  <c r="P77" i="119"/>
  <c r="P131" i="119" s="1"/>
  <c r="P131" i="70"/>
  <c r="F24" i="58"/>
  <c r="H24" i="58" s="1"/>
  <c r="P135" i="70"/>
  <c r="P81" i="119"/>
  <c r="P135" i="119" s="1"/>
  <c r="H49" i="119"/>
  <c r="I49" i="119" s="1"/>
  <c r="M49" i="119" s="1"/>
  <c r="N49" i="119" s="1"/>
  <c r="R49" i="119" s="1"/>
  <c r="S49" i="119" s="1"/>
  <c r="W49" i="119" s="1"/>
  <c r="T82" i="70"/>
  <c r="U82" i="70"/>
  <c r="S136" i="70"/>
  <c r="P123" i="70"/>
  <c r="P69" i="119"/>
  <c r="P123" i="119" s="1"/>
  <c r="R68" i="70"/>
  <c r="O85" i="70"/>
  <c r="O15" i="58" s="1"/>
  <c r="O122" i="70"/>
  <c r="O68" i="119"/>
  <c r="W138" i="70"/>
  <c r="N31" i="119"/>
  <c r="R14" i="119"/>
  <c r="R31" i="119" s="1"/>
  <c r="T74" i="70"/>
  <c r="U74" i="70"/>
  <c r="W74" i="70"/>
  <c r="D101" i="70" s="1"/>
  <c r="S128" i="70"/>
  <c r="R74" i="119"/>
  <c r="S74" i="119" s="1"/>
  <c r="N128" i="119"/>
  <c r="R135" i="70"/>
  <c r="H47" i="119"/>
  <c r="I47" i="119" s="1"/>
  <c r="M47" i="119" s="1"/>
  <c r="N47" i="119" s="1"/>
  <c r="R47" i="119" s="1"/>
  <c r="S47" i="119" s="1"/>
  <c r="W47" i="119" s="1"/>
  <c r="U76" i="119"/>
  <c r="U130" i="119" s="1"/>
  <c r="U130" i="70"/>
  <c r="O81" i="119"/>
  <c r="O135" i="119" s="1"/>
  <c r="O135" i="70"/>
  <c r="W138" i="119"/>
  <c r="R69" i="70"/>
  <c r="S69" i="70" s="1"/>
  <c r="O69" i="119"/>
  <c r="O123" i="119" s="1"/>
  <c r="O123" i="70"/>
  <c r="R123" i="70" s="1"/>
  <c r="H43" i="119"/>
  <c r="I43" i="119" s="1"/>
  <c r="M43" i="119" s="1"/>
  <c r="N43" i="119" s="1"/>
  <c r="R43" i="119" s="1"/>
  <c r="S43" i="119" s="1"/>
  <c r="W43" i="119" s="1"/>
  <c r="D156" i="70"/>
  <c r="N68" i="119"/>
  <c r="M85" i="119"/>
  <c r="K107" i="70"/>
  <c r="K107" i="119" s="1"/>
  <c r="J107" i="70"/>
  <c r="J107" i="119" s="1"/>
  <c r="F41" i="55"/>
  <c r="F42" i="55" s="1"/>
  <c r="H20" i="55"/>
  <c r="I20" i="55" s="1"/>
  <c r="I13" i="55"/>
  <c r="H52" i="119"/>
  <c r="I52" i="119" s="1"/>
  <c r="M52" i="119" s="1"/>
  <c r="N52" i="119" s="1"/>
  <c r="R52" i="119" s="1"/>
  <c r="S52" i="119" s="1"/>
  <c r="W52" i="119" s="1"/>
  <c r="D160" i="119"/>
  <c r="H55" i="119"/>
  <c r="I55" i="119" s="1"/>
  <c r="M55" i="119" s="1"/>
  <c r="N55" i="119" s="1"/>
  <c r="R55" i="119" s="1"/>
  <c r="S55" i="119" s="1"/>
  <c r="W55" i="119" s="1"/>
  <c r="D163" i="119"/>
  <c r="H14" i="55"/>
  <c r="H56" i="119"/>
  <c r="I56" i="119" s="1"/>
  <c r="M56" i="119" s="1"/>
  <c r="N56" i="119" s="1"/>
  <c r="R56" i="119" s="1"/>
  <c r="S56" i="119" s="1"/>
  <c r="W56" i="119" s="1"/>
  <c r="D164" i="119"/>
  <c r="H164" i="119" s="1"/>
  <c r="I164" i="119" s="1"/>
  <c r="M164" i="119" s="1"/>
  <c r="N164" i="119" s="1"/>
  <c r="R164" i="119" s="1"/>
  <c r="S164" i="119" s="1"/>
  <c r="W164" i="119" s="1"/>
  <c r="T79" i="70"/>
  <c r="U79" i="70"/>
  <c r="S133" i="70"/>
  <c r="W84" i="119"/>
  <c r="D111" i="119" s="1"/>
  <c r="S130" i="119"/>
  <c r="F107" i="119"/>
  <c r="F160" i="119" s="1"/>
  <c r="F160" i="70"/>
  <c r="R77" i="119"/>
  <c r="S77" i="119" s="1"/>
  <c r="N131" i="119"/>
  <c r="H51" i="119"/>
  <c r="I51" i="119" s="1"/>
  <c r="M51" i="119" s="1"/>
  <c r="N51" i="119" s="1"/>
  <c r="R51" i="119" s="1"/>
  <c r="S51" i="119" s="1"/>
  <c r="W51" i="119" s="1"/>
  <c r="E23" i="54"/>
  <c r="F21" i="54"/>
  <c r="R81" i="119"/>
  <c r="S81" i="119" s="1"/>
  <c r="N135" i="119"/>
  <c r="R135" i="119" s="1"/>
  <c r="W78" i="119"/>
  <c r="D105" i="119" s="1"/>
  <c r="S132" i="119"/>
  <c r="W132" i="119" s="1"/>
  <c r="N123" i="119"/>
  <c r="W134" i="119"/>
  <c r="R125" i="70"/>
  <c r="R77" i="70"/>
  <c r="S77" i="70" s="1"/>
  <c r="O77" i="119"/>
  <c r="O131" i="119" s="1"/>
  <c r="O131" i="70"/>
  <c r="R131" i="70" s="1"/>
  <c r="I139" i="119"/>
  <c r="M122" i="119"/>
  <c r="M139" i="119" s="1"/>
  <c r="H16" i="54"/>
  <c r="I16" i="54" s="1"/>
  <c r="I15" i="54"/>
  <c r="H18" i="54"/>
  <c r="I18" i="54" s="1"/>
  <c r="H48" i="119"/>
  <c r="I48" i="119" s="1"/>
  <c r="M48" i="119" s="1"/>
  <c r="N48" i="119" s="1"/>
  <c r="R48" i="119" s="1"/>
  <c r="S48" i="119" s="1"/>
  <c r="W48" i="119" s="1"/>
  <c r="E107" i="119"/>
  <c r="E160" i="119" s="1"/>
  <c r="E160" i="70"/>
  <c r="H160" i="70" s="1"/>
  <c r="I160" i="70" s="1"/>
  <c r="M160" i="70" s="1"/>
  <c r="N160" i="70" s="1"/>
  <c r="R160" i="70" s="1"/>
  <c r="S160" i="70" s="1"/>
  <c r="W160" i="70" s="1"/>
  <c r="H107" i="119" l="1"/>
  <c r="I107" i="119" s="1"/>
  <c r="M107" i="119" s="1"/>
  <c r="N107" i="119" s="1"/>
  <c r="H111" i="119"/>
  <c r="I111" i="119" s="1"/>
  <c r="R123" i="119"/>
  <c r="H160" i="119"/>
  <c r="I160" i="119" s="1"/>
  <c r="M160" i="119" s="1"/>
  <c r="N160" i="119" s="1"/>
  <c r="R160" i="119" s="1"/>
  <c r="S160" i="119" s="1"/>
  <c r="W160" i="119" s="1"/>
  <c r="R69" i="119"/>
  <c r="S69" i="119" s="1"/>
  <c r="H164" i="70"/>
  <c r="I164" i="70" s="1"/>
  <c r="M164" i="70" s="1"/>
  <c r="N164" i="70" s="1"/>
  <c r="R164" i="70" s="1"/>
  <c r="S164" i="70" s="1"/>
  <c r="W164" i="70" s="1"/>
  <c r="R129" i="70"/>
  <c r="P139" i="70"/>
  <c r="S136" i="119"/>
  <c r="U135" i="70"/>
  <c r="U81" i="119"/>
  <c r="U135" i="119" s="1"/>
  <c r="S133" i="119"/>
  <c r="K100" i="70"/>
  <c r="K100" i="119" s="1"/>
  <c r="J100" i="70"/>
  <c r="J100" i="119" s="1"/>
  <c r="H19" i="54"/>
  <c r="D158" i="119"/>
  <c r="R131" i="119"/>
  <c r="U133" i="70"/>
  <c r="U79" i="119"/>
  <c r="U133" i="119" s="1"/>
  <c r="N85" i="119"/>
  <c r="R68" i="119"/>
  <c r="P122" i="119"/>
  <c r="P139" i="119" s="1"/>
  <c r="P85" i="119"/>
  <c r="T135" i="70"/>
  <c r="T81" i="119"/>
  <c r="T135" i="119" s="1"/>
  <c r="E100" i="119"/>
  <c r="E153" i="119" s="1"/>
  <c r="E153" i="70"/>
  <c r="T72" i="70"/>
  <c r="U72" i="70"/>
  <c r="W72" i="70"/>
  <c r="D99" i="70" s="1"/>
  <c r="S126" i="70"/>
  <c r="S126" i="119"/>
  <c r="F153" i="70"/>
  <c r="F100" i="119"/>
  <c r="F153" i="119" s="1"/>
  <c r="R122" i="70"/>
  <c r="R139" i="70" s="1"/>
  <c r="W79" i="70"/>
  <c r="D106" i="70" s="1"/>
  <c r="T133" i="70"/>
  <c r="T79" i="119"/>
  <c r="T133" i="119" s="1"/>
  <c r="S128" i="119"/>
  <c r="O122" i="119"/>
  <c r="O85" i="119"/>
  <c r="W82" i="70"/>
  <c r="D109" i="70" s="1"/>
  <c r="T136" i="70"/>
  <c r="T82" i="119"/>
  <c r="T136" i="119" s="1"/>
  <c r="O129" i="119"/>
  <c r="R129" i="119" s="1"/>
  <c r="R75" i="119"/>
  <c r="S75" i="119" s="1"/>
  <c r="H23" i="69"/>
  <c r="F24" i="69"/>
  <c r="W130" i="70"/>
  <c r="U77" i="70"/>
  <c r="T77" i="70"/>
  <c r="S131" i="70"/>
  <c r="U136" i="70"/>
  <c r="U82" i="119"/>
  <c r="U136" i="119" s="1"/>
  <c r="W81" i="119"/>
  <c r="D108" i="119" s="1"/>
  <c r="S135" i="119"/>
  <c r="E101" i="70"/>
  <c r="F101" i="70"/>
  <c r="D154" i="70"/>
  <c r="O139" i="70"/>
  <c r="K105" i="70"/>
  <c r="K105" i="119" s="1"/>
  <c r="J105" i="70"/>
  <c r="J105" i="119" s="1"/>
  <c r="S124" i="119"/>
  <c r="S125" i="119"/>
  <c r="U125" i="70"/>
  <c r="U71" i="119"/>
  <c r="U125" i="119" s="1"/>
  <c r="H21" i="55"/>
  <c r="W130" i="119"/>
  <c r="I14" i="55"/>
  <c r="K10" i="55"/>
  <c r="M107" i="70"/>
  <c r="N107" i="70" s="1"/>
  <c r="U74" i="119"/>
  <c r="U128" i="119" s="1"/>
  <c r="U128" i="70"/>
  <c r="P15" i="58"/>
  <c r="D153" i="119"/>
  <c r="F158" i="70"/>
  <c r="F105" i="119"/>
  <c r="F158" i="119" s="1"/>
  <c r="L15" i="58"/>
  <c r="H110" i="70"/>
  <c r="I110" i="70" s="1"/>
  <c r="E163" i="70"/>
  <c r="E110" i="119"/>
  <c r="W71" i="70"/>
  <c r="D98" i="70" s="1"/>
  <c r="E102" i="70"/>
  <c r="F102" i="70"/>
  <c r="H102" i="70"/>
  <c r="I102" i="70" s="1"/>
  <c r="D155" i="70"/>
  <c r="D156" i="119"/>
  <c r="E25" i="54"/>
  <c r="G17" i="58" s="1"/>
  <c r="F23" i="54"/>
  <c r="F25" i="54" s="1"/>
  <c r="T128" i="70"/>
  <c r="T74" i="119"/>
  <c r="T128" i="119" s="1"/>
  <c r="S68" i="70"/>
  <c r="R85" i="70"/>
  <c r="E158" i="70"/>
  <c r="H158" i="70" s="1"/>
  <c r="I158" i="70" s="1"/>
  <c r="M158" i="70" s="1"/>
  <c r="N158" i="70" s="1"/>
  <c r="R158" i="70" s="1"/>
  <c r="S158" i="70" s="1"/>
  <c r="W158" i="70" s="1"/>
  <c r="E105" i="119"/>
  <c r="E158" i="119" s="1"/>
  <c r="H103" i="70"/>
  <c r="I103" i="70" s="1"/>
  <c r="E103" i="119"/>
  <c r="E156" i="119" s="1"/>
  <c r="E156" i="70"/>
  <c r="W70" i="70"/>
  <c r="D97" i="70" s="1"/>
  <c r="T70" i="119"/>
  <c r="T124" i="119" s="1"/>
  <c r="W124" i="119" s="1"/>
  <c r="T124" i="70"/>
  <c r="W124" i="70" s="1"/>
  <c r="F110" i="119"/>
  <c r="F163" i="119" s="1"/>
  <c r="F163" i="70"/>
  <c r="T125" i="70"/>
  <c r="T71" i="119"/>
  <c r="T125" i="119" s="1"/>
  <c r="U75" i="119"/>
  <c r="U129" i="119" s="1"/>
  <c r="U129" i="70"/>
  <c r="S131" i="119"/>
  <c r="S123" i="119"/>
  <c r="T69" i="70"/>
  <c r="U69" i="70"/>
  <c r="S123" i="70"/>
  <c r="N122" i="119"/>
  <c r="J111" i="70"/>
  <c r="J111" i="119" s="1"/>
  <c r="K111" i="70"/>
  <c r="K111" i="119" s="1"/>
  <c r="W81" i="70"/>
  <c r="D108" i="70" s="1"/>
  <c r="F103" i="119"/>
  <c r="F156" i="119" s="1"/>
  <c r="F156" i="70"/>
  <c r="H156" i="70" s="1"/>
  <c r="I156" i="70" s="1"/>
  <c r="M156" i="70" s="1"/>
  <c r="N156" i="70" s="1"/>
  <c r="R156" i="70" s="1"/>
  <c r="S156" i="70" s="1"/>
  <c r="W156" i="70" s="1"/>
  <c r="U70" i="119"/>
  <c r="U124" i="119" s="1"/>
  <c r="U124" i="70"/>
  <c r="H153" i="70"/>
  <c r="I153" i="70" s="1"/>
  <c r="M153" i="70" s="1"/>
  <c r="N153" i="70" s="1"/>
  <c r="R153" i="70" s="1"/>
  <c r="S153" i="70" s="1"/>
  <c r="W153" i="70" s="1"/>
  <c r="S14" i="119"/>
  <c r="S31" i="70"/>
  <c r="W14" i="70"/>
  <c r="T129" i="70"/>
  <c r="W129" i="70" s="1"/>
  <c r="T75" i="119"/>
  <c r="T129" i="119" s="1"/>
  <c r="W133" i="119" l="1"/>
  <c r="W79" i="119"/>
  <c r="D106" i="119" s="1"/>
  <c r="D159" i="119" s="1"/>
  <c r="W128" i="70"/>
  <c r="M111" i="119"/>
  <c r="N111" i="119" s="1"/>
  <c r="W69" i="70"/>
  <c r="D96" i="70" s="1"/>
  <c r="E96" i="70" s="1"/>
  <c r="H156" i="119"/>
  <c r="I156" i="119" s="1"/>
  <c r="M156" i="119" s="1"/>
  <c r="N156" i="119" s="1"/>
  <c r="R156" i="119" s="1"/>
  <c r="S156" i="119" s="1"/>
  <c r="W156" i="119" s="1"/>
  <c r="O139" i="119"/>
  <c r="W135" i="70"/>
  <c r="H158" i="119"/>
  <c r="I158" i="119" s="1"/>
  <c r="M158" i="119" s="1"/>
  <c r="N158" i="119" s="1"/>
  <c r="R158" i="119" s="1"/>
  <c r="S158" i="119" s="1"/>
  <c r="W158" i="119" s="1"/>
  <c r="F96" i="70"/>
  <c r="D149" i="70"/>
  <c r="K24" i="58"/>
  <c r="I21" i="55"/>
  <c r="W128" i="119"/>
  <c r="Q15" i="58"/>
  <c r="R122" i="119"/>
  <c r="R139" i="119" s="1"/>
  <c r="N139" i="119"/>
  <c r="S85" i="70"/>
  <c r="U68" i="70"/>
  <c r="T68" i="70"/>
  <c r="W68" i="70" s="1"/>
  <c r="K102" i="70"/>
  <c r="K102" i="119" s="1"/>
  <c r="J102" i="70"/>
  <c r="J102" i="119" s="1"/>
  <c r="W75" i="119"/>
  <c r="D102" i="119" s="1"/>
  <c r="S129" i="119"/>
  <c r="W129" i="119" s="1"/>
  <c r="W74" i="119"/>
  <c r="D101" i="119" s="1"/>
  <c r="F155" i="70"/>
  <c r="F102" i="119"/>
  <c r="F155" i="119" s="1"/>
  <c r="P107" i="70"/>
  <c r="P107" i="119" s="1"/>
  <c r="O107" i="70"/>
  <c r="O107" i="119" s="1"/>
  <c r="W125" i="119"/>
  <c r="H105" i="119"/>
  <c r="I105" i="119" s="1"/>
  <c r="M105" i="119" s="1"/>
  <c r="N105" i="119" s="1"/>
  <c r="K110" i="70"/>
  <c r="K110" i="119" s="1"/>
  <c r="J110" i="70"/>
  <c r="J110" i="119" s="1"/>
  <c r="M110" i="70"/>
  <c r="N110" i="70" s="1"/>
  <c r="W31" i="70"/>
  <c r="D40" i="70"/>
  <c r="E155" i="70"/>
  <c r="E102" i="119"/>
  <c r="E155" i="119" s="1"/>
  <c r="L10" i="55"/>
  <c r="K13" i="55"/>
  <c r="K19" i="55"/>
  <c r="W71" i="119"/>
  <c r="D98" i="119" s="1"/>
  <c r="F154" i="70"/>
  <c r="F101" i="119"/>
  <c r="F154" i="119" s="1"/>
  <c r="W77" i="70"/>
  <c r="D104" i="70" s="1"/>
  <c r="T77" i="119"/>
  <c r="T131" i="70"/>
  <c r="W133" i="70"/>
  <c r="F99" i="70"/>
  <c r="E99" i="70"/>
  <c r="H99" i="70" s="1"/>
  <c r="I99" i="70" s="1"/>
  <c r="D152" i="70"/>
  <c r="I19" i="54"/>
  <c r="K15" i="54"/>
  <c r="H21" i="54"/>
  <c r="W136" i="119"/>
  <c r="F108" i="70"/>
  <c r="E108" i="70"/>
  <c r="D161" i="70"/>
  <c r="T69" i="119"/>
  <c r="T123" i="70"/>
  <c r="W123" i="70" s="1"/>
  <c r="W125" i="70"/>
  <c r="K103" i="70"/>
  <c r="K103" i="119" s="1"/>
  <c r="J103" i="70"/>
  <c r="J103" i="119" s="1"/>
  <c r="M103" i="70"/>
  <c r="N103" i="70" s="1"/>
  <c r="E98" i="70"/>
  <c r="H98" i="70" s="1"/>
  <c r="I98" i="70" s="1"/>
  <c r="F98" i="70"/>
  <c r="D151" i="70"/>
  <c r="H153" i="119"/>
  <c r="I153" i="119" s="1"/>
  <c r="M153" i="119" s="1"/>
  <c r="N153" i="119" s="1"/>
  <c r="R153" i="119" s="1"/>
  <c r="S153" i="119" s="1"/>
  <c r="W153" i="119" s="1"/>
  <c r="W70" i="119"/>
  <c r="D97" i="119" s="1"/>
  <c r="E101" i="119"/>
  <c r="E154" i="119" s="1"/>
  <c r="E154" i="70"/>
  <c r="U131" i="70"/>
  <c r="U77" i="119"/>
  <c r="U131" i="119" s="1"/>
  <c r="W136" i="70"/>
  <c r="F106" i="70"/>
  <c r="E106" i="70"/>
  <c r="D159" i="70"/>
  <c r="U72" i="119"/>
  <c r="U126" i="119" s="1"/>
  <c r="U126" i="70"/>
  <c r="S68" i="119"/>
  <c r="R85" i="119"/>
  <c r="M100" i="70"/>
  <c r="N100" i="70" s="1"/>
  <c r="W82" i="119"/>
  <c r="D109" i="119" s="1"/>
  <c r="H24" i="69"/>
  <c r="J27" i="61"/>
  <c r="M111" i="70"/>
  <c r="N111" i="70" s="1"/>
  <c r="E163" i="119"/>
  <c r="H163" i="119" s="1"/>
  <c r="I163" i="119" s="1"/>
  <c r="M163" i="119" s="1"/>
  <c r="N163" i="119" s="1"/>
  <c r="R163" i="119" s="1"/>
  <c r="S163" i="119" s="1"/>
  <c r="W163" i="119" s="1"/>
  <c r="H110" i="119"/>
  <c r="I110" i="119" s="1"/>
  <c r="M110" i="119" s="1"/>
  <c r="N110" i="119" s="1"/>
  <c r="H100" i="119"/>
  <c r="I100" i="119" s="1"/>
  <c r="M100" i="119" s="1"/>
  <c r="N100" i="119" s="1"/>
  <c r="H101" i="70"/>
  <c r="I101" i="70" s="1"/>
  <c r="E109" i="70"/>
  <c r="F109" i="70"/>
  <c r="H109" i="70"/>
  <c r="I109" i="70" s="1"/>
  <c r="D162" i="70"/>
  <c r="T126" i="70"/>
  <c r="W126" i="70" s="1"/>
  <c r="T72" i="119"/>
  <c r="D161" i="119"/>
  <c r="F97" i="70"/>
  <c r="E97" i="70"/>
  <c r="D150" i="70"/>
  <c r="U69" i="119"/>
  <c r="U123" i="119" s="1"/>
  <c r="U123" i="70"/>
  <c r="W14" i="119"/>
  <c r="S31" i="119"/>
  <c r="I23" i="69" s="1"/>
  <c r="S122" i="70"/>
  <c r="F17" i="58"/>
  <c r="H17" i="58"/>
  <c r="H163" i="70"/>
  <c r="I163" i="70" s="1"/>
  <c r="M163" i="70" s="1"/>
  <c r="N163" i="70" s="1"/>
  <c r="R163" i="70" s="1"/>
  <c r="S163" i="70" s="1"/>
  <c r="W163" i="70" s="1"/>
  <c r="M105" i="70"/>
  <c r="N105" i="70" s="1"/>
  <c r="W135" i="119"/>
  <c r="H103" i="119"/>
  <c r="I103" i="119" s="1"/>
  <c r="M103" i="119" s="1"/>
  <c r="N103" i="119" s="1"/>
  <c r="H106" i="70" l="1"/>
  <c r="I106" i="70" s="1"/>
  <c r="H96" i="70"/>
  <c r="I96" i="70" s="1"/>
  <c r="K96" i="70" s="1"/>
  <c r="H154" i="70"/>
  <c r="I154" i="70" s="1"/>
  <c r="M154" i="70" s="1"/>
  <c r="N154" i="70" s="1"/>
  <c r="R154" i="70" s="1"/>
  <c r="S154" i="70" s="1"/>
  <c r="W154" i="70" s="1"/>
  <c r="R107" i="119"/>
  <c r="S107" i="119" s="1"/>
  <c r="J106" i="70"/>
  <c r="J106" i="119" s="1"/>
  <c r="K106" i="70"/>
  <c r="K106" i="119" s="1"/>
  <c r="K98" i="70"/>
  <c r="K98" i="119" s="1"/>
  <c r="J98" i="70"/>
  <c r="J98" i="119" s="1"/>
  <c r="O100" i="70"/>
  <c r="O100" i="119" s="1"/>
  <c r="R100" i="119" s="1"/>
  <c r="S100" i="119" s="1"/>
  <c r="P100" i="70"/>
  <c r="P100" i="119" s="1"/>
  <c r="H102" i="119"/>
  <c r="I102" i="119" s="1"/>
  <c r="M102" i="119" s="1"/>
  <c r="N102" i="119" s="1"/>
  <c r="D155" i="119"/>
  <c r="H155" i="119" s="1"/>
  <c r="I155" i="119" s="1"/>
  <c r="M155" i="119" s="1"/>
  <c r="N155" i="119" s="1"/>
  <c r="R155" i="119" s="1"/>
  <c r="S155" i="119" s="1"/>
  <c r="W155" i="119" s="1"/>
  <c r="O105" i="70"/>
  <c r="O105" i="119" s="1"/>
  <c r="P105" i="70"/>
  <c r="P105" i="119" s="1"/>
  <c r="D40" i="119"/>
  <c r="W31" i="119"/>
  <c r="T126" i="119"/>
  <c r="W126" i="119" s="1"/>
  <c r="W72" i="119"/>
  <c r="D99" i="119" s="1"/>
  <c r="T123" i="119"/>
  <c r="W123" i="119" s="1"/>
  <c r="W69" i="119"/>
  <c r="D96" i="119" s="1"/>
  <c r="H40" i="70"/>
  <c r="D57" i="70"/>
  <c r="D148" i="70"/>
  <c r="R107" i="70"/>
  <c r="S107" i="70" s="1"/>
  <c r="M102" i="70"/>
  <c r="N102" i="70" s="1"/>
  <c r="J24" i="58"/>
  <c r="L24" i="58" s="1"/>
  <c r="E104" i="70"/>
  <c r="H104" i="70" s="1"/>
  <c r="I104" i="70" s="1"/>
  <c r="F104" i="70"/>
  <c r="D157" i="70"/>
  <c r="H108" i="70"/>
  <c r="I108" i="70" s="1"/>
  <c r="E108" i="119"/>
  <c r="E161" i="70"/>
  <c r="E152" i="70"/>
  <c r="E99" i="119"/>
  <c r="E152" i="119" s="1"/>
  <c r="D151" i="119"/>
  <c r="O110" i="70"/>
  <c r="O110" i="119" s="1"/>
  <c r="P110" i="70"/>
  <c r="P110" i="119" s="1"/>
  <c r="R110" i="70"/>
  <c r="S110" i="70" s="1"/>
  <c r="N15" i="58"/>
  <c r="R15" i="58" s="1"/>
  <c r="K109" i="70"/>
  <c r="K109" i="119" s="1"/>
  <c r="J109" i="70"/>
  <c r="J109" i="119" s="1"/>
  <c r="O111" i="70"/>
  <c r="O111" i="119" s="1"/>
  <c r="P111" i="70"/>
  <c r="P111" i="119" s="1"/>
  <c r="O103" i="70"/>
  <c r="O103" i="119" s="1"/>
  <c r="R103" i="70"/>
  <c r="S103" i="70" s="1"/>
  <c r="P103" i="70"/>
  <c r="P103" i="119" s="1"/>
  <c r="F108" i="119"/>
  <c r="F161" i="119" s="1"/>
  <c r="F161" i="70"/>
  <c r="H161" i="70" s="1"/>
  <c r="I161" i="70" s="1"/>
  <c r="M161" i="70" s="1"/>
  <c r="N161" i="70" s="1"/>
  <c r="R161" i="70" s="1"/>
  <c r="S161" i="70" s="1"/>
  <c r="W161" i="70" s="1"/>
  <c r="F152" i="70"/>
  <c r="F99" i="119"/>
  <c r="F152" i="119" s="1"/>
  <c r="K21" i="55"/>
  <c r="L19" i="55"/>
  <c r="W85" i="70"/>
  <c r="D95" i="70"/>
  <c r="J96" i="70"/>
  <c r="J96" i="119" s="1"/>
  <c r="H97" i="70"/>
  <c r="I97" i="70" s="1"/>
  <c r="E97" i="119"/>
  <c r="E150" i="119" s="1"/>
  <c r="E150" i="70"/>
  <c r="F109" i="119"/>
  <c r="F162" i="119" s="1"/>
  <c r="F162" i="70"/>
  <c r="K14" i="55"/>
  <c r="K20" i="55"/>
  <c r="L20" i="55" s="1"/>
  <c r="L13" i="55"/>
  <c r="H155" i="70"/>
  <c r="I155" i="70" s="1"/>
  <c r="M155" i="70" s="1"/>
  <c r="N155" i="70" s="1"/>
  <c r="R155" i="70" s="1"/>
  <c r="S155" i="70" s="1"/>
  <c r="W155" i="70" s="1"/>
  <c r="T122" i="70"/>
  <c r="T139" i="70" s="1"/>
  <c r="T85" i="70"/>
  <c r="T68" i="119"/>
  <c r="E96" i="119"/>
  <c r="E149" i="119" s="1"/>
  <c r="E149" i="70"/>
  <c r="I24" i="69"/>
  <c r="E66" i="61"/>
  <c r="H151" i="70"/>
  <c r="I151" i="70" s="1"/>
  <c r="M151" i="70" s="1"/>
  <c r="N151" i="70" s="1"/>
  <c r="R151" i="70" s="1"/>
  <c r="S151" i="70" s="1"/>
  <c r="W151" i="70" s="1"/>
  <c r="S85" i="119"/>
  <c r="F151" i="70"/>
  <c r="F98" i="119"/>
  <c r="F151" i="119" s="1"/>
  <c r="E151" i="70"/>
  <c r="E98" i="119"/>
  <c r="E151" i="119" s="1"/>
  <c r="S139" i="70"/>
  <c r="W122" i="70"/>
  <c r="F150" i="70"/>
  <c r="F97" i="119"/>
  <c r="F150" i="119" s="1"/>
  <c r="E162" i="70"/>
  <c r="H162" i="70" s="1"/>
  <c r="I162" i="70" s="1"/>
  <c r="M162" i="70" s="1"/>
  <c r="N162" i="70" s="1"/>
  <c r="R162" i="70" s="1"/>
  <c r="S162" i="70" s="1"/>
  <c r="W162" i="70" s="1"/>
  <c r="E109" i="119"/>
  <c r="E162" i="119" s="1"/>
  <c r="D150" i="119"/>
  <c r="I21" i="54"/>
  <c r="H23" i="54"/>
  <c r="W131" i="70"/>
  <c r="R105" i="119"/>
  <c r="S105" i="119" s="1"/>
  <c r="H101" i="119"/>
  <c r="I101" i="119" s="1"/>
  <c r="D154" i="119"/>
  <c r="H154" i="119" s="1"/>
  <c r="I154" i="119" s="1"/>
  <c r="M154" i="119" s="1"/>
  <c r="N154" i="119" s="1"/>
  <c r="R154" i="119" s="1"/>
  <c r="S154" i="119" s="1"/>
  <c r="W154" i="119" s="1"/>
  <c r="U85" i="70"/>
  <c r="U122" i="70"/>
  <c r="U139" i="70" s="1"/>
  <c r="U68" i="119"/>
  <c r="F149" i="70"/>
  <c r="F96" i="119"/>
  <c r="F149" i="119" s="1"/>
  <c r="F106" i="119"/>
  <c r="F159" i="119" s="1"/>
  <c r="F159" i="70"/>
  <c r="J99" i="70"/>
  <c r="J99" i="119" s="1"/>
  <c r="K99" i="70"/>
  <c r="K99" i="119" s="1"/>
  <c r="R103" i="119"/>
  <c r="S103" i="119" s="1"/>
  <c r="S122" i="119"/>
  <c r="K101" i="70"/>
  <c r="K101" i="119" s="1"/>
  <c r="J101" i="70"/>
  <c r="J101" i="119" s="1"/>
  <c r="D162" i="119"/>
  <c r="H162" i="119" s="1"/>
  <c r="I162" i="119" s="1"/>
  <c r="M162" i="119" s="1"/>
  <c r="N162" i="119" s="1"/>
  <c r="R162" i="119" s="1"/>
  <c r="S162" i="119" s="1"/>
  <c r="W162" i="119" s="1"/>
  <c r="E106" i="119"/>
  <c r="E159" i="70"/>
  <c r="H159" i="70" s="1"/>
  <c r="I159" i="70" s="1"/>
  <c r="M159" i="70" s="1"/>
  <c r="N159" i="70" s="1"/>
  <c r="R159" i="70" s="1"/>
  <c r="S159" i="70" s="1"/>
  <c r="W159" i="70" s="1"/>
  <c r="K16" i="54"/>
  <c r="L16" i="54" s="1"/>
  <c r="L15" i="54"/>
  <c r="T131" i="119"/>
  <c r="W131" i="119" s="1"/>
  <c r="W77" i="119"/>
  <c r="D104" i="119" s="1"/>
  <c r="K96" i="119" l="1"/>
  <c r="M96" i="70"/>
  <c r="N96" i="70" s="1"/>
  <c r="P96" i="70" s="1"/>
  <c r="P96" i="119" s="1"/>
  <c r="H151" i="119"/>
  <c r="I151" i="119" s="1"/>
  <c r="M151" i="119" s="1"/>
  <c r="N151" i="119" s="1"/>
  <c r="R151" i="119" s="1"/>
  <c r="S151" i="119" s="1"/>
  <c r="W151" i="119" s="1"/>
  <c r="H152" i="70"/>
  <c r="I152" i="70" s="1"/>
  <c r="M152" i="70" s="1"/>
  <c r="N152" i="70" s="1"/>
  <c r="R152" i="70" s="1"/>
  <c r="S152" i="70" s="1"/>
  <c r="W152" i="70" s="1"/>
  <c r="W139" i="70"/>
  <c r="M99" i="70"/>
  <c r="N99" i="70" s="1"/>
  <c r="H150" i="119"/>
  <c r="I150" i="119" s="1"/>
  <c r="M150" i="119" s="1"/>
  <c r="N150" i="119" s="1"/>
  <c r="R150" i="119" s="1"/>
  <c r="S150" i="119" s="1"/>
  <c r="W150" i="119" s="1"/>
  <c r="H149" i="70"/>
  <c r="I149" i="70" s="1"/>
  <c r="M149" i="70" s="1"/>
  <c r="N149" i="70" s="1"/>
  <c r="R149" i="70" s="1"/>
  <c r="S149" i="70" s="1"/>
  <c r="W149" i="70" s="1"/>
  <c r="H97" i="119"/>
  <c r="I97" i="119" s="1"/>
  <c r="R100" i="70"/>
  <c r="S100" i="70" s="1"/>
  <c r="T100" i="70" s="1"/>
  <c r="T100" i="119" s="1"/>
  <c r="H109" i="119"/>
  <c r="I109" i="119" s="1"/>
  <c r="M109" i="119" s="1"/>
  <c r="N109" i="119" s="1"/>
  <c r="H150" i="70"/>
  <c r="I150" i="70" s="1"/>
  <c r="M150" i="70" s="1"/>
  <c r="N150" i="70" s="1"/>
  <c r="R150" i="70" s="1"/>
  <c r="S150" i="70" s="1"/>
  <c r="W150" i="70" s="1"/>
  <c r="R105" i="70"/>
  <c r="S105" i="70" s="1"/>
  <c r="W105" i="70" s="1"/>
  <c r="M98" i="70"/>
  <c r="N98" i="70" s="1"/>
  <c r="O98" i="70" s="1"/>
  <c r="O98" i="119" s="1"/>
  <c r="J104" i="70"/>
  <c r="J104" i="119" s="1"/>
  <c r="K104" i="70"/>
  <c r="K104" i="119" s="1"/>
  <c r="U122" i="119"/>
  <c r="U139" i="119" s="1"/>
  <c r="U85" i="119"/>
  <c r="H98" i="119"/>
  <c r="I98" i="119" s="1"/>
  <c r="M98" i="119" s="1"/>
  <c r="N98" i="119" s="1"/>
  <c r="F157" i="70"/>
  <c r="F104" i="119"/>
  <c r="F157" i="119" s="1"/>
  <c r="H40" i="119"/>
  <c r="D57" i="119"/>
  <c r="J23" i="69" s="1"/>
  <c r="E159" i="119"/>
  <c r="H159" i="119" s="1"/>
  <c r="I159" i="119" s="1"/>
  <c r="M159" i="119" s="1"/>
  <c r="N159" i="119" s="1"/>
  <c r="R159" i="119" s="1"/>
  <c r="S159" i="119" s="1"/>
  <c r="W159" i="119" s="1"/>
  <c r="H106" i="119"/>
  <c r="I106" i="119" s="1"/>
  <c r="M106" i="119" s="1"/>
  <c r="N106" i="119" s="1"/>
  <c r="E157" i="70"/>
  <c r="E104" i="119"/>
  <c r="E157" i="119" s="1"/>
  <c r="H57" i="70"/>
  <c r="I40" i="70"/>
  <c r="T105" i="70"/>
  <c r="T105" i="119" s="1"/>
  <c r="U105" i="70"/>
  <c r="U105" i="119" s="1"/>
  <c r="H25" i="54"/>
  <c r="K17" i="58" s="1"/>
  <c r="I23" i="54"/>
  <c r="I25" i="54" s="1"/>
  <c r="J97" i="70"/>
  <c r="J97" i="119" s="1"/>
  <c r="M97" i="119" s="1"/>
  <c r="N97" i="119" s="1"/>
  <c r="K97" i="70"/>
  <c r="K97" i="119" s="1"/>
  <c r="R111" i="119"/>
  <c r="S111" i="119" s="1"/>
  <c r="U103" i="70"/>
  <c r="U103" i="119" s="1"/>
  <c r="T103" i="70"/>
  <c r="T103" i="119" s="1"/>
  <c r="W103" i="119" s="1"/>
  <c r="D165" i="70"/>
  <c r="P99" i="70"/>
  <c r="P99" i="119" s="1"/>
  <c r="O99" i="70"/>
  <c r="O99" i="119" s="1"/>
  <c r="D54" i="55"/>
  <c r="L14" i="55"/>
  <c r="O96" i="70"/>
  <c r="O96" i="119" s="1"/>
  <c r="R111" i="70"/>
  <c r="S111" i="70" s="1"/>
  <c r="H96" i="119"/>
  <c r="I96" i="119" s="1"/>
  <c r="M96" i="119" s="1"/>
  <c r="N96" i="119" s="1"/>
  <c r="D149" i="119"/>
  <c r="H149" i="119" s="1"/>
  <c r="I149" i="119" s="1"/>
  <c r="M149" i="119" s="1"/>
  <c r="N149" i="119" s="1"/>
  <c r="R149" i="119" s="1"/>
  <c r="S149" i="119" s="1"/>
  <c r="W149" i="119" s="1"/>
  <c r="S139" i="119"/>
  <c r="M101" i="119"/>
  <c r="N101" i="119" s="1"/>
  <c r="T110" i="70"/>
  <c r="T110" i="119" s="1"/>
  <c r="U110" i="70"/>
  <c r="U110" i="119" s="1"/>
  <c r="W110" i="70"/>
  <c r="E161" i="119"/>
  <c r="H161" i="119" s="1"/>
  <c r="I161" i="119" s="1"/>
  <c r="M161" i="119" s="1"/>
  <c r="N161" i="119" s="1"/>
  <c r="R161" i="119" s="1"/>
  <c r="S161" i="119" s="1"/>
  <c r="W161" i="119" s="1"/>
  <c r="H108" i="119"/>
  <c r="I108" i="119" s="1"/>
  <c r="U100" i="70"/>
  <c r="U100" i="119" s="1"/>
  <c r="K18" i="54"/>
  <c r="W68" i="119"/>
  <c r="T122" i="119"/>
  <c r="T139" i="119" s="1"/>
  <c r="T85" i="119"/>
  <c r="S15" i="58" s="1"/>
  <c r="J108" i="70"/>
  <c r="J108" i="119" s="1"/>
  <c r="K108" i="70"/>
  <c r="K108" i="119" s="1"/>
  <c r="P102" i="70"/>
  <c r="P102" i="119" s="1"/>
  <c r="O102" i="70"/>
  <c r="O102" i="119" s="1"/>
  <c r="H99" i="119"/>
  <c r="I99" i="119" s="1"/>
  <c r="M99" i="119" s="1"/>
  <c r="N99" i="119" s="1"/>
  <c r="D152" i="119"/>
  <c r="H152" i="119" s="1"/>
  <c r="I152" i="119" s="1"/>
  <c r="M152" i="119" s="1"/>
  <c r="N152" i="119" s="1"/>
  <c r="R152" i="119" s="1"/>
  <c r="S152" i="119" s="1"/>
  <c r="W152" i="119" s="1"/>
  <c r="R102" i="119"/>
  <c r="S102" i="119" s="1"/>
  <c r="H104" i="119"/>
  <c r="I104" i="119" s="1"/>
  <c r="M104" i="119" s="1"/>
  <c r="N104" i="119" s="1"/>
  <c r="D157" i="119"/>
  <c r="O24" i="58"/>
  <c r="P24" i="58" s="1"/>
  <c r="Q24" i="58" s="1"/>
  <c r="N24" i="58" s="1"/>
  <c r="R24" i="58" s="1"/>
  <c r="L21" i="55"/>
  <c r="M101" i="70"/>
  <c r="N101" i="70" s="1"/>
  <c r="D112" i="70"/>
  <c r="E95" i="70"/>
  <c r="F95" i="70"/>
  <c r="M109" i="70"/>
  <c r="N109" i="70" s="1"/>
  <c r="R110" i="119"/>
  <c r="S110" i="119" s="1"/>
  <c r="W110" i="119" s="1"/>
  <c r="T107" i="70"/>
  <c r="T107" i="119" s="1"/>
  <c r="U107" i="70"/>
  <c r="U107" i="119" s="1"/>
  <c r="M106" i="70"/>
  <c r="N106" i="70" s="1"/>
  <c r="R99" i="70" l="1"/>
  <c r="S99" i="70" s="1"/>
  <c r="R96" i="70"/>
  <c r="S96" i="70" s="1"/>
  <c r="U96" i="70" s="1"/>
  <c r="U96" i="119" s="1"/>
  <c r="R96" i="119"/>
  <c r="S96" i="119" s="1"/>
  <c r="R99" i="119"/>
  <c r="S99" i="119" s="1"/>
  <c r="W107" i="70"/>
  <c r="P98" i="70"/>
  <c r="P98" i="119" s="1"/>
  <c r="R98" i="119" s="1"/>
  <c r="S98" i="119" s="1"/>
  <c r="W122" i="119"/>
  <c r="W139" i="119" s="1"/>
  <c r="M97" i="70"/>
  <c r="N97" i="70" s="1"/>
  <c r="M104" i="70"/>
  <c r="N104" i="70" s="1"/>
  <c r="R104" i="70" s="1"/>
  <c r="S104" i="70" s="1"/>
  <c r="P106" i="70"/>
  <c r="P106" i="119" s="1"/>
  <c r="O106" i="70"/>
  <c r="O106" i="119" s="1"/>
  <c r="R106" i="119" s="1"/>
  <c r="S106" i="119" s="1"/>
  <c r="W100" i="119"/>
  <c r="D63" i="55"/>
  <c r="D65" i="55" s="1"/>
  <c r="S24" i="58" s="1"/>
  <c r="D57" i="55"/>
  <c r="D58" i="55" s="1"/>
  <c r="E54" i="55" s="1"/>
  <c r="H157" i="70"/>
  <c r="I157" i="70" s="1"/>
  <c r="M157" i="70" s="1"/>
  <c r="N157" i="70" s="1"/>
  <c r="R157" i="70" s="1"/>
  <c r="S157" i="70" s="1"/>
  <c r="W157" i="70" s="1"/>
  <c r="M108" i="119"/>
  <c r="N108" i="119" s="1"/>
  <c r="P97" i="70"/>
  <c r="P97" i="119" s="1"/>
  <c r="O97" i="70"/>
  <c r="O97" i="119" s="1"/>
  <c r="R97" i="119" s="1"/>
  <c r="S97" i="119" s="1"/>
  <c r="R97" i="70"/>
  <c r="S97" i="70" s="1"/>
  <c r="T99" i="70"/>
  <c r="T99" i="119" s="1"/>
  <c r="U99" i="70"/>
  <c r="U99" i="119" s="1"/>
  <c r="W107" i="119"/>
  <c r="R102" i="70"/>
  <c r="S102" i="70" s="1"/>
  <c r="W85" i="119"/>
  <c r="D95" i="119"/>
  <c r="U111" i="70"/>
  <c r="U111" i="119" s="1"/>
  <c r="T111" i="70"/>
  <c r="T111" i="119" s="1"/>
  <c r="W111" i="119" s="1"/>
  <c r="W111" i="70"/>
  <c r="E148" i="70"/>
  <c r="E95" i="119"/>
  <c r="E112" i="70"/>
  <c r="H95" i="70"/>
  <c r="L18" i="54"/>
  <c r="K19" i="54"/>
  <c r="T96" i="70"/>
  <c r="T96" i="119" s="1"/>
  <c r="W105" i="119"/>
  <c r="J24" i="69"/>
  <c r="F66" i="61"/>
  <c r="P104" i="70"/>
  <c r="P104" i="119" s="1"/>
  <c r="O104" i="70"/>
  <c r="O104" i="119" s="1"/>
  <c r="R104" i="119" s="1"/>
  <c r="S104" i="119" s="1"/>
  <c r="P109" i="70"/>
  <c r="P109" i="119" s="1"/>
  <c r="O109" i="70"/>
  <c r="O109" i="119" s="1"/>
  <c r="M40" i="70"/>
  <c r="I57" i="70"/>
  <c r="H57" i="119"/>
  <c r="I40" i="119"/>
  <c r="P101" i="70"/>
  <c r="P101" i="119" s="1"/>
  <c r="O101" i="70"/>
  <c r="O101" i="119" s="1"/>
  <c r="F112" i="70"/>
  <c r="F95" i="119"/>
  <c r="F148" i="70"/>
  <c r="F165" i="70" s="1"/>
  <c r="H157" i="119"/>
  <c r="I157" i="119" s="1"/>
  <c r="M157" i="119" s="1"/>
  <c r="N157" i="119" s="1"/>
  <c r="R157" i="119" s="1"/>
  <c r="S157" i="119" s="1"/>
  <c r="W157" i="119" s="1"/>
  <c r="M108" i="70"/>
  <c r="N108" i="70" s="1"/>
  <c r="W100" i="70"/>
  <c r="W103" i="70"/>
  <c r="J17" i="58"/>
  <c r="W99" i="119" l="1"/>
  <c r="R98" i="70"/>
  <c r="S98" i="70" s="1"/>
  <c r="R109" i="119"/>
  <c r="S109" i="119" s="1"/>
  <c r="W96" i="70"/>
  <c r="W96" i="119"/>
  <c r="L17" i="58"/>
  <c r="H112" i="70"/>
  <c r="I95" i="70"/>
  <c r="N40" i="70"/>
  <c r="M57" i="70"/>
  <c r="R101" i="70"/>
  <c r="S101" i="70" s="1"/>
  <c r="R101" i="119"/>
  <c r="S101" i="119" s="1"/>
  <c r="O108" i="70"/>
  <c r="O108" i="119" s="1"/>
  <c r="R108" i="119" s="1"/>
  <c r="S108" i="119" s="1"/>
  <c r="P108" i="70"/>
  <c r="P108" i="119" s="1"/>
  <c r="M40" i="119"/>
  <c r="I57" i="119"/>
  <c r="K23" i="69" s="1"/>
  <c r="U102" i="70"/>
  <c r="U102" i="119" s="1"/>
  <c r="T102" i="70"/>
  <c r="T102" i="119" s="1"/>
  <c r="U97" i="70"/>
  <c r="U97" i="119" s="1"/>
  <c r="T97" i="70"/>
  <c r="T97" i="119" s="1"/>
  <c r="W97" i="119" s="1"/>
  <c r="H95" i="119"/>
  <c r="D112" i="119"/>
  <c r="D148" i="119"/>
  <c r="R109" i="70"/>
  <c r="S109" i="70" s="1"/>
  <c r="M15" i="54"/>
  <c r="L19" i="54"/>
  <c r="K21" i="54"/>
  <c r="E148" i="119"/>
  <c r="E165" i="119" s="1"/>
  <c r="E112" i="119"/>
  <c r="T15" i="58" s="1"/>
  <c r="E63" i="55"/>
  <c r="E65" i="55" s="1"/>
  <c r="T24" i="58" s="1"/>
  <c r="E57" i="55"/>
  <c r="E58" i="55" s="1"/>
  <c r="F54" i="55" s="1"/>
  <c r="T104" i="70"/>
  <c r="T104" i="119" s="1"/>
  <c r="U104" i="70"/>
  <c r="U104" i="119" s="1"/>
  <c r="F112" i="119"/>
  <c r="F148" i="119"/>
  <c r="F165" i="119" s="1"/>
  <c r="E165" i="70"/>
  <c r="H148" i="70"/>
  <c r="W99" i="70"/>
  <c r="R106" i="70"/>
  <c r="S106" i="70" s="1"/>
  <c r="R108" i="70" l="1"/>
  <c r="S108" i="70" s="1"/>
  <c r="W102" i="70"/>
  <c r="W102" i="119"/>
  <c r="T98" i="70"/>
  <c r="T98" i="119" s="1"/>
  <c r="U98" i="70"/>
  <c r="U98" i="119" s="1"/>
  <c r="W98" i="70"/>
  <c r="U101" i="70"/>
  <c r="U101" i="119" s="1"/>
  <c r="T101" i="70"/>
  <c r="T101" i="119" s="1"/>
  <c r="H148" i="119"/>
  <c r="D165" i="119"/>
  <c r="I148" i="70"/>
  <c r="H165" i="70"/>
  <c r="N40" i="119"/>
  <c r="M57" i="119"/>
  <c r="R40" i="70"/>
  <c r="N57" i="70"/>
  <c r="F57" i="55"/>
  <c r="F58" i="55" s="1"/>
  <c r="G54" i="55" s="1"/>
  <c r="G63" i="55" s="1"/>
  <c r="G65" i="55" s="1"/>
  <c r="V24" i="58" s="1"/>
  <c r="F63" i="55"/>
  <c r="F65" i="55" s="1"/>
  <c r="U24" i="58" s="1"/>
  <c r="H112" i="119"/>
  <c r="I95" i="119"/>
  <c r="T108" i="70"/>
  <c r="T108" i="119" s="1"/>
  <c r="W108" i="119" s="1"/>
  <c r="U108" i="70"/>
  <c r="U108" i="119" s="1"/>
  <c r="K95" i="70"/>
  <c r="I112" i="70"/>
  <c r="J95" i="70"/>
  <c r="M95" i="70" s="1"/>
  <c r="L21" i="54"/>
  <c r="K23" i="54"/>
  <c r="W97" i="70"/>
  <c r="T106" i="70"/>
  <c r="T106" i="119" s="1"/>
  <c r="W106" i="119" s="1"/>
  <c r="U106" i="70"/>
  <c r="U106" i="119" s="1"/>
  <c r="W104" i="70"/>
  <c r="M18" i="54"/>
  <c r="M19" i="54" s="1"/>
  <c r="N15" i="54" s="1"/>
  <c r="K24" i="69"/>
  <c r="G66" i="61"/>
  <c r="W104" i="119"/>
  <c r="U109" i="70"/>
  <c r="U109" i="119" s="1"/>
  <c r="T109" i="70"/>
  <c r="T109" i="119" s="1"/>
  <c r="W109" i="119" s="1"/>
  <c r="W101" i="119" l="1"/>
  <c r="W98" i="119"/>
  <c r="W106" i="70"/>
  <c r="W101" i="70"/>
  <c r="I112" i="119"/>
  <c r="M21" i="54"/>
  <c r="M23" i="54" s="1"/>
  <c r="M25" i="54" s="1"/>
  <c r="S17" i="58" s="1"/>
  <c r="H165" i="119"/>
  <c r="I148" i="119"/>
  <c r="K25" i="54"/>
  <c r="O17" i="58" s="1"/>
  <c r="P17" i="58" s="1"/>
  <c r="Q17" i="58" s="1"/>
  <c r="N17" i="58" s="1"/>
  <c r="R17" i="58" s="1"/>
  <c r="L23" i="54"/>
  <c r="L25" i="54" s="1"/>
  <c r="K95" i="119"/>
  <c r="K112" i="119" s="1"/>
  <c r="K112" i="70"/>
  <c r="G57" i="55"/>
  <c r="G58" i="55" s="1"/>
  <c r="H54" i="55" s="1"/>
  <c r="H63" i="55" s="1"/>
  <c r="H65" i="55" s="1"/>
  <c r="W24" i="58" s="1"/>
  <c r="R40" i="119"/>
  <c r="N57" i="119"/>
  <c r="L23" i="69" s="1"/>
  <c r="M112" i="70"/>
  <c r="N95" i="70"/>
  <c r="J112" i="70"/>
  <c r="J95" i="119"/>
  <c r="J112" i="119" s="1"/>
  <c r="U15" i="58" s="1"/>
  <c r="R57" i="70"/>
  <c r="S40" i="70"/>
  <c r="N18" i="54"/>
  <c r="N19" i="54" s="1"/>
  <c r="O15" i="54" s="1"/>
  <c r="M148" i="70"/>
  <c r="I165" i="70"/>
  <c r="W109" i="70"/>
  <c r="W108" i="70"/>
  <c r="N21" i="54" l="1"/>
  <c r="N23" i="54" s="1"/>
  <c r="N25" i="54" s="1"/>
  <c r="T17" i="58" s="1"/>
  <c r="M165" i="70"/>
  <c r="N148" i="70"/>
  <c r="I165" i="119"/>
  <c r="M148" i="119"/>
  <c r="N112" i="70"/>
  <c r="O95" i="70"/>
  <c r="R95" i="70" s="1"/>
  <c r="P95" i="70"/>
  <c r="O18" i="54"/>
  <c r="O19" i="54" s="1"/>
  <c r="P15" i="54" s="1"/>
  <c r="R57" i="119"/>
  <c r="S40" i="119"/>
  <c r="W40" i="70"/>
  <c r="W57" i="70" s="1"/>
  <c r="S57" i="70"/>
  <c r="H57" i="55" s="1"/>
  <c r="H58" i="55" s="1"/>
  <c r="M95" i="119"/>
  <c r="L24" i="69"/>
  <c r="H66" i="61"/>
  <c r="O21" i="54" l="1"/>
  <c r="O23" i="54" s="1"/>
  <c r="O25" i="54" s="1"/>
  <c r="U17" i="58" s="1"/>
  <c r="S95" i="70"/>
  <c r="R112" i="70"/>
  <c r="P112" i="70"/>
  <c r="P95" i="119"/>
  <c r="P112" i="119" s="1"/>
  <c r="N148" i="119"/>
  <c r="M165" i="119"/>
  <c r="N95" i="119"/>
  <c r="M112" i="119"/>
  <c r="R148" i="70"/>
  <c r="N165" i="70"/>
  <c r="O95" i="119"/>
  <c r="O112" i="119" s="1"/>
  <c r="V15" i="58" s="1"/>
  <c r="O112" i="70"/>
  <c r="W40" i="119"/>
  <c r="W57" i="119" s="1"/>
  <c r="S57" i="119"/>
  <c r="M23" i="69" s="1"/>
  <c r="P18" i="54"/>
  <c r="P19" i="54" s="1"/>
  <c r="Q15" i="54" s="1"/>
  <c r="P21" i="54" l="1"/>
  <c r="P23" i="54" s="1"/>
  <c r="P25" i="54" s="1"/>
  <c r="V17" i="58" s="1"/>
  <c r="N112" i="119"/>
  <c r="R95" i="119"/>
  <c r="I66" i="61"/>
  <c r="M24" i="69"/>
  <c r="N165" i="119"/>
  <c r="R148" i="119"/>
  <c r="S148" i="70"/>
  <c r="R165" i="70"/>
  <c r="T95" i="70"/>
  <c r="S112" i="70"/>
  <c r="U95" i="70"/>
  <c r="W95" i="70"/>
  <c r="W112" i="70" s="1"/>
  <c r="T112" i="70" l="1"/>
  <c r="T95" i="119"/>
  <c r="T112" i="119" s="1"/>
  <c r="S148" i="119"/>
  <c r="R165" i="119"/>
  <c r="U95" i="119"/>
  <c r="U112" i="119" s="1"/>
  <c r="U112" i="70"/>
  <c r="R112" i="119"/>
  <c r="S95" i="119"/>
  <c r="W148" i="70"/>
  <c r="W165" i="70" s="1"/>
  <c r="S165" i="70"/>
  <c r="W15" i="58" l="1"/>
  <c r="Q18" i="54"/>
  <c r="Q19" i="54" s="1"/>
  <c r="Q21" i="54" s="1"/>
  <c r="Q23" i="54" s="1"/>
  <c r="Q25" i="54" s="1"/>
  <c r="W17" i="58" s="1"/>
  <c r="S112" i="119"/>
  <c r="W95" i="119"/>
  <c r="W112" i="119" s="1"/>
  <c r="S165" i="119"/>
  <c r="W148" i="119"/>
  <c r="W165" i="119" s="1"/>
  <c r="F17" i="65" l="1"/>
  <c r="F10" i="65"/>
  <c r="H10" i="65" s="1"/>
  <c r="H11" i="65"/>
  <c r="H17" i="65" s="1"/>
  <c r="L11" i="65" l="1"/>
  <c r="L17" i="65" s="1"/>
  <c r="J10" i="65"/>
  <c r="L10" i="65" s="1"/>
  <c r="J17" i="65"/>
  <c r="D11" i="78"/>
  <c r="F13" i="58"/>
  <c r="N10" i="65" l="1"/>
  <c r="N17" i="65"/>
  <c r="N13" i="58" s="1"/>
  <c r="R11" i="65"/>
  <c r="R17" i="65" s="1"/>
  <c r="D40" i="78"/>
  <c r="J13" i="58"/>
  <c r="F26" i="61"/>
  <c r="H13" i="58"/>
  <c r="G11" i="78"/>
  <c r="H11" i="78" s="1"/>
  <c r="G15" i="66" s="1"/>
  <c r="F11" i="78"/>
  <c r="G10" i="66"/>
  <c r="G14" i="66" l="1"/>
  <c r="G16" i="66" s="1"/>
  <c r="L13" i="58"/>
  <c r="H26" i="61"/>
  <c r="H10" i="66"/>
  <c r="H14" i="66" s="1"/>
  <c r="H16" i="66" s="1"/>
  <c r="I16" i="66" s="1"/>
  <c r="J10" i="66" s="1"/>
  <c r="F40" i="78"/>
  <c r="G40" i="78"/>
  <c r="H40" i="78" s="1"/>
  <c r="H15" i="66" s="1"/>
  <c r="I15" i="66" s="1"/>
  <c r="L40" i="78"/>
  <c r="L11" i="78"/>
  <c r="R13" i="58"/>
  <c r="J26" i="61"/>
  <c r="I10" i="66" l="1"/>
  <c r="I14" i="66" s="1"/>
  <c r="J14" i="66"/>
  <c r="J16" i="66" s="1"/>
  <c r="K10" i="66"/>
  <c r="L10" i="66" l="1"/>
  <c r="L14" i="66" s="1"/>
  <c r="L16" i="66" s="1"/>
  <c r="S11" i="65"/>
  <c r="M10" i="66"/>
  <c r="K14" i="66"/>
  <c r="K16" i="66" s="1"/>
  <c r="M14" i="66" l="1"/>
  <c r="M16" i="66" s="1"/>
  <c r="O10" i="65"/>
  <c r="P10" i="65"/>
  <c r="N10" i="66"/>
  <c r="N14" i="66" s="1"/>
  <c r="N16" i="66" s="1"/>
  <c r="T11" i="65"/>
  <c r="O10" i="66"/>
  <c r="S17" i="65"/>
  <c r="S13" i="58" s="1"/>
  <c r="S10" i="65"/>
  <c r="E65" i="61" l="1"/>
  <c r="T17" i="65"/>
  <c r="T13" i="58" s="1"/>
  <c r="T10" i="65"/>
  <c r="O14" i="66"/>
  <c r="O16" i="66" s="1"/>
  <c r="Q10" i="66"/>
  <c r="U11" i="65"/>
  <c r="P10" i="66"/>
  <c r="P14" i="66" s="1"/>
  <c r="P16" i="66" s="1"/>
  <c r="Q10" i="65"/>
  <c r="R10" i="65" s="1"/>
  <c r="S10" i="66" l="1"/>
  <c r="V11" i="65"/>
  <c r="R10" i="66"/>
  <c r="R14" i="66" s="1"/>
  <c r="R16" i="66" s="1"/>
  <c r="Q14" i="66"/>
  <c r="Q16" i="66" s="1"/>
  <c r="U17" i="65"/>
  <c r="U13" i="58" s="1"/>
  <c r="U10" i="65"/>
  <c r="F65" i="61"/>
  <c r="G65" i="61" l="1"/>
  <c r="V10" i="65"/>
  <c r="V17" i="65"/>
  <c r="V13" i="58" s="1"/>
  <c r="W11" i="65"/>
  <c r="T10" i="66"/>
  <c r="T14" i="66" s="1"/>
  <c r="T16" i="66" s="1"/>
  <c r="S14" i="66"/>
  <c r="S16" i="66" s="1"/>
  <c r="H65" i="61" l="1"/>
  <c r="W10" i="65"/>
  <c r="W17" i="65"/>
  <c r="W13" i="58" s="1"/>
  <c r="I65" i="61" l="1"/>
  <c r="F16" i="58" l="1"/>
  <c r="H16" i="58"/>
  <c r="E14" i="78"/>
  <c r="L14" i="78" l="1"/>
  <c r="D14" i="78"/>
  <c r="F25" i="58" l="1"/>
  <c r="D21" i="78" s="1"/>
  <c r="E21" i="78"/>
  <c r="G14" i="78"/>
  <c r="F14" i="78"/>
  <c r="G21" i="78" l="1"/>
  <c r="F21" i="78"/>
  <c r="L21" i="78"/>
  <c r="F18" i="58" l="1"/>
  <c r="E15" i="78"/>
  <c r="L15" i="78" l="1"/>
  <c r="D15" i="78"/>
  <c r="F15" i="78" s="1"/>
  <c r="G15" i="78" l="1"/>
  <c r="J16" i="58" l="1"/>
  <c r="L16" i="58"/>
  <c r="E43" i="78"/>
  <c r="L43" i="78" l="1"/>
  <c r="D43" i="78"/>
  <c r="G43" i="78" l="1"/>
  <c r="J25" i="58"/>
  <c r="D50" i="78" s="1"/>
  <c r="E50" i="78"/>
  <c r="F43" i="78"/>
  <c r="G50" i="78" l="1"/>
  <c r="L50" i="78"/>
  <c r="F50" i="78"/>
  <c r="J18" i="58" l="1"/>
  <c r="E44" i="78"/>
  <c r="L44" i="78" l="1"/>
  <c r="D44" i="78"/>
  <c r="F44" i="78" s="1"/>
  <c r="G44" i="78" l="1"/>
  <c r="Q16" i="58" l="1"/>
  <c r="N16" i="58" l="1"/>
  <c r="R16" i="58"/>
  <c r="N25" i="58" l="1"/>
  <c r="N18" i="58" l="1"/>
  <c r="J30" i="72" l="1"/>
  <c r="N30" i="72" l="1"/>
  <c r="N31" i="72" s="1"/>
  <c r="J31" i="72"/>
  <c r="G19" i="58" l="1"/>
  <c r="K19" i="58"/>
  <c r="K23" i="58" l="1"/>
  <c r="K27" i="58" s="1"/>
  <c r="E45" i="78"/>
  <c r="H9" i="80"/>
  <c r="E9" i="80"/>
  <c r="E16" i="78"/>
  <c r="G23" i="58"/>
  <c r="G27" i="58" s="1"/>
  <c r="H28" i="61" l="1"/>
  <c r="H30" i="61" s="1"/>
  <c r="H34" i="61" s="1"/>
  <c r="J19" i="58" s="1"/>
  <c r="E20" i="78"/>
  <c r="F28" i="61"/>
  <c r="F30" i="61" s="1"/>
  <c r="F34" i="61" s="1"/>
  <c r="F19" i="58" s="1"/>
  <c r="E49" i="78"/>
  <c r="E23" i="78" l="1"/>
  <c r="D5" i="100"/>
  <c r="D7" i="100" s="1"/>
  <c r="D9" i="80"/>
  <c r="D16" i="78"/>
  <c r="F23" i="58"/>
  <c r="F27" i="58" s="1"/>
  <c r="H19" i="58"/>
  <c r="H23" i="58" s="1"/>
  <c r="H27" i="58" s="1"/>
  <c r="E52" i="78"/>
  <c r="D45" i="78"/>
  <c r="J23" i="58"/>
  <c r="J27" i="58" s="1"/>
  <c r="E5" i="100"/>
  <c r="E7" i="100" s="1"/>
  <c r="G9" i="80"/>
  <c r="L19" i="58"/>
  <c r="L23" i="58" s="1"/>
  <c r="L27" i="58" s="1"/>
  <c r="D20" i="78" l="1"/>
  <c r="G16" i="78"/>
  <c r="H16" i="78" s="1"/>
  <c r="L16" i="78" s="1"/>
  <c r="L20" i="78" s="1"/>
  <c r="L23" i="78" s="1"/>
  <c r="F16" i="78"/>
  <c r="E19" i="100"/>
  <c r="E22" i="100"/>
  <c r="E28" i="100" s="1"/>
  <c r="E34" i="100" s="1"/>
  <c r="E20" i="100"/>
  <c r="E26" i="100" s="1"/>
  <c r="E32" i="100" s="1"/>
  <c r="E21" i="100"/>
  <c r="D22" i="100"/>
  <c r="D28" i="100" s="1"/>
  <c r="D34" i="100" s="1"/>
  <c r="D20" i="100"/>
  <c r="D26" i="100" s="1"/>
  <c r="D32" i="100" s="1"/>
  <c r="D21" i="100"/>
  <c r="D19" i="100"/>
  <c r="D49" i="78"/>
  <c r="F45" i="78"/>
  <c r="F49" i="78" s="1"/>
  <c r="F52" i="78" s="1"/>
  <c r="G45" i="78"/>
  <c r="H45" i="78" s="1"/>
  <c r="L45" i="78" s="1"/>
  <c r="L49" i="78" s="1"/>
  <c r="L52" i="78" s="1"/>
  <c r="D25" i="100" l="1"/>
  <c r="D37" i="100" s="1"/>
  <c r="D44" i="100" s="1"/>
  <c r="D27" i="100"/>
  <c r="D39" i="100" s="1"/>
  <c r="D46" i="100" s="1"/>
  <c r="D52" i="78"/>
  <c r="G52" i="78" s="1"/>
  <c r="G49" i="78"/>
  <c r="E25" i="100"/>
  <c r="E39" i="100"/>
  <c r="E46" i="100" s="1"/>
  <c r="E27" i="100"/>
  <c r="D23" i="78"/>
  <c r="F20" i="78"/>
  <c r="G20" i="78"/>
  <c r="E37" i="100" l="1"/>
  <c r="E44" i="100" s="1"/>
  <c r="E48" i="100" s="1"/>
  <c r="E8" i="100" s="1"/>
  <c r="D48" i="100"/>
  <c r="D8" i="100" s="1"/>
  <c r="G23" i="78"/>
  <c r="F23" i="78"/>
  <c r="E53" i="78" l="1"/>
  <c r="L53" i="78" s="1"/>
  <c r="L54" i="78" s="1"/>
  <c r="L60" i="78" s="1"/>
  <c r="M61" i="78" s="1"/>
  <c r="E9" i="100"/>
  <c r="E10" i="100" s="1"/>
  <c r="E24" i="78"/>
  <c r="L24" i="78" s="1"/>
  <c r="L25" i="78" s="1"/>
  <c r="L31" i="78" s="1"/>
  <c r="M32" i="78" s="1"/>
  <c r="D9" i="100"/>
  <c r="D10" i="100" s="1"/>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USER</author>
    <author>RCD-SSP</author>
    <author>SUSHANT</author>
    <author>Prasanna kumar</author>
  </authors>
  <commentList>
    <comment ref="M1" authorId="0" shapeId="0" xr:uid="{229A8372-1088-40E8-902F-D69CC1250FB6}">
      <text>
        <r>
          <rPr>
            <b/>
            <sz val="9"/>
            <color indexed="81"/>
            <rFont val="Tahoma"/>
            <family val="2"/>
          </rPr>
          <t xml:space="preserve">SSP-RCD
</t>
        </r>
        <r>
          <rPr>
            <sz val="9"/>
            <color indexed="81"/>
            <rFont val="Tahoma"/>
            <family val="2"/>
          </rPr>
          <t>As per the implementation plan submitted in the DPR/ Approved by MERC</t>
        </r>
      </text>
    </comment>
    <comment ref="G18" authorId="1" shapeId="0" xr:uid="{1C6A4ECB-A732-404D-9D92-C7096C2902CD}">
      <text>
        <r>
          <rPr>
            <b/>
            <sz val="9"/>
            <color indexed="81"/>
            <rFont val="Tahoma"/>
            <family val="2"/>
          </rPr>
          <t>USER:</t>
        </r>
        <r>
          <rPr>
            <sz val="9"/>
            <color indexed="81"/>
            <rFont val="Tahoma"/>
            <family val="2"/>
          </rPr>
          <t xml:space="preserve">
(Cost included in Scheme of pressure drop across APH)</t>
        </r>
      </text>
    </comment>
    <comment ref="G52" authorId="2" shapeId="0" xr:uid="{C2C45428-10F8-472D-89EC-DB1B10F5682F}">
      <text>
        <r>
          <rPr>
            <b/>
            <sz val="9"/>
            <color indexed="81"/>
            <rFont val="Tahoma"/>
            <family val="2"/>
          </rPr>
          <t>RCD-SSP:</t>
        </r>
        <r>
          <rPr>
            <sz val="9"/>
            <color indexed="81"/>
            <rFont val="Tahoma"/>
            <family val="2"/>
          </rPr>
          <t xml:space="preserve">
29.51 As per financial model.
26.20 as per BR &amp; initial submission.</t>
        </r>
      </text>
    </comment>
    <comment ref="G146" authorId="2" shapeId="0" xr:uid="{C417CCDE-028B-4D84-A855-9E46639A2F89}">
      <text>
        <r>
          <rPr>
            <b/>
            <sz val="9"/>
            <color indexed="81"/>
            <rFont val="Tahoma"/>
            <family val="2"/>
          </rPr>
          <t>RCD-SSP:</t>
        </r>
        <r>
          <rPr>
            <sz val="9"/>
            <color indexed="81"/>
            <rFont val="Tahoma"/>
            <family val="2"/>
          </rPr>
          <t xml:space="preserve">
Initial submission: Rs. 171.51 Cr</t>
        </r>
      </text>
    </comment>
    <comment ref="G157" authorId="2" shapeId="0" xr:uid="{6CA2FC9F-6D1C-4318-BF4A-84B4EC58E46B}">
      <text>
        <r>
          <rPr>
            <b/>
            <sz val="9"/>
            <color indexed="81"/>
            <rFont val="Tahoma"/>
            <family val="2"/>
          </rPr>
          <t>RCD-SSP:</t>
        </r>
        <r>
          <rPr>
            <sz val="9"/>
            <color indexed="81"/>
            <rFont val="Tahoma"/>
            <family val="2"/>
          </rPr>
          <t xml:space="preserve">
Initial submission Rs. 16.52 with 2.15 IDC</t>
        </r>
      </text>
    </comment>
    <comment ref="G206" authorId="2" shapeId="0" xr:uid="{589F0635-691F-4555-9543-B690A80BD6A1}">
      <text>
        <r>
          <rPr>
            <b/>
            <sz val="9"/>
            <color indexed="81"/>
            <rFont val="Tahoma"/>
            <family val="2"/>
          </rPr>
          <t>RCD-SSP:</t>
        </r>
        <r>
          <rPr>
            <sz val="9"/>
            <color indexed="81"/>
            <rFont val="Tahoma"/>
            <family val="2"/>
          </rPr>
          <t xml:space="preserve">
Total DPR Cost Rs. 32 Cr.
9.6 is for C'pur only</t>
        </r>
      </text>
    </comment>
    <comment ref="G207" authorId="2" shapeId="0" xr:uid="{5BE11250-F4F4-4FAF-83D3-8270AC940EC5}">
      <text>
        <r>
          <rPr>
            <b/>
            <sz val="9"/>
            <color indexed="81"/>
            <rFont val="Tahoma"/>
            <family val="2"/>
          </rPr>
          <t>RCD-SSP:</t>
        </r>
        <r>
          <rPr>
            <sz val="9"/>
            <color indexed="81"/>
            <rFont val="Tahoma"/>
            <family val="2"/>
          </rPr>
          <t xml:space="preserve">
Total DPR Cost Rs. 32 Cr.
9.6 is for C'pur only</t>
        </r>
      </text>
    </comment>
    <comment ref="G227" authorId="3" shapeId="0" xr:uid="{1B074482-95B2-45BE-95A0-EF47CB08B611}">
      <text>
        <r>
          <rPr>
            <b/>
            <sz val="9"/>
            <color indexed="81"/>
            <rFont val="Tahoma"/>
            <family val="2"/>
          </rPr>
          <t>SSP-RCD:</t>
        </r>
        <r>
          <rPr>
            <sz val="9"/>
            <color indexed="81"/>
            <rFont val="Tahoma"/>
            <family val="2"/>
          </rPr>
          <t xml:space="preserve">
Need to split between nasik, parli &amp; chandrapur</t>
        </r>
      </text>
    </comment>
    <comment ref="G228" authorId="3" shapeId="0" xr:uid="{E2652DAA-3BC5-473B-BBEC-8F956D6A444E}">
      <text>
        <r>
          <rPr>
            <b/>
            <sz val="9"/>
            <color indexed="81"/>
            <rFont val="Tahoma"/>
            <family val="2"/>
          </rPr>
          <t>SSP-RCD:</t>
        </r>
        <r>
          <rPr>
            <sz val="9"/>
            <color indexed="81"/>
            <rFont val="Tahoma"/>
            <family val="2"/>
          </rPr>
          <t xml:space="preserve">
Including 18% GST &amp; 2% P&amp;F Charges</t>
        </r>
      </text>
    </comment>
    <comment ref="AP238" authorId="4" shapeId="0" xr:uid="{5D9CADA7-03CC-44B4-88ED-F977264378F8}">
      <text>
        <r>
          <rPr>
            <b/>
            <sz val="9"/>
            <color rgb="FF000000"/>
            <rFont val="Tahoma"/>
            <family val="2"/>
          </rPr>
          <t>Prasanna kumar:</t>
        </r>
        <r>
          <rPr>
            <sz val="9"/>
            <color rgb="FF000000"/>
            <rFont val="Tahoma"/>
            <family val="2"/>
          </rPr>
          <t xml:space="preserve">
take correct figures from account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D25" authorId="0" shapeId="0" xr:uid="{00000000-0006-0000-19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List>
</comments>
</file>

<file path=xl/sharedStrings.xml><?xml version="1.0" encoding="utf-8"?>
<sst xmlns="http://schemas.openxmlformats.org/spreadsheetml/2006/main" count="12561" uniqueCount="2446">
  <si>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</si>
  <si>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</si>
  <si>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</si>
  <si>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</si>
  <si>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</si>
  <si>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</si>
  <si>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</si>
  <si>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</si>
  <si>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</si>
  <si>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</si>
  <si>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</si>
  <si>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</si>
  <si>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</si>
  <si>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</si>
  <si>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</si>
  <si>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</si>
  <si>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</si>
  <si>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</si>
  <si>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</si>
  <si>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</si>
  <si>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</si>
  <si>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</si>
  <si>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</si>
  <si>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</si>
  <si>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</si>
  <si>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</si>
  <si>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</si>
  <si>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</si>
  <si>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</si>
  <si>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</si>
  <si>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</si>
  <si>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</si>
  <si>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</si>
  <si>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</si>
  <si>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</si>
  <si>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</si>
  <si>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</si>
  <si>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</si>
  <si>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</si>
  <si>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</si>
  <si>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</si>
  <si>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</si>
  <si>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</si>
  <si>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</si>
  <si>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</si>
  <si>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</si>
  <si>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</si>
  <si>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</si>
  <si>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</si>
  <si>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</si>
  <si>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</si>
  <si>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</si>
  <si>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</si>
  <si>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</si>
  <si>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</si>
  <si>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</si>
  <si>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</si>
  <si>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</si>
  <si>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</si>
  <si>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</si>
  <si>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</si>
  <si>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</si>
  <si>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</si>
  <si>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</si>
  <si>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</si>
  <si>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</si>
  <si>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</si>
  <si>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</si>
  <si>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</si>
  <si>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</si>
  <si>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</si>
  <si>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</si>
  <si>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</si>
  <si>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</si>
  <si>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</si>
  <si>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</si>
  <si>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</si>
  <si>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</si>
  <si>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</si>
  <si>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</si>
  <si>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</si>
  <si>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</si>
  <si>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</si>
  <si>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</si>
  <si>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</si>
  <si>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</si>
  <si>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</si>
  <si>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</si>
  <si>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</si>
  <si>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</si>
  <si>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</si>
  <si>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</si>
  <si>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</si>
  <si>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</si>
  <si>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</si>
  <si>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</si>
  <si>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</si>
  <si>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</si>
  <si>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</si>
  <si>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</si>
  <si>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</si>
  <si>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</si>
  <si>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</si>
  <si>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</si>
  <si>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</si>
  <si>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</si>
  <si>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</si>
  <si>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</si>
  <si>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</si>
  <si>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</si>
  <si>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</si>
  <si>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</si>
  <si>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</si>
  <si>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</si>
  <si>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</si>
  <si>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</si>
  <si>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</si>
  <si>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</si>
  <si>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</si>
  <si>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</si>
  <si>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</si>
  <si>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</si>
  <si>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</si>
  <si>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</si>
  <si>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</si>
  <si>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</si>
  <si>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</si>
  <si>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</si>
  <si>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</si>
  <si>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</si>
  <si>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</si>
  <si>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</si>
  <si>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</si>
  <si>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</si>
  <si>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</si>
  <si>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</si>
  <si>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</si>
  <si>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</si>
  <si>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</si>
  <si>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</si>
  <si>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</si>
  <si>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</si>
  <si>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</si>
  <si>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</si>
  <si>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</si>
  <si>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</si>
  <si>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</si>
  <si>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</si>
  <si>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</si>
  <si>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</si>
  <si>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</si>
  <si>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</si>
  <si>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</si>
  <si>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</si>
  <si>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</si>
  <si>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</si>
  <si>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</si>
  <si>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</si>
  <si>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</si>
  <si>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</si>
  <si>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</si>
  <si>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</si>
  <si>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</si>
  <si>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</si>
  <si>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</si>
  <si>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</si>
  <si>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</si>
  <si>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</si>
  <si>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</si>
  <si>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</si>
  <si>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</si>
  <si>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</si>
  <si>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</si>
  <si>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</si>
  <si>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</si>
  <si>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</si>
  <si>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</si>
  <si>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</si>
  <si>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</si>
  <si>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</si>
  <si>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</si>
  <si>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</si>
  <si>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</si>
  <si>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</si>
  <si>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</si>
  <si>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</si>
  <si>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</si>
  <si>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</si>
  <si>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</si>
  <si>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</si>
  <si>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</si>
  <si>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</si>
  <si>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</si>
  <si>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</si>
  <si>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</si>
  <si>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</si>
  <si>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</si>
  <si>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</si>
  <si>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</si>
  <si>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</si>
  <si>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</si>
  <si>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</si>
  <si>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</si>
  <si>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</si>
  <si>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</si>
  <si>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</si>
  <si>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</si>
  <si>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</si>
  <si>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</si>
  <si>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</si>
  <si>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</si>
  <si>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</si>
  <si>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</si>
  <si>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</si>
  <si>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</si>
  <si>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</si>
  <si>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</si>
  <si>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</si>
  <si>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</si>
  <si>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</si>
  <si>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</si>
  <si>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</si>
  <si>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</si>
  <si>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</si>
  <si>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</si>
  <si>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</si>
  <si>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</si>
  <si>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</si>
  <si>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</si>
  <si>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</si>
  <si>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</si>
  <si>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</si>
  <si>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</si>
  <si>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</si>
  <si>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</si>
  <si>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</si>
  <si>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</si>
  <si>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</si>
  <si>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</si>
  <si>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</si>
  <si>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</si>
  <si>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</si>
  <si>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</si>
  <si>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</si>
  <si>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</si>
  <si>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</si>
  <si>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</si>
  <si>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</si>
  <si>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</si>
  <si>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</si>
  <si>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</si>
  <si>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</si>
  <si>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</si>
  <si>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</si>
  <si>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</si>
  <si>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</si>
  <si>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</si>
  <si>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</si>
  <si>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</si>
  <si>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</si>
  <si>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</si>
  <si>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</si>
  <si>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</si>
  <si>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</si>
  <si>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</si>
  <si>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</si>
  <si>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</si>
  <si>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</si>
  <si>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</si>
  <si>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</si>
  <si>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</si>
  <si>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</si>
  <si>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</si>
  <si>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</si>
  <si>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</si>
  <si>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</si>
  <si>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</si>
  <si>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</si>
  <si>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</si>
  <si>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</si>
  <si>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</si>
  <si>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</si>
  <si>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</si>
  <si>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</si>
  <si>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</si>
  <si>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</si>
  <si>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</si>
  <si>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</si>
  <si>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</si>
  <si>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</si>
  <si>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</si>
  <si>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</si>
  <si>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</si>
  <si>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</si>
  <si>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</si>
  <si>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</si>
  <si>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</si>
  <si>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</si>
  <si>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</si>
  <si>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</si>
  <si>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</si>
  <si>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</si>
  <si>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</si>
  <si>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</si>
  <si>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</si>
  <si>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</si>
  <si>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</si>
  <si>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</si>
  <si>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</si>
  <si>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</si>
  <si>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</si>
  <si>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</si>
  <si>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</si>
  <si>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</si>
  <si>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</si>
  <si>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</si>
  <si>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</si>
  <si>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</si>
  <si>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</si>
  <si>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</si>
  <si>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</si>
  <si>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</si>
  <si>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</si>
  <si>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</si>
  <si>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</si>
  <si>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</si>
  <si>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</si>
  <si>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</si>
  <si>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</si>
  <si>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</si>
  <si>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</si>
  <si>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</si>
  <si>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</si>
  <si>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</si>
  <si>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</si>
  <si>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</si>
  <si>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</si>
  <si>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</si>
  <si>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</si>
  <si>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</si>
  <si>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</si>
  <si>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</si>
  <si>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</si>
  <si>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</si>
  <si>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</si>
  <si>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</si>
  <si>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</si>
  <si>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</si>
  <si>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</si>
  <si>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</si>
  <si>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</si>
  <si>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</si>
  <si>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</si>
  <si>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</si>
  <si>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</si>
  <si>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</si>
  <si>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</si>
  <si>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</si>
  <si>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</si>
  <si>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</si>
  <si>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</si>
  <si>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</si>
  <si>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</si>
  <si>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</si>
  <si>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</si>
  <si>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</si>
  <si>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</si>
  <si>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</si>
  <si>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</si>
  <si>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</si>
  <si>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</si>
  <si>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</si>
  <si>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</si>
  <si>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</si>
  <si>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</si>
  <si>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</si>
  <si>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</si>
  <si>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</si>
  <si>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</si>
  <si>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</si>
  <si>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</si>
  <si>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</si>
  <si>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</si>
  <si>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</si>
  <si>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</si>
  <si>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</si>
  <si>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</si>
  <si>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</si>
  <si>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</si>
  <si>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</si>
  <si>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</si>
  <si>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</si>
  <si>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</si>
  <si>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</si>
  <si>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</si>
  <si>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</si>
  <si>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</si>
  <si>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</si>
  <si>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</si>
  <si>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</si>
  <si>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</si>
  <si>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</si>
  <si>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</si>
  <si>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</si>
  <si>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</si>
  <si>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</si>
  <si>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</si>
  <si>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</si>
  <si>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</si>
  <si>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</si>
  <si>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</si>
  <si>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</si>
  <si>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</si>
  <si>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</si>
  <si>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</si>
  <si>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</si>
  <si>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</si>
  <si>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</si>
  <si>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</si>
  <si>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</si>
  <si>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</si>
  <si>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</si>
  <si>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</si>
  <si>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</si>
  <si>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</si>
  <si>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</si>
  <si>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</si>
  <si>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</si>
  <si>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</si>
  <si>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</si>
  <si>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</si>
  <si>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</si>
  <si>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</si>
  <si>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</si>
  <si>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</si>
  <si>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</si>
  <si>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</si>
  <si>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</si>
  <si>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</si>
  <si>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</si>
  <si>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</si>
  <si>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</si>
  <si>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</si>
  <si>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</si>
  <si>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</si>
  <si>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</si>
  <si>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</si>
  <si>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</si>
  <si>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</si>
  <si>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</si>
  <si>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</si>
  <si>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</si>
  <si>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</si>
  <si>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</si>
  <si>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</si>
  <si>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</si>
  <si>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</si>
  <si>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</si>
  <si>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</si>
  <si>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</si>
  <si>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</si>
  <si>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</si>
  <si>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</si>
  <si>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</si>
  <si>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</si>
  <si>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</si>
  <si>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</si>
  <si>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</si>
  <si>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</si>
  <si>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</si>
  <si>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</si>
  <si>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</si>
  <si>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</si>
  <si>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</si>
  <si>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</si>
  <si>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</si>
  <si>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</si>
  <si>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</si>
  <si>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</si>
  <si>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</si>
  <si>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</si>
  <si>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</si>
  <si>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</si>
  <si>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</si>
  <si>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</si>
  <si>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</si>
  <si>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</si>
  <si>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</si>
  <si>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</si>
  <si>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</si>
  <si>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</si>
  <si>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</si>
  <si>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</si>
  <si>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</si>
  <si>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</si>
  <si>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</si>
  <si>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</si>
  <si>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</si>
  <si>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</si>
  <si>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</si>
  <si>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</si>
  <si>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</si>
  <si>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</si>
  <si>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</si>
  <si>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</si>
  <si>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</si>
  <si>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</si>
  <si>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</si>
  <si>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</si>
  <si>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</si>
  <si>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</si>
  <si>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</si>
  <si>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</si>
  <si>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</si>
  <si>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</si>
  <si>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</si>
  <si>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</si>
  <si>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</si>
  <si>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</si>
  <si>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</si>
  <si>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</si>
  <si>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</si>
  <si>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</si>
  <si>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</si>
  <si>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</si>
  <si>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</si>
  <si>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</si>
  <si>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</si>
  <si>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</si>
  <si>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</si>
  <si>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</si>
  <si>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</si>
  <si>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</si>
  <si>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</si>
  <si>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</si>
  <si>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</si>
  <si>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</si>
  <si>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</si>
  <si>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</si>
  <si>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</si>
  <si>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</si>
  <si>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</si>
  <si>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</si>
  <si>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</si>
  <si>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</si>
  <si>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</si>
  <si>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</si>
  <si>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</si>
  <si>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</si>
  <si>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</si>
  <si>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</si>
  <si>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</si>
  <si>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</si>
  <si>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</si>
  <si>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</si>
  <si>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</si>
  <si>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</si>
  <si>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</si>
  <si>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</si>
  <si>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</si>
  <si>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</si>
  <si>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</si>
  <si>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</si>
  <si>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</si>
  <si>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</si>
  <si>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</si>
  <si>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</si>
  <si>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</si>
  <si>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</si>
  <si>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</si>
  <si>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</si>
  <si>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</si>
  <si>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</si>
  <si>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</si>
  <si>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</si>
  <si>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</si>
  <si>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</si>
  <si>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</si>
  <si>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</si>
  <si>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</si>
  <si>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</si>
  <si>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</si>
  <si>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</si>
  <si>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</si>
  <si>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</si>
  <si>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</si>
  <si>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</si>
  <si>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</si>
  <si>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</si>
  <si>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</si>
  <si>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</si>
  <si>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</si>
  <si>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</si>
  <si>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</si>
  <si>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</si>
  <si>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</si>
  <si>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</si>
  <si>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</si>
  <si>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</si>
  <si>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</si>
  <si>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</si>
  <si>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</si>
  <si>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</si>
  <si>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</si>
  <si>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</si>
  <si>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</si>
  <si>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</si>
  <si>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</si>
  <si>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</si>
  <si>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</si>
  <si>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</si>
  <si>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</si>
  <si>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</si>
  <si>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</si>
  <si>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</si>
  <si>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</si>
  <si>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</si>
  <si>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</si>
  <si>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</si>
  <si>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</si>
  <si>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</si>
  <si>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</si>
  <si>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</si>
  <si>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</si>
  <si>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</si>
  <si>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</si>
  <si>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</si>
  <si>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</si>
  <si>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</si>
  <si>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</si>
  <si>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</si>
  <si>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</si>
  <si>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</si>
  <si>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</si>
  <si>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</si>
  <si>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</si>
  <si>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</si>
  <si>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</si>
  <si>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</si>
  <si>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</si>
  <si>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</si>
  <si>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</si>
  <si>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</si>
  <si>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</si>
  <si>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</si>
  <si>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</si>
  <si>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</si>
  <si>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</si>
  <si>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</si>
  <si>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</si>
  <si>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</si>
  <si>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</si>
  <si>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</si>
  <si>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</si>
  <si>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</si>
  <si>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</si>
  <si>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</si>
  <si>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</si>
  <si>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</si>
  <si>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</si>
  <si>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</si>
  <si>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</si>
  <si>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</si>
  <si>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</si>
  <si>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</si>
  <si>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</si>
  <si>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</si>
  <si>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</si>
  <si>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</si>
  <si>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</si>
  <si>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</si>
  <si>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</si>
  <si>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</si>
  <si>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</si>
  <si>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</si>
  <si>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</si>
  <si>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</si>
  <si>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</si>
  <si>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</si>
  <si>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</si>
  <si>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</si>
  <si>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</si>
  <si>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</si>
  <si>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</si>
  <si>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</si>
  <si>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</si>
  <si>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</si>
  <si>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</si>
  <si>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</si>
  <si>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</si>
  <si>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</si>
  <si>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</si>
  <si>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</si>
  <si>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</si>
  <si>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</si>
  <si>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</si>
  <si>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</si>
  <si>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</si>
  <si>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</si>
  <si>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</si>
  <si>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</si>
  <si>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</si>
  <si>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</si>
  <si>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</si>
  <si>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</si>
  <si>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</si>
  <si>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</si>
  <si>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t>(l) = (k) - (j)</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</si>
  <si>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</si>
  <si>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</si>
  <si>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</si>
  <si>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</si>
  <si>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</si>
  <si>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</si>
  <si>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</si>
  <si>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</si>
  <si>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</si>
  <si>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</si>
  <si>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</si>
  <si>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</si>
  <si>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</si>
  <si>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</si>
  <si>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</si>
  <si>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r>
      <rPr>
        <b/>
        <sz val="11"/>
        <rFont val="Times New Roman"/>
        <family val="1"/>
      </rPr>
      <t>Note</t>
    </r>
    <r>
      <rPr>
        <sz val="11"/>
        <rFont val="Times New Roman"/>
        <family val="1"/>
      </rPr>
      <t>: # Generating Company shall submit MSLDC certificate to substantiate incremental ramp rate over and above the ramp rate of 1% per minute as specified in the Regulations</t>
    </r>
  </si>
  <si>
    <t>$ Generating Company shall submit SLDC certificate to substantiate Mean Time Between Failures as per formula specified in the Regulations</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</si>
  <si>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</si>
  <si>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</si>
  <si>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</si>
  <si>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</si>
  <si>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</si>
  <si>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</si>
  <si>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</si>
  <si>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</si>
  <si>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</si>
  <si>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</si>
  <si>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</si>
  <si>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</si>
  <si>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</si>
  <si>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</si>
  <si>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</si>
  <si>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</si>
  <si>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</si>
  <si>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</si>
  <si>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</si>
  <si>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</si>
  <si>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</si>
  <si>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</si>
  <si>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</si>
  <si>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</si>
  <si>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</si>
  <si>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</si>
  <si>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</si>
  <si>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</si>
  <si>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</si>
  <si>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</si>
  <si>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</si>
  <si>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</si>
  <si>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</si>
  <si>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</si>
  <si>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</si>
  <si>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</si>
  <si>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</si>
  <si>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</si>
  <si>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</si>
  <si>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</si>
  <si>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</si>
  <si>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</si>
  <si>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</si>
  <si>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</si>
  <si>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</si>
  <si>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</si>
  <si>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</si>
  <si>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</si>
  <si>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</si>
  <si>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</si>
  <si>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</si>
  <si>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</si>
  <si>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</si>
  <si>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</si>
  <si>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</si>
  <si>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</si>
  <si>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</si>
  <si>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</si>
  <si>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</si>
  <si>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</si>
  <si>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</si>
  <si>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</si>
  <si>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</si>
  <si>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</si>
  <si>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</si>
  <si>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</si>
  <si>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</si>
  <si>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</si>
  <si>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</si>
  <si>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</si>
  <si>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</si>
  <si>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</si>
  <si>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</si>
  <si>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</si>
  <si>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</si>
  <si>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</si>
  <si>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</si>
  <si>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</si>
  <si>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</si>
  <si>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</si>
  <si>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</si>
  <si>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</si>
  <si>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</si>
  <si>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</si>
  <si>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</si>
  <si>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Apr-Mar     (Audited)</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</si>
  <si>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</si>
  <si>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</si>
  <si>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</si>
  <si>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</si>
  <si>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</si>
  <si>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</si>
  <si>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</si>
  <si>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</si>
  <si>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</si>
  <si>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</si>
  <si>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</si>
  <si>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</si>
  <si>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</si>
  <si>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</si>
  <si>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</si>
  <si>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</si>
  <si>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</si>
  <si>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</si>
  <si>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</si>
  <si>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</si>
  <si>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</si>
  <si>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</si>
  <si>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</si>
  <si>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</si>
  <si>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</si>
  <si>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</si>
  <si>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</si>
  <si>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</si>
  <si>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</si>
  <si>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</si>
  <si>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</si>
  <si>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</si>
  <si>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</si>
  <si>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</si>
  <si>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</si>
  <si>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</si>
  <si>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</si>
  <si>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</si>
  <si>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</si>
  <si>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</si>
  <si>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</si>
  <si>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</si>
  <si>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</si>
  <si>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</si>
  <si>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</si>
  <si>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</si>
  <si>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</si>
  <si>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</si>
  <si>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</si>
  <si>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</si>
  <si>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</si>
  <si>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</si>
  <si>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</si>
  <si>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</si>
  <si>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</si>
  <si>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</si>
  <si>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</si>
  <si>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</si>
  <si>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</si>
  <si>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</si>
  <si>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</si>
  <si>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</si>
  <si>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</si>
  <si>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</si>
  <si>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</si>
  <si>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</si>
  <si>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</si>
  <si>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</si>
  <si>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</si>
  <si>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</si>
  <si>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</si>
  <si>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</si>
  <si>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</si>
  <si>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</si>
  <si>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</si>
  <si>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</si>
  <si>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</si>
  <si>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</si>
  <si>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</si>
  <si>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</si>
  <si>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</si>
  <si>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</si>
  <si>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</si>
  <si>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</si>
  <si>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</si>
  <si>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</si>
  <si>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</si>
  <si>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</si>
  <si>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</si>
  <si>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</si>
  <si>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</si>
  <si>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</si>
  <si>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</si>
  <si>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</si>
  <si>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</si>
  <si>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</si>
  <si>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</si>
  <si>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</si>
  <si>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</si>
  <si>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</si>
  <si>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</si>
  <si>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</si>
  <si>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</si>
  <si>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</si>
  <si>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</si>
  <si>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</si>
  <si>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</si>
  <si>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</si>
  <si>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</si>
  <si>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</si>
  <si>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</si>
  <si>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</si>
  <si>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</si>
  <si>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</si>
  <si>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</si>
  <si>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</si>
  <si>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</si>
  <si>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DPR</t>
  </si>
  <si>
    <t>Date of Submission</t>
  </si>
  <si>
    <t xml:space="preserve">Cost as per DPR  Crs. </t>
  </si>
  <si>
    <t>Old Asset retired against capitalised item (in Rs. Cr)</t>
  </si>
  <si>
    <t>Current Status</t>
  </si>
  <si>
    <t>N.A.</t>
  </si>
  <si>
    <t>Not Initiated</t>
  </si>
  <si>
    <t>A) DPR Schemes</t>
  </si>
  <si>
    <t>Scheme</t>
  </si>
  <si>
    <t>WIP</t>
  </si>
  <si>
    <t>Partially Capitalised</t>
  </si>
  <si>
    <t>Non-DPR</t>
  </si>
  <si>
    <t>Capitalised</t>
  </si>
  <si>
    <t>Cancelled</t>
  </si>
  <si>
    <t>To be cancelled</t>
  </si>
  <si>
    <t>To be confirmed</t>
  </si>
  <si>
    <t>Procurement of energy efficient HT motors at Bhusawal TPS, Koradi TPS, Chandrapur TPS, khaperkheda TPS, Parli TPS &amp; Paras TPS as insurance spares</t>
  </si>
  <si>
    <t>MERC/TECH 1/CAPEX/20142015/01218</t>
  </si>
  <si>
    <t>HO
DPR 6</t>
  </si>
  <si>
    <t>Supply, Installation, Commissioning and Operation &amp; Maintenance Services of Continuous Ambient Air Quality Monitoring Stations (CAAQMS) at various TPS</t>
  </si>
  <si>
    <t>MERC/CAPEX/20162017/00423</t>
  </si>
  <si>
    <t>HO
DPR 7</t>
  </si>
  <si>
    <t>Installation of Real Time Online Coal-Ash Analyzer at various TPS</t>
  </si>
  <si>
    <t>MERC/CAPEX/20162017/00774</t>
  </si>
  <si>
    <t>B) Non-DPR Schemes</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</si>
  <si>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</si>
  <si>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</si>
  <si>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</si>
  <si>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</si>
  <si>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</si>
  <si>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</si>
  <si>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</si>
  <si>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Oct-Mar 
(Estimated)</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</si>
  <si>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</si>
  <si>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</si>
  <si>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</si>
  <si>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</si>
  <si>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</si>
  <si>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</si>
  <si>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</si>
  <si>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</si>
  <si>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</si>
  <si>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</si>
  <si>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</si>
  <si>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</si>
  <si>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</si>
  <si>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</si>
  <si>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</si>
  <si>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</si>
  <si>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</si>
  <si>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</si>
  <si>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</si>
  <si>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</si>
  <si>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</si>
  <si>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</si>
  <si>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</si>
  <si>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</si>
  <si>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</si>
  <si>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</si>
  <si>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</si>
  <si>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</si>
  <si>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</si>
  <si>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</si>
  <si>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</si>
  <si>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</si>
  <si>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</si>
  <si>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</si>
  <si>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</si>
  <si>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</si>
  <si>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</si>
  <si>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</si>
  <si>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</si>
  <si>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</si>
  <si>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</si>
  <si>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</si>
  <si>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</si>
  <si>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</si>
  <si>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</si>
  <si>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</si>
  <si>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</si>
  <si>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</si>
  <si>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</si>
  <si>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</si>
  <si>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</si>
  <si>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</si>
  <si>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</si>
  <si>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</si>
  <si>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</si>
  <si>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</si>
  <si>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</si>
  <si>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</si>
  <si>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</si>
  <si>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</si>
  <si>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</si>
  <si>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</si>
  <si>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</si>
  <si>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</si>
  <si>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</si>
  <si>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</si>
  <si>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</si>
  <si>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</si>
  <si>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</si>
  <si>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</si>
  <si>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</si>
  <si>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</si>
  <si>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</si>
  <si>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</si>
  <si>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</si>
  <si>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</si>
  <si>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</si>
  <si>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</si>
  <si>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</si>
  <si>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</si>
  <si>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</si>
  <si>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</si>
  <si>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</si>
  <si>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</si>
  <si>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</si>
  <si>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</si>
  <si>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</si>
  <si>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</si>
  <si>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</si>
  <si>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</si>
  <si>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 xml:space="preserve">Revenue from SOP to Colony and others </t>
  </si>
  <si>
    <t>Net Revenue Requirement</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</si>
  <si>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</si>
  <si>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</si>
  <si>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</si>
  <si>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</si>
  <si>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</si>
  <si>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</si>
  <si>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</si>
  <si>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</si>
  <si>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</si>
  <si>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</si>
  <si>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</si>
  <si>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</si>
  <si>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</si>
  <si>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</si>
  <si>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</si>
  <si>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</si>
  <si>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</si>
  <si>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</si>
  <si>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</si>
  <si>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</si>
  <si>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</si>
  <si>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</si>
  <si>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</si>
  <si>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</si>
  <si>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</si>
  <si>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</si>
  <si>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</si>
  <si>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</si>
  <si>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</si>
  <si>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</si>
  <si>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</si>
  <si>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</si>
  <si>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</si>
  <si>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</si>
  <si>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(ag) = (ac)+(ad)-(ae)-(af)</t>
  </si>
  <si>
    <t>(af)</t>
  </si>
  <si>
    <t>(ae)</t>
  </si>
  <si>
    <t>(ad)</t>
  </si>
  <si>
    <t>(ac)</t>
  </si>
  <si>
    <t>(q) = (m)+(n)-(o)-(p)</t>
  </si>
  <si>
    <t>(p)</t>
  </si>
  <si>
    <t>(o)</t>
  </si>
  <si>
    <t>(m) = (i)+(j)-(k)-(l)</t>
  </si>
  <si>
    <t>2. Transmission Licensee shall submit certification from the Statutory Auditor for the capping of depreciation at ninety per cent of the allowable capital cost of the asset</t>
  </si>
  <si>
    <r>
      <rPr>
        <b/>
        <sz val="11"/>
        <rFont val="Times New Roman"/>
        <family val="1"/>
      </rPr>
      <t>Note</t>
    </r>
    <r>
      <rPr>
        <sz val="11"/>
        <rFont val="Times New Roman"/>
        <family val="1"/>
      </rPr>
      <t>: Documentary evidence of all assets put to use during the completed Years shall be provided with this format+B50</t>
    </r>
  </si>
  <si>
    <t>Form 5.1 (E): Assets &amp; Depreciation- Existing Schemes (CoD on or before the March 31, 2025 or Assets in-principally approved  before the notification of MERC MYT Regulations 2024)</t>
  </si>
  <si>
    <t>Form 5.1 (N): Assets &amp; Depreciation - New Schemes  (not covered under Existing Assets)</t>
  </si>
  <si>
    <t>(u)=(q)+(r)</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</si>
  <si>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</si>
  <si>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</si>
  <si>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</si>
  <si>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</si>
  <si>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</si>
  <si>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</si>
  <si>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</si>
  <si>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</si>
  <si>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</si>
  <si>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</si>
  <si>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</si>
  <si>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</si>
  <si>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</si>
  <si>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</si>
  <si>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</si>
  <si>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</si>
  <si>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</si>
  <si>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</si>
  <si>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</si>
  <si>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</si>
  <si>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</si>
  <si>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</si>
  <si>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</si>
  <si>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</si>
  <si>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</si>
  <si>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</si>
  <si>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</si>
  <si>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</si>
  <si>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</si>
  <si>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</si>
  <si>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</si>
  <si>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</si>
  <si>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</si>
  <si>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</si>
  <si>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</si>
  <si>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</si>
  <si>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</si>
  <si>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</si>
  <si>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</si>
  <si>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</si>
  <si>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</si>
  <si>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</si>
  <si>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</si>
  <si>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</si>
  <si>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</si>
  <si>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</si>
  <si>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</si>
  <si>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</si>
  <si>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</si>
  <si>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</si>
  <si>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</si>
  <si>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</si>
  <si>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</si>
  <si>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</si>
  <si>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</si>
  <si>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</si>
  <si>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</si>
  <si>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</si>
  <si>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</si>
  <si>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</si>
  <si>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</si>
  <si>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</si>
  <si>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</si>
  <si>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</si>
  <si>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</si>
  <si>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</si>
  <si>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</si>
  <si>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</si>
  <si>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</si>
  <si>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</si>
  <si>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</si>
  <si>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</si>
  <si>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</si>
  <si>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</si>
  <si>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</si>
  <si>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</si>
  <si>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</si>
  <si>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</si>
  <si>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</si>
  <si>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</si>
  <si>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</si>
  <si>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</si>
  <si>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</si>
  <si>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</si>
  <si>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</si>
  <si>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</si>
  <si>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</si>
  <si>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</si>
  <si>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</si>
  <si>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</si>
  <si>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</si>
  <si>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</si>
  <si>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</si>
  <si>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</si>
  <si>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</si>
  <si>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</si>
  <si>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</si>
  <si>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</si>
  <si>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</si>
  <si>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</si>
  <si>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</si>
  <si>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</si>
  <si>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</si>
  <si>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</si>
  <si>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</si>
  <si>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</si>
  <si>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</si>
  <si>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</si>
  <si>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</si>
  <si>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</si>
  <si>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</si>
  <si>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</si>
  <si>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</si>
  <si>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</si>
  <si>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</si>
  <si>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</si>
  <si>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</si>
  <si>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</si>
  <si>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</si>
  <si>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</si>
  <si>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</si>
  <si>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</si>
  <si>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</si>
  <si>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</si>
  <si>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</si>
  <si>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</si>
  <si>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</si>
  <si>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</si>
  <si>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</si>
  <si>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</si>
  <si>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</si>
  <si>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</si>
  <si>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</si>
  <si>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</si>
  <si>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</si>
  <si>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</si>
  <si>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</si>
  <si>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</si>
  <si>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</si>
  <si>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</si>
  <si>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</si>
  <si>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</si>
  <si>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</si>
  <si>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</si>
  <si>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</si>
  <si>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</si>
  <si>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</si>
  <si>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</si>
  <si>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</si>
  <si>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</si>
  <si>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</si>
  <si>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</si>
  <si>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</si>
  <si>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</si>
  <si>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</si>
  <si>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</si>
  <si>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</si>
  <si>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</si>
  <si>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</si>
  <si>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</si>
  <si>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</si>
  <si>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</si>
  <si>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</si>
  <si>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</si>
  <si>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</si>
  <si>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</si>
  <si>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</si>
  <si>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</si>
  <si>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</si>
  <si>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</si>
  <si>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</si>
  <si>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</si>
  <si>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</si>
  <si>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</si>
  <si>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</si>
  <si>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</si>
  <si>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</si>
  <si>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</si>
  <si>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</si>
  <si>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</si>
  <si>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</si>
  <si>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</si>
  <si>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</si>
  <si>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</si>
  <si>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</si>
  <si>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</si>
  <si>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</si>
  <si>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</si>
  <si>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</si>
  <si>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</si>
  <si>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</si>
  <si>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</si>
  <si>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</si>
  <si>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</si>
  <si>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</si>
  <si>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</si>
  <si>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</si>
  <si>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</si>
  <si>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</si>
  <si>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</si>
  <si>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</si>
  <si>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</si>
  <si>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</si>
  <si>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</si>
  <si>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</si>
  <si>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</si>
  <si>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</si>
  <si>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</si>
  <si>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</si>
  <si>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</si>
  <si>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</si>
  <si>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</si>
  <si>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</si>
  <si>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</si>
  <si>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</si>
  <si>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</si>
  <si>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</si>
  <si>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</si>
  <si>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</si>
  <si>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</si>
  <si>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</si>
  <si>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</si>
  <si>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</si>
  <si>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</si>
  <si>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</si>
  <si>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</si>
  <si>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</si>
  <si>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</si>
  <si>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</si>
  <si>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</si>
  <si>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</si>
  <si>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</si>
  <si>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</si>
  <si>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</si>
  <si>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</si>
  <si>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</si>
  <si>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</si>
  <si>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</si>
  <si>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</si>
  <si>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</si>
  <si>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</si>
  <si>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</si>
  <si>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</si>
  <si>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</si>
  <si>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</si>
  <si>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</si>
  <si>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</si>
  <si>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</si>
  <si>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</si>
  <si>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</si>
  <si>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</si>
  <si>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</si>
  <si>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</si>
  <si>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</si>
  <si>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</si>
  <si>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</si>
  <si>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</si>
  <si>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</si>
  <si>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</si>
  <si>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</si>
  <si>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</si>
  <si>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</si>
  <si>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</si>
  <si>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</si>
  <si>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</si>
  <si>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</si>
  <si>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</si>
  <si>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</si>
  <si>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</si>
  <si>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</si>
  <si>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</si>
  <si>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</si>
  <si>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</si>
  <si>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</si>
  <si>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</si>
  <si>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</si>
  <si>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</si>
  <si>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</si>
  <si>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</si>
  <si>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</si>
  <si>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</si>
  <si>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</si>
  <si>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</si>
  <si>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</si>
  <si>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</si>
  <si>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</si>
  <si>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</si>
  <si>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</si>
  <si>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</si>
  <si>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</si>
  <si>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</si>
  <si>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</si>
  <si>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</si>
  <si>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</si>
  <si>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</si>
  <si>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</si>
  <si>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</si>
  <si>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</si>
  <si>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</si>
  <si>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</si>
  <si>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</si>
  <si>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</si>
  <si>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</si>
  <si>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</si>
  <si>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</si>
  <si>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</si>
  <si>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</si>
  <si>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</si>
  <si>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</si>
  <si>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</si>
  <si>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</si>
  <si>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</si>
  <si>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</si>
  <si>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</si>
  <si>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</si>
  <si>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</si>
  <si>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</si>
  <si>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</si>
  <si>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</si>
  <si>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</si>
  <si>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</si>
  <si>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</si>
  <si>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</si>
  <si>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</si>
  <si>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</si>
  <si>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</si>
  <si>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</si>
  <si>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</si>
  <si>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</si>
  <si>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</si>
  <si>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</si>
  <si>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</si>
  <si>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</si>
  <si>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</si>
  <si>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</si>
  <si>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</si>
  <si>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</si>
  <si>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</si>
  <si>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</si>
  <si>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</si>
  <si>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</si>
  <si>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</si>
  <si>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</si>
  <si>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</si>
  <si>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</si>
  <si>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</si>
  <si>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</si>
  <si>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</si>
  <si>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</si>
  <si>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</si>
  <si>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</si>
  <si>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</si>
  <si>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</si>
  <si>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</si>
  <si>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</si>
  <si>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</si>
  <si>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</si>
  <si>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</si>
  <si>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</si>
  <si>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</si>
  <si>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</si>
  <si>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</si>
  <si>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</si>
  <si>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</si>
  <si>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</si>
  <si>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</si>
  <si>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</si>
  <si>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</si>
  <si>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</si>
  <si>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</si>
  <si>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</si>
  <si>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</si>
  <si>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</si>
  <si>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</si>
  <si>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</si>
  <si>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</si>
  <si>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MYT Petition Formats for Chandrapur Unit 3-7</t>
  </si>
  <si>
    <t xml:space="preserve">Form 5= Form 5.1 (E) + Form 5.1 (N) : Total Assets &amp; Depreciation for assets </t>
  </si>
  <si>
    <t>Admin building Rent (Treatment is different as per IND AS)</t>
  </si>
  <si>
    <t>Calorific Value (As Fired) imported</t>
  </si>
  <si>
    <t>PFC - BLC General Capex (Allocation of Generic loans) (All TPS)</t>
  </si>
  <si>
    <t xml:space="preserve">  PFC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</si>
  <si>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</si>
  <si>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</si>
  <si>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</si>
  <si>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</si>
  <si>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</si>
  <si>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</si>
  <si>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</si>
  <si>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</si>
  <si>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</si>
  <si>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</si>
  <si>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</si>
  <si>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</si>
  <si>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</si>
  <si>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</si>
  <si>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</si>
  <si>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</si>
  <si>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</si>
  <si>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</si>
  <si>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</si>
  <si>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</si>
  <si>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</si>
  <si>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</si>
  <si>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</si>
  <si>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</si>
  <si>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</si>
  <si>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</si>
  <si>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</si>
  <si>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</si>
  <si>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</si>
  <si>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</si>
  <si>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Fuel Related Expenses - ECS</t>
  </si>
  <si>
    <t>O&amp;M Charges - ECS</t>
  </si>
  <si>
    <t>Interest on Working Capital - ECS</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</si>
  <si>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</si>
  <si>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</si>
  <si>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</si>
  <si>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</si>
  <si>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</si>
  <si>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</si>
  <si>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</si>
  <si>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</si>
  <si>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</si>
  <si>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</si>
  <si>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</si>
  <si>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</si>
  <si>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</si>
  <si>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</si>
  <si>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</si>
  <si>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</si>
  <si>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</si>
  <si>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</si>
  <si>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</si>
  <si>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</si>
  <si>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</si>
  <si>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</si>
  <si>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</si>
  <si>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</si>
  <si>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</si>
  <si>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</si>
  <si>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</si>
  <si>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</si>
  <si>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O&amp;M Expenses towards Emission Control System (ECS)</t>
  </si>
  <si>
    <t>Capitalisation towards FGD (excl. IDC)</t>
  </si>
  <si>
    <t>Capitalisation towards SCR (excl. IDC)</t>
  </si>
  <si>
    <t>Total Cummulative  capitalisation towards ECS (excl. IDC)</t>
  </si>
  <si>
    <t>Trued up O&amp;M expense*</t>
  </si>
  <si>
    <t xml:space="preserve">(c) </t>
  </si>
  <si>
    <t xml:space="preserve">(e) </t>
  </si>
  <si>
    <t>5-Year Average</t>
  </si>
  <si>
    <t>(f) =               [(a)+(b)+(c)+(d)+(e)]/5</t>
  </si>
  <si>
    <t>Normative#</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</si>
  <si>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</si>
  <si>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</si>
  <si>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</si>
  <si>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</si>
  <si>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</si>
  <si>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</si>
  <si>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</si>
  <si>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Ensuing Period</t>
  </si>
  <si>
    <t>Chandrapur Unit 3-4</t>
  </si>
  <si>
    <t>Chandrapur Unit 5-7</t>
  </si>
  <si>
    <t>Total Chandrapur 3-7</t>
  </si>
  <si>
    <t>Escalation</t>
  </si>
  <si>
    <t>Add: Return on Equity Capital - HO Assets</t>
  </si>
  <si>
    <t>Interest on Loan Capital - HO Assets</t>
  </si>
  <si>
    <t>Ash disposal expenses</t>
  </si>
  <si>
    <t>MSEDCL - H1</t>
  </si>
  <si>
    <t>MSEDCL - H2</t>
  </si>
  <si>
    <t xml:space="preserve">(c ) </t>
  </si>
  <si>
    <t>(d) = (c)-(b)</t>
  </si>
  <si>
    <t xml:space="preserve">(f ) </t>
  </si>
  <si>
    <t>(h) = (g)- (f)</t>
  </si>
  <si>
    <t xml:space="preserve">(k) </t>
  </si>
  <si>
    <t>Actual stacking loss (Wt. Average)</t>
  </si>
  <si>
    <t>MTR Order*</t>
  </si>
  <si>
    <t>(c )</t>
  </si>
  <si>
    <t>(d) = (c) - (b)</t>
  </si>
  <si>
    <t>(h) = (g) - (f)</t>
  </si>
  <si>
    <t>Projection</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</si>
  <si>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</si>
  <si>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</si>
  <si>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</si>
  <si>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 xml:space="preserve">Operational data is to be submitted for each Unit of each station separately </t>
  </si>
  <si>
    <t>Note ** - Generation Company shall submit the certificate of the MSLDC at a time of true up.</t>
  </si>
  <si>
    <t>* - In case MTR Order is yet to be issued, then MYT Order values to be captured under this column</t>
  </si>
  <si>
    <t>Note</t>
  </si>
  <si>
    <t>Details to be submitted for each primary and secondary fuel separately</t>
  </si>
  <si>
    <t>The energy charge should be computed for open cycle operation and combined cycle operation separately in case of gas/liquid fuel fired plants.</t>
  </si>
  <si>
    <t xml:space="preserve">Operational data are to be submitted for each Unit of each station separately </t>
  </si>
  <si>
    <t xml:space="preserve"> * - In case MTR Order is yet to be issued, then MYT Order values to be captured under this column</t>
  </si>
  <si>
    <t>Actual Capex till FY 2021-22</t>
  </si>
  <si>
    <t>Actual Capitalization till FY 2021-22</t>
  </si>
  <si>
    <t>(i) In Principally Approved By MERC</t>
  </si>
  <si>
    <t>Boiler &amp; Turbine Improvement</t>
  </si>
  <si>
    <t>MERC/CAPEX/20102011/01755</t>
  </si>
  <si>
    <t>Installation of Sonic soot blowers for unit 5, 6 and  7 - Sonic soot blowers will be installed in LTSH and Eco zones (48 nos)</t>
  </si>
  <si>
    <t>Installation of smart soot blower system for unit 5 and 6 boiler (Smart cannons- 8 nos, sealing and cooling air fans – 8 nos, heat flux sensors- 32 nos, HP pump – 1 no</t>
  </si>
  <si>
    <r>
      <t>Total Replacement of boiler skin and air duct insulation of unit 3 to 7 (Ribbed aluminium cladding – 2000 m</t>
    </r>
    <r>
      <rPr>
        <vertAlign val="superscript"/>
        <sz val="12"/>
        <rFont val="Calibri"/>
        <family val="2"/>
      </rPr>
      <t>2</t>
    </r>
    <r>
      <rPr>
        <sz val="12"/>
        <rFont val="Calibri"/>
        <family val="2"/>
      </rPr>
      <t>, GI cladding, U bonded rock wool mattresses 100 mm thick )(consists of two schemes)</t>
    </r>
  </si>
  <si>
    <t>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t>
  </si>
  <si>
    <t>Replacement of ECO coils with gas velocity profiles and erosion control devices for Unit 1 to 6 (U7 middle eco- 69 assemblies, U5&amp;6 middle and lower eco- 65 assemblies each)</t>
  </si>
  <si>
    <t>Replacement of LTSH coils with improved tube materials, gas velocity profiles and erosion control devices for unit 3 to 7 (U5&amp;6 LTSH terminal tubes – 58 assemblies)</t>
  </si>
  <si>
    <t>Replacement of RH platens for Unit 5 &amp; 6 (unit 5- 46 coils, unit 6- 28 coils)</t>
  </si>
  <si>
    <t>Gas proportioning dampers, flue gas, primary and secondary air dampers should be retrofitted with cold hardened material (SAH dampers- 4 nos)</t>
  </si>
  <si>
    <r>
      <t>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t>
    </r>
    <r>
      <rPr>
        <vertAlign val="superscript"/>
        <sz val="9"/>
        <rFont val="Calibri"/>
        <family val="2"/>
      </rPr>
      <t>2</t>
    </r>
    <r>
      <rPr>
        <sz val="9"/>
        <rFont val="Calibri"/>
        <family val="2"/>
      </rPr>
      <t>, curved wear plates – 400 m</t>
    </r>
    <r>
      <rPr>
        <vertAlign val="superscript"/>
        <sz val="9"/>
        <rFont val="Calibri"/>
        <family val="2"/>
      </rPr>
      <t>2</t>
    </r>
    <r>
      <rPr>
        <sz val="9"/>
        <rFont val="Calibri"/>
        <family val="2"/>
      </rPr>
      <t>)</t>
    </r>
  </si>
  <si>
    <t>1.10</t>
  </si>
  <si>
    <r>
      <t>Reducing the pressure drop across APH in Unit 5, 6 and 7 (CFD analysis and design modification in APH inlet duct, Manufacture and supply and erection of carbide overlay divertet plates – 600 m</t>
    </r>
    <r>
      <rPr>
        <vertAlign val="superscript"/>
        <sz val="9"/>
        <rFont val="Calibri"/>
        <family val="2"/>
      </rPr>
      <t>2</t>
    </r>
  </si>
  <si>
    <t>Reducing the pressure drop across ESP</t>
  </si>
  <si>
    <t>Replacement  of CT fan blades from GRP to FRP and resizing the motor to 75 kw</t>
  </si>
  <si>
    <t>Improving the BFP efficiency by overhauling of pump and motors for unit 3 &amp;4</t>
  </si>
  <si>
    <t>During the next capital overhaul, restoration of the steam paths through steam path audits for unit 1 to 7</t>
  </si>
  <si>
    <t>Continuous monitoring system for CO in the furnace and flue gas ducting zone for Unit 3 to 7</t>
  </si>
  <si>
    <t>Oxygen measurement must be introduced at APH inlet and after ID fan outlet  for unit 1 to 7</t>
  </si>
  <si>
    <t>Input source Measurement</t>
  </si>
  <si>
    <t>MERC/CAPEX/20112012/00925</t>
  </si>
  <si>
    <t>Installation of Guided wave radar type level indicators for all fuel oil tanks of unit-1 to 7 DTFA 15 tanks and MTFA 15 tanks (total 30 tanks)</t>
  </si>
  <si>
    <t>Installation of mass based oil flow meters with provision for continuous digital transfer (20 transmitters)</t>
  </si>
  <si>
    <t>Installation of 54 Nos. of ultrasonic type Flow measurement transmitters for water consumption monitoring</t>
  </si>
  <si>
    <t>Trivector Meters for Auxiliary power measurement of GT (7 Nos).</t>
  </si>
  <si>
    <t>Standard Meters for Auxiliary power measurement for sp. Consumption of Auxiliary transformer, Limbs and auxiliaries.</t>
  </si>
  <si>
    <t>Belt weighers (28 Nos.)</t>
  </si>
  <si>
    <t>In motion weigh bridge (10 Nos).</t>
  </si>
  <si>
    <t>Bunker level transmitters (50 Nos.)</t>
  </si>
  <si>
    <t>Flap Gate sensors (120 Nos.)</t>
  </si>
  <si>
    <t>2.10</t>
  </si>
  <si>
    <t>PLC (20 Nos)</t>
  </si>
  <si>
    <t>Cables (20,000 meters estimated)</t>
  </si>
  <si>
    <t>ESP Restoration/Refurbishment</t>
  </si>
  <si>
    <t>MERC/CAPEX/20112012/00939</t>
  </si>
  <si>
    <r>
      <t>Replacement of all emitting coils and collecting plates of U#5 ESP of all four pass of field 2</t>
    </r>
    <r>
      <rPr>
        <vertAlign val="superscript"/>
        <sz val="9"/>
        <rFont val="Calibri"/>
        <family val="2"/>
      </rPr>
      <t>nd</t>
    </r>
    <r>
      <rPr>
        <sz val="9"/>
        <rFont val="Calibri"/>
        <family val="2"/>
      </rPr>
      <t>, 3</t>
    </r>
    <r>
      <rPr>
        <vertAlign val="superscript"/>
        <sz val="9"/>
        <rFont val="Calibri"/>
        <family val="2"/>
      </rPr>
      <t>rd</t>
    </r>
    <r>
      <rPr>
        <sz val="9"/>
        <rFont val="Calibri"/>
        <family val="2"/>
      </rPr>
      <t xml:space="preserve"> &amp; 4</t>
    </r>
    <r>
      <rPr>
        <vertAlign val="superscript"/>
        <sz val="9"/>
        <rFont val="Calibri"/>
        <family val="2"/>
      </rPr>
      <t>th</t>
    </r>
    <r>
      <rPr>
        <sz val="9"/>
        <rFont val="Calibri"/>
        <family val="2"/>
      </rPr>
      <t xml:space="preserve"> </t>
    </r>
  </si>
  <si>
    <t>Replacement of all emitting coils and collecting plates of all four pass of field 1 to 4, U#6 ESP</t>
  </si>
  <si>
    <t xml:space="preserve">Replacement of all emitting coils and collecting plates of all four pass of field 1 to 4, U#7 ESP </t>
  </si>
  <si>
    <t>Ash evacuation system on existing dummy hoppers of Flue gas duct from APH outlet to ESP inlet of U#5 &amp; 6.</t>
  </si>
  <si>
    <t>Control &amp; Instrumentation up-gradation of CSTPS Unit 5 &amp; 6</t>
  </si>
  <si>
    <t>MERC/CAPEX/20112012/01908</t>
  </si>
  <si>
    <t>Control &amp; Instrumentation up-gradation of CSTPS Unit 5</t>
  </si>
  <si>
    <t>Control &amp; Instrumentation up-gradation of CSTPS Unit 6</t>
  </si>
  <si>
    <t>Alternate water supply Scheme for Chandrapur T.P.S as a crisis management scheme</t>
  </si>
  <si>
    <t>MERC/CAPEX/20112012/02443</t>
  </si>
  <si>
    <t>Complete Track Renovation (CTR) work of rail track from Chandrapur Vivekanand Nagar railway stations to exchange yard and bulb line of BOBR at CSTPS siding maintained by railway authority</t>
  </si>
  <si>
    <t>MERC/CAPEX/20122013/00818</t>
  </si>
  <si>
    <t>Construction of additional IDCT to improve performance of existing condenser cooling system of CSTPS Unit 5 &amp; 6</t>
  </si>
  <si>
    <t>MERC/CAPEX/20122013/00827</t>
  </si>
  <si>
    <t>Construction for U#5</t>
  </si>
  <si>
    <t>Fully Approved</t>
  </si>
  <si>
    <t>Construction for U#6</t>
  </si>
  <si>
    <t>Cost Overrun of Rs. 4.45 Cr disallowed in FY 2018-19</t>
  </si>
  <si>
    <t>Upgradation of IDCT Unit 5</t>
  </si>
  <si>
    <t>MERC/CAPEX/20122013/00914</t>
  </si>
  <si>
    <t>Cooling Tower IDCT for Unit-5A</t>
  </si>
  <si>
    <t>Cooling Tower IDCT for Unit-5B</t>
  </si>
  <si>
    <t>LPT Retrofit at Chandrapur TPS Units 3 &amp; 4</t>
  </si>
  <si>
    <t>MERC/TECH 1/CAPEX/20132014/00823</t>
  </si>
  <si>
    <t xml:space="preserve">Design, Engineering, Supply and Retrofitting of LP Cylinder with Modified Bladed rotor without Bauman’s Stages, diaphragms, liners, Gland sealing and exhaust hood spray. (total 2 units) </t>
  </si>
  <si>
    <t>Modification in Ash Handling Plant at Chandrapur TPS unit 5 &amp; 6</t>
  </si>
  <si>
    <t>MERC/CAPEX/20122013/02104</t>
  </si>
  <si>
    <t>Complete series replacement in U-5 &amp; 6</t>
  </si>
  <si>
    <t>Extension of ash lines inside ash bund (9000 Rmt)</t>
  </si>
  <si>
    <t>Replacement ash line worn out pipes</t>
  </si>
  <si>
    <t>Fully Integrated Security Surveillance System</t>
  </si>
  <si>
    <t>MERC/TECH 1/CAPEX/20122013/00190</t>
  </si>
  <si>
    <t xml:space="preserve">Long range cameras </t>
  </si>
  <si>
    <t xml:space="preserve">Laser fence sensors/buried cable </t>
  </si>
  <si>
    <t xml:space="preserve">PTZ/fixed cameras </t>
  </si>
  <si>
    <t xml:space="preserve">Command &amp; control /video wall </t>
  </si>
  <si>
    <t xml:space="preserve">Communication </t>
  </si>
  <si>
    <t>RFID</t>
  </si>
  <si>
    <t>LPR</t>
  </si>
  <si>
    <t xml:space="preserve">Electricals/networking </t>
  </si>
  <si>
    <t xml:space="preserve">Infrastructure </t>
  </si>
  <si>
    <t>Revamping of existing SWAS installed at U#1 to 4 and commissioning of new  (AFGC) System of U#5&amp;7</t>
  </si>
  <si>
    <t>MERC/TECH 1/CAPEX/20132014/01366</t>
  </si>
  <si>
    <t>AFGC U 5,7</t>
  </si>
  <si>
    <t>Proposal stg</t>
  </si>
  <si>
    <t>Replacements Platen Super Heater &amp; Eco Additional of U-5 &amp; U-6 and Upper &amp; Lower LTSH &amp; Eco Bottom assemblies of U-7</t>
  </si>
  <si>
    <t>MERC/TECH 1/CAPEX/20132014/01936</t>
  </si>
  <si>
    <t>Platen super heater assemblies – 24 nos each for Unit-5 &amp; 6(2 sets)</t>
  </si>
  <si>
    <t>Economizer additional  Assemblies along with cassette baffles – 65 Nos. each for unit-  5 &amp; 6  (2Set )</t>
  </si>
  <si>
    <t>Upper LTSH  Assemblies along with cassette baffles – 62 Nos. each for unit – 7 (1 Set)</t>
  </si>
  <si>
    <t>Lower LTSH  Assemblies along with cassette baffles  – 62Nos. for unit – 7 (1 Set)</t>
  </si>
  <si>
    <t>Lower Eco + Eco additional along with cassette baffles  for Unit-7</t>
  </si>
  <si>
    <t>Work Cost for Replacement of above Assemblies.</t>
  </si>
  <si>
    <t>Procurement of Complete IPT Module for 500MW Unit-7 and Fully Bladed Rotor for LP Turbine of 500 MW Unit-5, 6, &amp; 7</t>
  </si>
  <si>
    <t>MERC/TECH 1/CAPEX/20132014/01334</t>
  </si>
  <si>
    <t>IPT Module complete Type-M30-63 with advance class blading suitable for 500 MW Chandrapur Unit-7, Khaperkheda 1x500, Bhusawal 2x500</t>
  </si>
  <si>
    <t>Fully bladed dynamically balanced LP Rotor for 500 MW Units-5,6 &amp;7 at Chandrapur STPS</t>
  </si>
  <si>
    <t>Performance Improvement of Air Preheater Unit 1 &amp; 2 CSTPS Chandrapur</t>
  </si>
  <si>
    <t>MERC/TECH 1/CAPEX/20132014/01431</t>
  </si>
  <si>
    <t xml:space="preserve">supply of MSERW / high frequency induction welding tubes for Air pre-heater in Unit 1&amp;2 </t>
  </si>
  <si>
    <r>
      <t>Compete Replacement of the air heater tubes</t>
    </r>
    <r>
      <rPr>
        <b/>
        <sz val="12"/>
        <rFont val="Calibri"/>
        <family val="2"/>
      </rPr>
      <t xml:space="preserve"> </t>
    </r>
    <r>
      <rPr>
        <sz val="12"/>
        <rFont val="Calibri"/>
        <family val="2"/>
      </rPr>
      <t xml:space="preserve">in top ,intermediate and bottom bank(LHS and RHS) of unit 1 &amp; 2 </t>
    </r>
  </si>
  <si>
    <t>Procurement &amp; Replacement of heating elements (baskets) of primary and secondary air pre-heaters of unit # 5 &amp; 6</t>
  </si>
  <si>
    <t>MERC/TECH 1/CAPEX/20142015/00432</t>
  </si>
  <si>
    <t>Primary  &amp;  Secondary Air Pre-heater baskets hot end, intermediate  &amp; cold end (2 sets) for U-5 (Including works cost)</t>
  </si>
  <si>
    <t>Primary  &amp;  Secondary Air Pre-heater baskets hot end, intermediate  &amp; cold end (2 sets) for U-6 (Including works cost)</t>
  </si>
  <si>
    <t>Procurement of moving blades for LP Turbine, Control Fluid Pumps &amp; AOP of 500MW Unit 5,6 &amp;7</t>
  </si>
  <si>
    <t>MERC/TECH 1/CAPEX/20142015/0010</t>
  </si>
  <si>
    <t>Moving blades for LPT—2L
Moving blades for LPT—2R
Moving blades for LPT—3L
Moving blades for LPT—3R</t>
  </si>
  <si>
    <t>1. Control Fluid Pump for 500 MW Unit-5&amp;6_KSB Make- Type : WKVM 100/1+4
2. Control Fluid Pump for 500 MW Unit-7_KSB Make- Type : WKVM 80/1+3
3. Aux. Oil Pump for Main Turbine of 500 MW Unit-5,6&amp; 7
KSB Make- Type : ETA 150-50VL</t>
  </si>
  <si>
    <t>Procurement of Gear Box &amp; Wear Resistance liners for coal mills of Unit#5&amp;6 &amp; Supply of Gear Box for Coal Mills of Unit#7</t>
  </si>
  <si>
    <t>MERC/TECH 1/CAPEX/20142015/01220</t>
  </si>
  <si>
    <t>Complete bevel gear stage consisting of pinion with part nos 100, 106, 107, 109, 110, 158, 159 and gear with part nos 102, 401, 402, 12 X 403 of Flender make Bocholt KMS 850 Gear Boxes of XRP-1043 Coal Mill in Unit#5&amp;6.</t>
  </si>
  <si>
    <t>Manufacturing, Supply and Application of Wear Resistance Liners inside the mill body of XRP 1043 Coal Mill in unit-5&amp;6</t>
  </si>
  <si>
    <t>Complete Gear Box type H2C630 without coupling, without lubrication unit. As per order CMD ref: 20/0900212-GA Dwg No 524932 and as per attached list for main reducer gear box of coal mill BBD 4772 in Unit#7.</t>
  </si>
  <si>
    <t>Procurement &amp; Replacement of Condenser tubes for 500MW Unit-6 &amp; BFP cartridge for Unit 5, 6 &amp; 7</t>
  </si>
  <si>
    <t>MERC/TECH 1/CAPEX/20142015/00950</t>
  </si>
  <si>
    <t>Procurement of Cartridge Assembly for Boiler Feed Pump type FK 4E 36</t>
  </si>
  <si>
    <t>Procurement &amp; Replacement of Condenser tubes for 500MW Unit-6</t>
  </si>
  <si>
    <t>210/500 MW CHP performance improvement</t>
  </si>
  <si>
    <t>MERC/Cell No. 1/CAPEX/ 20152016/00634</t>
  </si>
  <si>
    <t>Provision of over band suspended magnets for CHP-C.</t>
  </si>
  <si>
    <t>1. Procurement of HT contactor for bunkering side auxiliary at CHP B
2. Procurement of HT contactor for unloading side Critical Auxiliary at CHP-B</t>
  </si>
  <si>
    <t>Bulldozer BD-155</t>
  </si>
  <si>
    <t>Modification of wagon tippler CHP-A</t>
  </si>
  <si>
    <t>Improvement in Electrical Systems</t>
  </si>
  <si>
    <t>MERC/CAPEX/20162017/00192</t>
  </si>
  <si>
    <t>Station Battery set 1 &amp; 2 of 220V, 2190  AH Capacity (2V X 110 Cells) New type Make- Exide</t>
  </si>
  <si>
    <r>
      <t xml:space="preserve">The G1 &amp; G2 Battery sets of 24V, 1825AH Capacity </t>
    </r>
    <r>
      <rPr>
        <sz val="10"/>
        <rFont val="Calibri"/>
        <family val="2"/>
      </rPr>
      <t>(13 Nos. cells X 2= 26 Nos. cells) plantetype Make- Exide</t>
    </r>
  </si>
  <si>
    <t>Replacement of 6.6 KV HT breakers at Ash Handling Plant by 6.6 KV SF6 contactors  suitable for frequent ON/OFFs.</t>
  </si>
  <si>
    <t>Micro-processor based flame scanners at Unit#3&amp;4 (210 MW)</t>
  </si>
  <si>
    <t>Supply, erection and commissioning of Generator Protection scheme as per enclosed material schedule and scope of work for Unit-6</t>
  </si>
  <si>
    <t>Implementation of MPCB related ESP performance Improvement schemes at Chandrapur STPS Unit 3 to 7</t>
  </si>
  <si>
    <t>MERC/CAPEX/20152016/00420</t>
  </si>
  <si>
    <t>Supply of internals of ESP. ( model-2FAA-5 X 32-13290-2) 1st &amp; 2nd fields in Unit #3 &amp; Works</t>
  </si>
  <si>
    <t>Supply of internals of ESP. ( model-2FAA-5 X 32-13290-2) 1st &amp; 2nd fields in Unit #4 &amp; Works</t>
  </si>
  <si>
    <t>Installation of SOx/ NOx analyzers for unit-3 to 7 along with all required hardware and software (Statutory requirement).</t>
  </si>
  <si>
    <t>Design, Engineering, Supply, Erection and Commissioning of High pressure MIST/FOG Generating System at Track hopper, WT 1 &amp; 2 of 500MW, Crusher House, Transfer Points &amp; Bunker house of 500MW</t>
  </si>
  <si>
    <t>Performance Improvement &amp; Life enhancement of 500MW CHP-B</t>
  </si>
  <si>
    <t>MERC/CAPEX/20162017/01067</t>
  </si>
  <si>
    <t>Life Enhancement of Stacker reclaimer of CHP-B.</t>
  </si>
  <si>
    <t>Renovation including replacement of hydraulic system of paddle feeder with up gradations at CHPB.</t>
  </si>
  <si>
    <t>Renovation of hydraulic system of wagon tippler and side arm charger with procurement of its essential spares at CHPB.</t>
  </si>
  <si>
    <t>Retrofitting of existing circuit breakers at Chandrapur STPS Unit-3, 4, 5, 6 and ODP-II</t>
  </si>
  <si>
    <t>MERC/CAPEX/20162017/01475</t>
  </si>
  <si>
    <t>Retrofitting of existing Circuit breakers of AHP motor feeders at Unit # 5 &amp; 6</t>
  </si>
  <si>
    <t>Retrofitting of existing Circuit breakers installed at Unit Boards at Unit –5  &amp; Aundha Pump House (ODP-II)</t>
  </si>
  <si>
    <t xml:space="preserve">Retrofitting of existing Circuit breakers installed at Unit Boards at Unit –3&amp;4 </t>
  </si>
  <si>
    <t>Construction of Quarter Guard, Bachelor Accomodation &amp; Allied Structures in Phase I &amp; II for Induction of CISF Security</t>
  </si>
  <si>
    <t>MERC/CAPEX/20162017/01269</t>
  </si>
  <si>
    <t>Pipe Conveyor System for Transporting Coal from Bhatadi Coal Mine to Chandrapur STPS.</t>
  </si>
  <si>
    <t>MERC/CAPEX/20172018/4171</t>
  </si>
  <si>
    <t>Procurement &amp; replacement of Economizer upper assemblies of Unit-5,6 &amp; hot Reheater coil complete set of Unit-3 of CSTPS</t>
  </si>
  <si>
    <t>MERC/CAPEX/20172018/4071</t>
  </si>
  <si>
    <t>supply &amp; replacement of Economizer Upper Assemblies of unit no.5 &amp; 6</t>
  </si>
  <si>
    <t>Supply &amp; replacement of hot reheater coil complete set of Unit-3.</t>
  </si>
  <si>
    <t xml:space="preserve">Replacement of H2 Generator with new Hydrogen Generator (Non Asbestos Design), procurement of 3-phase TR sets for stage II &amp; other electrical items for ORC at Chandrapur STPS.” </t>
  </si>
  <si>
    <t>MERC/CAPEX/20172018/4686</t>
  </si>
  <si>
    <t>Supply, Installation &amp; Commissioning of   Hydrogen Generator Model : HMXT 200 (Non Asbestos Design)</t>
  </si>
  <si>
    <t>Supply of 3 phase high frequency T-R sets for replacement of T-R sets of ESP Stg-II</t>
  </si>
  <si>
    <t>Replacement of HPSV High Mast Towers by Stadium LED  High Mast at ORC ground CSTPS Chandrapur</t>
  </si>
  <si>
    <r>
      <t xml:space="preserve">Procurement of </t>
    </r>
    <r>
      <rPr>
        <b/>
        <sz val="12"/>
        <color indexed="36"/>
        <rFont val="Book Antiqua"/>
        <family val="1"/>
      </rPr>
      <t>Boiler Feed Booster Pumps to improve availability &amp; performance of feed system, moving blades for LPT &amp; Condenser Tubes of (3 x 500 MW) Units at Chandrapur STPS</t>
    </r>
  </si>
  <si>
    <t>MERC/CAPEX/20172018/0272</t>
  </si>
  <si>
    <t>Procurement of Boiler Feed Booster pumps to improve availability and performance of Feed system of 500 MW Unit-5, 6 &amp; 7 at CSTPS, Chandrapur</t>
  </si>
  <si>
    <t>Procurement of moving blades for 500 MW Unit-5, 6 &amp; 7 LPT at CSTPS, Chandrapur</t>
  </si>
  <si>
    <t>Procurement &amp; Replacement of Condenser Tubes in 500MW, Unit-7 at CSTPS, Chandrapur</t>
  </si>
  <si>
    <r>
      <rPr>
        <b/>
        <sz val="12"/>
        <color indexed="36"/>
        <rFont val="Book Antiqua"/>
        <family val="1"/>
      </rPr>
      <t>Renovation &amp; Beautification of Colony at Chandrapur STPS</t>
    </r>
  </si>
  <si>
    <t>MERC/CAPEX/20182019/0644</t>
  </si>
  <si>
    <t>Face- lifting and Renovation of staff quarters &amp; related work at CSTPS, Chandrapur</t>
  </si>
  <si>
    <t>Colony Internal Roads at CSTPS, Chandrapur</t>
  </si>
  <si>
    <t>Development of existing open spaces and Garden at CSTPS, Chandrapur</t>
  </si>
  <si>
    <t>Renovation of club building /community building and providing new swimming pool and other misc works including Architectural and Consultancy Charges at CSTPS, Chandrapur</t>
  </si>
  <si>
    <t>MERC/CAPEX/2018-19/066</t>
  </si>
  <si>
    <t>CLOSE CIRCUIT TELEVISION SYSTEM (CCTV), MOBILE DVR</t>
  </si>
  <si>
    <t>FIRE ALARM SYSTEM</t>
  </si>
  <si>
    <t>ACCESS CONTROL SYSTEM</t>
  </si>
  <si>
    <t>EPABX</t>
  </si>
  <si>
    <t>RADIO COMMUNICATION AND CONNECTIVITY (Wireless)</t>
  </si>
  <si>
    <t>ENTRY MANAGEMENT SYSTEM, TRUCK TRACKING SYSTEM</t>
  </si>
  <si>
    <t>NETWORKING</t>
  </si>
  <si>
    <t>MESSAGE DISPLAY SYSTEM</t>
  </si>
  <si>
    <t>IP PA SYSTEM</t>
  </si>
  <si>
    <t>31.10</t>
  </si>
  <si>
    <t>TOWERS, EARTHING /POLES, CONDUITING, DIGGING</t>
  </si>
  <si>
    <t>RDBMS, SERVER, WORKSTATIONS, IN CON. ROOM WITH FURINITURE DOCUMENTATION, CAMERA &amp; ANALYTICS LICENSES</t>
  </si>
  <si>
    <t>ADDITIONAL CIVIL WORK</t>
  </si>
  <si>
    <t>Provision of VFD panel along with bypasses arrangement for HT/LT conveyors &amp; automation of control room at Coal Handling Plant-B</t>
  </si>
  <si>
    <t>MERC/CAPEX/20182019/1240</t>
  </si>
  <si>
    <t>Procurement, Installation and commissioning of MV/LT VFD panel along with bypass arrangement for HT/LT Conveyors of CHP-B</t>
  </si>
  <si>
    <t>Automation of Control Room of CHP-B Using PLC System</t>
  </si>
  <si>
    <t>Complete Track Renewal (CTR)/Renovation of existing Broad Gauge Railway Siding of 500MW Yard in CSTPS</t>
  </si>
  <si>
    <t>MERC/CAPEX/2019-2020/362</t>
  </si>
  <si>
    <t>Procurement of Spare Generator Rotor along with one set of Bearings for Unit # 5, 6 &amp; 7 CSTPS, Chandrapur</t>
  </si>
  <si>
    <t>MERC/CAPEX/2019-2020/129</t>
  </si>
  <si>
    <t xml:space="preserve">Generator Rotor suitable for THDF 115/59
One Set of Bearings (Comprising of 2 nos. of bearings)
</t>
  </si>
  <si>
    <t>Procurement of 2 NOS. OF 3100 HP, WDG-3A Locomotives for CSTPS, Chandrapur</t>
  </si>
  <si>
    <t>MERC/CAPEX/2019-2020/1214</t>
  </si>
  <si>
    <t>Replacement of 220 V Station Battery Sets &amp; UPS Battery Sets of Unit# 5 &amp; 6 and 24 V G1 G2 Battery sets of Unit# 5, 6 &amp; 7 for 500MW Stage-III CSTPS.</t>
  </si>
  <si>
    <t>MERC/CAPEX/2020-2021/WFH/SBR/32</t>
  </si>
  <si>
    <t>Replacement of 220 V Station Battery Sets &amp; UPS Battery Sets of Unit# 5 &amp; 6 and 24 V G1 G2 Battery sets of Unit# 5, 6 &amp; 7 for 500MW Stage-III, CSTPS.</t>
  </si>
  <si>
    <t>Flue Gas Desulphurization (FGD) System for 500 MW UnitS (Total 8 Nos) of MSPGCL
(Chandrapur Unit # 5-7)</t>
  </si>
  <si>
    <t>MERC/CAPEX/2020-2021/WFH/SBR/43</t>
  </si>
  <si>
    <t>Replacement of ECO and LTSH coils to Unit-4 Chandrapur (Parli DPR)</t>
  </si>
  <si>
    <t xml:space="preserve">MERC/TECH1/CAPEX/20142015/01526 </t>
  </si>
  <si>
    <t>Replacement of ECO and LTSH coils to Unit-4 Chandrapur</t>
  </si>
  <si>
    <t>Supply of complete gear box assembly for XRP-1043 coal mill at U-5 &amp;  U-6 for FY 2019-20 &amp; FY 20-21 at CSTPS, Chandrapur</t>
  </si>
  <si>
    <t>MERC/CAPEX/2020-2021/WFH/SBR/05</t>
  </si>
  <si>
    <t>Supply of complete gear box assembly for XRP-1043coal mill unit
5&amp;6and complete lub oil system of XRP-1043Coal Mill in Unit-5&amp;6.
(Qty. 02 nos. one for each unit)</t>
  </si>
  <si>
    <t>HO
DPR 1</t>
  </si>
  <si>
    <t>AFGC/DFGC SYSTEM 210MW</t>
  </si>
  <si>
    <t>MERC/CAP/DPR/10/07/1149</t>
  </si>
  <si>
    <t>HO
DPR 1.1</t>
  </si>
  <si>
    <t>CSTPS U-1,2&amp;4</t>
  </si>
  <si>
    <t>HO
DPR 4</t>
  </si>
  <si>
    <t>Construction of coal platform for Chandrapur TPS, Khaperkheda TPS &amp; Parli TPS</t>
  </si>
  <si>
    <t>MERC/TECH 1/CAPEX/20132014/00827</t>
  </si>
  <si>
    <t>HO
DPR 4.1</t>
  </si>
  <si>
    <t>Chandrapur TPS</t>
  </si>
  <si>
    <t>HO
DPR 5</t>
  </si>
  <si>
    <t>HO
DPR 5.3a</t>
  </si>
  <si>
    <t>CSTPS (U-3/4, 210 MW, 7Nos)</t>
  </si>
  <si>
    <t>HO
DPR 5.3b</t>
  </si>
  <si>
    <t>CSTPS (U-5/6/7, 500 MW, 11Nos)</t>
  </si>
  <si>
    <t>HO
DPR 6.1</t>
  </si>
  <si>
    <t>CSTPS (U-1 to 7) ( 1 Nos.)</t>
  </si>
  <si>
    <t>HO
DPR 7.1</t>
  </si>
  <si>
    <t>Chandrapur STPS</t>
  </si>
  <si>
    <t>Proposal stage</t>
  </si>
  <si>
    <t>HO
DPR 8</t>
  </si>
  <si>
    <t>Replacement of Fire Tenders at Various Power Stations of Mahagenco</t>
  </si>
  <si>
    <t>MERC/CAPEX/20172018/4653</t>
  </si>
  <si>
    <t>HO
DPR 8.1</t>
  </si>
  <si>
    <t>Advance Multipurpose Fire Tender for CSTPS</t>
  </si>
  <si>
    <t>HO
DPR 8.2</t>
  </si>
  <si>
    <t>Normal Multipurpose Fire Tender for CSTPS</t>
  </si>
  <si>
    <t>HO
DPR 10</t>
  </si>
  <si>
    <t>Implementation of IB recommendations- Civil works at various TPS of Mahagenco</t>
  </si>
  <si>
    <t>MERC/CAPEX/20172018/0177</t>
  </si>
  <si>
    <t>HO
DPR 10.1</t>
  </si>
  <si>
    <t>CSTPS Chandrapur</t>
  </si>
  <si>
    <t>HO
DPR 15</t>
  </si>
  <si>
    <t>Procurement &amp; Replacement of Complete Sets of Air Pre-heater Baskets at Nashik, Parli &amp; Chandrapur TPS of Mahagenco</t>
  </si>
  <si>
    <t>MERC/CAPEX/2019-2020/643</t>
  </si>
  <si>
    <t>HO
DPR 15.2</t>
  </si>
  <si>
    <t>Procurement of Complete set of assembly of baskets for air preheater of type tri-sector APH in27 VI(T) 80”CSTPS unit No-4 (210MW). (2 Sets Per Unit)</t>
  </si>
  <si>
    <t>HO
DPR 15.4</t>
  </si>
  <si>
    <t>Procurement of Complete set of assembly of baskets for air preheater of type bi-sector APH “BI-SECTOR 27VI 1250(1400)”in CSTPS unit no. 5 &amp; 6 (500MW). (4 Sets Per Unit)</t>
  </si>
  <si>
    <t>HO
DPR 16</t>
  </si>
  <si>
    <t>Implementation of Water Flow Monitoring system at Chandrapur STPS &amp; Khaperkheda TPS</t>
  </si>
  <si>
    <t>MERC/CAPEX/2020-2021/WFH/SBR/37</t>
  </si>
  <si>
    <t>HO
DPR 16.1</t>
  </si>
  <si>
    <t>Electromagnetic Flow meters at various lines &amp; Locations of CSTPS unit-3 to 7</t>
  </si>
  <si>
    <t>HO
DPR 16.2</t>
  </si>
  <si>
    <t xml:space="preserve">Automation: Centralized SCADA, RTU, MODBUS Cable, Power cable &amp; Operation &amp; Maintenance for 1 Year &amp; mandatory spares
</t>
  </si>
  <si>
    <t>Procurement of Condensate Extraction Pump for 500MW Unit-5, 6 &amp; 7 And Supply &amp; Replacement of complete PVC Fills of cell of cooling tower of Unit-7 in ODP-II at CSTPS, Chandrapur</t>
  </si>
  <si>
    <t>MERC/CAPEX/2021-2022/ WFH/SBR/ 10</t>
  </si>
  <si>
    <t>Procurement of Condensate Extraction
Pump for 500MW Unit-5, 6 &amp; 7, CSTPS,
Chandrapur as insurance spare</t>
  </si>
  <si>
    <t>Supply and replacement of complete
PVC Fills of cell of cooling tower in Unit-
7</t>
  </si>
  <si>
    <t>Supply &amp; Commissioning of Advanced Microprocessor based Fast Bus Transfer panels; Up-gradation of Thyristor based 24V &amp; 220V DC battery chargers by SMPS Microprocessor based Battery Chargers at U-5,6 &amp;7
and Generator Protection scheme at U-7, at CSTPS, Chandrapur</t>
  </si>
  <si>
    <t>MERC/CAPEX/2022-2023/0321</t>
  </si>
  <si>
    <t>Supply &amp; commissioning of Advanced Microprocessor based Fast Bus Transfer Panels for Unit#5,6,7, Stage-III, CSTPS, Chandrapur.</t>
  </si>
  <si>
    <t>Up-gradation of thyristor based 24V &amp; 220V DC Battery Chargers by SMPS Microprocessor based Battery Chargers at Stage-III, CSTPS, Chandrapur.</t>
  </si>
  <si>
    <t>Generator Protection Scheme U-7</t>
  </si>
  <si>
    <t>PO dispatch stg</t>
  </si>
  <si>
    <t>ESP Upgradation of 5 Nos. of 210/500MW Units at Khaperkheda, Koradi &amp; Chandrapur TPS</t>
  </si>
  <si>
    <t>MERC/CAPEX/2022-2023/MSPGCL/0453</t>
  </si>
  <si>
    <t>ESP Upgradation at Unit # 5 &amp; 6, Chandrapur TPS</t>
  </si>
  <si>
    <t>LOA issued</t>
  </si>
  <si>
    <t>Flue Gas Desulphurization (FGD) System at 10 Nos. of 210 MW Units at Chandrapur, Koradi, Khaperkheda &amp; Nasik TPS</t>
  </si>
  <si>
    <t>MERC/CAPEX/MSPGCL/2023-2024/0459</t>
  </si>
  <si>
    <t>Flue Gas Desulphurization (FGD) System at Unit 3 &amp; 4, Chandrapur</t>
  </si>
  <si>
    <t>Design, Engineering, Manufacturing, Transportation to CSTPS site, unloading, Erection, Testing &amp; Commissioning of 3 nos. of new 200MVA. 21/400/√3KV, Single phase Generator Transformers, BHEL make for 3 X 500 MW Unit#5,6&amp;7 500MW Stage-III CSTPS, Chandrapur</t>
  </si>
  <si>
    <t>MERC/CAPEX/2022-2023/0409</t>
  </si>
  <si>
    <t>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t>
  </si>
  <si>
    <t>Material received</t>
  </si>
  <si>
    <t>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t>
  </si>
  <si>
    <t>MERC/CAPEX/2022-2023/MSPGCL/0458</t>
  </si>
  <si>
    <t>Construction of 4th raising of existing Ash Bund from T.B.L. 198.00 M to T.B.L 201.00 M</t>
  </si>
  <si>
    <t>Construction of New Drain Wells (12 Nos.) along with necessary connection to existing drain wells at CSTPS</t>
  </si>
  <si>
    <t xml:space="preserve"> Construction of waste weir for raising of ash bund (Waste Weir &amp; Non overflow structure)</t>
  </si>
  <si>
    <t>Raising of Ash Compartment i.e. Lagoon in Ash Bund</t>
  </si>
  <si>
    <t>Procurement of 03 Nos. of complete assembly of 3.3 KV, 300 KW Boiler Circulation Water Pump - Motors along with Impeller for Unit#5&amp;6, 500MW Stage-III CSTPS Chandrapur</t>
  </si>
  <si>
    <t>MERC/CAPEX/2024-2025/MSPGCL/0308</t>
  </si>
  <si>
    <t>-</t>
  </si>
  <si>
    <t>Performance Improvement &amp; Life Extension Schemes for CHP of Unit 3 to 7 of CSTPS, Chandrapur</t>
  </si>
  <si>
    <t>MERC/CAPEX/MSPGCL/2023-24/0560</t>
  </si>
  <si>
    <t>Work of Renovation/Upgradation/Modification of Crusher House of CHPA of Unit 3&amp;4 of CSTPS Chandrapur.</t>
  </si>
  <si>
    <t>Work of Renovation/Upgradation/Modification of Belt Conveyor 10A/B/C of CHPA of Unit 3&amp;4 of CSTPS Chandrapur.</t>
  </si>
  <si>
    <t xml:space="preserve">Work of Modification/Modernization of conveyor cable of 10 A/B/C of CHPA of Unit 3&amp;4 of CSTPS Chandrapur. </t>
  </si>
  <si>
    <t xml:space="preserve">Design, Engineering, Supply, Erection and commissioning of bypass chute with hydraulic cylinder &amp; modification/renovation at JT-06 of CHPA of Unit 3&amp;4 of CSTPS Chandrapur. </t>
  </si>
  <si>
    <t xml:space="preserve">Design, Engineering, Supply, Erection and Installation of Wear Resistance Chutes for Belt Conveyor System at CHPA/B of Unit 3to9 of CSTPS Chandrapur. </t>
  </si>
  <si>
    <t xml:space="preserve">Work of Modification/Renovation/Upgradation of Ventilation System of Track Hopper of CHPB of Unit 5,6&amp;7 of CSTPS Chandrapur. </t>
  </si>
  <si>
    <t xml:space="preserve">Work of Renovation /Upgradation of Hydraulic System of Paddle Feeder at CHPB of Unit 5,6&amp;7 of CSTPS Chandrapur.  </t>
  </si>
  <si>
    <t xml:space="preserve">Design, Engineering, Manufacturing, Fabrication, Erection and commissioning of Modified Wobbler Feeder at CHPB of Unit 5,6&amp;7 of CSTPS Chandrapur. </t>
  </si>
  <si>
    <t>HO
DPR 17</t>
  </si>
  <si>
    <t>Construction of new Administrative Building for Mahagenco at Vidyut Bhawan, Katol Road, Nagpur</t>
  </si>
  <si>
    <t>MERC/CAPEX/2021-2022/MSPGCL/063</t>
  </si>
  <si>
    <t>HO
DPR 17.1</t>
  </si>
  <si>
    <t>HO
DPR 18</t>
  </si>
  <si>
    <t>Centralized Monitoring Solution</t>
  </si>
  <si>
    <t>MERC/CAPEX/MSPGCL/2023-24/0576</t>
  </si>
  <si>
    <t>HO
DPR 18.1</t>
  </si>
  <si>
    <t>Y2</t>
  </si>
  <si>
    <t>Procurement &amp; replacement of 400 NB Cast Basalt Pipelines with the existing MSERW pipe of ash disposal system of Unit #5,6 &amp; 7 at CSTPS, Chandrapur” under capital expenditure during the FY 2023-24.</t>
  </si>
  <si>
    <t>MERC/CAPEX/2024-2025/MSPGCL/0475 Dt 06.08.2024</t>
  </si>
  <si>
    <t>Y3</t>
  </si>
  <si>
    <t>4 Nos. of Capex Schemes at Urjanagar Colony &amp; Provision of  11kV Supply to Urjanagar Colony from station board of Stage-III; Design, Supply, Erection, Installation, Testing and Commissioning of new lifts in place of existing lifts installed at Unit # 5, 6 &amp;7 of CSTPS, Chandrapur</t>
  </si>
  <si>
    <t>MERC/CAPEX/2024-25/MSPGCL/0473 Dt 06.08.2024</t>
  </si>
  <si>
    <r>
      <t xml:space="preserve">Scheme-1: </t>
    </r>
    <r>
      <rPr>
        <sz val="11"/>
        <color theme="1"/>
        <rFont val="Bookman Old Style"/>
        <family val="1"/>
      </rPr>
      <t>Upgradation of 11KV Sub-stations of Urjanagar colony, CSTPS, Chandrapur.</t>
    </r>
  </si>
  <si>
    <r>
      <t xml:space="preserve">Scheme-3: </t>
    </r>
    <r>
      <rPr>
        <sz val="11"/>
        <color theme="1"/>
        <rFont val="Bookman Old Style"/>
        <family val="1"/>
      </rPr>
      <t>Replacement of old energy meters by electronics energy meters at Urjanagar colony, CSTPS, Chandrapur.</t>
    </r>
  </si>
  <si>
    <r>
      <t>Scheme-5 :</t>
    </r>
    <r>
      <rPr>
        <sz val="11"/>
        <color theme="1"/>
        <rFont val="Bookman Old Style"/>
        <family val="1"/>
      </rPr>
      <t xml:space="preserve"> Provision of 11KV  supply to Urjanagar colony from station board of Stage-III, CSTPS Chandrapur.</t>
    </r>
  </si>
  <si>
    <t>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t>
  </si>
  <si>
    <t>Scheme-7: Design, supply, erection, installation, testing and commissioning of the boiler goods lifts in place of the existing old lifts installed at Unit#6&amp;7 500MW Stage-III CSTPS Chandrapur</t>
  </si>
  <si>
    <t>Y4</t>
  </si>
  <si>
    <t>Providing 1600 mm pipeline from Erdai Dam to CSTPS, Chandrapur</t>
  </si>
  <si>
    <t>MERC/CAPEX/2024-2025/MSPGCL/0476 Dt 06.08.2024</t>
  </si>
  <si>
    <t>Y5</t>
  </si>
  <si>
    <t>Performance Improvement &amp; Life Extension Schemes for CHP of Unit 5 to 7 of CSTPS, Chandrapur. -Part-2</t>
  </si>
  <si>
    <t>MERC/CAPEX/MSPGCL/2023-2024/0466 Dt 02.08.2024</t>
  </si>
  <si>
    <r>
      <t>Scheme-1</t>
    </r>
    <r>
      <rPr>
        <sz val="11"/>
        <color theme="1"/>
        <rFont val="Bookman Old Style"/>
        <family val="1"/>
      </rPr>
      <t>: Upgradation/Renovation of Deck Module of Under Ground Conveyor stream of CHPB of Unit-5,6&amp;7 Chandrapur.</t>
    </r>
  </si>
  <si>
    <r>
      <t>Scheme-2</t>
    </r>
    <r>
      <rPr>
        <sz val="11"/>
        <color theme="1"/>
        <rFont val="Bookman Old Style"/>
        <family val="1"/>
      </rPr>
      <t>: Renovation &amp; Upgradation of Transfer Point of CHPB of Unit 5 to 7 of CSTPS Chandrapur.</t>
    </r>
  </si>
  <si>
    <r>
      <t>Scheme-3</t>
    </r>
    <r>
      <rPr>
        <sz val="11"/>
        <color theme="1"/>
        <rFont val="Bookman Old Style"/>
        <family val="1"/>
      </rPr>
      <t>: Renovation &amp; Upgradation of Walkway Platform of CHPB of Unit 5 to 7 of CSTPS Chandrapur.</t>
    </r>
  </si>
  <si>
    <r>
      <t>Scheme-4</t>
    </r>
    <r>
      <rPr>
        <sz val="11"/>
        <color theme="1"/>
        <rFont val="Bookman Old Style"/>
        <family val="1"/>
      </rPr>
      <t>: Work of Renovation &amp; Modernization of Bunker Shuttle Conveyor of CHPB of Unit 5, 6 &amp; 7 in CSTPS Chandrapur.</t>
    </r>
  </si>
  <si>
    <r>
      <t>Scheme-5</t>
    </r>
    <r>
      <rPr>
        <sz val="11"/>
        <color theme="1"/>
        <rFont val="Bookman Old Style"/>
        <family val="1"/>
      </rPr>
      <t>: Renovation &amp; Modernization of Wagon Tippler Concrete Hopper of Coal Handling Plant-B of Unit 5,6&amp;7 at CSTPS Chandrapur.</t>
    </r>
  </si>
  <si>
    <r>
      <t>Scheme-6</t>
    </r>
    <r>
      <rPr>
        <sz val="11"/>
        <color theme="1"/>
        <rFont val="Bookman Old Style"/>
        <family val="1"/>
      </rPr>
      <t>: Renovation &amp; Modernization of Wagon Tippler Concrete Hopper of Coal Handling Plant-D of Unit 8&amp;9 at CSTPS Chandrapur.</t>
    </r>
  </si>
  <si>
    <r>
      <t>Scheme-7</t>
    </r>
    <r>
      <rPr>
        <sz val="11"/>
        <color theme="1"/>
        <rFont val="Bookman Old Style"/>
        <family val="1"/>
      </rPr>
      <t xml:space="preserve">: Design, supply, installation &amp; commissioning of LED based energy efficient illumination system at CHP-A, B &amp; C, C.S.T.P.S., Chandrapur.  </t>
    </r>
  </si>
  <si>
    <t>Procurement of Equipment’s for Stack yard management at Coal Handling Plant &amp; Upgradation of existing ash disposal pump system by installing higher efficiency pump system in Ash Handling Plant of Unit- 5 &amp; 6 at CSTPS, Chandrapur.</t>
  </si>
  <si>
    <t>MERC/CAPEX/MSPGCL/2023-24/496 Dt 08.08.2024</t>
  </si>
  <si>
    <t>Scheme-1: Procurement of 04 Nos Bulldozers.</t>
  </si>
  <si>
    <t>Scheme-2:  Procurement of 01 No Wheel Dozer</t>
  </si>
  <si>
    <t>Scheme-3: Procurement 02 Nos. 800 HP Diesel Hydraulic Locomotives.</t>
  </si>
  <si>
    <t>Scheme-4: Upgradation of existing ash disposal pump assembly by higher efficiency pump assembly in ash handling plant.</t>
  </si>
  <si>
    <t>Stacker Reclaimer, Impact Crusher and Conveyor Drive reliability &amp; availability improvement scheme for CHP of Unit 5,6&amp;7 CSTPS Chandrapur.- Elecon</t>
  </si>
  <si>
    <t>MERC approved MERC/CAPEX/MSPGCL/2023-24/566  Dt 09.09.2024</t>
  </si>
  <si>
    <t xml:space="preserve">Scheme-1: Reliability &amp; availability improvement for Stacker Reclaimer by supply &amp; commissioning of essential equipment at CHPB of Unit 5,6&amp;7 CSTPS  Chandrapur. </t>
  </si>
  <si>
    <t xml:space="preserve">Scheme-2: Reliability &amp; availability improvement for Conveyor Drive by supply &amp; commissioning of essential equipment at CHPB of Unit 5,6&amp;7 CSTPS </t>
  </si>
  <si>
    <t>(ii) Submitted to MERC, Yet To Receive Approval</t>
  </si>
  <si>
    <t>Y8, Y9</t>
  </si>
  <si>
    <t>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t>
  </si>
  <si>
    <t>Yet To Receive Approval</t>
  </si>
  <si>
    <t>Procurement of BOXN-HL Wagons for C.S.T.P.S., Chandrapur.</t>
  </si>
  <si>
    <t>N</t>
  </si>
  <si>
    <t>Relliabiility</t>
  </si>
  <si>
    <t>Combined Fire and Rescue vehicle with Hydraulic Platform (Multipurpose Fire Tender)</t>
  </si>
  <si>
    <t>Fire fighting</t>
  </si>
  <si>
    <t>Quick Response Vehicle (Multipurpose Fire Tender)</t>
  </si>
  <si>
    <t xml:space="preserve">High capacity Machine for debris transporting by Mechanized way (Vehicle) along with jetting machine </t>
  </si>
  <si>
    <t>Y10</t>
  </si>
  <si>
    <t>Retrofitting of existing SF6 HT Circuit Breakers installed at Unit # 7 &amp; EM-II (Outdoor plant) of 3X500MW CSTPS Chandrapur by latest technology HT Contactor/ Vacuum Circuit breakers along with Supply, Installation &amp; Commissioning</t>
  </si>
  <si>
    <t>Retrofitting of existing ABB make SF6 Circuit Breakers installed at AHP Unit#7 by latest technology SF6 HT Contactor/ Vacuum Circuit Breaker</t>
  </si>
  <si>
    <t>Retrofitting of existing ABB/Voltas make SF6 Circuit Breakers installed at CCW Board of Unit#5,6&amp;7 ODP-II, WTP- II Board of ODP-II, Raw water RWS Board of ODP-II by latest technology Vacuum Circuit Breaker:</t>
  </si>
  <si>
    <t>Y11</t>
  </si>
  <si>
    <t>Design, Engineering, Manufacturing, Supply, Erection, Commissioning and testing of Wagon Locking System for wagon Tippler &amp; Portable Reclaim Feeder for CHP of Unit 5 to 9 of CSTPS, Chandrapur</t>
  </si>
  <si>
    <t>Scheme-1: Design, Engineering, Manufacturing, Supply, Erection, Commissioning and testing of Wagon Locking System for Wagon Tippler of CHP of Unit 5 to 9 of CSTPS Chandrapur.</t>
  </si>
  <si>
    <t>Scheme-2: Design, Engineering, Manufacturing, Supply, Erection, Commissioning, and testing of Portable Reclaim Feeder for CHP of Unit 5 to 9 in CSTPS Chandrapur.</t>
  </si>
  <si>
    <t>Y12</t>
  </si>
  <si>
    <t>Efficiency and Reliability improvement of PRDS, HP Heaters &amp;
Boiler pressure part system by rejuvenation of control valves, CSTPS Chandrapur</t>
  </si>
  <si>
    <t>Scheme-1: Procurement of Sub body assembly &amp; Actuator for control &amp; motorized valves for U#3 &amp; U#4 (210MW).</t>
  </si>
  <si>
    <t>Scheme-2: Procurement of HC &amp; LC Feed and Soot Blower Drain Control sub body assembly for control valves for boiler Unit- 5, 6 &amp; 7 (500MW).</t>
  </si>
  <si>
    <t>Scheme-3: Procurement of actuator assembly for control valves for boiler Unit- 5, 6 &amp; 7 (500MW).</t>
  </si>
  <si>
    <t>Scheme-4: Procurement of HP heaters drip sub body assembly for control valve of 500MW Unit-5,6&amp;7.</t>
  </si>
  <si>
    <t>Scheme-5: Procurement of actuator assembly for control valve of 500MW Unit-5,6&amp;7.</t>
  </si>
  <si>
    <t>Y13</t>
  </si>
  <si>
    <t>Supply &amp; installation of Advanced ESP Controller &amp; Numerical relay at U-7 and DAVR &amp; Up-gradation of Servo valves (ST) for HP-Bypass system at U-5,6,7, CSTPS</t>
  </si>
  <si>
    <t xml:space="preserve">Scheme1: Supply and installation of advanced ESP Controllers for retrofitting in place of existing Alstom make EPIC-II controllers at ESP U-7 </t>
  </si>
  <si>
    <t>Scheme-2: Supply and installation of DAVR at U-5,6,7</t>
  </si>
  <si>
    <t>Scheme 3: Supply, installation and commissioning of numerical protection relays with set of auxiliary relays for HT switchgear, Unit-7</t>
  </si>
  <si>
    <t>Scheme 4: Up-gradation of Servo valves (ST) by Proportional valves (PV) &amp; oil unitOV to HV for HP- Bypass system in U-5,6,7</t>
  </si>
  <si>
    <t>Y14</t>
  </si>
  <si>
    <t>Improvement in Reliability and Life Enhancement of Coal Mill by Refurbishment of Flender make KMS 850 Gear Box of XRP-1043 Coal Mill Unit 5 &amp; 6 at CSTPS, Chandrapur</t>
  </si>
  <si>
    <t>Coal Mill Life Enhancement by Refurbishment of Flender make KMS 850 gear box of XRP-1043 coal mill in Unit-5&amp;6</t>
  </si>
  <si>
    <t>(ii) Yet to be submitted to MERC</t>
  </si>
  <si>
    <t>‘Supply, installation, restoration, up-gradation and revamping of Fire Protection Systems viz Fire Hydrant System, Passive Fire Protection System, DV House Construction &amp; Fire Water Spray System at plant &amp; ODP area of Unit-3to9 and CHPs (CHP-A,B,C,&amp;D) of CSTPS, Chandrapur’</t>
  </si>
  <si>
    <t>DPR for Fire Detection &amp; Alarm and Protection System from Fire and Providing Rapid Extinguishing Clean Agent (CA) System at Unit -7, Outdoor Plants, CHPs, Service building &amp; Admin Building at CSTPS</t>
  </si>
  <si>
    <t>Renovation of various component of bottom opening bogie frame at CSTPS Chandrapur &amp; Provision of Wagon Tippler Safety System in Coal Handling Plant at CSTPS</t>
  </si>
  <si>
    <t>CHP</t>
  </si>
  <si>
    <t>Construction of road from CHP Weighbridge to Railway Crossing &amp; provision of Road Under Bridge (RUB) at CSTPS, Chandrapur</t>
  </si>
  <si>
    <t>Construction of concrete pavement road connecting to CHP weighbridge to Railway crossing at CSTPS, Chandrapur.</t>
  </si>
  <si>
    <t>Civil</t>
  </si>
  <si>
    <t>Provision of Road Under Bridge at Vivekanand Nagar Tukum At CSTPS, Chandrapur.</t>
  </si>
  <si>
    <t>Construction of UCR wall and bed of Neri Nallah at CSTPS, Chandrapur.</t>
  </si>
  <si>
    <t>Construction of  Concrete Pavement  Road  Connecting to Reject Coal Gate &amp; F point upto  Ash water recovery pump house &amp; F point to CP No- 635 at CSTPS Chandrapur</t>
  </si>
  <si>
    <t>Boiler Maintenance-I</t>
  </si>
  <si>
    <t>DPR for Coal mill improvement</t>
  </si>
  <si>
    <t>The performance improvement &amp; availability enhancement of coal millsXRP-803 at U#3&amp;4(210MW)CSTPS, Chandrapur</t>
  </si>
  <si>
    <t>Loadability</t>
  </si>
  <si>
    <t>Replacement of Existing Volumetric coal feeders by Rotary Gravimetric coal feeders</t>
  </si>
  <si>
    <t>DPR for APH basket, HRH coil and Valves</t>
  </si>
  <si>
    <t>Procurement &amp; replacement of APH Basket assemblies at U#3&amp;4,CSTPS, Chandrapur</t>
  </si>
  <si>
    <t>Procurement &amp; replacement of complete HRH coils assembly in U#4</t>
  </si>
  <si>
    <t>DPR for ESP internal and CRH coil</t>
  </si>
  <si>
    <t>Replacement of complete internals of ESP U#3&amp;4</t>
  </si>
  <si>
    <t xml:space="preserve">Procurement &amp; replacement of CRH coil assemblies in U#3 </t>
  </si>
  <si>
    <t>Procurement &amp; replacement of LTSH &amp; Economiser coil assemblies in U#3</t>
  </si>
  <si>
    <t>Turbine Maintenance-I</t>
  </si>
  <si>
    <t>DPR for Vaccuum system improvement and procurment of BFP cartridge</t>
  </si>
  <si>
    <t>Condenser vaccuum system improvement</t>
  </si>
  <si>
    <t>Procurement of BFP main pump cartridges for 200 KHI/s BHEL pump &amp; Procurment of Voith Hydraulic Coupling R17K for BFP</t>
  </si>
  <si>
    <t>WTP-I improvement schemes</t>
  </si>
  <si>
    <t>Replacement of instrument air an service air compressors in Unit 3 &amp; 4, WTP-I with screw type compressors including refrigerant type air dryer system</t>
  </si>
  <si>
    <t>Refurbishment of hydrogen compressors at Hydrogen plant WTP-I</t>
  </si>
  <si>
    <t>Replacement of Circulating water pumps in Unit 3 &amp; 4</t>
  </si>
  <si>
    <t>Procurment of HP valves, CEP Cartridge, GS pump</t>
  </si>
  <si>
    <t>Procurement of HP valves for Unit 3 &amp; 4</t>
  </si>
  <si>
    <t>Procurement cartridges for Condensate extraction pump ( Make KSB WKT 150/7)</t>
  </si>
  <si>
    <t>Procurement of WPIL make GS pump JTC 24E with pipelines and valves for Unit 3 &amp; 4</t>
  </si>
  <si>
    <t>Electrical maintenance -I</t>
  </si>
  <si>
    <t>DPR  for colony electrical renovation, switchgear, Energy meter, breaker</t>
  </si>
  <si>
    <t>Colony electrical renovation</t>
  </si>
  <si>
    <t>Electrification and illumination of perimeter wall CSTPS, Chandapur as per IB recomm</t>
  </si>
  <si>
    <t>Electrification and illumination of perimeter wall CSTPS, Chandapur</t>
  </si>
  <si>
    <t>Replacement of Distibution board, and switchgear at different areas of plant, colony, Dam</t>
  </si>
  <si>
    <t>Replacement of Energy meter</t>
  </si>
  <si>
    <t>Replacement of 400V, 220V, 50V, 26V batteries and its battery chargers at 210MW, Breakers, VFDs at compressor, Watch Tower</t>
  </si>
  <si>
    <t>Replacement of 400V, 220V, 50V, 26V batteries and its battery chargers at 210MW, CSTPS.</t>
  </si>
  <si>
    <t>Retrofitting of Breakers</t>
  </si>
  <si>
    <t>supply, installation and commissioning of VFDs at compressor and of soft starters  for clear water pump  at 210MW, CSTPS.</t>
  </si>
  <si>
    <t>Construction of Watch Tower along periphery compound wall as per IB recommendation at CSTPS, Chandrapur</t>
  </si>
  <si>
    <t>TIC</t>
  </si>
  <si>
    <t xml:space="preserve">Up-gradation of complete Instrumentation System including  FSSS System , Soot Blower System, Station C &amp;I System ,Turbine protection system, Turbovisory, HP/LP and PRDS at CSTPS Unit # 3&amp;4 (210 MW) </t>
  </si>
  <si>
    <t>Up-gradation of complete Instrumentation System including  FSSS System , Soot Blower System, Station C &amp;I System ,Turbine protection system, Turbovisory, HP/LP and PRDS at CSTPS Unit # 3&amp;4 (210 MW)</t>
  </si>
  <si>
    <t>Retrofitting/Upgradation of critical control loops by multiloop programmable controllers at Unit #3 &amp; 4, Upgradation of old ACS, PLC, SCADA WTP, FBTS, WTP measuring and instrumentation &amp; other WTP improvement schemes</t>
  </si>
  <si>
    <t>Retrofitting/Upgradation of critical control loops by multiloop programmable controllers at Unit #3 &amp; 4 CSTPS,Chandrapur.</t>
  </si>
  <si>
    <t>Upgradation of Old control system with PLC and SCADA at WTP  Stg-I of U# 3,4, 8 and 9, CSTPS, Chandrapur.</t>
  </si>
  <si>
    <t xml:space="preserve">Supply &amp; commissioning of advanced Microprocessor based Fast Bus Transfer Scheme for Stage-II Unit 3&amp;4, CSTPS, Chandrapur. </t>
  </si>
  <si>
    <t>Upgradation of Measuring &amp; Instrumentation of  WTP  Stg-I of U# 3,4, 8 and 9, CSTPS, Chandrapur.</t>
  </si>
  <si>
    <t>Upgradation of Ash Level Monitoring System at ESP/Eco / AHP Ash Hoppers at U# 3,4 CSTPS, Chandrapur.</t>
  </si>
  <si>
    <t>Upgradation of Obsolete Electromechanical Protection Relays to advanced Numeric Relays Installed at WTP - I</t>
  </si>
  <si>
    <t>Upgardation of BPF Scoop with electrical actuators at U#3 &amp; 4 CSTPS, Chandrapur.</t>
  </si>
  <si>
    <t xml:space="preserve">Upgradation of Measuring Instruments, Final Control Elements and Control System for Unit #3/4, WTP, AHP CSTPS Chandrapur </t>
  </si>
  <si>
    <t>Installation Errection and commissioning of Solar System for Electrical Suppy to CSTPS Colony.</t>
  </si>
  <si>
    <t>Rejuvenation of WTP-I</t>
  </si>
  <si>
    <t>Repairing rejuvenation with upgradation of rapid gravity sand filters under drain system.</t>
  </si>
  <si>
    <t>Repairing &amp; reconditioning of NDM clarifier of 27 Mtr dia &amp; DM clarifier of 15 mtr dia.</t>
  </si>
  <si>
    <t>Repairing &amp; reconditioning of ion exchanger vessels of DM plant stream (PF,ACF,SAC,WBA,SBA,MB &amp;Degassor)</t>
  </si>
  <si>
    <t>CHP-A</t>
  </si>
  <si>
    <t>Proc of Loco, Bulldozer, &amp; upgradation of Wagon Tippler, Stacker, Wing Tripper &amp; installation of  Dust Extraction system</t>
  </si>
  <si>
    <t>Procurement of 2 numbers WDG-3A Locomotives and 4 numbers Bulldozers</t>
  </si>
  <si>
    <t>Upgradation of Wagon Tipplers, Stacker Reclaimer Machine and Wing Tripper at CHP-A</t>
  </si>
  <si>
    <t>Installation of Dust Extraction system at Bunker and SCR buildings</t>
  </si>
  <si>
    <t>Upgradation of BC-9A &amp; BC-9C, Aerial Ropeway System 1 &amp; 2 &amp; BC-L1,L2 &amp; L3, Upgradation of Junction Tower-1 Hopper and Bunkering Trippers, Providing and Installation of Hopper Grills of Wagon Tippler-169 &amp; 170, Road Hopper, DT Ho[pper and DRCC Grills</t>
  </si>
  <si>
    <t>Upgradation of BC-9A &amp; BC-9C for converting 1000 mm to 1200 mm along with Gantry structure replacement</t>
  </si>
  <si>
    <t>Upgradation of Aerial Ropeway System 1 &amp; 2 &amp; BC-L1,L2 &amp; L3</t>
  </si>
  <si>
    <t>Upgradation of Junction Tower-1 Hopper and Bunkering Trippers</t>
  </si>
  <si>
    <t>Providing and Installation of Hopper Grills of Wagon Tippler-169 &amp; 170, Road Hopper, DT Ho[pper and DRCC Grills</t>
  </si>
  <si>
    <t>DPR for Bulldozer, Locomotives, Tunnel conveyors, Augur machines</t>
  </si>
  <si>
    <t>Procurement of 4 Numbers Bulldozers</t>
  </si>
  <si>
    <t>Procurement of 2 Numbers 800 HP Locomotives</t>
  </si>
  <si>
    <t>Upgradation of Tunnel conveyors BC-1AB, BC-4AB, BC-3, BC-5AB &amp; BC-21B</t>
  </si>
  <si>
    <t>Procurement of 4 Numbers Mobile Coal sampling Equipments (Augur Machines)</t>
  </si>
  <si>
    <t>Boiler Maintenance -II</t>
  </si>
  <si>
    <t xml:space="preserve">Up  Gradation of existing volumetric belt type coal feeders to gravimetric rotary weigh coal feeder of U-5 &amp; 6 at CSTPS </t>
  </si>
  <si>
    <t>DPR for the Work of Modification of existing coal bunker and commissioning of bunker chute assembly with vibrating motor to avoid bunker mouth coal choke up for Unit 5 &amp;6 at CSTPS, Chandrapur.</t>
  </si>
  <si>
    <t>DPR for  Supply &amp; Replacment of Boiler Thermal Insulation Unit 5 &amp;6, 7 at CSTPS, Chandrapur.</t>
  </si>
  <si>
    <t>Detailed Project Report for Manufacturing, supply and application of wear resistance liners for Coal Mill XRP-1043 and Procurement of Complete Gear box for Coal Mill XRP-1043, ID Fan impeller and sub assembly for Unit 5 &amp; 6 At CSTPS, Chandrapur.</t>
  </si>
  <si>
    <t>DPR for Modification and Restoration of Eco. outlet to ESP inlet duct of Unit -6 (500MW) CSTPS, Chandrapur .</t>
  </si>
  <si>
    <t>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t>
  </si>
  <si>
    <t>DPR for Supply &amp; Replacement of Divisional Panels in Boiler Unit 5,6 &amp; 7 and Economizer upper coil assembly in Unit 5 &amp; 6 CSTPS, Chandrapur.</t>
  </si>
  <si>
    <t>DPR for the Supply &amp; Replacement of Platen Superheater, Front Reheater in Unit-7 and Economizer middle &amp; Economizer lower coil assembly in Unit 5 &amp; 6 CSTPS, Chandrapur.</t>
  </si>
  <si>
    <t>DPR for the Supply &amp; Replacement of Front &amp; Rear Reheater coil assemblies and LTSH terminal tube assembly in Boiler Unit 5 &amp; 6</t>
  </si>
  <si>
    <t xml:space="preserve">DPR for the Supply &amp; Replacement of Front &amp; Rear Reheater coil assemblies and LTSH terminal tube assembly in Boiler Unit 5 &amp; 6 . </t>
  </si>
  <si>
    <t>DPR For Coal Mill Performance Improvement and Life Enhancement of BHEL Make XRP-1043 Coal Mills in Unit 5 &amp; 6 At CSTPS, Chandrapur.</t>
  </si>
  <si>
    <t>Turbine Maintenance-II</t>
  </si>
  <si>
    <t>Post facto DPR for "Urgent restoration and Life Enhancement of Unit#5 500 MW BHEL make Turbo Generator for prolonged efficient operation at Stage-III CSTPS Chandrapur"</t>
  </si>
  <si>
    <t>Upgradation and modernization scheme for Air Washer system installed in U-5 &amp; 6, CSTPS, Chandrapur</t>
  </si>
  <si>
    <t>Design, Supply, Installation, Testing &amp; commissioning of Energy Efficient Air Washer System for Unit -5 &amp; 6, 500MW, CSTPS, Chandrapur</t>
  </si>
  <si>
    <t>Schemes for Improvement in availability &amp; performance of feed system for U-5, 6 &amp; 7, CSTPS, Chandrapur</t>
  </si>
  <si>
    <t>Procurement of BFP Booster Pump assembly for Unit-5, 6 &amp; 7 CSTPS Chandrapur</t>
  </si>
  <si>
    <t>Procurement of Boiler Feed Pump catridge with CI sealing for Unit- 5 &amp; 6 CSTPS Chandrapur</t>
  </si>
  <si>
    <t>Procurement of Modulating type Boiler Feed Pump Recirculation valve  assembly for 500 MW, U-5, 6 &amp; 7</t>
  </si>
  <si>
    <t>Procurement of Fully bladed dynamically balanced Rotor (along with both side coupling hub) for TDBFP Turbine</t>
  </si>
  <si>
    <t>Life enhancement and efficiency improvement of 500MW U-5 &amp; 6 TDBFP Lub System</t>
  </si>
  <si>
    <t xml:space="preserve">Life enhancement and Reliability improvement schemes of 500MW Main Turbine Assests </t>
  </si>
  <si>
    <t>Reliability improvement of Low pressure Turbine by maintaining one set of LP free standing blades as insurance spare</t>
  </si>
  <si>
    <t>Performance and efficiency improvement of 500MW U-5 &amp; 6 High Pressure Turbine module</t>
  </si>
  <si>
    <t xml:space="preserve"> Life enhancement and efficiency improvement of 500MW U-5 &amp; 6 Main TG Lub System</t>
  </si>
  <si>
    <t xml:space="preserve"> Reliability improvement of Main Turbine </t>
  </si>
  <si>
    <t>Brief Scope of Work; Procurement of critical spares for Main TG U-5, 6 &amp; 7</t>
  </si>
  <si>
    <t xml:space="preserve">Procurement of HP turbine Module along with breach nuts and pipe spool pieces (Type:H30-100-2) for Unit-7, CSTPS, Chandrapur </t>
  </si>
  <si>
    <t xml:space="preserve">Reliability improvement of IP Turbine for 500 MW Main TG U-5 &amp; 6 </t>
  </si>
  <si>
    <t>Procurement of Fully Bladed &amp; Dynamically Balanced IP Rotor (M 30-50) for 500MW Unit-5 &amp; 6, CSTPS, Chandrapur under Capital Nature items.</t>
  </si>
  <si>
    <t>Energy saving in Air compressors</t>
  </si>
  <si>
    <t>Air Compressor Unit-7 to be replaced in a phased manner with energy efficient compressor</t>
  </si>
  <si>
    <t>Efficiency Upgrade of AC Plant of Unit-5 &amp; 6</t>
  </si>
  <si>
    <t>Design, Manufacture, Supply, Erection &amp; Commissioning,environment friendly, Efficiency Upgrade of AC Plant of Unit-5 &amp; 6</t>
  </si>
  <si>
    <t>Electrical Maintenance-II</t>
  </si>
  <si>
    <t>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t>
  </si>
  <si>
    <t>Supply, Installation, Testing, Commissioning for complete solution and comprehensive protection and monitoring package along with retrofit of allied accessories for Generator Transformers for 3 X 500 MW Unit#5,6&amp;7 500MW Stage-III CSTPS Chandrapur.</t>
  </si>
  <si>
    <t>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t>
  </si>
  <si>
    <t>DPR for Life enhancement and Energy efficiency of Critical HT Auxiliaries of Unit#3 to 7, CSTPS, Chandrapur</t>
  </si>
  <si>
    <t>Life enhancement and Energy efficiency of Critical HT Auxiliaries of Unit#3 to 7, CSTPS, Chandrapur</t>
  </si>
  <si>
    <t>DPR for “Supply &amp; Installation of energy saving plates for Energy Conservation  at 3X500MW, CSTPS, Chandrapur.”</t>
  </si>
  <si>
    <t>Supply &amp; Installation of energy saving plates for Energy Conservation  at 3X500MW, CSTPS, Chandrapur.</t>
  </si>
  <si>
    <t>DPR for "Complete renovation of Chimney elevator ) of Unit-5,6,7" &amp;
Complete revamping of chimney aviation obstruction lights (AOL) &amp; other associated spares installed at unit#5,6&amp;7 CSTPS Chandrapur. &amp;
DPR for “Provision of 11KV supply to Aundha pump house from Unit 5,6&amp;7.”</t>
  </si>
  <si>
    <t xml:space="preserve">Complete renovation of Chimney elevator of Unit-5,6,7
</t>
  </si>
  <si>
    <t>Complete revamping of chimney aviation obstruction lights (AOL) &amp; other associated spares installed at unit#5,6&amp;7 CSTPS Chandrapur.</t>
  </si>
  <si>
    <t>Provision of 11KV supply to Aundha pump house from U 5,6&amp;7 Station boards.</t>
  </si>
  <si>
    <t xml:space="preserve">DPR for Energy saving by installation of VFD for CEP motors at Unit#5 to 9, CSTPS, Chandrapur.
</t>
  </si>
  <si>
    <t xml:space="preserve">Energy saving by installation of VFD for CEP motors at Unit#5 to 9, CSTPS, Chandrapur.
</t>
  </si>
  <si>
    <t>DPR for Energy saving by installation of VFD for PA Fan &amp; ID Fan  motors at Unit#5 to 9, CSTPS, Chandrapur.</t>
  </si>
  <si>
    <t>Energy saving by installation of VFD for PA Fan &amp; ID Fan  motors at Unit#5 to 9, CSTPS, Chandrapur.</t>
  </si>
  <si>
    <t>DPR for refurbishment of Critical HT &amp; LT board installed at Unit#5,6,&amp;7, CSTPS Chandrapur.</t>
  </si>
  <si>
    <t xml:space="preserve"> Refurbishment of Critical HT &amp; LT board installed at Unit#5,6,&amp;7, CSTPS Chandrapur.</t>
  </si>
  <si>
    <t>Refurbishment of LV bus duct Bus duct of UAT, SAT, station transformer installed at Unit#5,6,&amp;7, CSTPS Chandrapur.</t>
  </si>
  <si>
    <t>Instrumentation &amp; Control-II</t>
  </si>
  <si>
    <t>Complete Supply ,Erection and Commissioning DDCMIS system of Unit 7 at CSTPS</t>
  </si>
  <si>
    <t>Complete Supply ,Erection and Commissioning DDCMIS system of Unit 7  at CSTPS</t>
  </si>
  <si>
    <t>Implementation of Flexible Operation Solutions for Unit5,6 &amp;7, CSTPS, Chandrapur</t>
  </si>
  <si>
    <t>Supply of sub-assy for ID Fan VFD System&amp;  Energy Management System (EMS) at Stage-III, CSTPS, &amp; Procurement of numerical motor/feeder protection relay</t>
  </si>
  <si>
    <t>Supply of sub-assy for ID Fan VFD System</t>
  </si>
  <si>
    <t>Energy Management System (EMS) at Stage-III, CSTPS, Chandrapur.</t>
  </si>
  <si>
    <t>Procurement of numerical motor/feeder protection relays</t>
  </si>
  <si>
    <t>Procurement of portable multi function test kit, Microprocessot based CB TIM, CRM &amp; MVDT, CBO analyser, Vacuum cleaner bottle HV tester</t>
  </si>
  <si>
    <t xml:space="preserve">Replacement of various motorised control actuators at Unit 5, 6  CSTPS,Chandrapur.                              </t>
  </si>
  <si>
    <t>Supply and commissioning of Energy Optimization &amp; Real Time Analysis system software for Auxiliary Power management of power network &amp; Pump performance monitoring system for water pumping stations for Unit#5,6&amp;7, CSTPS, Chandrapur</t>
  </si>
  <si>
    <t>Supply and commissioning of Energy Optimization &amp; Real Time Analysis system software for Auxiliary Power management of power network</t>
  </si>
  <si>
    <t>Supply and installation of advanced Microprocessor based Pump performance monitoring system for water pumping stations for Unit#5,6&amp;7, CSTPS, Chandrapur</t>
  </si>
  <si>
    <t>Upgradation of Online Connectivity and Environmental Monitoring (OCEMS) System at Unit-5,6&amp;7</t>
  </si>
  <si>
    <t xml:space="preserve">Procurement of I&amp;C Testing Labouratory Instruments </t>
  </si>
  <si>
    <t xml:space="preserve">Upgradation of various motorised control actuators at Unit-7,  CSTPS,Chandrapur.                              </t>
  </si>
  <si>
    <t>ODP-II</t>
  </si>
  <si>
    <t>Complete reconditioning of Condensate cooling water system, Ash raw water system &amp; fire fightning system of U-5,6 &amp; 7</t>
  </si>
  <si>
    <t xml:space="preserve"> Complete reconditioning of cooling tower 5A &amp; 5B of Unit -5. </t>
  </si>
  <si>
    <t>Revamping of induced draft Cooling tower - 6A &amp; 6B internals with supply &amp; replacement to improve the performance of Cooling tower of Unit -6 (500MW), CSTPS, Chandrapur</t>
  </si>
  <si>
    <t>Replacement of  Complete pump assembly of CCW pump, ACW pump and other schemes</t>
  </si>
  <si>
    <t>Replacement of  Complete pump assembly of CCW pump installed at U-5,6,7.</t>
  </si>
  <si>
    <t xml:space="preserve"> Replacement of  Complete pump assembly of ACW  pump installed at U-5,6,7.</t>
  </si>
  <si>
    <t xml:space="preserve"> Complete reconditioning of Ash Raw water system &amp; DM/NDM system of U- 7. </t>
  </si>
  <si>
    <t xml:space="preserve">Complete reconditioning of Fire fightning system of Stage -I, II, III. </t>
  </si>
  <si>
    <t xml:space="preserve">Upgradation of existing DM water system along with supply, erection &amp; Commissioning of PLC panel, Instrumentation, CPVC Pipes &amp; fittings, installed at WTP–500MW, CSTPS, Chandrapur.
</t>
  </si>
  <si>
    <t>Various work for renovation &amp; improvement of ash disposal pipeline system of Unit # 5 &amp; 6 at  CSTPS, Chandrapur.</t>
  </si>
  <si>
    <t>Supply, Erection &amp; commissioning of third 400 NB ash slurry disposal pipeline for Unit #5 at CSTPS, Chandrapur</t>
  </si>
  <si>
    <t>Supply, Erection, Replacement of 400 NB MSERW pipes of existing Ash disposal pipelines of Unit # 5 &amp; 6 in ‘B’ &amp; ‘C’ zone at CSTPS, Chandrapur.</t>
  </si>
  <si>
    <t>Design, engineering, supply, installation and commissioning of disposal of bottom ash in under ground mines at Chandrapur area WCL at CSTPS, Chandrapur</t>
  </si>
  <si>
    <t>Supply and replacement of 400 NB MSERW pipe lines of ash disposal system in Ash Handling Plant at CSTPS, Chandrapur.</t>
  </si>
  <si>
    <t>Procurement and replacement of 400 NB MSERW pipe lines of ash disposal system in Ash Handling Plant at CSTPS, Chandrapur.</t>
  </si>
  <si>
    <t>WTP-II</t>
  </si>
  <si>
    <t xml:space="preserve">SWAS system &amp; STREAM FILTRATION FOR COOLING WATER SYSTEM </t>
  </si>
  <si>
    <t>Revamping of SWAS system at 3 x 500 MW at WTP-II of CSTPS, Chandrapur</t>
  </si>
  <si>
    <t>STREAM FILTRATION FOR COOLING WATER SYSTEM OF UNIT 5,6,7,8 and 9 OF CSTPS CHANDRAPUR</t>
  </si>
  <si>
    <t>CHP-B</t>
  </si>
  <si>
    <t xml:space="preserve">Renovation of Bunker Hopper of Unit 5&amp;6 along with coal flow system &amp;  Design, Engineering, Manufacturing, Fabrication, Erection and commissioning of Modified Wobbler Feeder at CHPC </t>
  </si>
  <si>
    <t>Scheme-1 Work of Modification,Upgradation &amp; renovation of Bunker Hopper of Unit 5&amp;6 along with coal flow system at CSTPS Chandrapur</t>
  </si>
  <si>
    <t>Scheme-2 :- Renovation &amp; up gradation of conveyor gantries &amp; Travelling Tripper of CHPB.</t>
  </si>
  <si>
    <t>Scheme-3 :- Design, Engineering, Manufacturing, Fabrication, Erection and commissioning of Modified Wobbler Feeder at CHPC of Unit 6&amp;7 of CSTPS Chandrapur</t>
  </si>
  <si>
    <t xml:space="preserve">installation &amp; commissioning of various LV and MV drives at CHPA &amp; Automation of Control Room of CHPA/B </t>
  </si>
  <si>
    <t>Scheme-1 Design, Engineering, supply, installation &amp; commissioning of various LV and MV drives at CHPA</t>
  </si>
  <si>
    <t xml:space="preserve">Scheme-2 Automation of Control Room of CHPA/B </t>
  </si>
  <si>
    <t>Scheme-3 Design, Engineering, supply, installation &amp; commissioning of various MV VFD for Crusher 1,2,3&amp;4 at CHPB</t>
  </si>
  <si>
    <t>Scheme-4:- Renovation modernization of 11 KV PMCC Board at Sub-Station-2 of CHPB</t>
  </si>
  <si>
    <t>Renovation &amp; Upgrdation of Bunker lift &amp; Desgin, Engineering, supply, installation &amp; commissioning of Energy chain system at various locations of CHPB &amp; CHPC</t>
  </si>
  <si>
    <t>Scheme-1: Renovation &amp; Upgrdation of Bunker lift of Unit 5,6&amp;7 of CHPB</t>
  </si>
  <si>
    <t>Scheme-2:- Desgin, Engineering, supply, installation &amp; commissioning of Energy chain system at various locations of CHPB &amp; CHPC</t>
  </si>
  <si>
    <t xml:space="preserve">Upgradation of old ropeway, BC-108 A/B, installation of coal pile thermal monitoring system for stack pile of CHPA/B. </t>
  </si>
  <si>
    <t>Scheme-1 Work of Renovation &amp; upgradation of Ventilation system of CHPA&amp;CHPB.</t>
  </si>
  <si>
    <t>Scheme-2: Design, Engineering, Supply, fabrication, Erection, installation &amp; commissioning of modified take up arrangement for BC 108A/B of CHPB.</t>
  </si>
  <si>
    <t>Scheme-3: Design, Engineering, supply &amp; installation of coal pile thermal monitoring system for stack pile of CHPA/B.</t>
  </si>
  <si>
    <t>Scheme-3: Design, Engineering, supply &amp; installation of Belt Tear Detector system for belt conveyor system of CHPB.</t>
  </si>
  <si>
    <t>Scheme-4: Capacity Enhancement of Belt Conveyor Drives of CHPB by upgrdation of conveyor drvie system.</t>
  </si>
  <si>
    <t>Modification &amp; upgradation in Railway Track network of CSTPS</t>
  </si>
  <si>
    <t xml:space="preserve">Scheme-1: Work of Modification &amp; upgradation in Railway Track network of CSTPS by Provision of additional take off &amp; cutoff point for CHPD and empty formation at WT outhaul in CSTPS Railway Siding. </t>
  </si>
  <si>
    <t>Scheme-1: Work of Modification &amp; upgradation in Railway Track network of CSTPS by Complete Track Renewal of old BG rail with other allied works in CSTPS Railway Siding.</t>
  </si>
  <si>
    <t>extension of Pipe Conveyor System from Padmapur Loading Station to Coal Handling Plant-C of Unit 5,6&amp;7 at CSTPS Chandrapur.</t>
  </si>
  <si>
    <t>Scheme-1: Augmentation of extension of Pipe Conveyor System from Padmapur Loading Station to Coal Handling Plant-C of Unit 5,6&amp;7 at CSTPS Chandrapur.</t>
  </si>
  <si>
    <t>CHP-C</t>
  </si>
  <si>
    <t>Design, Engineering, supply, Erection and commissioning of new fire fighting system at Pipe conveyor of CSTPS, Chandrapur</t>
  </si>
  <si>
    <t>Reliability &amp; availability improvement of coal transportation by Procurement of UTS (BOBR) Wagons for CHP</t>
  </si>
  <si>
    <t>Reliability &amp; availability improvement by replacement of set of internals for Paddle feeders</t>
  </si>
  <si>
    <t>Reliability &amp; availability improvement by replacement of transfer chutes at CHP-C</t>
  </si>
  <si>
    <t>Civil U#3  to U#7</t>
  </si>
  <si>
    <t xml:space="preserve">Provision for Scientific storage of coal reject and leachate collection system at CSTPS, Chandrapur </t>
  </si>
  <si>
    <t>Provision for Scientific storage of coal reject and leachate collection system at CSTPS, Chandrapur</t>
  </si>
  <si>
    <t xml:space="preserve">Infrastructure  development scheme for improvement of CHP at CSTPS, Chandrapur </t>
  </si>
  <si>
    <t xml:space="preserve">Construction of RCC platform facility for Coal storage &amp; transportation in CHP-B STACKER I &amp; II area (500MW) at CSTPS, Chandrapur </t>
  </si>
  <si>
    <t>Contruction of cement concrete roads in CHP area at CSTPS, Chandrapur</t>
  </si>
  <si>
    <t>Arresting Leakages by  water proofing treatment in main Plant &amp; ancillary buildings  at CSTPS, Chandrapur.</t>
  </si>
  <si>
    <t xml:space="preserve">A)- water proofing treatment in Control room of WTP-I area.
(B)- water proofing treatment inControl room of WTP-II area.
(C)-  water proofing treatment in Control room of CT Fan area 
(D)- water proofing treatment in   Main Plant area. </t>
  </si>
  <si>
    <t>Structural strengthening of Unit 3&amp; 4 at CSTPS, Chandrapur</t>
  </si>
  <si>
    <t>Structural strengthening of CHP-A buildings</t>
  </si>
  <si>
    <t>Infrastructure Deveolpment of CSTPS colony at CSTPS Chandrapur .</t>
  </si>
  <si>
    <t>i- Construction of new ESR (Elevated Storage Reservoir) at CSTPS Chandrapur</t>
  </si>
  <si>
    <t>ii- Providing &amp; Rerouting of existing water supply pipe line at CSTPS Chandrapur</t>
  </si>
  <si>
    <t>iii- Providing &amp; Rerouting of esiting sewer line at CSTPS colony Chandrapur</t>
  </si>
  <si>
    <t>iv- Providing water proofing treatment to terrace slab of residential building aaat CSTPS colony Chandrapur</t>
  </si>
  <si>
    <t>v- Construction of storm water drain along major and internal road of CSTPS colony at Chnadrapur</t>
  </si>
  <si>
    <t>vi-Improvement of existing major and internal Bitumen   road of CSTPS colony  by Bituminous treatment  at  CSTPS Chandrapur</t>
  </si>
  <si>
    <t>Renovation of residential buildings , Public building , Road and other allied civil works in CSTPS colony at Chandrapur</t>
  </si>
  <si>
    <t>i- Renovation and Beautification of residential building ( Type A, B, C, D, E and F)  Phase -II at CSTPS Chnadrapur</t>
  </si>
  <si>
    <t>ii-Renovation of old and new market at CSTPS Chandrapur</t>
  </si>
  <si>
    <t>iii-Improvement of exsiting Main road by Cement Concrte road  in colony at CSTPS Chandrapur</t>
  </si>
  <si>
    <t>iv-Renovation of Civil and Electrical Maint office building at CSTPS Chandrapur.</t>
  </si>
  <si>
    <t xml:space="preserve">v- Renoavtion of Post office building and Bank Building at CSTPS Chandrapur </t>
  </si>
  <si>
    <t>vi- Renovation fo Erai Dam guest House at CSTPS Chandrapur</t>
  </si>
  <si>
    <t>vii- Improvement of Erai dam approch road by Bituminous treatment at CSTPS Chnadrapur</t>
  </si>
  <si>
    <t>Construction of new residential building ,Hospital Building ,Chemmary Building,security office building  and allied civil work infrastructure in colony at CSTPS Chandrapur</t>
  </si>
  <si>
    <t>i- Construction of new residential staff quarter of A, B ,C D and E type  building in colony at CSTPS Chandrapur</t>
  </si>
  <si>
    <t>ii-Construction of New Hospital Building at CSTSP Chandrapur</t>
  </si>
  <si>
    <t>iii-Construction of new Chummary Building at CSTPS Chandrapur</t>
  </si>
  <si>
    <t>iv-Construction of new security office and check post at various location in colony at CSTPS Chandrapur</t>
  </si>
  <si>
    <t>v-Construction of swimming pool in colony at CSTPS Chandrapur</t>
  </si>
  <si>
    <t>vii-Providing new drinking water supply DI- pipe line  300 mm dia .for domestic water supply to rsidential colony at CSTPS Chandrapur.</t>
  </si>
  <si>
    <t>viii-Rain water Harvesting system to residential building at CSTPS Chandrapur.</t>
  </si>
  <si>
    <t>Renovation of public utility building of CSTPS, Chandrapur</t>
  </si>
  <si>
    <t>Renovation and interior decoration of Hirai guest house</t>
  </si>
  <si>
    <t>Renovation and interior decoration of existing chummery guest house</t>
  </si>
  <si>
    <t>Renovation and interior decoration of existing Erai dam guest house</t>
  </si>
  <si>
    <t xml:space="preserve">Work of interior decoration by proding stop cabin arrangement and other internal architechture decorative work for RP section of admin building </t>
  </si>
  <si>
    <t>R&amp;M/LE for Identified Thermal units of MSPGCL</t>
  </si>
  <si>
    <t>R&amp;M/LE for Identified Thermal units of MSPGCL, CSTPS U-3</t>
  </si>
  <si>
    <t>R&amp;M/LE for Identified Thermal units of MSPGCL, CSTPS U-4</t>
  </si>
  <si>
    <t xml:space="preserve">CHP Improvement Schemes </t>
  </si>
  <si>
    <t>CHP Improvement Schemes at CHP-A, B, C</t>
  </si>
  <si>
    <t>Developlment &amp; Upgradation of SAP for MSPGCL</t>
  </si>
  <si>
    <t>Design, supply, installation and commissioning of Smart Energy Efficienient Illumination System for safety precautions and proving suitable working conditions  at stg-II &amp; III, CSTPS, Chandrapur</t>
  </si>
  <si>
    <t>Implementation of Flexible Operation Solutions  (U-3,4)</t>
  </si>
  <si>
    <t>Implementation of Flexible Operation Solutions (U-3,4)</t>
  </si>
  <si>
    <t>DPR for ash utilisation cell- infrastructure development</t>
  </si>
  <si>
    <t>DPR for development of infrastructure for loading and dispatch of fly ash through Railway Wagons, CSTPS, Chandrapur</t>
  </si>
  <si>
    <t>Disposal of bottom ash for stowing of u/g mines of Chandrapur Area by installing direct pipeline from CSTPS to WCL</t>
  </si>
  <si>
    <t>Design, supply, installation, testing and commissioning of 100 MT 16X3 Mtr. electronic weigh bridge system, for weighment and dispatch of Pond Ash from Ash bund, CSTPS, Chandrapur</t>
  </si>
  <si>
    <t>Up-gradation Schemes for CAAQM Stations &amp; NABL Laboratory</t>
  </si>
  <si>
    <t>Comprehensive Strategies for Environmental Sustainability at CSTPS: Implementing Zero Discharge Policies and Pollution Control Measures for Effective Water Body Management and Hazard Prevention</t>
  </si>
  <si>
    <t>Upgrading Settling tank near the Coal Reject Area: Installation of Settling Tank Liners and Enhanced Upgraded Pump House Systems to Prevent Acidic Water Seepage into the Ranvendli Nallah which connected to the ERAI River.</t>
  </si>
  <si>
    <t>Implementation of Zero Water Discharge Solutions: Design, Construction, and Commissioning of New Pump Houses for ETP 1 and ETP 2 to Enhance Capacity for Effective Water Recovery</t>
  </si>
  <si>
    <t>Underground Ash Disposal Pipeline Management: Design, Construction, and Installation of Filter Beds Along Ash Disposal Pipelines for Improved Environmental Protection of Water Bodies from Ingress into the Erai River</t>
  </si>
  <si>
    <t>Ash bund peripheral road</t>
  </si>
  <si>
    <t>Construction of peripheral nallah</t>
  </si>
  <si>
    <t>Construction of concrete Roads with drains at colony</t>
  </si>
  <si>
    <t>Fugitive emisson reduction techniques</t>
  </si>
  <si>
    <t>Fugitive emisson reduction schemes</t>
  </si>
  <si>
    <t>GENERAL ASSET</t>
  </si>
  <si>
    <t>M/S GEO-MILLER arbitration amount</t>
  </si>
  <si>
    <t xml:space="preserve"> CM Reject Handling Sys Macawber Breakey</t>
  </si>
  <si>
    <t xml:space="preserve">Work of Design, Engineering, manufacturing, supply, erection &amp;  commissioning of interconnection conveyor belt Elecon stack yard of CHPA of U-3 &amp; U-4 to Belt Conveyor 105-A/B at CHP-B of Unit 5, 6 &amp; 7 at CSTPS Chandrapur ((Non-DPR) </t>
  </si>
  <si>
    <t>Non Dpr The Work of Upgradation/Renovation of Track Hopper Unloading Conveyor system with allied works in CHPB of Unit-5, 6&amp;7 at CSTPS Chandrapur</t>
  </si>
  <si>
    <t>Non DPR scheme for “The Work of Upgradation of Belt Conveyor 107A/B by replacement of conveyor deck structure with allied works in CHPB of Unit-5, 6&amp;7 at CSTPS Chandrapur</t>
  </si>
  <si>
    <t>Non-DPR: Supply, installation &amp; commissioning of oil cooled over band magnetic separators for various conveyor belts of CHP-B &amp; CHP-C, CSTPS, Chandrapur</t>
  </si>
  <si>
    <t>Various preventive works to avoid Tiger movement and animals in CSTPS colony premises Up-gradation od existing periphery compound wall by avoiding barbed wire and concertina fencing and allied works in the colony at CSTPS, Chandrapur</t>
  </si>
  <si>
    <t>Repairing, revamping and modification of existing alarm and protection system from fire and providing rapid extinguishing CA system at 500 MW Unit # 5 &amp; 6 CSTPS</t>
  </si>
  <si>
    <t>NON-Detailed Project Report for the Work of Upgradation/Renovation of Crusher House of CHPB of Unit-5, 6&amp;7 at CSTPS Chandrapur (benefit U-8,9 by short conveyor coal stacking in catering emergency)</t>
  </si>
  <si>
    <t>Work of Up-gradation/Renovation of Bunkering Conveyor system with allied works in CHPA of Unit-3&amp;4 at CSTPS Chandrapur</t>
  </si>
  <si>
    <t>Non-Detailed Project Report for the up-gradation of existing belt type gravimetric coal feeders to gravimetric rotary weigh coal feeders of unit- 7, at CSTPS, Chandrapur</t>
  </si>
  <si>
    <t>Non DPR scheme for the procurement of Girth Gear Assembly for BBD-4772 coal mill unit-7</t>
  </si>
  <si>
    <t>Non DPR Supply of Sub-Assemblies for KBL -make Auxiliary cooling water pump, Model BHR-70 &amp; BHR 60-30 deg. installed at Auxiliary cooling water system of U- 5 to 7 at ODP-II, CSTPS, Chandrapur.</t>
  </si>
  <si>
    <t>Procurement of Primary and Secondary Air Pre-heater Baskets for Unit-5, Chandrapur STPS, 500MW through OEM basis from M/s. BHEL</t>
  </si>
  <si>
    <t>Restoration of Operational efficiency and improvement in useful life of spare HP turbine Module of 500MW Unit-5,6 CSTPS chandrapur by Refurbishement</t>
  </si>
  <si>
    <t>Work of Upgradation/Renovation of Crusher House &amp; Track Hopper Unloading System of CHPC of Unit-6&amp;7 CSTPS Chandrapur</t>
  </si>
  <si>
    <t>Non – DPR: Design, supply, erection, installation, testing and commissioning of boiler goods lift in place of existing old lifts installed at Unit#6,7 500MW CSTPS, Chandrapur </t>
  </si>
  <si>
    <t>Work of refurbishment of Flender make KMS 850 gear box of XRP-1043 coal mill unit 5&amp;6 at CSTPS, Chandrapur</t>
  </si>
  <si>
    <t>Work of renovation of take up trestle structure of BC-105A2/BC-105B and trestle near TP-104, Modification of MS fixtures for the work of various auxiliary replacement at various sites and other allied works in CHP-B (M2) at CSTPS Chandrapur, as NonDPR Scheme.</t>
  </si>
  <si>
    <t>Non DPR scheme for upgradation and life enhancements of BC-1AB_BC-4AB at CHP-A, CSTPS, Chandrapur</t>
  </si>
  <si>
    <t>THE PROCUREMENT AND REPLACEMENT OF AIR PREHEATER BASKETS ASSEMBLIES AT UNIT-6 AT CSTPS, CHANDRAPUR</t>
  </si>
  <si>
    <t>NonDPR: Procurement of cartridge for boiler feed pump of 500MW U#7 and parallel shaft gear box for boiler feed pump of 500MW Unit-5 &amp;6 CSTPS, Chandrapur</t>
  </si>
  <si>
    <t>Replacement of FD &amp; ID Fan IGV Actuators &amp; Electronic Controllers in 500 MW Unit-5 &amp; 6 at CSTPS, Chandrapur</t>
  </si>
  <si>
    <t>Non DPR for Work of Repairing and Strengthening of Coal Mill structure, Replacement of MS grating and painting of structural supports, columns, and platform supports of at various locations Coal Mill, Boiler and ESP of Unit-5, 6 and 7 at CSTPS Chandrapur.</t>
  </si>
  <si>
    <t>Administrative approval under Non DPR scheme for“The Work of Up-gradation / Renovation and life enhancement of Conveyor system BC-6ABC with allied works in CHP-A of Unit-3&amp;4 at CSTPS Chandrapur”</t>
  </si>
  <si>
    <t>Supply Erection and commissioning of Institu type SOX, NOX Analyzer along with remote calibration facility and connectivity to CPCB and MPCB as per latest CPCB Guidelines for Unit-3&amp;4, CSTPS.</t>
  </si>
  <si>
    <t>Work of Renovation &amp; Upgradation of Receipt &amp; Dispatch Yard of Railway Siding of CSTPS by provision of Various Standard Infrastructure facilities at R&amp;D yard in Coal Handling Plant of CSTPS Chandrapur</t>
  </si>
  <si>
    <t>Supply, Installation and Commissioning of MV VFD panel along with integrated online cell redundancy technology with VFD bypass feature arrangement for conveyors 103 A &amp; B of CHP-B.</t>
  </si>
  <si>
    <t>Replacement of LTSH assemblies in U- 5</t>
  </si>
  <si>
    <t>Replacement of complete Z-panels in unit- 5</t>
  </si>
  <si>
    <t>MODIFICATION AND RESTORATION OF APH OUTLET TO ESP INLET DUCTS AT U#3 (210MW)</t>
  </si>
  <si>
    <t xml:space="preserve">Supply, Installation, Testing, Commissioning for complete solution and comprehensive protection and monitoring package along with retrofit of allied accessories for Generator Transformers for 3 X 500 MW Unit#5,6&amp;7 </t>
  </si>
  <si>
    <t>Capitalization</t>
  </si>
  <si>
    <t>Allowable Capitalisation</t>
  </si>
  <si>
    <t>Probable Disallowance</t>
  </si>
  <si>
    <t>Calorific Value (As Fired)  Raw + Washed</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</si>
  <si>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</si>
  <si>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</si>
  <si>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</si>
  <si>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</si>
  <si>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</si>
  <si>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</si>
  <si>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</si>
  <si>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</si>
  <si>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</si>
  <si>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</si>
  <si>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</si>
  <si>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</si>
  <si>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LP/SBC Purity (%)</t>
  </si>
  <si>
    <t>MSPGCL: Chandrapur U # 3-7</t>
  </si>
  <si>
    <t>MTR Petition Formats - Generation</t>
  </si>
  <si>
    <t>Benefits cannot be quantified as Pumps are procured as Insurance spares for replacemet in case of emergency reducing down time of auxiliary / unit. As on date 0.94 Cr. of Fixed cost is saved for each day of reduction in unit outage.</t>
  </si>
  <si>
    <t>As the scheme is not related to generation, the cost benefit may not be analysed. However, by implementing the scheme, following benefits is achieved.
1. Stack emission of Unit#3 is reduced.
2. As the two rows of ESP fields are new, availability, reliability of total ESP fields is increased.
3. Repetation of field inspection reduced as replaced by new one as compared to old fields..</t>
  </si>
  <si>
    <t>As the scheme is not related to generation, the cost benefit may not be analysed. However, by implementing the scheme, following benefits will be achieved.
1. Stack emission of Unit#4 will reduced.
2. As the two rows of ESP fields are new, availability, reliability of total ESP fields will increased.
3. Repetation of field inspection will reduced as replaced by new one as compared to old fields..</t>
  </si>
  <si>
    <t xml:space="preserve">1) Increased the structural life of the buildings 2) Maintenance cost of the work is reduced 3) No need to carry out the same work repetatively. 4) Healthy atmosphere created in colony. 5) The above scheme is not related to the generation and it related to provide the services to the employees. </t>
  </si>
  <si>
    <t xml:space="preserve">1) Available good riding surface for traffic movement 2)Smooth traffic movememnt is achieved. 3) maintenance cost of road is reduced. 4) No need to carry out same work again and again 5) Possibility of accidents is reduced by providing the road furniture. 6) The above scheme is not related to the generation and it related to provide the services to the employees. </t>
  </si>
  <si>
    <t>1) Creates a healty atmosphere in colony 2) Same place utilised for gardening and entertainment 3) Maintains the good enviornment in colony 4) The above scheme is not related to the generation and it related to provide the services to the employees</t>
  </si>
  <si>
    <t xml:space="preserve">1)  The said scheme is not related to the generation and it related to provide the services to the employees. </t>
  </si>
  <si>
    <t>As the scheme is not related to generation, the cost benefit may not be analysed. However, by implementing the scheme, following benefits will be achieved.
1. Shunting time will be reduce and will result in reduction in rake detention time.
2. Reduction in damurrages charges.
3. Derailments due to poor rail structure will be reduced.
4. Reduction in maintenance cost.</t>
  </si>
  <si>
    <t xml:space="preserve">•	Boiler efficiency will be improved.
•	APH performance will be improved.
•	Dry flue gas losses will be reduced.
•	Improved Heat Rate.
•	Availability and Reliability of unit will be increased
</t>
  </si>
  <si>
    <t xml:space="preserve">1) Improvement in condenser vacuum.
2)  Improvement in gross heat rate.
3)  Increase in system availability &amp; performance improvement.
4) Increase in heat transfer due to exposure of extra area of hot water to air.
5) L/G ration maintained. </t>
  </si>
  <si>
    <t>a) Revenue Savings : The unit is saved under varying system disturbances
b) Fast &amp; efficient response to supply changeover, Safety during transfer 
c) Increase in efficiency &amp;  Life Expectance of Drives and Driven Equipments
d) Better event analysis and trouble-shooting capabilities. 
 (Payback period is estimated as Apprx. 3.4 years)</t>
  </si>
  <si>
    <t>a) System improvement and reliability of critical 220V DC &amp; 24V DC supply schemes. 
b) Tangible cost saving in terms of reduction in Power consumption and Operational costs. 
c) Drastic reduction in Battery maintenance. 
d) Comprehensive Battery System monitoring.  
e) Prolonged Battery life and improved performance. 
(Payback period is estimated as Apprx. 3.1 years)</t>
  </si>
  <si>
    <t>a) Increase in reliability of critical generator protection system. 
b) Better analytical &amp; diagnostic purpose.  
c) As history and events logging data is available in relay memory  the system shall be very much useful for analysis, in case of unit tripping  
d) Reduction in repairs of faulty relays. 
(Payback period is estimated as Apprx. 1 year)</t>
  </si>
  <si>
    <t xml:space="preserve">GTR reliability increase.
</t>
  </si>
  <si>
    <t>• Reliability and availability of system will be improved.
• Increase in energy efficiency due to improved material and manufacturing methods, Thus lower internal losses and additional energy savings.
• Lesser maintenance and monitoring costs.
• Emergency tendering cost in case of failure of existing BCW motor will be minimised</t>
  </si>
  <si>
    <t>1. Cost effective and more efficient
2. Reduces lifts down time and failure.
3. Improved reliability and safety and lower maintenance cost
4. Enhanced appearance and intangible benefits:</t>
  </si>
  <si>
    <t xml:space="preserve">1) Water losses will be reduced by providing and laying new pipeline. 2) Irrigation water royalty will be reduced 3) Generation cost will be reduced 4) Scarcity of the water at one day reservoir will be minimised </t>
  </si>
  <si>
    <t>Coal transportation</t>
  </si>
  <si>
    <t>Fire safety</t>
  </si>
  <si>
    <t>Debris transportation</t>
  </si>
  <si>
    <t>a) Ease of maintenance,
b) Improved availability and Reliability of the system
c) Increased protection to motors and equipment’s.
d) The latest breakers being technologically superior to old designed breakers will be more user friendly.
e) Reduction in outage hours on account of failure.
f) Reduction in maintenance.
g) Overall improvement in performance of plant.</t>
  </si>
  <si>
    <t>safety</t>
  </si>
  <si>
    <t>efficient coal reclaimation</t>
  </si>
  <si>
    <t>HR improvement</t>
  </si>
  <si>
    <t>Improvement of @ 10 Kcal/Kwh in GTHR expected due to improvement in HP / LP Heater efficiency</t>
  </si>
  <si>
    <t xml:space="preserve">a) Availability of ESP Fields shall be enhanced. 
b) Reduction in stack emission levels. 
c) Improvement in ambient air quality. Maintaining MPCB environmental norms 
d) Facilitating adherence to statutory environmental norms and parameters.  
e) Reduction in failure of electronic cards and components. 
 </t>
  </si>
  <si>
    <t>a) Reliability of the critical excitation system.  
b) Improvement in efficiency of the critical excitation system. 
c) Fine precision control of the critical excitation system. 
d) Accurate analysis and trouble shooting of the system.  
e) Better monitoring and supervision of the critical excitation system. 
(Payback period is estimated as 3  years)</t>
  </si>
  <si>
    <t>a) Increase in reliability of critical HT switchgear protection system.  
b) Better analytical &amp; diagnostic purpose. 
c) As history and events logging data is available in relay memory the system shall be very much useful for analysis, in case of feeder tripping.  
d) Reduction in repairs of faulty relays. 
(Payback period is estimated as 2  years)</t>
  </si>
  <si>
    <t>a) Precise light weight mechanical movement. 
b) Wide Operating temperature range suitable for toughest industrial environments. 
c) Anti jamming pulsation action via dither signal from electronic positioner (RK/LK) . 
d) Easy to remove from actuator and re-install when unit is not in service. 
e) Reliable electro-hydraulic mechanism for holding the actuator at its last position in case of loss of hydraulic pressure or electric power. 
(Payback period is estimated as 1.5  years)</t>
  </si>
  <si>
    <t>Coal mill performance improvement</t>
  </si>
  <si>
    <t>Reliable fire protection system</t>
  </si>
  <si>
    <t>Fire detection alarm &amp; protection system reliability</t>
  </si>
  <si>
    <t>Reliable coal transportation</t>
  </si>
  <si>
    <t xml:space="preserve">•Coal mill availability will be increased.
•Coal reject from coal mill will be reduced.
•Coal powder fineness will be increased.
•Combustion efficiency will be improved.
•More than 70% of -200 mesh &amp; less than 1% of +50 mesh
•Unburnt fly ash and in bottom ash will be reduced.
•Huge Generation loss and specific oil consumptions on account of non-availability of coal mill will be reduced.
•Auxiliary power consumption will be saved, as repeated changeover of mill will be reduced.
•Increase in loadability of unit.
•Maintenance cost of coal mill will be reduced.
•Reduce coal mill down time.
•Boiler efficiency will be improved.
•Availability and Reliability of unit will be increased.
</t>
  </si>
  <si>
    <t>Improve availability of Coal feeders in rainy seasons .
Reduce down time of Coal feeders.</t>
  </si>
  <si>
    <t>1.Reduce BTL 
2.Boiler efficiency will be improved. 
3.Availability and Reliability of unit will be increased</t>
  </si>
  <si>
    <t xml:space="preserve">•	Reduction in stack loss
•	Increase in life of equipment
•	Achievement in statutory requirement as per MPCB norms
</t>
  </si>
  <si>
    <t>1.Reduce BTL 
2.Boiler efficiency will be improved. 
3.Availability and Reliability of unit will be increased"</t>
  </si>
  <si>
    <t xml:space="preserve">1.	The steam required in the ejector will be eliminated. 
2.	Improvement in the heat rate gain. 
3.	Overall cycle efficiency will improve.  
4.	The rated condenser vacuum can be maintained at rated load 
5.	Vacuum build up fast during rolling reduces time required for set synchronization
</t>
  </si>
  <si>
    <t xml:space="preserve">1.	Increase in pump efficiency. 
2.	Readily availability of spare assembly for urgent replacement during emergent situations. 
3.	Generation Loss due to unpredicted failure/tripping of BFP shall be reduced. 
4.	Boiler Feed Pump availability will be maintained. 
5.	Reliability of operation of Units on low loads will be improved.
</t>
  </si>
  <si>
    <t xml:space="preserve">1.	Reduction auxiliary consumption.
2.	No drop in capacity &amp; loss of efficiency.
3.	Less floor area for installation and decrease in noise level.
4.	Maintenance time is very low in comparison with reciprocating compressor
5.	Reduction in lubricating oil consumption.
6.	Reduction in inventory.
7.	Improvement in availability of compressor for instrumentation purpose
</t>
  </si>
  <si>
    <t xml:space="preserve">1.	Refurbishment of existing Hydrogen compressors will keep the plant in healthy condition.
2.	In house production of hydrogen cylinder will increase. 
3.	Breakdown occurrences will get reduce so breakdown time will minimize.
4.	Unforeseen emergency due to non-availability of hydrogen cylinders will get minimized
5.	Dependency on externally purchase H2 cylinder will reduce
</t>
  </si>
  <si>
    <t xml:space="preserve">1.	Improvement in condenser vacuum
2.	Improvement in gross heat rate.
3.	Increase in life of equipment’s.
4.	Increase in system availability &amp; performance improvement. 
5.	To retain and sustain the performance of cooling tower.
6.	Reduction in auxiliary power consumption.
7.	Reduction in breakdown.
</t>
  </si>
  <si>
    <t xml:space="preserve">1.	Increase reability &amp; availability of system.
2.	Perfect isolation and easy operation during running of plant.
3.	Prevention of heat loss due leakage &amp; passing of valve will be prevented
4.	Improved heat rate of system
5.	Increase life of system 
6.	Reduction in frequent maintenance of valves.
</t>
  </si>
  <si>
    <t xml:space="preserve">1.	Increase pump efficiency.
2.	Improvement in reliability &amp; availability of system
3.	Increase in life of equipment’s.
4.	Increase in system performance improvement. 
5.	Reduction in auxiliary power consumption.
6.	Reduction in breakdown
</t>
  </si>
  <si>
    <t xml:space="preserve">1.	Improved efficiency of pump.
2.	Improved reliability and availability of GS water system
3.	Increase in life of equipment’s.
4.	Increase in performance improvement and efficiency of pumps.
5.	Reduction in auxiliary power consumption.
6.	Reduction in breakdown.
</t>
  </si>
  <si>
    <t>Existing electrical wiring provided for colny are old type and installed since commissioning. By replacing the same with copper wire,
1) corrosion, sparking, discontinuation of supply and short circuit problems can be avoided.
2) Safety of residents and equipment will improve.</t>
  </si>
  <si>
    <t xml:space="preserve">As per IB Recommendation, it is proposed to provide Electrification and illumination to perimeter wall of CSTPS, Chandrapur </t>
  </si>
  <si>
    <t xml:space="preserve">1) Proper electric power distribution will take place.
2) ease of maintenance
3) supply isolation during fault will be easier.
4) Due to replacement, rating of distribution boards will be increased.
5) flashover will be avoided.
6) reptiles and birds will not enters inside the boards.
7) fault can be isolated without secondary damages.
8) frequent failure of supply can be avoided.
9) Reliable and uninterruptable electric power supply can be provided to residential of Urjanagar colony. </t>
  </si>
  <si>
    <t>Existing Energy meters are of old technology, analog type and installed since commissioning of plant. By replacing old energy meter by latest technology electronic energy meter, Following benifits will be added.
1) Accurate measurement of electrical power consumption.
2) Easy to calibrate
3) Power theft can be avoided.
4) Spares and services will be made available from manufacturers for at least next 15 to 20 years.
5) Safety of working staff and equipment will improve.
6) The system will be reliable, ease of maintenance and reduction in maintenance cost.</t>
  </si>
  <si>
    <t>The life of existing battery set is exhausted and completed its useful service life. By replacing old batteries &amp; its charger, Following benifits will be added.
1)It  improve the reliability and performance of the system.
2) Secondary damages will be avoides to Turbine and  Boiler side auxillaries during AC failure
3)Availability will increase and breakdown will reduce.
4)Unit availability will increase due to improved reliability of the D.C. Power Supply,  resulting in Grid stability.
5) Service reliability will increase due to assured backup in case of emergency.
6) Healthy battery backup will be provided to DC auxiliaries and equipment in the event of AC failure.
7) Maintenance of battery sets and chargers will be reduced. Maintenance cost will save in the long run.
8) Availability of battery set during AC failure will reduce failure of critical auxiliaries &amp; avoid generation loss.
9) Major Outage and generation loss can be avoided due to availability of Battery charger.
10) Spares and services will be made available from manufacturers for at least next 15 to 20 years.
11) Safety of working staff and equipment will improve.
12) The system will be reliable, ease of maintenance and reduction in maintenance cost.</t>
  </si>
  <si>
    <t xml:space="preserve">Maintenance of existing breakers (Air Blast Circuit Breakers) due to ageing and non-availability of spares is getting dificult. To cope up with this problems and for smooth running of the plant, it is necessary to retrofit existing breaker of old type with the latest technology (SF6 Gas or Vacuum) which are having high switching rates and greater mechanical endurance where frequent ON/OFF of the motors are carried out. </t>
  </si>
  <si>
    <t xml:space="preserve">1) VFD will reduce  auxiliary power consumption ( APC ) and it will help to achive MERC APC  parameter and to acheive  Zero Disallowance.
2) Improve Reliability and availability </t>
  </si>
  <si>
    <t>IB recommendation</t>
  </si>
  <si>
    <t>1.Improved System availability    2.1% RoE for FGMO implementation.               3.Quick analysis of operational disturbance and implementation of corrective action.                                           4.Improved plant efficiency.</t>
  </si>
  <si>
    <t>1.Improved System availability    2.Quick analysis of operational disturbance and implementation of corrective action.                                           3.Improved plant efficiency.</t>
  </si>
  <si>
    <t>System Reliability , Accurate Monitoring and Control.</t>
  </si>
  <si>
    <t>to increase production of RE power</t>
  </si>
  <si>
    <t>WTP rejuvenation</t>
  </si>
  <si>
    <t xml:space="preserve">Rake movement will increase which in turn demmurages will reduced </t>
  </si>
  <si>
    <t>Rake unloading time will decreases and no of unloading of rake will increases.Hence,demmurages will decreases</t>
  </si>
  <si>
    <t xml:space="preserve">Dust emmision will reduced </t>
  </si>
  <si>
    <t>Due to suddenly decrease in width of conveyor from 1200 to  1000 mm ,we have to run said conveyor on less load.Hence, coal bunkering and receipt will decreases .Also, cosumption is also decresed</t>
  </si>
  <si>
    <t>Coal receipt through ARW system will increase.</t>
  </si>
  <si>
    <t>Coal bunkering will be increased.</t>
  </si>
  <si>
    <t xml:space="preserve">Coal rake unloading will be increased </t>
  </si>
  <si>
    <t>Coal loading / bunkering /heap formation will be carried out more efficiently.                                                      Existing doxxer completed their useful life and proposed for scrapped.                                     HSD /Lubricant consuption /maintenance cost will be decreased.</t>
  </si>
  <si>
    <t>Existiong loco completed their useful lice and proposed to scrapped.                                    Coal rake movement will be carried out smoothly. Demmurage due to rake movment will decrease.HSD /Lubricant consuption /maintenance cost will be decreased.</t>
  </si>
  <si>
    <t>Coal sampling will be carried out more efficiently.</t>
  </si>
  <si>
    <t>Accuracy in coal flow calculation</t>
  </si>
  <si>
    <t>eradication of bunker mouth chokeup</t>
  </si>
  <si>
    <t>reduction in air leakages</t>
  </si>
  <si>
    <t>HR improvement &amp; BTL reduction</t>
  </si>
  <si>
    <t>Achieved improvement in GTHR by @ 48 KCal/KWh &amp; Gross Turbine Efficiency by @ 0.97%.</t>
  </si>
  <si>
    <t>Based on Energy Efficiency Calculations expected saving of @ Rs. 41 Lakhs per year.</t>
  </si>
  <si>
    <t>Benefits in quantified terms cannot be calculated as spares shall be procured as Insurance spares for emergency replacement thus reducing down time of auxiliary. However, Feed water system improvement &amp; enhancement can be ascertained. As on date, 8.5MW of APC can be saved for each day of reduction in Auxiliary outage.</t>
  </si>
  <si>
    <t>Benefits cannot be quantified as Critical Turbine spares shall be procured as Insurance spare for replacemet in case of emergency reducing down time of unit. As on date 0.94 Cr. of Fixed cost is saved for each day of reduction in unit outage.</t>
  </si>
  <si>
    <t>Quantified benefits cannot be calculated as refurbished HPT module shall be kept as insurance spare ready for replacement in case of urgency. Unit down time shall be reduced. As on date 0.94 Cr. of Fixed cost is saved for each day of reduction in unit outage.</t>
  </si>
  <si>
    <t>Benefits cannot be quantified as lube oil system efficiency shall be improved. Old system is out of date &amp; is not having any spare support from manufacturers.</t>
  </si>
  <si>
    <t>Benefits cannot be quantified as module shall be procured as Common Pool Insurance spare for replacemet in case of emergency reducing down time of unit. As on date 0.94 Cr. of Fixed cost is saved for each day of reduction in unit outage.</t>
  </si>
  <si>
    <t>Benefits cannot be quantified as rotor shall be procured as Insurance spare for replacemet in case of emergency reducing down time of unit. As on date 0.94 Cr. of Fixed cost is saved for each day of reduction in unit outage.</t>
  </si>
  <si>
    <t>Benifits can be quantified based on Energy Efficiency Calculations. Presently no offer has yet been received. Hence cannot be ascertained.</t>
  </si>
  <si>
    <t>Quantified benifits cannot be calculated directly. Indirect benofots include reliability improvement &amp; compliance to stringent Environment norms.</t>
  </si>
  <si>
    <t>• By installing online Dissolved gas analyser, incipient transformer faults can be detected which helps to prevent further damage to GTR.
• By replacing OIP Condenser Bushings by Resin Impregnated Polymer (RIP) bushing, bushing oil leakages will be vanish permanently.</t>
  </si>
  <si>
    <t>• New UAT in ready replacement form will substantially reduce the generation loss in case of failure Unit Switchgear 6A Incomer-II which is charged from Station board SF13.
•Improves reliability of system due to availability of healthy ST-3.</t>
  </si>
  <si>
    <t>a) Reduction in generation loss causes due to frequent failure of motors.
b) Ease of maintenance,
c) Improved availability and Reliability of the system
d) Reduction in Auxiliary power consumption</t>
  </si>
  <si>
    <t>Reduction in Auxiliary power consumption</t>
  </si>
  <si>
    <t>1)Chimney elaevator reliability incresed.
2)Chimney elaevator maintenance reduced.
3)Inspection, maintenance, calibration and continuous monitoring of emission probes can be done.</t>
  </si>
  <si>
    <t>• By implementing this scheme, the Chimney aviation obstruction light system will remain healthy.
• It is mandatory and statutory requirement; also, few governing bodies such as FAA and ICAO are strictly regulating the use, design, and installation of such lighting devices.</t>
  </si>
  <si>
    <t>Reliability of power supply to AUNDHA pump house will increase.</t>
  </si>
  <si>
    <t>• APC of Chandrapur TPS in MUs consumed would go down.
• The Power Factor would improve to around 0.95 as against 0.84 as of now.
• The VFD provides soft start to the pump avoiding starting jerks caused currently.</t>
  </si>
  <si>
    <t>Ensure reliability of existing HT &amp; LT boards  and also spares availabity.</t>
  </si>
  <si>
    <t>Generation loss due to tripping caused by LV bus duct failures will be minimised and ensure availability of UAT, SAT &amp; ST transformers</t>
  </si>
  <si>
    <t>Reduction in faulty trippings and increase in precise operation</t>
  </si>
  <si>
    <t>For operating in flexible operation mode</t>
  </si>
  <si>
    <t>a) To ensure healthy operation of VFD Channel.  
b) To reduce cost of repairs of VFD cards</t>
  </si>
  <si>
    <t>a) Accurate measurement and continuous monitoring of power consumption and various electrical parameters of all important auxiliaries.
b) Specific auxiliary consumption of individual auxiliary is possible with the help of this system which will help to diagnosis condition of auxiliary and for corrective measures accordingly, to avoid secondary damages.
c) To optimize energy cost savings by efficiently operating existing equipment and reducing appropriate or premature auxiliary outage.
d) Improved budgeting by providing a basis for the more accurate projection of future maintenance of HT auxiliaries.
e) As per CPRI recommendation, the energy consumption of various auxiliaries is to be made online for performance monitoring through EMS.</t>
  </si>
  <si>
    <t>a) To ensure reliable and comprehensive electrical protection to critical Supply Boards
b) To have an accurate understanding of protection or spurious trippings.</t>
  </si>
  <si>
    <t>a) Multifunction test kits can replace the need for multiple test sets, allowing for more efficient testing.
b) Multifunction test kits can be compact and portable, making them easier to move around the lab.
c) Multifunction test kits can have an easy-to-use interface that displays only the necessary functionality.</t>
  </si>
  <si>
    <t>a) To offer accurate control and positioning. 
b) energy efficient and can help machines adapt to flexible processes. 
 c) Improved safety &amp; low operation cost</t>
  </si>
  <si>
    <t>a) Manage, control, visualize, optimize and automate distribution networks from state-wide to city- wide power distribution networks. 
b) An integrated network model for design, planning, protection, reliability, and operations. 
c) Intuitive and user-friendly graphical user interface used by Operators, Planning Engineers, Reliability Analysts and Managers. 
d) Situational Intelligence provides efficient and reliable grid analysis and management during a rapidly changing network state. 
e) Standardization with the majority of industrial applications and easy integration with legacy and third-party software. 
(Payback period is estimated as 1 year)</t>
  </si>
  <si>
    <t>a) The optimum time to repair or replace pumps. 
b) Increased reliability through condition monitoring. 
c) Minimised repair and replacement costs through early detection of mechanical and hydraulic  faults. 
(Scheme is proposed for system improvement only)</t>
  </si>
  <si>
    <t xml:space="preserve">a) Pollution monitoring
b) Early warning system
c) Air quality monitoring helps local governments stay up-to-date with federal, state, and local regulations related to air quality. </t>
  </si>
  <si>
    <t xml:space="preserve">a) Improved accuracy in measurements
b) Optimized efficiency
</t>
  </si>
  <si>
    <t xml:space="preserve">•	Improvement in condenser vacuum
•	Improvement in gross heat rate.
•	Increase in life of equipment’s.
•	Increase in system availability &amp; performance improvement. 
•	To retain and sustain the performance of cooling tower.
•	Reduction in auxiliary power consumption.
•	Reduction in breakdown.
</t>
  </si>
  <si>
    <t xml:space="preserve">•	Improvement in condenser vacuum
•	Improvement in gross heat rate.
•	Increase in life of equipment’s.
•	Increase in system availability &amp; performance improvement. 
•	To retain and sustain the performance of cooling tower.
•	Reduction in auxiliary power consumption.
•	Reduction in breakdown.
</t>
  </si>
  <si>
    <t xml:space="preserve">•	Availability and Reliability of auxiliary / unit will get increased
•	The availability of spares &amp; outage period will reduce substantially.
•	Variable Cost: Due to reduction in down time of auxiliary &amp; improvement in Auxiliary Power Consumption, reduction in Variable cost of generation is expected.
•	Improvement in condenser vacuum
•	Improvement in gross heat rate.
•	Increase in life of equipment’s.
•	Increase in system availability &amp; performance improvement. 
</t>
  </si>
  <si>
    <t>ACW reliability improvement</t>
  </si>
  <si>
    <t>reliability improvement</t>
  </si>
  <si>
    <t xml:space="preserve">•	Improvement in quality of DM water.
•	Achievement in at par Design parameter of DM water.
•	Increase in life of equipment &amp; DM water system.
•	Increase in system availability &amp; performance improvement. 
•	User friendly system in operation &amp; maintenance point of view.
•	Reduction in leakages of acidic &amp; alkaline water so, reduce environmental hazards.
•	Increase in overhaul plant efficiency. 
•	reduction in secondary damages to boiler &amp; boiler tubes. 
•	Environmental safety to avoid hazards due to acid / alkali.
•	Decrease the generation cost &amp; also the cost of DM water. 
</t>
  </si>
  <si>
    <t xml:space="preserve">
</t>
  </si>
  <si>
    <t xml:space="preserve">1.	Ash disposal pipeline outage of U#5 will be minimized.
2.	Ash disposal pipeline availability of U#5 will be increased.
3.	Maintenance costs will be reduced.
4. by implementing DPR scheme; Environmetal &amp; water pollution will be avoided.
5.	Instances of ingress of leaky ash slurry into adjacent fields of farmer and may damage their standing crops will be avoided. 
6.	Ash Disposal Pipelines choke up will be reduced.
7.	After each breakage / leakage of pipelines, flushing is required &amp; hence Auxiliary power consumption for flushing will be reduced. 
9.Water consumption will be reduced.
10.	Wear and Tear of pumps due to flushing will be reduced
</t>
  </si>
  <si>
    <t xml:space="preserve">1.	Ash disposal pipeline outage of U#5 &amp; 6will be minimized.
2.	Ash disposal pipeline availability will be increased.
3.	Maintenance costs will be reduced.
4.	Leaky ash may flow in the river through nallahs and may cause water pollution, by implementing DPR scheme; such water pollution will be avoided.
5.	Instances of ingress of leaky ash slurry into adjacent fields of farmer and may damage their standing crops will be avoided. 
6.	Ash Disposal Pipelines choke up will be reduced.
7.	Environmental pollution will be avoided.
8.	After each breakage / leakage of pipelines, flushing is required &amp; hence Auxiliary power consumption for flushing will be reduced. 
9.	Water consumption will be reduced.
10.	Wear and Tear of pumps due to flushing will be reduced
</t>
  </si>
  <si>
    <t xml:space="preserve">•	Existing lines are @ 14-17KM long and disposing the bottom ash in ash bund. The ash bund capacity will be exhausted soon. Hence the capacity of ash bund will be increased by diverting the bottom ash daily @2000MT to the underground mines of Durgapur Rayatwari Colliery (DRC No. 4&amp;5) from unit 5,6&amp;7.
•	At present in each unit individual lines are kept running for disposing the ash in ash bund. After implementation of this scheme only one series will be kept running, this will save in the auxiliary consumption.
•	The length of lines will be reduced from 16 KM to 6 KM only, this will reduce the wear &amp; tear of pumps &amp; pipes.
•	Due to shorten distance series will be run of 3 pumps as the existing series is running on four pumps in series. This will also save the one pump and reduce the consumption of spares.
•	Yearly requirement of ash pipelines will be reduced.
•	By implementation of this scheme the MoEFCC norms can be achieved. To minimize air pollution by conveying &amp; storing ash in form of slurry.
•	The ash management will work more efficiently; hence power generation will enhance.
</t>
  </si>
  <si>
    <t xml:space="preserve">1.	Ash disposal pipeline outage will be minimized.
2.	 Ash disposal pipeline availability will be increased.
3.	Maintenance costs will be reduced.
4.	Instances of bottom ash ground unloading will be reduced.
5.	Generation loss on account of ash slurry disposal pipelines non-availability will be minimized.
6.	Water pollution due to the increase of leakage ash in the river through nallahs will be avoided.
7.	Ash Disposal Pipelines choke up will be reduced.
8.	Environmental pollution will be avoided.
9.	After each breakage / leakage of pipelines, flushing is required &amp; hence Auxiliary power consumption for flushing will be reduced. 
10.	Water consumption will be reduced.
11.	Wear and Tear of pumps due to flushing will be reduced.
</t>
  </si>
  <si>
    <t>Reliabiliy improvement</t>
  </si>
  <si>
    <t>Performance improvement</t>
  </si>
  <si>
    <t>CHP reliability improvement</t>
  </si>
  <si>
    <t>Augmentation of extension of Pipe Conveyor System</t>
  </si>
  <si>
    <t>Safety purpose</t>
  </si>
  <si>
    <t>Reliability &amp; availability improvement of coal transportation</t>
  </si>
  <si>
    <t xml:space="preserve">Reliability &amp; availability improvement </t>
  </si>
  <si>
    <t>As the schme is not related to generation, the cost benifit may not be analysed. However, by implemeting the scheme, following benifits will be achieved.
1.	Land pollution due to contamination of reject coal with soil shall be restricted.
2.	Contamination of nallah water and subsequent contamination of Erai river due to reject coal shall be avoided.
3.	It shall facilitate smooth movement of transportation of coal reject.
4.	Water logging of area during monsoon will be avoided.</t>
  </si>
  <si>
    <t>As the schme is not related to generation, the cost benifit may not be analysed. However, by implemeting the scheme, following benifits will be achieved.
1.	Smooth CHP operation in stacker area shall be ensured.
2.	Regular maintenance cost will be reduced.
3.	Accident chances shall be reduced.
4.	Contamination of stacked coal with soil shall be restricted and therefore, the CV of coal can be retained.
5.	Capacity of stacker shall be increased.</t>
  </si>
  <si>
    <t>As the schme is not related to generation, the cost benifit may not be analysed. However, by implemeting the scheme, following benifits will be achieved.
1.	Fugitive emission in CHP area will be reduced.
2.	Maintenance cost of the road will be minimized.
3.	The drain water will be circulated efficiently.
4.	Accidents / Casualties will be avoided /minimized.
5.	Facilitation of smooth movement to coal trucks to CHP stack yards and thereby will reduce the chanced of generation loss.
6.	Aesthetic appearance of plant premise is improved.</t>
  </si>
  <si>
    <t>The scheme is not related to generation &amp; therefore quantified benefits may not be feasible to evaluate. However, the benefits of scheme are as under.
1) Roof leakages in buildings will be restricted.
2) Unsafe condition of building structure due to roof leakages shall be avoided.
3) Working environment shall become healthy.
4) Due to restriction of roof leakages machineries / electric panels / records available in building will become safe during monsoon.</t>
  </si>
  <si>
    <t>The scheme is not related to generation &amp; therefore quantified benefits may not be feasible to evaluate. However, the benefits of scheme are as under.
1) Life of structures / buildings will be increased.
2) Chances of accident in future due to failure of structure will be nullified.
3) Chances of generation loss due to failure of structure in near futere will be minimised.
4) Healthy atmosphere among working staff shall be achieved.</t>
  </si>
  <si>
    <t xml:space="preserve">1) It creates more water presuure. The elevated position of water storage tanks allows it to deliver water with more pressure.  2)It will eliminates the expenses and insatllation of pumps. 3) The scheme is not related to the generation and it related to provide the services to the employees. </t>
  </si>
  <si>
    <t xml:space="preserve">1) Maintenance cost will be reduced as compared with the old pipelines 2)The scheme is not related to the generation and it related to provide the services to the employees. </t>
  </si>
  <si>
    <t xml:space="preserve">1) Structural life of the buildings will be incresed 2) Maintenance cost of the work will be reduced . 3) The above scheme is not related to the generation and it related to provide the services to the employees. </t>
  </si>
  <si>
    <t xml:space="preserve">1) Storm water drain will be prevevted flooding by diverting rainwater away from the buildings. 2)Storm water drain will prevent the soil errosion. 3) maintenance cost of road will be reduced. 4) Maintenece cost will be reduced 5) Healthy atmosphere will be created in colony.  6) The scheme is not related to the generation and it related to provide the services to the employees. </t>
  </si>
  <si>
    <t xml:space="preserve">1) Good riding surface will be available for traffic movement 2)Smooth traffic movememnt will be achieved. 3) maintenance cost of road will be reduced. 4) No need to carry out same work repitatively 5) Possibility of accidents will be reduced by providing the road furniture. 6) The scheme is not related to the generation and it related to provide the services to the employees. </t>
  </si>
  <si>
    <t xml:space="preserve">1) Structural life of the buildings will be incresed 2) Maintenance cost of the work will be reduced 3) No need to carry out the same work repetatively. 4) Healthy atmosphere will be created in colony. 5) The above scheme is not related to the generation and it related to provide the services to the employees. </t>
  </si>
  <si>
    <t xml:space="preserve">1) Modern amenities are one of the main advantage of new construction building  2) Maintenance cost of the work will be reduced 3) No need to carry out the same work repetatively. 4) Healthy atmosphere will be created in colony. 5) The above scheme is not related to the generation and it related to provide the services to the employees. </t>
  </si>
  <si>
    <t xml:space="preserve">1) A well desigened pool can enhance the look of residential area. 2) A can be a great place for family and friends to socialize 3)  The above scheme is not related to the generation and it related to provide the services to the employees. </t>
  </si>
  <si>
    <t xml:space="preserve">1) Ground water tablr will be recharged or it will be icreased 2)The scheme is not related to the generation and it related to provide the services to the employees. </t>
  </si>
  <si>
    <t xml:space="preserve">1) Advanced facilities for VIP Guest will be availalbe. 2)  The above scheme is not related to the generation and it related to provide the services to the employees. </t>
  </si>
  <si>
    <t>R&amp;M/LE</t>
  </si>
  <si>
    <t>CHP Improvement</t>
  </si>
  <si>
    <t>Energy Efficienient Illumination System</t>
  </si>
  <si>
    <t>Flexible Operation</t>
  </si>
  <si>
    <t>Improvement of ash utilisation</t>
  </si>
  <si>
    <t>Monitoring solution</t>
  </si>
  <si>
    <t>Comprehensive Strategies for Environmental Sustainability</t>
  </si>
  <si>
    <t>Ash infra development for supervision &amp; approach</t>
  </si>
  <si>
    <t>infra development for supervision &amp; approach</t>
  </si>
  <si>
    <t>Life enhancement of Colony</t>
  </si>
  <si>
    <t>Air quality improvement</t>
  </si>
  <si>
    <t>1) Wall compound protects from the wild animals and thievs  2) Wall compound helps to etsblish the boundaries of a property and prevevnt diputes with neighbours 3) Wall compound creates a secured space for colony residents 4) The above scheme is not related to the generation and it related to provide the services to the employees.</t>
  </si>
  <si>
    <t xml:space="preserve">1) Availability and Reliability of auxiliary / unit  get increased.         2) The availability of spares &amp; outage period reduce substantially.
3) Variable Cost: Due to reduction in down time of auxiliary &amp; improvement in Auxiliary Power Consumption, Variable cost of generation is reduced. 
</t>
  </si>
  <si>
    <t>Heat Rate improvement of 58 KCal/Kwh expected after replacement of module in Unit-6 during proposed COH</t>
  </si>
  <si>
    <r>
      <t>Dismantling and revamping of Sample panels of Unit 1 to 4</t>
    </r>
    <r>
      <rPr>
        <b/>
        <sz val="11"/>
        <color indexed="8"/>
        <rFont val="Calibri"/>
        <family val="2"/>
      </rPr>
      <t>.</t>
    </r>
    <r>
      <rPr>
        <sz val="10"/>
        <rFont val="Arial"/>
      </rPr>
      <t xml:space="preserve"> (4 Nos.)</t>
    </r>
  </si>
  <si>
    <t>Total Replacement of boiler skin and air duct insulation of unit 3 to 7 (Ribbed aluminium cladding – 2000 m2, GI cladding, U bonded rock wool mattresses 100 mm thick )(consists of two schemes)</t>
  </si>
  <si>
    <t>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t>
  </si>
  <si>
    <t>Reducing the pressure drop across APH in Unit 5, 6 and 7 (CFD analysis and design modification in APH inlet duct, Manufacture and supply and erection of carbide overlay divertet plates – 600 m2</t>
  </si>
  <si>
    <t xml:space="preserve">Replacement of all emitting coils and collecting plates of U#5 ESP of all four pass of field 2nd, 3rd &amp; 4th </t>
  </si>
  <si>
    <t>Dismantling and revamping of Sample panels of Unit 1 to 4. (4 Nos.)</t>
  </si>
  <si>
    <t xml:space="preserve">Compete Replacement of the air heater tubes in top ,intermediate and bottom bank(LHS and RHS) of unit 1 &amp; 2 </t>
  </si>
  <si>
    <t>The G1 &amp; G2 Battery sets of 24V, 1825AH Capacity (13 Nos. cells X 2= 26 Nos. cells) plantetype Make- Exide</t>
  </si>
  <si>
    <t>Procurement of Boiler Feed Booster Pumps to improve availability &amp; performance of feed system, moving blades for LPT &amp; Condenser Tubes of (3 x 500 MW) Units at Chandrapur STPS</t>
  </si>
  <si>
    <t>Renovation &amp; Beautification of Colony at Chandrapur STPS</t>
  </si>
  <si>
    <t>Scheme-1: Upgradation of 11KV Sub-stations of Urjanagar colony, CSTPS, Chandrapur.</t>
  </si>
  <si>
    <t>Scheme-3: Replacement of old energy meters by electronics energy meters at Urjanagar colony, CSTPS, Chandrapur.</t>
  </si>
  <si>
    <t>Scheme-5 : Provision of 11KV  supply to Urjanagar colony from station board of Stage-III, CSTPS Chandrapur.</t>
  </si>
  <si>
    <t>Scheme-1: Upgradation/Renovation of Deck Module of Under Ground Conveyor stream of CHPB of Unit-5,6&amp;7 Chandrapur.</t>
  </si>
  <si>
    <t>Scheme-2: Renovation &amp; Upgradation of Transfer Point of CHPB of Unit 5 to 7 of CSTPS Chandrapur.</t>
  </si>
  <si>
    <t>Scheme-3: Renovation &amp; Upgradation of Walkway Platform of CHPB of Unit 5 to 7 of CSTPS Chandrapur.</t>
  </si>
  <si>
    <t>Scheme-4: Work of Renovation &amp; Modernization of Bunker Shuttle Conveyor of CHPB of Unit 5, 6 &amp; 7 in CSTPS Chandrapur.</t>
  </si>
  <si>
    <t>Scheme-5: Renovation &amp; Modernization of Wagon Tippler Concrete Hopper of Coal Handling Plant-B of Unit 5,6&amp;7 at CSTPS Chandrapur.</t>
  </si>
  <si>
    <t>Scheme-6: Renovation &amp; Modernization of Wagon Tippler Concrete Hopper of Coal Handling Plant-D of Unit 8&amp;9 at CSTPS Chandrapur.</t>
  </si>
  <si>
    <t xml:space="preserve">Scheme-7: Design, supply, installation &amp; commissioning of LED based energy efficient illumination system at CHP-A, B &amp; C, C.S.T.P.S., Chandrapur.  </t>
  </si>
  <si>
    <t>SBC</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</si>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</sst>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
    <numFmt numFmtId="184" formatCode="0.00000"/>
    <numFmt numFmtId="185" formatCode="0.000000000000000%"/>
    <numFmt numFmtId="186" formatCode="_ * #,##0.000000_ ;_ * \-#,##0.000000_ ;_ * &quot;-&quot;??_ ;_ @_ "/>
    <numFmt numFmtId="187" formatCode="[$-14009]dd/mm/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b/>
      <sz val="12"/>
      <name val="Calibri"/>
      <family val="2"/>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vertAlign val="superscript"/>
      <sz val="11"/>
      <name val="Times New Roman"/>
      <family val="1"/>
    </font>
    <font>
      <b/>
      <sz val="10"/>
      <color theme="1"/>
      <name val="Cambria"/>
      <family val="2"/>
      <scheme val="major"/>
    </font>
    <font>
      <sz val="10"/>
      <color theme="1"/>
      <name val="Cambria"/>
      <family val="2"/>
      <scheme val="major"/>
    </font>
    <font>
      <b/>
      <sz val="11"/>
      <color theme="1"/>
      <name val="Calibri"/>
      <family val="2"/>
      <scheme val="minor"/>
    </font>
    <font>
      <b/>
      <vertAlign val="superscript"/>
      <sz val="11"/>
      <color theme="1"/>
      <name val="Times New Roman"/>
      <family val="1"/>
    </font>
    <font>
      <vertAlign val="superscript"/>
      <sz val="12"/>
      <name val="Times New Roman"/>
      <family val="1"/>
    </font>
    <font>
      <sz val="11"/>
      <color indexed="13"/>
      <name val="Times New Roman"/>
      <family val="1"/>
    </font>
    <font>
      <b/>
      <u/>
      <sz val="11"/>
      <color rgb="FFFF0000"/>
      <name val="Times New Roman"/>
      <family val="1"/>
    </font>
    <font>
      <b/>
      <sz val="12"/>
      <color indexed="36"/>
      <name val="Calibri"/>
      <family val="2"/>
    </font>
    <font>
      <sz val="12"/>
      <color indexed="8"/>
      <name val="Calibri"/>
      <family val="2"/>
    </font>
    <font>
      <sz val="12"/>
      <color theme="1"/>
      <name val="Calibri"/>
      <family val="2"/>
    </font>
    <font>
      <b/>
      <sz val="12"/>
      <color rgb="FF800080"/>
      <name val="Calibri"/>
      <family val="2"/>
    </font>
    <font>
      <vertAlign val="superscript"/>
      <sz val="12"/>
      <name val="Calibri"/>
      <family val="2"/>
    </font>
    <font>
      <vertAlign val="superscript"/>
      <sz val="9"/>
      <name val="Calibri"/>
      <family val="2"/>
    </font>
    <font>
      <sz val="9"/>
      <name val="Calibri"/>
      <family val="2"/>
    </font>
    <font>
      <b/>
      <sz val="11"/>
      <color indexed="8"/>
      <name val="Calibri"/>
      <family val="2"/>
    </font>
    <font>
      <sz val="10"/>
      <name val="Calibri"/>
      <family val="2"/>
    </font>
    <font>
      <b/>
      <sz val="12"/>
      <color indexed="36"/>
      <name val="Book Antiqua"/>
      <family val="1"/>
    </font>
    <font>
      <sz val="12"/>
      <color rgb="FF000000"/>
      <name val="Calibri"/>
      <family val="2"/>
    </font>
    <font>
      <sz val="11"/>
      <name val="Calibri"/>
      <family val="2"/>
    </font>
    <font>
      <sz val="11"/>
      <color theme="1"/>
      <name val="Bookman Old Style"/>
      <family val="1"/>
    </font>
    <font>
      <sz val="12"/>
      <color indexed="36"/>
      <name val="Book Antiqua"/>
      <family val="1"/>
    </font>
    <font>
      <b/>
      <sz val="9"/>
      <color rgb="FF000000"/>
      <name val="Tahoma"/>
      <family val="2"/>
    </font>
    <font>
      <sz val="9"/>
      <color rgb="FF000000"/>
      <name val="Tahoma"/>
      <family val="2"/>
    </font>
    <font>
      <sz val="11"/>
      <color rgb="FF000000"/>
      <name val="Times New Roman"/>
      <family val="1"/>
    </font>
    <font>
      <b/>
      <sz val="11"/>
      <color rgb="FF000000"/>
      <name val="Times New Roman"/>
      <family val="1"/>
    </font>
    <font>
      <sz val="9"/>
      <name val="Times New Roman"/>
      <family val="1"/>
    </font>
    <font>
      <b/>
      <sz val="11"/>
      <color rgb="FF000000"/>
      <name val="Calibri"/>
      <family val="2"/>
    </font>
    <font>
      <sz val="12"/>
      <color rgb="FF000000"/>
      <name val="Times New Roman"/>
      <family val="1"/>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rgb="FF000000"/>
      </patternFill>
    </fill>
    <fill>
      <patternFill patternType="solid">
        <fgColor theme="0" tint="-0.34998626667073579"/>
        <bgColor rgb="FF000000"/>
      </patternFill>
    </fill>
    <fill>
      <patternFill patternType="solid">
        <fgColor theme="0"/>
        <bgColor rgb="FF000000"/>
      </patternFill>
    </fill>
    <fill>
      <patternFill patternType="solid">
        <fgColor rgb="FF00B050"/>
        <bgColor indexed="64"/>
      </patternFill>
    </fill>
    <fill>
      <patternFill patternType="solid">
        <fgColor rgb="FFFFFFFF"/>
        <bgColor rgb="FF000000"/>
      </patternFill>
    </fill>
  </fills>
  <borders count="45">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s>
  <cellStyleXfs count="88">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165" fontId="31" fillId="0" borderId="0" applyFont="0" applyFill="0" applyBorder="0" applyAlignment="0" applyProtection="0"/>
    <xf numFmtId="0" fontId="32" fillId="0" borderId="0"/>
    <xf numFmtId="9"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7" fillId="0" borderId="0" applyFont="0" applyFill="0" applyBorder="0" applyAlignment="0" applyProtection="0"/>
    <xf numFmtId="164" fontId="3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8" fillId="0" borderId="0"/>
    <xf numFmtId="0" fontId="31" fillId="0" borderId="0"/>
    <xf numFmtId="0" fontId="31" fillId="0" borderId="0"/>
    <xf numFmtId="0" fontId="28"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164" fontId="3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1"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164" fontId="6"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164" fontId="41" fillId="0" borderId="0" applyFont="0" applyFill="0" applyBorder="0" applyAlignment="0" applyProtection="0"/>
    <xf numFmtId="9" fontId="41" fillId="0" borderId="0" applyFont="0" applyFill="0" applyBorder="0" applyAlignment="0" applyProtection="0"/>
    <xf numFmtId="0" fontId="17"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15" fillId="0" borderId="0"/>
    <xf numFmtId="164" fontId="17" fillId="0" borderId="0" applyFont="0" applyFill="0" applyBorder="0" applyAlignment="0" applyProtection="0"/>
    <xf numFmtId="0" fontId="17" fillId="0" borderId="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2003">
    <xf numFmtId="0" fontId="0" fillId="0" borderId="0" xfId="0"/>
    <xf numFmtId="0" fontId="7" fillId="0" borderId="0" xfId="10" applyFont="1"/>
    <xf numFmtId="0" fontId="7" fillId="0" borderId="0" xfId="10" applyFont="1" applyFill="1"/>
    <xf numFmtId="0" fontId="7" fillId="0" borderId="4" xfId="10" applyFont="1" applyFill="1" applyBorder="1"/>
    <xf numFmtId="0" fontId="8" fillId="0" borderId="4" xfId="10" applyFont="1" applyFill="1" applyBorder="1"/>
    <xf numFmtId="0" fontId="7" fillId="0" borderId="0" xfId="10" applyFont="1" applyBorder="1"/>
    <xf numFmtId="0" fontId="8" fillId="0" borderId="0" xfId="10" applyFont="1" applyBorder="1"/>
    <xf numFmtId="0" fontId="7" fillId="5" borderId="0" xfId="10" applyFont="1" applyFill="1" applyBorder="1"/>
    <xf numFmtId="0" fontId="8" fillId="0" borderId="0" xfId="10" applyFont="1" applyAlignment="1">
      <alignment horizontal="centerContinuous"/>
    </xf>
    <xf numFmtId="0" fontId="7" fillId="0" borderId="4" xfId="10" applyFont="1" applyBorder="1"/>
    <xf numFmtId="0" fontId="7" fillId="5" borderId="4" xfId="10" applyFont="1" applyFill="1" applyBorder="1"/>
    <xf numFmtId="0" fontId="7" fillId="0" borderId="0" xfId="10" applyFont="1" applyFill="1" applyBorder="1"/>
    <xf numFmtId="0" fontId="8" fillId="0" borderId="0" xfId="14" applyFont="1" applyFill="1" applyBorder="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Border="1" applyAlignment="1">
      <alignment horizontal="centerContinuous" vertical="top"/>
    </xf>
    <xf numFmtId="0" fontId="7" fillId="0" borderId="0" xfId="10" applyFont="1" applyBorder="1" applyAlignment="1">
      <alignment horizontal="centerContinuous"/>
    </xf>
    <xf numFmtId="0" fontId="8" fillId="0" borderId="0" xfId="10" applyFont="1" applyBorder="1" applyAlignment="1">
      <alignment horizontal="centerContinuous"/>
    </xf>
    <xf numFmtId="0" fontId="7" fillId="6" borderId="0" xfId="10" applyFont="1" applyFill="1" applyBorder="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pplyBorder="1">
      <alignment vertical="center"/>
    </xf>
    <xf numFmtId="0" fontId="7" fillId="0" borderId="4" xfId="14" applyFont="1" applyBorder="1">
      <alignment vertical="center"/>
    </xf>
    <xf numFmtId="0" fontId="8" fillId="5" borderId="4" xfId="10" applyFont="1" applyFill="1" applyBorder="1" applyAlignment="1" applyProtection="1">
      <alignment horizontal="left"/>
    </xf>
    <xf numFmtId="0" fontId="7" fillId="5" borderId="4" xfId="10" applyFont="1" applyFill="1" applyBorder="1" applyAlignment="1" applyProtection="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4" applyFont="1" applyAlignment="1">
      <alignment vertical="center"/>
    </xf>
    <xf numFmtId="0" fontId="7" fillId="0" borderId="0" xfId="10" applyFont="1" applyBorder="1" applyAlignment="1">
      <alignment horizontal="center" vertical="top"/>
    </xf>
    <xf numFmtId="0" fontId="7" fillId="0" borderId="0" xfId="10" applyFont="1" applyBorder="1" applyAlignment="1"/>
    <xf numFmtId="0" fontId="7" fillId="0" borderId="0" xfId="10" applyFont="1" applyBorder="1" applyAlignment="1">
      <alignment vertical="top"/>
    </xf>
    <xf numFmtId="0" fontId="7" fillId="0" borderId="4" xfId="10" applyFont="1" applyBorder="1" applyAlignment="1">
      <alignment vertical="top"/>
    </xf>
    <xf numFmtId="0" fontId="7" fillId="0" borderId="4" xfId="10" applyFont="1" applyBorder="1" applyAlignment="1"/>
    <xf numFmtId="0" fontId="8" fillId="5" borderId="4" xfId="14" applyFont="1" applyFill="1" applyBorder="1" applyAlignment="1">
      <alignment horizontal="center" vertical="center" wrapText="1"/>
    </xf>
    <xf numFmtId="0" fontId="8" fillId="0" borderId="4" xfId="10" applyFont="1" applyBorder="1"/>
    <xf numFmtId="0" fontId="24" fillId="0" borderId="0" xfId="10" applyFont="1" applyFill="1" applyBorder="1" applyProtection="1"/>
    <xf numFmtId="0" fontId="7" fillId="0" borderId="0" xfId="10" applyFont="1" applyFill="1" applyBorder="1" applyProtection="1"/>
    <xf numFmtId="166" fontId="7" fillId="0" borderId="0" xfId="10" applyNumberFormat="1" applyFont="1" applyFill="1" applyBorder="1" applyAlignment="1" applyProtection="1">
      <alignment horizontal="center"/>
    </xf>
    <xf numFmtId="0" fontId="8" fillId="0" borderId="0" xfId="10" applyFont="1"/>
    <xf numFmtId="0" fontId="24" fillId="0" borderId="0" xfId="10" applyFont="1" applyBorder="1" applyAlignment="1">
      <alignment horizontal="left"/>
    </xf>
    <xf numFmtId="0" fontId="24" fillId="0" borderId="0" xfId="10" applyFont="1" applyBorder="1" applyAlignment="1">
      <alignment horizontal="center"/>
    </xf>
    <xf numFmtId="0" fontId="7" fillId="0" borderId="0" xfId="10" applyFont="1" applyBorder="1" applyAlignment="1">
      <alignment horizontal="left"/>
    </xf>
    <xf numFmtId="166" fontId="7" fillId="0" borderId="0" xfId="10" applyNumberFormat="1" applyFont="1" applyFill="1" applyBorder="1" applyProtection="1"/>
    <xf numFmtId="0" fontId="7" fillId="0" borderId="0" xfId="10" applyFont="1" applyBorder="1" applyAlignment="1">
      <alignment horizontal="center" vertical="top" wrapText="1"/>
    </xf>
    <xf numFmtId="0" fontId="7" fillId="0" borderId="0" xfId="10" applyFont="1" applyBorder="1" applyAlignment="1">
      <alignment horizontal="center"/>
    </xf>
    <xf numFmtId="0" fontId="7" fillId="0" borderId="0" xfId="10" applyFont="1" applyBorder="1" applyAlignment="1">
      <alignment horizontal="justify" vertical="top" wrapText="1"/>
    </xf>
    <xf numFmtId="0" fontId="8" fillId="0" borderId="0" xfId="10" applyFont="1" applyFill="1" applyBorder="1" applyAlignment="1">
      <alignment horizontal="left" vertical="top"/>
    </xf>
    <xf numFmtId="0" fontId="8" fillId="0" borderId="0" xfId="10" applyFont="1" applyBorder="1" applyAlignment="1">
      <alignment horizontal="left"/>
    </xf>
    <xf numFmtId="0" fontId="8" fillId="5" borderId="0" xfId="10" applyFont="1" applyFill="1" applyBorder="1"/>
    <xf numFmtId="0" fontId="25" fillId="0" borderId="0" xfId="10" applyFont="1" applyBorder="1" applyAlignment="1">
      <alignment vertical="top" wrapText="1"/>
    </xf>
    <xf numFmtId="0" fontId="7" fillId="5" borderId="0" xfId="10" applyFont="1" applyFill="1" applyBorder="1" applyAlignment="1">
      <alignment wrapText="1"/>
    </xf>
    <xf numFmtId="0" fontId="8" fillId="0" borderId="0" xfId="14" applyFont="1" applyFill="1" applyBorder="1" applyAlignment="1">
      <alignment vertical="center" wrapText="1"/>
    </xf>
    <xf numFmtId="0" fontId="8" fillId="0" borderId="4" xfId="10" applyFont="1" applyFill="1" applyBorder="1" applyProtection="1"/>
    <xf numFmtId="0" fontId="7" fillId="0" borderId="4" xfId="10" applyFont="1" applyFill="1" applyBorder="1" applyAlignment="1" applyProtection="1">
      <alignment horizontal="left"/>
    </xf>
    <xf numFmtId="0" fontId="7" fillId="5" borderId="4" xfId="10" applyFont="1" applyFill="1" applyBorder="1" applyAlignment="1" applyProtection="1">
      <alignment vertical="top" wrapText="1"/>
    </xf>
    <xf numFmtId="0" fontId="8" fillId="5" borderId="4" xfId="10" applyFont="1" applyFill="1" applyBorder="1" applyAlignment="1" applyProtection="1">
      <alignment vertical="top" wrapText="1"/>
    </xf>
    <xf numFmtId="0" fontId="8" fillId="5" borderId="4" xfId="10" applyFont="1" applyFill="1" applyBorder="1" applyAlignment="1">
      <alignment horizontal="left" vertical="top" wrapText="1"/>
    </xf>
    <xf numFmtId="0" fontId="8" fillId="0" borderId="0" xfId="10" applyFont="1" applyBorder="1" applyAlignment="1">
      <alignment horizontal="right"/>
    </xf>
    <xf numFmtId="0" fontId="7" fillId="0" borderId="0" xfId="14" applyFont="1" applyFill="1" applyBorder="1">
      <alignment vertical="center"/>
    </xf>
    <xf numFmtId="0" fontId="8" fillId="0" borderId="0" xfId="10" applyFont="1" applyBorder="1" applyAlignment="1">
      <alignment vertical="center"/>
    </xf>
    <xf numFmtId="0" fontId="7" fillId="0" borderId="0" xfId="10" applyFont="1" applyFill="1" applyBorder="1" applyAlignment="1">
      <alignment horizontal="centerContinuous"/>
    </xf>
    <xf numFmtId="0" fontId="8" fillId="0" borderId="0" xfId="10" applyFont="1" applyFill="1" applyBorder="1" applyAlignment="1">
      <alignment horizontal="centerContinuous"/>
    </xf>
    <xf numFmtId="0" fontId="8" fillId="0" borderId="0" xfId="10" applyFont="1" applyBorder="1" applyAlignment="1">
      <alignment horizontal="left" vertical="top"/>
    </xf>
    <xf numFmtId="0" fontId="7" fillId="0" borderId="0" xfId="10" applyFont="1" applyAlignment="1"/>
    <xf numFmtId="0" fontId="7" fillId="0" borderId="0" xfId="10" applyFont="1" applyBorder="1" applyAlignment="1">
      <alignment horizontal="centerContinuous" vertical="top"/>
    </xf>
    <xf numFmtId="0" fontId="27" fillId="0" borderId="0" xfId="10" applyFont="1" applyFill="1" applyBorder="1"/>
    <xf numFmtId="0" fontId="8" fillId="0" borderId="0" xfId="10" applyFont="1" applyBorder="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9" fillId="0" borderId="0" xfId="14" applyFont="1" applyFill="1">
      <alignment vertical="center"/>
    </xf>
    <xf numFmtId="0" fontId="10" fillId="0" borderId="0" xfId="14" applyFont="1" applyFill="1" applyBorder="1">
      <alignment vertical="center"/>
    </xf>
    <xf numFmtId="0" fontId="9" fillId="0" borderId="0" xfId="14" applyFont="1" applyFill="1" applyBorder="1">
      <alignment vertical="center"/>
    </xf>
    <xf numFmtId="0" fontId="7" fillId="6" borderId="0" xfId="10" applyFont="1" applyFill="1" applyBorder="1"/>
    <xf numFmtId="0" fontId="27" fillId="0" borderId="0" xfId="14" applyFont="1" applyFill="1">
      <alignment vertical="center"/>
    </xf>
    <xf numFmtId="0" fontId="8" fillId="0" borderId="0" xfId="10" applyFont="1" applyBorder="1" applyAlignment="1"/>
    <xf numFmtId="0" fontId="8" fillId="0" borderId="0" xfId="14" applyFont="1" applyFill="1" applyBorder="1" applyAlignment="1">
      <alignment horizontal="left" vertical="center"/>
    </xf>
    <xf numFmtId="0" fontId="24" fillId="0" borderId="4" xfId="10" applyFont="1" applyBorder="1" applyAlignment="1">
      <alignment horizontal="left"/>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Border="1" applyAlignment="1">
      <alignment horizontal="center" vertical="top"/>
    </xf>
    <xf numFmtId="0" fontId="10" fillId="0" borderId="0" xfId="10" applyFont="1" applyBorder="1" applyAlignment="1">
      <alignment horizontal="center" vertical="center"/>
    </xf>
    <xf numFmtId="0" fontId="7" fillId="0" borderId="0" xfId="10" applyFont="1" applyBorder="1" applyAlignment="1">
      <alignment vertical="center"/>
    </xf>
    <xf numFmtId="0" fontId="7" fillId="0" borderId="4" xfId="10" applyFont="1" applyFill="1" applyBorder="1" applyAlignment="1" applyProtection="1">
      <alignment horizontal="left" vertical="center"/>
    </xf>
    <xf numFmtId="0" fontId="7" fillId="0" borderId="0" xfId="10" applyFont="1" applyFill="1" applyBorder="1" applyAlignment="1">
      <alignment vertical="center"/>
    </xf>
    <xf numFmtId="0" fontId="8" fillId="0" borderId="0" xfId="10" applyFont="1" applyBorder="1" applyAlignment="1">
      <alignment horizontal="center" vertical="center"/>
    </xf>
    <xf numFmtId="0" fontId="9" fillId="0" borderId="0" xfId="10" applyFont="1"/>
    <xf numFmtId="0" fontId="7" fillId="0" borderId="4" xfId="10" applyFont="1" applyBorder="1" applyAlignment="1">
      <alignment horizontal="center" vertical="top"/>
    </xf>
    <xf numFmtId="0" fontId="7" fillId="0" borderId="0" xfId="10" applyFont="1" applyAlignment="1">
      <alignment vertical="center"/>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Fill="1" applyBorder="1" applyAlignment="1" applyProtection="1">
      <alignment vertical="top" wrapText="1"/>
    </xf>
    <xf numFmtId="0" fontId="17" fillId="4" borderId="4" xfId="10" applyFill="1" applyBorder="1" applyAlignment="1">
      <alignment horizontal="center" vertical="center" wrapText="1"/>
    </xf>
    <xf numFmtId="0" fontId="8" fillId="0" borderId="4" xfId="10" applyFont="1" applyBorder="1" applyAlignme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7" fillId="0" borderId="4" xfId="14" applyFont="1" applyFill="1" applyBorder="1">
      <alignment vertical="center"/>
    </xf>
    <xf numFmtId="0" fontId="7" fillId="0" borderId="4" xfId="14" applyFont="1" applyFill="1" applyBorder="1" applyAlignment="1">
      <alignment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0" fillId="0" borderId="4" xfId="19" applyFont="1" applyBorder="1" applyAlignment="1">
      <alignment vertical="center"/>
    </xf>
    <xf numFmtId="0" fontId="30" fillId="0" borderId="4" xfId="19" applyFont="1" applyBorder="1" applyAlignment="1">
      <alignment horizontal="center" vertical="center"/>
    </xf>
    <xf numFmtId="0" fontId="29" fillId="0" borderId="4" xfId="19" applyFont="1" applyBorder="1" applyAlignment="1">
      <alignment vertical="center"/>
    </xf>
    <xf numFmtId="0" fontId="7" fillId="0" borderId="4" xfId="14" applyFont="1" applyBorder="1" applyAlignment="1">
      <alignment horizontal="left" vertical="center"/>
    </xf>
    <xf numFmtId="0" fontId="7" fillId="0" borderId="4" xfId="14" applyFont="1" applyFill="1" applyBorder="1" applyAlignment="1">
      <alignment horizontal="left" vertical="center"/>
    </xf>
    <xf numFmtId="0" fontId="7" fillId="0" borderId="0" xfId="10" applyFont="1" applyAlignment="1">
      <alignment vertical="top"/>
    </xf>
    <xf numFmtId="0" fontId="8" fillId="0" borderId="0" xfId="10" applyFont="1" applyAlignment="1">
      <alignment horizont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8" fillId="0" borderId="0" xfId="14" applyFont="1" applyAlignment="1">
      <alignment horizontal="center" vertical="center"/>
    </xf>
    <xf numFmtId="0" fontId="8" fillId="4" borderId="4"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7" fillId="5" borderId="4" xfId="10" applyFont="1" applyFill="1" applyBorder="1" applyAlignment="1">
      <alignment horizontal="center" vertical="top"/>
    </xf>
    <xf numFmtId="0" fontId="7" fillId="5" borderId="4" xfId="14" applyFont="1" applyFill="1" applyBorder="1">
      <alignment vertical="center"/>
    </xf>
    <xf numFmtId="0" fontId="8" fillId="5" borderId="4" xfId="10" applyFont="1" applyFill="1" applyBorder="1" applyAlignment="1" applyProtection="1">
      <alignment horizontal="left" vertical="top" wrapText="1"/>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0" borderId="4" xfId="10" applyFont="1" applyBorder="1" applyAlignment="1">
      <alignment vertical="top" wrapText="1"/>
    </xf>
    <xf numFmtId="0" fontId="7" fillId="0" borderId="4" xfId="10" applyFont="1" applyFill="1" applyBorder="1" applyProtection="1"/>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Fill="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Border="1" applyAlignment="1">
      <alignment horizontal="left" vertical="center"/>
    </xf>
    <xf numFmtId="0" fontId="8" fillId="0" borderId="0" xfId="10" applyFont="1" applyBorder="1" applyAlignment="1">
      <alignment horizontal="centerContinuous" vertical="center"/>
    </xf>
    <xf numFmtId="0" fontId="7" fillId="0" borderId="0" xfId="10" applyFont="1" applyBorder="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pplyProtection="1">
      <alignment vertical="center" wrapText="1"/>
    </xf>
    <xf numFmtId="0" fontId="8" fillId="5" borderId="4" xfId="10" applyFont="1" applyFill="1" applyBorder="1" applyAlignment="1" applyProtection="1">
      <alignment horizontal="left" vertical="center" wrapText="1"/>
    </xf>
    <xf numFmtId="0" fontId="7" fillId="0" borderId="4" xfId="10" applyFont="1" applyBorder="1" applyAlignment="1">
      <alignment vertical="center"/>
    </xf>
    <xf numFmtId="0" fontId="7" fillId="5" borderId="0" xfId="10" applyFont="1" applyFill="1" applyBorder="1" applyAlignment="1">
      <alignment vertical="center"/>
    </xf>
    <xf numFmtId="0" fontId="7" fillId="0" borderId="0" xfId="10" applyFont="1" applyBorder="1" applyAlignment="1">
      <alignment horizontal="left" vertical="center"/>
    </xf>
    <xf numFmtId="0" fontId="24" fillId="0" borderId="0" xfId="10" applyFont="1" applyBorder="1" applyAlignment="1">
      <alignment horizontal="left" vertical="center"/>
    </xf>
    <xf numFmtId="166" fontId="7" fillId="0" borderId="0" xfId="10" applyNumberFormat="1" applyFont="1" applyFill="1" applyBorder="1" applyAlignment="1" applyProtection="1">
      <alignment vertical="center"/>
    </xf>
    <xf numFmtId="0" fontId="7" fillId="0" borderId="4" xfId="10" applyFont="1" applyBorder="1" applyAlignment="1">
      <alignment horizontal="center" vertical="center"/>
    </xf>
    <xf numFmtId="0" fontId="8" fillId="5" borderId="4" xfId="10" applyFont="1" applyFill="1" applyBorder="1" applyAlignment="1" applyProtection="1">
      <alignment vertical="center" wrapText="1"/>
    </xf>
    <xf numFmtId="0" fontId="30" fillId="6" borderId="9" xfId="10" applyFont="1" applyFill="1" applyBorder="1"/>
    <xf numFmtId="0" fontId="30" fillId="6" borderId="11" xfId="10" applyFont="1" applyFill="1" applyBorder="1"/>
    <xf numFmtId="0" fontId="30" fillId="6" borderId="0" xfId="10" applyFont="1" applyFill="1" applyBorder="1"/>
    <xf numFmtId="0" fontId="30" fillId="6" borderId="0" xfId="10" applyFont="1" applyFill="1"/>
    <xf numFmtId="0" fontId="30" fillId="6" borderId="12" xfId="10" applyFont="1" applyFill="1" applyBorder="1"/>
    <xf numFmtId="0" fontId="29" fillId="6" borderId="0" xfId="10" applyFont="1" applyFill="1" applyBorder="1" applyAlignment="1">
      <alignment horizontal="left" vertical="top"/>
    </xf>
    <xf numFmtId="0" fontId="7" fillId="0" borderId="0" xfId="14" applyFont="1" applyAlignment="1"/>
    <xf numFmtId="0" fontId="8" fillId="5" borderId="4" xfId="14" quotePrefix="1" applyFont="1" applyFill="1" applyBorder="1" applyAlignment="1">
      <alignment horizontal="center" wrapText="1"/>
    </xf>
    <xf numFmtId="0" fontId="8" fillId="5" borderId="0" xfId="10" applyFont="1" applyFill="1" applyBorder="1" applyAlignment="1">
      <alignment vertical="center"/>
    </xf>
    <xf numFmtId="0" fontId="7" fillId="0" borderId="4" xfId="10" applyFont="1" applyFill="1" applyBorder="1" applyAlignment="1" applyProtection="1">
      <alignment horizontal="center" vertical="center"/>
    </xf>
    <xf numFmtId="0" fontId="25" fillId="0" borderId="4" xfId="14"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8" fillId="0" borderId="4" xfId="10" applyFont="1" applyFill="1" applyBorder="1" applyAlignment="1" applyProtection="1">
      <alignment horizontal="center" vertical="center" wrapText="1"/>
    </xf>
    <xf numFmtId="0" fontId="8" fillId="0" borderId="4" xfId="10" applyFont="1" applyFill="1" applyBorder="1" applyAlignment="1" applyProtection="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pplyProtection="1">
      <alignment horizontal="left"/>
    </xf>
    <xf numFmtId="0" fontId="8" fillId="4" borderId="7" xfId="14" applyFont="1" applyFill="1" applyBorder="1" applyAlignment="1">
      <alignment vertical="center" wrapText="1"/>
    </xf>
    <xf numFmtId="0" fontId="8" fillId="4" borderId="7" xfId="14" applyFont="1" applyFill="1" applyBorder="1" applyAlignment="1">
      <alignment vertical="center"/>
    </xf>
    <xf numFmtId="0" fontId="8" fillId="0" borderId="0" xfId="14" applyFont="1" applyAlignment="1">
      <alignment vertical="center"/>
    </xf>
    <xf numFmtId="0" fontId="14" fillId="0" borderId="0" xfId="10" applyFont="1" applyFill="1" applyBorder="1"/>
    <xf numFmtId="0" fontId="9" fillId="0" borderId="0" xfId="10" applyFont="1" applyFill="1" applyBorder="1"/>
    <xf numFmtId="0" fontId="9" fillId="0" borderId="0" xfId="10" applyFont="1" applyFill="1" applyBorder="1" applyAlignment="1">
      <alignment horizontal="centerContinuous"/>
    </xf>
    <xf numFmtId="0" fontId="9" fillId="0" borderId="0" xfId="10" applyFont="1" applyFill="1" applyBorder="1" applyAlignment="1">
      <alignment horizontal="centerContinuous" vertical="top"/>
    </xf>
    <xf numFmtId="0" fontId="10" fillId="0" borderId="0" xfId="10" applyFont="1" applyFill="1" applyBorder="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vertical="center"/>
    </xf>
    <xf numFmtId="0" fontId="9" fillId="0" borderId="0" xfId="10" applyFont="1" applyFill="1" applyBorder="1" applyAlignment="1">
      <alignment horizontal="center"/>
    </xf>
    <xf numFmtId="0" fontId="9" fillId="0" borderId="0" xfId="10" applyFont="1" applyFill="1" applyBorder="1" applyAlignment="1">
      <alignment horizontal="center" vertical="top"/>
    </xf>
    <xf numFmtId="0" fontId="10" fillId="0" borderId="0" xfId="10" applyFont="1" applyFill="1" applyBorder="1" applyAlignment="1">
      <alignment horizontal="center"/>
    </xf>
    <xf numFmtId="0" fontId="10" fillId="0"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5" borderId="0" xfId="10" applyFont="1" applyFill="1" applyBorder="1" applyAlignment="1">
      <alignment horizontal="center" vertical="center"/>
    </xf>
    <xf numFmtId="0" fontId="7" fillId="5" borderId="0" xfId="14" applyFont="1" applyFill="1" applyBorder="1">
      <alignment vertical="center"/>
    </xf>
    <xf numFmtId="0" fontId="7" fillId="9" borderId="4" xfId="14" applyFont="1" applyFill="1" applyBorder="1">
      <alignment vertical="center"/>
    </xf>
    <xf numFmtId="0" fontId="7" fillId="0" borderId="0" xfId="14" applyFont="1" applyBorder="1">
      <alignment vertical="center"/>
    </xf>
    <xf numFmtId="0" fontId="9" fillId="0" borderId="0" xfId="10" applyFont="1" applyAlignment="1">
      <alignment vertical="center" wrapText="1"/>
    </xf>
    <xf numFmtId="0" fontId="17" fillId="0" borderId="0" xfId="10" applyAlignment="1">
      <alignment horizontal="center" vertical="center"/>
    </xf>
    <xf numFmtId="0" fontId="8" fillId="0" borderId="0" xfId="10" applyFont="1" applyBorder="1" applyAlignment="1">
      <alignment horizontal="center" vertical="center"/>
    </xf>
    <xf numFmtId="0" fontId="8" fillId="0" borderId="0" xfId="14" applyFont="1" applyBorder="1">
      <alignment vertical="center"/>
    </xf>
    <xf numFmtId="0" fontId="16" fillId="0" borderId="4" xfId="14" applyFont="1" applyBorder="1" applyAlignment="1">
      <alignment vertical="top"/>
    </xf>
    <xf numFmtId="0" fontId="8" fillId="4" borderId="4" xfId="14" applyFont="1" applyFill="1" applyBorder="1" applyAlignment="1">
      <alignment horizontal="center" vertical="center" wrapText="1"/>
    </xf>
    <xf numFmtId="0" fontId="30" fillId="6" borderId="0" xfId="10" applyFont="1" applyFill="1" applyAlignment="1">
      <alignment vertical="center"/>
    </xf>
    <xf numFmtId="0" fontId="8" fillId="0" borderId="0" xfId="10" applyFont="1" applyBorder="1" applyAlignment="1">
      <alignment vertical="top"/>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Border="1" applyAlignment="1">
      <alignment horizontal="center" vertical="top"/>
    </xf>
    <xf numFmtId="0" fontId="11" fillId="0" borderId="0" xfId="10" applyFont="1" applyFill="1" applyBorder="1"/>
    <xf numFmtId="0" fontId="26" fillId="0" borderId="0" xfId="10" applyFont="1" applyFill="1" applyBorder="1"/>
    <xf numFmtId="0" fontId="8" fillId="0" borderId="0" xfId="10" applyFont="1" applyFill="1" applyBorder="1" applyAlignment="1" applyProtection="1">
      <alignment vertical="top" wrapText="1"/>
    </xf>
    <xf numFmtId="0" fontId="25" fillId="0" borderId="0" xfId="10" applyFont="1"/>
    <xf numFmtId="0" fontId="37" fillId="0" borderId="0" xfId="10" applyFont="1"/>
    <xf numFmtId="0" fontId="7" fillId="0" borderId="4" xfId="14" applyFont="1" applyFill="1" applyBorder="1" applyAlignment="1">
      <alignment horizontal="center" vertical="center"/>
    </xf>
    <xf numFmtId="0" fontId="8" fillId="0" borderId="4" xfId="10" applyFont="1" applyFill="1" applyBorder="1" applyAlignment="1">
      <alignment horizontal="center" vertical="center" wrapText="1"/>
    </xf>
    <xf numFmtId="0" fontId="8" fillId="0" borderId="4" xfId="10" applyFont="1" applyFill="1" applyBorder="1" applyAlignment="1">
      <alignment horizontal="center" vertical="center"/>
    </xf>
    <xf numFmtId="0" fontId="8" fillId="0" borderId="4" xfId="14" applyFont="1" applyFill="1" applyBorder="1">
      <alignment vertical="center"/>
    </xf>
    <xf numFmtId="0" fontId="25" fillId="0" borderId="0" xfId="10" applyFont="1" applyAlignment="1">
      <alignment vertical="center"/>
    </xf>
    <xf numFmtId="0" fontId="8" fillId="0" borderId="0" xfId="14" applyFont="1" applyBorder="1" applyAlignment="1">
      <alignment horizontal="center" vertical="top" wrapText="1"/>
    </xf>
    <xf numFmtId="0" fontId="8" fillId="0" borderId="0" xfId="14" applyFont="1" applyBorder="1" applyAlignment="1">
      <alignment vertical="top" wrapText="1"/>
    </xf>
    <xf numFmtId="170" fontId="36" fillId="0" borderId="4" xfId="64" applyNumberFormat="1" applyFont="1" applyBorder="1"/>
    <xf numFmtId="170" fontId="38" fillId="10" borderId="4" xfId="64" applyNumberFormat="1" applyFont="1" applyFill="1" applyBorder="1"/>
    <xf numFmtId="170" fontId="36" fillId="13" borderId="4" xfId="64" applyNumberFormat="1" applyFont="1" applyFill="1" applyBorder="1"/>
    <xf numFmtId="165" fontId="38" fillId="10" borderId="4" xfId="64" applyFont="1" applyFill="1" applyBorder="1"/>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39" fillId="0" borderId="0" xfId="14" applyFont="1" applyAlignment="1">
      <alignment horizontal="left"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170" fontId="36" fillId="6" borderId="4" xfId="64" applyNumberFormat="1" applyFont="1" applyFill="1" applyBorder="1"/>
    <xf numFmtId="170" fontId="36" fillId="8" borderId="4" xfId="64" applyNumberFormat="1" applyFont="1" applyFill="1" applyBorder="1"/>
    <xf numFmtId="0" fontId="11" fillId="0" borderId="0" xfId="10" applyFont="1" applyAlignment="1">
      <alignment horizontal="left"/>
    </xf>
    <xf numFmtId="0" fontId="8" fillId="0" borderId="0" xfId="10" applyFont="1" applyAlignment="1">
      <alignment horizontal="right"/>
    </xf>
    <xf numFmtId="0" fontId="8" fillId="4" borderId="4" xfId="68" applyFont="1" applyFill="1" applyBorder="1" applyAlignment="1">
      <alignment horizontal="center" vertical="center" wrapText="1"/>
    </xf>
    <xf numFmtId="0" fontId="7" fillId="6" borderId="0" xfId="68" applyFont="1" applyFill="1">
      <alignment vertical="center"/>
    </xf>
    <xf numFmtId="0" fontId="24" fillId="0" borderId="0" xfId="10" applyFont="1" applyAlignment="1">
      <alignment horizontal="left"/>
    </xf>
    <xf numFmtId="0" fontId="8" fillId="4" borderId="4" xfId="31" quotePrefix="1" applyFont="1" applyFill="1" applyBorder="1" applyAlignment="1">
      <alignment horizontal="center" vertical="center" wrapText="1"/>
    </xf>
    <xf numFmtId="0" fontId="8" fillId="0" borderId="0" xfId="10" applyFont="1" applyAlignment="1">
      <alignment horizontal="left" vertical="top"/>
    </xf>
    <xf numFmtId="0" fontId="8" fillId="6" borderId="0" xfId="31" applyFont="1" applyFill="1" applyAlignment="1">
      <alignment horizontal="left" vertical="top"/>
    </xf>
    <xf numFmtId="0" fontId="8" fillId="6" borderId="0" xfId="10" applyFont="1" applyFill="1" applyAlignment="1">
      <alignment horizontal="left" vertical="top"/>
    </xf>
    <xf numFmtId="0" fontId="24" fillId="6" borderId="0" xfId="10" applyFont="1" applyFill="1" applyAlignment="1">
      <alignment horizontal="left"/>
    </xf>
    <xf numFmtId="0" fontId="7" fillId="6" borderId="0" xfId="14" applyFont="1" applyFill="1">
      <alignment vertical="center"/>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8" fillId="0" borderId="0" xfId="10" applyFont="1" applyAlignment="1">
      <alignment vertical="top"/>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33" fillId="6" borderId="0" xfId="10" applyFont="1" applyFill="1" applyBorder="1" applyAlignment="1">
      <alignment horizontal="left" vertical="center" wrapText="1"/>
    </xf>
    <xf numFmtId="0" fontId="30" fillId="6" borderId="0" xfId="10" applyFont="1" applyFill="1" applyAlignment="1">
      <alignment vertical="center"/>
    </xf>
    <xf numFmtId="0" fontId="8" fillId="7" borderId="4" xfId="14" applyFont="1" applyFill="1" applyBorder="1" applyAlignment="1">
      <alignment horizontal="center" vertical="center" wrapText="1"/>
    </xf>
    <xf numFmtId="0" fontId="33" fillId="6" borderId="0" xfId="10" applyFont="1" applyFill="1" applyBorder="1" applyAlignment="1">
      <alignment horizontal="left" vertical="center"/>
    </xf>
    <xf numFmtId="0" fontId="29" fillId="7" borderId="4" xfId="10" applyFont="1" applyFill="1" applyBorder="1" applyAlignment="1">
      <alignment horizontal="center" vertical="center"/>
    </xf>
    <xf numFmtId="0" fontId="8" fillId="0" borderId="0" xfId="10" applyFont="1" applyAlignment="1">
      <alignment horizontal="left"/>
    </xf>
    <xf numFmtId="0" fontId="39" fillId="0" borderId="0" xfId="14" applyFont="1" applyAlignment="1">
      <alignment horizontal="left" vertical="center"/>
    </xf>
    <xf numFmtId="0" fontId="8" fillId="7" borderId="4" xfId="14" applyFont="1" applyFill="1" applyBorder="1" applyAlignment="1">
      <alignment horizontal="center" vertical="center"/>
    </xf>
    <xf numFmtId="0" fontId="7" fillId="6" borderId="0" xfId="10" applyFont="1" applyFill="1" applyBorder="1" applyAlignment="1">
      <alignment horizontal="center"/>
    </xf>
    <xf numFmtId="0" fontId="39" fillId="0" borderId="0" xfId="14" applyFont="1">
      <alignment vertical="center"/>
    </xf>
    <xf numFmtId="0" fontId="7" fillId="5" borderId="4" xfId="10" applyFont="1" applyFill="1" applyBorder="1" applyAlignment="1" applyProtection="1">
      <alignment horizont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8" fillId="4" borderId="4" xfId="14" applyFont="1" applyFill="1" applyBorder="1" applyAlignment="1">
      <alignment horizontal="center" vertical="center" wrapText="1"/>
    </xf>
    <xf numFmtId="164" fontId="7" fillId="0" borderId="4" xfId="69" applyFont="1" applyBorder="1" applyAlignment="1">
      <alignment vertical="center"/>
    </xf>
    <xf numFmtId="164" fontId="7" fillId="6" borderId="4" xfId="69" applyFont="1" applyFill="1" applyBorder="1" applyAlignment="1">
      <alignment vertical="center"/>
    </xf>
    <xf numFmtId="0" fontId="8" fillId="0" borderId="4" xfId="10" applyFont="1" applyFill="1" applyBorder="1" applyAlignment="1" applyProtection="1">
      <alignment horizontal="left"/>
    </xf>
    <xf numFmtId="164" fontId="8" fillId="5" borderId="4" xfId="69" applyFont="1" applyFill="1" applyBorder="1" applyAlignment="1" applyProtection="1">
      <alignment horizontal="left"/>
    </xf>
    <xf numFmtId="9" fontId="9" fillId="0" borderId="0" xfId="14" applyNumberFormat="1" applyFont="1" applyFill="1">
      <alignment vertical="center"/>
    </xf>
    <xf numFmtId="1" fontId="9" fillId="0" borderId="0" xfId="14" applyNumberFormat="1" applyFont="1" applyFill="1">
      <alignment vertical="center"/>
    </xf>
    <xf numFmtId="164" fontId="8" fillId="0" borderId="4" xfId="14" applyNumberFormat="1" applyFont="1" applyBorder="1">
      <alignment vertical="center"/>
    </xf>
    <xf numFmtId="0" fontId="8" fillId="0" borderId="4" xfId="14" applyFont="1" applyFill="1" applyBorder="1" applyAlignment="1">
      <alignment horizontal="center" vertical="center"/>
    </xf>
    <xf numFmtId="0" fontId="7" fillId="0" borderId="0" xfId="14" applyFont="1" applyFill="1">
      <alignment vertical="center"/>
    </xf>
    <xf numFmtId="0" fontId="8" fillId="7" borderId="4" xfId="14" applyFont="1" applyFill="1" applyBorder="1" applyAlignment="1">
      <alignment horizontal="center" vertical="center" wrapText="1"/>
    </xf>
    <xf numFmtId="164" fontId="8" fillId="0" borderId="4" xfId="69" applyFont="1" applyBorder="1"/>
    <xf numFmtId="164" fontId="7" fillId="5" borderId="4" xfId="69" applyFont="1" applyFill="1" applyBorder="1" applyAlignment="1" applyProtection="1">
      <alignment horizontal="left"/>
    </xf>
    <xf numFmtId="164" fontId="7" fillId="0" borderId="4" xfId="69" applyFont="1" applyFill="1" applyBorder="1" applyAlignment="1">
      <alignment vertical="center"/>
    </xf>
    <xf numFmtId="164" fontId="17" fillId="0" borderId="4" xfId="69" applyFont="1" applyFill="1" applyBorder="1" applyAlignment="1">
      <alignment horizontal="center" vertical="center" wrapText="1"/>
    </xf>
    <xf numFmtId="164" fontId="7" fillId="0" borderId="0" xfId="69" applyFont="1" applyBorder="1" applyAlignment="1">
      <alignment vertical="center"/>
    </xf>
    <xf numFmtId="164" fontId="7" fillId="0" borderId="4" xfId="69" applyFont="1" applyFill="1" applyBorder="1" applyAlignment="1" applyProtection="1">
      <alignment horizontal="left" vertical="center"/>
    </xf>
    <xf numFmtId="164" fontId="25" fillId="0" borderId="4" xfId="69" applyFont="1" applyFill="1" applyBorder="1" applyAlignment="1">
      <alignment vertical="center"/>
    </xf>
    <xf numFmtId="164" fontId="7" fillId="0" borderId="0" xfId="69" applyFont="1" applyFill="1" applyBorder="1" applyAlignment="1">
      <alignment vertical="center"/>
    </xf>
    <xf numFmtId="164" fontId="8" fillId="0" borderId="4" xfId="69" applyFont="1" applyBorder="1" applyAlignment="1">
      <alignment vertical="center"/>
    </xf>
    <xf numFmtId="164" fontId="7" fillId="0" borderId="0" xfId="69" applyFont="1" applyAlignment="1">
      <alignment vertical="center"/>
    </xf>
    <xf numFmtId="164"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164" fontId="9" fillId="0" borderId="4" xfId="69" applyFont="1" applyBorder="1" applyAlignment="1">
      <alignment vertical="center"/>
    </xf>
    <xf numFmtId="2" fontId="9" fillId="0" borderId="4" xfId="14" applyNumberFormat="1" applyFont="1" applyBorder="1">
      <alignment vertical="center"/>
    </xf>
    <xf numFmtId="164" fontId="9" fillId="0" borderId="4" xfId="14" applyNumberFormat="1" applyFont="1" applyBorder="1">
      <alignment vertical="center"/>
    </xf>
    <xf numFmtId="164" fontId="9" fillId="0" borderId="4" xfId="69" applyFont="1" applyFill="1" applyBorder="1" applyAlignment="1">
      <alignment vertical="center"/>
    </xf>
    <xf numFmtId="164" fontId="9" fillId="0" borderId="0" xfId="69" applyFont="1"/>
    <xf numFmtId="0" fontId="8" fillId="7" borderId="4" xfId="14" applyFont="1" applyFill="1" applyBorder="1" applyAlignment="1">
      <alignment horizontal="center" vertical="center" wrapText="1"/>
    </xf>
    <xf numFmtId="0" fontId="7" fillId="0" borderId="0" xfId="14" applyFont="1" applyFill="1" applyBorder="1" applyAlignment="1">
      <alignment horizontal="centerContinuous" vertical="center"/>
    </xf>
    <xf numFmtId="0" fontId="7" fillId="0" borderId="0" xfId="10" applyFont="1" applyFill="1" applyBorder="1" applyAlignment="1">
      <alignment horizontal="center"/>
    </xf>
    <xf numFmtId="164" fontId="7" fillId="0" borderId="4" xfId="14" applyNumberFormat="1" applyFont="1" applyFill="1" applyBorder="1">
      <alignment vertical="center"/>
    </xf>
    <xf numFmtId="0" fontId="8" fillId="0" borderId="0" xfId="14" applyFont="1" applyAlignment="1">
      <alignment horizontal="center" vertical="center"/>
    </xf>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166" fontId="7" fillId="0" borderId="4" xfId="10" applyNumberFormat="1" applyFont="1" applyFill="1" applyBorder="1" applyProtection="1"/>
    <xf numFmtId="0" fontId="12" fillId="5" borderId="4" xfId="10" applyFont="1" applyFill="1" applyBorder="1" applyAlignment="1">
      <alignment horizontal="center" vertical="top"/>
    </xf>
    <xf numFmtId="0" fontId="12" fillId="0" borderId="4" xfId="10" applyFont="1" applyFill="1" applyBorder="1" applyAlignment="1" applyProtection="1">
      <alignment horizontal="left"/>
    </xf>
    <xf numFmtId="0" fontId="16" fillId="5" borderId="4" xfId="10" applyFont="1" applyFill="1" applyBorder="1" applyAlignment="1">
      <alignment horizontal="center" vertical="top"/>
    </xf>
    <xf numFmtId="164" fontId="7" fillId="0" borderId="4" xfId="69" applyFont="1" applyBorder="1"/>
    <xf numFmtId="2" fontId="7" fillId="5" borderId="0" xfId="10" applyNumberFormat="1" applyFont="1" applyFill="1" applyBorder="1"/>
    <xf numFmtId="164" fontId="8" fillId="0" borderId="4" xfId="69" applyFont="1" applyBorder="1" applyAlignment="1">
      <alignment horizontal="left" vertical="top"/>
    </xf>
    <xf numFmtId="164" fontId="7" fillId="0" borderId="4" xfId="69" applyFont="1" applyBorder="1" applyAlignment="1">
      <alignment horizontal="left" vertical="top"/>
    </xf>
    <xf numFmtId="164" fontId="7" fillId="6" borderId="4" xfId="69" applyFont="1" applyFill="1" applyBorder="1" applyAlignment="1">
      <alignment horizontal="left" vertical="top"/>
    </xf>
    <xf numFmtId="164" fontId="7" fillId="6" borderId="4" xfId="69" applyFont="1" applyFill="1" applyBorder="1" applyAlignment="1">
      <alignment horizontal="left" vertical="top" wrapText="1"/>
    </xf>
    <xf numFmtId="164" fontId="7" fillId="0" borderId="4" xfId="69" applyFont="1" applyFill="1" applyBorder="1" applyAlignment="1" applyProtection="1">
      <alignment horizontal="left"/>
    </xf>
    <xf numFmtId="164" fontId="10" fillId="0" borderId="4" xfId="69" applyFont="1" applyFill="1" applyBorder="1" applyAlignment="1">
      <alignment vertical="center"/>
    </xf>
    <xf numFmtId="164" fontId="10" fillId="0" borderId="4" xfId="69" applyFont="1" applyFill="1" applyBorder="1" applyAlignment="1">
      <alignment horizontal="center" vertical="center" wrapText="1"/>
    </xf>
    <xf numFmtId="164" fontId="10" fillId="0" borderId="4" xfId="69" applyFont="1" applyFill="1" applyBorder="1" applyAlignment="1">
      <alignment horizontal="center" vertical="center"/>
    </xf>
    <xf numFmtId="0" fontId="7" fillId="0" borderId="0" xfId="10" applyFont="1" applyFill="1" applyAlignment="1">
      <alignment vertical="center"/>
    </xf>
    <xf numFmtId="0" fontId="7" fillId="0" borderId="0" xfId="10" applyFont="1" applyFill="1" applyAlignment="1">
      <alignment vertical="top"/>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164" fontId="7" fillId="0" borderId="4" xfId="69" applyFont="1" applyFill="1" applyBorder="1" applyAlignment="1">
      <alignment vertical="top" wrapText="1"/>
    </xf>
    <xf numFmtId="164" fontId="8" fillId="0" borderId="4" xfId="69" applyFont="1" applyFill="1" applyBorder="1" applyAlignment="1">
      <alignment vertical="center"/>
    </xf>
    <xf numFmtId="164" fontId="7" fillId="0" borderId="0" xfId="14" applyNumberFormat="1" applyFont="1">
      <alignment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12" fillId="5" borderId="4" xfId="14" applyFont="1" applyFill="1" applyBorder="1" applyAlignment="1">
      <alignment horizontal="center" wrapText="1"/>
    </xf>
    <xf numFmtId="0" fontId="12" fillId="5" borderId="4" xfId="14" applyFont="1" applyFill="1" applyBorder="1" applyAlignment="1">
      <alignment horizontal="left" vertic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horizontal="left" vertical="center" wrapText="1"/>
    </xf>
    <xf numFmtId="0" fontId="16" fillId="6" borderId="4" xfId="14" applyFont="1" applyFill="1" applyBorder="1" applyAlignment="1">
      <alignment horizontal="left" vertical="center" wrapText="1" indent="1"/>
    </xf>
    <xf numFmtId="0" fontId="16" fillId="6" borderId="4" xfId="14" applyFont="1" applyFill="1" applyBorder="1" applyAlignment="1">
      <alignment horizontal="left" vertical="center" wrapText="1" indent="2"/>
    </xf>
    <xf numFmtId="0" fontId="16" fillId="0" borderId="4" xfId="14" applyFont="1" applyFill="1" applyBorder="1" applyAlignment="1">
      <alignment horizontal="left" vertic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2" fillId="6" borderId="4" xfId="10" applyFont="1" applyFill="1" applyBorder="1" applyAlignment="1">
      <alignment vertical="top"/>
    </xf>
    <xf numFmtId="0" fontId="16" fillId="0" borderId="4" xfId="10" applyFont="1" applyBorder="1" applyAlignment="1">
      <alignment horizontal="center"/>
    </xf>
    <xf numFmtId="0" fontId="16" fillId="0" borderId="4" xfId="10" applyFont="1" applyBorder="1" applyAlignment="1">
      <alignment vertical="top"/>
    </xf>
    <xf numFmtId="9" fontId="16" fillId="5" borderId="4" xfId="70" applyFont="1" applyFill="1" applyBorder="1" applyAlignment="1">
      <alignment horizontal="center" vertical="center" wrapText="1"/>
    </xf>
    <xf numFmtId="0" fontId="12" fillId="5" borderId="4"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6" fillId="0" borderId="4" xfId="10" applyFont="1" applyFill="1" applyBorder="1" applyAlignment="1">
      <alignment vertical="top"/>
    </xf>
    <xf numFmtId="10" fontId="16" fillId="5" borderId="4" xfId="70" applyNumberFormat="1" applyFont="1" applyFill="1" applyBorder="1" applyAlignment="1">
      <alignment horizontal="center" vertical="center" wrapText="1"/>
    </xf>
    <xf numFmtId="0" fontId="12" fillId="0" borderId="4" xfId="10" applyFont="1" applyBorder="1"/>
    <xf numFmtId="0" fontId="12" fillId="6" borderId="4" xfId="14" applyFont="1" applyFill="1" applyBorder="1" applyAlignment="1">
      <alignment horizontal="left" vertical="center" wrapText="1"/>
    </xf>
    <xf numFmtId="9" fontId="16" fillId="6" borderId="4" xfId="70" applyFont="1" applyFill="1" applyBorder="1" applyAlignment="1">
      <alignment horizontal="left" vertical="center" wrapText="1"/>
    </xf>
    <xf numFmtId="175" fontId="16" fillId="5" borderId="4" xfId="69" applyNumberFormat="1" applyFont="1" applyFill="1" applyBorder="1" applyAlignment="1">
      <alignment horizontal="center" vertical="center" wrapText="1"/>
    </xf>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Fill="1" applyBorder="1" applyProtection="1"/>
    <xf numFmtId="0" fontId="16" fillId="0" borderId="4" xfId="10" applyFont="1" applyFill="1" applyBorder="1" applyAlignment="1" applyProtection="1">
      <alignment horizontal="left"/>
    </xf>
    <xf numFmtId="164" fontId="12" fillId="0" borderId="4" xfId="69" applyFont="1" applyBorder="1"/>
    <xf numFmtId="0" fontId="12" fillId="5" borderId="4" xfId="10" applyFont="1" applyFill="1" applyBorder="1" applyAlignment="1" applyProtection="1">
      <alignment vertical="top" wrapText="1"/>
    </xf>
    <xf numFmtId="164" fontId="12" fillId="0" borderId="4" xfId="69" applyFont="1" applyFill="1" applyBorder="1"/>
    <xf numFmtId="0" fontId="12" fillId="0" borderId="4" xfId="10"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8" fillId="7" borderId="4" xfId="14" applyFont="1" applyFill="1" applyBorder="1" applyAlignment="1">
      <alignment horizontal="center" vertical="center" wrapText="1"/>
    </xf>
    <xf numFmtId="0" fontId="7" fillId="0" borderId="4" xfId="14" applyFont="1" applyBorder="1" applyAlignment="1">
      <alignment vertical="center"/>
    </xf>
    <xf numFmtId="0" fontId="7" fillId="0" borderId="4" xfId="14" applyFont="1" applyFill="1" applyBorder="1" applyAlignment="1">
      <alignment vertical="center"/>
    </xf>
    <xf numFmtId="0" fontId="7" fillId="6" borderId="4" xfId="14" applyFont="1" applyFill="1" applyBorder="1" applyAlignment="1">
      <alignment vertical="center"/>
    </xf>
    <xf numFmtId="0" fontId="7" fillId="0" borderId="4" xfId="10" applyFont="1" applyFill="1" applyBorder="1" applyAlignment="1" applyProtection="1">
      <alignment vertical="center"/>
    </xf>
    <xf numFmtId="0" fontId="8" fillId="0" borderId="4" xfId="10" applyFont="1" applyFill="1" applyBorder="1" applyAlignment="1" applyProtection="1">
      <alignment vertical="center" wrapText="1"/>
    </xf>
    <xf numFmtId="0" fontId="7" fillId="0" borderId="4" xfId="10" applyFont="1" applyFill="1" applyBorder="1" applyAlignment="1" applyProtection="1">
      <alignment vertical="center" wrapText="1"/>
    </xf>
    <xf numFmtId="0" fontId="16" fillId="0" borderId="4" xfId="14" applyFont="1" applyFill="1" applyBorder="1" applyAlignment="1">
      <alignment vertical="center" wrapText="1"/>
    </xf>
    <xf numFmtId="0" fontId="7" fillId="0" borderId="0" xfId="10" applyFont="1" applyFill="1" applyBorder="1" applyAlignment="1">
      <alignment vertical="top"/>
    </xf>
    <xf numFmtId="0" fontId="16" fillId="0" borderId="4" xfId="10" applyFont="1" applyFill="1" applyBorder="1" applyAlignment="1">
      <alignment horizontal="center" vertical="top"/>
    </xf>
    <xf numFmtId="164" fontId="12" fillId="0" borderId="4" xfId="69" applyFont="1" applyFill="1" applyBorder="1" applyAlignment="1">
      <alignment horizontal="center" vertical="center" wrapText="1"/>
    </xf>
    <xf numFmtId="0" fontId="8" fillId="0" borderId="0" xfId="10" applyFont="1" applyFill="1" applyBorder="1"/>
    <xf numFmtId="0" fontId="12" fillId="0" borderId="4" xfId="10" applyFont="1" applyFill="1" applyBorder="1" applyAlignment="1" applyProtection="1">
      <alignment vertical="top" wrapText="1"/>
    </xf>
    <xf numFmtId="0" fontId="16" fillId="0" borderId="4" xfId="10" applyFont="1" applyFill="1" applyBorder="1" applyAlignment="1" applyProtection="1">
      <alignment vertical="top" wrapText="1"/>
    </xf>
    <xf numFmtId="0" fontId="12" fillId="0" borderId="4" xfId="10" applyFont="1" applyFill="1" applyBorder="1" applyAlignment="1">
      <alignment horizontal="center" vertical="center"/>
    </xf>
    <xf numFmtId="0" fontId="7" fillId="0" borderId="4" xfId="10" applyFont="1" applyFill="1" applyBorder="1" applyAlignment="1">
      <alignment horizontal="center" vertical="center"/>
    </xf>
    <xf numFmtId="0" fontId="7" fillId="0" borderId="0" xfId="10" applyFont="1" applyFill="1" applyBorder="1" applyAlignment="1"/>
    <xf numFmtId="0" fontId="8" fillId="0" borderId="4" xfId="10" applyFont="1" applyFill="1" applyBorder="1" applyAlignment="1" applyProtection="1">
      <alignment vertical="center"/>
    </xf>
    <xf numFmtId="176" fontId="7" fillId="0" borderId="4" xfId="69" applyNumberFormat="1" applyFont="1" applyFill="1" applyBorder="1" applyAlignment="1" applyProtection="1">
      <alignment vertical="center" wrapText="1"/>
    </xf>
    <xf numFmtId="176" fontId="7" fillId="0" borderId="0" xfId="69" applyNumberFormat="1" applyFont="1" applyAlignment="1">
      <alignment vertical="center"/>
    </xf>
    <xf numFmtId="0" fontId="7" fillId="5" borderId="4" xfId="10" applyFont="1" applyFill="1" applyBorder="1" applyAlignment="1">
      <alignment horizontal="left"/>
    </xf>
    <xf numFmtId="176" fontId="7" fillId="5" borderId="4" xfId="69" applyNumberFormat="1" applyFont="1" applyFill="1" applyBorder="1" applyAlignment="1" applyProtection="1">
      <alignment horizontal="left"/>
    </xf>
    <xf numFmtId="176" fontId="8" fillId="5" borderId="4" xfId="69" applyNumberFormat="1" applyFont="1" applyFill="1" applyBorder="1" applyAlignment="1" applyProtection="1">
      <alignment horizontal="left"/>
    </xf>
    <xf numFmtId="176" fontId="7" fillId="0" borderId="4" xfId="69" applyNumberFormat="1" applyFont="1" applyBorder="1"/>
    <xf numFmtId="176" fontId="8" fillId="0" borderId="4" xfId="69" applyNumberFormat="1" applyFont="1" applyFill="1" applyBorder="1" applyAlignment="1">
      <alignment vertical="center"/>
    </xf>
    <xf numFmtId="176" fontId="7" fillId="5" borderId="4" xfId="69" quotePrefix="1" applyNumberFormat="1" applyFont="1" applyFill="1" applyBorder="1" applyAlignment="1">
      <alignment horizontal="left" vertical="top" wrapText="1"/>
    </xf>
    <xf numFmtId="176" fontId="7" fillId="5" borderId="0" xfId="69" quotePrefix="1" applyNumberFormat="1" applyFont="1" applyFill="1" applyBorder="1" applyAlignment="1">
      <alignment horizontal="left" vertical="top" wrapText="1"/>
    </xf>
    <xf numFmtId="176" fontId="7" fillId="0" borderId="0" xfId="69" applyNumberFormat="1" applyFont="1" applyBorder="1" applyAlignment="1">
      <alignment vertical="center"/>
    </xf>
    <xf numFmtId="176" fontId="13" fillId="0" borderId="0" xfId="69" applyNumberFormat="1" applyFont="1" applyAlignment="1">
      <alignment horizontal="left" vertical="center"/>
    </xf>
    <xf numFmtId="176" fontId="8" fillId="7" borderId="4" xfId="69" applyNumberFormat="1" applyFont="1" applyFill="1" applyBorder="1" applyAlignment="1">
      <alignment horizontal="center" vertical="center"/>
    </xf>
    <xf numFmtId="176" fontId="8" fillId="7" borderId="4" xfId="69" applyNumberFormat="1" applyFont="1" applyFill="1" applyBorder="1" applyAlignment="1">
      <alignment horizontal="center" vertical="center" wrapText="1"/>
    </xf>
    <xf numFmtId="176" fontId="7" fillId="9" borderId="4" xfId="69" applyNumberFormat="1" applyFont="1" applyFill="1" applyBorder="1" applyAlignment="1">
      <alignment vertical="center"/>
    </xf>
    <xf numFmtId="176" fontId="7" fillId="0" borderId="4" xfId="69" applyNumberFormat="1" applyFont="1" applyBorder="1" applyAlignment="1">
      <alignment vertical="center"/>
    </xf>
    <xf numFmtId="176" fontId="8" fillId="0" borderId="4" xfId="69" applyNumberFormat="1" applyFont="1" applyFill="1" applyBorder="1" applyAlignment="1" applyProtection="1">
      <alignment vertical="center" wrapText="1"/>
    </xf>
    <xf numFmtId="176" fontId="8" fillId="0" borderId="4" xfId="69" applyNumberFormat="1" applyFont="1" applyBorder="1" applyAlignment="1">
      <alignment vertical="center"/>
    </xf>
    <xf numFmtId="164" fontId="7" fillId="0" borderId="4" xfId="69" applyFont="1" applyFill="1" applyBorder="1"/>
    <xf numFmtId="164" fontId="8" fillId="0" borderId="4" xfId="69" applyFont="1" applyFill="1" applyBorder="1"/>
    <xf numFmtId="0" fontId="7" fillId="0" borderId="4" xfId="10" quotePrefix="1" applyFont="1" applyFill="1" applyBorder="1" applyAlignment="1">
      <alignment horizontal="left" vertical="top" wrapText="1"/>
    </xf>
    <xf numFmtId="0" fontId="7" fillId="0" borderId="4" xfId="10" applyFont="1" applyFill="1" applyBorder="1" applyAlignment="1">
      <alignment horizontal="left" vertical="top" wrapText="1"/>
    </xf>
    <xf numFmtId="0" fontId="30" fillId="0" borderId="4" xfId="0" applyFont="1" applyBorder="1"/>
    <xf numFmtId="0" fontId="7" fillId="0" borderId="4" xfId="10" applyFont="1" applyBorder="1" applyAlignment="1">
      <alignment horizontal="left"/>
    </xf>
    <xf numFmtId="0" fontId="8" fillId="4" borderId="4" xfId="14" applyFont="1" applyFill="1" applyBorder="1" applyAlignment="1">
      <alignment horizontal="center" vertical="center" wrapText="1"/>
    </xf>
    <xf numFmtId="10" fontId="16" fillId="0" borderId="4" xfId="70" applyNumberFormat="1" applyFont="1" applyFill="1" applyBorder="1" applyAlignment="1">
      <alignment vertical="center"/>
    </xf>
    <xf numFmtId="0" fontId="7" fillId="0" borderId="4" xfId="14" applyFont="1" applyFill="1" applyBorder="1" applyAlignment="1">
      <alignment horizontal="center" vertical="top" wrapText="1"/>
    </xf>
    <xf numFmtId="164" fontId="8" fillId="0" borderId="4" xfId="69" applyFont="1" applyFill="1" applyBorder="1" applyAlignment="1">
      <alignment vertical="top" wrapText="1"/>
    </xf>
    <xf numFmtId="164" fontId="16" fillId="5" borderId="4" xfId="69" applyFont="1" applyFill="1" applyBorder="1" applyAlignment="1">
      <alignment horizontal="center" vertical="center" wrapText="1"/>
    </xf>
    <xf numFmtId="10" fontId="7" fillId="0" borderId="4" xfId="40" applyNumberFormat="1" applyFont="1" applyFill="1" applyBorder="1" applyAlignment="1">
      <alignment horizontal="center" vertical="center"/>
    </xf>
    <xf numFmtId="164" fontId="8" fillId="0" borderId="4" xfId="69" applyFont="1" applyFill="1" applyBorder="1" applyAlignment="1">
      <alignment horizontal="center" vertical="center"/>
    </xf>
    <xf numFmtId="9" fontId="9" fillId="0" borderId="4" xfId="14" applyNumberFormat="1" applyFont="1" applyBorder="1">
      <alignment vertical="center"/>
    </xf>
    <xf numFmtId="10" fontId="7" fillId="14" borderId="0" xfId="70" applyNumberFormat="1" applyFont="1" applyFill="1" applyBorder="1"/>
    <xf numFmtId="10" fontId="7" fillId="0" borderId="0" xfId="70" applyNumberFormat="1" applyFont="1" applyBorder="1"/>
    <xf numFmtId="164" fontId="7" fillId="6" borderId="4" xfId="69" applyFont="1" applyFill="1" applyBorder="1"/>
    <xf numFmtId="0" fontId="12" fillId="0" borderId="4" xfId="14" applyFont="1" applyFill="1" applyBorder="1" applyAlignment="1">
      <alignment horizontal="left" vertical="center" wrapText="1"/>
    </xf>
    <xf numFmtId="0" fontId="12" fillId="0" borderId="4" xfId="14" applyFont="1" applyFill="1" applyBorder="1" applyAlignment="1">
      <alignment horizontal="center" wrapText="1"/>
    </xf>
    <xf numFmtId="0" fontId="16" fillId="0" borderId="4" xfId="14" quotePrefix="1" applyFont="1" applyFill="1" applyBorder="1" applyAlignment="1">
      <alignment horizontal="center" vertical="center" wrapText="1"/>
    </xf>
    <xf numFmtId="0" fontId="12" fillId="0" borderId="4" xfId="10" applyFont="1" applyFill="1" applyBorder="1" applyAlignment="1">
      <alignment horizontal="center"/>
    </xf>
    <xf numFmtId="0" fontId="12" fillId="0" borderId="4" xfId="10" applyFont="1" applyFill="1" applyBorder="1" applyAlignment="1">
      <alignment vertical="top"/>
    </xf>
    <xf numFmtId="0" fontId="7" fillId="0" borderId="4" xfId="10" applyFont="1" applyFill="1" applyBorder="1" applyAlignment="1">
      <alignment horizontal="center"/>
    </xf>
    <xf numFmtId="0" fontId="7" fillId="0" borderId="4" xfId="10" applyFont="1" applyFill="1" applyBorder="1" applyAlignment="1">
      <alignment horizontal="center" vertical="top"/>
    </xf>
    <xf numFmtId="0" fontId="8" fillId="0" borderId="0" xfId="10" applyFont="1" applyFill="1"/>
    <xf numFmtId="0" fontId="30" fillId="0" borderId="4" xfId="0" applyFont="1" applyFill="1" applyBorder="1"/>
    <xf numFmtId="164" fontId="7" fillId="0" borderId="4" xfId="69" applyFont="1" applyFill="1" applyBorder="1" applyAlignment="1">
      <alignment horizontal="left" vertical="top"/>
    </xf>
    <xf numFmtId="164" fontId="7" fillId="0" borderId="4" xfId="69" applyFont="1" applyFill="1" applyBorder="1" applyAlignment="1">
      <alignment horizontal="left" vertical="top" wrapText="1"/>
    </xf>
    <xf numFmtId="43" fontId="9" fillId="0" borderId="0" xfId="14" applyNumberFormat="1" applyFont="1" applyFill="1">
      <alignment vertical="center"/>
    </xf>
    <xf numFmtId="175" fontId="16" fillId="0" borderId="4" xfId="69" applyNumberFormat="1" applyFont="1" applyFill="1" applyBorder="1" applyAlignment="1">
      <alignment horizontal="center" vertical="center" wrapText="1"/>
    </xf>
    <xf numFmtId="9" fontId="16" fillId="0" borderId="4" xfId="70" applyFont="1" applyFill="1" applyBorder="1" applyAlignment="1">
      <alignment horizontal="left" vertical="center" wrapText="1"/>
    </xf>
    <xf numFmtId="9" fontId="16" fillId="0" borderId="4" xfId="70" applyFont="1" applyFill="1" applyBorder="1" applyAlignment="1">
      <alignment horizontal="center" vertical="center" wrapText="1"/>
    </xf>
    <xf numFmtId="9" fontId="16" fillId="0" borderId="4" xfId="70" applyFont="1" applyFill="1" applyBorder="1" applyAlignment="1">
      <alignment vertical="top"/>
    </xf>
    <xf numFmtId="0" fontId="16" fillId="0" borderId="4" xfId="14" applyFont="1" applyFill="1" applyBorder="1" applyAlignment="1">
      <alignment horizontal="center" wrapText="1"/>
    </xf>
    <xf numFmtId="0" fontId="8" fillId="0" borderId="0" xfId="10" applyFont="1" applyFill="1" applyBorder="1" applyAlignment="1">
      <alignment vertical="top"/>
    </xf>
    <xf numFmtId="0" fontId="12" fillId="0" borderId="4" xfId="10" applyFont="1" applyFill="1" applyBorder="1" applyAlignment="1">
      <alignment horizontal="center" vertical="top"/>
    </xf>
    <xf numFmtId="177" fontId="7" fillId="0" borderId="4" xfId="69" applyNumberFormat="1" applyFont="1" applyFill="1" applyBorder="1" applyAlignment="1">
      <alignment horizontal="center" vertical="center"/>
    </xf>
    <xf numFmtId="177" fontId="8" fillId="0" borderId="4" xfId="69" applyNumberFormat="1" applyFont="1" applyFill="1" applyBorder="1" applyAlignment="1">
      <alignment horizontal="center" vertical="center"/>
    </xf>
    <xf numFmtId="164" fontId="8" fillId="0" borderId="0" xfId="69" applyFont="1" applyAlignment="1">
      <alignment horizontal="left" vertical="top"/>
    </xf>
    <xf numFmtId="164" fontId="24" fillId="0" borderId="0" xfId="69" applyFont="1" applyAlignment="1">
      <alignment horizontal="left"/>
    </xf>
    <xf numFmtId="164" fontId="7" fillId="0" borderId="4" xfId="69" applyFont="1" applyFill="1" applyBorder="1" applyAlignment="1" applyProtection="1">
      <alignment vertical="center" wrapText="1"/>
    </xf>
    <xf numFmtId="164" fontId="7" fillId="0" borderId="4" xfId="69" applyFont="1" applyBorder="1" applyAlignment="1">
      <alignment vertical="center" wrapText="1"/>
    </xf>
    <xf numFmtId="164" fontId="7" fillId="0" borderId="4" xfId="69" applyFont="1" applyFill="1" applyBorder="1" applyAlignment="1" applyProtection="1">
      <alignment vertical="center"/>
    </xf>
    <xf numFmtId="164" fontId="8" fillId="0" borderId="4" xfId="69" applyFont="1" applyFill="1" applyBorder="1" applyAlignment="1" applyProtection="1">
      <alignment vertical="center"/>
    </xf>
    <xf numFmtId="0" fontId="12" fillId="0" borderId="4" xfId="14" applyFont="1" applyFill="1" applyBorder="1" applyAlignment="1">
      <alignment horizontal="left" vertical="center"/>
    </xf>
    <xf numFmtId="164" fontId="9" fillId="0" borderId="4" xfId="69" applyFont="1" applyFill="1" applyBorder="1" applyAlignment="1">
      <alignment horizontal="center" vertical="center"/>
    </xf>
    <xf numFmtId="0" fontId="9" fillId="0" borderId="4" xfId="71" applyFont="1" applyFill="1" applyBorder="1" applyAlignment="1">
      <alignment horizontal="center" vertical="center" wrapText="1"/>
    </xf>
    <xf numFmtId="0" fontId="7" fillId="0" borderId="4" xfId="10" applyFont="1" applyFill="1" applyBorder="1" applyAlignment="1">
      <alignment vertical="center"/>
    </xf>
    <xf numFmtId="164" fontId="7" fillId="0" borderId="4" xfId="29" applyFont="1" applyFill="1" applyBorder="1" applyAlignment="1">
      <alignment vertical="center"/>
    </xf>
    <xf numFmtId="164" fontId="7" fillId="0" borderId="0" xfId="29" applyFont="1" applyFill="1" applyAlignment="1">
      <alignment horizontal="center" vertical="center"/>
    </xf>
    <xf numFmtId="0" fontId="7" fillId="0" borderId="0" xfId="10" applyFont="1" applyAlignment="1">
      <alignment vertical="center" wrapText="1"/>
    </xf>
    <xf numFmtId="176" fontId="12" fillId="0" borderId="4" xfId="29" applyNumberFormat="1" applyFont="1" applyFill="1" applyBorder="1"/>
    <xf numFmtId="176" fontId="12" fillId="0" borderId="4" xfId="29" applyNumberFormat="1" applyFont="1" applyFill="1" applyBorder="1" applyAlignment="1">
      <alignment horizontal="center"/>
    </xf>
    <xf numFmtId="164" fontId="8" fillId="0" borderId="4" xfId="14" applyNumberFormat="1" applyFont="1" applyFill="1" applyBorder="1">
      <alignment vertical="center"/>
    </xf>
    <xf numFmtId="164" fontId="8" fillId="0" borderId="4" xfId="29" applyFont="1" applyFill="1" applyBorder="1" applyAlignment="1">
      <alignment vertical="center"/>
    </xf>
    <xf numFmtId="2" fontId="7" fillId="0" borderId="4" xfId="14" applyNumberFormat="1" applyFont="1" applyFill="1" applyBorder="1">
      <alignment vertical="center"/>
    </xf>
    <xf numFmtId="0" fontId="8" fillId="0" borderId="4" xfId="14" applyFont="1" applyFill="1" applyBorder="1" applyAlignment="1">
      <alignment horizontal="center" vertical="top" wrapText="1"/>
    </xf>
    <xf numFmtId="0" fontId="8" fillId="0" borderId="4" xfId="14" applyFont="1" applyFill="1" applyBorder="1" applyAlignment="1">
      <alignment vertical="top" wrapText="1"/>
    </xf>
    <xf numFmtId="0" fontId="7" fillId="0" borderId="4" xfId="14" applyFont="1" applyFill="1" applyBorder="1" applyAlignment="1">
      <alignment vertical="top"/>
    </xf>
    <xf numFmtId="43" fontId="7" fillId="0" borderId="0" xfId="14" applyNumberFormat="1" applyFont="1">
      <alignment vertical="center"/>
    </xf>
    <xf numFmtId="10" fontId="34" fillId="0" borderId="4" xfId="70" applyNumberFormat="1" applyFont="1" applyFill="1" applyBorder="1"/>
    <xf numFmtId="164" fontId="16" fillId="0" borderId="4" xfId="69" applyFont="1" applyFill="1" applyBorder="1" applyAlignment="1">
      <alignment horizontal="center" vertical="center" wrapText="1"/>
    </xf>
    <xf numFmtId="164" fontId="7" fillId="0" borderId="4" xfId="69" applyFont="1" applyFill="1" applyBorder="1" applyAlignment="1">
      <alignment horizontal="center" vertical="center" wrapText="1"/>
    </xf>
    <xf numFmtId="164" fontId="16" fillId="0" borderId="4" xfId="69" applyFont="1" applyFill="1" applyBorder="1" applyAlignment="1">
      <alignment vertical="top"/>
    </xf>
    <xf numFmtId="164" fontId="7" fillId="0" borderId="4" xfId="69" quotePrefix="1" applyFont="1" applyFill="1" applyBorder="1" applyAlignment="1">
      <alignment horizontal="center" vertical="center" wrapText="1"/>
    </xf>
    <xf numFmtId="164" fontId="16" fillId="0" borderId="4" xfId="69" quotePrefix="1" applyFont="1" applyFill="1" applyBorder="1" applyAlignment="1">
      <alignment horizontal="center" vertical="center" wrapText="1"/>
    </xf>
    <xf numFmtId="164"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0" fontId="16" fillId="0" borderId="4" xfId="10" applyFont="1" applyFill="1" applyBorder="1" applyAlignment="1">
      <alignment horizontal="center"/>
    </xf>
    <xf numFmtId="0" fontId="16" fillId="0" borderId="4" xfId="10" applyFont="1" applyFill="1" applyBorder="1"/>
    <xf numFmtId="169" fontId="16" fillId="0" borderId="4" xfId="69" applyNumberFormat="1" applyFont="1" applyFill="1" applyBorder="1" applyAlignment="1">
      <alignment vertical="top"/>
    </xf>
    <xf numFmtId="169" fontId="7" fillId="0" borderId="0" xfId="10" applyNumberFormat="1" applyFont="1" applyFill="1" applyBorder="1" applyAlignment="1">
      <alignment vertical="top"/>
    </xf>
    <xf numFmtId="0" fontId="50" fillId="0" borderId="0" xfId="0" applyFont="1"/>
    <xf numFmtId="0" fontId="50" fillId="0" borderId="0" xfId="0" applyFont="1" applyAlignment="1">
      <alignment horizontal="left"/>
    </xf>
    <xf numFmtId="0" fontId="52" fillId="0" borderId="4" xfId="0" applyFont="1" applyFill="1" applyBorder="1" applyAlignment="1">
      <alignment horizontal="left" vertical="center"/>
    </xf>
    <xf numFmtId="0" fontId="52" fillId="0" borderId="4" xfId="0" applyFont="1" applyFill="1" applyBorder="1" applyAlignment="1">
      <alignment horizontal="left" vertical="center" wrapText="1"/>
    </xf>
    <xf numFmtId="0" fontId="50" fillId="0" borderId="4" xfId="0" applyFont="1" applyBorder="1" applyAlignment="1">
      <alignment horizontal="center"/>
    </xf>
    <xf numFmtId="0" fontId="53" fillId="0" borderId="4" xfId="0" applyFont="1" applyFill="1" applyBorder="1" applyAlignment="1">
      <alignment horizontal="left" vertical="center" wrapText="1"/>
    </xf>
    <xf numFmtId="0" fontId="51" fillId="0" borderId="0" xfId="0" applyFont="1" applyAlignment="1">
      <alignment horizontal="left"/>
    </xf>
    <xf numFmtId="0" fontId="8" fillId="0" borderId="5" xfId="14" applyFont="1" applyFill="1" applyBorder="1">
      <alignment vertical="center"/>
    </xf>
    <xf numFmtId="0" fontId="8" fillId="0" borderId="4" xfId="14" applyFont="1" applyFill="1" applyBorder="1" applyAlignment="1">
      <alignment horizontal="left" vertical="center"/>
    </xf>
    <xf numFmtId="164" fontId="16" fillId="0" borderId="4" xfId="69" applyFont="1" applyFill="1" applyBorder="1" applyAlignment="1">
      <alignment vertical="center"/>
    </xf>
    <xf numFmtId="0" fontId="30" fillId="6" borderId="0" xfId="10" applyFont="1" applyFill="1" applyAlignment="1">
      <alignment vertical="center"/>
    </xf>
    <xf numFmtId="164" fontId="7" fillId="0" borderId="4" xfId="69" quotePrefix="1" applyFont="1" applyFill="1" applyBorder="1" applyAlignment="1">
      <alignment horizontal="center" vertical="center"/>
    </xf>
    <xf numFmtId="0" fontId="8" fillId="6" borderId="0" xfId="14" applyFont="1" applyFill="1" applyBorder="1" applyAlignment="1">
      <alignment vertical="center"/>
    </xf>
    <xf numFmtId="0" fontId="8" fillId="6" borderId="0" xfId="10" applyFont="1" applyFill="1" applyBorder="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0" fontId="16" fillId="0" borderId="4" xfId="70" applyNumberFormat="1" applyFont="1" applyFill="1" applyBorder="1" applyAlignment="1">
      <alignment horizontal="center" vertical="center" wrapText="1"/>
    </xf>
    <xf numFmtId="164" fontId="46" fillId="0" borderId="4" xfId="69" applyFont="1" applyFill="1" applyBorder="1" applyAlignment="1">
      <alignment horizontal="center" vertical="center" wrapText="1"/>
    </xf>
    <xf numFmtId="175" fontId="16"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2" fontId="16" fillId="0" borderId="4" xfId="14" applyNumberFormat="1" applyFont="1" applyFill="1" applyBorder="1" applyAlignment="1">
      <alignment horizontal="center" vertical="center" wrapText="1"/>
    </xf>
    <xf numFmtId="10" fontId="16" fillId="0" borderId="4" xfId="70" applyNumberFormat="1" applyFont="1" applyFill="1" applyBorder="1" applyAlignment="1"/>
    <xf numFmtId="10" fontId="7" fillId="0" borderId="4" xfId="70" applyNumberFormat="1" applyFont="1" applyFill="1" applyBorder="1" applyAlignment="1">
      <alignment wrapText="1"/>
    </xf>
    <xf numFmtId="10" fontId="16" fillId="0" borderId="4" xfId="70" applyNumberFormat="1" applyFont="1" applyFill="1" applyBorder="1" applyAlignment="1">
      <alignment wrapText="1"/>
    </xf>
    <xf numFmtId="10" fontId="48" fillId="0" borderId="4" xfId="70" applyNumberFormat="1" applyFont="1" applyFill="1" applyBorder="1" applyAlignment="1">
      <alignment wrapText="1"/>
    </xf>
    <xf numFmtId="164" fontId="7" fillId="0" borderId="4" xfId="69" applyFont="1" applyFill="1" applyBorder="1" applyAlignment="1">
      <alignment horizontal="right" vertical="center" wrapText="1"/>
    </xf>
    <xf numFmtId="164" fontId="16" fillId="0" borderId="4" xfId="69" applyFont="1" applyFill="1" applyBorder="1" applyAlignment="1">
      <alignment horizontal="right" vertical="center" wrapText="1"/>
    </xf>
    <xf numFmtId="10" fontId="16" fillId="0" borderId="4" xfId="70" applyNumberFormat="1" applyFont="1" applyFill="1" applyBorder="1" applyAlignment="1">
      <alignment horizontal="right" vertical="center" wrapText="1"/>
    </xf>
    <xf numFmtId="10" fontId="7" fillId="0" borderId="4" xfId="70" applyNumberFormat="1" applyFont="1" applyFill="1" applyBorder="1" applyAlignment="1">
      <alignment horizontal="right" vertical="center" wrapText="1"/>
    </xf>
    <xf numFmtId="10" fontId="16" fillId="0" borderId="4" xfId="70" applyNumberFormat="1" applyFont="1" applyFill="1" applyBorder="1" applyAlignment="1">
      <alignment horizontal="right" vertical="center"/>
    </xf>
    <xf numFmtId="164" fontId="7" fillId="0" borderId="4" xfId="69" applyFont="1" applyFill="1" applyBorder="1" applyAlignment="1">
      <alignment horizontal="right" vertical="center"/>
    </xf>
    <xf numFmtId="164" fontId="16" fillId="0" borderId="4" xfId="69" applyFont="1" applyFill="1" applyBorder="1" applyAlignment="1">
      <alignment horizontal="right" vertical="center"/>
    </xf>
    <xf numFmtId="164" fontId="7" fillId="0" borderId="4" xfId="69" quotePrefix="1" applyFont="1" applyFill="1" applyBorder="1" applyAlignment="1">
      <alignment horizontal="right" vertical="center" wrapText="1"/>
    </xf>
    <xf numFmtId="164" fontId="16" fillId="0" borderId="4" xfId="69" quotePrefix="1" applyFont="1" applyFill="1" applyBorder="1" applyAlignment="1">
      <alignment horizontal="right" vertical="center" wrapText="1"/>
    </xf>
    <xf numFmtId="176" fontId="7" fillId="0" borderId="4" xfId="69" applyNumberFormat="1" applyFont="1" applyFill="1" applyBorder="1" applyAlignment="1">
      <alignment horizontal="center" vertical="center"/>
    </xf>
    <xf numFmtId="0" fontId="7" fillId="0" borderId="4" xfId="10" applyFont="1" applyFill="1" applyBorder="1" applyAlignment="1" applyProtection="1">
      <alignment horizontal="left" vertical="center" wrapText="1"/>
    </xf>
    <xf numFmtId="0" fontId="8" fillId="5" borderId="0" xfId="10" applyFont="1" applyFill="1" applyBorder="1" applyAlignment="1" applyProtection="1">
      <alignment horizontal="left" vertical="center" wrapText="1"/>
    </xf>
    <xf numFmtId="0" fontId="7" fillId="5" borderId="0" xfId="10" applyFont="1" applyFill="1" applyBorder="1" applyAlignment="1">
      <alignment horizontal="left" vertical="center"/>
    </xf>
    <xf numFmtId="0" fontId="7" fillId="0" borderId="0" xfId="10" applyFont="1" applyFill="1" applyBorder="1" applyAlignment="1" applyProtection="1">
      <alignment horizontal="left" vertical="center"/>
    </xf>
    <xf numFmtId="0" fontId="7" fillId="0" borderId="4" xfId="14" applyFont="1" applyFill="1" applyBorder="1" applyAlignment="1">
      <alignment horizontal="left" vertical="center" wrapText="1"/>
    </xf>
    <xf numFmtId="0" fontId="7" fillId="0" borderId="4" xfId="10" applyFont="1" applyFill="1" applyBorder="1" applyAlignment="1">
      <alignment horizontal="left" vertical="center"/>
    </xf>
    <xf numFmtId="0" fontId="8" fillId="0" borderId="0" xfId="10" applyFont="1" applyFill="1" applyBorder="1" applyAlignment="1">
      <alignment vertical="center"/>
    </xf>
    <xf numFmtId="0" fontId="7" fillId="14" borderId="4" xfId="10" applyFont="1" applyFill="1" applyBorder="1"/>
    <xf numFmtId="164" fontId="54" fillId="0" borderId="4" xfId="25" applyFont="1" applyBorder="1" applyAlignment="1">
      <alignment horizontal="right" vertical="center" wrapText="1"/>
    </xf>
    <xf numFmtId="0" fontId="8" fillId="0" borderId="11" xfId="15" applyFont="1" applyBorder="1" applyAlignment="1">
      <alignment horizontal="center" vertical="center"/>
    </xf>
    <xf numFmtId="0" fontId="7" fillId="0" borderId="11" xfId="10" applyFont="1" applyBorder="1"/>
    <xf numFmtId="0" fontId="7" fillId="17" borderId="4" xfId="10" applyFont="1" applyFill="1" applyBorder="1" applyAlignment="1">
      <alignment vertical="center"/>
    </xf>
    <xf numFmtId="0" fontId="7" fillId="17" borderId="4" xfId="10" applyFont="1" applyFill="1" applyBorder="1"/>
    <xf numFmtId="164" fontId="54" fillId="17" borderId="4" xfId="25" applyFont="1" applyFill="1" applyBorder="1" applyAlignment="1">
      <alignment horizontal="right" vertical="center" wrapText="1"/>
    </xf>
    <xf numFmtId="0" fontId="7" fillId="0" borderId="4" xfId="10" applyFont="1" applyFill="1" applyBorder="1" applyAlignment="1">
      <alignment horizontal="left" vertical="center" wrapText="1"/>
    </xf>
    <xf numFmtId="0" fontId="12" fillId="16" borderId="4" xfId="10" applyFont="1" applyFill="1" applyBorder="1" applyAlignment="1">
      <alignment vertical="center"/>
    </xf>
    <xf numFmtId="0" fontId="12" fillId="16" borderId="4" xfId="10" applyFont="1" applyFill="1" applyBorder="1" applyAlignment="1">
      <alignment horizontal="center" vertical="center" wrapText="1"/>
    </xf>
    <xf numFmtId="0" fontId="8" fillId="16" borderId="4" xfId="10" applyFont="1" applyFill="1" applyBorder="1" applyAlignment="1">
      <alignment vertical="center" wrapText="1"/>
    </xf>
    <xf numFmtId="0" fontId="12" fillId="0" borderId="0" xfId="10" applyFont="1" applyAlignment="1">
      <alignment vertical="center"/>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43" fontId="8" fillId="0" borderId="4" xfId="29" applyNumberFormat="1" applyFont="1" applyFill="1" applyBorder="1" applyAlignment="1">
      <alignment vertical="center"/>
    </xf>
    <xf numFmtId="164" fontId="7" fillId="0" borderId="4" xfId="29" applyFont="1" applyFill="1" applyBorder="1" applyAlignment="1">
      <alignment horizontal="center" vertical="center" wrapText="1"/>
    </xf>
    <xf numFmtId="10" fontId="48" fillId="5" borderId="4" xfId="70" applyNumberFormat="1" applyFont="1" applyFill="1" applyBorder="1" applyAlignment="1">
      <alignment horizontal="center" vertical="center" wrapText="1"/>
    </xf>
    <xf numFmtId="10" fontId="48" fillId="0" borderId="4" xfId="70" applyNumberFormat="1" applyFont="1" applyFill="1" applyBorder="1" applyAlignment="1">
      <alignment horizontal="center" vertical="center" wrapText="1"/>
    </xf>
    <xf numFmtId="164" fontId="48" fillId="0" borderId="4" xfId="69" applyFont="1" applyFill="1" applyBorder="1" applyAlignment="1">
      <alignment horizontal="center" vertical="center" wrapText="1"/>
    </xf>
    <xf numFmtId="164" fontId="7" fillId="0" borderId="4" xfId="29" applyFont="1" applyFill="1" applyBorder="1" applyAlignment="1">
      <alignment horizontal="center" vertical="center"/>
    </xf>
    <xf numFmtId="0" fontId="7" fillId="0" borderId="0" xfId="10" applyFont="1" applyFill="1" applyBorder="1" applyAlignment="1">
      <alignment horizontal="left"/>
    </xf>
    <xf numFmtId="43" fontId="7" fillId="0" borderId="0" xfId="14" applyNumberFormat="1" applyFont="1" applyFill="1">
      <alignment vertical="center"/>
    </xf>
    <xf numFmtId="10" fontId="34" fillId="0" borderId="4" xfId="69" applyNumberFormat="1" applyFont="1" applyFill="1" applyBorder="1"/>
    <xf numFmtId="10" fontId="7" fillId="0" borderId="4" xfId="14" applyNumberFormat="1" applyFont="1" applyFill="1" applyBorder="1">
      <alignment vertical="center"/>
    </xf>
    <xf numFmtId="0" fontId="8" fillId="0" borderId="0" xfId="14" applyFont="1" applyFill="1">
      <alignment vertical="center"/>
    </xf>
    <xf numFmtId="2" fontId="7" fillId="0" borderId="4" xfId="14" applyNumberFormat="1" applyFont="1" applyBorder="1">
      <alignment vertical="center"/>
    </xf>
    <xf numFmtId="10" fontId="7" fillId="0" borderId="4" xfId="70" applyNumberFormat="1" applyFont="1" applyBorder="1" applyAlignment="1">
      <alignment vertical="center"/>
    </xf>
    <xf numFmtId="179" fontId="9" fillId="0" borderId="4" xfId="70" applyNumberFormat="1" applyFont="1" applyFill="1" applyBorder="1" applyAlignment="1">
      <alignment horizontal="center" vertical="center"/>
    </xf>
    <xf numFmtId="179" fontId="9" fillId="0" borderId="4" xfId="70" applyNumberFormat="1" applyFont="1" applyBorder="1" applyAlignment="1">
      <alignment horizontal="center"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0" borderId="0" xfId="14" applyNumberFormat="1" applyFont="1" applyAlignment="1">
      <alignment horizontal="center" vertical="center"/>
    </xf>
    <xf numFmtId="0" fontId="7" fillId="0" borderId="0" xfId="10" applyNumberFormat="1" applyFont="1" applyBorder="1" applyAlignment="1">
      <alignment horizontal="center"/>
    </xf>
    <xf numFmtId="0" fontId="8" fillId="4" borderId="4" xfId="14" applyNumberFormat="1" applyFont="1" applyFill="1" applyBorder="1" applyAlignment="1">
      <alignment horizontal="center" vertical="center" wrapText="1"/>
    </xf>
    <xf numFmtId="0" fontId="7" fillId="0" borderId="4" xfId="14" applyNumberFormat="1" applyFont="1" applyBorder="1" applyAlignment="1">
      <alignment horizontal="center" vertical="center"/>
    </xf>
    <xf numFmtId="0" fontId="7" fillId="0" borderId="4" xfId="14" applyNumberFormat="1" applyFont="1" applyFill="1" applyBorder="1" applyAlignment="1">
      <alignment horizontal="center" vertical="center"/>
    </xf>
    <xf numFmtId="0" fontId="8" fillId="0" borderId="4" xfId="14" applyNumberFormat="1" applyFont="1" applyBorder="1" applyAlignment="1">
      <alignment horizontal="center" vertical="center"/>
    </xf>
    <xf numFmtId="0" fontId="7" fillId="9" borderId="4" xfId="14" applyNumberFormat="1" applyFont="1" applyFill="1" applyBorder="1" applyAlignment="1">
      <alignment horizontal="center" vertical="center"/>
    </xf>
    <xf numFmtId="0" fontId="7" fillId="0" borderId="4" xfId="70"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7" fillId="0" borderId="0" xfId="14" applyNumberFormat="1" applyFont="1" applyBorder="1" applyAlignment="1">
      <alignment horizontal="center" vertical="center"/>
    </xf>
    <xf numFmtId="0" fontId="7" fillId="0" borderId="0" xfId="14" applyNumberFormat="1" applyFont="1">
      <alignment vertical="center"/>
    </xf>
    <xf numFmtId="43" fontId="7" fillId="0" borderId="0" xfId="10" applyNumberFormat="1" applyFont="1"/>
    <xf numFmtId="2" fontId="7" fillId="0" borderId="0" xfId="14" applyNumberFormat="1" applyFont="1">
      <alignment vertical="center"/>
    </xf>
    <xf numFmtId="43" fontId="9" fillId="0" borderId="0" xfId="14" applyNumberFormat="1" applyFont="1">
      <alignment vertical="center"/>
    </xf>
    <xf numFmtId="43" fontId="7" fillId="0" borderId="0" xfId="10" applyNumberFormat="1" applyFont="1" applyBorder="1"/>
    <xf numFmtId="164" fontId="7" fillId="0" borderId="0" xfId="14" applyNumberFormat="1" applyFont="1" applyFill="1">
      <alignment vertical="center"/>
    </xf>
    <xf numFmtId="0" fontId="30" fillId="0" borderId="4" xfId="10" applyFont="1" applyFill="1" applyBorder="1" applyAlignment="1">
      <alignment horizontal="center"/>
    </xf>
    <xf numFmtId="0" fontId="29" fillId="0" borderId="4" xfId="10" applyFont="1" applyFill="1" applyBorder="1" applyAlignment="1">
      <alignment horizontal="center"/>
    </xf>
    <xf numFmtId="0" fontId="30" fillId="0" borderId="4" xfId="10" applyFont="1" applyFill="1" applyBorder="1" applyAlignment="1"/>
    <xf numFmtId="0" fontId="29" fillId="7" borderId="4" xfId="10" applyFont="1" applyFill="1" applyBorder="1" applyAlignment="1">
      <alignment horizontal="center" vertical="center" wrapText="1"/>
    </xf>
    <xf numFmtId="43" fontId="7" fillId="0" borderId="0" xfId="10" applyNumberFormat="1" applyFont="1" applyFill="1"/>
    <xf numFmtId="0" fontId="8" fillId="0" borderId="7" xfId="14" applyFont="1" applyFill="1" applyBorder="1" applyAlignment="1">
      <alignment horizontal="center" vertical="center"/>
    </xf>
    <xf numFmtId="164" fontId="7" fillId="0" borderId="0" xfId="14" applyNumberFormat="1" applyFont="1" applyFill="1" applyAlignment="1">
      <alignment vertical="center"/>
    </xf>
    <xf numFmtId="0" fontId="7" fillId="0" borderId="0" xfId="14" applyFont="1" applyFill="1" applyAlignment="1">
      <alignment vertical="center"/>
    </xf>
    <xf numFmtId="164" fontId="54" fillId="0" borderId="4" xfId="25" applyFont="1" applyFill="1" applyBorder="1" applyAlignment="1">
      <alignment horizontal="right" vertical="center" wrapText="1"/>
    </xf>
    <xf numFmtId="0" fontId="7" fillId="0" borderId="4" xfId="10" applyFont="1" applyFill="1" applyBorder="1" applyAlignment="1"/>
    <xf numFmtId="164" fontId="50" fillId="0" borderId="4" xfId="69" applyFont="1" applyFill="1" applyBorder="1"/>
    <xf numFmtId="10" fontId="50" fillId="0" borderId="4" xfId="0" applyNumberFormat="1" applyFont="1" applyFill="1" applyBorder="1"/>
    <xf numFmtId="0" fontId="8" fillId="0" borderId="4" xfId="10" applyFont="1" applyFill="1" applyBorder="1" applyAlignment="1"/>
    <xf numFmtId="9" fontId="7" fillId="0" borderId="4" xfId="14" applyNumberFormat="1" applyFont="1" applyFill="1" applyBorder="1">
      <alignment vertical="center"/>
    </xf>
    <xf numFmtId="0" fontId="8"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0" borderId="0" xfId="14" applyFont="1" applyAlignment="1">
      <alignment horizontal="center" vertical="center"/>
    </xf>
    <xf numFmtId="0" fontId="8" fillId="7" borderId="4" xfId="14" applyFont="1" applyFill="1" applyBorder="1" applyAlignment="1">
      <alignment horizontal="center" vertical="center" wrapText="1"/>
    </xf>
    <xf numFmtId="0" fontId="8" fillId="0" borderId="0" xfId="10" applyFont="1" applyFill="1" applyBorder="1" applyAlignment="1">
      <alignment horizontal="center" vertical="center"/>
    </xf>
    <xf numFmtId="0" fontId="8" fillId="0" borderId="0" xfId="10" applyFont="1" applyAlignment="1">
      <alignment horizontal="left"/>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164" fontId="7" fillId="0" borderId="4" xfId="69" applyFont="1" applyFill="1" applyBorder="1" applyAlignment="1">
      <alignment horizontal="center" vertical="center"/>
    </xf>
    <xf numFmtId="164" fontId="7" fillId="0" borderId="4" xfId="29" applyFont="1" applyFill="1" applyBorder="1" applyAlignment="1">
      <alignment horizontal="right" vertical="center"/>
    </xf>
    <xf numFmtId="180" fontId="16" fillId="0" borderId="4" xfId="70" applyNumberFormat="1" applyFont="1" applyFill="1" applyBorder="1" applyAlignment="1"/>
    <xf numFmtId="10" fontId="16" fillId="0" borderId="4" xfId="70" applyNumberFormat="1" applyFont="1" applyBorder="1" applyAlignment="1">
      <alignment vertical="top"/>
    </xf>
    <xf numFmtId="180" fontId="16" fillId="0" borderId="4" xfId="70" applyNumberFormat="1" applyFont="1" applyFill="1" applyBorder="1" applyAlignment="1">
      <alignment wrapText="1"/>
    </xf>
    <xf numFmtId="180" fontId="48" fillId="0" borderId="4" xfId="70" applyNumberFormat="1" applyFont="1" applyFill="1" applyBorder="1" applyAlignment="1">
      <alignment wrapText="1"/>
    </xf>
    <xf numFmtId="180" fontId="16" fillId="0" borderId="4" xfId="70" applyNumberFormat="1" applyFont="1" applyFill="1" applyBorder="1" applyAlignment="1">
      <alignment vertical="top"/>
    </xf>
    <xf numFmtId="10" fontId="16" fillId="0" borderId="4" xfId="40" applyNumberFormat="1" applyFont="1" applyFill="1" applyBorder="1" applyAlignment="1"/>
    <xf numFmtId="9" fontId="16" fillId="0" borderId="4" xfId="40" applyNumberFormat="1" applyFont="1" applyFill="1" applyBorder="1" applyAlignment="1">
      <alignment horizontal="center"/>
    </xf>
    <xf numFmtId="164" fontId="16" fillId="0" borderId="4" xfId="29" applyFont="1" applyFill="1" applyBorder="1" applyAlignment="1">
      <alignment horizontal="right" vertical="center"/>
    </xf>
    <xf numFmtId="10" fontId="7" fillId="0" borderId="4" xfId="40" applyNumberFormat="1" applyFont="1" applyFill="1" applyBorder="1" applyAlignment="1">
      <alignment horizontal="right" vertical="center"/>
    </xf>
    <xf numFmtId="10" fontId="16" fillId="0" borderId="4" xfId="40" applyNumberFormat="1" applyFont="1" applyFill="1" applyBorder="1" applyAlignment="1">
      <alignment horizontal="right" vertical="center"/>
    </xf>
    <xf numFmtId="169" fontId="7" fillId="0" borderId="4" xfId="29" applyNumberFormat="1" applyFont="1" applyFill="1" applyBorder="1" applyAlignment="1">
      <alignment horizontal="right" vertical="center"/>
    </xf>
    <xf numFmtId="164" fontId="7" fillId="0" borderId="4" xfId="29" quotePrefix="1" applyFont="1" applyFill="1" applyBorder="1" applyAlignment="1">
      <alignment horizontal="center" vertical="center"/>
    </xf>
    <xf numFmtId="164" fontId="7" fillId="0" borderId="4" xfId="29" quotePrefix="1" applyFont="1" applyFill="1" applyBorder="1" applyAlignment="1">
      <alignment horizontal="right" vertical="center"/>
    </xf>
    <xf numFmtId="164" fontId="16" fillId="0" borderId="4" xfId="29" quotePrefix="1" applyFont="1" applyFill="1" applyBorder="1" applyAlignment="1">
      <alignment horizontal="right" vertical="center"/>
    </xf>
    <xf numFmtId="164" fontId="16" fillId="0" borderId="4" xfId="29" applyFont="1" applyFill="1" applyBorder="1" applyAlignment="1">
      <alignment horizontal="center" vertical="center"/>
    </xf>
    <xf numFmtId="164" fontId="16" fillId="0" borderId="4" xfId="29" quotePrefix="1" applyFont="1" applyFill="1" applyBorder="1" applyAlignment="1">
      <alignment horizontal="center" vertical="center"/>
    </xf>
    <xf numFmtId="164" fontId="12" fillId="0" borderId="4" xfId="29" applyFont="1" applyFill="1" applyBorder="1" applyAlignment="1">
      <alignment horizontal="center" vertical="center"/>
    </xf>
    <xf numFmtId="10" fontId="16" fillId="0" borderId="4" xfId="40" applyNumberFormat="1" applyFont="1" applyFill="1" applyBorder="1" applyAlignment="1">
      <alignment horizontal="center" vertical="center"/>
    </xf>
    <xf numFmtId="169" fontId="7" fillId="0" borderId="4" xfId="29" quotePrefix="1" applyNumberFormat="1" applyFont="1" applyFill="1" applyBorder="1" applyAlignment="1">
      <alignment vertical="center"/>
    </xf>
    <xf numFmtId="169" fontId="16" fillId="0" borderId="4" xfId="29" quotePrefix="1" applyNumberFormat="1" applyFont="1" applyFill="1" applyBorder="1" applyAlignment="1">
      <alignment vertical="center"/>
    </xf>
    <xf numFmtId="169" fontId="16" fillId="0" borderId="4" xfId="29" applyNumberFormat="1" applyFont="1" applyFill="1" applyBorder="1" applyAlignment="1">
      <alignment horizontal="right" vertical="center"/>
    </xf>
    <xf numFmtId="164" fontId="16" fillId="0" borderId="4" xfId="29" applyFont="1" applyFill="1" applyBorder="1" applyAlignment="1">
      <alignment vertical="center"/>
    </xf>
    <xf numFmtId="164" fontId="7" fillId="0" borderId="4" xfId="69" applyFont="1" applyFill="1" applyBorder="1" applyAlignment="1">
      <alignment horizontal="left" vertical="center"/>
    </xf>
    <xf numFmtId="164" fontId="7" fillId="0" borderId="4" xfId="14" applyNumberFormat="1" applyFont="1" applyFill="1" applyBorder="1" applyAlignment="1">
      <alignment horizontal="left" vertical="center"/>
    </xf>
    <xf numFmtId="0" fontId="45" fillId="0" borderId="0" xfId="14" applyFont="1" applyFill="1">
      <alignment vertical="center"/>
    </xf>
    <xf numFmtId="43" fontId="45" fillId="0" borderId="0" xfId="14" applyNumberFormat="1" applyFont="1" applyFill="1">
      <alignment vertical="center"/>
    </xf>
    <xf numFmtId="164" fontId="45" fillId="0" borderId="0" xfId="14" applyNumberFormat="1" applyFont="1" applyFill="1">
      <alignment vertical="center"/>
    </xf>
    <xf numFmtId="0" fontId="29" fillId="0" borderId="4" xfId="10" applyFont="1" applyFill="1" applyBorder="1" applyAlignment="1">
      <alignment horizontal="center" vertical="center"/>
    </xf>
    <xf numFmtId="0" fontId="29" fillId="0" borderId="4" xfId="10" applyFont="1" applyFill="1" applyBorder="1" applyAlignment="1">
      <alignment vertical="center"/>
    </xf>
    <xf numFmtId="164" fontId="29" fillId="0" borderId="4" xfId="69" applyFont="1" applyFill="1" applyBorder="1" applyAlignment="1">
      <alignment vertical="center"/>
    </xf>
    <xf numFmtId="164" fontId="29" fillId="0" borderId="4" xfId="10" applyNumberFormat="1" applyFont="1" applyFill="1" applyBorder="1" applyAlignment="1">
      <alignment horizontal="center"/>
    </xf>
    <xf numFmtId="164" fontId="30" fillId="0" borderId="4" xfId="10" applyNumberFormat="1" applyFont="1" applyFill="1" applyBorder="1" applyAlignment="1">
      <alignment horizontal="center"/>
    </xf>
    <xf numFmtId="0" fontId="30" fillId="0" borderId="4" xfId="10" applyFont="1" applyFill="1" applyBorder="1" applyAlignment="1">
      <alignment vertical="center"/>
    </xf>
    <xf numFmtId="0" fontId="30" fillId="0" borderId="0" xfId="10" applyFont="1" applyFill="1" applyAlignment="1">
      <alignment vertical="center"/>
    </xf>
    <xf numFmtId="0" fontId="30" fillId="0" borderId="4" xfId="10" applyFont="1" applyFill="1" applyBorder="1" applyAlignment="1">
      <alignment horizontal="center" vertical="center"/>
    </xf>
    <xf numFmtId="0" fontId="7" fillId="0" borderId="4" xfId="14" applyFont="1" applyFill="1" applyBorder="1" applyAlignment="1">
      <alignment horizontal="center"/>
    </xf>
    <xf numFmtId="0" fontId="29" fillId="0" borderId="4" xfId="10" applyFont="1" applyFill="1" applyBorder="1" applyAlignment="1"/>
    <xf numFmtId="164" fontId="29" fillId="0" borderId="4" xfId="69" applyFont="1" applyFill="1" applyBorder="1" applyAlignment="1"/>
    <xf numFmtId="174" fontId="7" fillId="0" borderId="4" xfId="14" applyNumberFormat="1" applyFont="1" applyFill="1" applyBorder="1" applyAlignment="1">
      <alignment horizontal="center"/>
    </xf>
    <xf numFmtId="177" fontId="7" fillId="0" borderId="4" xfId="69" applyNumberFormat="1" applyFont="1" applyFill="1" applyBorder="1" applyAlignment="1">
      <alignment horizontal="center"/>
    </xf>
    <xf numFmtId="0" fontId="30" fillId="0" borderId="0" xfId="10" applyFont="1" applyFill="1" applyAlignment="1"/>
    <xf numFmtId="0" fontId="30" fillId="0" borderId="0" xfId="10" applyFont="1" applyFill="1"/>
    <xf numFmtId="0" fontId="24" fillId="0" borderId="4" xfId="10" applyFont="1" applyFill="1" applyBorder="1" applyAlignment="1" applyProtection="1"/>
    <xf numFmtId="166" fontId="7" fillId="0" borderId="4" xfId="10" applyNumberFormat="1" applyFont="1" applyFill="1" applyBorder="1" applyAlignment="1" applyProtection="1">
      <alignment horizontal="center"/>
    </xf>
    <xf numFmtId="164" fontId="7" fillId="0" borderId="4" xfId="69" applyFont="1" applyFill="1" applyBorder="1" applyAlignment="1">
      <alignment horizontal="center" vertical="center"/>
    </xf>
    <xf numFmtId="0" fontId="50" fillId="0" borderId="4" xfId="71" applyFont="1" applyBorder="1" applyAlignment="1">
      <alignment horizontal="center"/>
    </xf>
    <xf numFmtId="164" fontId="50" fillId="0" borderId="4" xfId="29" applyFont="1" applyBorder="1"/>
    <xf numFmtId="0" fontId="51" fillId="0" borderId="4" xfId="71" applyFont="1" applyBorder="1" applyAlignment="1">
      <alignment horizontal="center"/>
    </xf>
    <xf numFmtId="164" fontId="51" fillId="0" borderId="4" xfId="29" applyFont="1" applyBorder="1"/>
    <xf numFmtId="10" fontId="50" fillId="0" borderId="4" xfId="70" applyNumberFormat="1" applyFont="1" applyBorder="1"/>
    <xf numFmtId="0" fontId="58" fillId="0" borderId="0" xfId="14" applyFont="1" applyFill="1">
      <alignment vertical="center"/>
    </xf>
    <xf numFmtId="0" fontId="7" fillId="0" borderId="4" xfId="0" applyFont="1" applyFill="1" applyBorder="1" applyAlignment="1">
      <alignment vertical="top"/>
    </xf>
    <xf numFmtId="10" fontId="7" fillId="14" borderId="0" xfId="40" applyNumberFormat="1" applyFont="1" applyFill="1" applyBorder="1"/>
    <xf numFmtId="164" fontId="7" fillId="0" borderId="4" xfId="29" applyFont="1" applyBorder="1" applyAlignment="1">
      <alignment horizontal="left" vertical="top"/>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0" xfId="10" applyAlignment="1">
      <alignment horizontal="center" vertical="center"/>
    </xf>
    <xf numFmtId="0" fontId="8" fillId="0" borderId="0" xfId="14" applyFont="1" applyFill="1" applyBorder="1" applyAlignment="1">
      <alignment horizontal="center" vertical="center" wrapText="1"/>
    </xf>
    <xf numFmtId="164" fontId="7" fillId="0" borderId="4" xfId="69" applyFont="1" applyFill="1" applyBorder="1" applyAlignment="1">
      <alignment horizontal="center" vertical="center"/>
    </xf>
    <xf numFmtId="0" fontId="8" fillId="0" borderId="0" xfId="14" applyFont="1" applyFill="1" applyBorder="1" applyAlignment="1">
      <alignment horizontal="center" vertical="center"/>
    </xf>
    <xf numFmtId="0" fontId="8" fillId="4" borderId="4" xfId="31" applyFont="1" applyFill="1" applyBorder="1" applyAlignment="1">
      <alignment horizontal="center" vertical="center" wrapText="1"/>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164" fontId="7" fillId="0" borderId="0" xfId="69" applyFont="1" applyFill="1" applyBorder="1"/>
    <xf numFmtId="0" fontId="7" fillId="19" borderId="4" xfId="10" applyFont="1" applyFill="1" applyBorder="1" applyAlignment="1" applyProtection="1">
      <alignment horizontal="left"/>
    </xf>
    <xf numFmtId="164" fontId="7" fillId="19" borderId="4" xfId="69" applyFont="1" applyFill="1" applyBorder="1" applyAlignment="1" applyProtection="1">
      <alignment horizontal="left"/>
    </xf>
    <xf numFmtId="164" fontId="7" fillId="19" borderId="4" xfId="69" applyFont="1" applyFill="1" applyBorder="1" applyAlignment="1">
      <alignment vertical="center"/>
    </xf>
    <xf numFmtId="164" fontId="34" fillId="19" borderId="4" xfId="69" applyFont="1" applyFill="1" applyBorder="1"/>
    <xf numFmtId="176" fontId="13" fillId="14" borderId="0" xfId="69" applyNumberFormat="1" applyFont="1" applyFill="1" applyAlignment="1">
      <alignment horizontal="left" vertical="center"/>
    </xf>
    <xf numFmtId="164" fontId="58" fillId="0" borderId="4" xfId="69" applyFont="1" applyBorder="1" applyAlignment="1">
      <alignment vertical="top" wrapText="1"/>
    </xf>
    <xf numFmtId="0" fontId="8" fillId="4" borderId="5" xfId="14" applyFont="1" applyFill="1" applyBorder="1" applyAlignment="1">
      <alignment vertical="center" wrapText="1"/>
    </xf>
    <xf numFmtId="0" fontId="58" fillId="0" borderId="4" xfId="69" applyNumberFormat="1" applyFont="1" applyBorder="1" applyAlignment="1">
      <alignment vertical="center"/>
    </xf>
    <xf numFmtId="0" fontId="7" fillId="0" borderId="0" xfId="14" applyFont="1" applyFill="1" applyBorder="1" applyAlignment="1">
      <alignment horizontal="center" vertical="center"/>
    </xf>
    <xf numFmtId="164" fontId="8" fillId="0" borderId="0" xfId="29" applyFont="1" applyFill="1" applyBorder="1" applyAlignment="1">
      <alignment vertical="center"/>
    </xf>
    <xf numFmtId="2" fontId="7" fillId="0" borderId="0" xfId="14" applyNumberFormat="1" applyFont="1" applyFill="1" applyBorder="1">
      <alignment vertical="center"/>
    </xf>
    <xf numFmtId="0" fontId="8" fillId="0" borderId="0" xfId="14" applyFont="1" applyFill="1" applyBorder="1">
      <alignment vertical="center"/>
    </xf>
    <xf numFmtId="164" fontId="7" fillId="0" borderId="0" xfId="29" applyFont="1" applyFill="1" applyBorder="1" applyAlignment="1">
      <alignment vertical="center"/>
    </xf>
    <xf numFmtId="0" fontId="7" fillId="0" borderId="0" xfId="14" applyFont="1" applyFill="1" applyBorder="1" applyAlignment="1">
      <alignment vertical="top" wrapText="1"/>
    </xf>
    <xf numFmtId="164" fontId="8" fillId="0" borderId="0" xfId="69" applyFont="1" applyFill="1" applyBorder="1" applyAlignment="1">
      <alignment vertical="center"/>
    </xf>
    <xf numFmtId="0" fontId="8" fillId="0" borderId="0" xfId="14" applyFont="1" applyFill="1" applyBorder="1" applyAlignment="1">
      <alignment horizontal="center" vertical="top" wrapText="1"/>
    </xf>
    <xf numFmtId="0" fontId="8" fillId="0" borderId="0" xfId="14" applyFont="1" applyFill="1" applyBorder="1" applyAlignment="1">
      <alignment vertical="top" wrapText="1"/>
    </xf>
    <xf numFmtId="0" fontId="7" fillId="0" borderId="0" xfId="14" applyFont="1" applyFill="1" applyBorder="1" applyAlignment="1">
      <alignment horizontal="center" vertical="top" wrapText="1"/>
    </xf>
    <xf numFmtId="164" fontId="7" fillId="0" borderId="0" xfId="14" applyNumberFormat="1" applyFont="1" applyFill="1" applyBorder="1">
      <alignment vertical="center"/>
    </xf>
    <xf numFmtId="164" fontId="8" fillId="0" borderId="0" xfId="14" applyNumberFormat="1" applyFont="1" applyFill="1" applyBorder="1">
      <alignment vertical="center"/>
    </xf>
    <xf numFmtId="0" fontId="8" fillId="0" borderId="0" xfId="14" applyFont="1" applyFill="1" applyBorder="1" applyAlignment="1">
      <alignment horizontal="right" vertical="center"/>
    </xf>
    <xf numFmtId="0" fontId="8" fillId="0" borderId="0" xfId="14" applyFont="1" applyFill="1" applyBorder="1" applyAlignment="1">
      <alignment vertical="center"/>
    </xf>
    <xf numFmtId="0" fontId="7" fillId="0" borderId="0" xfId="15" applyFont="1" applyFill="1" applyBorder="1" applyAlignment="1">
      <alignment vertical="center"/>
    </xf>
    <xf numFmtId="0" fontId="7" fillId="0" borderId="0" xfId="14" applyFont="1" applyFill="1" applyBorder="1" applyAlignment="1">
      <alignment vertical="center" wrapText="1"/>
    </xf>
    <xf numFmtId="0" fontId="12" fillId="0" borderId="4" xfId="69"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164"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8" fillId="0" borderId="4" xfId="69" applyNumberFormat="1" applyFont="1" applyFill="1" applyBorder="1" applyAlignment="1">
      <alignment horizontal="center" vertical="center"/>
    </xf>
    <xf numFmtId="0" fontId="12" fillId="0" borderId="4" xfId="29" applyNumberFormat="1" applyFont="1" applyFill="1" applyBorder="1" applyAlignment="1">
      <alignment horizontal="center"/>
    </xf>
    <xf numFmtId="2" fontId="7" fillId="0" borderId="4" xfId="14" applyNumberFormat="1" applyFont="1" applyFill="1" applyBorder="1" applyAlignment="1">
      <alignment horizontal="center" vertical="center" wrapText="1"/>
    </xf>
    <xf numFmtId="0" fontId="16" fillId="0" borderId="4" xfId="69" applyNumberFormat="1" applyFont="1" applyFill="1" applyBorder="1" applyAlignment="1">
      <alignment horizontal="right" vertical="center" wrapText="1"/>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5"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164" fontId="7" fillId="0" borderId="4" xfId="69" applyFont="1" applyFill="1" applyBorder="1" applyAlignment="1">
      <alignment horizontal="center" vertical="center"/>
    </xf>
    <xf numFmtId="164" fontId="7" fillId="0" borderId="4" xfId="29" applyFont="1" applyFill="1" applyBorder="1" applyAlignment="1">
      <alignment horizontal="right" vertical="center"/>
    </xf>
    <xf numFmtId="0" fontId="39" fillId="0" borderId="0" xfId="14" applyFont="1" applyAlignment="1">
      <alignment horizontal="left" vertical="center"/>
    </xf>
    <xf numFmtId="164" fontId="16" fillId="0" borderId="4" xfId="29" quotePrefix="1" applyFont="1" applyFill="1" applyBorder="1" applyAlignment="1">
      <alignment horizontal="right" vertical="center" wrapText="1"/>
    </xf>
    <xf numFmtId="0" fontId="16" fillId="0" borderId="4" xfId="69" quotePrefix="1" applyNumberFormat="1" applyFont="1" applyFill="1" applyBorder="1" applyAlignment="1">
      <alignment horizontal="right" vertical="center" wrapText="1"/>
    </xf>
    <xf numFmtId="164" fontId="16" fillId="0" borderId="4" xfId="69" applyFont="1" applyFill="1" applyBorder="1" applyAlignment="1">
      <alignment horizontal="center" vertical="center"/>
    </xf>
    <xf numFmtId="178" fontId="7" fillId="0" borderId="4" xfId="69" applyNumberFormat="1" applyFont="1" applyFill="1" applyBorder="1" applyAlignment="1">
      <alignment horizontal="center" vertical="center"/>
    </xf>
    <xf numFmtId="0" fontId="16" fillId="0" borderId="4" xfId="14" applyFont="1" applyFill="1" applyBorder="1">
      <alignment vertical="center"/>
    </xf>
    <xf numFmtId="10" fontId="16" fillId="10" borderId="4" xfId="70" applyNumberFormat="1" applyFont="1" applyFill="1" applyBorder="1" applyAlignment="1">
      <alignment horizontal="right" vertical="center" wrapText="1"/>
    </xf>
    <xf numFmtId="10" fontId="7" fillId="10" borderId="4" xfId="70" applyNumberFormat="1" applyFont="1" applyFill="1" applyBorder="1" applyAlignment="1">
      <alignment horizontal="right" vertical="center" wrapText="1"/>
    </xf>
    <xf numFmtId="164" fontId="7" fillId="10" borderId="4" xfId="69" applyFont="1" applyFill="1" applyBorder="1" applyAlignment="1">
      <alignment horizontal="right" vertical="center" wrapText="1"/>
    </xf>
    <xf numFmtId="169" fontId="7" fillId="10" borderId="4" xfId="29" applyNumberFormat="1" applyFont="1" applyFill="1" applyBorder="1" applyAlignment="1">
      <alignment horizontal="right" vertical="center"/>
    </xf>
    <xf numFmtId="164" fontId="16" fillId="10" borderId="4" xfId="69" applyFont="1" applyFill="1" applyBorder="1" applyAlignment="1">
      <alignment horizontal="right" vertical="center" wrapText="1"/>
    </xf>
    <xf numFmtId="43" fontId="16" fillId="0" borderId="4" xfId="69" applyNumberFormat="1" applyFont="1" applyFill="1" applyBorder="1" applyAlignment="1">
      <alignment horizontal="right" vertical="center" wrapText="1"/>
    </xf>
    <xf numFmtId="181" fontId="16" fillId="0" borderId="4" xfId="69" applyNumberFormat="1" applyFont="1" applyFill="1" applyBorder="1" applyAlignment="1">
      <alignment horizontal="right" vertical="center" wrapText="1"/>
    </xf>
    <xf numFmtId="0" fontId="25" fillId="0" borderId="0" xfId="10" applyFont="1" applyFill="1" applyBorder="1" applyAlignment="1">
      <alignment vertical="top" wrapText="1"/>
    </xf>
    <xf numFmtId="10" fontId="8" fillId="0" borderId="4" xfId="70" applyNumberFormat="1" applyFont="1" applyFill="1" applyBorder="1" applyAlignment="1">
      <alignment vertical="center" wrapText="1"/>
    </xf>
    <xf numFmtId="164" fontId="8" fillId="0" borderId="4" xfId="69" applyFont="1" applyFill="1" applyBorder="1" applyAlignment="1">
      <alignment vertical="center" wrapText="1"/>
    </xf>
    <xf numFmtId="0" fontId="58" fillId="0" borderId="4" xfId="14"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64" fontId="9" fillId="0" borderId="0" xfId="69" applyFont="1" applyFill="1" applyBorder="1" applyAlignment="1">
      <alignment horizontal="center" vertical="center"/>
    </xf>
    <xf numFmtId="164" fontId="10" fillId="0" borderId="0" xfId="69" applyFont="1" applyFill="1" applyBorder="1" applyAlignment="1">
      <alignment horizontal="center" vertical="center"/>
    </xf>
    <xf numFmtId="164" fontId="8" fillId="0" borderId="4" xfId="29" applyFont="1" applyFill="1" applyBorder="1"/>
    <xf numFmtId="43" fontId="8" fillId="0" borderId="4" xfId="29" applyNumberFormat="1" applyFont="1" applyFill="1" applyBorder="1"/>
    <xf numFmtId="164" fontId="7" fillId="10" borderId="4" xfId="69" applyFont="1" applyFill="1" applyBorder="1" applyAlignment="1">
      <alignment vertical="center"/>
    </xf>
    <xf numFmtId="0" fontId="7" fillId="0" borderId="0" xfId="10" applyFont="1" applyFill="1" applyBorder="1" applyAlignment="1">
      <alignment horizontal="left" vertical="center"/>
    </xf>
    <xf numFmtId="0" fontId="8" fillId="0" borderId="0" xfId="14" applyFont="1" applyFill="1" applyAlignment="1">
      <alignment horizontal="right" vertical="center"/>
    </xf>
    <xf numFmtId="0" fontId="8" fillId="0" borderId="0" xfId="10" applyFont="1" applyFill="1" applyAlignment="1">
      <alignment horizontal="left"/>
    </xf>
    <xf numFmtId="10" fontId="7" fillId="14" borderId="0" xfId="40" applyNumberFormat="1" applyFont="1" applyFill="1" applyAlignment="1">
      <alignment horizontal="center" vertical="center"/>
    </xf>
    <xf numFmtId="10" fontId="7" fillId="14" borderId="0" xfId="10" applyNumberFormat="1" applyFont="1" applyFill="1" applyAlignment="1">
      <alignment horizontal="center" vertical="center"/>
    </xf>
    <xf numFmtId="0" fontId="8" fillId="0" borderId="0" xfId="10" applyFont="1" applyFill="1" applyBorder="1" applyAlignment="1">
      <alignment horizontal="left"/>
    </xf>
    <xf numFmtId="10" fontId="7" fillId="14" borderId="0" xfId="10" applyNumberFormat="1" applyFont="1" applyFill="1" applyAlignment="1">
      <alignment horizontal="center" vertical="top"/>
    </xf>
    <xf numFmtId="10" fontId="7" fillId="0" borderId="4" xfId="14" applyNumberFormat="1" applyFont="1" applyFill="1" applyBorder="1" applyAlignment="1">
      <alignment vertical="center"/>
    </xf>
    <xf numFmtId="177" fontId="7" fillId="0" borderId="4" xfId="29" applyNumberFormat="1" applyFont="1" applyFill="1" applyBorder="1" applyAlignment="1">
      <alignment vertical="center"/>
    </xf>
    <xf numFmtId="164" fontId="49" fillId="0" borderId="4" xfId="72" applyFont="1" applyFill="1" applyBorder="1" applyAlignment="1">
      <alignment vertical="center"/>
    </xf>
    <xf numFmtId="0" fontId="8" fillId="20" borderId="4" xfId="14" applyFont="1" applyFill="1" applyBorder="1">
      <alignment vertical="center"/>
    </xf>
    <xf numFmtId="0" fontId="8" fillId="20" borderId="4" xfId="14" applyFont="1" applyFill="1" applyBorder="1" applyAlignment="1">
      <alignment vertical="center" wrapText="1"/>
    </xf>
    <xf numFmtId="0" fontId="52" fillId="0" borderId="4" xfId="71" applyFont="1" applyBorder="1" applyAlignment="1">
      <alignment horizontal="left" vertical="center"/>
    </xf>
    <xf numFmtId="0" fontId="59" fillId="0" borderId="0" xfId="0" applyFont="1" applyAlignment="1">
      <alignment horizontal="left"/>
    </xf>
    <xf numFmtId="0" fontId="52" fillId="0" borderId="4" xfId="71" applyFont="1" applyBorder="1" applyAlignment="1">
      <alignment horizontal="left" vertical="center" wrapText="1"/>
    </xf>
    <xf numFmtId="0" fontId="60" fillId="0" borderId="4" xfId="71" applyFont="1" applyBorder="1" applyAlignment="1">
      <alignment horizontal="left" vertical="center" wrapText="1"/>
    </xf>
    <xf numFmtId="0" fontId="53" fillId="0" borderId="4" xfId="71" applyFont="1" applyBorder="1" applyAlignment="1">
      <alignment horizontal="left" vertical="center" wrapText="1"/>
    </xf>
    <xf numFmtId="0" fontId="50" fillId="0" borderId="4" xfId="29" applyNumberFormat="1" applyFont="1" applyBorder="1"/>
    <xf numFmtId="0" fontId="51" fillId="0" borderId="4" xfId="0" applyFont="1" applyFill="1" applyBorder="1" applyAlignment="1">
      <alignment horizontal="center"/>
    </xf>
    <xf numFmtId="0" fontId="50" fillId="0" borderId="0" xfId="0" applyFont="1" applyFill="1"/>
    <xf numFmtId="0" fontId="50" fillId="0" borderId="4" xfId="0" applyFont="1" applyFill="1" applyBorder="1" applyAlignment="1">
      <alignment horizontal="center"/>
    </xf>
    <xf numFmtId="164" fontId="51" fillId="0" borderId="4" xfId="69" applyFont="1" applyFill="1" applyBorder="1"/>
    <xf numFmtId="0" fontId="50" fillId="0" borderId="0" xfId="0" applyFont="1" applyFill="1" applyAlignment="1">
      <alignment horizontal="left"/>
    </xf>
    <xf numFmtId="0" fontId="51" fillId="12" borderId="4" xfId="0" applyFont="1" applyFill="1" applyBorder="1" applyAlignment="1">
      <alignment horizontal="left"/>
    </xf>
    <xf numFmtId="0" fontId="51" fillId="12" borderId="4" xfId="0" applyFont="1" applyFill="1" applyBorder="1" applyAlignment="1">
      <alignment horizont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0" fontId="16" fillId="5" borderId="4" xfId="14" applyNumberFormat="1" applyFont="1" applyFill="1" applyBorder="1" applyAlignment="1">
      <alignment horizontal="center" vertical="center" wrapText="1"/>
    </xf>
    <xf numFmtId="10" fontId="16" fillId="0" borderId="4" xfId="40" applyNumberFormat="1" applyFont="1" applyFill="1" applyBorder="1" applyAlignment="1">
      <alignment horizontal="center"/>
    </xf>
    <xf numFmtId="0" fontId="8" fillId="4" borderId="4" xfId="10" applyFont="1" applyFill="1" applyBorder="1" applyAlignment="1">
      <alignment horizontal="center" vertical="center" wrapText="1"/>
    </xf>
    <xf numFmtId="10" fontId="9" fillId="0" borderId="4" xfId="70" applyNumberFormat="1" applyFont="1" applyFill="1" applyBorder="1" applyAlignment="1">
      <alignment horizontal="center" vertical="center"/>
    </xf>
    <xf numFmtId="4" fontId="7" fillId="0" borderId="4" xfId="14" applyNumberFormat="1" applyFont="1" applyFill="1" applyBorder="1">
      <alignment vertical="center"/>
    </xf>
    <xf numFmtId="0" fontId="7" fillId="0" borderId="4" xfId="69" applyNumberFormat="1" applyFont="1" applyBorder="1" applyAlignment="1">
      <alignment horizontal="left" vertical="top"/>
    </xf>
    <xf numFmtId="43" fontId="34" fillId="19" borderId="4" xfId="69" applyNumberFormat="1" applyFont="1" applyFill="1" applyBorder="1"/>
    <xf numFmtId="43" fontId="50" fillId="0" borderId="4" xfId="69" applyNumberFormat="1" applyFont="1" applyFill="1" applyBorder="1"/>
    <xf numFmtId="43" fontId="50" fillId="0" borderId="4" xfId="29" applyNumberFormat="1" applyFont="1" applyBorder="1" applyAlignment="1">
      <alignment vertical="center"/>
    </xf>
    <xf numFmtId="43" fontId="50" fillId="0" borderId="4" xfId="29" applyNumberFormat="1" applyFont="1" applyBorder="1"/>
    <xf numFmtId="43" fontId="12" fillId="0" borderId="4" xfId="69" applyNumberFormat="1" applyFont="1" applyFill="1" applyBorder="1" applyAlignment="1">
      <alignment horizontal="center" vertical="center" wrapText="1"/>
    </xf>
    <xf numFmtId="182" fontId="7" fillId="0" borderId="4" xfId="69" applyNumberFormat="1" applyFont="1" applyFill="1" applyBorder="1" applyAlignment="1">
      <alignment horizontal="left" vertical="top"/>
    </xf>
    <xf numFmtId="43" fontId="30" fillId="0" borderId="4" xfId="73" applyFont="1" applyBorder="1"/>
    <xf numFmtId="164" fontId="16" fillId="0" borderId="4" xfId="29" applyFont="1" applyFill="1" applyBorder="1" applyAlignment="1">
      <alignment horizontal="right" vertical="center" wrapText="1"/>
    </xf>
    <xf numFmtId="2" fontId="49" fillId="0" borderId="4" xfId="0" applyNumberFormat="1" applyFont="1" applyBorder="1" applyAlignment="1">
      <alignment horizontal="right" vertical="center"/>
    </xf>
    <xf numFmtId="169" fontId="16" fillId="0" borderId="4" xfId="29" quotePrefix="1" applyNumberFormat="1" applyFont="1" applyFill="1" applyBorder="1" applyAlignment="1">
      <alignment horizontal="right" vertical="center" wrapText="1"/>
    </xf>
    <xf numFmtId="43" fontId="16" fillId="0" borderId="4" xfId="29" quotePrefix="1" applyNumberFormat="1" applyFont="1" applyFill="1" applyBorder="1" applyAlignment="1">
      <alignment horizontal="right" vertical="center" wrapText="1"/>
    </xf>
    <xf numFmtId="43" fontId="16" fillId="0" borderId="4" xfId="29" applyNumberFormat="1" applyFont="1" applyFill="1" applyBorder="1" applyAlignment="1">
      <alignment horizontal="right" vertical="center" wrapText="1"/>
    </xf>
    <xf numFmtId="9" fontId="8" fillId="0" borderId="4" xfId="69" applyNumberFormat="1" applyFont="1" applyFill="1" applyBorder="1" applyAlignment="1">
      <alignment vertical="center"/>
    </xf>
    <xf numFmtId="0" fontId="0" fillId="0" borderId="5" xfId="0" applyBorder="1"/>
    <xf numFmtId="0" fontId="0" fillId="0" borderId="4" xfId="0" applyBorder="1"/>
    <xf numFmtId="164" fontId="7" fillId="0" borderId="8" xfId="69" applyFont="1" applyFill="1" applyBorder="1" applyAlignment="1">
      <alignment vertical="top" wrapText="1"/>
    </xf>
    <xf numFmtId="0" fontId="7" fillId="0" borderId="7" xfId="14" applyFont="1" applyFill="1" applyBorder="1" applyAlignment="1">
      <alignment vertical="top" wrapText="1"/>
    </xf>
    <xf numFmtId="164" fontId="7" fillId="0" borderId="4" xfId="69" applyFont="1" applyFill="1" applyBorder="1" applyAlignment="1">
      <alignment horizontal="center" vertical="center"/>
    </xf>
    <xf numFmtId="164" fontId="7" fillId="0" borderId="4" xfId="69" applyFont="1" applyFill="1" applyBorder="1" applyAlignment="1">
      <alignment horizontal="center" vertical="center"/>
    </xf>
    <xf numFmtId="0" fontId="7" fillId="0" borderId="4" xfId="10" applyFont="1" applyFill="1" applyBorder="1" applyAlignment="1">
      <alignment vertical="top" wrapText="1"/>
    </xf>
    <xf numFmtId="0" fontId="7" fillId="0" borderId="4" xfId="10" applyFont="1" applyFill="1" applyBorder="1" applyAlignment="1" applyProtection="1">
      <alignment vertical="top" wrapText="1"/>
    </xf>
    <xf numFmtId="0" fontId="7" fillId="0" borderId="4" xfId="10" applyFont="1" applyFill="1" applyBorder="1" applyAlignment="1" applyProtection="1">
      <alignment horizontal="left" vertical="top" wrapText="1"/>
    </xf>
    <xf numFmtId="0" fontId="7" fillId="0" borderId="4" xfId="10" applyFont="1" applyFill="1" applyBorder="1" applyAlignment="1">
      <alignment vertical="top"/>
    </xf>
    <xf numFmtId="0" fontId="8" fillId="0" borderId="4" xfId="10" applyFont="1" applyFill="1" applyBorder="1" applyAlignment="1">
      <alignment vertical="top"/>
    </xf>
    <xf numFmtId="43" fontId="50" fillId="0" borderId="4" xfId="29" applyNumberFormat="1" applyFont="1" applyFill="1" applyBorder="1"/>
    <xf numFmtId="164" fontId="51" fillId="0" borderId="4" xfId="69" applyNumberFormat="1" applyFont="1" applyFill="1" applyBorder="1"/>
    <xf numFmtId="2" fontId="7" fillId="0" borderId="0" xfId="14" applyNumberFormat="1" applyFont="1" applyFill="1">
      <alignment vertical="center"/>
    </xf>
    <xf numFmtId="10" fontId="7" fillId="0" borderId="4" xfId="70" applyNumberFormat="1" applyFont="1" applyFill="1" applyBorder="1" applyAlignment="1" applyProtection="1">
      <alignment horizontal="left"/>
    </xf>
    <xf numFmtId="0" fontId="49" fillId="0" borderId="4" xfId="0" applyFont="1" applyBorder="1" applyAlignment="1">
      <alignment vertical="center"/>
    </xf>
    <xf numFmtId="0" fontId="61" fillId="0" borderId="4" xfId="0" applyFont="1" applyBorder="1" applyAlignment="1">
      <alignment vertical="center"/>
    </xf>
    <xf numFmtId="2" fontId="7" fillId="0" borderId="4" xfId="14" applyNumberFormat="1" applyFont="1" applyFill="1" applyBorder="1" applyAlignment="1">
      <alignment horizontal="right" vertical="center"/>
    </xf>
    <xf numFmtId="10" fontId="16" fillId="5" borderId="4" xfId="40" applyNumberFormat="1" applyFont="1" applyFill="1" applyBorder="1" applyAlignment="1">
      <alignment horizontal="center" vertical="center" wrapText="1"/>
    </xf>
    <xf numFmtId="10" fontId="16" fillId="0" borderId="4" xfId="40" applyNumberFormat="1" applyFont="1" applyFill="1" applyBorder="1" applyAlignment="1">
      <alignment vertical="center"/>
    </xf>
    <xf numFmtId="10" fontId="16" fillId="0" borderId="4" xfId="40" applyNumberFormat="1" applyFont="1" applyFill="1" applyBorder="1" applyAlignment="1">
      <alignment horizontal="center" vertical="center" wrapText="1"/>
    </xf>
    <xf numFmtId="164" fontId="16" fillId="0" borderId="4" xfId="29" applyFont="1" applyFill="1" applyBorder="1" applyAlignment="1">
      <alignment horizontal="center" vertical="center" wrapText="1"/>
    </xf>
    <xf numFmtId="10" fontId="48" fillId="5" borderId="4" xfId="40" applyNumberFormat="1" applyFont="1" applyFill="1" applyBorder="1" applyAlignment="1">
      <alignment horizontal="center" vertical="center" wrapText="1"/>
    </xf>
    <xf numFmtId="10" fontId="48" fillId="0" borderId="4" xfId="40" applyNumberFormat="1" applyFont="1" applyFill="1" applyBorder="1" applyAlignment="1">
      <alignment horizontal="center" vertical="center" wrapText="1"/>
    </xf>
    <xf numFmtId="164" fontId="12" fillId="0" borderId="4" xfId="29" applyFont="1" applyFill="1" applyBorder="1" applyAlignment="1">
      <alignment horizontal="center" vertical="center" wrapText="1"/>
    </xf>
    <xf numFmtId="10" fontId="16" fillId="0" borderId="4" xfId="40" applyNumberFormat="1" applyFont="1" applyFill="1" applyBorder="1" applyAlignment="1">
      <alignment horizontal="right" vertical="center" wrapText="1"/>
    </xf>
    <xf numFmtId="10" fontId="16" fillId="10" borderId="4" xfId="40" applyNumberFormat="1" applyFont="1" applyFill="1" applyBorder="1" applyAlignment="1">
      <alignment horizontal="right" vertical="center" wrapText="1"/>
    </xf>
    <xf numFmtId="9" fontId="8" fillId="0" borderId="4" xfId="29" applyNumberFormat="1" applyFont="1" applyFill="1" applyBorder="1" applyAlignment="1">
      <alignment vertical="center"/>
    </xf>
    <xf numFmtId="164" fontId="7" fillId="0" borderId="4" xfId="29" applyFont="1" applyFill="1" applyBorder="1"/>
    <xf numFmtId="164" fontId="7" fillId="0" borderId="4" xfId="29" applyFont="1" applyFill="1" applyBorder="1" applyAlignment="1" applyProtection="1">
      <alignment horizontal="left" vertical="center"/>
    </xf>
    <xf numFmtId="164" fontId="7" fillId="0" borderId="4" xfId="29" applyFont="1" applyBorder="1" applyAlignment="1">
      <alignment vertical="center"/>
    </xf>
    <xf numFmtId="164" fontId="25" fillId="0" borderId="4" xfId="29" applyFont="1" applyFill="1" applyBorder="1" applyAlignment="1">
      <alignment vertical="center"/>
    </xf>
    <xf numFmtId="10" fontId="34" fillId="0" borderId="4" xfId="40" applyNumberFormat="1" applyFont="1" applyFill="1" applyBorder="1"/>
    <xf numFmtId="10" fontId="34" fillId="0" borderId="4" xfId="29" applyNumberFormat="1" applyFont="1" applyFill="1" applyBorder="1"/>
    <xf numFmtId="164" fontId="7" fillId="5" borderId="4" xfId="29" applyFont="1" applyFill="1" applyBorder="1" applyAlignment="1" applyProtection="1">
      <alignment horizontal="left"/>
    </xf>
    <xf numFmtId="9" fontId="7" fillId="0" borderId="4" xfId="40" applyFont="1" applyBorder="1" applyAlignment="1">
      <alignment vertical="center"/>
    </xf>
    <xf numFmtId="164" fontId="8" fillId="0" borderId="4" xfId="29" applyFont="1" applyFill="1" applyBorder="1" applyAlignment="1">
      <alignment vertical="top" wrapText="1"/>
    </xf>
    <xf numFmtId="164" fontId="8" fillId="0" borderId="4" xfId="29" applyFont="1" applyBorder="1" applyAlignment="1">
      <alignment vertic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164" fontId="7" fillId="0" borderId="4" xfId="69" applyFont="1" applyFill="1" applyBorder="1" applyAlignment="1">
      <alignment horizontal="center" vertical="center"/>
    </xf>
    <xf numFmtId="169" fontId="7" fillId="0" borderId="4" xfId="29" applyNumberFormat="1" applyFont="1" applyBorder="1" applyAlignment="1">
      <alignment vertical="top" wrapText="1"/>
    </xf>
    <xf numFmtId="164" fontId="7" fillId="0" borderId="4" xfId="29" applyFont="1" applyBorder="1" applyAlignment="1">
      <alignment vertical="top" wrapText="1"/>
    </xf>
    <xf numFmtId="164" fontId="8" fillId="0" borderId="4" xfId="29" applyFont="1" applyBorder="1" applyAlignment="1">
      <alignment vertical="top" wrapText="1"/>
    </xf>
    <xf numFmtId="169" fontId="8" fillId="4" borderId="4" xfId="29" applyNumberFormat="1" applyFont="1" applyFill="1" applyBorder="1"/>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4" borderId="4" xfId="10" applyFont="1" applyFill="1" applyBorder="1" applyAlignment="1">
      <alignment horizontal="center"/>
    </xf>
    <xf numFmtId="0" fontId="8" fillId="4" borderId="4" xfId="10" applyFont="1" applyFill="1" applyBorder="1" applyAlignment="1">
      <alignment horizontal="center" vertical="top" wrapText="1"/>
    </xf>
    <xf numFmtId="0" fontId="16" fillId="0" borderId="4" xfId="14" applyFont="1" applyBorder="1" applyAlignment="1">
      <alignment horizontal="left" vertical="center"/>
    </xf>
    <xf numFmtId="0" fontId="16" fillId="0" borderId="4" xfId="14" applyFont="1" applyBorder="1" applyAlignment="1">
      <alignment vertical="center" wrapText="1"/>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7" fillId="6" borderId="0" xfId="10" applyFont="1" applyFill="1"/>
    <xf numFmtId="43" fontId="8" fillId="0" borderId="4" xfId="10" applyNumberFormat="1" applyFont="1" applyBorder="1" applyAlignment="1">
      <alignment horizontal="left" vertical="top"/>
    </xf>
    <xf numFmtId="0" fontId="7" fillId="0" borderId="4" xfId="10" applyFont="1" applyBorder="1" applyAlignment="1">
      <alignment horizontal="left" vertical="top"/>
    </xf>
    <xf numFmtId="0" fontId="7" fillId="6" borderId="4" xfId="10" applyFont="1" applyFill="1" applyBorder="1" applyAlignment="1">
      <alignment horizontal="left" vertical="top" wrapText="1"/>
    </xf>
    <xf numFmtId="43" fontId="7" fillId="0" borderId="4" xfId="10" applyNumberFormat="1" applyFont="1" applyBorder="1" applyAlignment="1">
      <alignment horizontal="left" vertical="top"/>
    </xf>
    <xf numFmtId="0" fontId="30" fillId="0" borderId="4" xfId="71" applyFont="1" applyFill="1" applyBorder="1"/>
    <xf numFmtId="0" fontId="7" fillId="6" borderId="4" xfId="10" applyFont="1" applyFill="1" applyBorder="1" applyAlignment="1">
      <alignment horizontal="left" vertical="top"/>
    </xf>
    <xf numFmtId="0" fontId="30" fillId="0" borderId="4" xfId="71" applyFont="1" applyBorder="1"/>
    <xf numFmtId="0" fontId="26" fillId="0" borderId="0" xfId="10" applyFont="1"/>
    <xf numFmtId="0" fontId="7" fillId="0" borderId="0" xfId="71" applyFont="1"/>
    <xf numFmtId="0" fontId="24" fillId="14" borderId="0" xfId="10" applyFont="1" applyFill="1" applyAlignment="1">
      <alignment horizontal="left"/>
    </xf>
    <xf numFmtId="0" fontId="8" fillId="14" borderId="0" xfId="10" applyFont="1" applyFill="1" applyAlignment="1">
      <alignment horizontal="left" vertical="top"/>
    </xf>
    <xf numFmtId="164" fontId="8" fillId="0" borderId="4" xfId="29" applyFont="1" applyBorder="1" applyAlignment="1">
      <alignment horizontal="left" vertical="top"/>
    </xf>
    <xf numFmtId="164" fontId="7" fillId="6" borderId="4" xfId="29" applyFont="1" applyFill="1" applyBorder="1" applyAlignment="1">
      <alignment horizontal="left" vertical="top"/>
    </xf>
    <xf numFmtId="164" fontId="7" fillId="0" borderId="4" xfId="10" applyNumberFormat="1" applyFont="1" applyBorder="1"/>
    <xf numFmtId="164" fontId="7" fillId="0" borderId="4" xfId="10" applyNumberFormat="1" applyFont="1" applyBorder="1" applyAlignment="1">
      <alignment horizontal="left" vertical="top"/>
    </xf>
    <xf numFmtId="164" fontId="7" fillId="6" borderId="4" xfId="29" applyFont="1" applyFill="1" applyBorder="1" applyAlignment="1">
      <alignment horizontal="left" vertical="top" wrapText="1"/>
    </xf>
    <xf numFmtId="0" fontId="7" fillId="14" borderId="0" xfId="10" applyFont="1" applyFill="1"/>
    <xf numFmtId="164" fontId="7" fillId="0" borderId="4" xfId="29" applyFont="1" applyBorder="1"/>
    <xf numFmtId="164" fontId="8" fillId="0" borderId="4" xfId="10" applyNumberFormat="1" applyFont="1" applyBorder="1" applyAlignment="1">
      <alignment horizontal="left" vertical="top"/>
    </xf>
    <xf numFmtId="164" fontId="7" fillId="0" borderId="4" xfId="29" applyFont="1" applyFill="1" applyBorder="1" applyAlignment="1">
      <alignment horizontal="left" vertical="top"/>
    </xf>
    <xf numFmtId="0" fontId="7" fillId="6" borderId="4" xfId="10" applyFont="1" applyFill="1" applyBorder="1" applyAlignment="1">
      <alignment vertical="top"/>
    </xf>
    <xf numFmtId="0" fontId="7" fillId="0" borderId="4" xfId="10" applyFont="1" applyBorder="1" applyAlignment="1">
      <alignment horizontal="left" vertical="top" wrapText="1"/>
    </xf>
    <xf numFmtId="0" fontId="8" fillId="4" borderId="4" xfId="68" applyFont="1" applyFill="1" applyBorder="1" applyAlignment="1">
      <alignment vertical="center" wrapText="1"/>
    </xf>
    <xf numFmtId="0" fontId="8" fillId="6" borderId="4" xfId="10" applyFont="1" applyFill="1" applyBorder="1" applyAlignment="1">
      <alignment horizontal="left" vertical="top"/>
    </xf>
    <xf numFmtId="43" fontId="7" fillId="0" borderId="4" xfId="10" applyNumberFormat="1" applyFont="1" applyBorder="1"/>
    <xf numFmtId="0" fontId="26" fillId="0" borderId="4" xfId="10" applyFont="1" applyBorder="1"/>
    <xf numFmtId="0" fontId="7" fillId="0" borderId="0" xfId="10" applyFont="1" applyAlignment="1">
      <alignment horizontal="centerContinuous"/>
    </xf>
    <xf numFmtId="0" fontId="8" fillId="0" borderId="0" xfId="10" applyFont="1" applyAlignment="1">
      <alignment vertical="center"/>
    </xf>
    <xf numFmtId="0" fontId="8" fillId="0" borderId="0" xfId="10" applyFont="1" applyAlignment="1">
      <alignment horizontal="center" vertical="center"/>
    </xf>
    <xf numFmtId="0" fontId="8" fillId="0" borderId="0" xfId="10" applyFont="1" applyAlignment="1">
      <alignment vertical="center" wrapText="1"/>
    </xf>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76"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76"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76" applyFont="1" applyBorder="1" applyAlignment="1">
      <alignment horizontal="justify" vertical="center" wrapText="1"/>
    </xf>
    <xf numFmtId="0" fontId="8" fillId="0" borderId="4" xfId="35" applyFont="1" applyBorder="1" applyAlignment="1">
      <alignment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164"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20" xfId="71" applyFont="1" applyBorder="1" applyAlignment="1">
      <alignment horizontal="center" vertical="center"/>
    </xf>
    <xf numFmtId="0" fontId="8" fillId="0" borderId="0" xfId="34" applyFont="1" applyAlignment="1">
      <alignment wrapText="1"/>
    </xf>
    <xf numFmtId="0" fontId="7" fillId="0" borderId="23"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3" fontId="7" fillId="0" borderId="0" xfId="34" applyNumberFormat="1" applyFont="1" applyAlignment="1">
      <alignment horizontal="center" wrapText="1"/>
    </xf>
    <xf numFmtId="2" fontId="7" fillId="0" borderId="0" xfId="34" applyNumberFormat="1" applyFont="1" applyAlignment="1">
      <alignment horizontal="center" wrapText="1"/>
    </xf>
    <xf numFmtId="183" fontId="7" fillId="0" borderId="0" xfId="34" applyNumberFormat="1" applyFont="1" applyAlignment="1">
      <alignment wrapText="1"/>
    </xf>
    <xf numFmtId="184" fontId="8" fillId="0" borderId="0" xfId="76" applyNumberFormat="1" applyFont="1" applyAlignment="1">
      <alignment horizontal="center" wrapText="1"/>
    </xf>
    <xf numFmtId="184"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5" fontId="7" fillId="0" borderId="0" xfId="40" applyNumberFormat="1" applyFont="1" applyBorder="1"/>
    <xf numFmtId="183" fontId="7" fillId="0" borderId="0" xfId="10" applyNumberFormat="1" applyFont="1"/>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164" fontId="8" fillId="0" borderId="0" xfId="10" applyNumberFormat="1" applyFont="1" applyAlignment="1">
      <alignment horizontal="center"/>
    </xf>
    <xf numFmtId="9" fontId="8" fillId="0" borderId="0" xfId="40" quotePrefix="1" applyFont="1" applyFill="1" applyBorder="1" applyAlignment="1">
      <alignment horizontal="right"/>
    </xf>
    <xf numFmtId="164" fontId="8" fillId="0" borderId="0" xfId="77" applyFont="1" applyFill="1" applyBorder="1" applyAlignment="1">
      <alignment horizontal="center"/>
    </xf>
    <xf numFmtId="164" fontId="8" fillId="0" borderId="0" xfId="77" quotePrefix="1" applyFont="1" applyFill="1" applyBorder="1" applyAlignment="1">
      <alignment horizontal="right"/>
    </xf>
    <xf numFmtId="2" fontId="8" fillId="0" borderId="0" xfId="10" applyNumberFormat="1" applyFont="1" applyAlignment="1">
      <alignment horizontal="center"/>
    </xf>
    <xf numFmtId="164" fontId="7" fillId="0" borderId="0" xfId="77" applyFont="1" applyFill="1" applyBorder="1"/>
    <xf numFmtId="174" fontId="7" fillId="0" borderId="0" xfId="10" applyNumberFormat="1" applyFont="1"/>
    <xf numFmtId="0" fontId="8" fillId="0" borderId="4" xfId="10" quotePrefix="1" applyFont="1" applyBorder="1" applyAlignment="1">
      <alignment horizontal="center"/>
    </xf>
    <xf numFmtId="0" fontId="7" fillId="0" borderId="4" xfId="10" applyFont="1" applyBorder="1" applyAlignment="1">
      <alignment wrapText="1"/>
    </xf>
    <xf numFmtId="0" fontId="7" fillId="0" borderId="0" xfId="10" applyFont="1" applyAlignment="1">
      <alignment horizontal="left" wrapText="1"/>
    </xf>
    <xf numFmtId="0" fontId="8" fillId="0" borderId="0" xfId="35" applyFont="1" applyAlignment="1">
      <alignment vertical="top"/>
    </xf>
    <xf numFmtId="0" fontId="8" fillId="0" borderId="0" xfId="35" applyFont="1" applyAlignment="1">
      <alignment horizontal="center" vertical="top"/>
    </xf>
    <xf numFmtId="0" fontId="8" fillId="4" borderId="4" xfId="35" applyFont="1" applyFill="1" applyBorder="1" applyAlignment="1">
      <alignment horizontal="center" vertical="top" wrapText="1"/>
    </xf>
    <xf numFmtId="0" fontId="7" fillId="0" borderId="4" xfId="35" applyFont="1" applyBorder="1"/>
    <xf numFmtId="0" fontId="8" fillId="0" borderId="4" xfId="35" applyFont="1" applyBorder="1" applyAlignment="1">
      <alignment horizontal="center" vertical="top" wrapText="1"/>
    </xf>
    <xf numFmtId="0" fontId="8" fillId="0" borderId="4" xfId="35" applyFont="1" applyBorder="1" applyAlignment="1">
      <alignment horizontal="left" vertical="top"/>
    </xf>
    <xf numFmtId="0" fontId="8" fillId="0" borderId="27" xfId="35" applyFont="1" applyBorder="1" applyAlignment="1">
      <alignment horizontal="center" vertical="top" wrapText="1"/>
    </xf>
    <xf numFmtId="0" fontId="8" fillId="0" borderId="7" xfId="35" applyFont="1" applyBorder="1" applyAlignment="1">
      <alignment horizontal="left" vertical="top"/>
    </xf>
    <xf numFmtId="0" fontId="8" fillId="0" borderId="23" xfId="35" applyFont="1" applyBorder="1" applyAlignment="1">
      <alignment horizontal="center" vertical="top" wrapText="1"/>
    </xf>
    <xf numFmtId="2" fontId="8" fillId="0" borderId="28" xfId="10" quotePrefix="1" applyNumberFormat="1" applyFont="1" applyBorder="1" applyAlignment="1">
      <alignment horizontal="center" vertical="center" wrapText="1"/>
    </xf>
    <xf numFmtId="164" fontId="7" fillId="0" borderId="0" xfId="25" applyFont="1" applyBorder="1"/>
    <xf numFmtId="0" fontId="8" fillId="0" borderId="0" xfId="71" applyFont="1" applyAlignment="1">
      <alignment horizontal="right"/>
    </xf>
    <xf numFmtId="0" fontId="7" fillId="0" borderId="0" xfId="71" applyFont="1" applyAlignment="1">
      <alignment horizontal="center"/>
    </xf>
    <xf numFmtId="0" fontId="7" fillId="0" borderId="4" xfId="71" applyFont="1" applyBorder="1"/>
    <xf numFmtId="0" fontId="7" fillId="0" borderId="4" xfId="71" applyFont="1" applyBorder="1" applyAlignment="1">
      <alignment horizontal="left" vertical="top" wrapText="1"/>
    </xf>
    <xf numFmtId="0" fontId="7" fillId="0" borderId="4" xfId="71" applyFont="1" applyBorder="1" applyAlignment="1">
      <alignment horizontal="left"/>
    </xf>
    <xf numFmtId="0" fontId="8" fillId="0" borderId="4" xfId="71" applyFont="1" applyBorder="1"/>
    <xf numFmtId="0" fontId="8" fillId="0" borderId="4" xfId="71" applyFont="1" applyBorder="1" applyAlignment="1">
      <alignment horizontal="left" vertical="top" wrapText="1"/>
    </xf>
    <xf numFmtId="164" fontId="7" fillId="0" borderId="0" xfId="71" applyNumberFormat="1" applyFont="1"/>
    <xf numFmtId="0" fontId="7" fillId="6" borderId="11" xfId="71" applyFont="1" applyFill="1" applyBorder="1"/>
    <xf numFmtId="0" fontId="7" fillId="6" borderId="0" xfId="71" applyFont="1" applyFill="1"/>
    <xf numFmtId="0" fontId="8" fillId="6" borderId="0" xfId="78" applyFont="1" applyFill="1">
      <alignment vertical="center"/>
    </xf>
    <xf numFmtId="0" fontId="7" fillId="6" borderId="0" xfId="71" applyFont="1" applyFill="1" applyAlignment="1">
      <alignment vertical="center"/>
    </xf>
    <xf numFmtId="0" fontId="8" fillId="6" borderId="0" xfId="71" applyFont="1" applyFill="1" applyAlignment="1">
      <alignment vertical="center"/>
    </xf>
    <xf numFmtId="0" fontId="7" fillId="6" borderId="0" xfId="71" applyFont="1" applyFill="1" applyAlignment="1">
      <alignment horizontal="center" vertical="center"/>
    </xf>
    <xf numFmtId="0" fontId="8" fillId="6" borderId="0" xfId="10" applyFont="1" applyFill="1" applyAlignment="1">
      <alignment horizontal="center" vertical="center"/>
    </xf>
    <xf numFmtId="0" fontId="8" fillId="6" borderId="0" xfId="35" applyFont="1" applyFill="1" applyAlignment="1">
      <alignment horizontal="center" vertical="top"/>
    </xf>
    <xf numFmtId="0" fontId="8" fillId="6" borderId="0" xfId="78" applyFont="1" applyFill="1" applyAlignment="1">
      <alignment horizontal="center" vertical="center"/>
    </xf>
    <xf numFmtId="0" fontId="8" fillId="7" borderId="4" xfId="71" applyFont="1" applyFill="1" applyBorder="1"/>
    <xf numFmtId="0" fontId="7" fillId="7" borderId="4" xfId="71" applyFont="1" applyFill="1" applyBorder="1"/>
    <xf numFmtId="0" fontId="8" fillId="7" borderId="4" xfId="71" applyFont="1" applyFill="1" applyBorder="1" applyAlignment="1">
      <alignment vertical="top" wrapText="1"/>
    </xf>
    <xf numFmtId="0" fontId="8" fillId="7" borderId="4" xfId="71" applyFont="1" applyFill="1" applyBorder="1" applyAlignment="1">
      <alignment horizontal="center" vertical="top" wrapText="1"/>
    </xf>
    <xf numFmtId="0" fontId="7" fillId="6" borderId="4" xfId="71" applyFont="1" applyFill="1" applyBorder="1"/>
    <xf numFmtId="0" fontId="7" fillId="6" borderId="4" xfId="71" applyFont="1" applyFill="1" applyBorder="1" applyAlignment="1">
      <alignment horizontal="right"/>
    </xf>
    <xf numFmtId="0" fontId="8" fillId="6" borderId="4" xfId="71" applyFont="1" applyFill="1" applyBorder="1"/>
    <xf numFmtId="2" fontId="7" fillId="6" borderId="4" xfId="71" applyNumberFormat="1" applyFont="1" applyFill="1" applyBorder="1"/>
    <xf numFmtId="164" fontId="7" fillId="6" borderId="4" xfId="77" applyFont="1" applyFill="1" applyBorder="1"/>
    <xf numFmtId="2" fontId="7" fillId="0" borderId="4" xfId="10" applyNumberFormat="1" applyFont="1" applyBorder="1"/>
    <xf numFmtId="164" fontId="7" fillId="0" borderId="4" xfId="77" applyFont="1" applyFill="1" applyBorder="1"/>
    <xf numFmtId="2" fontId="7" fillId="6" borderId="0" xfId="71" applyNumberFormat="1" applyFont="1" applyFill="1"/>
    <xf numFmtId="2" fontId="8" fillId="6" borderId="4" xfId="71" applyNumberFormat="1" applyFont="1" applyFill="1" applyBorder="1"/>
    <xf numFmtId="164" fontId="8" fillId="6" borderId="4" xfId="77" applyFont="1" applyFill="1" applyBorder="1"/>
    <xf numFmtId="0" fontId="8" fillId="6" borderId="0" xfId="71" applyFont="1" applyFill="1"/>
    <xf numFmtId="164" fontId="7" fillId="0" borderId="4" xfId="77" applyFont="1" applyBorder="1"/>
    <xf numFmtId="0" fontId="7" fillId="6" borderId="4" xfId="71" applyFont="1" applyFill="1" applyBorder="1" applyAlignment="1">
      <alignment vertical="center" wrapText="1"/>
    </xf>
    <xf numFmtId="164" fontId="7" fillId="6" borderId="4" xfId="77" applyFont="1" applyFill="1" applyBorder="1" applyAlignment="1">
      <alignment horizontal="right"/>
    </xf>
    <xf numFmtId="0" fontId="8" fillId="6" borderId="4" xfId="10" applyFont="1" applyFill="1" applyBorder="1"/>
    <xf numFmtId="0" fontId="36" fillId="0" borderId="0" xfId="79" applyFont="1"/>
    <xf numFmtId="0" fontId="38" fillId="11" borderId="0" xfId="79" applyFont="1" applyFill="1" applyAlignment="1">
      <alignment horizontal="left"/>
    </xf>
    <xf numFmtId="0" fontId="38" fillId="0" borderId="0" xfId="79" applyFont="1"/>
    <xf numFmtId="0" fontId="38" fillId="12" borderId="4" xfId="79" applyFont="1" applyFill="1" applyBorder="1" applyAlignment="1">
      <alignment vertical="center"/>
    </xf>
    <xf numFmtId="0" fontId="38" fillId="12" borderId="4" xfId="79" applyFont="1" applyFill="1" applyBorder="1" applyAlignment="1">
      <alignment horizontal="center" vertical="center" wrapText="1"/>
    </xf>
    <xf numFmtId="0" fontId="38" fillId="12" borderId="4" xfId="79" applyFont="1" applyFill="1" applyBorder="1" applyAlignment="1">
      <alignment horizontal="center" vertical="center"/>
    </xf>
    <xf numFmtId="0" fontId="36" fillId="0" borderId="4" xfId="79" applyFont="1" applyBorder="1"/>
    <xf numFmtId="0" fontId="36" fillId="0" borderId="4" xfId="79" applyFont="1" applyBorder="1" applyAlignment="1">
      <alignment horizontal="left"/>
    </xf>
    <xf numFmtId="169" fontId="36" fillId="0" borderId="4" xfId="80" applyNumberFormat="1" applyFont="1" applyBorder="1"/>
    <xf numFmtId="170" fontId="36" fillId="0" borderId="4" xfId="64" applyNumberFormat="1" applyFont="1" applyBorder="1" applyAlignment="1">
      <alignment vertical="center" wrapText="1"/>
    </xf>
    <xf numFmtId="0" fontId="38" fillId="10" borderId="4" xfId="79" applyFont="1" applyFill="1" applyBorder="1"/>
    <xf numFmtId="0" fontId="38" fillId="10" borderId="4" xfId="79" applyFont="1" applyFill="1" applyBorder="1" applyAlignment="1">
      <alignment horizontal="left"/>
    </xf>
    <xf numFmtId="170" fontId="36" fillId="0" borderId="0" xfId="79" applyNumberFormat="1" applyFont="1"/>
    <xf numFmtId="0" fontId="36" fillId="0" borderId="0" xfId="79" applyFont="1" applyAlignment="1">
      <alignment vertical="center" wrapText="1"/>
    </xf>
    <xf numFmtId="0" fontId="38" fillId="0" borderId="0" xfId="79" applyFont="1" applyAlignment="1">
      <alignment vertical="center"/>
    </xf>
    <xf numFmtId="0" fontId="38" fillId="12" borderId="4" xfId="79" applyFont="1" applyFill="1" applyBorder="1" applyAlignment="1">
      <alignment vertical="center" wrapText="1"/>
    </xf>
    <xf numFmtId="0" fontId="38" fillId="12" borderId="4" xfId="79" applyFont="1" applyFill="1" applyBorder="1" applyAlignment="1">
      <alignment horizontal="left" vertical="center"/>
    </xf>
    <xf numFmtId="10" fontId="36" fillId="0" borderId="4" xfId="79" applyNumberFormat="1" applyFont="1" applyBorder="1"/>
    <xf numFmtId="164" fontId="36" fillId="0" borderId="4" xfId="81" applyNumberFormat="1" applyFont="1" applyBorder="1" applyAlignment="1">
      <alignment vertical="center"/>
    </xf>
    <xf numFmtId="171" fontId="36" fillId="0" borderId="4" xfId="82" applyNumberFormat="1" applyFont="1" applyBorder="1"/>
    <xf numFmtId="10" fontId="36" fillId="6" borderId="4" xfId="79" applyNumberFormat="1" applyFont="1" applyFill="1" applyBorder="1"/>
    <xf numFmtId="0" fontId="36" fillId="0" borderId="0" xfId="79" applyFont="1" applyAlignment="1">
      <alignment horizontal="left"/>
    </xf>
    <xf numFmtId="164" fontId="36" fillId="0" borderId="0" xfId="80" applyNumberFormat="1" applyFont="1"/>
    <xf numFmtId="0" fontId="36" fillId="0" borderId="0" xfId="79" applyFont="1" applyAlignment="1">
      <alignment vertical="center"/>
    </xf>
    <xf numFmtId="164" fontId="36" fillId="0" borderId="4" xfId="80" applyNumberFormat="1" applyFont="1" applyBorder="1"/>
    <xf numFmtId="170" fontId="36" fillId="0" borderId="4" xfId="79" applyNumberFormat="1" applyFont="1" applyBorder="1"/>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0" borderId="0" xfId="10" applyFont="1" applyAlignment="1">
      <alignment horizontal="left"/>
    </xf>
    <xf numFmtId="0" fontId="8" fillId="4" borderId="4" xfId="14" applyFont="1" applyFill="1" applyBorder="1" applyAlignment="1">
      <alignment horizontal="center" vertical="center" wrapText="1"/>
    </xf>
    <xf numFmtId="0" fontId="8" fillId="4" borderId="4" xfId="14" quotePrefix="1" applyFont="1" applyFill="1" applyBorder="1" applyAlignment="1">
      <alignment horizontal="center" vertical="center" wrapText="1"/>
    </xf>
    <xf numFmtId="0" fontId="8"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7" fillId="5" borderId="7" xfId="10" applyFont="1" applyFill="1" applyBorder="1" applyAlignment="1">
      <alignment horizontal="center" vertical="top"/>
    </xf>
    <xf numFmtId="0" fontId="7" fillId="5" borderId="7" xfId="10" applyFont="1" applyFill="1" applyBorder="1" applyAlignment="1">
      <alignment horizontal="right" vertical="top"/>
    </xf>
    <xf numFmtId="2" fontId="8" fillId="5" borderId="4" xfId="14" applyNumberFormat="1" applyFont="1" applyFill="1" applyBorder="1" applyAlignment="1">
      <alignment horizontal="center" vertical="center" wrapText="1"/>
    </xf>
    <xf numFmtId="0" fontId="8" fillId="0" borderId="8" xfId="10" applyFont="1" applyBorder="1" applyAlignment="1">
      <alignment horizontal="right"/>
    </xf>
    <xf numFmtId="0" fontId="7" fillId="0" borderId="8" xfId="10" applyFont="1" applyBorder="1" applyAlignment="1">
      <alignment horizontal="left"/>
    </xf>
    <xf numFmtId="0" fontId="7" fillId="5" borderId="6" xfId="10" applyFont="1" applyFill="1" applyBorder="1" applyAlignment="1">
      <alignment horizontal="center" vertical="top"/>
    </xf>
    <xf numFmtId="0" fontId="8" fillId="5" borderId="4" xfId="10" applyFont="1" applyFill="1" applyBorder="1" applyAlignment="1">
      <alignment vertical="top" wrapText="1"/>
    </xf>
    <xf numFmtId="0" fontId="7" fillId="5" borderId="4" xfId="10" applyFont="1" applyFill="1" applyBorder="1" applyAlignment="1">
      <alignment vertical="top" wrapText="1"/>
    </xf>
    <xf numFmtId="0" fontId="8" fillId="5" borderId="0" xfId="10" applyFont="1" applyFill="1"/>
    <xf numFmtId="0" fontId="7" fillId="5" borderId="0" xfId="10" applyFont="1" applyFill="1"/>
    <xf numFmtId="0" fontId="25" fillId="0" borderId="0" xfId="10" applyFont="1" applyAlignment="1">
      <alignment vertical="top" wrapText="1"/>
    </xf>
    <xf numFmtId="0" fontId="7" fillId="5" borderId="0" xfId="10" applyFont="1" applyFill="1" applyAlignment="1">
      <alignment vertical="center" wrapText="1"/>
    </xf>
    <xf numFmtId="0" fontId="7" fillId="0" borderId="0" xfId="10" applyFont="1" applyAlignment="1">
      <alignment horizontal="center" vertical="top"/>
    </xf>
    <xf numFmtId="0" fontId="11" fillId="5" borderId="4" xfId="14" applyFont="1" applyFill="1" applyBorder="1" applyAlignment="1">
      <alignment horizontal="center" vertical="center" wrapText="1"/>
    </xf>
    <xf numFmtId="0" fontId="7" fillId="0" borderId="4" xfId="0" applyFont="1" applyBorder="1" applyAlignment="1">
      <alignment horizontal="center"/>
    </xf>
    <xf numFmtId="0" fontId="7" fillId="0" borderId="4" xfId="0" applyFont="1" applyBorder="1"/>
    <xf numFmtId="0" fontId="7" fillId="0" borderId="4" xfId="0" applyFont="1" applyFill="1" applyBorder="1" applyAlignment="1">
      <alignment horizontal="center"/>
    </xf>
    <xf numFmtId="0" fontId="8" fillId="0" borderId="4" xfId="0" applyFont="1" applyBorder="1" applyAlignment="1">
      <alignment horizontal="center"/>
    </xf>
    <xf numFmtId="0" fontId="8" fillId="0" borderId="4" xfId="0" applyFont="1" applyFill="1" applyBorder="1"/>
    <xf numFmtId="0" fontId="8" fillId="0" borderId="4" xfId="0" applyFont="1" applyBorder="1"/>
    <xf numFmtId="0" fontId="47" fillId="0" borderId="0" xfId="0" applyFont="1"/>
    <xf numFmtId="0" fontId="0" fillId="0" borderId="0" xfId="0" applyAlignment="1">
      <alignment vertical="center" wrapText="1"/>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6" xfId="14"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7" fillId="0" borderId="4" xfId="29" applyNumberFormat="1" applyFont="1" applyBorder="1" applyAlignment="1">
      <alignment horizontal="left" vertical="top"/>
    </xf>
    <xf numFmtId="164" fontId="8" fillId="0" borderId="0" xfId="29" applyFont="1" applyAlignment="1">
      <alignment horizontal="left" vertical="top"/>
    </xf>
    <xf numFmtId="164" fontId="8" fillId="14" borderId="0" xfId="29" applyFont="1" applyFill="1" applyAlignment="1">
      <alignment horizontal="center" vertical="top"/>
    </xf>
    <xf numFmtId="164" fontId="24" fillId="0" borderId="0" xfId="29" applyFont="1" applyAlignment="1">
      <alignment horizontal="left"/>
    </xf>
    <xf numFmtId="10" fontId="8" fillId="0" borderId="4" xfId="29" applyNumberFormat="1" applyFont="1" applyFill="1" applyBorder="1" applyAlignment="1">
      <alignment vertical="center"/>
    </xf>
    <xf numFmtId="4" fontId="8" fillId="0" borderId="4" xfId="29" applyNumberFormat="1" applyFont="1" applyFill="1" applyBorder="1" applyAlignment="1">
      <alignment vertical="center"/>
    </xf>
    <xf numFmtId="177" fontId="7" fillId="0" borderId="4"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10" fontId="48" fillId="0" borderId="4" xfId="40" applyNumberFormat="1" applyFont="1" applyFill="1" applyBorder="1" applyAlignment="1">
      <alignment wrapText="1"/>
    </xf>
    <xf numFmtId="10" fontId="16" fillId="0" borderId="4" xfId="40" applyNumberFormat="1" applyFont="1" applyFill="1" applyBorder="1" applyAlignment="1">
      <alignment wrapText="1"/>
    </xf>
    <xf numFmtId="180" fontId="7" fillId="0" borderId="4" xfId="40" applyNumberFormat="1" applyFont="1" applyFill="1" applyBorder="1" applyAlignment="1">
      <alignment wrapText="1"/>
    </xf>
    <xf numFmtId="164" fontId="7" fillId="0" borderId="4" xfId="29" applyFont="1" applyFill="1" applyBorder="1" applyAlignment="1">
      <alignment horizontal="right" vertical="center" wrapText="1"/>
    </xf>
    <xf numFmtId="10" fontId="7" fillId="10" borderId="4" xfId="40" applyNumberFormat="1" applyFont="1" applyFill="1" applyBorder="1" applyAlignment="1">
      <alignment horizontal="right" vertical="center" wrapText="1"/>
    </xf>
    <xf numFmtId="10" fontId="7" fillId="0" borderId="4" xfId="40" applyNumberFormat="1" applyFont="1" applyFill="1" applyBorder="1" applyAlignment="1">
      <alignment horizontal="right" vertical="center" wrapText="1"/>
    </xf>
    <xf numFmtId="164" fontId="7" fillId="0" borderId="4" xfId="29" quotePrefix="1" applyFont="1" applyFill="1" applyBorder="1" applyAlignment="1">
      <alignment horizontal="right" vertical="center" wrapText="1"/>
    </xf>
    <xf numFmtId="179" fontId="9" fillId="0" borderId="4" xfId="40" applyNumberFormat="1" applyFont="1" applyFill="1" applyBorder="1" applyAlignment="1">
      <alignment horizontal="center" vertical="center"/>
    </xf>
    <xf numFmtId="164" fontId="9" fillId="0" borderId="4" xfId="29" applyFont="1" applyFill="1" applyBorder="1" applyAlignment="1">
      <alignment horizontal="center" vertical="center"/>
    </xf>
    <xf numFmtId="1" fontId="8" fillId="0" borderId="0" xfId="69" applyNumberFormat="1" applyFont="1" applyFill="1" applyAlignment="1">
      <alignment horizontal="center" vertical="top"/>
    </xf>
    <xf numFmtId="1" fontId="62" fillId="0" borderId="0" xfId="69" applyNumberFormat="1" applyFont="1" applyFill="1" applyAlignment="1">
      <alignment horizontal="left"/>
    </xf>
    <xf numFmtId="1" fontId="8" fillId="0" borderId="0" xfId="10" applyNumberFormat="1" applyFont="1" applyFill="1" applyBorder="1"/>
    <xf numFmtId="169" fontId="8" fillId="0" borderId="0" xfId="69" applyNumberFormat="1" applyFont="1" applyFill="1" applyAlignment="1">
      <alignment horizontal="center" vertical="top"/>
    </xf>
    <xf numFmtId="169" fontId="8" fillId="0" borderId="0" xfId="69" applyNumberFormat="1" applyFont="1" applyFill="1" applyAlignment="1">
      <alignment horizontal="left" vertical="top"/>
    </xf>
    <xf numFmtId="169" fontId="24" fillId="0" borderId="0" xfId="69" applyNumberFormat="1" applyFont="1" applyFill="1" applyAlignment="1">
      <alignment horizontal="left"/>
    </xf>
    <xf numFmtId="4" fontId="7" fillId="0" borderId="4" xfId="69" applyNumberFormat="1" applyFont="1" applyFill="1" applyBorder="1" applyAlignment="1">
      <alignment vertical="center"/>
    </xf>
    <xf numFmtId="169" fontId="16" fillId="0" borderId="4" xfId="69" applyNumberFormat="1" applyFont="1" applyFill="1" applyBorder="1" applyAlignment="1">
      <alignment horizontal="right" vertical="center" wrapText="1"/>
    </xf>
    <xf numFmtId="164" fontId="50" fillId="0" borderId="4" xfId="69" applyFont="1" applyBorder="1" applyAlignment="1">
      <alignment vertical="center"/>
    </xf>
    <xf numFmtId="164" fontId="50" fillId="0" borderId="4" xfId="69" applyFont="1" applyBorder="1"/>
    <xf numFmtId="0" fontId="16" fillId="0" borderId="4" xfId="14" applyFont="1" applyBorder="1" applyAlignment="1">
      <alignment horizontal="center" wrapText="1"/>
    </xf>
    <xf numFmtId="0" fontId="16" fillId="0" borderId="4" xfId="14" applyFont="1" applyBorder="1" applyAlignment="1">
      <alignment horizontal="left" vertical="center" wrapText="1"/>
    </xf>
    <xf numFmtId="0" fontId="16" fillId="0" borderId="4" xfId="14" applyFont="1" applyBorder="1" applyAlignment="1">
      <alignment horizontal="center" vertical="center" wrapText="1"/>
    </xf>
    <xf numFmtId="0" fontId="8" fillId="0" borderId="0" xfId="10" applyFont="1" applyBorder="1" applyAlignment="1">
      <alignment horizontal="center" vertical="center"/>
    </xf>
    <xf numFmtId="0" fontId="8" fillId="7" borderId="4" xfId="10" applyFont="1" applyFill="1" applyBorder="1" applyAlignment="1">
      <alignment horizontal="center" vertical="center" wrapText="1"/>
    </xf>
    <xf numFmtId="164" fontId="7" fillId="0" borderId="4" xfId="69" applyFont="1" applyFill="1" applyBorder="1" applyAlignment="1">
      <alignment horizontal="center" vertical="center"/>
    </xf>
    <xf numFmtId="0" fontId="8" fillId="7" borderId="4" xfId="10" applyFont="1" applyFill="1" applyBorder="1" applyAlignment="1">
      <alignment horizontal="center" wrapText="1"/>
    </xf>
    <xf numFmtId="0" fontId="12" fillId="0" borderId="4" xfId="10" applyFont="1" applyBorder="1" applyAlignment="1">
      <alignment horizontal="center" vertical="top"/>
    </xf>
    <xf numFmtId="0" fontId="12" fillId="0" borderId="4" xfId="10" applyFont="1" applyBorder="1" applyAlignment="1">
      <alignment horizontal="left"/>
    </xf>
    <xf numFmtId="0" fontId="12" fillId="0" borderId="4" xfId="10" applyFont="1" applyBorder="1" applyAlignment="1">
      <alignment horizontal="center" vertical="center"/>
    </xf>
    <xf numFmtId="0" fontId="16" fillId="0" borderId="4" xfId="10" applyFont="1" applyBorder="1" applyAlignment="1">
      <alignment horizontal="left"/>
    </xf>
    <xf numFmtId="0" fontId="30" fillId="0" borderId="0" xfId="0" applyFont="1"/>
    <xf numFmtId="0" fontId="63" fillId="0" borderId="18" xfId="0" applyFont="1" applyBorder="1" applyAlignment="1">
      <alignment horizontal="left" vertical="center"/>
    </xf>
    <xf numFmtId="0" fontId="7" fillId="0" borderId="0" xfId="10" applyFont="1" applyAlignment="1">
      <alignment horizontal="center"/>
    </xf>
    <xf numFmtId="0" fontId="30" fillId="0" borderId="0" xfId="0" applyFont="1" applyAlignment="1">
      <alignment horizontal="center"/>
    </xf>
    <xf numFmtId="0" fontId="63" fillId="0" borderId="30" xfId="0" applyFont="1" applyBorder="1" applyAlignment="1">
      <alignment horizontal="left" vertical="center"/>
    </xf>
    <xf numFmtId="0" fontId="49" fillId="0" borderId="0" xfId="0" applyFont="1"/>
    <xf numFmtId="0" fontId="63" fillId="0" borderId="4" xfId="0" applyFont="1" applyBorder="1" applyAlignment="1">
      <alignment horizontal="center" vertical="center" wrapText="1"/>
    </xf>
    <xf numFmtId="0" fontId="64" fillId="0" borderId="4" xfId="0" applyFont="1" applyBorder="1"/>
    <xf numFmtId="164" fontId="64" fillId="0" borderId="4" xfId="29" applyFont="1" applyBorder="1"/>
    <xf numFmtId="2" fontId="64" fillId="0" borderId="4" xfId="0" applyNumberFormat="1" applyFont="1" applyBorder="1"/>
    <xf numFmtId="0" fontId="29" fillId="0" borderId="0" xfId="0" applyFont="1"/>
    <xf numFmtId="0" fontId="64" fillId="0" borderId="0" xfId="0" applyFont="1"/>
    <xf numFmtId="0" fontId="64" fillId="0" borderId="4" xfId="0" applyFont="1" applyBorder="1" applyAlignment="1">
      <alignment horizontal="center"/>
    </xf>
    <xf numFmtId="0" fontId="8" fillId="0" borderId="4" xfId="10" applyFont="1" applyBorder="1" applyAlignment="1">
      <alignment horizontal="center"/>
    </xf>
    <xf numFmtId="0" fontId="8" fillId="12" borderId="4" xfId="10" applyFont="1" applyFill="1" applyBorder="1"/>
    <xf numFmtId="0" fontId="8" fillId="12" borderId="4" xfId="10" applyFont="1" applyFill="1" applyBorder="1" applyAlignment="1">
      <alignment horizontal="center"/>
    </xf>
    <xf numFmtId="0" fontId="39" fillId="0" borderId="4" xfId="10" applyFont="1" applyBorder="1" applyAlignment="1">
      <alignment wrapText="1"/>
    </xf>
    <xf numFmtId="164" fontId="8" fillId="0" borderId="4" xfId="29" applyFont="1" applyBorder="1"/>
    <xf numFmtId="9" fontId="8" fillId="0" borderId="4" xfId="10" applyNumberFormat="1" applyFont="1" applyBorder="1" applyAlignment="1">
      <alignment horizontal="center"/>
    </xf>
    <xf numFmtId="0" fontId="8" fillId="7" borderId="5" xfId="10" applyFont="1" applyFill="1" applyBorder="1" applyAlignment="1">
      <alignment horizontal="center" vertical="center" wrapText="1"/>
    </xf>
    <xf numFmtId="0" fontId="8" fillId="7" borderId="0" xfId="10" applyFont="1" applyFill="1" applyAlignment="1">
      <alignment horizontal="center" vertical="center"/>
    </xf>
    <xf numFmtId="164" fontId="8" fillId="0" borderId="4" xfId="29" applyFont="1" applyFill="1" applyBorder="1" applyAlignment="1" applyProtection="1">
      <alignment horizontal="left" vertical="center"/>
    </xf>
    <xf numFmtId="164" fontId="8" fillId="0" borderId="4" xfId="29" applyFont="1" applyFill="1" applyBorder="1" applyAlignment="1" applyProtection="1">
      <alignment horizontal="left" vertical="center" wrapText="1"/>
    </xf>
    <xf numFmtId="164" fontId="7" fillId="0" borderId="4" xfId="29" applyFont="1" applyFill="1" applyBorder="1" applyAlignment="1"/>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0" borderId="4" xfId="0" applyFont="1" applyFill="1" applyBorder="1" applyAlignment="1">
      <alignment horizontal="center" vertical="top"/>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4" xfId="10" applyFont="1" applyFill="1" applyBorder="1" applyAlignment="1">
      <alignment horizontal="center" wrapText="1"/>
    </xf>
    <xf numFmtId="0" fontId="39" fillId="0" borderId="0" xfId="10" applyFont="1" applyFill="1" applyBorder="1" applyProtection="1"/>
    <xf numFmtId="0" fontId="0" fillId="0" borderId="20" xfId="0" applyBorder="1"/>
    <xf numFmtId="172" fontId="7" fillId="5" borderId="4" xfId="10" applyNumberFormat="1" applyFont="1" applyFill="1" applyBorder="1" applyAlignment="1">
      <alignment horizontal="center"/>
    </xf>
    <xf numFmtId="173" fontId="7" fillId="5" borderId="4" xfId="10" applyNumberFormat="1" applyFont="1" applyFill="1" applyBorder="1" applyAlignment="1">
      <alignment horizontal="center"/>
    </xf>
    <xf numFmtId="0" fontId="17" fillId="0" borderId="20" xfId="0" applyFont="1" applyBorder="1"/>
    <xf numFmtId="9" fontId="0" fillId="0" borderId="8" xfId="0" applyNumberFormat="1" applyBorder="1" applyAlignment="1">
      <alignment horizontal="center"/>
    </xf>
    <xf numFmtId="0" fontId="65" fillId="0" borderId="20" xfId="0" applyFont="1" applyBorder="1"/>
    <xf numFmtId="0" fontId="65" fillId="0" borderId="8" xfId="0" applyFont="1" applyBorder="1" applyAlignment="1">
      <alignment horizontal="center"/>
    </xf>
    <xf numFmtId="43" fontId="29" fillId="0" borderId="4" xfId="0" applyNumberFormat="1" applyFont="1" applyBorder="1"/>
    <xf numFmtId="0" fontId="65" fillId="0" borderId="4" xfId="0" applyFont="1" applyBorder="1"/>
    <xf numFmtId="0" fontId="65" fillId="0" borderId="4" xfId="0" applyFont="1" applyBorder="1" applyAlignment="1">
      <alignment horizontal="center"/>
    </xf>
    <xf numFmtId="10" fontId="8" fillId="0" borderId="4" xfId="10" applyNumberFormat="1" applyFont="1" applyBorder="1"/>
    <xf numFmtId="0" fontId="30" fillId="0" borderId="4" xfId="0" applyFont="1" applyBorder="1" applyAlignment="1">
      <alignment horizontal="center"/>
    </xf>
    <xf numFmtId="43" fontId="47" fillId="0" borderId="4" xfId="73" applyFont="1" applyFill="1" applyBorder="1"/>
    <xf numFmtId="164" fontId="7" fillId="0" borderId="4" xfId="29" applyFont="1" applyFill="1" applyBorder="1" applyAlignment="1">
      <alignment horizontal="left"/>
    </xf>
    <xf numFmtId="164" fontId="7" fillId="0" borderId="4" xfId="29" applyFont="1" applyFill="1" applyBorder="1" applyAlignment="1">
      <alignment horizontal="center" vertical="center"/>
    </xf>
    <xf numFmtId="164" fontId="25" fillId="0" borderId="6" xfId="29" applyFont="1" applyFill="1" applyBorder="1" applyAlignment="1">
      <alignment horizontal="center" vertical="center"/>
    </xf>
    <xf numFmtId="164" fontId="25" fillId="0" borderId="4" xfId="29" applyFont="1" applyFill="1" applyBorder="1" applyAlignment="1">
      <alignment horizontal="center" vertical="center"/>
    </xf>
    <xf numFmtId="164" fontId="8" fillId="0" borderId="4" xfId="29" applyFont="1" applyFill="1" applyBorder="1" applyAlignment="1" applyProtection="1">
      <alignment horizontal="center" vertical="center" wrapText="1"/>
    </xf>
    <xf numFmtId="164" fontId="7" fillId="0" borderId="0" xfId="29" applyFont="1" applyFill="1"/>
    <xf numFmtId="0" fontId="7" fillId="0" borderId="0" xfId="10" applyFont="1" applyFill="1" applyAlignment="1">
      <alignment horizontal="center" vertical="center"/>
    </xf>
    <xf numFmtId="0" fontId="7" fillId="0" borderId="0" xfId="10" applyFont="1" applyFill="1" applyAlignment="1">
      <alignment horizontal="center"/>
    </xf>
    <xf numFmtId="4" fontId="7" fillId="0" borderId="6" xfId="10" applyNumberFormat="1" applyFont="1" applyFill="1" applyBorder="1" applyAlignment="1" applyProtection="1">
      <alignment vertical="center"/>
    </xf>
    <xf numFmtId="10" fontId="7" fillId="0" borderId="0" xfId="10" applyNumberFormat="1" applyFont="1" applyFill="1" applyAlignment="1">
      <alignment horizontal="center" vertical="center"/>
    </xf>
    <xf numFmtId="10" fontId="7" fillId="0" borderId="0" xfId="10" applyNumberFormat="1" applyFont="1" applyFill="1" applyAlignment="1">
      <alignment horizontal="center"/>
    </xf>
    <xf numFmtId="10" fontId="8" fillId="0" borderId="0" xfId="10" applyNumberFormat="1" applyFont="1" applyFill="1"/>
    <xf numFmtId="164" fontId="7" fillId="0" borderId="4" xfId="10" applyNumberFormat="1" applyFont="1" applyFill="1" applyBorder="1" applyAlignment="1" applyProtection="1">
      <alignment horizontal="left" vertical="center"/>
    </xf>
    <xf numFmtId="10" fontId="7" fillId="0" borderId="0" xfId="10" applyNumberFormat="1" applyFont="1" applyFill="1"/>
    <xf numFmtId="164" fontId="8" fillId="0" borderId="4" xfId="10" applyNumberFormat="1" applyFont="1" applyFill="1" applyBorder="1" applyAlignment="1" applyProtection="1">
      <alignment horizontal="left" vertical="center"/>
    </xf>
    <xf numFmtId="0" fontId="8" fillId="7" borderId="9" xfId="10" applyFont="1" applyFill="1" applyBorder="1" applyAlignment="1">
      <alignment horizontal="center" vertical="center" wrapText="1"/>
    </xf>
    <xf numFmtId="2" fontId="7" fillId="0" borderId="4" xfId="10" applyNumberFormat="1" applyFont="1" applyFill="1" applyBorder="1"/>
    <xf numFmtId="164" fontId="8" fillId="0" borderId="4" xfId="29" applyFont="1" applyFill="1" applyBorder="1" applyAlignment="1">
      <alignment horizontal="center" vertical="center"/>
    </xf>
    <xf numFmtId="164" fontId="16" fillId="0" borderId="4" xfId="29" applyFont="1" applyFill="1" applyBorder="1"/>
    <xf numFmtId="176" fontId="7" fillId="0" borderId="4" xfId="29" applyNumberFormat="1" applyFont="1" applyFill="1" applyBorder="1" applyAlignment="1">
      <alignment horizontal="center" vertical="center"/>
    </xf>
    <xf numFmtId="164" fontId="7" fillId="0" borderId="4" xfId="29" applyFont="1" applyFill="1" applyBorder="1" applyAlignment="1">
      <alignment horizontal="center" vertical="center"/>
    </xf>
    <xf numFmtId="169" fontId="0" fillId="0" borderId="4" xfId="29" quotePrefix="1" applyNumberFormat="1" applyFont="1" applyFill="1" applyBorder="1" applyAlignment="1">
      <alignment horizontal="right" vertical="center" wrapText="1"/>
    </xf>
    <xf numFmtId="164" fontId="63" fillId="0" borderId="4" xfId="69" applyFont="1" applyBorder="1"/>
    <xf numFmtId="0" fontId="63" fillId="0" borderId="4" xfId="0" applyFont="1" applyBorder="1" applyAlignment="1">
      <alignment horizontal="left" vertical="center" wrapText="1"/>
    </xf>
    <xf numFmtId="164" fontId="64" fillId="0" borderId="4" xfId="69" applyFont="1" applyBorder="1"/>
    <xf numFmtId="0" fontId="7" fillId="0" borderId="8" xfId="10" applyFont="1" applyBorder="1" applyAlignment="1">
      <alignment horizontal="center"/>
    </xf>
    <xf numFmtId="0" fontId="8" fillId="0" borderId="5" xfId="10" applyFont="1" applyBorder="1" applyAlignment="1">
      <alignment horizontal="center"/>
    </xf>
    <xf numFmtId="164" fontId="7" fillId="0" borderId="4" xfId="10" applyNumberFormat="1" applyFont="1" applyBorder="1" applyAlignment="1">
      <alignment horizontal="center"/>
    </xf>
    <xf numFmtId="171" fontId="7" fillId="0" borderId="4" xfId="10" applyNumberFormat="1" applyFont="1" applyBorder="1" applyAlignment="1">
      <alignment horizontal="center"/>
    </xf>
    <xf numFmtId="43" fontId="7" fillId="0" borderId="4" xfId="10" applyNumberFormat="1" applyFont="1" applyBorder="1" applyAlignment="1">
      <alignment horizontal="center"/>
    </xf>
    <xf numFmtId="169" fontId="7" fillId="0" borderId="8" xfId="10" applyNumberFormat="1" applyFont="1" applyBorder="1" applyAlignment="1">
      <alignment horizontal="center"/>
    </xf>
    <xf numFmtId="164" fontId="64" fillId="0" borderId="8" xfId="29" applyFont="1" applyBorder="1"/>
    <xf numFmtId="0" fontId="63" fillId="0" borderId="20" xfId="0" applyFont="1" applyFill="1" applyBorder="1" applyAlignment="1">
      <alignment horizontal="center" vertical="center" wrapText="1"/>
    </xf>
    <xf numFmtId="0" fontId="7" fillId="0" borderId="36" xfId="10" applyFont="1" applyBorder="1" applyAlignment="1">
      <alignment horizontal="center"/>
    </xf>
    <xf numFmtId="0" fontId="64" fillId="0" borderId="20" xfId="0" applyFont="1" applyBorder="1"/>
    <xf numFmtId="2" fontId="64" fillId="0" borderId="20" xfId="0" applyNumberFormat="1" applyFont="1" applyBorder="1"/>
    <xf numFmtId="164" fontId="63" fillId="0" borderId="20" xfId="69" applyFont="1" applyBorder="1"/>
    <xf numFmtId="0" fontId="64" fillId="0" borderId="20" xfId="0" applyFont="1" applyBorder="1" applyAlignment="1">
      <alignment horizontal="center"/>
    </xf>
    <xf numFmtId="164" fontId="64" fillId="0" borderId="20" xfId="69" applyFont="1" applyBorder="1"/>
    <xf numFmtId="164" fontId="8" fillId="0" borderId="36" xfId="10" applyNumberFormat="1" applyFont="1" applyBorder="1" applyAlignment="1">
      <alignment horizontal="center"/>
    </xf>
    <xf numFmtId="0" fontId="8" fillId="0" borderId="36" xfId="10" applyFont="1" applyBorder="1" applyAlignment="1">
      <alignment horizontal="center"/>
    </xf>
    <xf numFmtId="164" fontId="8" fillId="0" borderId="23" xfId="29" applyFont="1" applyBorder="1" applyAlignment="1">
      <alignment horizontal="center"/>
    </xf>
    <xf numFmtId="164" fontId="8" fillId="0" borderId="28" xfId="29" applyFont="1" applyBorder="1" applyAlignment="1">
      <alignment horizontal="center"/>
    </xf>
    <xf numFmtId="164" fontId="8" fillId="0" borderId="38" xfId="10" applyNumberFormat="1" applyFont="1" applyBorder="1" applyAlignment="1">
      <alignment horizontal="center"/>
    </xf>
    <xf numFmtId="9" fontId="29" fillId="20" borderId="31" xfId="0" applyNumberFormat="1" applyFont="1" applyFill="1" applyBorder="1" applyAlignment="1">
      <alignment horizontal="center" wrapText="1"/>
    </xf>
    <xf numFmtId="9" fontId="29" fillId="20" borderId="32" xfId="0" applyNumberFormat="1" applyFont="1" applyFill="1" applyBorder="1" applyAlignment="1">
      <alignment horizontal="center" wrapText="1"/>
    </xf>
    <xf numFmtId="9" fontId="29" fillId="20" borderId="33" xfId="0" applyNumberFormat="1" applyFont="1" applyFill="1" applyBorder="1" applyAlignment="1">
      <alignment horizontal="center" wrapText="1"/>
    </xf>
    <xf numFmtId="9" fontId="29" fillId="20" borderId="8" xfId="0" applyNumberFormat="1" applyFont="1" applyFill="1" applyBorder="1" applyAlignment="1">
      <alignment horizontal="center" wrapText="1"/>
    </xf>
    <xf numFmtId="9" fontId="29" fillId="20" borderId="4" xfId="0" applyNumberFormat="1" applyFont="1" applyFill="1" applyBorder="1" applyAlignment="1">
      <alignment horizontal="center" wrapText="1"/>
    </xf>
    <xf numFmtId="9" fontId="29" fillId="20" borderId="4" xfId="0" applyNumberFormat="1" applyFont="1" applyFill="1" applyBorder="1" applyAlignment="1">
      <alignment horizontal="center" vertical="center" wrapText="1"/>
    </xf>
    <xf numFmtId="9" fontId="29" fillId="20" borderId="5" xfId="0" applyNumberFormat="1" applyFont="1" applyFill="1" applyBorder="1" applyAlignment="1">
      <alignment horizontal="center" vertical="center" wrapText="1"/>
    </xf>
    <xf numFmtId="43" fontId="7" fillId="0" borderId="8" xfId="10" applyNumberFormat="1" applyFont="1" applyBorder="1" applyAlignment="1">
      <alignment horizontal="center"/>
    </xf>
    <xf numFmtId="164" fontId="64" fillId="0" borderId="20" xfId="0" applyNumberFormat="1" applyFont="1" applyFill="1" applyBorder="1"/>
    <xf numFmtId="164" fontId="7" fillId="0" borderId="4" xfId="10" applyNumberFormat="1" applyFont="1" applyFill="1" applyBorder="1" applyAlignment="1">
      <alignment horizontal="center"/>
    </xf>
    <xf numFmtId="0" fontId="7" fillId="0" borderId="36" xfId="10" applyFont="1" applyFill="1" applyBorder="1" applyAlignment="1">
      <alignment horizontal="center"/>
    </xf>
    <xf numFmtId="164" fontId="7" fillId="0" borderId="8" xfId="10" applyNumberFormat="1" applyFont="1" applyFill="1" applyBorder="1" applyAlignment="1">
      <alignment horizontal="center"/>
    </xf>
    <xf numFmtId="171" fontId="64" fillId="0" borderId="20" xfId="0" applyNumberFormat="1" applyFont="1" applyFill="1" applyBorder="1"/>
    <xf numFmtId="171" fontId="7" fillId="0" borderId="4" xfId="10" applyNumberFormat="1" applyFont="1" applyFill="1" applyBorder="1" applyAlignment="1">
      <alignment horizontal="center"/>
    </xf>
    <xf numFmtId="169" fontId="7" fillId="0" borderId="8" xfId="10" applyNumberFormat="1" applyFont="1" applyFill="1" applyBorder="1" applyAlignment="1">
      <alignment horizontal="center"/>
    </xf>
    <xf numFmtId="164" fontId="64" fillId="0" borderId="20" xfId="29" applyFont="1" applyFill="1" applyBorder="1"/>
    <xf numFmtId="164" fontId="64" fillId="0" borderId="4" xfId="29" applyFont="1" applyFill="1" applyBorder="1"/>
    <xf numFmtId="164" fontId="64" fillId="0" borderId="8" xfId="29" applyFont="1" applyFill="1" applyBorder="1"/>
    <xf numFmtId="10" fontId="64" fillId="0" borderId="20" xfId="40" applyNumberFormat="1" applyFont="1" applyFill="1" applyBorder="1"/>
    <xf numFmtId="10" fontId="7" fillId="0" borderId="4" xfId="10" applyNumberFormat="1" applyFont="1" applyFill="1" applyBorder="1" applyAlignment="1">
      <alignment horizontal="center"/>
    </xf>
    <xf numFmtId="9" fontId="64" fillId="0" borderId="20" xfId="0" applyNumberFormat="1" applyFont="1" applyFill="1" applyBorder="1"/>
    <xf numFmtId="9" fontId="7" fillId="0" borderId="4" xfId="10" applyNumberFormat="1" applyFont="1" applyFill="1" applyBorder="1" applyAlignment="1">
      <alignment horizontal="center"/>
    </xf>
    <xf numFmtId="0" fontId="64" fillId="0" borderId="20" xfId="0" applyFont="1" applyFill="1" applyBorder="1"/>
    <xf numFmtId="0" fontId="64" fillId="0" borderId="4" xfId="0" applyFont="1" applyFill="1" applyBorder="1"/>
    <xf numFmtId="2" fontId="64" fillId="0" borderId="20" xfId="0" applyNumberFormat="1" applyFont="1" applyFill="1" applyBorder="1"/>
    <xf numFmtId="2" fontId="64" fillId="0" borderId="4" xfId="0" applyNumberFormat="1" applyFont="1" applyFill="1" applyBorder="1"/>
    <xf numFmtId="164" fontId="63" fillId="0" borderId="20" xfId="69" applyFont="1" applyFill="1" applyBorder="1"/>
    <xf numFmtId="164" fontId="63" fillId="0" borderId="4" xfId="69" applyFont="1" applyFill="1" applyBorder="1"/>
    <xf numFmtId="0" fontId="64" fillId="0" borderId="37" xfId="0" applyFont="1" applyFill="1" applyBorder="1"/>
    <xf numFmtId="0" fontId="7" fillId="0" borderId="22" xfId="10" applyFont="1" applyFill="1" applyBorder="1" applyAlignment="1">
      <alignment horizontal="center"/>
    </xf>
    <xf numFmtId="0" fontId="7" fillId="0" borderId="8" xfId="10" applyFont="1" applyFill="1" applyBorder="1" applyAlignment="1">
      <alignment horizontal="center"/>
    </xf>
    <xf numFmtId="43" fontId="64" fillId="0" borderId="20" xfId="0" applyNumberFormat="1" applyFont="1" applyFill="1" applyBorder="1"/>
    <xf numFmtId="43" fontId="7" fillId="0" borderId="4" xfId="10" applyNumberFormat="1" applyFont="1" applyFill="1" applyBorder="1" applyAlignment="1">
      <alignment horizontal="center"/>
    </xf>
    <xf numFmtId="43" fontId="7" fillId="0" borderId="8" xfId="10" applyNumberFormat="1" applyFont="1" applyFill="1" applyBorder="1" applyAlignment="1">
      <alignment horizontal="center"/>
    </xf>
    <xf numFmtId="0" fontId="64" fillId="0" borderId="20" xfId="0" applyFont="1" applyFill="1" applyBorder="1" applyAlignment="1">
      <alignment horizontal="center"/>
    </xf>
    <xf numFmtId="164" fontId="64" fillId="0" borderId="20" xfId="69" applyFont="1" applyFill="1" applyBorder="1"/>
    <xf numFmtId="164" fontId="64" fillId="0" borderId="4" xfId="69" applyFont="1" applyFill="1" applyBorder="1"/>
    <xf numFmtId="0" fontId="64" fillId="0" borderId="4" xfId="0" applyFont="1" applyFill="1" applyBorder="1" applyAlignment="1">
      <alignment horizontal="center"/>
    </xf>
    <xf numFmtId="164" fontId="8" fillId="0" borderId="36" xfId="10" applyNumberFormat="1" applyFont="1" applyFill="1" applyBorder="1" applyAlignment="1">
      <alignment horizontal="center"/>
    </xf>
    <xf numFmtId="0" fontId="8" fillId="0" borderId="36" xfId="10" applyFont="1" applyFill="1" applyBorder="1" applyAlignment="1">
      <alignment horizontal="center"/>
    </xf>
    <xf numFmtId="164" fontId="7" fillId="0" borderId="4" xfId="69" applyFont="1" applyFill="1" applyBorder="1" applyAlignment="1">
      <alignment horizontal="center"/>
    </xf>
    <xf numFmtId="0" fontId="7" fillId="0" borderId="20" xfId="10" applyFont="1" applyFill="1" applyBorder="1" applyAlignment="1">
      <alignment horizontal="center"/>
    </xf>
    <xf numFmtId="164" fontId="8" fillId="0" borderId="23" xfId="29" applyFont="1" applyFill="1" applyBorder="1" applyAlignment="1">
      <alignment horizontal="center"/>
    </xf>
    <xf numFmtId="164" fontId="8" fillId="0" borderId="28" xfId="29" applyFont="1" applyFill="1" applyBorder="1" applyAlignment="1">
      <alignment horizontal="center"/>
    </xf>
    <xf numFmtId="164" fontId="8" fillId="0" borderId="38" xfId="10" applyNumberFormat="1" applyFont="1" applyFill="1" applyBorder="1" applyAlignment="1">
      <alignment horizontal="center"/>
    </xf>
    <xf numFmtId="10" fontId="8" fillId="0" borderId="0" xfId="10" applyNumberFormat="1" applyFont="1" applyBorder="1"/>
    <xf numFmtId="10" fontId="7" fillId="0" borderId="4" xfId="14" applyNumberFormat="1" applyFont="1" applyBorder="1">
      <alignment vertical="center"/>
    </xf>
    <xf numFmtId="164" fontId="7" fillId="0" borderId="4" xfId="69" applyFont="1" applyBorder="1" applyAlignment="1">
      <alignment horizontal="right" vertical="top"/>
    </xf>
    <xf numFmtId="164" fontId="7" fillId="0" borderId="4" xfId="69" applyFont="1" applyBorder="1" applyAlignment="1">
      <alignment horizontal="right" vertical="top" wrapText="1"/>
    </xf>
    <xf numFmtId="164" fontId="8" fillId="14" borderId="0" xfId="69" applyFont="1" applyFill="1" applyAlignment="1">
      <alignment horizontal="left" vertical="top"/>
    </xf>
    <xf numFmtId="43" fontId="8" fillId="14" borderId="0" xfId="10" applyNumberFormat="1" applyFont="1" applyFill="1" applyAlignment="1">
      <alignment horizontal="left" vertical="top"/>
    </xf>
    <xf numFmtId="164" fontId="7" fillId="0" borderId="0" xfId="69" applyFont="1"/>
    <xf numFmtId="164" fontId="8" fillId="0" borderId="0" xfId="69" applyFont="1" applyFill="1" applyAlignment="1">
      <alignment horizontal="center" vertical="top"/>
    </xf>
    <xf numFmtId="14" fontId="7" fillId="0" borderId="0" xfId="14" applyNumberFormat="1" applyFont="1">
      <alignment vertical="center"/>
    </xf>
    <xf numFmtId="164" fontId="7" fillId="0" borderId="4" xfId="29" applyFont="1" applyFill="1" applyBorder="1" applyAlignment="1">
      <alignment horizontal="center" vertical="center"/>
    </xf>
    <xf numFmtId="0" fontId="7" fillId="0" borderId="4" xfId="29" applyNumberFormat="1" applyFont="1" applyFill="1" applyBorder="1" applyAlignment="1">
      <alignment horizontal="center" vertical="center" wrapText="1"/>
    </xf>
    <xf numFmtId="164" fontId="8" fillId="0" borderId="4" xfId="29" applyFont="1" applyFill="1" applyBorder="1" applyAlignment="1">
      <alignment horizontal="center" vertical="center" wrapText="1"/>
    </xf>
    <xf numFmtId="0" fontId="7" fillId="0" borderId="4" xfId="29" applyNumberFormat="1" applyFont="1" applyFill="1" applyBorder="1" applyAlignment="1">
      <alignment horizontal="center" vertical="center"/>
    </xf>
    <xf numFmtId="43" fontId="8" fillId="0" borderId="4" xfId="29" applyNumberFormat="1" applyFont="1" applyFill="1" applyBorder="1" applyAlignment="1">
      <alignment horizontal="center" vertical="center"/>
    </xf>
    <xf numFmtId="169" fontId="7"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43" fontId="8" fillId="0" borderId="0" xfId="10" applyNumberFormat="1" applyFont="1" applyBorder="1"/>
    <xf numFmtId="4" fontId="7" fillId="0" borderId="0" xfId="10" applyNumberFormat="1" applyFont="1"/>
    <xf numFmtId="164" fontId="9" fillId="0" borderId="4" xfId="29" applyFont="1" applyBorder="1" applyAlignment="1">
      <alignment vertical="center"/>
    </xf>
    <xf numFmtId="43" fontId="9" fillId="0" borderId="4" xfId="14" applyNumberFormat="1" applyFont="1" applyBorder="1">
      <alignment vertical="center"/>
    </xf>
    <xf numFmtId="164" fontId="9" fillId="16" borderId="4" xfId="29" applyFont="1" applyFill="1" applyBorder="1" applyAlignment="1">
      <alignment vertical="center"/>
    </xf>
    <xf numFmtId="169" fontId="7" fillId="0" borderId="4" xfId="69" applyNumberFormat="1" applyFont="1" applyFill="1" applyBorder="1" applyAlignment="1">
      <alignment horizontal="right" vertical="center" wrapText="1"/>
    </xf>
    <xf numFmtId="169" fontId="16" fillId="0" borderId="4" xfId="69" quotePrefix="1" applyNumberFormat="1" applyFont="1" applyFill="1" applyBorder="1" applyAlignment="1">
      <alignment horizontal="right" vertical="center" wrapText="1"/>
    </xf>
    <xf numFmtId="169" fontId="7" fillId="0" borderId="4" xfId="69" quotePrefix="1" applyNumberFormat="1" applyFont="1" applyFill="1" applyBorder="1" applyAlignment="1">
      <alignment horizontal="right" vertical="center" wrapText="1"/>
    </xf>
    <xf numFmtId="169" fontId="12" fillId="0" borderId="4" xfId="69" applyNumberFormat="1" applyFont="1" applyFill="1" applyBorder="1" applyAlignment="1">
      <alignment horizontal="center" vertical="center" wrapText="1"/>
    </xf>
    <xf numFmtId="171" fontId="45" fillId="0" borderId="0" xfId="14" applyNumberFormat="1" applyFont="1">
      <alignment vertical="center"/>
    </xf>
    <xf numFmtId="169" fontId="7" fillId="0" borderId="4" xfId="29" quotePrefix="1" applyNumberFormat="1" applyFont="1" applyFill="1" applyBorder="1" applyAlignment="1">
      <alignment horizontal="right" vertical="center" wrapText="1"/>
    </xf>
    <xf numFmtId="164" fontId="8" fillId="0" borderId="4" xfId="69" applyFont="1" applyFill="1" applyBorder="1" applyAlignment="1">
      <alignment horizontal="center" vertical="center" wrapText="1"/>
    </xf>
    <xf numFmtId="164" fontId="12" fillId="0" borderId="4" xfId="69" applyFont="1" applyFill="1" applyBorder="1" applyAlignment="1">
      <alignment vertical="center"/>
    </xf>
    <xf numFmtId="2" fontId="46" fillId="0" borderId="4" xfId="70" applyNumberFormat="1" applyFont="1" applyFill="1" applyBorder="1" applyAlignment="1">
      <alignment wrapText="1"/>
    </xf>
    <xf numFmtId="186" fontId="45" fillId="0" borderId="0" xfId="14" applyNumberFormat="1" applyFont="1" applyAlignment="1">
      <alignment vertical="center"/>
    </xf>
    <xf numFmtId="43" fontId="45" fillId="0" borderId="0" xfId="14" applyNumberFormat="1" applyFont="1" applyAlignment="1">
      <alignment vertical="center"/>
    </xf>
    <xf numFmtId="164" fontId="7" fillId="0" borderId="0" xfId="29" applyFont="1" applyFill="1" applyAlignment="1">
      <alignment vertical="center"/>
    </xf>
    <xf numFmtId="43" fontId="8" fillId="0" borderId="4" xfId="69" applyNumberFormat="1" applyFont="1" applyFill="1" applyBorder="1" applyAlignment="1">
      <alignment vertical="center"/>
    </xf>
    <xf numFmtId="0" fontId="8" fillId="4" borderId="4"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9" fillId="0" borderId="4" xfId="71" applyFont="1" applyFill="1" applyBorder="1" applyAlignment="1">
      <alignment vertical="center" wrapText="1"/>
    </xf>
    <xf numFmtId="0" fontId="12" fillId="0" borderId="0" xfId="14" applyFont="1" applyFill="1" applyBorder="1" applyAlignment="1">
      <alignment horizontal="center" vertical="center" wrapText="1"/>
    </xf>
    <xf numFmtId="169" fontId="7" fillId="0" borderId="4" xfId="69" applyNumberFormat="1" applyFont="1" applyBorder="1" applyAlignment="1">
      <alignment vertical="center"/>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29" fillId="7" borderId="6" xfId="10" applyFont="1" applyFill="1" applyBorder="1" applyAlignment="1">
      <alignment horizontal="center" vertical="center"/>
    </xf>
    <xf numFmtId="0" fontId="29" fillId="7" borderId="6" xfId="10" applyFont="1" applyFill="1" applyBorder="1" applyAlignment="1">
      <alignment horizontal="center" vertical="center" wrapText="1"/>
    </xf>
    <xf numFmtId="0" fontId="8" fillId="0" borderId="0" xfId="14" applyFont="1" applyFill="1" applyBorder="1" applyAlignment="1">
      <alignment horizontal="center" vertical="center" wrapText="1"/>
    </xf>
    <xf numFmtId="164" fontId="7" fillId="0" borderId="4" xfId="29" applyFont="1" applyFill="1" applyBorder="1" applyAlignment="1">
      <alignment horizontal="center" vertical="center"/>
    </xf>
    <xf numFmtId="0" fontId="12" fillId="0" borderId="0" xfId="14" applyFont="1" applyFill="1" applyBorder="1" applyAlignment="1">
      <alignment horizontal="center" vertical="center" wrapText="1"/>
    </xf>
    <xf numFmtId="0" fontId="12" fillId="7" borderId="4" xfId="14" applyFont="1" applyFill="1" applyBorder="1" applyAlignment="1">
      <alignment horizontal="center" vertical="center" wrapText="1"/>
    </xf>
    <xf numFmtId="0" fontId="16" fillId="0" borderId="0" xfId="10" applyFont="1" applyBorder="1"/>
    <xf numFmtId="0" fontId="12" fillId="0" borderId="0" xfId="14" applyFont="1" applyAlignment="1">
      <alignment horizontal="center" vertical="center"/>
    </xf>
    <xf numFmtId="0" fontId="12" fillId="0" borderId="0" xfId="14" applyFont="1" applyAlignment="1">
      <alignment vertical="center"/>
    </xf>
    <xf numFmtId="0" fontId="16" fillId="0" borderId="0" xfId="14" applyFont="1" applyAlignment="1">
      <alignment vertical="center"/>
    </xf>
    <xf numFmtId="0" fontId="12" fillId="0" borderId="0" xfId="10" applyFont="1" applyAlignment="1">
      <alignment horizontal="centerContinuous"/>
    </xf>
    <xf numFmtId="0" fontId="16" fillId="0" borderId="0" xfId="10" applyFont="1" applyBorder="1" applyAlignment="1">
      <alignment horizontal="center" vertical="top"/>
    </xf>
    <xf numFmtId="0" fontId="16" fillId="0" borderId="0" xfId="14" applyFont="1" applyAlignment="1">
      <alignment horizontal="centerContinuous" vertical="center"/>
    </xf>
    <xf numFmtId="0" fontId="16" fillId="0" borderId="0" xfId="10" applyFont="1" applyBorder="1" applyAlignment="1"/>
    <xf numFmtId="0" fontId="16" fillId="0" borderId="0" xfId="10" applyFont="1" applyBorder="1" applyAlignment="1">
      <alignment vertical="top"/>
    </xf>
    <xf numFmtId="164" fontId="12" fillId="5" borderId="4" xfId="69" applyFont="1" applyFill="1" applyBorder="1" applyAlignment="1">
      <alignment horizontal="center" vertical="center" wrapText="1"/>
    </xf>
    <xf numFmtId="9" fontId="16" fillId="0" borderId="4" xfId="40" applyFont="1" applyBorder="1" applyAlignment="1">
      <alignment vertical="top"/>
    </xf>
    <xf numFmtId="9" fontId="16" fillId="14" borderId="0" xfId="70" applyFont="1" applyFill="1" applyBorder="1" applyAlignment="1">
      <alignment vertical="top"/>
    </xf>
    <xf numFmtId="9" fontId="16" fillId="0" borderId="0" xfId="70" applyFont="1" applyBorder="1" applyAlignment="1">
      <alignment vertical="top"/>
    </xf>
    <xf numFmtId="43" fontId="16" fillId="0" borderId="4" xfId="70" applyNumberFormat="1" applyFont="1" applyFill="1" applyBorder="1" applyAlignment="1">
      <alignment horizontal="center" vertical="center" wrapText="1"/>
    </xf>
    <xf numFmtId="9" fontId="16" fillId="0" borderId="0" xfId="70" applyFont="1" applyFill="1" applyBorder="1" applyAlignment="1">
      <alignment vertical="top"/>
    </xf>
    <xf numFmtId="0" fontId="16" fillId="0" borderId="0" xfId="10" applyFont="1" applyFill="1" applyBorder="1" applyAlignment="1">
      <alignment vertical="top"/>
    </xf>
    <xf numFmtId="10" fontId="16" fillId="0" borderId="0" xfId="70" applyNumberFormat="1" applyFont="1" applyFill="1" applyBorder="1" applyAlignment="1">
      <alignment vertical="top"/>
    </xf>
    <xf numFmtId="10" fontId="16" fillId="0" borderId="4" xfId="70" applyNumberFormat="1" applyFont="1" applyFill="1" applyBorder="1" applyAlignment="1">
      <alignment horizontal="center" vertical="center"/>
    </xf>
    <xf numFmtId="164" fontId="16" fillId="10" borderId="4" xfId="69" applyFont="1" applyFill="1" applyBorder="1" applyAlignment="1">
      <alignment horizontal="center" vertical="center" wrapText="1"/>
    </xf>
    <xf numFmtId="164" fontId="16" fillId="18" borderId="4" xfId="69" applyFont="1" applyFill="1" applyBorder="1" applyAlignment="1">
      <alignment horizontal="center" vertical="center" wrapText="1"/>
    </xf>
    <xf numFmtId="0" fontId="16" fillId="0" borderId="4" xfId="69" applyNumberFormat="1" applyFont="1" applyFill="1" applyBorder="1" applyAlignment="1">
      <alignment horizontal="center" vertical="center" wrapText="1"/>
    </xf>
    <xf numFmtId="10" fontId="16" fillId="18" borderId="4" xfId="70" applyNumberFormat="1" applyFont="1" applyFill="1" applyBorder="1" applyAlignment="1">
      <alignment horizontal="center" vertical="center" wrapText="1"/>
    </xf>
    <xf numFmtId="0" fontId="12" fillId="5" borderId="0" xfId="14" applyFont="1" applyFill="1" applyBorder="1" applyAlignment="1">
      <alignment horizontal="center" vertical="center" wrapText="1"/>
    </xf>
    <xf numFmtId="0" fontId="12" fillId="5" borderId="0" xfId="14" applyFont="1" applyFill="1" applyBorder="1" applyAlignment="1">
      <alignment horizontal="left" vertical="center" wrapText="1"/>
    </xf>
    <xf numFmtId="0" fontId="16" fillId="5" borderId="0" xfId="14" quotePrefix="1" applyFont="1" applyFill="1" applyBorder="1" applyAlignment="1">
      <alignment horizontal="center" vertical="center" wrapText="1"/>
    </xf>
    <xf numFmtId="0" fontId="16" fillId="0" borderId="0" xfId="10" applyFont="1"/>
    <xf numFmtId="0" fontId="16" fillId="0" borderId="0" xfId="10" applyFont="1" applyBorder="1" applyAlignment="1">
      <alignment horizontal="center" vertical="top" wrapText="1"/>
    </xf>
    <xf numFmtId="0" fontId="67" fillId="0" borderId="0" xfId="10" applyFont="1" applyBorder="1" applyAlignment="1">
      <alignment horizontal="left"/>
    </xf>
    <xf numFmtId="0" fontId="16" fillId="0" borderId="0" xfId="10" applyFont="1" applyBorder="1" applyAlignment="1">
      <alignment horizontal="center"/>
    </xf>
    <xf numFmtId="0" fontId="16" fillId="0" borderId="0" xfId="10" applyFont="1" applyBorder="1" applyAlignment="1">
      <alignment horizontal="justify" vertical="top" wrapText="1"/>
    </xf>
    <xf numFmtId="0" fontId="12" fillId="0" borderId="0" xfId="10" applyFont="1" applyFill="1" applyBorder="1" applyAlignment="1">
      <alignment horizontal="left" vertical="top"/>
    </xf>
    <xf numFmtId="0" fontId="7" fillId="0" borderId="0" xfId="10" applyFont="1" applyAlignment="1">
      <alignment horizontal="left"/>
    </xf>
    <xf numFmtId="0" fontId="10" fillId="7" borderId="4" xfId="14" applyFont="1" applyFill="1" applyBorder="1" applyAlignment="1">
      <alignment horizontal="center" vertical="center" wrapText="1"/>
    </xf>
    <xf numFmtId="0" fontId="24" fillId="0" borderId="0" xfId="10" applyFont="1"/>
    <xf numFmtId="166" fontId="7" fillId="0" borderId="0" xfId="10" applyNumberFormat="1" applyFont="1" applyAlignment="1">
      <alignment horizontal="center"/>
    </xf>
    <xf numFmtId="0" fontId="24" fillId="0" borderId="0" xfId="10" applyFont="1" applyAlignment="1">
      <alignment horizontal="center"/>
    </xf>
    <xf numFmtId="0" fontId="7" fillId="0" borderId="0" xfId="10" applyFont="1" applyAlignment="1">
      <alignment horizontal="center" vertical="top" wrapText="1"/>
    </xf>
    <xf numFmtId="0" fontId="16" fillId="0" borderId="4" xfId="10" applyFont="1" applyFill="1" applyBorder="1" applyAlignment="1">
      <alignment horizontal="left"/>
    </xf>
    <xf numFmtId="172" fontId="7" fillId="0" borderId="4" xfId="10" applyNumberFormat="1" applyFont="1" applyFill="1" applyBorder="1" applyAlignment="1">
      <alignment horizontal="center"/>
    </xf>
    <xf numFmtId="173" fontId="7" fillId="0" borderId="4" xfId="10" applyNumberFormat="1" applyFont="1" applyFill="1" applyBorder="1" applyAlignment="1">
      <alignment horizontal="center"/>
    </xf>
    <xf numFmtId="173" fontId="7" fillId="0" borderId="4" xfId="10" applyNumberFormat="1" applyFont="1" applyFill="1" applyBorder="1" applyAlignment="1"/>
    <xf numFmtId="9" fontId="8" fillId="0" borderId="4" xfId="10" applyNumberFormat="1" applyFont="1" applyFill="1" applyBorder="1" applyAlignment="1"/>
    <xf numFmtId="172" fontId="7" fillId="0" borderId="4" xfId="10" applyNumberFormat="1" applyFont="1" applyFill="1" applyBorder="1" applyAlignment="1"/>
    <xf numFmtId="0" fontId="8" fillId="16" borderId="4" xfId="10" applyFont="1" applyFill="1" applyBorder="1" applyAlignment="1">
      <alignment horizontal="center" vertical="center" wrapText="1"/>
    </xf>
    <xf numFmtId="187" fontId="8" fillId="16" borderId="4" xfId="10" applyNumberFormat="1" applyFont="1" applyFill="1" applyBorder="1" applyAlignment="1">
      <alignment horizontal="center" vertical="center"/>
    </xf>
    <xf numFmtId="0" fontId="8" fillId="16" borderId="4" xfId="10" applyFont="1" applyFill="1" applyBorder="1" applyAlignment="1">
      <alignment horizontal="center" vertical="center"/>
    </xf>
    <xf numFmtId="0" fontId="8" fillId="16" borderId="4" xfId="10" applyFont="1" applyFill="1" applyBorder="1" applyAlignment="1">
      <alignment horizontal="left" wrapText="1"/>
    </xf>
    <xf numFmtId="164" fontId="70" fillId="17" borderId="4" xfId="25" applyFont="1" applyFill="1" applyBorder="1" applyAlignment="1">
      <alignment horizontal="center" vertical="center" wrapText="1"/>
    </xf>
    <xf numFmtId="43" fontId="7" fillId="17" borderId="4" xfId="10" applyNumberFormat="1" applyFont="1" applyFill="1" applyBorder="1"/>
    <xf numFmtId="43" fontId="7" fillId="14" borderId="4" xfId="10" applyNumberFormat="1" applyFont="1" applyFill="1" applyBorder="1"/>
    <xf numFmtId="164" fontId="70" fillId="0" borderId="4" xfId="25" applyFont="1" applyBorder="1" applyAlignment="1">
      <alignment horizontal="center" vertical="center" wrapText="1"/>
    </xf>
    <xf numFmtId="0" fontId="8" fillId="4" borderId="28" xfId="14" applyFont="1" applyFill="1" applyBorder="1" applyAlignment="1">
      <alignment horizontal="center" vertical="center" wrapText="1"/>
    </xf>
    <xf numFmtId="0" fontId="8" fillId="4" borderId="38" xfId="14" applyFont="1" applyFill="1" applyBorder="1" applyAlignment="1">
      <alignment horizontal="center" vertical="center" wrapText="1"/>
    </xf>
    <xf numFmtId="187" fontId="8" fillId="16" borderId="4" xfId="10" applyNumberFormat="1" applyFont="1" applyFill="1" applyBorder="1" applyAlignment="1">
      <alignment horizontal="center" vertical="center" wrapText="1"/>
    </xf>
    <xf numFmtId="0" fontId="8" fillId="16" borderId="6" xfId="14" applyFont="1" applyFill="1" applyBorder="1" applyAlignment="1">
      <alignment horizontal="center" vertical="center" wrapText="1"/>
    </xf>
    <xf numFmtId="0" fontId="8" fillId="16" borderId="4" xfId="58" applyFont="1" applyFill="1" applyBorder="1" applyAlignment="1">
      <alignment horizontal="center" vertical="center" wrapText="1"/>
    </xf>
    <xf numFmtId="0" fontId="8" fillId="16" borderId="4" xfId="10" applyFont="1" applyFill="1" applyBorder="1" applyAlignment="1">
      <alignment horizontal="left" vertical="center"/>
    </xf>
    <xf numFmtId="187" fontId="7" fillId="17" borderId="4" xfId="10" applyNumberFormat="1" applyFont="1" applyFill="1" applyBorder="1" applyAlignment="1">
      <alignment horizontal="center" vertical="center"/>
    </xf>
    <xf numFmtId="187" fontId="7" fillId="17" borderId="4" xfId="10" applyNumberFormat="1" applyFont="1" applyFill="1" applyBorder="1" applyAlignment="1">
      <alignment vertical="center"/>
    </xf>
    <xf numFmtId="164" fontId="73" fillId="17" borderId="4" xfId="25" applyFont="1" applyFill="1" applyBorder="1" applyAlignment="1">
      <alignment horizontal="center" vertical="center" wrapText="1"/>
    </xf>
    <xf numFmtId="0" fontId="7" fillId="17" borderId="4" xfId="10" applyFont="1" applyFill="1" applyBorder="1" applyAlignment="1">
      <alignment horizontal="center" vertical="center" wrapText="1"/>
    </xf>
    <xf numFmtId="187" fontId="7" fillId="6" borderId="4" xfId="10" applyNumberFormat="1" applyFont="1" applyFill="1" applyBorder="1" applyAlignment="1">
      <alignment horizontal="center" vertical="center"/>
    </xf>
    <xf numFmtId="164" fontId="54" fillId="6" borderId="4" xfId="25" applyFont="1" applyFill="1" applyBorder="1" applyAlignment="1">
      <alignment horizontal="right" vertical="center" wrapText="1"/>
    </xf>
    <xf numFmtId="0" fontId="7" fillId="6" borderId="4" xfId="10" applyFont="1" applyFill="1" applyBorder="1" applyAlignment="1">
      <alignment vertical="center"/>
    </xf>
    <xf numFmtId="187" fontId="7" fillId="6" borderId="4" xfId="10" applyNumberFormat="1" applyFont="1" applyFill="1" applyBorder="1" applyAlignment="1">
      <alignment vertical="center"/>
    </xf>
    <xf numFmtId="164" fontId="70" fillId="6" borderId="4" xfId="25" applyFont="1" applyFill="1" applyBorder="1" applyAlignment="1">
      <alignment horizontal="center" vertical="center" wrapText="1"/>
    </xf>
    <xf numFmtId="164" fontId="73" fillId="6" borderId="4" xfId="25" applyFont="1" applyFill="1" applyBorder="1" applyAlignment="1">
      <alignment horizontal="center" vertical="center" wrapText="1"/>
    </xf>
    <xf numFmtId="0" fontId="7" fillId="6" borderId="4" xfId="10" applyFont="1" applyFill="1" applyBorder="1" applyAlignment="1">
      <alignment horizontal="center" vertical="center" wrapText="1"/>
    </xf>
    <xf numFmtId="164" fontId="73" fillId="0" borderId="4" xfId="25" applyFont="1" applyFill="1" applyBorder="1" applyAlignment="1">
      <alignment horizontal="center" vertical="center" wrapText="1"/>
    </xf>
    <xf numFmtId="0" fontId="7" fillId="17" borderId="4" xfId="10" applyFont="1" applyFill="1" applyBorder="1" applyAlignment="1">
      <alignment vertical="center" wrapText="1"/>
    </xf>
    <xf numFmtId="164" fontId="70" fillId="0" borderId="4" xfId="25" applyFont="1" applyFill="1" applyBorder="1" applyAlignment="1">
      <alignment horizontal="center" vertical="center" wrapText="1"/>
    </xf>
    <xf numFmtId="43" fontId="7" fillId="0" borderId="0" xfId="10" applyNumberFormat="1" applyFont="1" applyAlignment="1">
      <alignment horizontal="center" vertical="center" wrapText="1"/>
    </xf>
    <xf numFmtId="164" fontId="71" fillId="0" borderId="4" xfId="25" applyFont="1" applyFill="1" applyBorder="1" applyAlignment="1">
      <alignment horizontal="left" vertical="center" wrapText="1"/>
    </xf>
    <xf numFmtId="0" fontId="7" fillId="0" borderId="4" xfId="10" applyFont="1" applyBorder="1" applyAlignment="1">
      <alignment horizontal="left" vertical="center" wrapText="1"/>
    </xf>
    <xf numFmtId="0" fontId="7" fillId="6" borderId="4" xfId="10" applyFont="1" applyFill="1" applyBorder="1" applyAlignment="1">
      <alignment vertical="center" wrapText="1"/>
    </xf>
    <xf numFmtId="0" fontId="7" fillId="23" borderId="4" xfId="10" applyFont="1" applyFill="1" applyBorder="1" applyAlignment="1">
      <alignment vertical="center"/>
    </xf>
    <xf numFmtId="187" fontId="7" fillId="23" borderId="4" xfId="10" applyNumberFormat="1" applyFont="1" applyFill="1" applyBorder="1" applyAlignment="1">
      <alignment horizontal="center" vertical="center"/>
    </xf>
    <xf numFmtId="164" fontId="71" fillId="6" borderId="4" xfId="25" applyFont="1" applyFill="1" applyBorder="1" applyAlignment="1">
      <alignment horizontal="left" vertical="center" wrapText="1"/>
    </xf>
    <xf numFmtId="187" fontId="7" fillId="6" borderId="4" xfId="10" applyNumberFormat="1" applyFont="1" applyFill="1" applyBorder="1"/>
    <xf numFmtId="0" fontId="7" fillId="6" borderId="4" xfId="10" applyFont="1" applyFill="1" applyBorder="1" applyAlignment="1">
      <alignment horizontal="left" vertical="center" wrapText="1"/>
    </xf>
    <xf numFmtId="187" fontId="7" fillId="0" borderId="4" xfId="10" applyNumberFormat="1" applyFont="1" applyBorder="1" applyAlignment="1">
      <alignment horizontal="center" vertical="center"/>
    </xf>
    <xf numFmtId="187" fontId="7" fillId="0" borderId="4" xfId="10" applyNumberFormat="1" applyFont="1" applyBorder="1" applyAlignment="1">
      <alignment vertical="center"/>
    </xf>
    <xf numFmtId="164" fontId="71" fillId="0" borderId="0" xfId="25" applyFont="1" applyBorder="1" applyAlignment="1">
      <alignment horizontal="left" vertical="center" wrapText="1"/>
    </xf>
    <xf numFmtId="164" fontId="54" fillId="17" borderId="0" xfId="25" applyFont="1" applyFill="1" applyBorder="1" applyAlignment="1">
      <alignment horizontal="right" vertical="center" wrapText="1"/>
    </xf>
    <xf numFmtId="164" fontId="54" fillId="0" borderId="4" xfId="25" applyFont="1" applyFill="1" applyBorder="1" applyAlignment="1">
      <alignment horizontal="center" vertical="center" wrapText="1"/>
    </xf>
    <xf numFmtId="0" fontId="13" fillId="0" borderId="8" xfId="10" applyFont="1" applyBorder="1" applyAlignment="1">
      <alignment vertical="center"/>
    </xf>
    <xf numFmtId="0" fontId="8" fillId="0" borderId="4" xfId="10" applyFont="1" applyBorder="1" applyAlignment="1">
      <alignment vertical="center"/>
    </xf>
    <xf numFmtId="2" fontId="8" fillId="0" borderId="4" xfId="10" applyNumberFormat="1" applyFont="1" applyBorder="1" applyAlignment="1">
      <alignment horizontal="center" vertical="center"/>
    </xf>
    <xf numFmtId="164" fontId="54" fillId="0" borderId="0" xfId="25" applyFont="1" applyBorder="1" applyAlignment="1">
      <alignment horizontal="right" vertical="center" wrapText="1"/>
    </xf>
    <xf numFmtId="0" fontId="12" fillId="16" borderId="4" xfId="10" applyFont="1" applyFill="1" applyBorder="1" applyAlignment="1">
      <alignment horizontal="center" vertical="center"/>
    </xf>
    <xf numFmtId="187" fontId="12" fillId="16" borderId="4" xfId="10" applyNumberFormat="1" applyFont="1" applyFill="1" applyBorder="1" applyAlignment="1">
      <alignment horizontal="center" vertical="center"/>
    </xf>
    <xf numFmtId="187" fontId="12" fillId="16" borderId="4" xfId="10" applyNumberFormat="1" applyFont="1" applyFill="1" applyBorder="1" applyAlignment="1">
      <alignment vertical="center"/>
    </xf>
    <xf numFmtId="187" fontId="7" fillId="0" borderId="0" xfId="10" applyNumberFormat="1" applyFont="1" applyAlignment="1">
      <alignment horizontal="center" vertical="center" wrapText="1"/>
    </xf>
    <xf numFmtId="0" fontId="55" fillId="0" borderId="0" xfId="10" applyFont="1" applyAlignment="1">
      <alignment horizontal="center" vertical="center" wrapText="1"/>
    </xf>
    <xf numFmtId="43" fontId="56" fillId="0" borderId="0" xfId="10" applyNumberFormat="1" applyFont="1" applyAlignment="1">
      <alignment vertical="center"/>
    </xf>
    <xf numFmtId="0" fontId="12" fillId="16" borderId="18" xfId="10" applyFont="1" applyFill="1" applyBorder="1" applyAlignment="1">
      <alignment vertical="center"/>
    </xf>
    <xf numFmtId="0" fontId="12" fillId="16" borderId="19" xfId="10" applyFont="1" applyFill="1" applyBorder="1" applyAlignment="1">
      <alignment vertical="center" wrapText="1"/>
    </xf>
    <xf numFmtId="0" fontId="12" fillId="16" borderId="19" xfId="10" applyFont="1" applyFill="1" applyBorder="1" applyAlignment="1">
      <alignment horizontal="center" vertical="center" wrapText="1"/>
    </xf>
    <xf numFmtId="187" fontId="12" fillId="16" borderId="19" xfId="10" applyNumberFormat="1" applyFont="1" applyFill="1" applyBorder="1" applyAlignment="1">
      <alignment horizontal="center" vertical="center" wrapText="1"/>
    </xf>
    <xf numFmtId="10" fontId="9" fillId="0" borderId="4" xfId="70" applyNumberFormat="1" applyFont="1" applyBorder="1" applyAlignment="1">
      <alignment vertical="center"/>
    </xf>
    <xf numFmtId="10" fontId="9" fillId="0" borderId="4" xfId="40" applyNumberFormat="1" applyFont="1" applyFill="1" applyBorder="1" applyAlignment="1">
      <alignment horizontal="center" vertical="center"/>
    </xf>
    <xf numFmtId="10" fontId="9" fillId="0" borderId="4" xfId="40" applyNumberFormat="1" applyFont="1" applyBorder="1" applyAlignment="1">
      <alignment horizontal="center" vertical="center"/>
    </xf>
    <xf numFmtId="43" fontId="45" fillId="0" borderId="0" xfId="14" applyNumberFormat="1" applyFont="1">
      <alignment vertical="center"/>
    </xf>
    <xf numFmtId="0" fontId="45" fillId="0" borderId="0" xfId="14" applyFont="1">
      <alignment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27" fillId="0" borderId="0" xfId="14" applyFont="1">
      <alignment vertical="center"/>
    </xf>
    <xf numFmtId="0" fontId="30" fillId="0" borderId="4" xfId="86" applyFont="1" applyBorder="1" applyAlignment="1">
      <alignment vertical="center"/>
    </xf>
    <xf numFmtId="0" fontId="30" fillId="0" borderId="4" xfId="86" applyFont="1" applyBorder="1" applyAlignment="1">
      <alignment horizontal="center" vertical="center"/>
    </xf>
    <xf numFmtId="0" fontId="29" fillId="0" borderId="4" xfId="86" applyFont="1" applyBorder="1" applyAlignment="1">
      <alignment vertical="center"/>
    </xf>
    <xf numFmtId="0" fontId="29" fillId="0" borderId="4" xfId="86" applyFont="1" applyBorder="1" applyAlignment="1">
      <alignment horizontal="center" vertical="center"/>
    </xf>
    <xf numFmtId="0" fontId="29" fillId="0" borderId="0" xfId="86" applyFont="1" applyAlignment="1">
      <alignment vertical="center"/>
    </xf>
    <xf numFmtId="0" fontId="29" fillId="0" borderId="0" xfId="86" applyFont="1" applyAlignment="1">
      <alignment horizontal="center" vertical="center"/>
    </xf>
    <xf numFmtId="0" fontId="7" fillId="0" borderId="0" xfId="15" applyFont="1">
      <alignment vertical="center"/>
    </xf>
    <xf numFmtId="0" fontId="7" fillId="0" borderId="0" xfId="14" applyFont="1" applyAlignment="1">
      <alignment vertical="center" wrapText="1"/>
    </xf>
    <xf numFmtId="164" fontId="9" fillId="0" borderId="4" xfId="87" applyNumberFormat="1" applyFont="1" applyFill="1" applyBorder="1" applyAlignment="1">
      <alignment vertical="center"/>
    </xf>
    <xf numFmtId="164" fontId="10" fillId="0" borderId="4" xfId="87" applyNumberFormat="1" applyFont="1" applyBorder="1" applyAlignment="1">
      <alignment vertical="center"/>
    </xf>
    <xf numFmtId="164" fontId="7" fillId="0" borderId="4" xfId="29" applyFont="1" applyFill="1" applyBorder="1" applyAlignment="1">
      <alignment horizontal="center" vertical="center"/>
    </xf>
    <xf numFmtId="0" fontId="7" fillId="0" borderId="0" xfId="10" applyFont="1" applyAlignment="1">
      <alignment horizontal="center" vertical="center"/>
    </xf>
    <xf numFmtId="0" fontId="8" fillId="0" borderId="0" xfId="10" applyFont="1" applyAlignment="1">
      <alignment horizontal="left" vertical="center" wrapText="1"/>
    </xf>
    <xf numFmtId="43" fontId="8" fillId="0" borderId="0" xfId="10" applyNumberFormat="1" applyFont="1" applyAlignment="1">
      <alignment horizontal="left" vertical="center" wrapText="1"/>
    </xf>
    <xf numFmtId="0" fontId="8" fillId="0" borderId="0" xfId="10" applyFont="1" applyAlignment="1">
      <alignment horizontal="left" vertical="center"/>
    </xf>
    <xf numFmtId="43" fontId="8" fillId="0" borderId="0" xfId="10" applyNumberFormat="1" applyFont="1" applyAlignment="1">
      <alignment horizontal="left" vertical="center"/>
    </xf>
    <xf numFmtId="43" fontId="8" fillId="0" borderId="0" xfId="10" applyNumberFormat="1" applyFont="1" applyAlignment="1">
      <alignment vertical="center"/>
    </xf>
    <xf numFmtId="164" fontId="45" fillId="0" borderId="0" xfId="69" applyFont="1" applyAlignment="1">
      <alignment vertical="center"/>
    </xf>
    <xf numFmtId="164" fontId="45" fillId="0" borderId="0" xfId="14" applyNumberFormat="1" applyFont="1">
      <alignment vertical="center"/>
    </xf>
    <xf numFmtId="10" fontId="30" fillId="0" borderId="0" xfId="0" applyNumberFormat="1" applyFont="1" applyFill="1"/>
    <xf numFmtId="43" fontId="7" fillId="0" borderId="0" xfId="14" applyNumberFormat="1" applyFont="1" applyAlignment="1">
      <alignment vertical="center"/>
    </xf>
    <xf numFmtId="164" fontId="24" fillId="0" borderId="4" xfId="69" applyFont="1" applyBorder="1" applyAlignment="1">
      <alignment horizontal="left"/>
    </xf>
    <xf numFmtId="164" fontId="7" fillId="6" borderId="4" xfId="69" applyFont="1" applyFill="1" applyBorder="1" applyAlignment="1">
      <alignment vertical="top"/>
    </xf>
    <xf numFmtId="164" fontId="7" fillId="0" borderId="4" xfId="69" applyFont="1" applyBorder="1" applyAlignment="1">
      <alignment vertical="top"/>
    </xf>
    <xf numFmtId="164" fontId="8" fillId="0" borderId="0" xfId="69" applyFont="1" applyBorder="1" applyAlignment="1">
      <alignment horizontal="center" vertical="center"/>
    </xf>
    <xf numFmtId="0" fontId="13" fillId="5" borderId="0" xfId="10" applyFont="1" applyFill="1" applyAlignment="1">
      <alignment horizontal="left" vertical="center" wrapText="1"/>
    </xf>
    <xf numFmtId="164" fontId="8" fillId="5" borderId="0" xfId="69" applyFont="1" applyFill="1" applyBorder="1" applyAlignment="1">
      <alignment horizontal="left" vertical="center"/>
    </xf>
    <xf numFmtId="187" fontId="13" fillId="5" borderId="0" xfId="10" applyNumberFormat="1" applyFont="1" applyFill="1" applyAlignment="1">
      <alignment horizontal="center" vertical="center" wrapText="1"/>
    </xf>
    <xf numFmtId="164" fontId="13" fillId="5" borderId="0" xfId="69" applyFont="1" applyFill="1" applyBorder="1" applyAlignment="1">
      <alignment horizontal="left" vertical="center"/>
    </xf>
    <xf numFmtId="0" fontId="8" fillId="5" borderId="0" xfId="10" applyFont="1" applyFill="1" applyAlignment="1">
      <alignment horizontal="left" vertical="center" wrapText="1"/>
    </xf>
    <xf numFmtId="164" fontId="7" fillId="0" borderId="0" xfId="69" applyFont="1" applyAlignment="1">
      <alignment horizontal="centerContinuous" vertical="center"/>
    </xf>
    <xf numFmtId="164" fontId="8" fillId="0" borderId="0" xfId="69" applyFont="1" applyFill="1" applyBorder="1" applyAlignment="1">
      <alignment horizontal="center" vertical="center"/>
    </xf>
    <xf numFmtId="0" fontId="8" fillId="0" borderId="4" xfId="10" applyFont="1" applyBorder="1" applyAlignment="1">
      <alignment horizontal="center" vertical="center" wrapText="1"/>
    </xf>
    <xf numFmtId="187" fontId="8" fillId="0" borderId="4" xfId="10" applyNumberFormat="1" applyFont="1" applyBorder="1" applyAlignment="1">
      <alignment horizontal="center" vertical="center" wrapText="1"/>
    </xf>
    <xf numFmtId="0" fontId="69" fillId="0" borderId="4" xfId="10" applyFont="1" applyBorder="1" applyAlignment="1">
      <alignment vertical="center"/>
    </xf>
    <xf numFmtId="0" fontId="70" fillId="17" borderId="4" xfId="0" applyFont="1" applyFill="1" applyBorder="1" applyAlignment="1">
      <alignment horizontal="center" vertical="center" wrapText="1"/>
    </xf>
    <xf numFmtId="0" fontId="70" fillId="17" borderId="4" xfId="0" applyFont="1" applyFill="1" applyBorder="1" applyAlignment="1">
      <alignment vertical="center" wrapText="1"/>
    </xf>
    <xf numFmtId="187" fontId="70" fillId="17" borderId="4" xfId="0" applyNumberFormat="1" applyFont="1" applyFill="1" applyBorder="1" applyAlignment="1">
      <alignment horizontal="center" vertical="center" wrapText="1"/>
    </xf>
    <xf numFmtId="164" fontId="70" fillId="0" borderId="4" xfId="69" applyFont="1" applyBorder="1" applyAlignment="1">
      <alignment horizontal="center" vertical="center" wrapText="1"/>
    </xf>
    <xf numFmtId="164" fontId="56" fillId="0" borderId="0" xfId="69" applyFont="1" applyFill="1" applyAlignment="1">
      <alignment vertical="center"/>
    </xf>
    <xf numFmtId="0" fontId="71" fillId="17" borderId="4" xfId="0" applyFont="1" applyFill="1" applyBorder="1" applyAlignment="1">
      <alignment horizontal="center" vertical="center" wrapText="1"/>
    </xf>
    <xf numFmtId="0" fontId="54" fillId="17" borderId="4" xfId="0" applyFont="1" applyFill="1" applyBorder="1" applyAlignment="1">
      <alignment horizontal="left" vertical="center" wrapText="1" indent="2"/>
    </xf>
    <xf numFmtId="0" fontId="71" fillId="6" borderId="4" xfId="0" applyFont="1" applyFill="1" applyBorder="1" applyAlignment="1">
      <alignment horizontal="center" vertical="center" wrapText="1"/>
    </xf>
    <xf numFmtId="0" fontId="54" fillId="6" borderId="4" xfId="0" applyFont="1" applyFill="1" applyBorder="1" applyAlignment="1">
      <alignment horizontal="left" vertical="center" wrapText="1" indent="2"/>
    </xf>
    <xf numFmtId="0" fontId="70" fillId="0" borderId="4" xfId="0" applyFont="1" applyBorder="1" applyAlignment="1">
      <alignment horizontal="center" vertical="center" wrapText="1"/>
    </xf>
    <xf numFmtId="187" fontId="70" fillId="0" borderId="4" xfId="0" applyNumberFormat="1" applyFont="1" applyBorder="1" applyAlignment="1">
      <alignment horizontal="center" vertical="center" wrapText="1"/>
    </xf>
    <xf numFmtId="0" fontId="71" fillId="0" borderId="4" xfId="0" applyFont="1" applyBorder="1" applyAlignment="1">
      <alignment horizontal="center" vertical="center" wrapText="1"/>
    </xf>
    <xf numFmtId="0" fontId="70" fillId="6" borderId="4" xfId="0" applyFont="1" applyFill="1" applyBorder="1" applyAlignment="1">
      <alignment horizontal="center" vertical="center" wrapText="1"/>
    </xf>
    <xf numFmtId="0" fontId="70" fillId="6" borderId="4" xfId="0" applyFont="1" applyFill="1" applyBorder="1" applyAlignment="1">
      <alignment vertical="center" wrapText="1"/>
    </xf>
    <xf numFmtId="0" fontId="70" fillId="0" borderId="4" xfId="0" applyFont="1" applyBorder="1" applyAlignment="1">
      <alignment vertical="center" wrapText="1"/>
    </xf>
    <xf numFmtId="0" fontId="54" fillId="0" borderId="4" xfId="0" applyFont="1" applyBorder="1" applyAlignment="1">
      <alignment horizontal="left" vertical="center" wrapText="1" indent="2"/>
    </xf>
    <xf numFmtId="0" fontId="54" fillId="0" borderId="4" xfId="0" applyFont="1" applyBorder="1" applyAlignment="1">
      <alignment horizontal="center" vertical="center" wrapText="1"/>
    </xf>
    <xf numFmtId="187" fontId="54" fillId="0" borderId="4" xfId="0" applyNumberFormat="1" applyFont="1" applyBorder="1" applyAlignment="1">
      <alignment horizontal="center" vertical="center" wrapText="1"/>
    </xf>
    <xf numFmtId="187" fontId="71" fillId="0" borderId="4" xfId="0" applyNumberFormat="1" applyFont="1" applyBorder="1" applyAlignment="1">
      <alignment horizontal="center" vertical="center" wrapText="1"/>
    </xf>
    <xf numFmtId="0" fontId="54" fillId="6" borderId="4" xfId="0" applyFont="1" applyFill="1" applyBorder="1" applyAlignment="1">
      <alignment horizontal="center" vertical="center" wrapText="1"/>
    </xf>
    <xf numFmtId="0" fontId="72" fillId="0" borderId="4" xfId="0" applyFont="1" applyBorder="1" applyAlignment="1">
      <alignment horizontal="left" vertical="center" wrapText="1" indent="2"/>
    </xf>
    <xf numFmtId="0" fontId="54" fillId="0" borderId="0" xfId="0" applyFont="1" applyAlignment="1">
      <alignment horizontal="center" vertical="center" wrapText="1"/>
    </xf>
    <xf numFmtId="187" fontId="54" fillId="0" borderId="0" xfId="0" applyNumberFormat="1" applyFont="1" applyAlignment="1">
      <alignment horizontal="center" vertical="center" wrapText="1"/>
    </xf>
    <xf numFmtId="0" fontId="71" fillId="17" borderId="0" xfId="0" applyFont="1" applyFill="1" applyAlignment="1">
      <alignment horizontal="center" vertical="center" wrapText="1"/>
    </xf>
    <xf numFmtId="187" fontId="7" fillId="17" borderId="0" xfId="10" applyNumberFormat="1" applyFont="1" applyFill="1" applyAlignment="1">
      <alignment horizontal="center" vertical="center"/>
    </xf>
    <xf numFmtId="0" fontId="54" fillId="17" borderId="6" xfId="0" applyFont="1" applyFill="1" applyBorder="1" applyAlignment="1">
      <alignment horizontal="left" vertical="center" wrapText="1" indent="2"/>
    </xf>
    <xf numFmtId="187" fontId="7" fillId="0" borderId="0" xfId="10" applyNumberFormat="1" applyFont="1" applyAlignment="1">
      <alignment horizontal="center" vertical="center"/>
    </xf>
    <xf numFmtId="0" fontId="54" fillId="14" borderId="4" xfId="0" applyFont="1" applyFill="1" applyBorder="1" applyAlignment="1">
      <alignment horizontal="left" vertical="center" wrapText="1" indent="2"/>
    </xf>
    <xf numFmtId="0" fontId="71" fillId="0" borderId="0" xfId="0" applyFont="1" applyAlignment="1">
      <alignment horizontal="center" vertical="center" wrapText="1"/>
    </xf>
    <xf numFmtId="0" fontId="54" fillId="0" borderId="4" xfId="0" applyFont="1" applyBorder="1" applyAlignment="1">
      <alignment horizontal="left" vertical="center" wrapText="1"/>
    </xf>
    <xf numFmtId="164" fontId="12" fillId="16" borderId="19" xfId="69" applyFont="1" applyFill="1" applyBorder="1" applyAlignment="1">
      <alignment vertical="center"/>
    </xf>
    <xf numFmtId="164" fontId="54" fillId="0" borderId="4" xfId="69" applyFont="1" applyBorder="1" applyAlignment="1">
      <alignment horizontal="right" vertical="center" wrapText="1"/>
    </xf>
    <xf numFmtId="164" fontId="57" fillId="0" borderId="4" xfId="69" applyFont="1" applyBorder="1" applyAlignment="1">
      <alignment horizontal="right" vertical="center" wrapText="1"/>
    </xf>
    <xf numFmtId="164" fontId="70" fillId="0" borderId="4" xfId="69" applyFont="1" applyFill="1" applyBorder="1" applyAlignment="1">
      <alignment horizontal="center" vertical="center" wrapText="1"/>
    </xf>
    <xf numFmtId="2" fontId="8" fillId="4" borderId="39" xfId="69" applyNumberFormat="1" applyFont="1" applyFill="1" applyBorder="1" applyAlignment="1">
      <alignment horizontal="center" vertical="center" wrapText="1"/>
    </xf>
    <xf numFmtId="2" fontId="8" fillId="4" borderId="4" xfId="69" applyNumberFormat="1" applyFont="1" applyFill="1" applyBorder="1" applyAlignment="1">
      <alignment horizontal="center" vertical="center" wrapText="1"/>
    </xf>
    <xf numFmtId="9" fontId="8" fillId="4" borderId="4" xfId="70" applyFont="1" applyFill="1" applyBorder="1" applyAlignment="1">
      <alignment horizontal="center" vertical="center" wrapText="1"/>
    </xf>
    <xf numFmtId="2" fontId="8" fillId="4" borderId="28" xfId="69" applyNumberFormat="1" applyFont="1" applyFill="1" applyBorder="1" applyAlignment="1">
      <alignment horizontal="center" vertical="center" wrapText="1"/>
    </xf>
    <xf numFmtId="2" fontId="8" fillId="4" borderId="38" xfId="69" applyNumberFormat="1" applyFont="1" applyFill="1" applyBorder="1" applyAlignment="1">
      <alignment horizontal="center" vertical="center" wrapText="1"/>
    </xf>
    <xf numFmtId="9" fontId="8" fillId="4" borderId="28" xfId="70" applyFont="1" applyFill="1" applyBorder="1" applyAlignment="1">
      <alignment horizontal="center" vertical="center" wrapText="1"/>
    </xf>
    <xf numFmtId="9" fontId="8" fillId="4" borderId="41" xfId="70" applyFont="1" applyFill="1" applyBorder="1" applyAlignment="1">
      <alignment horizontal="center" vertical="center" wrapText="1"/>
    </xf>
    <xf numFmtId="164" fontId="8" fillId="16" borderId="6" xfId="69" applyFont="1" applyFill="1" applyBorder="1" applyAlignment="1">
      <alignment horizontal="center" vertical="center" wrapText="1"/>
    </xf>
    <xf numFmtId="2" fontId="8" fillId="16" borderId="6" xfId="69" applyNumberFormat="1" applyFont="1" applyFill="1" applyBorder="1" applyAlignment="1">
      <alignment horizontal="center" vertical="center" wrapText="1"/>
    </xf>
    <xf numFmtId="9" fontId="8" fillId="16" borderId="6" xfId="70" applyFont="1" applyFill="1" applyBorder="1" applyAlignment="1">
      <alignment horizontal="center" vertical="center" wrapText="1"/>
    </xf>
    <xf numFmtId="2" fontId="7" fillId="0" borderId="4" xfId="69" applyNumberFormat="1" applyFont="1" applyFill="1" applyBorder="1" applyAlignment="1">
      <alignment vertical="center"/>
    </xf>
    <xf numFmtId="9" fontId="7" fillId="0" borderId="4" xfId="70" applyFont="1" applyFill="1" applyBorder="1" applyAlignment="1">
      <alignment vertical="center"/>
    </xf>
    <xf numFmtId="164" fontId="70" fillId="17" borderId="4" xfId="69" applyFont="1" applyFill="1" applyBorder="1" applyAlignment="1">
      <alignment horizontal="center" vertical="center" wrapText="1"/>
    </xf>
    <xf numFmtId="2" fontId="70" fillId="17" borderId="4" xfId="69" applyNumberFormat="1" applyFont="1" applyFill="1" applyBorder="1" applyAlignment="1">
      <alignment horizontal="center" vertical="center" wrapText="1"/>
    </xf>
    <xf numFmtId="2" fontId="73" fillId="17" borderId="4" xfId="69" applyNumberFormat="1" applyFont="1" applyFill="1" applyBorder="1" applyAlignment="1">
      <alignment horizontal="center" vertical="center" wrapText="1"/>
    </xf>
    <xf numFmtId="9" fontId="7" fillId="17" borderId="4" xfId="70" applyFont="1" applyFill="1" applyBorder="1" applyAlignment="1">
      <alignment vertical="center"/>
    </xf>
    <xf numFmtId="164" fontId="73" fillId="17" borderId="4" xfId="69" applyFont="1" applyFill="1" applyBorder="1" applyAlignment="1">
      <alignment horizontal="center" vertical="center" wrapText="1"/>
    </xf>
    <xf numFmtId="0" fontId="7" fillId="17" borderId="0" xfId="10" applyFont="1" applyFill="1" applyAlignment="1">
      <alignment horizontal="center" vertical="center"/>
    </xf>
    <xf numFmtId="0" fontId="7" fillId="17" borderId="0" xfId="10" applyFont="1" applyFill="1" applyAlignment="1">
      <alignment horizontal="left" vertical="center"/>
    </xf>
    <xf numFmtId="0" fontId="7" fillId="17" borderId="0" xfId="10" applyFont="1" applyFill="1" applyAlignment="1">
      <alignment vertical="center"/>
    </xf>
    <xf numFmtId="0" fontId="71" fillId="17" borderId="4" xfId="0" applyFont="1" applyFill="1" applyBorder="1" applyAlignment="1">
      <alignment horizontal="center" vertical="center"/>
    </xf>
    <xf numFmtId="187" fontId="71" fillId="17" borderId="4" xfId="0" applyNumberFormat="1" applyFont="1" applyFill="1" applyBorder="1" applyAlignment="1">
      <alignment horizontal="center" vertical="center" wrapText="1"/>
    </xf>
    <xf numFmtId="164" fontId="7" fillId="17" borderId="4" xfId="69" applyFont="1" applyFill="1" applyBorder="1" applyAlignment="1">
      <alignment vertical="center"/>
    </xf>
    <xf numFmtId="0" fontId="71" fillId="17" borderId="4" xfId="0" applyFont="1" applyFill="1" applyBorder="1" applyAlignment="1" applyProtection="1">
      <alignment horizontal="center" vertical="center" wrapText="1"/>
      <protection locked="0"/>
    </xf>
    <xf numFmtId="0" fontId="71" fillId="6" borderId="4" xfId="0" applyFont="1" applyFill="1" applyBorder="1" applyAlignment="1">
      <alignment horizontal="center" vertical="center"/>
    </xf>
    <xf numFmtId="187" fontId="71" fillId="6" borderId="4" xfId="0" applyNumberFormat="1" applyFont="1" applyFill="1" applyBorder="1" applyAlignment="1">
      <alignment horizontal="center" vertical="center" wrapText="1"/>
    </xf>
    <xf numFmtId="164" fontId="7" fillId="21" borderId="4" xfId="69" applyFont="1" applyFill="1" applyBorder="1" applyAlignment="1">
      <alignment vertical="center"/>
    </xf>
    <xf numFmtId="9" fontId="7" fillId="6" borderId="4" xfId="70" applyFont="1" applyFill="1" applyBorder="1" applyAlignment="1">
      <alignment vertical="center"/>
    </xf>
    <xf numFmtId="9" fontId="7" fillId="14" borderId="4" xfId="70" applyFont="1" applyFill="1" applyBorder="1" applyAlignment="1">
      <alignment vertical="center"/>
    </xf>
    <xf numFmtId="0" fontId="71" fillId="0" borderId="4" xfId="0" applyFont="1" applyBorder="1" applyAlignment="1" applyProtection="1">
      <alignment horizontal="center" vertical="center" wrapText="1"/>
      <protection locked="0"/>
    </xf>
    <xf numFmtId="164" fontId="7" fillId="22" borderId="4" xfId="69" applyFont="1" applyFill="1" applyBorder="1" applyAlignment="1">
      <alignment vertical="center"/>
    </xf>
    <xf numFmtId="2" fontId="7" fillId="17" borderId="4" xfId="69" applyNumberFormat="1" applyFont="1" applyFill="1" applyBorder="1" applyAlignment="1">
      <alignment vertical="center"/>
    </xf>
    <xf numFmtId="187" fontId="70" fillId="6" borderId="4" xfId="0" applyNumberFormat="1" applyFont="1" applyFill="1" applyBorder="1" applyAlignment="1">
      <alignment horizontal="center" vertical="center" wrapText="1"/>
    </xf>
    <xf numFmtId="164" fontId="70" fillId="6" borderId="4" xfId="69" applyFont="1" applyFill="1" applyBorder="1" applyAlignment="1">
      <alignment horizontal="center" vertical="center" wrapText="1"/>
    </xf>
    <xf numFmtId="2" fontId="70" fillId="6" borderId="4" xfId="69" applyNumberFormat="1" applyFont="1" applyFill="1" applyBorder="1" applyAlignment="1">
      <alignment horizontal="center" vertical="center" wrapText="1"/>
    </xf>
    <xf numFmtId="2" fontId="73" fillId="6" borderId="4" xfId="69" applyNumberFormat="1" applyFont="1" applyFill="1" applyBorder="1" applyAlignment="1">
      <alignment horizontal="center" vertical="center" wrapText="1"/>
    </xf>
    <xf numFmtId="164" fontId="73" fillId="6" borderId="4" xfId="69" applyFont="1" applyFill="1" applyBorder="1" applyAlignment="1">
      <alignment horizontal="center" vertical="center" wrapText="1"/>
    </xf>
    <xf numFmtId="0" fontId="7" fillId="6" borderId="0" xfId="10" applyFont="1" applyFill="1" applyAlignment="1">
      <alignment vertical="center"/>
    </xf>
    <xf numFmtId="0" fontId="71" fillId="6" borderId="4" xfId="0" applyFont="1" applyFill="1" applyBorder="1" applyAlignment="1" applyProtection="1">
      <alignment horizontal="center" vertical="center" wrapText="1"/>
      <protection locked="0"/>
    </xf>
    <xf numFmtId="164" fontId="7" fillId="14" borderId="4" xfId="69" applyFont="1" applyFill="1" applyBorder="1" applyAlignment="1">
      <alignment vertical="center"/>
    </xf>
    <xf numFmtId="0" fontId="7" fillId="0" borderId="4" xfId="10" applyFont="1" applyBorder="1" applyAlignment="1">
      <alignment vertical="center" wrapText="1"/>
    </xf>
    <xf numFmtId="2" fontId="73" fillId="0" borderId="4" xfId="69" applyNumberFormat="1" applyFont="1" applyFill="1" applyBorder="1" applyAlignment="1">
      <alignment horizontal="center" vertical="center" wrapText="1"/>
    </xf>
    <xf numFmtId="164" fontId="73" fillId="0" borderId="4" xfId="69" applyFont="1" applyFill="1" applyBorder="1" applyAlignment="1">
      <alignment horizontal="center" vertical="center" wrapText="1"/>
    </xf>
    <xf numFmtId="0" fontId="71" fillId="0" borderId="4" xfId="0" applyFont="1" applyBorder="1" applyAlignment="1">
      <alignment horizontal="center" vertical="center"/>
    </xf>
    <xf numFmtId="2" fontId="7" fillId="6" borderId="4" xfId="69" applyNumberFormat="1" applyFont="1" applyFill="1" applyBorder="1" applyAlignment="1">
      <alignment vertical="center"/>
    </xf>
    <xf numFmtId="164" fontId="7" fillId="23" borderId="4" xfId="69" applyFont="1" applyFill="1" applyBorder="1" applyAlignment="1">
      <alignment vertical="center"/>
    </xf>
    <xf numFmtId="184" fontId="73" fillId="0" borderId="4" xfId="69" applyNumberFormat="1" applyFont="1" applyFill="1" applyBorder="1" applyAlignment="1">
      <alignment horizontal="center" vertical="center" wrapText="1"/>
    </xf>
    <xf numFmtId="187" fontId="73" fillId="0" borderId="4" xfId="0" applyNumberFormat="1" applyFont="1" applyBorder="1" applyAlignment="1">
      <alignment horizontal="center" vertical="center" wrapText="1"/>
    </xf>
    <xf numFmtId="164" fontId="73" fillId="0" borderId="5" xfId="69" applyFont="1" applyFill="1" applyBorder="1" applyAlignment="1">
      <alignment horizontal="center" vertical="center" wrapText="1"/>
    </xf>
    <xf numFmtId="164" fontId="56" fillId="0" borderId="0" xfId="69" applyFont="1" applyFill="1" applyBorder="1" applyAlignment="1">
      <alignment vertical="center"/>
    </xf>
    <xf numFmtId="187" fontId="7" fillId="0" borderId="4" xfId="10" applyNumberFormat="1" applyFont="1" applyBorder="1"/>
    <xf numFmtId="9" fontId="7" fillId="6" borderId="4" xfId="70" applyFont="1" applyFill="1" applyBorder="1"/>
    <xf numFmtId="9" fontId="7" fillId="0" borderId="4" xfId="70" applyFont="1" applyFill="1" applyBorder="1"/>
    <xf numFmtId="164" fontId="7" fillId="0" borderId="5" xfId="69" applyFont="1" applyFill="1" applyBorder="1"/>
    <xf numFmtId="164" fontId="7" fillId="21" borderId="4" xfId="69" applyFont="1" applyFill="1" applyBorder="1" applyAlignment="1">
      <alignment horizontal="center" vertical="center"/>
    </xf>
    <xf numFmtId="2" fontId="70" fillId="0" borderId="4" xfId="69" applyNumberFormat="1" applyFont="1" applyFill="1" applyBorder="1" applyAlignment="1">
      <alignment horizontal="center" vertical="center" wrapText="1"/>
    </xf>
    <xf numFmtId="2" fontId="7" fillId="14" borderId="4" xfId="69" applyNumberFormat="1" applyFont="1" applyFill="1" applyBorder="1" applyAlignment="1">
      <alignment vertical="center"/>
    </xf>
    <xf numFmtId="0" fontId="88" fillId="6" borderId="4" xfId="10" applyFont="1" applyFill="1" applyBorder="1" applyAlignment="1">
      <alignment vertical="center" wrapText="1"/>
    </xf>
    <xf numFmtId="187" fontId="80" fillId="6" borderId="4" xfId="0" applyNumberFormat="1" applyFont="1" applyFill="1" applyBorder="1" applyAlignment="1">
      <alignment horizontal="center" vertical="center" wrapText="1"/>
    </xf>
    <xf numFmtId="0" fontId="7" fillId="25" borderId="4" xfId="0" applyFont="1" applyFill="1" applyBorder="1" applyAlignment="1">
      <alignment wrapText="1"/>
    </xf>
    <xf numFmtId="0" fontId="80" fillId="6" borderId="4" xfId="0" applyFont="1" applyFill="1" applyBorder="1" applyAlignment="1" applyProtection="1">
      <alignment horizontal="center" vertical="center" wrapText="1"/>
      <protection locked="0"/>
    </xf>
    <xf numFmtId="164" fontId="81" fillId="6" borderId="0" xfId="69" applyFont="1" applyFill="1" applyBorder="1" applyAlignment="1">
      <alignment vertical="center"/>
    </xf>
    <xf numFmtId="164" fontId="7" fillId="6" borderId="5" xfId="69" applyFont="1" applyFill="1" applyBorder="1" applyAlignment="1">
      <alignment vertical="center"/>
    </xf>
    <xf numFmtId="187" fontId="73" fillId="6" borderId="4" xfId="0" applyNumberFormat="1" applyFont="1" applyFill="1" applyBorder="1" applyAlignment="1">
      <alignment horizontal="center" vertical="center" wrapText="1"/>
    </xf>
    <xf numFmtId="164" fontId="73" fillId="6" borderId="5" xfId="69" applyFont="1" applyFill="1" applyBorder="1" applyAlignment="1">
      <alignment horizontal="center" vertical="center" wrapText="1"/>
    </xf>
    <xf numFmtId="187" fontId="54" fillId="6" borderId="4" xfId="0" applyNumberFormat="1" applyFont="1" applyFill="1" applyBorder="1" applyAlignment="1">
      <alignment horizontal="center" vertical="center" wrapText="1"/>
    </xf>
    <xf numFmtId="0" fontId="7" fillId="6" borderId="4" xfId="10" applyFont="1" applyFill="1" applyBorder="1" applyAlignment="1">
      <alignment wrapText="1"/>
    </xf>
    <xf numFmtId="164" fontId="7" fillId="6" borderId="4" xfId="69" applyFont="1" applyFill="1" applyBorder="1" applyAlignment="1">
      <alignment horizontal="center" vertical="center"/>
    </xf>
    <xf numFmtId="164" fontId="7" fillId="14" borderId="4" xfId="69" applyFont="1" applyFill="1" applyBorder="1"/>
    <xf numFmtId="164" fontId="7" fillId="6" borderId="5" xfId="69" applyFont="1" applyFill="1" applyBorder="1"/>
    <xf numFmtId="164" fontId="7" fillId="0" borderId="5" xfId="69" applyFont="1" applyFill="1" applyBorder="1" applyAlignment="1">
      <alignment vertical="center"/>
    </xf>
    <xf numFmtId="0" fontId="89" fillId="0" borderId="0" xfId="0" applyFont="1" applyAlignment="1">
      <alignment wrapText="1"/>
    </xf>
    <xf numFmtId="187" fontId="7" fillId="0" borderId="0" xfId="10" applyNumberFormat="1" applyFont="1"/>
    <xf numFmtId="0" fontId="7" fillId="0" borderId="0" xfId="10" applyFont="1" applyAlignment="1">
      <alignment wrapText="1"/>
    </xf>
    <xf numFmtId="164" fontId="7" fillId="17" borderId="0" xfId="69" applyFont="1" applyFill="1" applyBorder="1"/>
    <xf numFmtId="9" fontId="7" fillId="17" borderId="0" xfId="70" applyFont="1" applyFill="1" applyBorder="1"/>
    <xf numFmtId="0" fontId="80" fillId="0" borderId="4" xfId="0" applyFont="1" applyBorder="1" applyAlignment="1" applyProtection="1">
      <alignment horizontal="center" vertical="center" wrapText="1"/>
      <protection locked="0"/>
    </xf>
    <xf numFmtId="0" fontId="71" fillId="17" borderId="0" xfId="0" applyFont="1" applyFill="1" applyAlignment="1">
      <alignment horizontal="center" vertical="center"/>
    </xf>
    <xf numFmtId="187" fontId="71" fillId="17" borderId="0" xfId="0" applyNumberFormat="1" applyFont="1" applyFill="1" applyAlignment="1">
      <alignment horizontal="center" vertical="center" wrapText="1"/>
    </xf>
    <xf numFmtId="187" fontId="7" fillId="0" borderId="0" xfId="10" applyNumberFormat="1" applyFont="1" applyAlignment="1">
      <alignment vertical="center"/>
    </xf>
    <xf numFmtId="164" fontId="7" fillId="17" borderId="0" xfId="69" applyFont="1" applyFill="1" applyBorder="1" applyAlignment="1">
      <alignment vertical="center"/>
    </xf>
    <xf numFmtId="9" fontId="7" fillId="0" borderId="0" xfId="70" applyFont="1" applyFill="1" applyBorder="1" applyAlignment="1">
      <alignment vertical="center"/>
    </xf>
    <xf numFmtId="2" fontId="7" fillId="0" borderId="0" xfId="69" applyNumberFormat="1" applyFont="1" applyBorder="1" applyAlignment="1">
      <alignment vertical="center"/>
    </xf>
    <xf numFmtId="0" fontId="79" fillId="0" borderId="4" xfId="0" applyFont="1" applyBorder="1" applyAlignment="1">
      <alignment horizontal="center" vertical="center" wrapText="1"/>
    </xf>
    <xf numFmtId="2" fontId="7" fillId="0" borderId="4" xfId="69" applyNumberFormat="1" applyFont="1" applyFill="1" applyBorder="1" applyAlignment="1">
      <alignment horizontal="center" vertical="center"/>
    </xf>
    <xf numFmtId="0" fontId="16" fillId="0" borderId="4" xfId="0" applyFont="1" applyBorder="1" applyAlignment="1">
      <alignment wrapText="1"/>
    </xf>
    <xf numFmtId="164" fontId="79" fillId="0" borderId="4" xfId="0" applyNumberFormat="1" applyFont="1" applyBorder="1" applyAlignment="1">
      <alignment horizontal="center" vertical="center" wrapText="1"/>
    </xf>
    <xf numFmtId="0" fontId="90" fillId="0" borderId="0" xfId="0" applyFont="1" applyAlignment="1">
      <alignment wrapText="1"/>
    </xf>
    <xf numFmtId="0" fontId="80" fillId="0" borderId="4" xfId="0" applyFont="1" applyBorder="1" applyAlignment="1">
      <alignment horizontal="left" vertical="top" wrapText="1" indent="2"/>
    </xf>
    <xf numFmtId="174" fontId="7" fillId="0" borderId="4" xfId="69" applyNumberFormat="1" applyFont="1" applyFill="1" applyBorder="1" applyAlignment="1">
      <alignment vertical="center"/>
    </xf>
    <xf numFmtId="0" fontId="7" fillId="0" borderId="7" xfId="10" applyFont="1" applyBorder="1" applyAlignment="1">
      <alignment vertical="center" wrapText="1"/>
    </xf>
    <xf numFmtId="0" fontId="7" fillId="0" borderId="44" xfId="10" applyFont="1" applyBorder="1" applyAlignment="1">
      <alignment vertical="center" wrapText="1"/>
    </xf>
    <xf numFmtId="0" fontId="7" fillId="0" borderId="6" xfId="10" applyFont="1" applyBorder="1" applyAlignment="1">
      <alignment vertical="center" wrapText="1"/>
    </xf>
    <xf numFmtId="0" fontId="7" fillId="0" borderId="4" xfId="0" applyFont="1" applyBorder="1" applyAlignment="1">
      <alignment wrapText="1"/>
    </xf>
    <xf numFmtId="0" fontId="7" fillId="0" borderId="6" xfId="0" applyFont="1" applyBorder="1" applyAlignment="1">
      <alignment wrapText="1"/>
    </xf>
    <xf numFmtId="0" fontId="7" fillId="0" borderId="0" xfId="0" applyFont="1" applyAlignment="1">
      <alignment wrapText="1"/>
    </xf>
    <xf numFmtId="164" fontId="79" fillId="0" borderId="42" xfId="0" applyNumberFormat="1" applyFont="1" applyBorder="1" applyAlignment="1">
      <alignment horizontal="center" vertical="center" wrapText="1"/>
    </xf>
    <xf numFmtId="0" fontId="79" fillId="0" borderId="42" xfId="0" applyFont="1" applyBorder="1" applyAlignment="1">
      <alignment horizontal="center" vertical="center" wrapText="1"/>
    </xf>
    <xf numFmtId="0" fontId="83" fillId="0" borderId="42" xfId="0" applyFont="1" applyBorder="1" applyAlignment="1">
      <alignment horizontal="center" vertical="center" wrapText="1"/>
    </xf>
    <xf numFmtId="2" fontId="79" fillId="0" borderId="42" xfId="0" applyNumberFormat="1" applyFont="1" applyBorder="1" applyAlignment="1">
      <alignment horizontal="center" vertical="center" wrapText="1"/>
    </xf>
    <xf numFmtId="9" fontId="7" fillId="0" borderId="0" xfId="70" applyFont="1" applyBorder="1" applyAlignment="1">
      <alignment vertical="center"/>
    </xf>
    <xf numFmtId="0" fontId="71" fillId="0" borderId="0" xfId="0" applyFont="1" applyAlignment="1">
      <alignment horizontal="center" vertical="center"/>
    </xf>
    <xf numFmtId="187" fontId="71" fillId="0" borderId="0" xfId="0" applyNumberFormat="1" applyFont="1" applyAlignment="1">
      <alignment horizontal="center" vertical="center" wrapText="1"/>
    </xf>
    <xf numFmtId="2" fontId="7" fillId="0" borderId="0" xfId="69" applyNumberFormat="1" applyFont="1" applyFill="1" applyBorder="1" applyAlignment="1">
      <alignment vertical="center"/>
    </xf>
    <xf numFmtId="164" fontId="7" fillId="16" borderId="4" xfId="69" applyFont="1" applyFill="1" applyBorder="1" applyAlignment="1">
      <alignment vertical="center"/>
    </xf>
    <xf numFmtId="164" fontId="7" fillId="24" borderId="4" xfId="69" applyFont="1" applyFill="1" applyBorder="1" applyAlignment="1">
      <alignment vertical="center"/>
    </xf>
    <xf numFmtId="164" fontId="12" fillId="16" borderId="4" xfId="69" applyFont="1" applyFill="1" applyBorder="1" applyAlignment="1">
      <alignment vertical="center"/>
    </xf>
    <xf numFmtId="43" fontId="7" fillId="0" borderId="0" xfId="10" applyNumberFormat="1" applyFont="1" applyAlignment="1">
      <alignment vertical="center"/>
    </xf>
    <xf numFmtId="175" fontId="7" fillId="0" borderId="0" xfId="69" applyNumberFormat="1" applyFont="1" applyBorder="1" applyAlignment="1">
      <alignment horizontal="center" vertical="center"/>
    </xf>
    <xf numFmtId="164" fontId="7" fillId="0" borderId="0" xfId="69" applyFont="1" applyBorder="1" applyAlignment="1">
      <alignment wrapText="1"/>
    </xf>
    <xf numFmtId="164" fontId="7" fillId="0" borderId="0" xfId="69" applyFont="1" applyBorder="1"/>
    <xf numFmtId="187" fontId="7" fillId="0" borderId="0" xfId="69" applyNumberFormat="1" applyFont="1" applyBorder="1"/>
    <xf numFmtId="164" fontId="13" fillId="5" borderId="0" xfId="69" applyFont="1" applyFill="1" applyBorder="1" applyAlignment="1">
      <alignment horizontal="left" wrapText="1"/>
    </xf>
    <xf numFmtId="0" fontId="8" fillId="5" borderId="0" xfId="10" applyFont="1" applyFill="1" applyAlignment="1">
      <alignment horizontal="center" vertical="center"/>
    </xf>
    <xf numFmtId="187" fontId="7" fillId="0" borderId="0" xfId="10" applyNumberFormat="1" applyFont="1" applyAlignment="1">
      <alignment horizontal="center"/>
    </xf>
    <xf numFmtId="164" fontId="8" fillId="0" borderId="0" xfId="69" applyFont="1" applyFill="1" applyBorder="1" applyAlignment="1">
      <alignment horizontal="center"/>
    </xf>
    <xf numFmtId="164" fontId="8" fillId="7" borderId="4" xfId="69" applyFont="1" applyFill="1" applyBorder="1" applyAlignment="1">
      <alignment horizontal="center" vertical="center" wrapText="1"/>
    </xf>
    <xf numFmtId="175" fontId="8" fillId="16" borderId="4" xfId="69" applyNumberFormat="1" applyFont="1" applyFill="1" applyBorder="1" applyAlignment="1">
      <alignment horizontal="center" vertical="center" wrapText="1"/>
    </xf>
    <xf numFmtId="164" fontId="8" fillId="16" borderId="4" xfId="69" applyFont="1" applyFill="1" applyBorder="1" applyAlignment="1">
      <alignment horizontal="center" vertical="center" wrapText="1"/>
    </xf>
    <xf numFmtId="187" fontId="8" fillId="16" borderId="4" xfId="69" applyNumberFormat="1" applyFont="1" applyFill="1" applyBorder="1" applyAlignment="1">
      <alignment horizontal="center" vertical="center" wrapText="1"/>
    </xf>
    <xf numFmtId="175" fontId="8" fillId="0" borderId="4" xfId="69" applyNumberFormat="1" applyFont="1" applyFill="1" applyBorder="1" applyAlignment="1">
      <alignment horizontal="center" vertical="center"/>
    </xf>
    <xf numFmtId="164" fontId="68" fillId="0" borderId="4" xfId="69" applyFont="1" applyFill="1" applyBorder="1" applyAlignment="1">
      <alignment wrapText="1"/>
    </xf>
    <xf numFmtId="0" fontId="69" fillId="0" borderId="4" xfId="10" applyFont="1" applyBorder="1" applyAlignment="1">
      <alignment vertical="center" wrapText="1"/>
    </xf>
    <xf numFmtId="187" fontId="71" fillId="14" borderId="4" xfId="0" applyNumberFormat="1" applyFont="1" applyFill="1" applyBorder="1" applyAlignment="1">
      <alignment horizontal="center" vertical="center" wrapText="1"/>
    </xf>
    <xf numFmtId="187" fontId="70" fillId="14" borderId="4" xfId="0" applyNumberFormat="1"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4" xfId="10" applyFont="1" applyFill="1" applyBorder="1" applyAlignment="1">
      <alignment horizontal="center" vertical="center" wrapText="1"/>
    </xf>
    <xf numFmtId="0" fontId="8" fillId="7" borderId="4" xfId="10" applyFont="1" applyFill="1" applyBorder="1" applyAlignment="1">
      <alignment horizontal="center" vertical="center" wrapText="1"/>
    </xf>
    <xf numFmtId="164" fontId="8" fillId="4" borderId="4" xfId="69" applyFont="1" applyFill="1" applyBorder="1" applyAlignment="1">
      <alignment horizontal="center" vertical="center" wrapText="1"/>
    </xf>
    <xf numFmtId="0" fontId="8" fillId="0" borderId="0" xfId="10" applyFont="1" applyAlignment="1">
      <alignment horizontal="center" vertical="center"/>
    </xf>
    <xf numFmtId="0" fontId="80" fillId="0" borderId="4" xfId="0" applyFont="1" applyBorder="1" applyAlignment="1">
      <alignment wrapText="1"/>
    </xf>
    <xf numFmtId="0" fontId="13" fillId="0" borderId="0" xfId="14" applyFont="1" applyAlignment="1">
      <alignment horizontal="center" vertical="center"/>
    </xf>
    <xf numFmtId="0" fontId="42" fillId="0" borderId="0" xfId="10" applyFont="1" applyAlignment="1">
      <alignment horizontal="center" vertical="center"/>
    </xf>
    <xf numFmtId="0" fontId="13" fillId="15" borderId="0" xfId="14" applyFont="1" applyFill="1" applyAlignment="1">
      <alignment horizontal="center" vertical="center"/>
    </xf>
    <xf numFmtId="0" fontId="42" fillId="15"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51" fillId="12"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33" fillId="6" borderId="12" xfId="10" applyFont="1" applyFill="1" applyBorder="1" applyAlignment="1">
      <alignment horizontal="left" vertical="center" wrapText="1"/>
    </xf>
    <xf numFmtId="0" fontId="33" fillId="6" borderId="0" xfId="10" applyFont="1" applyFill="1" applyBorder="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29" fillId="7" borderId="7" xfId="10" applyFont="1" applyFill="1" applyBorder="1" applyAlignment="1">
      <alignment horizontal="center" vertical="center"/>
    </xf>
    <xf numFmtId="0" fontId="29" fillId="7" borderId="6" xfId="10" applyFont="1" applyFill="1" applyBorder="1" applyAlignment="1">
      <alignment horizontal="center" vertical="center"/>
    </xf>
    <xf numFmtId="0" fontId="33" fillId="6" borderId="9" xfId="10" applyFont="1" applyFill="1" applyBorder="1" applyAlignment="1">
      <alignment horizontal="left" vertical="center"/>
    </xf>
    <xf numFmtId="0" fontId="33" fillId="6" borderId="11" xfId="10" applyFont="1" applyFill="1" applyBorder="1" applyAlignment="1">
      <alignment horizontal="left" vertical="center"/>
    </xf>
    <xf numFmtId="0" fontId="29" fillId="7" borderId="7" xfId="10" applyFont="1" applyFill="1" applyBorder="1" applyAlignment="1">
      <alignment horizontal="center" vertical="center" wrapText="1"/>
    </xf>
    <xf numFmtId="0" fontId="29" fillId="7" borderId="6" xfId="10" applyFont="1" applyFill="1" applyBorder="1" applyAlignment="1">
      <alignment horizontal="center" vertical="center" wrapText="1"/>
    </xf>
    <xf numFmtId="0" fontId="29" fillId="7" borderId="5" xfId="10" applyFont="1" applyFill="1" applyBorder="1" applyAlignment="1">
      <alignment horizontal="center" vertical="center"/>
    </xf>
    <xf numFmtId="0" fontId="29" fillId="7" borderId="3" xfId="10" applyFont="1" applyFill="1" applyBorder="1" applyAlignment="1">
      <alignment horizontal="center" vertical="center"/>
    </xf>
    <xf numFmtId="0" fontId="29" fillId="7" borderId="8" xfId="10" applyFont="1" applyFill="1" applyBorder="1" applyAlignment="1">
      <alignment horizontal="center" vertical="center"/>
    </xf>
    <xf numFmtId="0" fontId="12" fillId="7" borderId="4" xfId="14" applyFont="1" applyFill="1" applyBorder="1" applyAlignment="1">
      <alignment horizontal="center" vertical="center" wrapText="1"/>
    </xf>
    <xf numFmtId="0" fontId="66" fillId="6" borderId="12" xfId="10" applyFont="1" applyFill="1" applyBorder="1" applyAlignment="1">
      <alignment horizontal="left" vertical="center"/>
    </xf>
    <xf numFmtId="0" fontId="66" fillId="6" borderId="0" xfId="10" applyFont="1" applyFill="1" applyAlignment="1">
      <alignment horizontal="left" vertical="center"/>
    </xf>
    <xf numFmtId="0" fontId="33" fillId="6" borderId="0" xfId="10" applyFont="1" applyFill="1" applyAlignment="1">
      <alignment horizontal="left" vertical="center" wrapText="1"/>
    </xf>
    <xf numFmtId="0" fontId="30" fillId="6" borderId="0" xfId="10" applyFont="1" applyFill="1" applyAlignment="1">
      <alignment vertical="center"/>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21" fillId="0" borderId="0" xfId="10" applyFont="1" applyAlignment="1">
      <alignment horizontal="center" vertical="center"/>
    </xf>
    <xf numFmtId="0" fontId="12" fillId="7" borderId="4" xfId="14" quotePrefix="1" applyFont="1" applyFill="1" applyBorder="1" applyAlignment="1">
      <alignment horizontal="center" vertical="center" wrapText="1"/>
    </xf>
    <xf numFmtId="0" fontId="16" fillId="7" borderId="4" xfId="10" applyFont="1" applyFill="1" applyBorder="1" applyAlignment="1">
      <alignment horizontal="center" vertical="center" wrapText="1"/>
    </xf>
    <xf numFmtId="0" fontId="12" fillId="0" borderId="0" xfId="14" applyFont="1" applyAlignment="1">
      <alignment horizontal="center" vertical="center"/>
    </xf>
    <xf numFmtId="0" fontId="47" fillId="0" borderId="0" xfId="10" applyFont="1" applyAlignment="1">
      <alignment horizontal="center" vertical="center"/>
    </xf>
    <xf numFmtId="0" fontId="8" fillId="7" borderId="4" xfId="14" quotePrefix="1" applyFont="1" applyFill="1" applyBorder="1" applyAlignment="1">
      <alignment horizontal="center" vertical="center" wrapText="1"/>
    </xf>
    <xf numFmtId="0" fontId="8" fillId="7" borderId="5" xfId="14"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1" fontId="29" fillId="20" borderId="4" xfId="0" applyNumberFormat="1" applyFont="1" applyFill="1" applyBorder="1" applyAlignment="1">
      <alignment horizontal="center"/>
    </xf>
    <xf numFmtId="1" fontId="29" fillId="20" borderId="34" xfId="0" applyNumberFormat="1" applyFont="1" applyFill="1" applyBorder="1" applyAlignment="1">
      <alignment horizontal="center"/>
    </xf>
    <xf numFmtId="1" fontId="29" fillId="20" borderId="3" xfId="0" applyNumberFormat="1" applyFont="1" applyFill="1" applyBorder="1" applyAlignment="1">
      <alignment horizontal="center"/>
    </xf>
    <xf numFmtId="1" fontId="29" fillId="20" borderId="35" xfId="0" applyNumberFormat="1" applyFont="1" applyFill="1" applyBorder="1" applyAlignment="1">
      <alignment horizontal="center"/>
    </xf>
    <xf numFmtId="1" fontId="29" fillId="20" borderId="8" xfId="0" applyNumberFormat="1" applyFont="1" applyFill="1" applyBorder="1" applyAlignment="1">
      <alignment horizontal="center"/>
    </xf>
    <xf numFmtId="0" fontId="12"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8" fillId="4" borderId="4" xfId="10" applyFont="1" applyFill="1" applyBorder="1" applyAlignment="1">
      <alignment horizontal="center" vertical="center"/>
    </xf>
    <xf numFmtId="0" fontId="8" fillId="4" borderId="6" xfId="14" applyFont="1" applyFill="1" applyBorder="1" applyAlignment="1">
      <alignment horizontal="center" vertical="center" wrapText="1"/>
    </xf>
    <xf numFmtId="0" fontId="8" fillId="4" borderId="7" xfId="14" applyFont="1" applyFill="1" applyBorder="1" applyAlignment="1">
      <alignment horizontal="left" vertical="center" wrapText="1"/>
    </xf>
    <xf numFmtId="0" fontId="8" fillId="4" borderId="6" xfId="14" applyFont="1" applyFill="1" applyBorder="1" applyAlignment="1">
      <alignment horizontal="left"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7" fillId="0" borderId="9" xfId="14" quotePrefix="1" applyFont="1" applyFill="1" applyBorder="1" applyAlignment="1">
      <alignment horizontal="center" vertical="center" wrapText="1"/>
    </xf>
    <xf numFmtId="0" fontId="7" fillId="0" borderId="11" xfId="14" quotePrefix="1" applyFont="1" applyFill="1" applyBorder="1" applyAlignment="1">
      <alignment horizontal="center" vertical="center" wrapText="1"/>
    </xf>
    <xf numFmtId="0" fontId="7" fillId="0" borderId="12" xfId="14" quotePrefix="1" applyFont="1" applyFill="1" applyBorder="1" applyAlignment="1">
      <alignment horizontal="center" vertical="center" wrapText="1"/>
    </xf>
    <xf numFmtId="0" fontId="7" fillId="0" borderId="0" xfId="14" quotePrefix="1" applyFont="1" applyFill="1" applyBorder="1" applyAlignment="1">
      <alignment horizontal="center" vertical="center" wrapText="1"/>
    </xf>
    <xf numFmtId="0" fontId="7" fillId="0" borderId="15" xfId="14" quotePrefix="1" applyFont="1" applyFill="1" applyBorder="1" applyAlignment="1">
      <alignment horizontal="center" vertical="center" wrapText="1"/>
    </xf>
    <xf numFmtId="0" fontId="7" fillId="0" borderId="16" xfId="14" quotePrefix="1" applyFont="1" applyFill="1" applyBorder="1" applyAlignment="1">
      <alignment horizontal="center" vertical="center" wrapText="1"/>
    </xf>
    <xf numFmtId="0" fontId="7" fillId="0" borderId="13" xfId="14" quotePrefix="1" applyFont="1" applyFill="1" applyBorder="1" applyAlignment="1">
      <alignment horizontal="center" vertical="center" wrapText="1"/>
    </xf>
    <xf numFmtId="0" fontId="7" fillId="0" borderId="14" xfId="14" quotePrefix="1" applyFont="1" applyFill="1" applyBorder="1" applyAlignment="1">
      <alignment horizontal="center" vertical="center" wrapText="1"/>
    </xf>
    <xf numFmtId="0" fontId="7" fillId="0" borderId="17" xfId="14" quotePrefix="1" applyFont="1" applyFill="1" applyBorder="1" applyAlignment="1">
      <alignment horizontal="center" vertical="center" wrapText="1"/>
    </xf>
    <xf numFmtId="0" fontId="17" fillId="0" borderId="0" xfId="10" applyAlignment="1">
      <alignment horizontal="center" vertical="center"/>
    </xf>
    <xf numFmtId="0" fontId="8" fillId="4" borderId="4" xfId="14" quotePrefix="1" applyFont="1" applyFill="1" applyBorder="1" applyAlignment="1">
      <alignment horizontal="center" vertical="center" wrapText="1"/>
    </xf>
    <xf numFmtId="0" fontId="8" fillId="0" borderId="9" xfId="10" quotePrefix="1" applyFont="1" applyFill="1" applyBorder="1" applyAlignment="1">
      <alignment horizontal="center" vertical="center"/>
    </xf>
    <xf numFmtId="0" fontId="8" fillId="0" borderId="11" xfId="10" quotePrefix="1" applyFont="1" applyFill="1" applyBorder="1" applyAlignment="1">
      <alignment horizontal="center" vertical="center"/>
    </xf>
    <xf numFmtId="0" fontId="8" fillId="0" borderId="12" xfId="10" quotePrefix="1" applyFont="1" applyFill="1" applyBorder="1" applyAlignment="1">
      <alignment horizontal="center" vertical="center"/>
    </xf>
    <xf numFmtId="0" fontId="8" fillId="0" borderId="0" xfId="10" quotePrefix="1" applyFont="1" applyFill="1" applyBorder="1" applyAlignment="1">
      <alignment horizontal="center" vertical="center"/>
    </xf>
    <xf numFmtId="0" fontId="8" fillId="0" borderId="15" xfId="10" quotePrefix="1" applyFont="1" applyFill="1" applyBorder="1" applyAlignment="1">
      <alignment horizontal="center" vertical="center"/>
    </xf>
    <xf numFmtId="0" fontId="8" fillId="0" borderId="16" xfId="10" quotePrefix="1" applyFont="1" applyFill="1" applyBorder="1" applyAlignment="1">
      <alignment horizontal="center" vertical="center"/>
    </xf>
    <xf numFmtId="0" fontId="8" fillId="0" borderId="11"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Border="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2"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8" fillId="0" borderId="14"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16" xfId="14" applyFont="1" applyFill="1" applyBorder="1" applyAlignment="1">
      <alignment horizontal="center" vertical="center" wrapText="1"/>
    </xf>
    <xf numFmtId="0" fontId="8" fillId="0" borderId="17" xfId="14"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7" xfId="10" applyFont="1" applyFill="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164" fontId="25" fillId="0" borderId="7" xfId="29" applyFont="1" applyFill="1" applyBorder="1" applyAlignment="1">
      <alignment horizontal="center" vertical="center"/>
    </xf>
    <xf numFmtId="164" fontId="25" fillId="0" borderId="10" xfId="29" applyFont="1" applyFill="1" applyBorder="1" applyAlignment="1">
      <alignment horizontal="center" vertical="center"/>
    </xf>
    <xf numFmtId="164" fontId="25" fillId="0" borderId="6" xfId="29" applyFont="1" applyFill="1" applyBorder="1" applyAlignment="1">
      <alignment horizontal="center" vertical="center"/>
    </xf>
    <xf numFmtId="164" fontId="7" fillId="0" borderId="4" xfId="29" applyFont="1" applyFill="1" applyBorder="1" applyAlignment="1">
      <alignment horizontal="center" vertical="center"/>
    </xf>
    <xf numFmtId="164" fontId="7" fillId="0" borderId="7" xfId="29" applyFont="1" applyFill="1" applyBorder="1" applyAlignment="1">
      <alignment horizontal="center" vertical="center"/>
    </xf>
    <xf numFmtId="164" fontId="7" fillId="0" borderId="10" xfId="29" applyFont="1" applyFill="1" applyBorder="1" applyAlignment="1">
      <alignment horizontal="center" vertical="center"/>
    </xf>
    <xf numFmtId="164" fontId="7" fillId="0" borderId="6" xfId="29" applyFont="1" applyFill="1" applyBorder="1" applyAlignment="1">
      <alignment horizontal="center" vertical="center"/>
    </xf>
    <xf numFmtId="0" fontId="7" fillId="0" borderId="4" xfId="0" applyFont="1" applyFill="1" applyBorder="1" applyAlignment="1">
      <alignment horizontal="center" vertical="top"/>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164" fontId="8" fillId="0" borderId="4" xfId="29" applyFont="1" applyFill="1" applyBorder="1" applyAlignment="1" applyProtection="1">
      <alignment horizontal="center" vertical="center"/>
    </xf>
    <xf numFmtId="0" fontId="8" fillId="0" borderId="0" xfId="10" applyFont="1" applyFill="1" applyAlignment="1">
      <alignment horizontal="left"/>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0" fontId="8" fillId="7" borderId="4" xfId="10" applyFont="1" applyFill="1" applyBorder="1" applyAlignment="1">
      <alignment horizontal="center" wrapText="1"/>
    </xf>
    <xf numFmtId="0" fontId="8" fillId="0" borderId="0" xfId="10" applyFont="1" applyAlignment="1">
      <alignment horizontal="left"/>
    </xf>
    <xf numFmtId="2" fontId="7" fillId="0" borderId="7" xfId="10" applyNumberFormat="1" applyFont="1" applyFill="1" applyBorder="1" applyAlignment="1" applyProtection="1">
      <alignment horizontal="center" vertical="center"/>
    </xf>
    <xf numFmtId="2" fontId="7" fillId="0" borderId="10" xfId="10" applyNumberFormat="1" applyFont="1" applyFill="1" applyBorder="1" applyAlignment="1" applyProtection="1">
      <alignment horizontal="center" vertical="center"/>
    </xf>
    <xf numFmtId="2" fontId="7" fillId="0" borderId="6" xfId="10" applyNumberFormat="1" applyFont="1" applyFill="1" applyBorder="1" applyAlignment="1" applyProtection="1">
      <alignment horizontal="center" vertical="center"/>
    </xf>
    <xf numFmtId="4" fontId="7" fillId="0" borderId="7" xfId="10" applyNumberFormat="1" applyFont="1" applyFill="1" applyBorder="1" applyAlignment="1" applyProtection="1">
      <alignment horizontal="center" vertical="center"/>
    </xf>
    <xf numFmtId="4" fontId="7" fillId="0" borderId="10" xfId="10" applyNumberFormat="1" applyFont="1" applyFill="1" applyBorder="1" applyAlignment="1" applyProtection="1">
      <alignment horizontal="center" vertical="center"/>
    </xf>
    <xf numFmtId="4" fontId="7" fillId="0" borderId="6" xfId="10" applyNumberFormat="1" applyFont="1" applyFill="1" applyBorder="1" applyAlignment="1" applyProtection="1">
      <alignment horizontal="center" vertical="center"/>
    </xf>
    <xf numFmtId="164" fontId="7" fillId="0" borderId="7" xfId="29" applyFont="1" applyFill="1" applyBorder="1" applyAlignment="1" applyProtection="1">
      <alignment horizontal="center" vertical="center"/>
    </xf>
    <xf numFmtId="164" fontId="7" fillId="0" borderId="10" xfId="29" applyFont="1" applyFill="1" applyBorder="1" applyAlignment="1" applyProtection="1">
      <alignment horizontal="center" vertical="center"/>
    </xf>
    <xf numFmtId="164" fontId="7" fillId="0" borderId="6" xfId="29" applyFont="1" applyFill="1" applyBorder="1" applyAlignment="1" applyProtection="1">
      <alignment horizontal="center" vertical="center"/>
    </xf>
    <xf numFmtId="4" fontId="8" fillId="0" borderId="4" xfId="10" applyNumberFormat="1" applyFont="1" applyFill="1" applyBorder="1" applyAlignment="1" applyProtection="1">
      <alignment horizontal="center" vertical="center"/>
    </xf>
    <xf numFmtId="0" fontId="8" fillId="0" borderId="0" xfId="14" applyFont="1" applyFill="1" applyBorder="1" applyAlignment="1">
      <alignment horizontal="center" vertical="center"/>
    </xf>
    <xf numFmtId="0" fontId="17" fillId="0" borderId="4" xfId="10" applyBorder="1" applyAlignment="1">
      <alignment vertical="center"/>
    </xf>
    <xf numFmtId="0" fontId="12" fillId="0" borderId="0" xfId="14" applyFont="1" applyFill="1" applyBorder="1" applyAlignment="1">
      <alignment horizontal="center" vertical="center" wrapText="1"/>
    </xf>
    <xf numFmtId="0" fontId="11" fillId="4" borderId="4" xfId="10" applyFont="1" applyFill="1" applyBorder="1" applyAlignment="1">
      <alignment horizontal="center" vertical="center" wrapText="1"/>
    </xf>
    <xf numFmtId="187" fontId="8" fillId="4" borderId="5" xfId="10" applyNumberFormat="1" applyFont="1" applyFill="1" applyBorder="1" applyAlignment="1">
      <alignment horizontal="center" vertical="center" wrapText="1"/>
    </xf>
    <xf numFmtId="187" fontId="8" fillId="4" borderId="3" xfId="10" applyNumberFormat="1" applyFont="1" applyFill="1" applyBorder="1" applyAlignment="1">
      <alignment horizontal="center" vertical="center" wrapText="1"/>
    </xf>
    <xf numFmtId="187" fontId="8" fillId="4" borderId="8" xfId="10" applyNumberFormat="1" applyFont="1" applyFill="1" applyBorder="1" applyAlignment="1">
      <alignment horizontal="center" vertical="center" wrapText="1"/>
    </xf>
    <xf numFmtId="187" fontId="8" fillId="4" borderId="7" xfId="10" applyNumberFormat="1" applyFont="1" applyFill="1" applyBorder="1" applyAlignment="1">
      <alignment horizontal="center" vertical="center"/>
    </xf>
    <xf numFmtId="187" fontId="8" fillId="4" borderId="6" xfId="10" applyNumberFormat="1" applyFont="1" applyFill="1" applyBorder="1" applyAlignment="1">
      <alignment horizontal="center" vertical="center"/>
    </xf>
    <xf numFmtId="175" fontId="8" fillId="4" borderId="4" xfId="69" applyNumberFormat="1" applyFont="1" applyFill="1" applyBorder="1" applyAlignment="1">
      <alignment horizontal="center" vertical="center" wrapText="1"/>
    </xf>
    <xf numFmtId="164" fontId="8" fillId="4" borderId="4" xfId="69" applyFont="1" applyFill="1" applyBorder="1" applyAlignment="1">
      <alignment horizontal="center" vertical="center" wrapText="1"/>
    </xf>
    <xf numFmtId="187" fontId="8" fillId="4" borderId="4" xfId="69" applyNumberFormat="1" applyFont="1" applyFill="1" applyBorder="1" applyAlignment="1">
      <alignment horizontal="center" vertical="center" wrapText="1"/>
    </xf>
    <xf numFmtId="0" fontId="7" fillId="0" borderId="7" xfId="0" applyFont="1" applyBorder="1" applyAlignment="1">
      <alignment wrapText="1"/>
    </xf>
    <xf numFmtId="0" fontId="7" fillId="0" borderId="43" xfId="0" applyFont="1" applyBorder="1" applyAlignment="1">
      <alignment wrapText="1"/>
    </xf>
    <xf numFmtId="0" fontId="7" fillId="0" borderId="7" xfId="10" applyFont="1" applyBorder="1" applyAlignment="1">
      <alignment horizontal="center" vertical="center" wrapText="1"/>
    </xf>
    <xf numFmtId="0" fontId="7" fillId="0" borderId="6" xfId="10" applyFont="1" applyBorder="1" applyAlignment="1">
      <alignment horizontal="center" vertical="center" wrapText="1"/>
    </xf>
    <xf numFmtId="0" fontId="7" fillId="0" borderId="44" xfId="10" applyFont="1" applyBorder="1" applyAlignment="1">
      <alignment horizontal="left" vertical="center" wrapText="1"/>
    </xf>
    <xf numFmtId="0" fontId="8" fillId="14" borderId="4" xfId="10" applyFont="1" applyFill="1" applyBorder="1" applyAlignment="1">
      <alignment horizontal="center" vertical="center" wrapText="1"/>
    </xf>
    <xf numFmtId="164" fontId="8" fillId="4" borderId="20" xfId="69" applyFont="1" applyFill="1" applyBorder="1" applyAlignment="1">
      <alignment horizontal="center" vertical="center" wrapText="1"/>
    </xf>
    <xf numFmtId="164" fontId="8" fillId="4" borderId="23" xfId="69" applyFont="1" applyFill="1" applyBorder="1" applyAlignment="1">
      <alignment horizontal="center" vertical="center" wrapText="1"/>
    </xf>
    <xf numFmtId="164" fontId="8" fillId="4" borderId="5" xfId="69" applyFont="1" applyFill="1" applyBorder="1" applyAlignment="1">
      <alignment horizontal="center" vertical="center" wrapText="1"/>
    </xf>
    <xf numFmtId="164" fontId="8" fillId="4" borderId="3" xfId="69" applyFont="1" applyFill="1" applyBorder="1" applyAlignment="1">
      <alignment horizontal="center" vertical="center" wrapText="1"/>
    </xf>
    <xf numFmtId="164" fontId="8" fillId="4" borderId="35" xfId="69" applyFont="1" applyFill="1" applyBorder="1" applyAlignment="1">
      <alignment horizontal="center" vertical="center" wrapText="1"/>
    </xf>
    <xf numFmtId="9" fontId="8" fillId="4" borderId="20" xfId="70" applyFont="1" applyFill="1" applyBorder="1" applyAlignment="1">
      <alignment horizontal="center" vertical="center" wrapText="1"/>
    </xf>
    <xf numFmtId="9" fontId="8" fillId="4" borderId="23" xfId="70" applyFont="1" applyFill="1" applyBorder="1" applyAlignment="1">
      <alignment horizontal="center" vertical="center" wrapText="1"/>
    </xf>
    <xf numFmtId="2" fontId="8" fillId="4" borderId="31" xfId="69" applyNumberFormat="1" applyFont="1" applyFill="1" applyBorder="1" applyAlignment="1">
      <alignment horizontal="center" vertical="center" wrapText="1"/>
    </xf>
    <xf numFmtId="2" fontId="8" fillId="4" borderId="32" xfId="69" applyNumberFormat="1" applyFont="1" applyFill="1" applyBorder="1" applyAlignment="1">
      <alignment horizontal="center" vertical="center" wrapText="1"/>
    </xf>
    <xf numFmtId="2" fontId="8" fillId="4" borderId="33" xfId="69" applyNumberFormat="1" applyFont="1" applyFill="1" applyBorder="1" applyAlignment="1">
      <alignment horizontal="center" vertical="center" wrapText="1"/>
    </xf>
    <xf numFmtId="9" fontId="8" fillId="4" borderId="31" xfId="70" applyFont="1" applyFill="1" applyBorder="1" applyAlignment="1">
      <alignment horizontal="center" vertical="center" wrapText="1"/>
    </xf>
    <xf numFmtId="9" fontId="8" fillId="4" borderId="32" xfId="70" applyFont="1" applyFill="1" applyBorder="1" applyAlignment="1">
      <alignment horizontal="center" vertical="center" wrapText="1"/>
    </xf>
    <xf numFmtId="9" fontId="8" fillId="4" borderId="40" xfId="70" applyFont="1" applyFill="1" applyBorder="1" applyAlignment="1">
      <alignment horizontal="center" vertical="center" wrapText="1"/>
    </xf>
    <xf numFmtId="0" fontId="8" fillId="4" borderId="34"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164" fontId="55" fillId="4" borderId="7" xfId="69" applyFont="1" applyFill="1" applyBorder="1" applyAlignment="1">
      <alignment horizontal="center" vertical="center" wrapText="1"/>
    </xf>
    <xf numFmtId="164" fontId="55" fillId="4" borderId="10" xfId="69" applyFont="1" applyFill="1" applyBorder="1" applyAlignment="1">
      <alignment horizontal="center" vertical="center" wrapText="1"/>
    </xf>
    <xf numFmtId="164" fontId="55" fillId="4" borderId="6" xfId="69" applyFont="1" applyFill="1" applyBorder="1" applyAlignment="1">
      <alignment horizontal="center" vertical="center" wrapText="1"/>
    </xf>
    <xf numFmtId="0" fontId="55" fillId="4" borderId="7" xfId="10" applyFont="1" applyFill="1" applyBorder="1" applyAlignment="1">
      <alignment horizontal="center" vertical="center" wrapText="1"/>
    </xf>
    <xf numFmtId="0" fontId="55" fillId="4" borderId="10" xfId="10" applyFont="1" applyFill="1" applyBorder="1" applyAlignment="1">
      <alignment horizontal="center" vertical="center" wrapText="1"/>
    </xf>
    <xf numFmtId="0" fontId="55" fillId="4" borderId="6" xfId="10" applyFont="1" applyFill="1" applyBorder="1" applyAlignment="1">
      <alignment horizontal="center" vertical="center" wrapText="1"/>
    </xf>
    <xf numFmtId="187" fontId="8" fillId="4" borderId="4" xfId="10" applyNumberFormat="1" applyFont="1" applyFill="1" applyBorder="1" applyAlignment="1">
      <alignment horizontal="center" vertical="center" wrapText="1"/>
    </xf>
    <xf numFmtId="0" fontId="8" fillId="4" borderId="5" xfId="10" applyFont="1" applyFill="1" applyBorder="1" applyAlignment="1">
      <alignment horizontal="center" vertical="center" wrapText="1"/>
    </xf>
    <xf numFmtId="164" fontId="8" fillId="4" borderId="7" xfId="69" applyFont="1" applyFill="1" applyBorder="1" applyAlignment="1">
      <alignment horizontal="center" vertical="center" wrapText="1"/>
    </xf>
    <xf numFmtId="164" fontId="8" fillId="4" borderId="10" xfId="69" applyFont="1" applyFill="1" applyBorder="1" applyAlignment="1">
      <alignment horizontal="center" vertical="center" wrapText="1"/>
    </xf>
    <xf numFmtId="164" fontId="8" fillId="4" borderId="6" xfId="69"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4" borderId="4" xfId="10" applyFont="1" applyFill="1" applyBorder="1" applyAlignment="1">
      <alignment horizontal="center" wrapText="1"/>
    </xf>
    <xf numFmtId="0" fontId="25" fillId="0" borderId="4" xfId="10" applyFont="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7" fillId="6" borderId="0" xfId="68" applyFont="1" applyFill="1" applyAlignment="1">
      <alignment horizontal="left" vertical="center"/>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176" fontId="7" fillId="5" borderId="0" xfId="69" applyNumberFormat="1" applyFont="1" applyFill="1" applyBorder="1" applyAlignment="1">
      <alignment horizontal="left" vertical="top" wrapText="1"/>
    </xf>
    <xf numFmtId="0" fontId="8" fillId="4" borderId="4" xfId="14" applyNumberFormat="1" applyFont="1" applyFill="1" applyBorder="1" applyAlignment="1">
      <alignment horizontal="center" vertical="center" wrapText="1"/>
    </xf>
    <xf numFmtId="176" fontId="8" fillId="4" borderId="7" xfId="69" applyNumberFormat="1" applyFont="1" applyFill="1" applyBorder="1" applyAlignment="1">
      <alignment horizontal="center" vertical="center" wrapText="1"/>
    </xf>
    <xf numFmtId="176" fontId="8" fillId="4" borderId="10" xfId="69" applyNumberFormat="1" applyFont="1" applyFill="1" applyBorder="1" applyAlignment="1">
      <alignment horizontal="center" vertical="center" wrapText="1"/>
    </xf>
    <xf numFmtId="176" fontId="8" fillId="4" borderId="6" xfId="69" applyNumberFormat="1" applyFont="1" applyFill="1" applyBorder="1" applyAlignment="1">
      <alignment horizontal="center" vertical="center" wrapText="1"/>
    </xf>
    <xf numFmtId="0" fontId="8" fillId="4" borderId="7"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176" fontId="8" fillId="4" borderId="4" xfId="69" applyNumberFormat="1" applyFont="1" applyFill="1" applyBorder="1" applyAlignment="1">
      <alignment horizontal="center" vertical="center" wrapText="1"/>
    </xf>
    <xf numFmtId="0" fontId="7" fillId="0" borderId="0" xfId="14" applyFont="1" applyAlignment="1">
      <alignment horizontal="left" vertical="center" wrapText="1"/>
    </xf>
    <xf numFmtId="0" fontId="12" fillId="0" borderId="0" xfId="14" applyFont="1" applyAlignment="1">
      <alignment horizontal="center" vertical="center" wrapText="1"/>
    </xf>
    <xf numFmtId="0" fontId="7" fillId="0" borderId="0" xfId="14" applyFont="1" applyAlignment="1">
      <alignment horizontal="left" vertical="center"/>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17" fillId="0" borderId="0" xfId="10" applyFill="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17" fillId="0" borderId="4" xfId="10" applyBorder="1"/>
    <xf numFmtId="0" fontId="8" fillId="0" borderId="0" xfId="10" applyFont="1" applyBorder="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 fillId="0" borderId="0" xfId="10" applyFont="1" applyAlignment="1">
      <alignment horizontal="center" vertical="center" wrapText="1"/>
    </xf>
    <xf numFmtId="0" fontId="86" fillId="0" borderId="0" xfId="14" applyFont="1" applyAlignment="1">
      <alignment horizontal="left" vertical="center" wrapText="1"/>
    </xf>
    <xf numFmtId="0" fontId="8" fillId="0" borderId="0" xfId="10" applyFont="1" applyBorder="1" applyAlignment="1">
      <alignment horizontal="center" vertical="center" wrapText="1"/>
    </xf>
    <xf numFmtId="0" fontId="7" fillId="0" borderId="9" xfId="10" applyFont="1" applyBorder="1" applyAlignment="1">
      <alignment horizontal="center" vertical="center" wrapText="1"/>
    </xf>
    <xf numFmtId="0" fontId="7" fillId="0" borderId="11"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2" xfId="10" applyFont="1" applyBorder="1" applyAlignment="1">
      <alignment horizontal="center" vertical="center" wrapText="1"/>
    </xf>
    <xf numFmtId="0" fontId="7" fillId="0" borderId="0"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17" xfId="10" applyFont="1" applyBorder="1" applyAlignment="1">
      <alignment horizontal="center" vertical="center" wrapText="1"/>
    </xf>
    <xf numFmtId="0" fontId="7" fillId="0" borderId="9" xfId="71" applyFont="1" applyBorder="1" applyAlignment="1">
      <alignment horizontal="center" vertical="center"/>
    </xf>
    <xf numFmtId="0" fontId="7" fillId="0" borderId="11" xfId="71" applyFont="1" applyBorder="1" applyAlignment="1">
      <alignment horizontal="center" vertical="center"/>
    </xf>
    <xf numFmtId="0" fontId="7" fillId="0" borderId="13" xfId="71" applyFont="1" applyBorder="1" applyAlignment="1">
      <alignment horizontal="center" vertical="center"/>
    </xf>
    <xf numFmtId="0" fontId="7" fillId="0" borderId="12" xfId="71" applyFont="1" applyBorder="1" applyAlignment="1">
      <alignment horizontal="center" vertical="center"/>
    </xf>
    <xf numFmtId="0" fontId="7" fillId="0" borderId="0" xfId="71" applyFont="1" applyBorder="1" applyAlignment="1">
      <alignment horizontal="center" vertical="center"/>
    </xf>
    <xf numFmtId="0" fontId="7" fillId="0" borderId="14" xfId="71" applyFont="1" applyBorder="1" applyAlignment="1">
      <alignment horizontal="center" vertical="center"/>
    </xf>
    <xf numFmtId="0" fontId="7" fillId="0" borderId="15" xfId="71" applyFont="1" applyBorder="1" applyAlignment="1">
      <alignment horizontal="center" vertical="center"/>
    </xf>
    <xf numFmtId="0" fontId="7" fillId="0" borderId="16" xfId="71" applyFont="1" applyBorder="1" applyAlignment="1">
      <alignment horizontal="center" vertical="center"/>
    </xf>
    <xf numFmtId="0" fontId="7" fillId="0" borderId="17" xfId="71" applyFont="1" applyBorder="1" applyAlignment="1">
      <alignment horizontal="center" vertical="center"/>
    </xf>
    <xf numFmtId="0" fontId="8" fillId="0" borderId="9" xfId="35" applyFont="1" applyBorder="1" applyAlignment="1">
      <alignment horizontal="center" vertical="top"/>
    </xf>
    <xf numFmtId="0" fontId="8" fillId="0" borderId="11" xfId="35" applyFont="1" applyBorder="1" applyAlignment="1">
      <alignment horizontal="center" vertical="top"/>
    </xf>
    <xf numFmtId="0" fontId="8" fillId="0" borderId="13" xfId="35" applyFont="1" applyBorder="1" applyAlignment="1">
      <alignment horizontal="center" vertical="top"/>
    </xf>
    <xf numFmtId="0" fontId="8" fillId="0" borderId="12" xfId="35" applyFont="1" applyBorder="1" applyAlignment="1">
      <alignment horizontal="center" vertical="top"/>
    </xf>
    <xf numFmtId="0" fontId="8" fillId="0" borderId="0" xfId="35" applyFont="1" applyBorder="1" applyAlignment="1">
      <alignment horizontal="center" vertical="top"/>
    </xf>
    <xf numFmtId="0" fontId="8" fillId="0" borderId="14" xfId="35" applyFont="1" applyBorder="1" applyAlignment="1">
      <alignment horizontal="center" vertical="top"/>
    </xf>
    <xf numFmtId="0" fontId="8" fillId="0" borderId="15" xfId="35" applyFont="1" applyBorder="1" applyAlignment="1">
      <alignment horizontal="center" vertical="top"/>
    </xf>
    <xf numFmtId="0" fontId="8" fillId="0" borderId="16" xfId="35" applyFont="1" applyBorder="1" applyAlignment="1">
      <alignment horizontal="center" vertical="top"/>
    </xf>
    <xf numFmtId="0" fontId="8" fillId="0" borderId="17" xfId="35" applyFont="1" applyBorder="1" applyAlignment="1">
      <alignment horizontal="center" vertical="top"/>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7" fillId="0" borderId="9" xfId="71" applyFont="1" applyBorder="1" applyAlignment="1">
      <alignment horizontal="center" vertical="center" wrapText="1"/>
    </xf>
    <xf numFmtId="0" fontId="7" fillId="0" borderId="11" xfId="71" applyFont="1" applyBorder="1" applyAlignment="1">
      <alignment horizontal="center" vertical="center" wrapText="1"/>
    </xf>
    <xf numFmtId="0" fontId="7" fillId="0" borderId="21" xfId="71" applyFont="1" applyBorder="1" applyAlignment="1">
      <alignment horizontal="center" vertical="center" wrapText="1"/>
    </xf>
    <xf numFmtId="0" fontId="7" fillId="0" borderId="12" xfId="71" applyFont="1" applyBorder="1" applyAlignment="1">
      <alignment horizontal="center" vertical="center" wrapText="1"/>
    </xf>
    <xf numFmtId="0" fontId="7" fillId="0" borderId="0" xfId="71" applyFont="1" applyBorder="1" applyAlignment="1">
      <alignment horizontal="center" vertical="center" wrapText="1"/>
    </xf>
    <xf numFmtId="0" fontId="7" fillId="0" borderId="22" xfId="71" applyFont="1" applyBorder="1" applyAlignment="1">
      <alignment horizontal="center" vertical="center" wrapText="1"/>
    </xf>
    <xf numFmtId="0" fontId="7" fillId="0" borderId="24" xfId="71" applyFont="1" applyBorder="1" applyAlignment="1">
      <alignment horizontal="center" vertical="center" wrapText="1"/>
    </xf>
    <xf numFmtId="0" fontId="7" fillId="0" borderId="25" xfId="71" applyFont="1" applyBorder="1" applyAlignment="1">
      <alignment horizontal="center" vertical="center" wrapText="1"/>
    </xf>
    <xf numFmtId="0" fontId="7" fillId="0" borderId="26" xfId="71"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7" fillId="0" borderId="0" xfId="10" applyFont="1" applyAlignment="1">
      <alignment horizontal="left" wrapText="1"/>
    </xf>
    <xf numFmtId="0" fontId="8" fillId="0" borderId="0" xfId="10" applyFont="1" applyAlignment="1">
      <alignment horizontal="center" vertical="center"/>
    </xf>
    <xf numFmtId="0" fontId="8" fillId="0" borderId="0" xfId="71" applyFont="1" applyAlignment="1">
      <alignment horizontal="center" vertical="center"/>
    </xf>
    <xf numFmtId="0" fontId="8" fillId="0" borderId="7" xfId="10" quotePrefix="1" applyFont="1" applyBorder="1" applyAlignment="1">
      <alignment horizontal="center" vertical="center"/>
    </xf>
    <xf numFmtId="0" fontId="8" fillId="0" borderId="10" xfId="10" quotePrefix="1" applyFont="1" applyBorder="1" applyAlignment="1">
      <alignment horizontal="center" vertical="center"/>
    </xf>
    <xf numFmtId="0" fontId="8" fillId="0" borderId="6" xfId="10" quotePrefix="1" applyFont="1" applyBorder="1" applyAlignment="1">
      <alignment horizontal="center" vertical="center"/>
    </xf>
    <xf numFmtId="0" fontId="8" fillId="4" borderId="5" xfId="35" applyFont="1" applyFill="1" applyBorder="1" applyAlignment="1">
      <alignment horizontal="center" vertical="top" wrapText="1"/>
    </xf>
    <xf numFmtId="0" fontId="8" fillId="4" borderId="8" xfId="35" applyFont="1" applyFill="1" applyBorder="1" applyAlignment="1">
      <alignment horizontal="center" vertical="top" wrapText="1"/>
    </xf>
    <xf numFmtId="0" fontId="7" fillId="0" borderId="9" xfId="35" applyFont="1" applyBorder="1" applyAlignment="1">
      <alignment horizontal="center" vertical="center"/>
    </xf>
    <xf numFmtId="0" fontId="7" fillId="0" borderId="11" xfId="35" applyFont="1" applyBorder="1" applyAlignment="1">
      <alignment horizontal="center" vertical="center"/>
    </xf>
    <xf numFmtId="0" fontId="7" fillId="0" borderId="13" xfId="35" applyFont="1" applyBorder="1" applyAlignment="1">
      <alignment horizontal="center" vertical="center"/>
    </xf>
    <xf numFmtId="0" fontId="7" fillId="0" borderId="12" xfId="35" applyFont="1" applyBorder="1" applyAlignment="1">
      <alignment horizontal="center" vertical="center"/>
    </xf>
    <xf numFmtId="0" fontId="7" fillId="0" borderId="0" xfId="35" applyFont="1" applyBorder="1" applyAlignment="1">
      <alignment horizontal="center" vertical="center"/>
    </xf>
    <xf numFmtId="0" fontId="7" fillId="0" borderId="14" xfId="35" applyFont="1" applyBorder="1" applyAlignment="1">
      <alignment horizontal="center" vertical="center"/>
    </xf>
    <xf numFmtId="0" fontId="7" fillId="0" borderId="24" xfId="35" applyFont="1" applyBorder="1" applyAlignment="1">
      <alignment horizontal="center" vertical="center"/>
    </xf>
    <xf numFmtId="0" fontId="7" fillId="0" borderId="25" xfId="35" applyFont="1" applyBorder="1" applyAlignment="1">
      <alignment horizontal="center" vertical="center"/>
    </xf>
    <xf numFmtId="0" fontId="7" fillId="0" borderId="29" xfId="35" applyFont="1" applyBorder="1" applyAlignment="1">
      <alignment horizontal="center" vertical="center"/>
    </xf>
    <xf numFmtId="0" fontId="8" fillId="7" borderId="7" xfId="71" applyFont="1" applyFill="1" applyBorder="1" applyAlignment="1">
      <alignment horizontal="center" vertical="top" wrapText="1"/>
    </xf>
    <xf numFmtId="0" fontId="8" fillId="7" borderId="10" xfId="71" applyFont="1" applyFill="1" applyBorder="1" applyAlignment="1">
      <alignment horizontal="center" vertical="top" wrapText="1"/>
    </xf>
    <xf numFmtId="0" fontId="8" fillId="7" borderId="6" xfId="71" applyFont="1" applyFill="1" applyBorder="1" applyAlignment="1">
      <alignment horizontal="center" vertical="top" wrapText="1"/>
    </xf>
    <xf numFmtId="0" fontId="8" fillId="7" borderId="4" xfId="71" applyFont="1" applyFill="1" applyBorder="1" applyAlignment="1">
      <alignment horizontal="center"/>
    </xf>
    <xf numFmtId="0" fontId="8" fillId="6" borderId="0" xfId="10" applyFont="1" applyFill="1" applyAlignment="1">
      <alignment horizontal="center" vertical="center"/>
    </xf>
    <xf numFmtId="0" fontId="38" fillId="12" borderId="7" xfId="79" applyFont="1" applyFill="1" applyBorder="1" applyAlignment="1">
      <alignment horizontal="center" vertical="center"/>
    </xf>
    <xf numFmtId="0" fontId="38" fillId="12" borderId="6" xfId="79" applyFont="1" applyFill="1" applyBorder="1" applyAlignment="1">
      <alignment horizontal="center" vertical="center"/>
    </xf>
    <xf numFmtId="0" fontId="38" fillId="12" borderId="7" xfId="79" applyFont="1" applyFill="1" applyBorder="1" applyAlignment="1">
      <alignment horizontal="center" vertical="center" wrapText="1"/>
    </xf>
    <xf numFmtId="0" fontId="38" fillId="12" borderId="6" xfId="79" applyFont="1" applyFill="1" applyBorder="1" applyAlignment="1">
      <alignment horizontal="center" vertical="center" wrapText="1"/>
    </xf>
    <xf numFmtId="0" fontId="40" fillId="12" borderId="5" xfId="79" applyFont="1" applyFill="1" applyBorder="1" applyAlignment="1">
      <alignment horizontal="center"/>
    </xf>
    <xf numFmtId="0" fontId="40" fillId="12" borderId="3" xfId="79" applyFont="1" applyFill="1" applyBorder="1" applyAlignment="1">
      <alignment horizontal="center"/>
    </xf>
    <xf numFmtId="0" fontId="40" fillId="12" borderId="8" xfId="79" applyFont="1" applyFill="1" applyBorder="1" applyAlignment="1">
      <alignment horizontal="center"/>
    </xf>
    <xf numFmtId="0" fontId="39" fillId="0" borderId="0" xfId="14" applyFont="1" applyAlignment="1">
      <alignment horizontal="left" vertic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0" fillId="0" borderId="7" xfId="19" applyFont="1" applyBorder="1" applyAlignment="1">
      <alignment horizontal="center" vertical="center"/>
    </xf>
    <xf numFmtId="0" fontId="30" fillId="0" borderId="10" xfId="19" applyFont="1" applyBorder="1" applyAlignment="1">
      <alignment horizontal="center" vertical="center"/>
    </xf>
    <xf numFmtId="0" fontId="30" fillId="0" borderId="6" xfId="19" applyFont="1" applyBorder="1" applyAlignment="1">
      <alignment horizontal="center" vertical="center"/>
    </xf>
    <xf numFmtId="0" fontId="29" fillId="0" borderId="9" xfId="19" applyFont="1" applyFill="1" applyBorder="1" applyAlignment="1">
      <alignment horizontal="center" vertical="center"/>
    </xf>
    <xf numFmtId="0" fontId="29" fillId="0" borderId="11" xfId="19" applyFont="1" applyFill="1" applyBorder="1" applyAlignment="1">
      <alignment horizontal="center" vertical="center"/>
    </xf>
    <xf numFmtId="0" fontId="29" fillId="0" borderId="13" xfId="19" applyFont="1" applyFill="1" applyBorder="1" applyAlignment="1">
      <alignment horizontal="center" vertical="center"/>
    </xf>
    <xf numFmtId="0" fontId="29" fillId="0" borderId="12" xfId="19" applyFont="1" applyFill="1" applyBorder="1" applyAlignment="1">
      <alignment horizontal="center" vertical="center"/>
    </xf>
    <xf numFmtId="0" fontId="29" fillId="0" borderId="0" xfId="19" applyFont="1" applyFill="1" applyBorder="1" applyAlignment="1">
      <alignment horizontal="center" vertical="center"/>
    </xf>
    <xf numFmtId="0" fontId="29" fillId="0" borderId="14" xfId="19" applyFont="1" applyFill="1" applyBorder="1" applyAlignment="1">
      <alignment horizontal="center" vertical="center"/>
    </xf>
    <xf numFmtId="0" fontId="29" fillId="0" borderId="15" xfId="19" applyFont="1" applyFill="1" applyBorder="1" applyAlignment="1">
      <alignment horizontal="center" vertical="center"/>
    </xf>
    <xf numFmtId="0" fontId="29" fillId="0" borderId="16" xfId="19" applyFont="1" applyFill="1" applyBorder="1" applyAlignment="1">
      <alignment horizontal="center" vertical="center"/>
    </xf>
    <xf numFmtId="0" fontId="29" fillId="0" borderId="17" xfId="19" applyFont="1" applyFill="1" applyBorder="1" applyAlignment="1">
      <alignment horizontal="center"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8"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8" fillId="4" borderId="10" xfId="10" applyFont="1" applyFill="1" applyBorder="1" applyAlignment="1">
      <alignment horizontal="center" vertical="center"/>
    </xf>
  </cellXfs>
  <cellStyles count="88">
    <cellStyle name="Body" xfId="1" xr:uid="{00000000-0005-0000-0000-000000000000}"/>
    <cellStyle name="Comma" xfId="69" builtinId="3"/>
    <cellStyle name="Comma  - Style1" xfId="2" xr:uid="{00000000-0005-0000-0000-000002000000}"/>
    <cellStyle name="Comma 10" xfId="73" xr:uid="{00000000-0005-0000-0000-000003000000}"/>
    <cellStyle name="Comma 11" xfId="83" xr:uid="{00000000-0005-0000-0000-000004000000}"/>
    <cellStyle name="Comma 11 2" xfId="20" xr:uid="{00000000-0005-0000-0000-000005000000}"/>
    <cellStyle name="Comma 11 2 2" xfId="87"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3" xfId="28" xr:uid="{00000000-0005-0000-0000-00000C000000}"/>
    <cellStyle name="Comma 3 2" xfId="63" xr:uid="{00000000-0005-0000-0000-00000D000000}"/>
    <cellStyle name="Comma 3 2 3" xfId="80" xr:uid="{00000000-0005-0000-0000-00000E000000}"/>
    <cellStyle name="Comma 4" xfId="29" xr:uid="{00000000-0005-0000-0000-00000F000000}"/>
    <cellStyle name="Comma 4 2" xfId="65" xr:uid="{00000000-0005-0000-0000-000010000000}"/>
    <cellStyle name="Comma 4 2 3" xfId="81" xr:uid="{00000000-0005-0000-0000-000011000000}"/>
    <cellStyle name="Comma 5" xfId="30" xr:uid="{00000000-0005-0000-0000-000012000000}"/>
    <cellStyle name="Comma 6" xfId="49" xr:uid="{00000000-0005-0000-0000-000013000000}"/>
    <cellStyle name="Comma 6 2" xfId="50" xr:uid="{00000000-0005-0000-0000-000014000000}"/>
    <cellStyle name="Comma 6 3" xfId="51" xr:uid="{00000000-0005-0000-0000-000015000000}"/>
    <cellStyle name="Comma 6 4" xfId="52" xr:uid="{00000000-0005-0000-0000-000016000000}"/>
    <cellStyle name="Comma 6 5" xfId="77" xr:uid="{00000000-0005-0000-0000-000017000000}"/>
    <cellStyle name="Comma 7" xfId="22" xr:uid="{00000000-0005-0000-0000-000018000000}"/>
    <cellStyle name="Comma 8" xfId="66" xr:uid="{00000000-0005-0000-0000-000019000000}"/>
    <cellStyle name="Comma 8 3" xfId="82" xr:uid="{00000000-0005-0000-0000-00001A000000}"/>
    <cellStyle name="Comma 9" xfId="72" xr:uid="{00000000-0005-0000-0000-00001B000000}"/>
    <cellStyle name="Curren - Style2" xfId="3" xr:uid="{00000000-0005-0000-0000-00001C000000}"/>
    <cellStyle name="Grey" xfId="4" xr:uid="{00000000-0005-0000-0000-00001D000000}"/>
    <cellStyle name="Header1" xfId="5" xr:uid="{00000000-0005-0000-0000-00001E000000}"/>
    <cellStyle name="Header2" xfId="6" xr:uid="{00000000-0005-0000-0000-00001F000000}"/>
    <cellStyle name="Input [yellow]" xfId="7" xr:uid="{00000000-0005-0000-0000-000020000000}"/>
    <cellStyle name="no dec" xfId="8" xr:uid="{00000000-0005-0000-0000-000021000000}"/>
    <cellStyle name="Normal" xfId="0" builtinId="0"/>
    <cellStyle name="Normal - Style1" xfId="9" xr:uid="{00000000-0005-0000-0000-000023000000}"/>
    <cellStyle name="Normal 10" xfId="74" xr:uid="{00000000-0005-0000-0000-000024000000}"/>
    <cellStyle name="Normal 11" xfId="84" xr:uid="{00000000-0005-0000-0000-000025000000}"/>
    <cellStyle name="Normal 142" xfId="71" xr:uid="{00000000-0005-0000-0000-000026000000}"/>
    <cellStyle name="Normal 15" xfId="19" xr:uid="{00000000-0005-0000-0000-000027000000}"/>
    <cellStyle name="Normal 15 2" xfId="86" xr:uid="{00000000-0005-0000-0000-000028000000}"/>
    <cellStyle name="Normal 18" xfId="62" xr:uid="{00000000-0005-0000-0000-000029000000}"/>
    <cellStyle name="Normal 18 3" xfId="79" xr:uid="{00000000-0005-0000-0000-00002A000000}"/>
    <cellStyle name="Normal 2" xfId="10" xr:uid="{00000000-0005-0000-0000-00002B000000}"/>
    <cellStyle name="Normal 2 2" xfId="11" xr:uid="{00000000-0005-0000-0000-00002C000000}"/>
    <cellStyle name="Normal 2 2 2" xfId="31" xr:uid="{00000000-0005-0000-0000-00002D000000}"/>
    <cellStyle name="Normal 2 2 2 2" xfId="58" xr:uid="{00000000-0005-0000-0000-00002E000000}"/>
    <cellStyle name="Normal 2 2_Working APR 2007-08 Mahagenco_Bhushan_1.3" xfId="32" xr:uid="{00000000-0005-0000-0000-00002F000000}"/>
    <cellStyle name="Normal 2 3" xfId="12" xr:uid="{00000000-0005-0000-0000-000030000000}"/>
    <cellStyle name="Normal 2 4" xfId="53" xr:uid="{00000000-0005-0000-0000-000031000000}"/>
    <cellStyle name="Normal 2_ARR FINAL" xfId="33" xr:uid="{00000000-0005-0000-0000-000032000000}"/>
    <cellStyle name="Normal 3" xfId="13" xr:uid="{00000000-0005-0000-0000-000033000000}"/>
    <cellStyle name="Normal 3 2" xfId="34" xr:uid="{00000000-0005-0000-0000-000034000000}"/>
    <cellStyle name="Normal 3 2 2" xfId="59" xr:uid="{00000000-0005-0000-0000-000035000000}"/>
    <cellStyle name="Normal 39" xfId="23" xr:uid="{00000000-0005-0000-0000-000036000000}"/>
    <cellStyle name="Normal 4" xfId="35" xr:uid="{00000000-0005-0000-0000-000037000000}"/>
    <cellStyle name="Normal 4 2" xfId="60" xr:uid="{00000000-0005-0000-0000-000038000000}"/>
    <cellStyle name="Normal 5" xfId="36" xr:uid="{00000000-0005-0000-0000-000039000000}"/>
    <cellStyle name="Normal 5 2" xfId="37" xr:uid="{00000000-0005-0000-0000-00003A000000}"/>
    <cellStyle name="Normal 6" xfId="38" xr:uid="{00000000-0005-0000-0000-00003B000000}"/>
    <cellStyle name="Normal 7" xfId="39" xr:uid="{00000000-0005-0000-0000-00003C000000}"/>
    <cellStyle name="Normal 8" xfId="54" xr:uid="{00000000-0005-0000-0000-00003D000000}"/>
    <cellStyle name="Normal 9" xfId="55" xr:uid="{00000000-0005-0000-0000-00003E000000}"/>
    <cellStyle name="Normal_FORMATS 5 YEAR ALOKE 2" xfId="14" xr:uid="{00000000-0005-0000-0000-00003F000000}"/>
    <cellStyle name="Normal_FORMATS 5 YEAR ALOKE 2 2" xfId="68" xr:uid="{00000000-0005-0000-0000-000040000000}"/>
    <cellStyle name="Normal_FORMATS 5 YEAR ALOKE 3 2" xfId="15" xr:uid="{00000000-0005-0000-0000-000041000000}"/>
    <cellStyle name="Normal_FORMATS 5 YEAR ALOKE 4" xfId="78" xr:uid="{00000000-0005-0000-0000-000042000000}"/>
    <cellStyle name="Normal_Sheet1" xfId="76" xr:uid="{00000000-0005-0000-0000-000043000000}"/>
    <cellStyle name="Percent" xfId="70" builtinId="5"/>
    <cellStyle name="Percent [0]_#6 Temps &amp; Contractors" xfId="16" xr:uid="{00000000-0005-0000-0000-000045000000}"/>
    <cellStyle name="Percent [2]" xfId="17" xr:uid="{00000000-0005-0000-0000-000046000000}"/>
    <cellStyle name="Percent 2" xfId="40" xr:uid="{00000000-0005-0000-0000-000047000000}"/>
    <cellStyle name="Percent 2 2" xfId="41" xr:uid="{00000000-0005-0000-0000-000048000000}"/>
    <cellStyle name="Percent 2 3" xfId="61" xr:uid="{00000000-0005-0000-0000-000049000000}"/>
    <cellStyle name="Percent 3" xfId="42" xr:uid="{00000000-0005-0000-0000-00004A000000}"/>
    <cellStyle name="Percent 3 2" xfId="43" xr:uid="{00000000-0005-0000-0000-00004B000000}"/>
    <cellStyle name="Percent 4" xfId="24" xr:uid="{00000000-0005-0000-0000-00004C000000}"/>
    <cellStyle name="Percent 41" xfId="21" xr:uid="{00000000-0005-0000-0000-00004D000000}"/>
    <cellStyle name="Percent 5" xfId="44" xr:uid="{00000000-0005-0000-0000-00004E000000}"/>
    <cellStyle name="Percent 5 2" xfId="45" xr:uid="{00000000-0005-0000-0000-00004F000000}"/>
    <cellStyle name="Percent 5 3" xfId="46" xr:uid="{00000000-0005-0000-0000-000050000000}"/>
    <cellStyle name="Percent 6" xfId="47" xr:uid="{00000000-0005-0000-0000-000051000000}"/>
    <cellStyle name="Percent 6 2" xfId="48" xr:uid="{00000000-0005-0000-0000-000052000000}"/>
    <cellStyle name="Percent 7" xfId="67" xr:uid="{00000000-0005-0000-0000-000053000000}"/>
    <cellStyle name="Percent 8" xfId="75" xr:uid="{00000000-0005-0000-0000-000054000000}"/>
    <cellStyle name="Percent 9" xfId="85" xr:uid="{00000000-0005-0000-0000-000055000000}"/>
    <cellStyle name="Style 1" xfId="18" xr:uid="{00000000-0005-0000-0000-000056000000}"/>
    <cellStyle name="Style 2" xfId="56" xr:uid="{00000000-0005-0000-0000-000057000000}"/>
  </cellStyles>
  <dxfs count="2892">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lor auto="1"/>
      </font>
      <fill>
        <patternFill>
          <fgColor indexed="64"/>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indexed="64"/>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externalLink" Target="externalLinks/externalLink1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sheetData sheetId="6"/>
      <sheetData sheetId="7"/>
      <sheetData sheetId="8"/>
      <sheetData sheetId="9"/>
      <sheetData sheetId="10"/>
      <sheetData sheetId="1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Masters"/>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row r="3">
          <cell r="B3">
            <v>7.8600000000000003E-2</v>
          </cell>
        </row>
        <row r="16">
          <cell r="B16">
            <v>0.13</v>
          </cell>
        </row>
      </sheetData>
      <sheetData sheetId="1" refreshError="1"/>
      <sheetData sheetId="2" refreshError="1"/>
      <sheetData sheetId="3" refreshError="1"/>
      <sheetData sheetId="4" refreshError="1"/>
      <sheetData sheetId="5">
        <row r="7">
          <cell r="D7">
            <v>0.1074</v>
          </cell>
          <cell r="E7">
            <v>0.1055</v>
          </cell>
        </row>
        <row r="8">
          <cell r="D8">
            <v>8.1799999999999998E-2</v>
          </cell>
        </row>
        <row r="116">
          <cell r="C116">
            <v>0.11749999999999999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ow r="30">
          <cell r="V30">
            <v>27.489999999999995</v>
          </cell>
        </row>
      </sheetData>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D1">
            <v>0</v>
          </cell>
        </row>
      </sheetData>
      <sheetData sheetId="37">
        <row r="1">
          <cell r="D1">
            <v>0</v>
          </cell>
        </row>
      </sheetData>
      <sheetData sheetId="38">
        <row r="1">
          <cell r="D1">
            <v>0</v>
          </cell>
        </row>
      </sheetData>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_x0000__x0000__x0000"/>
      <sheetName val="Assumptions"/>
      <sheetName val="form?????????????"/>
      <sheetName val="form_x0000_"/>
      <sheetName val="04REL"/>
      <sheetName val="Sept "/>
      <sheetName val="7"/>
      <sheetName val="Salient1"/>
      <sheetName val="Labour charges"/>
      <sheetName val="RAJ"/>
      <sheetName val="Feb-06"/>
      <sheetName val="Inputs"/>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Interest 30-11-01 not PA 7%"/>
      <sheetName val="x-rate"/>
      <sheetName val="Discom Details"/>
      <sheetName val="form?"/>
      <sheetName val="Ag LF"/>
      <sheetName val="form_"/>
      <sheetName val="data"/>
      <sheetName val="First information "/>
      <sheetName val="annexture-g1"/>
      <sheetName val="all"/>
      <sheetName val="Executive Summary -Thermal"/>
      <sheetName val="Stationwise Thermal &amp; Hydel Gen"/>
      <sheetName val="TWELVE"/>
      <sheetName val="overall"/>
      <sheetName val="PART C"/>
      <sheetName val="Sheet1"/>
      <sheetName val="Part A General"/>
      <sheetName val="feasibility require"/>
      <sheetName val="form_x005f_x0000__x005f_x0000__x005f_x0000__x0000"/>
      <sheetName val="form_x005f_x0000_"/>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MOD - Corrected -As per SLD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Lead"/>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FIX DATA"/>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tabSelected="1" view="pageBreakPreview" zoomScale="80" zoomScaleNormal="80" zoomScaleSheetLayoutView="80" workbookViewId="0"/>
  </sheetViews>
  <sheetFormatPr defaultColWidth="9.36328125" defaultRowHeight="14" x14ac:dyDescent="0.25"/>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x14ac:dyDescent="0.25">
      <c r="B2" s="1642" t="s">
        <v>776</v>
      </c>
      <c r="C2" s="1643"/>
      <c r="D2" s="1643"/>
      <c r="E2" s="30"/>
      <c r="F2" s="30"/>
      <c r="G2" s="30"/>
      <c r="H2" s="30"/>
      <c r="I2" s="30"/>
      <c r="J2" s="30"/>
      <c r="K2" s="30"/>
      <c r="L2" s="30"/>
      <c r="M2" s="30"/>
      <c r="N2" s="30"/>
    </row>
    <row r="3" spans="2:14" s="5" customFormat="1" ht="15.5" customHeight="1" x14ac:dyDescent="0.3">
      <c r="B3" s="1644" t="s">
        <v>1477</v>
      </c>
      <c r="C3" s="1645"/>
      <c r="D3" s="1645"/>
      <c r="E3" s="30"/>
      <c r="F3" s="30"/>
      <c r="G3" s="30"/>
      <c r="H3" s="30"/>
      <c r="I3" s="30"/>
      <c r="J3" s="30"/>
      <c r="K3" s="30"/>
      <c r="L3" s="30"/>
      <c r="M3" s="30"/>
      <c r="N3" s="30"/>
    </row>
    <row r="4" spans="2:14" ht="15.5" x14ac:dyDescent="0.25">
      <c r="B4" s="31"/>
      <c r="C4" s="31"/>
      <c r="D4" s="31"/>
      <c r="E4" s="31"/>
      <c r="F4" s="31"/>
      <c r="G4" s="31"/>
      <c r="H4" s="31"/>
      <c r="I4" s="31"/>
      <c r="J4" s="31"/>
      <c r="K4" s="31"/>
      <c r="L4" s="31"/>
      <c r="M4" s="31"/>
      <c r="N4" s="31"/>
    </row>
    <row r="5" spans="2:14" ht="15.5" x14ac:dyDescent="0.25">
      <c r="B5" s="31"/>
      <c r="C5" s="31"/>
      <c r="D5" s="31"/>
      <c r="E5" s="31"/>
      <c r="F5" s="31"/>
      <c r="G5" s="31"/>
      <c r="H5" s="31"/>
      <c r="I5" s="31"/>
      <c r="J5" s="31"/>
      <c r="K5" s="31"/>
      <c r="L5" s="31"/>
      <c r="M5" s="32"/>
      <c r="N5" s="31"/>
    </row>
    <row r="6" spans="2:14" x14ac:dyDescent="0.25">
      <c r="B6" s="1646" t="s">
        <v>340</v>
      </c>
      <c r="C6" s="1649" t="s">
        <v>15</v>
      </c>
      <c r="D6" s="1649" t="s">
        <v>5</v>
      </c>
    </row>
    <row r="7" spans="2:14" x14ac:dyDescent="0.25">
      <c r="B7" s="1647"/>
      <c r="C7" s="1649"/>
      <c r="D7" s="1649"/>
    </row>
    <row r="8" spans="2:14" x14ac:dyDescent="0.25">
      <c r="B8" s="1648"/>
      <c r="C8" s="1650"/>
      <c r="D8" s="1650"/>
    </row>
    <row r="9" spans="2:14" ht="15.5" x14ac:dyDescent="0.25">
      <c r="B9" s="122">
        <v>1</v>
      </c>
      <c r="C9" s="121" t="s">
        <v>53</v>
      </c>
      <c r="D9" s="866" t="s">
        <v>13</v>
      </c>
    </row>
    <row r="10" spans="2:14" ht="15.5" x14ac:dyDescent="0.25">
      <c r="B10" s="122">
        <f>B9+1</f>
        <v>2</v>
      </c>
      <c r="C10" s="121" t="s">
        <v>370</v>
      </c>
      <c r="D10" s="866" t="s">
        <v>371</v>
      </c>
    </row>
    <row r="11" spans="2:14" ht="15.5" x14ac:dyDescent="0.25">
      <c r="B11" s="122">
        <f>B10+1</f>
        <v>3</v>
      </c>
      <c r="C11" s="121" t="s">
        <v>389</v>
      </c>
      <c r="D11" s="866" t="s">
        <v>55</v>
      </c>
    </row>
    <row r="12" spans="2:14" ht="15.5" x14ac:dyDescent="0.25">
      <c r="B12" s="122">
        <f>B11+1</f>
        <v>4</v>
      </c>
      <c r="C12" s="121" t="s">
        <v>54</v>
      </c>
      <c r="D12" s="866" t="s">
        <v>56</v>
      </c>
    </row>
    <row r="13" spans="2:14" ht="15.5" x14ac:dyDescent="0.25">
      <c r="B13" s="122">
        <f>B12+1</f>
        <v>5</v>
      </c>
      <c r="C13" s="121" t="s">
        <v>309</v>
      </c>
      <c r="D13" s="866" t="s">
        <v>58</v>
      </c>
    </row>
    <row r="14" spans="2:14" ht="15.5" x14ac:dyDescent="0.25">
      <c r="B14" s="122">
        <f t="shared" ref="B14:B41" si="0">B13+1</f>
        <v>6</v>
      </c>
      <c r="C14" s="121" t="s">
        <v>57</v>
      </c>
      <c r="D14" s="866" t="s">
        <v>60</v>
      </c>
    </row>
    <row r="15" spans="2:14" ht="15.5" x14ac:dyDescent="0.25">
      <c r="B15" s="122">
        <f t="shared" si="0"/>
        <v>7</v>
      </c>
      <c r="C15" s="121" t="s">
        <v>59</v>
      </c>
      <c r="D15" s="866" t="s">
        <v>62</v>
      </c>
    </row>
    <row r="16" spans="2:14" ht="15.5" x14ac:dyDescent="0.25">
      <c r="B16" s="122">
        <f t="shared" si="0"/>
        <v>8</v>
      </c>
      <c r="C16" s="123" t="s">
        <v>356</v>
      </c>
      <c r="D16" s="866" t="s">
        <v>64</v>
      </c>
    </row>
    <row r="17" spans="2:4" ht="15.5" x14ac:dyDescent="0.25">
      <c r="B17" s="122">
        <f t="shared" si="0"/>
        <v>9</v>
      </c>
      <c r="C17" s="123" t="s">
        <v>61</v>
      </c>
      <c r="D17" s="866" t="s">
        <v>355</v>
      </c>
    </row>
    <row r="18" spans="2:4" ht="15.5" x14ac:dyDescent="0.25">
      <c r="B18" s="122">
        <f t="shared" si="0"/>
        <v>10</v>
      </c>
      <c r="C18" s="121" t="s">
        <v>63</v>
      </c>
      <c r="D18" s="866" t="s">
        <v>388</v>
      </c>
    </row>
    <row r="19" spans="2:4" ht="15.5" x14ac:dyDescent="0.25">
      <c r="B19" s="122">
        <f t="shared" si="0"/>
        <v>11</v>
      </c>
      <c r="C19" s="123" t="s">
        <v>65</v>
      </c>
      <c r="D19" s="866" t="s">
        <v>40</v>
      </c>
    </row>
    <row r="20" spans="2:4" ht="15.5" x14ac:dyDescent="0.25">
      <c r="B20" s="122">
        <f t="shared" si="0"/>
        <v>12</v>
      </c>
      <c r="C20" s="123" t="s">
        <v>649</v>
      </c>
      <c r="D20" s="866" t="s">
        <v>66</v>
      </c>
    </row>
    <row r="21" spans="2:4" ht="15.5" x14ac:dyDescent="0.25">
      <c r="B21" s="122">
        <f t="shared" si="0"/>
        <v>13</v>
      </c>
      <c r="C21" s="123" t="s">
        <v>179</v>
      </c>
      <c r="D21" s="866" t="s">
        <v>67</v>
      </c>
    </row>
    <row r="22" spans="2:4" ht="15.5" x14ac:dyDescent="0.25">
      <c r="B22" s="122">
        <f t="shared" si="0"/>
        <v>14</v>
      </c>
      <c r="C22" s="123" t="s">
        <v>647</v>
      </c>
      <c r="D22" s="866" t="s">
        <v>68</v>
      </c>
    </row>
    <row r="23" spans="2:4" ht="15.5" x14ac:dyDescent="0.25">
      <c r="B23" s="122">
        <f t="shared" si="0"/>
        <v>15</v>
      </c>
      <c r="C23" s="121" t="s">
        <v>648</v>
      </c>
      <c r="D23" s="866" t="s">
        <v>69</v>
      </c>
    </row>
    <row r="24" spans="2:4" ht="15.5" x14ac:dyDescent="0.25">
      <c r="B24" s="122">
        <f t="shared" si="0"/>
        <v>16</v>
      </c>
      <c r="C24" s="121" t="s">
        <v>482</v>
      </c>
      <c r="D24" s="866" t="s">
        <v>41</v>
      </c>
    </row>
    <row r="25" spans="2:4" ht="15.5" x14ac:dyDescent="0.25">
      <c r="B25" s="122">
        <f t="shared" si="0"/>
        <v>17</v>
      </c>
      <c r="C25" s="121" t="s">
        <v>14</v>
      </c>
      <c r="D25" s="866" t="s">
        <v>395</v>
      </c>
    </row>
    <row r="26" spans="2:4" ht="15.5" x14ac:dyDescent="0.25">
      <c r="B26" s="122">
        <f t="shared" si="0"/>
        <v>18</v>
      </c>
      <c r="C26" s="121" t="s">
        <v>310</v>
      </c>
      <c r="D26" s="866" t="s">
        <v>396</v>
      </c>
    </row>
    <row r="27" spans="2:4" ht="15.5" x14ac:dyDescent="0.25">
      <c r="B27" s="122">
        <f t="shared" si="0"/>
        <v>19</v>
      </c>
      <c r="C27" s="121" t="s">
        <v>48</v>
      </c>
      <c r="D27" s="866" t="s">
        <v>483</v>
      </c>
    </row>
    <row r="28" spans="2:4" ht="15.5" x14ac:dyDescent="0.25">
      <c r="B28" s="122">
        <f t="shared" si="0"/>
        <v>20</v>
      </c>
      <c r="C28" s="121" t="s">
        <v>1053</v>
      </c>
      <c r="D28" s="866" t="s">
        <v>70</v>
      </c>
    </row>
    <row r="29" spans="2:4" ht="46.5" x14ac:dyDescent="0.25">
      <c r="B29" s="122">
        <f t="shared" si="0"/>
        <v>21</v>
      </c>
      <c r="C29" s="867" t="s">
        <v>1054</v>
      </c>
      <c r="D29" s="866" t="s">
        <v>1055</v>
      </c>
    </row>
    <row r="30" spans="2:4" ht="15.5" x14ac:dyDescent="0.25">
      <c r="B30" s="122">
        <f t="shared" si="0"/>
        <v>22</v>
      </c>
      <c r="C30" s="121" t="s">
        <v>1056</v>
      </c>
      <c r="D30" s="866" t="s">
        <v>1057</v>
      </c>
    </row>
    <row r="31" spans="2:4" ht="15.5" x14ac:dyDescent="0.25">
      <c r="B31" s="122">
        <f t="shared" si="0"/>
        <v>23</v>
      </c>
      <c r="C31" s="123" t="s">
        <v>33</v>
      </c>
      <c r="D31" s="866" t="s">
        <v>71</v>
      </c>
    </row>
    <row r="32" spans="2:4" ht="15.5" x14ac:dyDescent="0.25">
      <c r="B32" s="122">
        <f t="shared" si="0"/>
        <v>24</v>
      </c>
      <c r="C32" s="121" t="s">
        <v>42</v>
      </c>
      <c r="D32" s="866" t="s">
        <v>73</v>
      </c>
    </row>
    <row r="33" spans="2:4" ht="15.5" x14ac:dyDescent="0.25">
      <c r="B33" s="122">
        <f t="shared" si="0"/>
        <v>25</v>
      </c>
      <c r="C33" s="121" t="s">
        <v>72</v>
      </c>
      <c r="D33" s="866" t="s">
        <v>74</v>
      </c>
    </row>
    <row r="34" spans="2:4" ht="15.5" x14ac:dyDescent="0.25">
      <c r="B34" s="122">
        <f t="shared" si="0"/>
        <v>26</v>
      </c>
      <c r="C34" s="123" t="s">
        <v>671</v>
      </c>
      <c r="D34" s="866" t="s">
        <v>75</v>
      </c>
    </row>
    <row r="35" spans="2:4" ht="15.5" x14ac:dyDescent="0.25">
      <c r="B35" s="122">
        <f t="shared" si="0"/>
        <v>27</v>
      </c>
      <c r="C35" s="222" t="s">
        <v>439</v>
      </c>
      <c r="D35" s="866" t="s">
        <v>311</v>
      </c>
    </row>
    <row r="36" spans="2:4" ht="15.5" x14ac:dyDescent="0.25">
      <c r="B36" s="122">
        <f t="shared" si="0"/>
        <v>28</v>
      </c>
      <c r="C36" s="123" t="s">
        <v>313</v>
      </c>
      <c r="D36" s="866" t="s">
        <v>312</v>
      </c>
    </row>
    <row r="37" spans="2:4" ht="15.5" x14ac:dyDescent="0.25">
      <c r="B37" s="122">
        <f t="shared" si="0"/>
        <v>29</v>
      </c>
      <c r="C37" s="121" t="s">
        <v>445</v>
      </c>
      <c r="D37" s="866" t="s">
        <v>438</v>
      </c>
    </row>
    <row r="38" spans="2:4" ht="15.5" x14ac:dyDescent="0.25">
      <c r="B38" s="122">
        <f t="shared" si="0"/>
        <v>30</v>
      </c>
      <c r="C38" s="121" t="s">
        <v>322</v>
      </c>
      <c r="D38" s="866" t="s">
        <v>76</v>
      </c>
    </row>
    <row r="39" spans="2:4" ht="15.5" x14ac:dyDescent="0.25">
      <c r="B39" s="122">
        <f t="shared" si="0"/>
        <v>31</v>
      </c>
      <c r="C39" s="121" t="s">
        <v>314</v>
      </c>
      <c r="D39" s="866" t="s">
        <v>77</v>
      </c>
    </row>
    <row r="40" spans="2:4" ht="15.5" x14ac:dyDescent="0.25">
      <c r="B40" s="122">
        <f t="shared" si="0"/>
        <v>32</v>
      </c>
      <c r="C40" s="121" t="s">
        <v>89</v>
      </c>
      <c r="D40" s="866" t="s">
        <v>323</v>
      </c>
    </row>
    <row r="41" spans="2:4" ht="15.5" x14ac:dyDescent="0.25">
      <c r="B41" s="122">
        <f t="shared" si="0"/>
        <v>33</v>
      </c>
      <c r="C41" s="121" t="s">
        <v>315</v>
      </c>
      <c r="D41" s="866" t="s">
        <v>349</v>
      </c>
    </row>
    <row r="42" spans="2:4" ht="15.5" x14ac:dyDescent="0.25">
      <c r="B42" s="868"/>
      <c r="C42" s="869" t="s">
        <v>1058</v>
      </c>
      <c r="D42" s="870"/>
    </row>
    <row r="43" spans="2:4" ht="15.5" x14ac:dyDescent="0.25">
      <c r="B43" s="122">
        <f>B41+1</f>
        <v>34</v>
      </c>
      <c r="C43" s="121" t="s">
        <v>1059</v>
      </c>
      <c r="D43" s="866" t="s">
        <v>1060</v>
      </c>
    </row>
    <row r="44" spans="2:4" ht="15.5" x14ac:dyDescent="0.25">
      <c r="B44" s="122">
        <f>B43+1</f>
        <v>35</v>
      </c>
      <c r="C44" s="121" t="s">
        <v>1061</v>
      </c>
      <c r="D44" s="866" t="s">
        <v>1062</v>
      </c>
    </row>
    <row r="45" spans="2:4" ht="15.5" x14ac:dyDescent="0.25">
      <c r="B45" s="122">
        <f>B44+1</f>
        <v>36</v>
      </c>
      <c r="C45" s="121" t="s">
        <v>1063</v>
      </c>
      <c r="D45" s="866" t="s">
        <v>1064</v>
      </c>
    </row>
    <row r="46" spans="2:4" ht="15.5" x14ac:dyDescent="0.25">
      <c r="B46" s="122">
        <f t="shared" ref="B46:B55" si="1">B45+1</f>
        <v>37</v>
      </c>
      <c r="C46" s="121" t="s">
        <v>1065</v>
      </c>
      <c r="D46" s="866" t="s">
        <v>1066</v>
      </c>
    </row>
    <row r="47" spans="2:4" ht="15.5" x14ac:dyDescent="0.25">
      <c r="B47" s="122">
        <f t="shared" si="1"/>
        <v>38</v>
      </c>
      <c r="C47" s="121" t="s">
        <v>1067</v>
      </c>
      <c r="D47" s="866" t="s">
        <v>1068</v>
      </c>
    </row>
    <row r="48" spans="2:4" ht="15.5" x14ac:dyDescent="0.25">
      <c r="B48" s="122">
        <f t="shared" si="1"/>
        <v>39</v>
      </c>
      <c r="C48" s="121" t="s">
        <v>1069</v>
      </c>
      <c r="D48" s="866" t="s">
        <v>1070</v>
      </c>
    </row>
    <row r="49" spans="2:4" ht="15.5" x14ac:dyDescent="0.25">
      <c r="B49" s="122">
        <f t="shared" si="1"/>
        <v>40</v>
      </c>
      <c r="C49" s="121" t="s">
        <v>1071</v>
      </c>
      <c r="D49" s="866" t="s">
        <v>1072</v>
      </c>
    </row>
    <row r="50" spans="2:4" ht="15.5" x14ac:dyDescent="0.25">
      <c r="B50" s="122">
        <f t="shared" si="1"/>
        <v>41</v>
      </c>
      <c r="C50" s="121" t="s">
        <v>1073</v>
      </c>
      <c r="D50" s="866" t="s">
        <v>1074</v>
      </c>
    </row>
    <row r="51" spans="2:4" ht="15.5" x14ac:dyDescent="0.25">
      <c r="B51" s="122">
        <f t="shared" si="1"/>
        <v>42</v>
      </c>
      <c r="C51" s="121" t="s">
        <v>1075</v>
      </c>
      <c r="D51" s="866" t="s">
        <v>1076</v>
      </c>
    </row>
    <row r="52" spans="2:4" ht="15.5" x14ac:dyDescent="0.25">
      <c r="B52" s="122">
        <f t="shared" si="1"/>
        <v>43</v>
      </c>
      <c r="C52" s="283" t="s">
        <v>1077</v>
      </c>
      <c r="D52" s="284" t="s">
        <v>1078</v>
      </c>
    </row>
    <row r="53" spans="2:4" ht="15.5" x14ac:dyDescent="0.25">
      <c r="B53" s="122">
        <f t="shared" si="1"/>
        <v>44</v>
      </c>
      <c r="C53" s="283" t="s">
        <v>1079</v>
      </c>
      <c r="D53" s="284" t="s">
        <v>1080</v>
      </c>
    </row>
    <row r="54" spans="2:4" ht="15.5" x14ac:dyDescent="0.25">
      <c r="B54" s="122">
        <f t="shared" si="1"/>
        <v>45</v>
      </c>
      <c r="C54" s="283" t="s">
        <v>555</v>
      </c>
      <c r="D54" s="284" t="s">
        <v>556</v>
      </c>
    </row>
    <row r="55" spans="2:4" ht="15.5" x14ac:dyDescent="0.25">
      <c r="B55" s="871">
        <f t="shared" si="1"/>
        <v>46</v>
      </c>
      <c r="C55" s="872" t="s">
        <v>626</v>
      </c>
      <c r="D55" s="873" t="s">
        <v>1081</v>
      </c>
    </row>
    <row r="56" spans="2:4" ht="15.5" x14ac:dyDescent="0.25">
      <c r="B56" s="122">
        <f>B55+1</f>
        <v>47</v>
      </c>
      <c r="C56" s="283" t="s">
        <v>1082</v>
      </c>
      <c r="D56" s="284" t="s">
        <v>1083</v>
      </c>
    </row>
    <row r="57" spans="2:4" x14ac:dyDescent="0.25">
      <c r="B57" s="99">
        <v>48</v>
      </c>
      <c r="C57" s="24" t="s">
        <v>1084</v>
      </c>
      <c r="D57" s="24" t="s">
        <v>1085</v>
      </c>
    </row>
    <row r="58" spans="2:4" x14ac:dyDescent="0.25">
      <c r="B58" s="285" t="s">
        <v>1086</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topLeftCell="C1" zoomScale="80" zoomScaleNormal="80" workbookViewId="0">
      <selection activeCell="E8" sqref="E8"/>
    </sheetView>
  </sheetViews>
  <sheetFormatPr defaultColWidth="8.81640625" defaultRowHeight="13" x14ac:dyDescent="0.3"/>
  <cols>
    <col min="1" max="1" width="8.81640625" style="516"/>
    <col min="2" max="2" width="46.453125" style="517" customWidth="1"/>
    <col min="3" max="3" width="8.81640625" style="516"/>
    <col min="4" max="6" width="9" style="516" bestFit="1" customWidth="1"/>
    <col min="7" max="8" width="8.81640625" style="516"/>
    <col min="9" max="9" width="12.81640625" style="516" customWidth="1"/>
    <col min="10" max="10" width="14.1796875" style="516" customWidth="1"/>
    <col min="11" max="11" width="12.36328125" style="516" customWidth="1"/>
    <col min="12" max="12" width="8.81640625" style="516"/>
    <col min="13" max="13" width="13.90625" style="516" customWidth="1"/>
    <col min="14" max="14" width="14.08984375" style="516" customWidth="1"/>
    <col min="15" max="15" width="13.90625" style="516" customWidth="1"/>
    <col min="16" max="16" width="16.08984375" style="516" customWidth="1"/>
    <col min="17" max="16384" width="8.81640625" style="516"/>
  </cols>
  <sheetData>
    <row r="1" spans="2:7" x14ac:dyDescent="0.3">
      <c r="B1" s="1651" t="s">
        <v>925</v>
      </c>
      <c r="C1" s="1651"/>
      <c r="D1" s="1651"/>
      <c r="E1" s="1651"/>
      <c r="F1" s="1651"/>
    </row>
    <row r="2" spans="2:7" x14ac:dyDescent="0.3">
      <c r="B2" s="790" t="s">
        <v>37</v>
      </c>
      <c r="C2" s="791" t="s">
        <v>921</v>
      </c>
      <c r="D2" s="791" t="s">
        <v>922</v>
      </c>
      <c r="E2" s="791" t="s">
        <v>923</v>
      </c>
      <c r="F2" s="791" t="s">
        <v>924</v>
      </c>
      <c r="G2" s="786"/>
    </row>
    <row r="3" spans="2:7" x14ac:dyDescent="0.3">
      <c r="B3" s="518" t="s">
        <v>915</v>
      </c>
      <c r="C3" s="787" t="s">
        <v>99</v>
      </c>
      <c r="D3" s="621">
        <f>'F2.1'!$G$15</f>
        <v>0.8</v>
      </c>
      <c r="E3" s="621">
        <f>'F2.1'!$J$15</f>
        <v>0.8</v>
      </c>
      <c r="F3" s="621">
        <f>'F2.1'!$N$15</f>
        <v>0.8</v>
      </c>
      <c r="G3" s="786"/>
    </row>
    <row r="4" spans="2:7" x14ac:dyDescent="0.3">
      <c r="B4" s="518" t="s">
        <v>679</v>
      </c>
      <c r="C4" s="787" t="s">
        <v>99</v>
      </c>
      <c r="D4" s="621">
        <f>'F2.1'!$G$16</f>
        <v>0.52122000000000002</v>
      </c>
      <c r="E4" s="621">
        <f>'F2.1'!$K$16</f>
        <v>0.57265999999999995</v>
      </c>
      <c r="F4" s="621">
        <f>'F2.1'!$Q$16</f>
        <v>0.69331642993305698</v>
      </c>
      <c r="G4" s="786"/>
    </row>
    <row r="5" spans="2:7" x14ac:dyDescent="0.3">
      <c r="B5" s="519" t="s">
        <v>916</v>
      </c>
      <c r="C5" s="787" t="s">
        <v>441</v>
      </c>
      <c r="D5" s="620">
        <f>'F1'!$F13+'F1'!$G15+'F1'!$F16+'F1'!$G17+'F1'!$G18+'F1'!$F19+'F1'!$F21+'F1'!$G24+'F1'!$G25-'F1'!$G26</f>
        <v>1079.0831107337533</v>
      </c>
      <c r="E5" s="620">
        <f>'F1'!$J13+'F1'!$K15+'F1'!$J16+'F1'!$K17+'F1'!$K18+'F1'!$J19+'F1'!$J21+'F1'!$K24+'F1'!$K25-'F1'!$K26</f>
        <v>1233.5527573348218</v>
      </c>
      <c r="F5" s="620">
        <f ca="1">'F1'!$N13+'F1'!$Q15+'F1'!$N16+'F1'!$Q17+'F1'!$Q18+'F1'!$N19+'F1'!$N21+'F1'!$Q24+'F1'!$Q25-'F1'!$Q26</f>
        <v>1381.7891561645647</v>
      </c>
      <c r="G5" s="786"/>
    </row>
    <row r="6" spans="2:7" x14ac:dyDescent="0.3">
      <c r="B6" s="519" t="s">
        <v>917</v>
      </c>
      <c r="C6" s="787" t="s">
        <v>441</v>
      </c>
      <c r="D6" s="620">
        <f>+'F3.1'!$E$27</f>
        <v>16.4128319</v>
      </c>
      <c r="E6" s="620">
        <f>+'F3.1'!$G$27</f>
        <v>26.892168524000002</v>
      </c>
      <c r="F6" s="620">
        <f>+'F3.1'!$I$27</f>
        <v>26.892168524000002</v>
      </c>
      <c r="G6" s="786"/>
    </row>
    <row r="7" spans="2:7" x14ac:dyDescent="0.3">
      <c r="B7" s="519" t="s">
        <v>959</v>
      </c>
      <c r="C7" s="787" t="s">
        <v>441</v>
      </c>
      <c r="D7" s="620">
        <f>D5-D6</f>
        <v>1062.6702788337534</v>
      </c>
      <c r="E7" s="620">
        <f t="shared" ref="E7" si="0">E5-E6</f>
        <v>1206.6605888108218</v>
      </c>
      <c r="F7" s="620">
        <f t="shared" ref="F7" ca="1" si="1">F5-F6</f>
        <v>1354.8969876405647</v>
      </c>
      <c r="G7" s="786"/>
    </row>
    <row r="8" spans="2:7" x14ac:dyDescent="0.3">
      <c r="B8" s="521" t="s">
        <v>918</v>
      </c>
      <c r="C8" s="785" t="s">
        <v>441</v>
      </c>
      <c r="D8" s="826">
        <f>D48</f>
        <v>370.23166846998265</v>
      </c>
      <c r="E8" s="826">
        <f>E48</f>
        <v>343.42691601857996</v>
      </c>
      <c r="F8" s="826">
        <f ca="1">F48</f>
        <v>110.55451332776647</v>
      </c>
      <c r="G8" s="786"/>
    </row>
    <row r="9" spans="2:7" x14ac:dyDescent="0.3">
      <c r="B9" s="519" t="s">
        <v>919</v>
      </c>
      <c r="C9" s="787" t="s">
        <v>441</v>
      </c>
      <c r="D9" s="802">
        <f>D7-D8</f>
        <v>692.43861036377075</v>
      </c>
      <c r="E9" s="802">
        <f>E7-E8</f>
        <v>863.2336727922418</v>
      </c>
      <c r="F9" s="802">
        <f ca="1">F7-F8</f>
        <v>1244.3424743127982</v>
      </c>
      <c r="G9" s="786"/>
    </row>
    <row r="10" spans="2:7" x14ac:dyDescent="0.3">
      <c r="B10" s="521" t="s">
        <v>920</v>
      </c>
      <c r="C10" s="785" t="s">
        <v>441</v>
      </c>
      <c r="D10" s="788">
        <f>D9+D6</f>
        <v>708.85144226377076</v>
      </c>
      <c r="E10" s="788">
        <f>E9+E6</f>
        <v>890.1258413162418</v>
      </c>
      <c r="F10" s="788">
        <f ca="1">F9+F6</f>
        <v>1271.2346428367982</v>
      </c>
      <c r="G10" s="786"/>
    </row>
    <row r="11" spans="2:7" x14ac:dyDescent="0.3">
      <c r="B11" s="789"/>
      <c r="C11" s="786"/>
      <c r="D11" s="786"/>
      <c r="E11" s="786"/>
      <c r="F11" s="786"/>
      <c r="G11" s="786"/>
    </row>
    <row r="12" spans="2:7" x14ac:dyDescent="0.3">
      <c r="B12" s="522" t="s">
        <v>966</v>
      </c>
    </row>
    <row r="13" spans="2:7" x14ac:dyDescent="0.3">
      <c r="B13" s="779" t="s">
        <v>962</v>
      </c>
      <c r="C13" s="520" t="s">
        <v>99</v>
      </c>
      <c r="D13" s="683">
        <v>0.68162</v>
      </c>
      <c r="E13" s="683">
        <v>0.75631000000000004</v>
      </c>
      <c r="F13" s="683">
        <v>0.78993000000000002</v>
      </c>
    </row>
    <row r="14" spans="2:7" x14ac:dyDescent="0.3">
      <c r="B14" s="779" t="s">
        <v>963</v>
      </c>
      <c r="C14" s="520" t="s">
        <v>99</v>
      </c>
      <c r="D14" s="683">
        <v>0.68098999999999998</v>
      </c>
      <c r="E14" s="683">
        <v>0.74977000000000005</v>
      </c>
      <c r="F14" s="683">
        <v>0.77556999999999998</v>
      </c>
    </row>
    <row r="15" spans="2:7" x14ac:dyDescent="0.3">
      <c r="B15" s="779" t="s">
        <v>964</v>
      </c>
      <c r="C15" s="520" t="s">
        <v>99</v>
      </c>
      <c r="D15" s="683">
        <v>0.46498</v>
      </c>
      <c r="E15" s="683">
        <v>0.51034000000000002</v>
      </c>
      <c r="F15" s="683">
        <v>0.72841</v>
      </c>
    </row>
    <row r="16" spans="2:7" x14ac:dyDescent="0.3">
      <c r="B16" s="779" t="s">
        <v>965</v>
      </c>
      <c r="C16" s="520" t="s">
        <v>99</v>
      </c>
      <c r="D16" s="683">
        <v>0.46876000000000001</v>
      </c>
      <c r="E16" s="683">
        <v>0.51332</v>
      </c>
      <c r="F16" s="683">
        <v>0.71808499999999997</v>
      </c>
    </row>
    <row r="18" spans="2:6" x14ac:dyDescent="0.3">
      <c r="B18" s="780" t="s">
        <v>1033</v>
      </c>
    </row>
    <row r="19" spans="2:6" x14ac:dyDescent="0.3">
      <c r="B19" s="779" t="s">
        <v>1034</v>
      </c>
      <c r="C19" s="679" t="s">
        <v>441</v>
      </c>
      <c r="D19" s="803">
        <f>D7*1/4*20%</f>
        <v>53.133513941687674</v>
      </c>
      <c r="E19" s="1134">
        <f>E7*1/4*20%</f>
        <v>60.33302944054109</v>
      </c>
      <c r="F19" s="1134">
        <f ca="1">F7*1/4*20%</f>
        <v>67.744849382028235</v>
      </c>
    </row>
    <row r="20" spans="2:6" x14ac:dyDescent="0.3">
      <c r="B20" s="779" t="s">
        <v>1035</v>
      </c>
      <c r="C20" s="679" t="s">
        <v>441</v>
      </c>
      <c r="D20" s="804">
        <f>D7*1/4*80%</f>
        <v>212.5340557667507</v>
      </c>
      <c r="E20" s="1135">
        <f t="shared" ref="E20" si="2">E7*1/4*80%</f>
        <v>241.33211776216436</v>
      </c>
      <c r="F20" s="1135">
        <f t="shared" ref="F20" ca="1" si="3">F7*1/4*80%</f>
        <v>270.97939752811294</v>
      </c>
    </row>
    <row r="21" spans="2:6" x14ac:dyDescent="0.3">
      <c r="B21" s="779" t="s">
        <v>1036</v>
      </c>
      <c r="C21" s="679" t="s">
        <v>441</v>
      </c>
      <c r="D21" s="803">
        <f>D7*3/4*20%</f>
        <v>159.40054182506302</v>
      </c>
      <c r="E21" s="1134">
        <f t="shared" ref="E21" si="4">E7*3/4*20%</f>
        <v>180.99908832162328</v>
      </c>
      <c r="F21" s="1134">
        <f t="shared" ref="F21" ca="1" si="5">F7*3/4*20%</f>
        <v>203.23454814608473</v>
      </c>
    </row>
    <row r="22" spans="2:6" x14ac:dyDescent="0.3">
      <c r="B22" s="779" t="s">
        <v>1037</v>
      </c>
      <c r="C22" s="679" t="s">
        <v>441</v>
      </c>
      <c r="D22" s="804">
        <f>D7*3/4*80%</f>
        <v>637.60216730025206</v>
      </c>
      <c r="E22" s="1135">
        <f t="shared" ref="E22" si="6">E7*3/4*80%</f>
        <v>723.9963532864931</v>
      </c>
      <c r="F22" s="1135">
        <f t="shared" ref="F22" ca="1" si="7">F7*3/4*80%</f>
        <v>812.93819258433894</v>
      </c>
    </row>
    <row r="23" spans="2:6" x14ac:dyDescent="0.3">
      <c r="B23" s="781"/>
      <c r="C23" s="679"/>
      <c r="D23" s="680"/>
      <c r="E23" s="680"/>
      <c r="F23" s="680"/>
    </row>
    <row r="24" spans="2:6" ht="26" x14ac:dyDescent="0.3">
      <c r="B24" s="782" t="s">
        <v>1038</v>
      </c>
      <c r="C24" s="679"/>
      <c r="D24" s="680"/>
      <c r="E24" s="680"/>
      <c r="F24" s="680"/>
    </row>
    <row r="25" spans="2:6" x14ac:dyDescent="0.3">
      <c r="B25" s="779" t="s">
        <v>1034</v>
      </c>
      <c r="C25" s="679" t="s">
        <v>441</v>
      </c>
      <c r="D25" s="825">
        <f>MIN(D13/$D$3,1)*D19</f>
        <v>45.271082216166434</v>
      </c>
      <c r="E25" s="804">
        <f t="shared" ref="E25:F28" si="8">MIN(E13/E$3,1)*E19</f>
        <v>57.038091870219539</v>
      </c>
      <c r="F25" s="804">
        <f ca="1">MIN(F13/F$3,1)*F19</f>
        <v>66.892111090431953</v>
      </c>
    </row>
    <row r="26" spans="2:6" x14ac:dyDescent="0.3">
      <c r="B26" s="779" t="s">
        <v>1035</v>
      </c>
      <c r="C26" s="679" t="s">
        <v>441</v>
      </c>
      <c r="D26" s="825">
        <f t="shared" ref="D26:D28" si="9">MIN(D14/$D$3,1)*D20</f>
        <v>180.91695829574945</v>
      </c>
      <c r="E26" s="680">
        <f t="shared" si="8"/>
        <v>226.17947741817247</v>
      </c>
      <c r="F26" s="680">
        <f ca="1">MIN(F14/F$3,1)*F20</f>
        <v>262.70436417609818</v>
      </c>
    </row>
    <row r="27" spans="2:6" x14ac:dyDescent="0.3">
      <c r="B27" s="779" t="s">
        <v>1036</v>
      </c>
      <c r="C27" s="679" t="s">
        <v>441</v>
      </c>
      <c r="D27" s="825">
        <f t="shared" si="9"/>
        <v>92.647579922272243</v>
      </c>
      <c r="E27" s="680">
        <f t="shared" si="8"/>
        <v>115.46384341757152</v>
      </c>
      <c r="F27" s="680">
        <f t="shared" ca="1" si="8"/>
        <v>185.04759651886198</v>
      </c>
    </row>
    <row r="28" spans="2:6" x14ac:dyDescent="0.3">
      <c r="B28" s="779" t="s">
        <v>1037</v>
      </c>
      <c r="C28" s="679" t="s">
        <v>441</v>
      </c>
      <c r="D28" s="825">
        <f t="shared" si="9"/>
        <v>373.60298992958269</v>
      </c>
      <c r="E28" s="680">
        <f t="shared" si="8"/>
        <v>464.55226008627824</v>
      </c>
      <c r="F28" s="680">
        <f t="shared" ca="1" si="8"/>
        <v>729.69840252740619</v>
      </c>
    </row>
    <row r="29" spans="2:6" x14ac:dyDescent="0.3">
      <c r="B29" s="783"/>
      <c r="C29" s="681"/>
      <c r="D29" s="682"/>
      <c r="E29" s="682"/>
      <c r="F29" s="682"/>
    </row>
    <row r="30" spans="2:6" x14ac:dyDescent="0.3">
      <c r="B30" s="782" t="s">
        <v>1039</v>
      </c>
      <c r="C30" s="679"/>
      <c r="D30" s="680"/>
      <c r="E30" s="680"/>
      <c r="F30" s="680"/>
    </row>
    <row r="31" spans="2:6" x14ac:dyDescent="0.3">
      <c r="B31" s="779" t="s">
        <v>1034</v>
      </c>
      <c r="C31" s="679" t="s">
        <v>441</v>
      </c>
      <c r="D31" s="680"/>
      <c r="E31" s="680"/>
      <c r="F31" s="680"/>
    </row>
    <row r="32" spans="2:6" x14ac:dyDescent="0.3">
      <c r="B32" s="779" t="s">
        <v>1035</v>
      </c>
      <c r="C32" s="679" t="s">
        <v>441</v>
      </c>
      <c r="D32" s="784">
        <f>D26-D20</f>
        <v>-31.617097471001244</v>
      </c>
      <c r="E32" s="680">
        <f t="shared" ref="E32" si="10">E26-E20</f>
        <v>-15.152640343991891</v>
      </c>
      <c r="F32" s="680">
        <f t="shared" ref="F32" ca="1" si="11">F26-F20</f>
        <v>-8.2750333520147592</v>
      </c>
    </row>
    <row r="33" spans="2:16" x14ac:dyDescent="0.3">
      <c r="B33" s="779" t="s">
        <v>1036</v>
      </c>
      <c r="C33" s="679" t="s">
        <v>441</v>
      </c>
      <c r="D33" s="680"/>
      <c r="E33" s="680"/>
      <c r="F33" s="680"/>
    </row>
    <row r="34" spans="2:16" x14ac:dyDescent="0.3">
      <c r="B34" s="779" t="s">
        <v>1037</v>
      </c>
      <c r="C34" s="679" t="s">
        <v>441</v>
      </c>
      <c r="D34" s="784">
        <f>D28-D22</f>
        <v>-263.99917737066937</v>
      </c>
      <c r="E34" s="680">
        <f t="shared" ref="E34" si="12">E28-E22</f>
        <v>-259.44409320021487</v>
      </c>
      <c r="F34" s="680">
        <f t="shared" ref="F34" ca="1" si="13">F28-F22</f>
        <v>-83.239790056932748</v>
      </c>
    </row>
    <row r="35" spans="2:16" x14ac:dyDescent="0.3">
      <c r="B35" s="781"/>
      <c r="C35" s="679"/>
      <c r="D35" s="680"/>
      <c r="E35" s="680"/>
      <c r="F35" s="680"/>
    </row>
    <row r="36" spans="2:16" x14ac:dyDescent="0.3">
      <c r="B36" s="782" t="s">
        <v>1040</v>
      </c>
      <c r="C36" s="679"/>
      <c r="D36" s="680"/>
      <c r="E36" s="680"/>
      <c r="F36" s="680"/>
    </row>
    <row r="37" spans="2:16" x14ac:dyDescent="0.3">
      <c r="B37" s="781" t="s">
        <v>1034</v>
      </c>
      <c r="C37" s="679" t="s">
        <v>441</v>
      </c>
      <c r="D37" s="784">
        <f>D13/D3*D19-D25</f>
        <v>0</v>
      </c>
      <c r="E37" s="784">
        <f t="shared" ref="E37" si="14">E13/E3*E19-E25</f>
        <v>0</v>
      </c>
      <c r="F37" s="784">
        <f t="shared" ref="F37" ca="1" si="15">F13/F3*F19-F25</f>
        <v>0</v>
      </c>
    </row>
    <row r="38" spans="2:16" x14ac:dyDescent="0.3">
      <c r="B38" s="781" t="s">
        <v>1035</v>
      </c>
      <c r="C38" s="679" t="s">
        <v>441</v>
      </c>
      <c r="D38" s="680"/>
      <c r="E38" s="680"/>
      <c r="F38" s="680"/>
    </row>
    <row r="39" spans="2:16" x14ac:dyDescent="0.3">
      <c r="B39" s="781" t="s">
        <v>1036</v>
      </c>
      <c r="C39" s="679" t="s">
        <v>441</v>
      </c>
      <c r="D39" s="784">
        <f>D15/D3*D21-D27</f>
        <v>0</v>
      </c>
      <c r="E39" s="784">
        <f t="shared" ref="E39" si="16">E15/E3*E21-E27</f>
        <v>0</v>
      </c>
      <c r="F39" s="784">
        <f t="shared" ref="F39" ca="1" si="17">F15/F3*F21-F27</f>
        <v>0</v>
      </c>
    </row>
    <row r="40" spans="2:16" x14ac:dyDescent="0.3">
      <c r="B40" s="781" t="s">
        <v>1037</v>
      </c>
      <c r="C40" s="679" t="s">
        <v>441</v>
      </c>
      <c r="D40" s="680"/>
      <c r="E40" s="680"/>
      <c r="F40" s="680"/>
    </row>
    <row r="41" spans="2:16" x14ac:dyDescent="0.3">
      <c r="B41" s="781"/>
      <c r="C41" s="679"/>
      <c r="D41" s="680"/>
      <c r="E41" s="680"/>
      <c r="F41" s="680"/>
    </row>
    <row r="42" spans="2:16" x14ac:dyDescent="0.3">
      <c r="B42" s="782" t="s">
        <v>1041</v>
      </c>
      <c r="C42" s="679"/>
      <c r="D42" s="680"/>
      <c r="E42" s="680"/>
      <c r="F42" s="680"/>
    </row>
    <row r="43" spans="2:16" x14ac:dyDescent="0.3">
      <c r="B43" s="781" t="s">
        <v>1034</v>
      </c>
      <c r="C43" s="679" t="s">
        <v>441</v>
      </c>
      <c r="D43" s="680"/>
      <c r="E43" s="680"/>
      <c r="F43" s="680"/>
    </row>
    <row r="44" spans="2:16" ht="14" x14ac:dyDescent="0.3">
      <c r="B44" s="781" t="s">
        <v>1035</v>
      </c>
      <c r="C44" s="679" t="s">
        <v>441</v>
      </c>
      <c r="D44" s="680">
        <f>IF(D32&lt;0,MIN(D37,-D32),0)</f>
        <v>0</v>
      </c>
      <c r="E44" s="680">
        <f t="shared" ref="E44" si="18">IF(E32&lt;0,MIN(E37,-E32),0)</f>
        <v>0</v>
      </c>
      <c r="F44" s="680">
        <f t="shared" ref="F44" ca="1" si="19">IF(F32&lt;0,MIN(F37,-F32),0)</f>
        <v>0</v>
      </c>
      <c r="I44" s="188" t="s">
        <v>905</v>
      </c>
      <c r="J44" s="33"/>
      <c r="K44" s="14"/>
      <c r="L44" s="14"/>
      <c r="M44" s="14"/>
      <c r="N44" s="14"/>
      <c r="O44" s="14"/>
      <c r="P44" s="14"/>
    </row>
    <row r="45" spans="2:16" ht="56" x14ac:dyDescent="0.3">
      <c r="B45" s="781" t="s">
        <v>1036</v>
      </c>
      <c r="C45" s="679" t="s">
        <v>441</v>
      </c>
      <c r="D45" s="680"/>
      <c r="E45" s="680"/>
      <c r="F45" s="680"/>
      <c r="I45" s="777" t="s">
        <v>906</v>
      </c>
      <c r="J45" s="778" t="s">
        <v>907</v>
      </c>
      <c r="K45" s="778" t="s">
        <v>908</v>
      </c>
      <c r="L45" s="778" t="s">
        <v>909</v>
      </c>
      <c r="M45" s="778" t="s">
        <v>910</v>
      </c>
      <c r="N45" s="778" t="s">
        <v>911</v>
      </c>
      <c r="O45" s="778" t="s">
        <v>912</v>
      </c>
      <c r="P45" s="778" t="s">
        <v>913</v>
      </c>
    </row>
    <row r="46" spans="2:16" ht="15.5" x14ac:dyDescent="0.3">
      <c r="B46" s="781" t="s">
        <v>1037</v>
      </c>
      <c r="C46" s="679" t="s">
        <v>441</v>
      </c>
      <c r="D46" s="680">
        <f>IF(D34&lt;0,MIN(D39,-D34),0)</f>
        <v>0</v>
      </c>
      <c r="E46" s="680">
        <f t="shared" ref="E46" si="20">IF(E34&lt;0,MIN(E39,-E34),0)</f>
        <v>0</v>
      </c>
      <c r="F46" s="680">
        <f t="shared" ref="F46" ca="1" si="21">IF(F34&lt;0,MIN(F39,-F34),0)</f>
        <v>0</v>
      </c>
      <c r="I46" s="119" t="s">
        <v>544</v>
      </c>
      <c r="J46" s="492">
        <f>'F2.1'!G30</f>
        <v>8413.7729999999992</v>
      </c>
      <c r="K46" s="774">
        <f>'F2.1'!$F$34</f>
        <v>9.3399999999999997E-2</v>
      </c>
      <c r="L46" s="583">
        <v>0.11062787621815914</v>
      </c>
      <c r="M46" s="492">
        <f>(L46-K46)*J46</f>
        <v>144.95143977168954</v>
      </c>
      <c r="N46" s="775">
        <f>'F2.2'!F157</f>
        <v>4.352330490002208</v>
      </c>
      <c r="O46" s="492">
        <f>M46*N46/10</f>
        <v>63.087657088804306</v>
      </c>
      <c r="P46" s="776">
        <f>IF(O46&lt;0,2/3,1/3)*O46</f>
        <v>21.029219029601435</v>
      </c>
    </row>
    <row r="47" spans="2:16" ht="15.5" x14ac:dyDescent="0.3">
      <c r="B47" s="781"/>
      <c r="C47" s="679"/>
      <c r="D47" s="680"/>
      <c r="E47" s="680"/>
      <c r="F47" s="680"/>
      <c r="I47" s="119" t="s">
        <v>545</v>
      </c>
      <c r="J47" s="492">
        <f>'F2.1'!$K$30</f>
        <v>9039.1190000000006</v>
      </c>
      <c r="K47" s="774">
        <f>'F2.1'!$J$34</f>
        <v>9.3399999999999997E-2</v>
      </c>
      <c r="L47" s="583">
        <v>0.10504169239280946</v>
      </c>
      <c r="M47" s="492">
        <f>(L47-K47)*J47</f>
        <v>105.23064289999947</v>
      </c>
      <c r="N47" s="775">
        <f>'F2.2'!J157</f>
        <v>4.2070843496117307</v>
      </c>
      <c r="O47" s="492">
        <f>M47*N47/10</f>
        <v>44.271419084416856</v>
      </c>
      <c r="P47" s="776">
        <f>IF(O47&lt;0,2/3,1/3)*O47</f>
        <v>14.757139694805618</v>
      </c>
    </row>
    <row r="48" spans="2:16" ht="15.5" x14ac:dyDescent="0.3">
      <c r="B48" s="783" t="s">
        <v>918</v>
      </c>
      <c r="C48" s="679" t="s">
        <v>441</v>
      </c>
      <c r="D48" s="680">
        <f>SUM(D19:D22)-SUM(D25:D28)+SUM(D43:D46)</f>
        <v>370.23166846998265</v>
      </c>
      <c r="E48" s="680">
        <f>SUM(E19:E22)-SUM(E25:E28)+SUM(E43:E46)</f>
        <v>343.42691601857996</v>
      </c>
      <c r="F48" s="680">
        <f ca="1">SUM(F19:F22)-SUM(F25:F28)+SUM(F43:F46)</f>
        <v>110.55451332776647</v>
      </c>
      <c r="I48" s="119"/>
      <c r="J48" s="492"/>
      <c r="K48" s="774"/>
      <c r="L48" s="583"/>
      <c r="M48" s="492"/>
      <c r="N48" s="775"/>
      <c r="O48" s="492"/>
      <c r="P48" s="776"/>
    </row>
    <row r="49" spans="4:16" ht="14" x14ac:dyDescent="0.3">
      <c r="I49" s="119"/>
      <c r="J49" s="492"/>
      <c r="K49" s="411"/>
      <c r="L49" s="119"/>
      <c r="M49" s="119"/>
      <c r="N49" s="119"/>
      <c r="O49" s="119"/>
      <c r="P49" s="119"/>
    </row>
    <row r="57" spans="4:16" x14ac:dyDescent="0.3">
      <c r="D57" s="786"/>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2"/>
  <sheetViews>
    <sheetView showGridLines="0" zoomScale="80" zoomScaleNormal="80" zoomScaleSheetLayoutView="78" workbookViewId="0">
      <pane xSplit="3" ySplit="9" topLeftCell="R18" activePane="bottomRight" state="frozen"/>
      <selection pane="topRight" activeCell="D1" sqref="D1"/>
      <selection pane="bottomLeft" activeCell="A10" sqref="A10"/>
      <selection pane="bottomRight" activeCell="G28" sqref="G28:AA29"/>
    </sheetView>
  </sheetViews>
  <sheetFormatPr defaultColWidth="9.36328125" defaultRowHeight="14" x14ac:dyDescent="0.25"/>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x14ac:dyDescent="0.25">
      <c r="B2" s="1657" t="str">
        <f>Index!B2</f>
        <v xml:space="preserve">      Maharashtra State Power Generation Company Ltd.</v>
      </c>
      <c r="C2" s="1657"/>
      <c r="D2" s="1657"/>
      <c r="E2" s="1657"/>
      <c r="F2" s="1657"/>
      <c r="G2" s="1657"/>
      <c r="H2" s="1657"/>
      <c r="I2" s="1657"/>
      <c r="J2" s="1657"/>
      <c r="K2" s="1657"/>
      <c r="L2" s="1657"/>
      <c r="M2" s="626"/>
      <c r="N2" s="1657" t="s">
        <v>776</v>
      </c>
      <c r="O2" s="1657"/>
      <c r="P2" s="1657"/>
      <c r="Q2" s="1657"/>
      <c r="R2" s="1657"/>
      <c r="S2" s="1657"/>
      <c r="T2" s="1657"/>
      <c r="U2" s="1657"/>
      <c r="V2" s="1657"/>
      <c r="W2" s="1657"/>
      <c r="X2" s="1657"/>
      <c r="Y2" s="188"/>
      <c r="Z2" s="188"/>
    </row>
    <row r="3" spans="2:26" s="5" customFormat="1" x14ac:dyDescent="0.3">
      <c r="B3" s="1658" t="str">
        <f>Index!B3</f>
        <v>MYT Petition Formats for Chandrapur Unit 3-7</v>
      </c>
      <c r="C3" s="1658"/>
      <c r="D3" s="1658"/>
      <c r="E3" s="1658"/>
      <c r="F3" s="1658"/>
      <c r="G3" s="1658"/>
      <c r="H3" s="1658"/>
      <c r="I3" s="1658"/>
      <c r="J3" s="1658"/>
      <c r="K3" s="1658"/>
      <c r="L3" s="1658"/>
      <c r="M3" s="625"/>
      <c r="N3" s="1658" t="str">
        <f>Index!B3</f>
        <v>MYT Petition Formats for Chandrapur Unit 3-7</v>
      </c>
      <c r="O3" s="1658"/>
      <c r="P3" s="1658"/>
      <c r="Q3" s="1658"/>
      <c r="R3" s="1658"/>
      <c r="S3" s="1658"/>
      <c r="T3" s="1658"/>
      <c r="U3" s="1658"/>
      <c r="V3" s="1658"/>
      <c r="W3" s="1658"/>
      <c r="X3" s="1658"/>
      <c r="Y3" s="65"/>
      <c r="Z3" s="65"/>
    </row>
    <row r="4" spans="2:26" s="5" customFormat="1" x14ac:dyDescent="0.3">
      <c r="B4" s="1658" t="s">
        <v>78</v>
      </c>
      <c r="C4" s="1658"/>
      <c r="D4" s="1658"/>
      <c r="E4" s="1658"/>
      <c r="F4" s="1658"/>
      <c r="G4" s="1658"/>
      <c r="H4" s="1658"/>
      <c r="I4" s="1658"/>
      <c r="J4" s="1658"/>
      <c r="K4" s="1658"/>
      <c r="L4" s="1658"/>
      <c r="M4" s="625"/>
      <c r="N4" s="1658" t="s">
        <v>78</v>
      </c>
      <c r="O4" s="1658"/>
      <c r="P4" s="1658"/>
      <c r="Q4" s="1658"/>
      <c r="R4" s="1658"/>
      <c r="S4" s="1658"/>
      <c r="T4" s="1658"/>
      <c r="U4" s="1658"/>
      <c r="V4" s="1658"/>
      <c r="W4" s="1658"/>
      <c r="X4" s="1658"/>
      <c r="Y4" s="65"/>
      <c r="Z4" s="65"/>
    </row>
    <row r="7" spans="2:26" ht="12.75" customHeight="1" x14ac:dyDescent="0.25">
      <c r="B7" s="1659" t="s">
        <v>340</v>
      </c>
      <c r="C7" s="1662" t="s">
        <v>37</v>
      </c>
      <c r="D7" s="1662" t="s">
        <v>5</v>
      </c>
      <c r="E7" s="1654" t="s">
        <v>506</v>
      </c>
      <c r="F7" s="1655"/>
      <c r="G7" s="1655"/>
      <c r="H7" s="1656"/>
      <c r="I7" s="1654" t="s">
        <v>507</v>
      </c>
      <c r="J7" s="1655"/>
      <c r="K7" s="1655"/>
      <c r="L7" s="1656"/>
      <c r="M7" s="1654" t="s">
        <v>508</v>
      </c>
      <c r="N7" s="1655"/>
      <c r="O7" s="1655"/>
      <c r="P7" s="1655"/>
      <c r="Q7" s="1655"/>
      <c r="R7" s="1656"/>
      <c r="S7" s="1654" t="s">
        <v>968</v>
      </c>
      <c r="T7" s="1655"/>
      <c r="U7" s="1655"/>
      <c r="V7" s="1655"/>
      <c r="W7" s="1656"/>
      <c r="X7" s="1652" t="s">
        <v>27</v>
      </c>
    </row>
    <row r="8" spans="2:26" ht="28" customHeight="1" x14ac:dyDescent="0.25">
      <c r="B8" s="1660"/>
      <c r="C8" s="1662"/>
      <c r="D8" s="1662"/>
      <c r="E8" s="1323" t="s">
        <v>1577</v>
      </c>
      <c r="F8" s="1323" t="s">
        <v>914</v>
      </c>
      <c r="G8" s="1323" t="s">
        <v>79</v>
      </c>
      <c r="H8" s="1323" t="s">
        <v>449</v>
      </c>
      <c r="I8" s="1323" t="s">
        <v>1577</v>
      </c>
      <c r="J8" s="1323" t="s">
        <v>914</v>
      </c>
      <c r="K8" s="1323" t="s">
        <v>79</v>
      </c>
      <c r="L8" s="1323" t="s">
        <v>449</v>
      </c>
      <c r="M8" s="1323" t="s">
        <v>1577</v>
      </c>
      <c r="N8" s="1323" t="s">
        <v>914</v>
      </c>
      <c r="O8" s="1323" t="s">
        <v>443</v>
      </c>
      <c r="P8" s="1323" t="s">
        <v>447</v>
      </c>
      <c r="Q8" s="1323" t="s">
        <v>80</v>
      </c>
      <c r="R8" s="1323" t="s">
        <v>450</v>
      </c>
      <c r="S8" s="1324" t="s">
        <v>969</v>
      </c>
      <c r="T8" s="1324" t="s">
        <v>970</v>
      </c>
      <c r="U8" s="1324" t="s">
        <v>971</v>
      </c>
      <c r="V8" s="1324" t="s">
        <v>972</v>
      </c>
      <c r="W8" s="1324" t="s">
        <v>973</v>
      </c>
      <c r="X8" s="1652"/>
    </row>
    <row r="9" spans="2:26" x14ac:dyDescent="0.25">
      <c r="B9" s="1661"/>
      <c r="C9" s="1663"/>
      <c r="D9" s="1663"/>
      <c r="E9" s="1323" t="s">
        <v>81</v>
      </c>
      <c r="F9" s="1323" t="s">
        <v>82</v>
      </c>
      <c r="G9" s="1323" t="s">
        <v>1578</v>
      </c>
      <c r="H9" s="1323" t="s">
        <v>1579</v>
      </c>
      <c r="I9" s="1323" t="s">
        <v>1550</v>
      </c>
      <c r="J9" s="1323" t="s">
        <v>509</v>
      </c>
      <c r="K9" s="1323" t="s">
        <v>410</v>
      </c>
      <c r="L9" s="1323" t="s">
        <v>1580</v>
      </c>
      <c r="M9" s="1323" t="s">
        <v>589</v>
      </c>
      <c r="N9" s="1323" t="s">
        <v>652</v>
      </c>
      <c r="O9" s="1323" t="s">
        <v>590</v>
      </c>
      <c r="P9" s="1323" t="s">
        <v>591</v>
      </c>
      <c r="Q9" s="1323" t="s">
        <v>675</v>
      </c>
      <c r="R9" s="1323" t="s">
        <v>676</v>
      </c>
      <c r="S9" s="1323" t="s">
        <v>1581</v>
      </c>
      <c r="T9" s="1323" t="s">
        <v>1581</v>
      </c>
      <c r="U9" s="1323" t="s">
        <v>1581</v>
      </c>
      <c r="V9" s="1323" t="s">
        <v>1581</v>
      </c>
      <c r="W9" s="1323" t="s">
        <v>1581</v>
      </c>
      <c r="X9" s="1653"/>
    </row>
    <row r="10" spans="2:26" x14ac:dyDescent="0.25">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6" customFormat="1" x14ac:dyDescent="0.25">
      <c r="B11" s="238">
        <v>1</v>
      </c>
      <c r="C11" s="119" t="s">
        <v>83</v>
      </c>
      <c r="D11" s="128" t="s">
        <v>56</v>
      </c>
      <c r="E11" s="656">
        <f>'F2.2'!E155</f>
        <v>4353.6843876076555</v>
      </c>
      <c r="F11" s="632">
        <f>'F2.2'!F155</f>
        <v>3319.9257524513064</v>
      </c>
      <c r="G11" s="632">
        <f>'F2.2'!G155</f>
        <v>3858.2805012922345</v>
      </c>
      <c r="H11" s="632">
        <f t="shared" ref="H11:H22" si="0">G11-F11</f>
        <v>538.3547488409281</v>
      </c>
      <c r="I11" s="632">
        <f>'F2.2'!$I$155</f>
        <v>4334.6185179535787</v>
      </c>
      <c r="J11" s="632">
        <f>'F2.2'!J155</f>
        <v>3447.6489489382816</v>
      </c>
      <c r="K11" s="632">
        <f>'F2.2'!K155</f>
        <v>3689.0824667967986</v>
      </c>
      <c r="L11" s="632">
        <f t="shared" ref="L11:L22" si="1">K11-J11</f>
        <v>241.43351785851701</v>
      </c>
      <c r="M11" s="632">
        <f>'F2.2'!$M$155</f>
        <v>4316.0668723285653</v>
      </c>
      <c r="N11" s="632">
        <f>'F2.2'!N155</f>
        <v>4462.1060907400051</v>
      </c>
      <c r="O11" s="632">
        <f>'F2.2'!O155</f>
        <v>2184.2266336416242</v>
      </c>
      <c r="P11" s="632">
        <f>'F2.2'!P155</f>
        <v>2513.4752297749519</v>
      </c>
      <c r="Q11" s="632">
        <f>O11+P11</f>
        <v>4697.7018634165761</v>
      </c>
      <c r="R11" s="632">
        <f t="shared" ref="R11:R19" si="2">Q11-N11</f>
        <v>235.59577267657096</v>
      </c>
      <c r="S11" s="1452">
        <f>'F2.2'!S155</f>
        <v>5460.0160720581043</v>
      </c>
      <c r="T11" s="579">
        <f>'F2.2'!T155</f>
        <v>5732.7570149504581</v>
      </c>
      <c r="U11" s="579">
        <f>'F2.2'!U155</f>
        <v>6019.4444754699953</v>
      </c>
      <c r="V11" s="579">
        <f>'F2.2'!V155</f>
        <v>6292.5550861226884</v>
      </c>
      <c r="W11" s="579">
        <f>'F2.2'!W155</f>
        <v>6607.6462140342974</v>
      </c>
      <c r="X11" s="320"/>
    </row>
    <row r="12" spans="2:26" s="316" customFormat="1" x14ac:dyDescent="0.25">
      <c r="B12" s="99">
        <f>B11+1</f>
        <v>2</v>
      </c>
      <c r="C12" s="24" t="s">
        <v>1513</v>
      </c>
      <c r="D12" s="128" t="s">
        <v>56</v>
      </c>
      <c r="E12" s="656"/>
      <c r="F12" s="1141"/>
      <c r="G12" s="1141"/>
      <c r="H12" s="1141"/>
      <c r="I12" s="1141"/>
      <c r="J12" s="1141"/>
      <c r="K12" s="1141"/>
      <c r="L12" s="1141"/>
      <c r="M12" s="1141"/>
      <c r="N12" s="1141"/>
      <c r="O12" s="1141"/>
      <c r="P12" s="1141"/>
      <c r="Q12" s="1141"/>
      <c r="R12" s="1141"/>
      <c r="S12" s="1452">
        <f>'F2.2'!$G$198</f>
        <v>155.40616957061155</v>
      </c>
      <c r="T12" s="579">
        <f>'F2.2'!$J$198</f>
        <v>186.5805215533945</v>
      </c>
      <c r="U12" s="579">
        <f>'F2.2'!$M$198</f>
        <v>221.23567851470352</v>
      </c>
      <c r="V12" s="579">
        <f>'F2.2'!$P$198</f>
        <v>255.95961284421389</v>
      </c>
      <c r="W12" s="579">
        <f>'F2.2'!$S$198</f>
        <v>255.97269163750519</v>
      </c>
      <c r="X12" s="320"/>
    </row>
    <row r="13" spans="2:26" s="316" customFormat="1" x14ac:dyDescent="0.25">
      <c r="B13" s="99">
        <f t="shared" ref="B13:B27" si="3">B12+1</f>
        <v>3</v>
      </c>
      <c r="C13" s="119" t="s">
        <v>84</v>
      </c>
      <c r="D13" s="128" t="s">
        <v>40</v>
      </c>
      <c r="E13" s="656">
        <f>'F3'!E17+'F3.1'!D27</f>
        <v>637.99759691938186</v>
      </c>
      <c r="F13" s="527">
        <f>'F3'!F17+'F3.1'!E27</f>
        <v>649.14848438250215</v>
      </c>
      <c r="G13" s="632">
        <f>'F3'!G17+'F3.1'!E27</f>
        <v>729.29315259679686</v>
      </c>
      <c r="H13" s="632">
        <f t="shared" si="0"/>
        <v>80.144668214294711</v>
      </c>
      <c r="I13" s="632">
        <f>'F3'!$I$17+'F3.1'!F27</f>
        <v>662.68658654157309</v>
      </c>
      <c r="J13" s="632">
        <f>'F3'!J17+'F3.1'!G27</f>
        <v>749.76616561971764</v>
      </c>
      <c r="K13" s="632">
        <f>'F3'!K17+'F3.1'!G27</f>
        <v>910.92702301284839</v>
      </c>
      <c r="L13" s="632">
        <f t="shared" si="1"/>
        <v>161.16085739313075</v>
      </c>
      <c r="M13" s="632">
        <f>'F3'!$M$17+'F3.1'!H27</f>
        <v>688.34769638871035</v>
      </c>
      <c r="N13" s="632">
        <f>'F3'!N17+'F3.1'!I27</f>
        <v>781.2590692552352</v>
      </c>
      <c r="O13" s="632">
        <f>'F3'!O17+'F3.1'!I27/2</f>
        <v>836.11969546727119</v>
      </c>
      <c r="P13" s="632">
        <f>'F3'!P17+'F3.1'!I27/2</f>
        <v>319.09794352224185</v>
      </c>
      <c r="Q13" s="632">
        <f>O13+P13</f>
        <v>1155.217638989513</v>
      </c>
      <c r="R13" s="632">
        <f t="shared" si="2"/>
        <v>373.95856973427783</v>
      </c>
      <c r="S13" s="1452">
        <f>'F3'!S17+'F3.1'!J27</f>
        <v>822.4440248158154</v>
      </c>
      <c r="T13" s="579">
        <f>'F3'!T17+'F3.1'!K27</f>
        <v>859.04075554547921</v>
      </c>
      <c r="U13" s="579">
        <f>'F3'!U17+'F3.1'!L27</f>
        <v>897.30846182482787</v>
      </c>
      <c r="V13" s="579">
        <f>'F3'!V17+'F3.1'!M27</f>
        <v>937.32760113087386</v>
      </c>
      <c r="W13" s="579">
        <f>'F3'!W17+'F3.1'!N27</f>
        <v>979.18290210571013</v>
      </c>
      <c r="X13" s="320"/>
    </row>
    <row r="14" spans="2:26" s="316" customFormat="1" x14ac:dyDescent="0.25">
      <c r="B14" s="99">
        <f t="shared" si="3"/>
        <v>4</v>
      </c>
      <c r="C14" s="24" t="s">
        <v>1514</v>
      </c>
      <c r="D14" s="128"/>
      <c r="E14" s="128"/>
      <c r="F14" s="527"/>
      <c r="G14" s="678"/>
      <c r="H14" s="678">
        <f t="shared" si="0"/>
        <v>0</v>
      </c>
      <c r="I14" s="678"/>
      <c r="J14" s="678"/>
      <c r="K14" s="678"/>
      <c r="L14" s="678">
        <f t="shared" si="1"/>
        <v>0</v>
      </c>
      <c r="M14" s="678"/>
      <c r="N14" s="678"/>
      <c r="O14" s="678"/>
      <c r="P14" s="678"/>
      <c r="Q14" s="678"/>
      <c r="R14" s="678">
        <f t="shared" si="2"/>
        <v>0</v>
      </c>
      <c r="S14" s="1452">
        <f>'F3'!E24</f>
        <v>2.4594</v>
      </c>
      <c r="T14" s="579">
        <f>'F3'!F24</f>
        <v>2.5658920199999997</v>
      </c>
      <c r="U14" s="579">
        <f>'F3'!G24</f>
        <v>26.359378716151994</v>
      </c>
      <c r="V14" s="579">
        <f>'F3'!H24</f>
        <v>27.500739814561371</v>
      </c>
      <c r="W14" s="579">
        <f>'F3'!I24</f>
        <v>28.691521848531885</v>
      </c>
      <c r="X14" s="320"/>
    </row>
    <row r="15" spans="2:26" s="316" customFormat="1" x14ac:dyDescent="0.25">
      <c r="B15" s="99">
        <f t="shared" si="3"/>
        <v>5</v>
      </c>
      <c r="C15" s="120" t="s">
        <v>337</v>
      </c>
      <c r="D15" s="128" t="s">
        <v>70</v>
      </c>
      <c r="E15" s="657">
        <v>86.59252992532997</v>
      </c>
      <c r="F15" s="678">
        <f>G15</f>
        <v>77.694686646762563</v>
      </c>
      <c r="G15" s="527">
        <f>'F5'!E85</f>
        <v>77.694686646762563</v>
      </c>
      <c r="H15" s="678">
        <f t="shared" si="0"/>
        <v>0</v>
      </c>
      <c r="I15" s="657">
        <v>104.70471421023771</v>
      </c>
      <c r="J15" s="678">
        <f>K15</f>
        <v>91.274682171224299</v>
      </c>
      <c r="K15" s="678">
        <f>'F5 (T)'!$J$85</f>
        <v>91.274682171224299</v>
      </c>
      <c r="L15" s="678">
        <f t="shared" si="1"/>
        <v>0</v>
      </c>
      <c r="M15" s="657">
        <v>212.7675881017384</v>
      </c>
      <c r="N15" s="678">
        <f>Q15</f>
        <v>153.96795418740513</v>
      </c>
      <c r="O15" s="678">
        <f>('F5'!O85)/2</f>
        <v>76.983977093702563</v>
      </c>
      <c r="P15" s="678">
        <f>O15</f>
        <v>76.983977093702563</v>
      </c>
      <c r="Q15" s="678">
        <f>O15+P15</f>
        <v>153.96795418740513</v>
      </c>
      <c r="R15" s="678">
        <f t="shared" si="2"/>
        <v>0</v>
      </c>
      <c r="S15" s="1452">
        <f>'F5 (T)'!T85</f>
        <v>198.88962806306967</v>
      </c>
      <c r="T15" s="579">
        <f>'F5 (T)'!$E$112</f>
        <v>247.08144036790097</v>
      </c>
      <c r="U15" s="579">
        <f>'F5 (T)'!$J$112</f>
        <v>327.25363654644298</v>
      </c>
      <c r="V15" s="579">
        <f>'F5 (T)'!$O$112</f>
        <v>341.95573444910963</v>
      </c>
      <c r="W15" s="579">
        <f>'F5 (T)'!$T$112</f>
        <v>358.05002189147075</v>
      </c>
      <c r="X15" s="320"/>
    </row>
    <row r="16" spans="2:26" s="316" customFormat="1" x14ac:dyDescent="0.25">
      <c r="B16" s="99">
        <f t="shared" si="3"/>
        <v>6</v>
      </c>
      <c r="C16" s="120" t="s">
        <v>896</v>
      </c>
      <c r="D16" s="128"/>
      <c r="E16" s="831">
        <v>2.5213134566831141</v>
      </c>
      <c r="F16" s="678">
        <f>G16</f>
        <v>0.58359668357741512</v>
      </c>
      <c r="G16" s="527">
        <v>0.58359668357741512</v>
      </c>
      <c r="H16" s="678">
        <f t="shared" si="0"/>
        <v>0</v>
      </c>
      <c r="I16" s="579">
        <v>2.7237155149089252</v>
      </c>
      <c r="J16" s="678">
        <f>K16</f>
        <v>0.66711143968317044</v>
      </c>
      <c r="K16" s="527">
        <v>0.66711143968317044</v>
      </c>
      <c r="L16" s="678">
        <f t="shared" si="1"/>
        <v>0</v>
      </c>
      <c r="M16" s="579">
        <v>2.7237155149089252</v>
      </c>
      <c r="N16" s="678">
        <f>Q16</f>
        <v>0.68437447320389277</v>
      </c>
      <c r="O16" s="527">
        <v>0.33779126876984761</v>
      </c>
      <c r="P16" s="527">
        <v>0.34658320443404522</v>
      </c>
      <c r="Q16" s="678">
        <f>O16+P16</f>
        <v>0.68437447320389277</v>
      </c>
      <c r="R16" s="678">
        <f t="shared" si="2"/>
        <v>0</v>
      </c>
      <c r="S16" s="1452">
        <v>0.66711143968317044</v>
      </c>
      <c r="T16" s="579">
        <v>0.66711143968317044</v>
      </c>
      <c r="U16" s="579">
        <v>0.66711143968317044</v>
      </c>
      <c r="V16" s="579">
        <v>0.66711143968317044</v>
      </c>
      <c r="W16" s="579">
        <v>0.66711143968317044</v>
      </c>
      <c r="X16" s="320"/>
    </row>
    <row r="17" spans="2:24" s="316" customFormat="1" x14ac:dyDescent="0.25">
      <c r="B17" s="99">
        <f t="shared" si="3"/>
        <v>7</v>
      </c>
      <c r="C17" s="119" t="s">
        <v>336</v>
      </c>
      <c r="D17" s="128" t="s">
        <v>71</v>
      </c>
      <c r="E17" s="657">
        <f>'F6'!D25</f>
        <v>60.897163132050522</v>
      </c>
      <c r="F17" s="527">
        <f>G17</f>
        <v>63.635841186167482</v>
      </c>
      <c r="G17" s="819">
        <f>'F6'!E25</f>
        <v>63.635841186167482</v>
      </c>
      <c r="H17" s="678">
        <f t="shared" si="0"/>
        <v>0</v>
      </c>
      <c r="I17" s="657">
        <f>'F6'!$G$25</f>
        <v>63.602678143316112</v>
      </c>
      <c r="J17" s="678">
        <f>K17</f>
        <v>59.311900179528884</v>
      </c>
      <c r="K17" s="678">
        <f>'F6'!$H$25</f>
        <v>59.311900179528884</v>
      </c>
      <c r="L17" s="678">
        <f t="shared" si="1"/>
        <v>0</v>
      </c>
      <c r="M17" s="657">
        <f>'F6'!J25</f>
        <v>85.736716517853324</v>
      </c>
      <c r="N17" s="678">
        <f>Q17</f>
        <v>66.36000314209943</v>
      </c>
      <c r="O17" s="678">
        <f>'F6'!$K$25/2</f>
        <v>33.180001571049715</v>
      </c>
      <c r="P17" s="678">
        <f>O17</f>
        <v>33.180001571049715</v>
      </c>
      <c r="Q17" s="678">
        <f t="shared" ref="Q17:Q21" si="4">O17+P17</f>
        <v>66.36000314209943</v>
      </c>
      <c r="R17" s="678">
        <f t="shared" si="2"/>
        <v>0</v>
      </c>
      <c r="S17" s="1452">
        <f>'F6'!M25</f>
        <v>90.013264184846079</v>
      </c>
      <c r="T17" s="579">
        <f>'F6'!N25</f>
        <v>116.68680819605385</v>
      </c>
      <c r="U17" s="579">
        <f>'F6'!O25</f>
        <v>124.88853777587919</v>
      </c>
      <c r="V17" s="579">
        <f>'F6'!P25</f>
        <v>125.76903446498008</v>
      </c>
      <c r="W17" s="579">
        <f>'F6'!Q25</f>
        <v>118.62358279727013</v>
      </c>
      <c r="X17" s="320"/>
    </row>
    <row r="18" spans="2:24" s="316" customFormat="1" x14ac:dyDescent="0.25">
      <c r="B18" s="99">
        <f t="shared" si="3"/>
        <v>8</v>
      </c>
      <c r="C18" s="119" t="s">
        <v>1567</v>
      </c>
      <c r="D18" s="128"/>
      <c r="E18" s="657"/>
      <c r="F18" s="527">
        <f>G18</f>
        <v>1.8981064599537741E-2</v>
      </c>
      <c r="G18" s="1141">
        <v>1.8981064599537741E-2</v>
      </c>
      <c r="H18" s="1141"/>
      <c r="I18" s="657"/>
      <c r="J18" s="527">
        <f>K18</f>
        <v>2.165760273504156E-2</v>
      </c>
      <c r="K18" s="1141">
        <v>2.165760273504156E-2</v>
      </c>
      <c r="L18" s="1141"/>
      <c r="M18" s="657"/>
      <c r="N18" s="1141">
        <f>Q18</f>
        <v>2.815039271614218E-2</v>
      </c>
      <c r="O18" s="1141">
        <v>1.407519635807109E-2</v>
      </c>
      <c r="P18" s="1141">
        <v>1.407519635807109E-2</v>
      </c>
      <c r="Q18" s="1141">
        <v>2.815039271614218E-2</v>
      </c>
      <c r="R18" s="1141"/>
      <c r="S18" s="1141">
        <v>3.6711153640997321E-2</v>
      </c>
      <c r="T18" s="1141">
        <v>4.4196095295605531E-2</v>
      </c>
      <c r="U18" s="1141">
        <v>4.4275024005717728E-2</v>
      </c>
      <c r="V18" s="1141">
        <v>4.313333147097588E-2</v>
      </c>
      <c r="W18" s="1141">
        <v>3.9893348307357586E-2</v>
      </c>
      <c r="X18" s="320"/>
    </row>
    <row r="19" spans="2:24" s="316" customFormat="1" x14ac:dyDescent="0.25">
      <c r="B19" s="99">
        <f t="shared" si="3"/>
        <v>9</v>
      </c>
      <c r="C19" s="120" t="s">
        <v>87</v>
      </c>
      <c r="D19" s="128" t="s">
        <v>60</v>
      </c>
      <c r="E19" s="656">
        <f>'F2.4'!E34</f>
        <v>139.81349829176872</v>
      </c>
      <c r="F19" s="656">
        <f>'F2.4'!F34</f>
        <v>111.37855367554943</v>
      </c>
      <c r="G19" s="818">
        <f>'F2.4'!F35</f>
        <v>215.59555157145701</v>
      </c>
      <c r="H19" s="678">
        <f t="shared" si="0"/>
        <v>104.21699789590758</v>
      </c>
      <c r="I19" s="678">
        <f>'F2.4'!$G$34</f>
        <v>140.19449442922883</v>
      </c>
      <c r="J19" s="678">
        <f>'F2.4'!$H$34</f>
        <v>158.4753144860087</v>
      </c>
      <c r="K19" s="678">
        <f>'F2.4'!$H$35</f>
        <v>272.97874436253818</v>
      </c>
      <c r="L19" s="678">
        <f t="shared" si="1"/>
        <v>114.50342987652948</v>
      </c>
      <c r="M19" s="678">
        <f>'F2.4'!I34</f>
        <v>142.48750895573292</v>
      </c>
      <c r="N19" s="678">
        <f ca="1">'F2.4'!J34</f>
        <v>213.2060741096771</v>
      </c>
      <c r="O19" s="678">
        <f ca="1">Q19/2</f>
        <v>106.60303705483855</v>
      </c>
      <c r="P19" s="678">
        <f ca="1">O19</f>
        <v>106.60303705483855</v>
      </c>
      <c r="Q19" s="678">
        <f ca="1">N19</f>
        <v>213.2060741096771</v>
      </c>
      <c r="R19" s="678">
        <f t="shared" ca="1" si="2"/>
        <v>0</v>
      </c>
      <c r="S19" s="1452">
        <f ca="1">'F2.4'!E73</f>
        <v>182.35493964301259</v>
      </c>
      <c r="T19" s="579">
        <f ca="1">'F2.4'!F73</f>
        <v>193.24050230466122</v>
      </c>
      <c r="U19" s="579">
        <f ca="1">'F2.4'!G73</f>
        <v>204.38715944881122</v>
      </c>
      <c r="V19" s="579">
        <f ca="1">'F2.4'!H73</f>
        <v>214.6786065728854</v>
      </c>
      <c r="W19" s="579">
        <f ca="1">'F2.4'!I73</f>
        <v>225.24272480347267</v>
      </c>
      <c r="X19" s="320"/>
    </row>
    <row r="20" spans="2:24" s="316" customFormat="1" x14ac:dyDescent="0.25">
      <c r="B20" s="99">
        <f>B19+1</f>
        <v>10</v>
      </c>
      <c r="C20" s="102" t="s">
        <v>1515</v>
      </c>
      <c r="D20" s="128"/>
      <c r="E20" s="656"/>
      <c r="F20" s="656"/>
      <c r="G20" s="1141"/>
      <c r="H20" s="1141"/>
      <c r="I20" s="1141"/>
      <c r="J20" s="1141"/>
      <c r="K20" s="1141"/>
      <c r="L20" s="1141"/>
      <c r="M20" s="1141"/>
      <c r="N20" s="1141"/>
      <c r="O20" s="1141"/>
      <c r="P20" s="1141"/>
      <c r="Q20" s="1141"/>
      <c r="R20" s="1141"/>
      <c r="S20" s="1452">
        <f>'F2.4'!E85</f>
        <v>2.3745708866614943</v>
      </c>
      <c r="T20" s="579">
        <f>'F2.4'!F85</f>
        <v>2.8217612385321198</v>
      </c>
      <c r="U20" s="579">
        <f>'F2.4'!G85</f>
        <v>4.6532249312906586</v>
      </c>
      <c r="V20" s="579">
        <f>'F2.4'!H85</f>
        <v>5.1688927985637259</v>
      </c>
      <c r="W20" s="579">
        <f>'F2.4'!I85</f>
        <v>5.1794497492646574</v>
      </c>
      <c r="X20" s="320"/>
    </row>
    <row r="21" spans="2:24" s="316" customFormat="1" x14ac:dyDescent="0.25">
      <c r="B21" s="99">
        <f t="shared" si="3"/>
        <v>11</v>
      </c>
      <c r="C21" s="120" t="s">
        <v>88</v>
      </c>
      <c r="D21" s="128" t="s">
        <v>76</v>
      </c>
      <c r="E21" s="657">
        <f>'F10'!D27</f>
        <v>46.503103609319339</v>
      </c>
      <c r="F21" s="527">
        <f>G21</f>
        <v>56.683833049239333</v>
      </c>
      <c r="G21" s="678">
        <f>'F10'!E27</f>
        <v>56.683833049239333</v>
      </c>
      <c r="H21" s="678">
        <f t="shared" si="0"/>
        <v>0</v>
      </c>
      <c r="I21" s="657">
        <f>'F10'!G27</f>
        <v>46.503103609319339</v>
      </c>
      <c r="J21" s="527">
        <f>K21</f>
        <v>44.952323065266143</v>
      </c>
      <c r="K21" s="678">
        <f>'F10'!H27</f>
        <v>44.952323065266143</v>
      </c>
      <c r="L21" s="678">
        <f t="shared" si="1"/>
        <v>0</v>
      </c>
      <c r="M21" s="657">
        <f>'F10'!J27</f>
        <v>46.503103609319339</v>
      </c>
      <c r="N21" s="678">
        <f>Q21</f>
        <v>26.933141291430857</v>
      </c>
      <c r="O21" s="678">
        <f>'F10'!K27</f>
        <v>13.466570645715429</v>
      </c>
      <c r="P21" s="678">
        <f>'F10'!L27</f>
        <v>13.466570645715429</v>
      </c>
      <c r="Q21" s="678">
        <f t="shared" si="4"/>
        <v>26.933141291430857</v>
      </c>
      <c r="R21" s="678">
        <f t="shared" ref="R21:R26" si="5">Q21-N21</f>
        <v>0</v>
      </c>
      <c r="S21" s="1452">
        <f>'F10'!O27</f>
        <v>44.952323065266143</v>
      </c>
      <c r="T21" s="579">
        <f>'F10'!P27</f>
        <v>44.952323065266143</v>
      </c>
      <c r="U21" s="579">
        <f>'F10'!Q27</f>
        <v>44.952323065266143</v>
      </c>
      <c r="V21" s="579">
        <f>'F10'!R27</f>
        <v>44.952323065266143</v>
      </c>
      <c r="W21" s="579">
        <f>'F10'!S27</f>
        <v>44.952323065266143</v>
      </c>
      <c r="X21" s="320"/>
    </row>
    <row r="22" spans="2:24" s="316" customFormat="1" x14ac:dyDescent="0.25">
      <c r="B22" s="99">
        <f t="shared" si="3"/>
        <v>12</v>
      </c>
      <c r="C22" s="119" t="s">
        <v>89</v>
      </c>
      <c r="D22" s="128" t="s">
        <v>323</v>
      </c>
      <c r="E22" s="657"/>
      <c r="F22" s="527">
        <f>E22</f>
        <v>0</v>
      </c>
      <c r="G22" s="741">
        <f>'F12'!E10</f>
        <v>0</v>
      </c>
      <c r="H22" s="741">
        <f t="shared" si="0"/>
        <v>0</v>
      </c>
      <c r="I22" s="657"/>
      <c r="J22" s="741">
        <f>I22</f>
        <v>0</v>
      </c>
      <c r="K22" s="741">
        <f>'F12'!F10</f>
        <v>0</v>
      </c>
      <c r="L22" s="741">
        <f t="shared" si="1"/>
        <v>0</v>
      </c>
      <c r="M22" s="657"/>
      <c r="N22" s="741">
        <f>M22</f>
        <v>0</v>
      </c>
      <c r="O22" s="320">
        <f>'F12'!$G$10/2</f>
        <v>0</v>
      </c>
      <c r="P22" s="320">
        <f>O22</f>
        <v>0</v>
      </c>
      <c r="Q22" s="741">
        <f>SUM(O22:P22)</f>
        <v>0</v>
      </c>
      <c r="R22" s="741">
        <f t="shared" si="5"/>
        <v>0</v>
      </c>
      <c r="S22" s="1452">
        <f>'F12'!H10</f>
        <v>0</v>
      </c>
      <c r="T22" s="579">
        <f>'F12'!I10</f>
        <v>0</v>
      </c>
      <c r="U22" s="579">
        <f>'F12'!J10</f>
        <v>0</v>
      </c>
      <c r="V22" s="579">
        <f>'F12'!K10</f>
        <v>0</v>
      </c>
      <c r="W22" s="579">
        <f>'F12'!L10</f>
        <v>0</v>
      </c>
      <c r="X22" s="320"/>
    </row>
    <row r="23" spans="2:24" s="316" customFormat="1" x14ac:dyDescent="0.25">
      <c r="B23" s="99">
        <f t="shared" si="3"/>
        <v>13</v>
      </c>
      <c r="C23" s="241" t="s">
        <v>90</v>
      </c>
      <c r="D23" s="524"/>
      <c r="E23" s="456">
        <f t="shared" ref="E23:W23" si="6">SUM(E11:E22)</f>
        <v>5328.0095929421896</v>
      </c>
      <c r="F23" s="456">
        <f t="shared" si="6"/>
        <v>4279.0697291397046</v>
      </c>
      <c r="G23" s="456">
        <f t="shared" si="6"/>
        <v>5001.7861440908346</v>
      </c>
      <c r="H23" s="456">
        <f t="shared" si="6"/>
        <v>722.71641495113045</v>
      </c>
      <c r="I23" s="456">
        <f t="shared" si="6"/>
        <v>5355.033810402163</v>
      </c>
      <c r="J23" s="456">
        <f t="shared" si="6"/>
        <v>4552.1181035024447</v>
      </c>
      <c r="K23" s="456">
        <f t="shared" si="6"/>
        <v>5069.2159086306219</v>
      </c>
      <c r="L23" s="456">
        <f t="shared" si="6"/>
        <v>517.09780512817724</v>
      </c>
      <c r="M23" s="456">
        <f t="shared" si="6"/>
        <v>5494.6332014168283</v>
      </c>
      <c r="N23" s="456">
        <f t="shared" ca="1" si="6"/>
        <v>5704.5448575917726</v>
      </c>
      <c r="O23" s="456">
        <f t="shared" ca="1" si="6"/>
        <v>3250.9317819393295</v>
      </c>
      <c r="P23" s="456">
        <f t="shared" ca="1" si="6"/>
        <v>3063.1674180632917</v>
      </c>
      <c r="Q23" s="456">
        <f t="shared" ca="1" si="6"/>
        <v>6314.0992000026217</v>
      </c>
      <c r="R23" s="456">
        <f t="shared" ca="1" si="6"/>
        <v>609.55434241084879</v>
      </c>
      <c r="S23" s="456">
        <f t="shared" ca="1" si="6"/>
        <v>6959.6142148807103</v>
      </c>
      <c r="T23" s="456">
        <f t="shared" ca="1" si="6"/>
        <v>7386.4383267767253</v>
      </c>
      <c r="U23" s="456">
        <f t="shared" ca="1" si="6"/>
        <v>7871.1942627570552</v>
      </c>
      <c r="V23" s="456">
        <f t="shared" ca="1" si="6"/>
        <v>8246.5778760342964</v>
      </c>
      <c r="W23" s="456">
        <f t="shared" ca="1" si="6"/>
        <v>8624.2484367207799</v>
      </c>
      <c r="X23" s="320"/>
    </row>
    <row r="24" spans="2:24" s="316" customFormat="1" x14ac:dyDescent="0.25">
      <c r="B24" s="99">
        <f t="shared" si="3"/>
        <v>14</v>
      </c>
      <c r="C24" s="119" t="s">
        <v>91</v>
      </c>
      <c r="D24" s="128" t="s">
        <v>73</v>
      </c>
      <c r="E24" s="657">
        <f>'F7'!D21</f>
        <v>131.75565045148753</v>
      </c>
      <c r="F24" s="527">
        <f>G24</f>
        <v>130.50448862113282</v>
      </c>
      <c r="G24" s="527">
        <f>'F7'!E21+'F7'!E42</f>
        <v>130.50448862113282</v>
      </c>
      <c r="H24" s="678">
        <f>G24-F24</f>
        <v>0</v>
      </c>
      <c r="I24" s="657">
        <f>'F7'!G21</f>
        <v>139.07667193667052</v>
      </c>
      <c r="J24" s="678">
        <f>K24</f>
        <v>135.95428201259861</v>
      </c>
      <c r="K24" s="678">
        <f>'F7'!H21+'F7'!F42</f>
        <v>135.95428201259861</v>
      </c>
      <c r="L24" s="678">
        <f>K24-J24</f>
        <v>0</v>
      </c>
      <c r="M24" s="657">
        <f>'F7'!$J$21</f>
        <v>161.54416383692953</v>
      </c>
      <c r="N24" s="678">
        <f>Q24</f>
        <v>146.21575806075495</v>
      </c>
      <c r="O24" s="678">
        <f>'F7'!K21/2</f>
        <v>73.107879030377475</v>
      </c>
      <c r="P24" s="678">
        <f>O24</f>
        <v>73.107879030377475</v>
      </c>
      <c r="Q24" s="678">
        <f t="shared" ref="Q24:Q26" si="7">O24+P24</f>
        <v>146.21575806075495</v>
      </c>
      <c r="R24" s="678">
        <f t="shared" si="5"/>
        <v>0</v>
      </c>
      <c r="S24" s="1141">
        <f>'F7'!D65</f>
        <v>189.21610399712</v>
      </c>
      <c r="T24" s="693">
        <f>'F7'!E65</f>
        <v>221.63698282130045</v>
      </c>
      <c r="U24" s="693">
        <f>'F7'!F65</f>
        <v>246.12740038705388</v>
      </c>
      <c r="V24" s="693">
        <f>'F7'!G65</f>
        <v>268.93596255705387</v>
      </c>
      <c r="W24" s="693">
        <f>'F7'!H65</f>
        <v>287.46915662705385</v>
      </c>
      <c r="X24" s="320"/>
    </row>
    <row r="25" spans="2:24" s="316" customFormat="1" x14ac:dyDescent="0.25">
      <c r="B25" s="99">
        <f t="shared" si="3"/>
        <v>15</v>
      </c>
      <c r="C25" s="119" t="s">
        <v>1566</v>
      </c>
      <c r="D25" s="128"/>
      <c r="E25" s="657"/>
      <c r="F25" s="527">
        <f>G25</f>
        <v>2.4098275011442388E-2</v>
      </c>
      <c r="G25" s="527">
        <v>2.4098275011442388E-2</v>
      </c>
      <c r="H25" s="1141"/>
      <c r="I25" s="657"/>
      <c r="J25" s="527">
        <f>K25</f>
        <v>2.8636799375366895E-2</v>
      </c>
      <c r="K25" s="527">
        <v>2.8636799375366895E-2</v>
      </c>
      <c r="L25" s="1141"/>
      <c r="M25" s="657"/>
      <c r="N25" s="1141">
        <f>Q25</f>
        <v>3.3947293357787157E-2</v>
      </c>
      <c r="O25" s="527">
        <v>1.6973646678893579E-2</v>
      </c>
      <c r="P25" s="527">
        <v>1.6973646678893579E-2</v>
      </c>
      <c r="Q25" s="527">
        <v>3.3947293357787157E-2</v>
      </c>
      <c r="R25" s="1141"/>
      <c r="S25" s="527">
        <v>3.7268248460371287E-2</v>
      </c>
      <c r="T25" s="527">
        <v>4.0882697452663645E-2</v>
      </c>
      <c r="U25" s="527">
        <v>4.3092084255566813E-2</v>
      </c>
      <c r="V25" s="527">
        <v>4.5290661784842534E-2</v>
      </c>
      <c r="W25" s="527">
        <v>4.6911367369207972E-2</v>
      </c>
      <c r="X25" s="320"/>
    </row>
    <row r="26" spans="2:24" s="316" customFormat="1" x14ac:dyDescent="0.25">
      <c r="B26" s="99">
        <f t="shared" si="3"/>
        <v>16</v>
      </c>
      <c r="C26" s="119" t="s">
        <v>92</v>
      </c>
      <c r="D26" s="128" t="s">
        <v>77</v>
      </c>
      <c r="E26" s="657">
        <f>'F11'!D26</f>
        <v>30.893044635616437</v>
      </c>
      <c r="F26" s="527">
        <f>G26</f>
        <v>10.589452850788771</v>
      </c>
      <c r="G26" s="678">
        <f>'F11'!E26</f>
        <v>10.589452850788771</v>
      </c>
      <c r="H26" s="678">
        <f>G26-F26</f>
        <v>0</v>
      </c>
      <c r="I26" s="657">
        <f>'F11'!G26</f>
        <v>6.381133915946541</v>
      </c>
      <c r="J26" s="678">
        <f>K26</f>
        <v>6.8993160413161139</v>
      </c>
      <c r="K26" s="678">
        <f>'F11'!H26</f>
        <v>6.8993160413161139</v>
      </c>
      <c r="L26" s="678">
        <f>K26-J26</f>
        <v>0</v>
      </c>
      <c r="M26" s="657">
        <f>'F11'!J26</f>
        <v>6.381133915946541</v>
      </c>
      <c r="N26" s="678">
        <f>Q26</f>
        <v>6.8993160413161139</v>
      </c>
      <c r="O26" s="678">
        <f>'F11'!K26</f>
        <v>3.4496580206580569</v>
      </c>
      <c r="P26" s="678">
        <f>'F11'!L26</f>
        <v>3.4496580206580569</v>
      </c>
      <c r="Q26" s="678">
        <f t="shared" si="7"/>
        <v>6.8993160413161139</v>
      </c>
      <c r="R26" s="678">
        <f t="shared" si="5"/>
        <v>0</v>
      </c>
      <c r="S26" s="1141">
        <f>'F11'!O26</f>
        <v>6.8993160413161139</v>
      </c>
      <c r="T26" s="693">
        <f>'F11'!P26</f>
        <v>6.8993160413161139</v>
      </c>
      <c r="U26" s="693">
        <f>'F11'!Q26</f>
        <v>6.8993160413161139</v>
      </c>
      <c r="V26" s="693">
        <f>'F11'!R26</f>
        <v>6.8993160413161139</v>
      </c>
      <c r="W26" s="693">
        <f>'F11'!S26</f>
        <v>6.8993160413161139</v>
      </c>
      <c r="X26" s="320"/>
    </row>
    <row r="27" spans="2:24" s="316" customFormat="1" x14ac:dyDescent="0.25">
      <c r="B27" s="99">
        <f t="shared" si="3"/>
        <v>17</v>
      </c>
      <c r="C27" s="241" t="s">
        <v>93</v>
      </c>
      <c r="D27" s="128"/>
      <c r="E27" s="456">
        <f t="shared" ref="E27:R27" si="8">E23+E24-E26+E25</f>
        <v>5428.8721987580611</v>
      </c>
      <c r="F27" s="456">
        <f t="shared" si="8"/>
        <v>4399.0088631850595</v>
      </c>
      <c r="G27" s="456">
        <f t="shared" si="8"/>
        <v>5121.7252781361894</v>
      </c>
      <c r="H27" s="456">
        <f t="shared" si="8"/>
        <v>722.71641495113045</v>
      </c>
      <c r="I27" s="456">
        <f t="shared" si="8"/>
        <v>5487.7293484228867</v>
      </c>
      <c r="J27" s="456">
        <f t="shared" si="8"/>
        <v>4681.2017062731029</v>
      </c>
      <c r="K27" s="456">
        <f t="shared" si="8"/>
        <v>5198.2995114012801</v>
      </c>
      <c r="L27" s="456">
        <f t="shared" si="8"/>
        <v>517.09780512817724</v>
      </c>
      <c r="M27" s="456">
        <f t="shared" si="8"/>
        <v>5649.7962313378112</v>
      </c>
      <c r="N27" s="456">
        <f t="shared" ca="1" si="8"/>
        <v>5843.895246904568</v>
      </c>
      <c r="O27" s="456">
        <f t="shared" ca="1" si="8"/>
        <v>3320.6069765957272</v>
      </c>
      <c r="P27" s="456">
        <f t="shared" ca="1" si="8"/>
        <v>3132.8426127196894</v>
      </c>
      <c r="Q27" s="456">
        <f t="shared" ca="1" si="8"/>
        <v>6453.4495893154171</v>
      </c>
      <c r="R27" s="456">
        <f t="shared" ca="1" si="8"/>
        <v>609.55434241084879</v>
      </c>
      <c r="S27" s="456">
        <f ca="1">S23+S24-S26+S25</f>
        <v>7141.9682710849738</v>
      </c>
      <c r="T27" s="456">
        <f t="shared" ref="T27:W27" ca="1" si="9">T23+T24-T26+T25</f>
        <v>7601.2168762541614</v>
      </c>
      <c r="U27" s="456">
        <f t="shared" ca="1" si="9"/>
        <v>8110.4654391870481</v>
      </c>
      <c r="V27" s="456">
        <f t="shared" ca="1" si="9"/>
        <v>8508.6598132118197</v>
      </c>
      <c r="W27" s="456">
        <f t="shared" ca="1" si="9"/>
        <v>8904.865188673888</v>
      </c>
      <c r="X27" s="320"/>
    </row>
    <row r="28" spans="2:24" s="658" customFormat="1" x14ac:dyDescent="0.25">
      <c r="B28" s="684"/>
      <c r="E28" s="659"/>
      <c r="F28" s="660"/>
      <c r="G28" s="1309"/>
      <c r="H28" s="503"/>
      <c r="I28" s="1435"/>
      <c r="J28" s="363"/>
      <c r="K28" s="1309"/>
      <c r="L28" s="503"/>
      <c r="M28" s="1435"/>
      <c r="N28" s="1460"/>
      <c r="O28" s="1435"/>
      <c r="P28" s="1435"/>
      <c r="Q28" s="1309"/>
      <c r="S28" s="659"/>
      <c r="T28" s="659"/>
      <c r="U28" s="659"/>
      <c r="V28" s="659"/>
      <c r="W28" s="659"/>
    </row>
    <row r="29" spans="2:24" x14ac:dyDescent="0.25">
      <c r="F29" s="363"/>
      <c r="J29" s="363"/>
      <c r="N29" s="363"/>
      <c r="Q29" s="503"/>
      <c r="S29" s="316"/>
      <c r="T29" s="503"/>
      <c r="U29" s="503"/>
    </row>
    <row r="30" spans="2:24" x14ac:dyDescent="0.25">
      <c r="B30" s="14" t="s">
        <v>1582</v>
      </c>
      <c r="R30" s="1292"/>
    </row>
    <row r="31" spans="2:24" x14ac:dyDescent="0.25">
      <c r="R31" s="1292"/>
    </row>
    <row r="32" spans="2:24" x14ac:dyDescent="0.25">
      <c r="G32" s="1435">
        <v>0</v>
      </c>
      <c r="H32" s="1436"/>
      <c r="I32" s="1436"/>
      <c r="J32" s="1436"/>
      <c r="K32" s="1435">
        <v>0</v>
      </c>
      <c r="L32" s="1436"/>
      <c r="M32" s="1436"/>
      <c r="N32" s="1436"/>
      <c r="O32" s="1435"/>
      <c r="P32" s="1435"/>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C7" sqref="C7"/>
    </sheetView>
  </sheetViews>
  <sheetFormatPr defaultColWidth="9.36328125" defaultRowHeight="14" x14ac:dyDescent="0.3"/>
  <cols>
    <col min="1" max="1" width="8.36328125" style="171" customWidth="1"/>
    <col min="2" max="2" width="33.81640625" style="171" customWidth="1"/>
    <col min="3" max="3" width="11.08984375" style="171" customWidth="1"/>
    <col min="4" max="4" width="14.453125" style="171" customWidth="1"/>
    <col min="5" max="5" width="10.08984375" style="171" customWidth="1"/>
    <col min="6" max="6" width="11.08984375" style="171" customWidth="1"/>
    <col min="7" max="7" width="14.1796875" style="171" customWidth="1"/>
    <col min="8" max="8" width="10" style="171" bestFit="1" customWidth="1"/>
    <col min="9" max="9" width="11.08984375" style="171" customWidth="1"/>
    <col min="10" max="10" width="14.1796875" style="171" customWidth="1"/>
    <col min="11" max="11" width="15.81640625" style="171" customWidth="1"/>
    <col min="12" max="12" width="12.453125" style="171" customWidth="1"/>
    <col min="13" max="14" width="12.90625" style="171" customWidth="1"/>
    <col min="15" max="15" width="13.1796875" style="171" customWidth="1"/>
    <col min="16" max="16" width="13.81640625" style="171" customWidth="1"/>
    <col min="17" max="17" width="12.54296875" style="171" customWidth="1"/>
    <col min="18" max="16384" width="9.36328125" style="171"/>
  </cols>
  <sheetData>
    <row r="1" spans="1:18" x14ac:dyDescent="0.3">
      <c r="A1" s="168"/>
      <c r="B1" s="169"/>
      <c r="C1" s="170"/>
      <c r="D1" s="170"/>
      <c r="E1" s="170"/>
      <c r="F1" s="170"/>
    </row>
    <row r="2" spans="1:18" x14ac:dyDescent="0.3">
      <c r="A2" s="1682" t="str">
        <f>Index!B2</f>
        <v xml:space="preserve">      Maharashtra State Power Generation Company Ltd.</v>
      </c>
      <c r="B2" s="1682"/>
      <c r="C2" s="1682"/>
      <c r="D2" s="1682"/>
      <c r="E2" s="1682"/>
      <c r="F2" s="1682"/>
      <c r="G2" s="1682"/>
      <c r="H2" s="1682"/>
      <c r="I2" s="630"/>
      <c r="J2" s="1682" t="s">
        <v>776</v>
      </c>
      <c r="K2" s="1682"/>
      <c r="L2" s="1682"/>
      <c r="M2" s="1682"/>
      <c r="N2" s="1682"/>
      <c r="O2" s="1682"/>
      <c r="P2" s="1682"/>
      <c r="Q2" s="1682"/>
      <c r="R2" s="528"/>
    </row>
    <row r="3" spans="1:18" x14ac:dyDescent="0.3">
      <c r="A3" s="1682" t="str">
        <f>Index!B3</f>
        <v>MYT Petition Formats for Chandrapur Unit 3-7</v>
      </c>
      <c r="B3" s="1682"/>
      <c r="C3" s="1682"/>
      <c r="D3" s="1682"/>
      <c r="E3" s="1682"/>
      <c r="F3" s="1682"/>
      <c r="G3" s="1682"/>
      <c r="H3" s="1682"/>
      <c r="I3" s="630"/>
      <c r="J3" s="1682" t="str">
        <f>A3</f>
        <v>MYT Petition Formats for Chandrapur Unit 3-7</v>
      </c>
      <c r="K3" s="1682"/>
      <c r="L3" s="1682"/>
      <c r="M3" s="1682"/>
      <c r="N3" s="1682"/>
      <c r="O3" s="1682"/>
      <c r="P3" s="1682"/>
      <c r="Q3" s="1682"/>
      <c r="R3" s="528"/>
    </row>
    <row r="4" spans="1:18" x14ac:dyDescent="0.3">
      <c r="A4" s="1683" t="s">
        <v>369</v>
      </c>
      <c r="B4" s="1683"/>
      <c r="C4" s="1683"/>
      <c r="D4" s="1683"/>
      <c r="E4" s="1683"/>
      <c r="F4" s="1683"/>
      <c r="G4" s="1683"/>
      <c r="H4" s="1683"/>
      <c r="I4" s="631"/>
      <c r="J4" s="1683" t="s">
        <v>369</v>
      </c>
      <c r="K4" s="1683"/>
      <c r="L4" s="1683"/>
      <c r="M4" s="1683"/>
      <c r="N4" s="1683"/>
      <c r="O4" s="1683"/>
      <c r="P4" s="1683"/>
      <c r="Q4" s="1683"/>
      <c r="R4" s="529"/>
    </row>
    <row r="5" spans="1:18" s="224" customFormat="1" ht="36" customHeight="1" x14ac:dyDescent="0.3">
      <c r="A5" s="172"/>
      <c r="B5" s="170"/>
      <c r="C5" s="170"/>
      <c r="D5" s="170"/>
      <c r="E5" s="170"/>
      <c r="F5" s="170"/>
      <c r="H5" s="295"/>
      <c r="I5" s="171"/>
      <c r="J5" s="171"/>
      <c r="K5" s="171"/>
      <c r="L5" s="171"/>
      <c r="M5" s="171"/>
      <c r="N5" s="171"/>
      <c r="O5" s="171"/>
      <c r="P5" s="171"/>
      <c r="Q5" s="171"/>
    </row>
    <row r="6" spans="1:18" s="224" customFormat="1" ht="15.65" customHeight="1" x14ac:dyDescent="0.25">
      <c r="A6" s="1672" t="s">
        <v>340</v>
      </c>
      <c r="B6" s="1668" t="s">
        <v>37</v>
      </c>
      <c r="C6" s="1674" t="s">
        <v>506</v>
      </c>
      <c r="D6" s="1675"/>
      <c r="E6" s="1676"/>
      <c r="F6" s="1674" t="s">
        <v>507</v>
      </c>
      <c r="G6" s="1675"/>
      <c r="H6" s="1676"/>
      <c r="I6" s="1674" t="s">
        <v>508</v>
      </c>
      <c r="J6" s="1675"/>
      <c r="K6" s="1676"/>
      <c r="L6" s="1677" t="s">
        <v>968</v>
      </c>
      <c r="M6" s="1677"/>
      <c r="N6" s="1677"/>
      <c r="O6" s="1677"/>
      <c r="P6" s="1677"/>
      <c r="Q6" s="1666" t="s">
        <v>27</v>
      </c>
    </row>
    <row r="7" spans="1:18" s="224" customFormat="1" ht="28" x14ac:dyDescent="0.25">
      <c r="A7" s="1673"/>
      <c r="B7" s="1669"/>
      <c r="C7" s="1325" t="s">
        <v>1577</v>
      </c>
      <c r="D7" s="613" t="s">
        <v>914</v>
      </c>
      <c r="E7" s="298" t="s">
        <v>7</v>
      </c>
      <c r="F7" s="1325" t="s">
        <v>1577</v>
      </c>
      <c r="G7" s="613" t="s">
        <v>914</v>
      </c>
      <c r="H7" s="1325" t="s">
        <v>7</v>
      </c>
      <c r="I7" s="1325" t="s">
        <v>1577</v>
      </c>
      <c r="J7" s="613" t="s">
        <v>914</v>
      </c>
      <c r="K7" s="1325" t="s">
        <v>677</v>
      </c>
      <c r="L7" s="1332" t="s">
        <v>969</v>
      </c>
      <c r="M7" s="1332" t="s">
        <v>970</v>
      </c>
      <c r="N7" s="1332" t="s">
        <v>971</v>
      </c>
      <c r="O7" s="1332" t="s">
        <v>972</v>
      </c>
      <c r="P7" s="1332" t="s">
        <v>973</v>
      </c>
      <c r="Q7" s="1667"/>
    </row>
    <row r="8" spans="1:18" s="526" customFormat="1" ht="15" x14ac:dyDescent="0.25">
      <c r="A8" s="1328"/>
      <c r="B8" s="1327"/>
      <c r="C8" s="298"/>
      <c r="D8" s="613"/>
      <c r="E8" s="298"/>
      <c r="F8" s="298"/>
      <c r="G8" s="613"/>
      <c r="H8" s="1325"/>
      <c r="I8" s="298"/>
      <c r="J8" s="613"/>
      <c r="K8" s="1325"/>
      <c r="L8" s="1332" t="s">
        <v>21</v>
      </c>
      <c r="M8" s="1332" t="s">
        <v>21</v>
      </c>
      <c r="N8" s="1332" t="s">
        <v>21</v>
      </c>
      <c r="O8" s="1332" t="s">
        <v>21</v>
      </c>
      <c r="P8" s="1332" t="s">
        <v>21</v>
      </c>
      <c r="Q8" s="1326"/>
    </row>
    <row r="9" spans="1:18" s="667" customFormat="1" x14ac:dyDescent="0.3">
      <c r="A9" s="661">
        <v>1</v>
      </c>
      <c r="B9" s="662" t="s">
        <v>633</v>
      </c>
      <c r="C9" s="663">
        <f>'F1'!E27-'F1'!E11</f>
        <v>1075.1878111504057</v>
      </c>
      <c r="D9" s="664">
        <f>SUM('F1'!F13:F22,'F1'!F24)-'F1'!F26</f>
        <v>1079.0590124587418</v>
      </c>
      <c r="E9" s="664">
        <f>SUM('F1'!G13:G22,'F1'!G24)-'F1'!G26</f>
        <v>1263.4206785689444</v>
      </c>
      <c r="F9" s="664">
        <f>'F1'!$I$27-'F1'!$I$11</f>
        <v>1153.110830469308</v>
      </c>
      <c r="G9" s="664">
        <f>SUM('F1'!J13:J22,'F1'!J24)-'F1'!J26</f>
        <v>1233.5241205354464</v>
      </c>
      <c r="H9" s="664">
        <f>SUM('F1'!K13:K22,'F1'!K24)-'F1'!K26</f>
        <v>1509.1884078051069</v>
      </c>
      <c r="I9" s="665">
        <f>'F1'!$M$27-'F1'!$M$11</f>
        <v>1333.7293590092459</v>
      </c>
      <c r="J9" s="665">
        <f ca="1">SUM('F1'!N13:N22,'F1'!N24)-'F1'!N26</f>
        <v>1381.7552088712068</v>
      </c>
      <c r="K9" s="665">
        <f ca="1">SUM('F1'!Q13:Q22,'F1'!Q24)-'F1'!Q26</f>
        <v>1755.7137786054845</v>
      </c>
      <c r="L9" s="665">
        <f ca="1">SUM('F1'!S13:S22,'F1'!S24)-'F1'!S26</f>
        <v>1526.5087612077994</v>
      </c>
      <c r="M9" s="665">
        <f ca="1">SUM('F1'!T13:T22,'F1'!T24)-'F1'!T26</f>
        <v>1681.8384570528567</v>
      </c>
      <c r="N9" s="665">
        <f ca="1">SUM('F1'!U13:U22,'F1'!U24)-'F1'!U26</f>
        <v>1869.7421931180968</v>
      </c>
      <c r="O9" s="665">
        <f ca="1">SUM('F1'!V13:V22,'F1'!V24)-'F1'!V26</f>
        <v>1960.0998235831321</v>
      </c>
      <c r="P9" s="665">
        <f ca="1">SUM('F1'!W13:W22,'F1'!W24)-'F1'!W26</f>
        <v>2041.1993716347147</v>
      </c>
      <c r="Q9" s="666"/>
    </row>
    <row r="10" spans="1:18" s="667" customFormat="1" x14ac:dyDescent="0.3">
      <c r="A10" s="668"/>
      <c r="B10" s="119"/>
      <c r="C10" s="119"/>
      <c r="D10" s="669"/>
      <c r="E10" s="669"/>
      <c r="F10" s="669"/>
      <c r="G10" s="610"/>
      <c r="H10" s="610"/>
      <c r="I10" s="610"/>
      <c r="J10" s="610"/>
      <c r="K10" s="610"/>
      <c r="L10" s="610"/>
      <c r="M10" s="610"/>
      <c r="N10" s="610"/>
      <c r="O10" s="610"/>
      <c r="P10" s="610"/>
      <c r="Q10" s="666"/>
    </row>
    <row r="11" spans="1:18" s="674" customFormat="1" x14ac:dyDescent="0.3">
      <c r="A11" s="611">
        <v>2</v>
      </c>
      <c r="B11" s="670" t="s">
        <v>417</v>
      </c>
      <c r="C11" s="671">
        <f>'F2.2'!$E$157</f>
        <v>4.0751475023407409</v>
      </c>
      <c r="D11" s="672">
        <f>'F2.2'!F157</f>
        <v>4.352330490002208</v>
      </c>
      <c r="E11" s="672">
        <f>'F2.2'!G157</f>
        <v>5.157576988338767</v>
      </c>
      <c r="F11" s="673">
        <f>'F2.2'!$I$157</f>
        <v>4.1030114593447102</v>
      </c>
      <c r="G11" s="672">
        <f>'F2.2'!J157</f>
        <v>4.2070843496117307</v>
      </c>
      <c r="H11" s="672">
        <f>'F2.2'!K157</f>
        <v>4.5602584416058791</v>
      </c>
      <c r="I11" s="673">
        <f>'F2.2'!$M$157</f>
        <v>4.096644080672605</v>
      </c>
      <c r="J11" s="672">
        <f>'F2.2'!N157</f>
        <v>4.2207278516286468</v>
      </c>
      <c r="K11" s="672">
        <f>'F2.2'!Q157</f>
        <v>4.4683400082082505</v>
      </c>
      <c r="L11" s="672">
        <f>'F2.2'!S157</f>
        <v>4.4777632822038598</v>
      </c>
      <c r="M11" s="672">
        <f>'F2.2'!T157</f>
        <v>4.7016682106173677</v>
      </c>
      <c r="N11" s="672">
        <f>'F2.2'!U157</f>
        <v>5.000554762628866</v>
      </c>
      <c r="O11" s="672">
        <f>'F2.2'!V157</f>
        <v>5.2278153060676775</v>
      </c>
      <c r="P11" s="672">
        <f>'F2.2'!W157</f>
        <v>5.4893126746980778</v>
      </c>
      <c r="Q11" s="612"/>
    </row>
    <row r="12" spans="1:18" s="667" customFormat="1" x14ac:dyDescent="0.3">
      <c r="A12" s="668"/>
      <c r="B12" s="119"/>
      <c r="C12" s="119"/>
      <c r="D12" s="669"/>
      <c r="E12" s="669"/>
      <c r="F12" s="669"/>
      <c r="G12" s="610"/>
      <c r="H12" s="610"/>
      <c r="I12" s="610"/>
      <c r="J12" s="610"/>
      <c r="K12" s="610"/>
      <c r="L12" s="610"/>
      <c r="M12" s="610"/>
      <c r="N12" s="610"/>
      <c r="O12" s="610"/>
      <c r="P12" s="610"/>
      <c r="Q12" s="666"/>
    </row>
    <row r="13" spans="1:18" s="675" customFormat="1" ht="17.25" customHeight="1" x14ac:dyDescent="0.3">
      <c r="A13" s="611">
        <v>3</v>
      </c>
      <c r="B13" s="670" t="s">
        <v>418</v>
      </c>
      <c r="C13" s="670"/>
      <c r="D13" s="610"/>
      <c r="E13" s="611"/>
      <c r="F13" s="611"/>
      <c r="G13" s="611"/>
      <c r="H13" s="610"/>
      <c r="I13" s="610"/>
      <c r="J13" s="610"/>
      <c r="K13" s="610"/>
      <c r="L13" s="610"/>
      <c r="M13" s="610"/>
      <c r="N13" s="610"/>
      <c r="O13" s="610"/>
      <c r="P13" s="610"/>
      <c r="Q13" s="612"/>
    </row>
    <row r="14" spans="1:18" s="224" customFormat="1" ht="17.75" customHeight="1" x14ac:dyDescent="0.25">
      <c r="A14" s="1670"/>
      <c r="B14" s="1671"/>
      <c r="C14" s="1671"/>
      <c r="D14" s="1671"/>
      <c r="E14" s="1671"/>
      <c r="F14" s="1671"/>
      <c r="G14" s="1671"/>
      <c r="H14" s="297"/>
      <c r="I14" s="526"/>
      <c r="K14" s="295"/>
      <c r="L14" s="526"/>
      <c r="M14" s="526"/>
      <c r="N14" s="526"/>
      <c r="O14" s="526"/>
      <c r="P14" s="526"/>
    </row>
    <row r="15" spans="1:18" s="224" customFormat="1" ht="17.75" customHeight="1" x14ac:dyDescent="0.25">
      <c r="A15" s="1678" t="s">
        <v>144</v>
      </c>
      <c r="B15" s="1679"/>
      <c r="C15" s="1679"/>
      <c r="D15" s="1679"/>
      <c r="E15" s="526"/>
      <c r="F15" s="526"/>
      <c r="G15" s="526"/>
      <c r="H15" s="526"/>
      <c r="I15" s="526"/>
      <c r="K15" s="295"/>
      <c r="L15" s="526"/>
      <c r="M15" s="526"/>
      <c r="N15" s="526"/>
      <c r="O15" s="526"/>
      <c r="P15" s="526"/>
    </row>
    <row r="16" spans="1:18" s="224" customFormat="1" ht="17.25" customHeight="1" x14ac:dyDescent="0.25">
      <c r="A16" s="1664" t="s">
        <v>1583</v>
      </c>
      <c r="B16" s="1680"/>
      <c r="C16" s="1680"/>
      <c r="D16" s="1680"/>
      <c r="E16" s="526"/>
      <c r="F16" s="526"/>
      <c r="G16" s="526"/>
      <c r="H16" s="526"/>
      <c r="I16" s="526"/>
      <c r="K16" s="295"/>
      <c r="L16" s="526"/>
      <c r="M16" s="526"/>
      <c r="N16" s="526"/>
      <c r="O16" s="526"/>
      <c r="P16" s="526"/>
    </row>
    <row r="17" spans="1:16" s="224" customFormat="1" ht="17.75" customHeight="1" x14ac:dyDescent="0.25">
      <c r="A17" s="1664" t="s">
        <v>1584</v>
      </c>
      <c r="B17" s="1681"/>
      <c r="C17" s="1681"/>
      <c r="D17" s="1681"/>
      <c r="E17" s="526"/>
      <c r="F17" s="526"/>
      <c r="G17" s="526"/>
      <c r="H17" s="526"/>
      <c r="I17" s="526"/>
      <c r="K17" s="295"/>
      <c r="L17" s="526"/>
      <c r="M17" s="526"/>
      <c r="N17" s="526"/>
      <c r="O17" s="526"/>
      <c r="P17" s="526"/>
    </row>
    <row r="18" spans="1:16" s="224" customFormat="1" ht="17.75" customHeight="1" x14ac:dyDescent="0.25">
      <c r="A18" s="1664"/>
      <c r="B18" s="1665"/>
      <c r="C18" s="1665"/>
      <c r="D18" s="1665"/>
      <c r="E18" s="1665"/>
      <c r="F18" s="1665"/>
      <c r="G18" s="1665"/>
      <c r="H18" s="294"/>
      <c r="I18" s="526"/>
      <c r="K18" s="295"/>
      <c r="L18" s="526"/>
      <c r="M18" s="526"/>
      <c r="N18" s="526"/>
      <c r="O18" s="526"/>
      <c r="P18" s="526"/>
    </row>
    <row r="19" spans="1:16" x14ac:dyDescent="0.3">
      <c r="A19" s="172"/>
      <c r="B19" s="170"/>
      <c r="C19" s="170"/>
      <c r="D19" s="170"/>
      <c r="E19" s="170"/>
      <c r="F19" s="170"/>
      <c r="G19" s="173" t="s">
        <v>368</v>
      </c>
      <c r="H19" s="173"/>
    </row>
    <row r="20" spans="1:16" x14ac:dyDescent="0.3">
      <c r="A20" s="170"/>
      <c r="B20" s="170"/>
      <c r="C20" s="170"/>
      <c r="D20" s="170"/>
      <c r="E20" s="170"/>
      <c r="F20" s="170"/>
      <c r="G20" s="170"/>
      <c r="H20" s="170"/>
    </row>
  </sheetData>
  <mergeCells count="18">
    <mergeCell ref="A2:H2"/>
    <mergeCell ref="A3:H3"/>
    <mergeCell ref="A4:H4"/>
    <mergeCell ref="J2:Q2"/>
    <mergeCell ref="J3:Q3"/>
    <mergeCell ref="J4:Q4"/>
    <mergeCell ref="A18:G18"/>
    <mergeCell ref="Q6:Q7"/>
    <mergeCell ref="B6:B7"/>
    <mergeCell ref="A14:G14"/>
    <mergeCell ref="A6:A7"/>
    <mergeCell ref="C6:E6"/>
    <mergeCell ref="I6:K6"/>
    <mergeCell ref="F6:H6"/>
    <mergeCell ref="L6:P6"/>
    <mergeCell ref="A15:D15"/>
    <mergeCell ref="A16:D16"/>
    <mergeCell ref="A17:D17"/>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75" zoomScaleNormal="75" zoomScaleSheetLayoutView="75" workbookViewId="0">
      <pane xSplit="4" ySplit="9" topLeftCell="R15" activePane="bottomRight" state="frozen"/>
      <selection activeCell="D35" sqref="D35"/>
      <selection pane="topRight" activeCell="D35" sqref="D35"/>
      <selection pane="bottomLeft" activeCell="D35" sqref="D35"/>
      <selection pane="bottomRight" activeCell="S26" sqref="S26"/>
    </sheetView>
  </sheetViews>
  <sheetFormatPr defaultColWidth="9.36328125" defaultRowHeight="15.5" x14ac:dyDescent="0.35"/>
  <cols>
    <col min="1" max="1" width="8.1796875" style="1333" bestFit="1" customWidth="1"/>
    <col min="2" max="2" width="7.90625" style="1333" customWidth="1"/>
    <col min="3" max="3" width="55.90625" style="1333" customWidth="1"/>
    <col min="4" max="4" width="9.54296875" style="1361" bestFit="1" customWidth="1"/>
    <col min="5" max="5" width="9.54296875" style="1361" customWidth="1"/>
    <col min="6" max="6" width="14" style="1361" bestFit="1" customWidth="1"/>
    <col min="7" max="7" width="12.6328125" style="1361" bestFit="1" customWidth="1"/>
    <col min="8" max="8" width="14.90625" style="1361" bestFit="1" customWidth="1"/>
    <col min="9" max="9" width="12.81640625" style="1361" customWidth="1"/>
    <col min="10" max="10" width="12.6328125" style="1361" bestFit="1" customWidth="1"/>
    <col min="11" max="11" width="12.453125" style="1361" bestFit="1" customWidth="1"/>
    <col min="12" max="12" width="15.54296875" style="1361" bestFit="1" customWidth="1"/>
    <col min="13" max="14" width="13.54296875" style="1333" bestFit="1" customWidth="1"/>
    <col min="15" max="15" width="17.08984375" style="1333" bestFit="1" customWidth="1"/>
    <col min="16" max="16" width="23.90625" style="1333" bestFit="1" customWidth="1"/>
    <col min="17" max="17" width="13.6328125" style="1333" bestFit="1" customWidth="1"/>
    <col min="18" max="18" width="19.6328125" style="1333" bestFit="1" customWidth="1"/>
    <col min="19" max="23" width="19.54296875" style="1333" customWidth="1"/>
    <col min="24" max="24" width="14.08984375" style="1333" customWidth="1"/>
    <col min="25" max="16384" width="9.36328125" style="1333"/>
  </cols>
  <sheetData>
    <row r="2" spans="1:24" x14ac:dyDescent="0.35">
      <c r="B2" s="1687" t="str">
        <f>Index!B2</f>
        <v xml:space="preserve">      Maharashtra State Power Generation Company Ltd.</v>
      </c>
      <c r="C2" s="1687"/>
      <c r="D2" s="1687"/>
      <c r="E2" s="1687"/>
      <c r="F2" s="1687"/>
      <c r="G2" s="1687"/>
      <c r="H2" s="1687"/>
      <c r="I2" s="1687"/>
      <c r="J2" s="1687"/>
      <c r="K2" s="1687"/>
      <c r="L2" s="1687"/>
      <c r="M2" s="1334"/>
      <c r="N2" s="1684" t="str">
        <f>B2</f>
        <v xml:space="preserve">      Maharashtra State Power Generation Company Ltd.</v>
      </c>
      <c r="O2" s="1684"/>
      <c r="P2" s="1684"/>
      <c r="Q2" s="1684"/>
      <c r="R2" s="1684"/>
      <c r="S2" s="1684"/>
      <c r="T2" s="1684"/>
      <c r="U2" s="1684"/>
      <c r="V2" s="1684"/>
      <c r="W2" s="1684"/>
      <c r="X2" s="1684"/>
    </row>
    <row r="3" spans="1:24" x14ac:dyDescent="0.35">
      <c r="B3" s="1687" t="str">
        <f>Index!B3</f>
        <v>MYT Petition Formats for Chandrapur Unit 3-7</v>
      </c>
      <c r="C3" s="1687"/>
      <c r="D3" s="1687"/>
      <c r="E3" s="1687"/>
      <c r="F3" s="1687"/>
      <c r="G3" s="1687"/>
      <c r="H3" s="1687"/>
      <c r="I3" s="1687"/>
      <c r="J3" s="1687"/>
      <c r="K3" s="1687"/>
      <c r="L3" s="1687"/>
      <c r="M3" s="1334"/>
      <c r="N3" s="1684" t="str">
        <f>B3</f>
        <v>MYT Petition Formats for Chandrapur Unit 3-7</v>
      </c>
      <c r="O3" s="1684"/>
      <c r="P3" s="1684"/>
      <c r="Q3" s="1684"/>
      <c r="R3" s="1684"/>
      <c r="S3" s="1684"/>
      <c r="T3" s="1684"/>
      <c r="U3" s="1684"/>
      <c r="V3" s="1684"/>
      <c r="W3" s="1684"/>
      <c r="X3" s="1684"/>
    </row>
    <row r="4" spans="1:24" x14ac:dyDescent="0.35">
      <c r="B4" s="1687" t="s">
        <v>372</v>
      </c>
      <c r="C4" s="1687"/>
      <c r="D4" s="1687"/>
      <c r="E4" s="1687"/>
      <c r="F4" s="1687"/>
      <c r="G4" s="1687"/>
      <c r="H4" s="1687"/>
      <c r="I4" s="1687"/>
      <c r="J4" s="1687"/>
      <c r="K4" s="1687"/>
      <c r="L4" s="1687"/>
      <c r="M4" s="1334"/>
      <c r="N4" s="1684" t="str">
        <f>B4</f>
        <v>Form 2.1: Operational Parameters for Thermal Generation</v>
      </c>
      <c r="O4" s="1684"/>
      <c r="P4" s="1684"/>
      <c r="Q4" s="1684"/>
      <c r="R4" s="1684"/>
      <c r="S4" s="1684"/>
      <c r="T4" s="1684"/>
      <c r="U4" s="1684"/>
      <c r="V4" s="1684"/>
      <c r="W4" s="1684"/>
      <c r="X4" s="1684"/>
    </row>
    <row r="5" spans="1:24" s="31" customFormat="1" x14ac:dyDescent="0.25">
      <c r="B5" s="1335"/>
      <c r="C5" s="1335"/>
      <c r="D5" s="1335"/>
      <c r="E5" s="1335"/>
      <c r="F5" s="1335"/>
      <c r="G5" s="1335"/>
      <c r="H5" s="1335"/>
      <c r="I5" s="1335"/>
      <c r="J5" s="1335"/>
      <c r="K5" s="1335"/>
      <c r="L5" s="1335"/>
      <c r="M5" s="1335"/>
      <c r="N5" s="1335"/>
      <c r="O5" s="1335"/>
      <c r="P5" s="1335"/>
      <c r="Q5" s="1335"/>
      <c r="R5" s="1335"/>
      <c r="S5" s="1335"/>
      <c r="T5" s="1335"/>
      <c r="U5" s="1335"/>
      <c r="V5" s="1335"/>
      <c r="W5" s="1335"/>
      <c r="X5" s="1335"/>
    </row>
    <row r="6" spans="1:24" s="31" customFormat="1" x14ac:dyDescent="0.3">
      <c r="B6" s="1336"/>
      <c r="C6" s="1337"/>
      <c r="D6" s="1338"/>
      <c r="E6" s="1338"/>
      <c r="F6" s="1338"/>
      <c r="G6" s="1338"/>
      <c r="H6" s="1338"/>
      <c r="I6" s="1338"/>
      <c r="J6" s="1338"/>
      <c r="K6" s="1338"/>
      <c r="L6" s="1338"/>
      <c r="M6" s="1339"/>
      <c r="N6" s="1339"/>
      <c r="O6" s="1339"/>
      <c r="P6" s="1339"/>
      <c r="Q6" s="1336"/>
      <c r="R6" s="1336"/>
      <c r="S6" s="1336"/>
      <c r="T6" s="1336"/>
      <c r="U6" s="1336"/>
      <c r="V6" s="1336"/>
      <c r="W6" s="1336"/>
    </row>
    <row r="7" spans="1:24" s="1340" customFormat="1" ht="14" customHeight="1" x14ac:dyDescent="0.35">
      <c r="B7" s="1677" t="s">
        <v>340</v>
      </c>
      <c r="C7" s="1685" t="s">
        <v>37</v>
      </c>
      <c r="D7" s="1685" t="s">
        <v>94</v>
      </c>
      <c r="E7" s="1677" t="s">
        <v>506</v>
      </c>
      <c r="F7" s="1677"/>
      <c r="G7" s="1677"/>
      <c r="H7" s="1677"/>
      <c r="I7" s="1677" t="s">
        <v>507</v>
      </c>
      <c r="J7" s="1677"/>
      <c r="K7" s="1677"/>
      <c r="L7" s="1677"/>
      <c r="M7" s="1677" t="s">
        <v>508</v>
      </c>
      <c r="N7" s="1677"/>
      <c r="O7" s="1677"/>
      <c r="P7" s="1677"/>
      <c r="Q7" s="1677"/>
      <c r="R7" s="1677"/>
      <c r="S7" s="1677" t="s">
        <v>968</v>
      </c>
      <c r="T7" s="1677"/>
      <c r="U7" s="1677"/>
      <c r="V7" s="1677"/>
      <c r="W7" s="1677"/>
      <c r="X7" s="1677" t="s">
        <v>27</v>
      </c>
    </row>
    <row r="8" spans="1:24" s="1341" customFormat="1" ht="45" x14ac:dyDescent="0.25">
      <c r="B8" s="1685"/>
      <c r="C8" s="1685"/>
      <c r="D8" s="1685"/>
      <c r="E8" s="1332" t="s">
        <v>1577</v>
      </c>
      <c r="F8" s="1332" t="s">
        <v>914</v>
      </c>
      <c r="G8" s="1332" t="s">
        <v>79</v>
      </c>
      <c r="H8" s="1332" t="s">
        <v>812</v>
      </c>
      <c r="I8" s="1332" t="s">
        <v>1577</v>
      </c>
      <c r="J8" s="1332" t="s">
        <v>914</v>
      </c>
      <c r="K8" s="1332" t="s">
        <v>79</v>
      </c>
      <c r="L8" s="1332" t="s">
        <v>812</v>
      </c>
      <c r="M8" s="1332" t="s">
        <v>1577</v>
      </c>
      <c r="N8" s="1332" t="s">
        <v>914</v>
      </c>
      <c r="O8" s="1332" t="s">
        <v>443</v>
      </c>
      <c r="P8" s="1332" t="s">
        <v>960</v>
      </c>
      <c r="Q8" s="1332" t="s">
        <v>80</v>
      </c>
      <c r="R8" s="1332" t="s">
        <v>450</v>
      </c>
      <c r="S8" s="1332" t="s">
        <v>969</v>
      </c>
      <c r="T8" s="1332" t="s">
        <v>970</v>
      </c>
      <c r="U8" s="1332" t="s">
        <v>971</v>
      </c>
      <c r="V8" s="1332" t="s">
        <v>972</v>
      </c>
      <c r="W8" s="1332" t="s">
        <v>973</v>
      </c>
      <c r="X8" s="1677"/>
    </row>
    <row r="9" spans="1:24" s="1341" customFormat="1" x14ac:dyDescent="0.25">
      <c r="B9" s="1685"/>
      <c r="C9" s="1685"/>
      <c r="D9" s="1685"/>
      <c r="E9" s="1332" t="s">
        <v>81</v>
      </c>
      <c r="F9" s="1332" t="s">
        <v>82</v>
      </c>
      <c r="G9" s="1332" t="s">
        <v>1578</v>
      </c>
      <c r="H9" s="1332" t="s">
        <v>1579</v>
      </c>
      <c r="I9" s="1332" t="s">
        <v>1550</v>
      </c>
      <c r="J9" s="1332" t="s">
        <v>509</v>
      </c>
      <c r="K9" s="1332" t="s">
        <v>410</v>
      </c>
      <c r="L9" s="1332" t="s">
        <v>1580</v>
      </c>
      <c r="M9" s="1332" t="s">
        <v>589</v>
      </c>
      <c r="N9" s="1332" t="s">
        <v>652</v>
      </c>
      <c r="O9" s="1332" t="s">
        <v>590</v>
      </c>
      <c r="P9" s="1332" t="s">
        <v>591</v>
      </c>
      <c r="Q9" s="1332" t="s">
        <v>675</v>
      </c>
      <c r="R9" s="1332" t="s">
        <v>676</v>
      </c>
      <c r="S9" s="1332" t="s">
        <v>21</v>
      </c>
      <c r="T9" s="1332" t="s">
        <v>21</v>
      </c>
      <c r="U9" s="1332" t="s">
        <v>21</v>
      </c>
      <c r="V9" s="1332" t="s">
        <v>21</v>
      </c>
      <c r="W9" s="1332" t="s">
        <v>21</v>
      </c>
      <c r="X9" s="1686"/>
    </row>
    <row r="10" spans="1:24" s="1341" customFormat="1" x14ac:dyDescent="0.25">
      <c r="B10" s="387"/>
      <c r="C10" s="371"/>
      <c r="D10" s="372"/>
      <c r="E10" s="372"/>
      <c r="F10" s="372"/>
      <c r="G10" s="372"/>
      <c r="H10" s="372"/>
      <c r="I10" s="372"/>
      <c r="J10" s="372"/>
      <c r="K10" s="372"/>
      <c r="L10" s="372"/>
      <c r="M10" s="385"/>
      <c r="N10" s="385"/>
      <c r="O10" s="385"/>
      <c r="P10" s="385"/>
      <c r="Q10" s="385"/>
      <c r="R10" s="385"/>
      <c r="S10" s="385"/>
      <c r="T10" s="385"/>
      <c r="U10" s="385"/>
      <c r="V10" s="385"/>
      <c r="W10" s="385"/>
      <c r="X10" s="385"/>
    </row>
    <row r="11" spans="1:24" s="1341" customFormat="1" x14ac:dyDescent="0.25">
      <c r="B11" s="359">
        <v>1</v>
      </c>
      <c r="C11" s="374" t="s">
        <v>96</v>
      </c>
      <c r="D11" s="359" t="s">
        <v>97</v>
      </c>
      <c r="E11" s="1342">
        <f>'F2.2'!E11</f>
        <v>1920</v>
      </c>
      <c r="F11" s="1342">
        <f>'F2.2'!F11</f>
        <v>1920</v>
      </c>
      <c r="G11" s="1342">
        <f>'F2.2'!G11</f>
        <v>1920</v>
      </c>
      <c r="H11" s="1342">
        <f>'F2.2'!H11</f>
        <v>0</v>
      </c>
      <c r="I11" s="1342">
        <f>'F2.2'!I11</f>
        <v>1920</v>
      </c>
      <c r="J11" s="1342">
        <f>'F2.2'!J11</f>
        <v>1920</v>
      </c>
      <c r="K11" s="1342">
        <f>'F2.2'!K11</f>
        <v>1920</v>
      </c>
      <c r="L11" s="1342">
        <f>'F2.2'!L11</f>
        <v>0</v>
      </c>
      <c r="M11" s="1342">
        <f>'F2.2'!M11</f>
        <v>1920</v>
      </c>
      <c r="N11" s="1342">
        <f>'F2.2'!N11</f>
        <v>1920</v>
      </c>
      <c r="O11" s="1342">
        <f>'F2.2'!O11</f>
        <v>1920</v>
      </c>
      <c r="P11" s="1342">
        <f>'F2.2'!P11</f>
        <v>1920</v>
      </c>
      <c r="Q11" s="1342">
        <f>'F2.2'!Q11</f>
        <v>1920</v>
      </c>
      <c r="R11" s="1342">
        <f>'F2.2'!R11</f>
        <v>0</v>
      </c>
      <c r="S11" s="1342">
        <f>'F2.2'!S11</f>
        <v>1920</v>
      </c>
      <c r="T11" s="1342">
        <f>'F2.2'!T11</f>
        <v>1920</v>
      </c>
      <c r="U11" s="1342">
        <f>'F2.2'!U11</f>
        <v>1920</v>
      </c>
      <c r="V11" s="1342">
        <f>'F2.2'!V11</f>
        <v>1920</v>
      </c>
      <c r="W11" s="1342">
        <f>'F2.2'!W11</f>
        <v>1920</v>
      </c>
      <c r="X11" s="385"/>
    </row>
    <row r="12" spans="1:24" s="1341" customFormat="1" ht="31" x14ac:dyDescent="0.25">
      <c r="B12" s="359">
        <v>2</v>
      </c>
      <c r="C12" s="374" t="s">
        <v>511</v>
      </c>
      <c r="D12" s="359"/>
      <c r="E12" s="454" t="s">
        <v>800</v>
      </c>
      <c r="F12" s="454" t="s">
        <v>800</v>
      </c>
      <c r="G12" s="454" t="s">
        <v>800</v>
      </c>
      <c r="H12" s="454" t="s">
        <v>800</v>
      </c>
      <c r="I12" s="454" t="s">
        <v>800</v>
      </c>
      <c r="J12" s="454" t="s">
        <v>800</v>
      </c>
      <c r="K12" s="454" t="s">
        <v>800</v>
      </c>
      <c r="L12" s="454" t="s">
        <v>800</v>
      </c>
      <c r="M12" s="454"/>
      <c r="N12" s="454" t="s">
        <v>800</v>
      </c>
      <c r="O12" s="454" t="s">
        <v>800</v>
      </c>
      <c r="P12" s="454" t="s">
        <v>800</v>
      </c>
      <c r="Q12" s="454" t="s">
        <v>800</v>
      </c>
      <c r="R12" s="454" t="s">
        <v>800</v>
      </c>
      <c r="S12" s="454" t="s">
        <v>800</v>
      </c>
      <c r="T12" s="454" t="s">
        <v>800</v>
      </c>
      <c r="U12" s="454" t="s">
        <v>800</v>
      </c>
      <c r="V12" s="454" t="s">
        <v>800</v>
      </c>
      <c r="W12" s="454" t="s">
        <v>800</v>
      </c>
      <c r="X12" s="385"/>
    </row>
    <row r="13" spans="1:24" s="1341" customFormat="1" x14ac:dyDescent="0.25">
      <c r="B13" s="359"/>
      <c r="C13" s="374"/>
      <c r="D13" s="359"/>
      <c r="E13" s="359"/>
      <c r="F13" s="454"/>
      <c r="G13" s="454"/>
      <c r="H13" s="454"/>
      <c r="I13" s="454"/>
      <c r="J13" s="454"/>
      <c r="K13" s="454"/>
      <c r="L13" s="454"/>
      <c r="M13" s="454"/>
      <c r="N13" s="454"/>
      <c r="O13" s="454"/>
      <c r="P13" s="454"/>
      <c r="Q13" s="454"/>
      <c r="R13" s="454"/>
      <c r="S13" s="454"/>
      <c r="T13" s="454"/>
      <c r="U13" s="454"/>
      <c r="V13" s="454"/>
      <c r="W13" s="454"/>
      <c r="X13" s="385"/>
    </row>
    <row r="14" spans="1:24" s="1341" customFormat="1" x14ac:dyDescent="0.25">
      <c r="B14" s="387">
        <v>2</v>
      </c>
      <c r="C14" s="393" t="s">
        <v>373</v>
      </c>
      <c r="D14" s="359"/>
      <c r="E14" s="359"/>
      <c r="F14" s="359"/>
      <c r="G14" s="359"/>
      <c r="H14" s="359"/>
      <c r="I14" s="359"/>
      <c r="J14" s="359"/>
      <c r="K14" s="454"/>
      <c r="L14" s="359"/>
      <c r="M14" s="359"/>
      <c r="N14" s="359"/>
      <c r="O14" s="454"/>
      <c r="P14" s="454"/>
      <c r="Q14" s="359"/>
      <c r="R14" s="359"/>
      <c r="S14" s="359"/>
      <c r="T14" s="359"/>
      <c r="U14" s="359"/>
      <c r="V14" s="359"/>
      <c r="W14" s="359"/>
      <c r="X14" s="385"/>
    </row>
    <row r="15" spans="1:24" s="1344" customFormat="1" x14ac:dyDescent="0.25">
      <c r="A15" s="1341"/>
      <c r="B15" s="359">
        <f>B14+0.1</f>
        <v>2.1</v>
      </c>
      <c r="C15" s="474" t="s">
        <v>98</v>
      </c>
      <c r="D15" s="475" t="s">
        <v>99</v>
      </c>
      <c r="E15" s="643">
        <v>0.8</v>
      </c>
      <c r="F15" s="532">
        <v>0.8</v>
      </c>
      <c r="G15" s="391">
        <f>F15</f>
        <v>0.8</v>
      </c>
      <c r="H15" s="391">
        <f>F15</f>
        <v>0.8</v>
      </c>
      <c r="I15" s="832">
        <v>0.8</v>
      </c>
      <c r="J15" s="391">
        <v>0.8</v>
      </c>
      <c r="K15" s="391">
        <f>J15</f>
        <v>0.8</v>
      </c>
      <c r="L15" s="391">
        <f t="shared" ref="L15:L16" si="0">K15-J15</f>
        <v>0</v>
      </c>
      <c r="M15" s="836">
        <v>0.8</v>
      </c>
      <c r="N15" s="391">
        <f>M15</f>
        <v>0.8</v>
      </c>
      <c r="O15" s="391">
        <f>N15</f>
        <v>0.8</v>
      </c>
      <c r="P15" s="391">
        <f>N15</f>
        <v>0.8</v>
      </c>
      <c r="Q15" s="532">
        <f>AVERAGE(O15:P15)</f>
        <v>0.8</v>
      </c>
      <c r="R15" s="576">
        <f t="shared" ref="R15:R16" si="1">Q15-N15</f>
        <v>0</v>
      </c>
      <c r="S15" s="576">
        <v>0.8</v>
      </c>
      <c r="T15" s="576">
        <v>0.8</v>
      </c>
      <c r="U15" s="576">
        <v>0.8</v>
      </c>
      <c r="V15" s="576">
        <v>0.8</v>
      </c>
      <c r="W15" s="576">
        <v>0.8</v>
      </c>
      <c r="X15" s="1343"/>
    </row>
    <row r="16" spans="1:24" s="1341" customFormat="1" x14ac:dyDescent="0.35">
      <c r="B16" s="359">
        <v>2.2000000000000002</v>
      </c>
      <c r="C16" s="374" t="s">
        <v>682</v>
      </c>
      <c r="D16" s="359" t="s">
        <v>99</v>
      </c>
      <c r="E16" s="391"/>
      <c r="F16" s="532">
        <f>G16</f>
        <v>0.52122000000000002</v>
      </c>
      <c r="G16" s="540">
        <v>0.52122000000000002</v>
      </c>
      <c r="H16" s="391">
        <f t="shared" ref="H16" si="2">G16-F16</f>
        <v>0</v>
      </c>
      <c r="I16" s="832"/>
      <c r="J16" s="391">
        <f>K16</f>
        <v>0.57265999999999995</v>
      </c>
      <c r="K16" s="532">
        <v>0.57265999999999995</v>
      </c>
      <c r="L16" s="391">
        <f t="shared" si="0"/>
        <v>0</v>
      </c>
      <c r="M16" s="836"/>
      <c r="N16" s="391">
        <f>Q16</f>
        <v>0.69331642993305698</v>
      </c>
      <c r="O16" s="532">
        <v>0.67838023235166689</v>
      </c>
      <c r="P16" s="532">
        <v>0.7888177010200923</v>
      </c>
      <c r="Q16" s="532">
        <v>0.69331642993305698</v>
      </c>
      <c r="R16" s="576">
        <f t="shared" si="1"/>
        <v>0</v>
      </c>
      <c r="S16" s="532">
        <v>0.85003451897966198</v>
      </c>
      <c r="T16" s="532">
        <v>0.84997984523353365</v>
      </c>
      <c r="U16" s="532">
        <v>0.84999496268122621</v>
      </c>
      <c r="V16" s="532">
        <v>0.84997700166097323</v>
      </c>
      <c r="W16" s="532">
        <v>0.85003409040956657</v>
      </c>
      <c r="X16" s="635"/>
    </row>
    <row r="17" spans="1:24" s="1341" customFormat="1" x14ac:dyDescent="0.25">
      <c r="B17" s="359" t="s">
        <v>116</v>
      </c>
      <c r="C17" s="375" t="s">
        <v>642</v>
      </c>
      <c r="D17" s="359"/>
      <c r="E17" s="359"/>
      <c r="F17" s="451"/>
      <c r="G17" s="391"/>
      <c r="H17" s="451"/>
      <c r="I17" s="833"/>
      <c r="J17" s="451"/>
      <c r="K17" s="532"/>
      <c r="L17" s="451"/>
      <c r="M17" s="833"/>
      <c r="N17" s="451"/>
      <c r="O17" s="532"/>
      <c r="P17" s="532"/>
      <c r="Q17" s="577"/>
      <c r="R17" s="577"/>
      <c r="S17" s="577"/>
      <c r="T17" s="577"/>
      <c r="U17" s="577"/>
      <c r="V17" s="577"/>
      <c r="W17" s="577"/>
      <c r="X17" s="390"/>
    </row>
    <row r="18" spans="1:24" s="1341" customFormat="1" x14ac:dyDescent="0.25">
      <c r="B18" s="359"/>
      <c r="C18" s="376" t="s">
        <v>643</v>
      </c>
      <c r="D18" s="359" t="s">
        <v>99</v>
      </c>
      <c r="E18" s="359"/>
      <c r="F18" s="451"/>
      <c r="G18" s="391">
        <f>'F2.2'!G15</f>
        <v>0.68162</v>
      </c>
      <c r="H18" s="451">
        <f t="shared" ref="H18:H22" si="3">G18-F18</f>
        <v>0.68162</v>
      </c>
      <c r="I18" s="833"/>
      <c r="J18" s="451"/>
      <c r="K18" s="532">
        <f>'F2.2'!K15</f>
        <v>0.75631000000000004</v>
      </c>
      <c r="L18" s="451">
        <f t="shared" ref="L18:L22" si="4">K18-J18</f>
        <v>0.75631000000000004</v>
      </c>
      <c r="M18" s="833"/>
      <c r="N18" s="451"/>
      <c r="O18" s="532">
        <f>'F2.2'!O15</f>
        <v>0.77986</v>
      </c>
      <c r="P18" s="532">
        <f>'F2.2'!P15</f>
        <v>0.8</v>
      </c>
      <c r="Q18" s="577">
        <f t="shared" ref="Q18:Q22" si="5">O18+P18</f>
        <v>1.57986</v>
      </c>
      <c r="R18" s="577"/>
      <c r="S18" s="577">
        <f>'F2.2'!S15</f>
        <v>0</v>
      </c>
      <c r="T18" s="577">
        <f>'F2.2'!T15</f>
        <v>0</v>
      </c>
      <c r="U18" s="577">
        <f>'F2.2'!U15</f>
        <v>0</v>
      </c>
      <c r="V18" s="577">
        <f>'F2.2'!V15</f>
        <v>0</v>
      </c>
      <c r="W18" s="577">
        <f>'F2.2'!W15</f>
        <v>0</v>
      </c>
      <c r="X18" s="390"/>
    </row>
    <row r="19" spans="1:24" s="1341" customFormat="1" x14ac:dyDescent="0.25">
      <c r="B19" s="359"/>
      <c r="C19" s="376" t="s">
        <v>644</v>
      </c>
      <c r="D19" s="359" t="s">
        <v>99</v>
      </c>
      <c r="E19" s="359"/>
      <c r="F19" s="451"/>
      <c r="G19" s="391">
        <f>'F2.2'!G16</f>
        <v>0.68098999999999998</v>
      </c>
      <c r="H19" s="451">
        <f t="shared" si="3"/>
        <v>0.68098999999999998</v>
      </c>
      <c r="I19" s="833"/>
      <c r="J19" s="451"/>
      <c r="K19" s="532">
        <f>'F2.2'!K16</f>
        <v>0.74977000000000005</v>
      </c>
      <c r="L19" s="451">
        <f t="shared" si="4"/>
        <v>0.74977000000000005</v>
      </c>
      <c r="M19" s="833"/>
      <c r="N19" s="451"/>
      <c r="O19" s="532">
        <f>'F2.2'!O16</f>
        <v>0.75113999999999992</v>
      </c>
      <c r="P19" s="532">
        <f>'F2.2'!P16</f>
        <v>0.8</v>
      </c>
      <c r="Q19" s="577">
        <f t="shared" si="5"/>
        <v>1.55114</v>
      </c>
      <c r="R19" s="577"/>
      <c r="S19" s="577">
        <f>'F2.2'!S16</f>
        <v>0</v>
      </c>
      <c r="T19" s="577">
        <f>'F2.2'!T16</f>
        <v>0</v>
      </c>
      <c r="U19" s="577">
        <f>'F2.2'!U16</f>
        <v>0</v>
      </c>
      <c r="V19" s="577">
        <f>'F2.2'!V16</f>
        <v>0</v>
      </c>
      <c r="W19" s="577">
        <f>'F2.2'!W16</f>
        <v>0</v>
      </c>
      <c r="X19" s="390"/>
    </row>
    <row r="20" spans="1:24" s="1341" customFormat="1" x14ac:dyDescent="0.25">
      <c r="B20" s="359" t="s">
        <v>118</v>
      </c>
      <c r="C20" s="375" t="s">
        <v>645</v>
      </c>
      <c r="D20" s="359"/>
      <c r="E20" s="359"/>
      <c r="F20" s="451"/>
      <c r="G20" s="391"/>
      <c r="H20" s="451"/>
      <c r="I20" s="833"/>
      <c r="J20" s="451"/>
      <c r="K20" s="532"/>
      <c r="L20" s="451"/>
      <c r="M20" s="833"/>
      <c r="N20" s="451"/>
      <c r="O20" s="532"/>
      <c r="P20" s="532"/>
      <c r="Q20" s="577"/>
      <c r="R20" s="577"/>
      <c r="S20" s="577"/>
      <c r="T20" s="577"/>
      <c r="U20" s="577"/>
      <c r="V20" s="577"/>
      <c r="W20" s="577"/>
      <c r="X20" s="390"/>
    </row>
    <row r="21" spans="1:24" s="1341" customFormat="1" x14ac:dyDescent="0.25">
      <c r="B21" s="359"/>
      <c r="C21" s="376" t="s">
        <v>643</v>
      </c>
      <c r="D21" s="359" t="s">
        <v>99</v>
      </c>
      <c r="E21" s="359"/>
      <c r="F21" s="451"/>
      <c r="G21" s="391">
        <f>'F2.2'!G18</f>
        <v>0.46498</v>
      </c>
      <c r="H21" s="451">
        <f t="shared" si="3"/>
        <v>0.46498</v>
      </c>
      <c r="I21" s="833"/>
      <c r="J21" s="451"/>
      <c r="K21" s="532">
        <f>'F2.2'!K18</f>
        <v>0.51034000000000002</v>
      </c>
      <c r="L21" s="451">
        <f t="shared" si="4"/>
        <v>0.51034000000000002</v>
      </c>
      <c r="M21" s="833"/>
      <c r="N21" s="451"/>
      <c r="O21" s="532">
        <f>'F2.2'!O18</f>
        <v>0.65681999999999996</v>
      </c>
      <c r="P21" s="532">
        <f>'F2.2'!P18</f>
        <v>0.8</v>
      </c>
      <c r="Q21" s="577">
        <f t="shared" si="5"/>
        <v>1.45682</v>
      </c>
      <c r="R21" s="577"/>
      <c r="S21" s="577">
        <f>'F2.2'!S18</f>
        <v>0</v>
      </c>
      <c r="T21" s="577">
        <f>'F2.2'!T18</f>
        <v>0</v>
      </c>
      <c r="U21" s="577">
        <f>'F2.2'!U18</f>
        <v>0</v>
      </c>
      <c r="V21" s="577">
        <f>'F2.2'!V18</f>
        <v>0</v>
      </c>
      <c r="W21" s="577">
        <f>'F2.2'!W18</f>
        <v>0</v>
      </c>
      <c r="X21" s="390"/>
    </row>
    <row r="22" spans="1:24" s="1341" customFormat="1" x14ac:dyDescent="0.25">
      <c r="B22" s="359"/>
      <c r="C22" s="376" t="s">
        <v>644</v>
      </c>
      <c r="D22" s="359" t="s">
        <v>99</v>
      </c>
      <c r="E22" s="359"/>
      <c r="F22" s="451"/>
      <c r="G22" s="391">
        <f>'F2.2'!G19</f>
        <v>0.46876000000000001</v>
      </c>
      <c r="H22" s="451">
        <f t="shared" si="3"/>
        <v>0.46876000000000001</v>
      </c>
      <c r="I22" s="833"/>
      <c r="J22" s="451"/>
      <c r="K22" s="532">
        <f>'F2.2'!K19</f>
        <v>0.51332</v>
      </c>
      <c r="L22" s="451">
        <f t="shared" si="4"/>
        <v>0.51332</v>
      </c>
      <c r="M22" s="833"/>
      <c r="N22" s="451"/>
      <c r="O22" s="532">
        <f>'F2.2'!O19</f>
        <v>0.6361699999999999</v>
      </c>
      <c r="P22" s="532">
        <f>'F2.2'!P19</f>
        <v>0.8</v>
      </c>
      <c r="Q22" s="577">
        <f t="shared" si="5"/>
        <v>1.4361699999999999</v>
      </c>
      <c r="R22" s="577"/>
      <c r="S22" s="577">
        <f>'F2.2'!S19</f>
        <v>0</v>
      </c>
      <c r="T22" s="577">
        <f>'F2.2'!T19</f>
        <v>0</v>
      </c>
      <c r="U22" s="577">
        <f>'F2.2'!U19</f>
        <v>0</v>
      </c>
      <c r="V22" s="577">
        <f>'F2.2'!V19</f>
        <v>0</v>
      </c>
      <c r="W22" s="577">
        <f>'F2.2'!W19</f>
        <v>0</v>
      </c>
      <c r="X22" s="390"/>
    </row>
    <row r="23" spans="1:24" s="1341" customFormat="1" x14ac:dyDescent="0.25">
      <c r="B23" s="359"/>
      <c r="C23" s="374"/>
      <c r="D23" s="359"/>
      <c r="E23" s="359"/>
      <c r="F23" s="532"/>
      <c r="G23" s="532"/>
      <c r="H23" s="532"/>
      <c r="I23" s="834"/>
      <c r="J23" s="532"/>
      <c r="K23" s="532"/>
      <c r="L23" s="532"/>
      <c r="M23" s="837"/>
      <c r="N23" s="532"/>
      <c r="O23" s="532"/>
      <c r="P23" s="532"/>
      <c r="Q23" s="577"/>
      <c r="R23" s="577"/>
      <c r="S23" s="577"/>
      <c r="T23" s="577"/>
      <c r="U23" s="577"/>
      <c r="V23" s="577"/>
      <c r="W23" s="577"/>
      <c r="X23" s="390"/>
    </row>
    <row r="24" spans="1:24" s="1341" customFormat="1" x14ac:dyDescent="0.25">
      <c r="B24" s="387">
        <v>3</v>
      </c>
      <c r="C24" s="393" t="s">
        <v>374</v>
      </c>
      <c r="D24" s="359"/>
      <c r="E24" s="359"/>
      <c r="F24" s="532"/>
      <c r="G24" s="532"/>
      <c r="H24" s="532"/>
      <c r="I24" s="834"/>
      <c r="J24" s="532"/>
      <c r="K24" s="532"/>
      <c r="L24" s="532"/>
      <c r="M24" s="837"/>
      <c r="N24" s="532"/>
      <c r="O24" s="532"/>
      <c r="P24" s="532"/>
      <c r="Q24" s="577"/>
      <c r="R24" s="577"/>
      <c r="S24" s="577"/>
      <c r="T24" s="577"/>
      <c r="U24" s="577"/>
      <c r="V24" s="577"/>
      <c r="W24" s="577"/>
      <c r="X24" s="390"/>
    </row>
    <row r="25" spans="1:24" s="1345" customFormat="1" x14ac:dyDescent="0.35">
      <c r="A25" s="1341"/>
      <c r="B25" s="395">
        <f>B24+0.1</f>
        <v>3.1</v>
      </c>
      <c r="C25" s="394" t="s">
        <v>100</v>
      </c>
      <c r="D25" s="386" t="s">
        <v>99</v>
      </c>
      <c r="E25" s="1345">
        <f>F25</f>
        <v>0.85</v>
      </c>
      <c r="F25" s="532">
        <v>0.85</v>
      </c>
      <c r="G25" s="532">
        <f>F25</f>
        <v>0.85</v>
      </c>
      <c r="H25" s="532">
        <f>G25-F25</f>
        <v>0</v>
      </c>
      <c r="I25" s="834">
        <f>J25</f>
        <v>0.85</v>
      </c>
      <c r="J25" s="532">
        <v>0.85</v>
      </c>
      <c r="K25" s="532">
        <f>'F2.2'!K20</f>
        <v>0.85</v>
      </c>
      <c r="L25" s="532">
        <f>K25-J25</f>
        <v>0</v>
      </c>
      <c r="M25" s="837">
        <f>N25</f>
        <v>0.85</v>
      </c>
      <c r="N25" s="532">
        <v>0.85</v>
      </c>
      <c r="O25" s="391">
        <f>N25</f>
        <v>0.85</v>
      </c>
      <c r="P25" s="636">
        <v>0.85</v>
      </c>
      <c r="Q25" s="532">
        <f>'F2.2'!Q20</f>
        <v>0.85</v>
      </c>
      <c r="R25" s="577">
        <f>Q25-N25</f>
        <v>0</v>
      </c>
      <c r="S25" s="576">
        <v>0.85</v>
      </c>
      <c r="T25" s="576">
        <v>0.85</v>
      </c>
      <c r="U25" s="576">
        <v>0.85</v>
      </c>
      <c r="V25" s="576">
        <v>0.85</v>
      </c>
      <c r="W25" s="576">
        <v>0.85</v>
      </c>
      <c r="X25" s="476"/>
    </row>
    <row r="26" spans="1:24" s="1347" customFormat="1" x14ac:dyDescent="0.25">
      <c r="A26" s="1341"/>
      <c r="B26" s="473">
        <v>3.2</v>
      </c>
      <c r="C26" s="474" t="s">
        <v>685</v>
      </c>
      <c r="D26" s="475" t="s">
        <v>99</v>
      </c>
      <c r="E26" s="391">
        <v>0.67538500000000001</v>
      </c>
      <c r="F26" s="532">
        <f>G26</f>
        <v>0.48281000000000002</v>
      </c>
      <c r="G26" s="532">
        <v>0.48281000000000002</v>
      </c>
      <c r="H26" s="532">
        <f>G26-F26</f>
        <v>0</v>
      </c>
      <c r="I26" s="834">
        <v>0.67538500000000001</v>
      </c>
      <c r="J26" s="532">
        <f>K26</f>
        <v>0.52266999999999997</v>
      </c>
      <c r="K26" s="532">
        <v>0.52266999999999997</v>
      </c>
      <c r="L26" s="532">
        <f>K26-J26</f>
        <v>0</v>
      </c>
      <c r="M26" s="837">
        <v>0.67538500000000001</v>
      </c>
      <c r="N26" s="532">
        <f>Q26</f>
        <v>0.69331642993305698</v>
      </c>
      <c r="O26" s="532">
        <v>0.58516955298318984</v>
      </c>
      <c r="P26" s="1346">
        <v>0.7888177010200923</v>
      </c>
      <c r="Q26" s="532">
        <v>0.69331642993305698</v>
      </c>
      <c r="R26" s="577">
        <f>Q26-N26</f>
        <v>0</v>
      </c>
      <c r="S26" s="532">
        <v>0.80005781127730446</v>
      </c>
      <c r="T26" s="532">
        <v>0.80001869445855067</v>
      </c>
      <c r="U26" s="532">
        <v>0.80002580660741485</v>
      </c>
      <c r="V26" s="532">
        <v>0.79996790163800213</v>
      </c>
      <c r="W26" s="532">
        <v>0.80000846823077865</v>
      </c>
      <c r="X26" s="476"/>
    </row>
    <row r="27" spans="1:24" s="1341" customFormat="1" x14ac:dyDescent="0.25">
      <c r="B27" s="359">
        <v>3.3</v>
      </c>
      <c r="C27" s="377" t="s">
        <v>678</v>
      </c>
      <c r="D27" s="359" t="s">
        <v>99</v>
      </c>
      <c r="E27" s="359"/>
      <c r="F27" s="451"/>
      <c r="G27" s="451"/>
      <c r="H27" s="451">
        <f>G27-F27</f>
        <v>0</v>
      </c>
      <c r="I27" s="833"/>
      <c r="J27" s="532"/>
      <c r="K27" s="451"/>
      <c r="L27" s="532">
        <f>K27-J27</f>
        <v>0</v>
      </c>
      <c r="M27" s="834"/>
      <c r="N27" s="532"/>
      <c r="O27" s="451"/>
      <c r="P27" s="451"/>
      <c r="Q27" s="451">
        <f>O27+P27</f>
        <v>0</v>
      </c>
      <c r="R27" s="451"/>
      <c r="S27" s="451"/>
      <c r="T27" s="451"/>
      <c r="U27" s="451"/>
      <c r="V27" s="451"/>
      <c r="W27" s="451"/>
      <c r="X27" s="390"/>
    </row>
    <row r="28" spans="1:24" s="1341" customFormat="1" x14ac:dyDescent="0.25">
      <c r="B28" s="359"/>
      <c r="C28" s="374"/>
      <c r="D28" s="359"/>
      <c r="E28" s="359"/>
      <c r="F28" s="388"/>
      <c r="G28" s="388"/>
      <c r="H28" s="388"/>
      <c r="I28" s="388"/>
      <c r="J28" s="388"/>
      <c r="K28" s="835"/>
      <c r="L28" s="388"/>
      <c r="M28" s="389"/>
      <c r="N28" s="388"/>
      <c r="O28" s="835"/>
      <c r="P28" s="835"/>
      <c r="Q28" s="389"/>
      <c r="R28" s="389"/>
      <c r="S28" s="389"/>
      <c r="T28" s="389"/>
      <c r="U28" s="389"/>
      <c r="V28" s="389"/>
      <c r="W28" s="389"/>
      <c r="X28" s="390"/>
    </row>
    <row r="29" spans="1:24" s="1341" customFormat="1" x14ac:dyDescent="0.25">
      <c r="B29" s="387">
        <v>4</v>
      </c>
      <c r="C29" s="393" t="s">
        <v>158</v>
      </c>
      <c r="D29" s="359"/>
      <c r="E29" s="359"/>
      <c r="F29" s="388"/>
      <c r="G29" s="388"/>
      <c r="H29" s="388"/>
      <c r="I29" s="388"/>
      <c r="J29" s="388"/>
      <c r="K29" s="835"/>
      <c r="L29" s="388"/>
      <c r="M29" s="389"/>
      <c r="N29" s="388"/>
      <c r="O29" s="835"/>
      <c r="P29" s="835"/>
      <c r="Q29" s="389"/>
      <c r="R29" s="389"/>
      <c r="S29" s="389"/>
      <c r="T29" s="389"/>
      <c r="U29" s="389"/>
      <c r="V29" s="389"/>
      <c r="W29" s="389"/>
      <c r="X29" s="390"/>
    </row>
    <row r="30" spans="1:24" s="1341" customFormat="1" x14ac:dyDescent="0.25">
      <c r="B30" s="359">
        <f>B29+0.1</f>
        <v>4.0999999999999996</v>
      </c>
      <c r="C30" s="374" t="s">
        <v>686</v>
      </c>
      <c r="D30" s="359" t="s">
        <v>101</v>
      </c>
      <c r="E30" s="380">
        <v>11587.311668317452</v>
      </c>
      <c r="F30" s="505">
        <f>G30</f>
        <v>8413.7729999999992</v>
      </c>
      <c r="G30" s="505">
        <v>8413.7729999999992</v>
      </c>
      <c r="H30" s="505">
        <f>G30-F30</f>
        <v>0</v>
      </c>
      <c r="I30" s="835">
        <v>11458.221965915183</v>
      </c>
      <c r="J30" s="505">
        <f>K30</f>
        <v>9039.1190000000006</v>
      </c>
      <c r="K30" s="505">
        <v>9039.1190000000006</v>
      </c>
      <c r="L30" s="505">
        <f>K30-J30</f>
        <v>0</v>
      </c>
      <c r="M30" s="838">
        <v>11426.91534852197</v>
      </c>
      <c r="N30" s="505">
        <f>Q30</f>
        <v>11661.027698330072</v>
      </c>
      <c r="O30" s="505">
        <v>5009.2120000000004</v>
      </c>
      <c r="P30" s="505">
        <v>6651.8156983300705</v>
      </c>
      <c r="Q30" s="533">
        <f>O30+P30</f>
        <v>11661.027698330072</v>
      </c>
      <c r="R30" s="419">
        <f>Q30-N30</f>
        <v>0</v>
      </c>
      <c r="S30" s="419">
        <f>'F2.2'!S23</f>
        <v>13456.332339435239</v>
      </c>
      <c r="T30" s="419">
        <f>'F2.2'!T23</f>
        <v>13455.674425837255</v>
      </c>
      <c r="U30" s="419">
        <f>'F2.2'!U23</f>
        <v>13455.794046491432</v>
      </c>
      <c r="V30" s="419">
        <f>'F2.2'!V23</f>
        <v>13454.820131229886</v>
      </c>
      <c r="W30" s="419">
        <f>'F2.2'!W23</f>
        <v>13455.502428867112</v>
      </c>
      <c r="X30" s="390"/>
    </row>
    <row r="31" spans="1:24" s="1341" customFormat="1" x14ac:dyDescent="0.25">
      <c r="B31" s="359">
        <v>4.2</v>
      </c>
      <c r="C31" s="374" t="s">
        <v>691</v>
      </c>
      <c r="D31" s="359" t="s">
        <v>101</v>
      </c>
      <c r="E31" s="537"/>
      <c r="F31" s="525">
        <v>13455.36</v>
      </c>
      <c r="G31" s="525"/>
      <c r="H31" s="525"/>
      <c r="I31" s="655"/>
      <c r="J31" s="525">
        <v>13492.224</v>
      </c>
      <c r="K31" s="525"/>
      <c r="L31" s="505"/>
      <c r="M31" s="838"/>
      <c r="N31" s="525">
        <f>'F2.2'!N24</f>
        <v>0</v>
      </c>
      <c r="O31" s="525">
        <f>'F2.2'!O24</f>
        <v>0</v>
      </c>
      <c r="P31" s="525">
        <f>'F2.2'!P24</f>
        <v>0</v>
      </c>
      <c r="Q31" s="525">
        <f>O31+P31</f>
        <v>0</v>
      </c>
      <c r="R31" s="525">
        <f>Q31-N31</f>
        <v>0</v>
      </c>
      <c r="S31" s="419">
        <f>'F2.2'!S24</f>
        <v>0</v>
      </c>
      <c r="T31" s="419">
        <f>'F2.2'!T24</f>
        <v>0</v>
      </c>
      <c r="U31" s="419">
        <f>'F2.2'!U24</f>
        <v>0</v>
      </c>
      <c r="V31" s="419">
        <f>'F2.2'!V24</f>
        <v>0</v>
      </c>
      <c r="W31" s="419">
        <f>'F2.2'!W24</f>
        <v>0</v>
      </c>
      <c r="X31" s="390"/>
    </row>
    <row r="32" spans="1:24" s="1341" customFormat="1" x14ac:dyDescent="0.25">
      <c r="B32" s="359"/>
      <c r="C32" s="378"/>
      <c r="D32" s="359"/>
      <c r="E32" s="359"/>
      <c r="F32" s="388"/>
      <c r="G32" s="835"/>
      <c r="H32" s="388"/>
      <c r="I32" s="388"/>
      <c r="J32" s="388"/>
      <c r="K32" s="835"/>
      <c r="L32" s="388"/>
      <c r="M32" s="389"/>
      <c r="N32" s="389"/>
      <c r="O32" s="835"/>
      <c r="P32" s="835"/>
      <c r="Q32" s="389"/>
      <c r="R32" s="389"/>
      <c r="S32" s="389"/>
      <c r="T32" s="389"/>
      <c r="U32" s="389"/>
      <c r="V32" s="389"/>
      <c r="W32" s="389"/>
      <c r="X32" s="390"/>
    </row>
    <row r="33" spans="1:24" s="1341" customFormat="1" x14ac:dyDescent="0.25">
      <c r="B33" s="387">
        <v>5</v>
      </c>
      <c r="C33" s="396" t="s">
        <v>358</v>
      </c>
      <c r="D33" s="359"/>
      <c r="E33" s="359"/>
      <c r="F33" s="388"/>
      <c r="G33" s="835"/>
      <c r="H33" s="388"/>
      <c r="I33" s="388"/>
      <c r="J33" s="388"/>
      <c r="K33" s="835"/>
      <c r="L33" s="388"/>
      <c r="M33" s="389"/>
      <c r="N33" s="389"/>
      <c r="O33" s="835"/>
      <c r="P33" s="835"/>
      <c r="Q33" s="389"/>
      <c r="R33" s="389"/>
      <c r="S33" s="389"/>
      <c r="T33" s="389"/>
      <c r="U33" s="389"/>
      <c r="V33" s="389"/>
      <c r="W33" s="389"/>
      <c r="X33" s="390"/>
    </row>
    <row r="34" spans="1:24" s="1349" customFormat="1" x14ac:dyDescent="0.25">
      <c r="A34" s="1348"/>
      <c r="B34" s="534">
        <f>B33+0.1</f>
        <v>5.0999999999999996</v>
      </c>
      <c r="C34" s="535" t="s">
        <v>999</v>
      </c>
      <c r="D34" s="532" t="s">
        <v>99</v>
      </c>
      <c r="E34" s="532">
        <v>7.8E-2</v>
      </c>
      <c r="F34" s="532">
        <v>9.3399999999999997E-2</v>
      </c>
      <c r="G34" s="532"/>
      <c r="H34" s="532"/>
      <c r="I34" s="834">
        <v>7.8E-2</v>
      </c>
      <c r="J34" s="532">
        <v>9.3399999999999997E-2</v>
      </c>
      <c r="K34" s="532"/>
      <c r="L34" s="532">
        <f t="shared" ref="L34:L40" si="6">K34-J34</f>
        <v>-9.3399999999999997E-2</v>
      </c>
      <c r="M34" s="834">
        <v>7.8E-2</v>
      </c>
      <c r="N34" s="532">
        <v>9.3399999999999997E-2</v>
      </c>
      <c r="O34" s="532">
        <f>'F2.2'!O25</f>
        <v>0</v>
      </c>
      <c r="P34" s="532">
        <f>'F2.2'!P25</f>
        <v>0</v>
      </c>
      <c r="Q34" s="546"/>
      <c r="R34" s="532">
        <f>Q34-N34</f>
        <v>-9.3399999999999997E-2</v>
      </c>
      <c r="S34" s="839">
        <v>9.3399999999999997E-2</v>
      </c>
      <c r="T34" s="839">
        <v>9.3399999999999997E-2</v>
      </c>
      <c r="U34" s="839">
        <v>9.3399999999999997E-2</v>
      </c>
      <c r="V34" s="839">
        <v>9.3399999999999997E-2</v>
      </c>
      <c r="W34" s="839">
        <v>9.3399999999999997E-2</v>
      </c>
      <c r="X34" s="536"/>
    </row>
    <row r="35" spans="1:24" s="1341" customFormat="1" x14ac:dyDescent="0.25">
      <c r="B35" s="359">
        <v>5.2</v>
      </c>
      <c r="C35" s="378" t="s">
        <v>687</v>
      </c>
      <c r="D35" s="359" t="s">
        <v>99</v>
      </c>
      <c r="E35" s="359"/>
      <c r="F35" s="532">
        <f>'F2.2'!$F$26</f>
        <v>0</v>
      </c>
      <c r="G35" s="532"/>
      <c r="H35" s="451"/>
      <c r="I35" s="833"/>
      <c r="J35" s="532">
        <f>'F2.2'!J26</f>
        <v>0</v>
      </c>
      <c r="K35" s="532"/>
      <c r="L35" s="532">
        <f t="shared" si="6"/>
        <v>0</v>
      </c>
      <c r="M35" s="834"/>
      <c r="N35" s="532">
        <f>Q35</f>
        <v>0</v>
      </c>
      <c r="O35" s="451"/>
      <c r="P35" s="451"/>
      <c r="Q35" s="577"/>
      <c r="R35" s="532"/>
      <c r="S35" s="532"/>
      <c r="T35" s="532"/>
      <c r="U35" s="532"/>
      <c r="V35" s="532"/>
      <c r="W35" s="532"/>
      <c r="X35" s="390"/>
    </row>
    <row r="36" spans="1:24" s="1341" customFormat="1" ht="31" x14ac:dyDescent="0.25">
      <c r="B36" s="359"/>
      <c r="C36" s="378" t="s">
        <v>990</v>
      </c>
      <c r="D36" s="359" t="s">
        <v>99</v>
      </c>
      <c r="E36" s="359"/>
      <c r="F36" s="532">
        <f>'F2.2'!$F$27</f>
        <v>0</v>
      </c>
      <c r="G36" s="532"/>
      <c r="H36" s="451"/>
      <c r="I36" s="833"/>
      <c r="J36" s="532">
        <f>'F2.2'!J27</f>
        <v>0</v>
      </c>
      <c r="K36" s="532"/>
      <c r="L36" s="532"/>
      <c r="M36" s="834"/>
      <c r="N36" s="532">
        <f>Q36</f>
        <v>0</v>
      </c>
      <c r="O36" s="451"/>
      <c r="P36" s="451"/>
      <c r="Q36" s="577"/>
      <c r="R36" s="532"/>
      <c r="S36" s="532"/>
      <c r="T36" s="532"/>
      <c r="U36" s="532"/>
      <c r="V36" s="532"/>
      <c r="W36" s="532"/>
      <c r="X36" s="390"/>
    </row>
    <row r="37" spans="1:24" s="1341" customFormat="1" x14ac:dyDescent="0.25">
      <c r="B37" s="359"/>
      <c r="C37" s="378" t="s">
        <v>991</v>
      </c>
      <c r="D37" s="359" t="s">
        <v>99</v>
      </c>
      <c r="E37" s="795">
        <f>SUM(E34:E36)</f>
        <v>7.8E-2</v>
      </c>
      <c r="F37" s="1350">
        <f>SUM(F34:F36)</f>
        <v>9.3399999999999997E-2</v>
      </c>
      <c r="G37" s="1350"/>
      <c r="H37" s="451"/>
      <c r="I37" s="651">
        <f>SUM(I34:I36)</f>
        <v>7.8E-2</v>
      </c>
      <c r="J37" s="1350">
        <f>SUM(J34:J36)</f>
        <v>9.3399999999999997E-2</v>
      </c>
      <c r="K37" s="1350"/>
      <c r="L37" s="532"/>
      <c r="M37" s="651">
        <f>SUM(M34:M36)</f>
        <v>7.8E-2</v>
      </c>
      <c r="N37" s="651">
        <f>SUM(N34:N36)</f>
        <v>9.3399999999999997E-2</v>
      </c>
      <c r="O37" s="451"/>
      <c r="P37" s="451"/>
      <c r="Q37" s="577"/>
      <c r="R37" s="532"/>
      <c r="S37" s="532">
        <f>SUM(S34:S36)</f>
        <v>9.3399999999999997E-2</v>
      </c>
      <c r="T37" s="532">
        <f t="shared" ref="T37:W37" si="7">SUM(T34:T36)</f>
        <v>9.3399999999999997E-2</v>
      </c>
      <c r="U37" s="532">
        <f t="shared" si="7"/>
        <v>9.3399999999999997E-2</v>
      </c>
      <c r="V37" s="532">
        <f t="shared" si="7"/>
        <v>9.3399999999999997E-2</v>
      </c>
      <c r="W37" s="532">
        <f t="shared" si="7"/>
        <v>9.3399999999999997E-2</v>
      </c>
      <c r="X37" s="390"/>
    </row>
    <row r="38" spans="1:24" s="1341" customFormat="1" ht="31" x14ac:dyDescent="0.25">
      <c r="B38" s="359">
        <v>5.3</v>
      </c>
      <c r="C38" s="378" t="s">
        <v>1000</v>
      </c>
      <c r="D38" s="359" t="s">
        <v>99</v>
      </c>
      <c r="E38" s="795"/>
      <c r="F38" s="532">
        <f>F34</f>
        <v>9.3399999999999997E-2</v>
      </c>
      <c r="G38" s="532">
        <v>0.11088632924848342</v>
      </c>
      <c r="H38" s="532">
        <f>G38-F38</f>
        <v>1.7486329248483423E-2</v>
      </c>
      <c r="I38" s="834"/>
      <c r="J38" s="532">
        <f>J34</f>
        <v>9.3399999999999997E-2</v>
      </c>
      <c r="K38" s="532">
        <v>0.10504169239280951</v>
      </c>
      <c r="L38" s="532">
        <f>K38-J38</f>
        <v>1.1641692392809516E-2</v>
      </c>
      <c r="M38" s="834"/>
      <c r="N38" s="532">
        <f>N34</f>
        <v>9.3399999999999997E-2</v>
      </c>
      <c r="O38" s="532">
        <v>0.10509511673692389</v>
      </c>
      <c r="P38" s="532">
        <v>9.3399999999999997E-2</v>
      </c>
      <c r="Q38" s="532">
        <v>9.8423855582504979E-2</v>
      </c>
      <c r="R38" s="532">
        <f t="shared" ref="R38:R45" si="8">Q38-N38</f>
        <v>5.0238555825049824E-3</v>
      </c>
      <c r="S38" s="839">
        <v>9.3399999999999997E-2</v>
      </c>
      <c r="T38" s="839">
        <v>9.3399999999999997E-2</v>
      </c>
      <c r="U38" s="839">
        <v>9.3399999999999997E-2</v>
      </c>
      <c r="V38" s="839">
        <v>9.3399999999999997E-2</v>
      </c>
      <c r="W38" s="839">
        <v>9.3399999999999997E-2</v>
      </c>
      <c r="X38" s="390"/>
    </row>
    <row r="39" spans="1:24" s="1341" customFormat="1" x14ac:dyDescent="0.25">
      <c r="B39" s="359">
        <v>5.4</v>
      </c>
      <c r="C39" s="378" t="s">
        <v>1001</v>
      </c>
      <c r="D39" s="359" t="s">
        <v>99</v>
      </c>
      <c r="E39" s="359"/>
      <c r="F39" s="532">
        <f t="shared" ref="F39:F40" si="9">F35</f>
        <v>0</v>
      </c>
      <c r="G39" s="532">
        <f>'F2.2'!G30</f>
        <v>0</v>
      </c>
      <c r="H39" s="532">
        <f t="shared" ref="H39:H41" si="10">G39-F39</f>
        <v>0</v>
      </c>
      <c r="I39" s="833"/>
      <c r="J39" s="532">
        <f t="shared" ref="J39:J40" si="11">J35</f>
        <v>0</v>
      </c>
      <c r="K39" s="451">
        <f>'F2.2'!K30</f>
        <v>0</v>
      </c>
      <c r="L39" s="532">
        <f t="shared" si="6"/>
        <v>0</v>
      </c>
      <c r="M39" s="834"/>
      <c r="N39" s="532"/>
      <c r="O39" s="451"/>
      <c r="P39" s="451"/>
      <c r="Q39" s="577"/>
      <c r="R39" s="532"/>
      <c r="S39" s="532"/>
      <c r="T39" s="532"/>
      <c r="U39" s="532"/>
      <c r="V39" s="532"/>
      <c r="W39" s="532"/>
      <c r="X39" s="390"/>
    </row>
    <row r="40" spans="1:24" s="1341" customFormat="1" ht="31" x14ac:dyDescent="0.25">
      <c r="B40" s="359"/>
      <c r="C40" s="378" t="s">
        <v>1002</v>
      </c>
      <c r="D40" s="359" t="s">
        <v>99</v>
      </c>
      <c r="E40" s="359"/>
      <c r="F40" s="532">
        <f t="shared" si="9"/>
        <v>0</v>
      </c>
      <c r="G40" s="532">
        <f>'F2.2'!G31</f>
        <v>0</v>
      </c>
      <c r="H40" s="532">
        <f t="shared" si="10"/>
        <v>0</v>
      </c>
      <c r="I40" s="833"/>
      <c r="J40" s="532">
        <f t="shared" si="11"/>
        <v>0</v>
      </c>
      <c r="K40" s="451">
        <f>'F2.2'!K31</f>
        <v>0</v>
      </c>
      <c r="L40" s="532">
        <f t="shared" si="6"/>
        <v>0</v>
      </c>
      <c r="M40" s="834"/>
      <c r="N40" s="532"/>
      <c r="O40" s="451"/>
      <c r="P40" s="451"/>
      <c r="Q40" s="577"/>
      <c r="R40" s="532"/>
      <c r="S40" s="532"/>
      <c r="T40" s="532"/>
      <c r="U40" s="532"/>
      <c r="V40" s="532"/>
      <c r="W40" s="532"/>
      <c r="X40" s="390"/>
    </row>
    <row r="41" spans="1:24" s="1341" customFormat="1" x14ac:dyDescent="0.25">
      <c r="B41" s="359"/>
      <c r="C41" s="378" t="s">
        <v>1003</v>
      </c>
      <c r="D41" s="359"/>
      <c r="E41" s="795">
        <f>SUM(E38:E40)</f>
        <v>0</v>
      </c>
      <c r="F41" s="451">
        <f>SUM(F38:F40)</f>
        <v>9.3399999999999997E-2</v>
      </c>
      <c r="G41" s="451">
        <f>SUM(G38:G40)</f>
        <v>0.11088632924848342</v>
      </c>
      <c r="H41" s="532">
        <f t="shared" si="10"/>
        <v>1.7486329248483423E-2</v>
      </c>
      <c r="I41" s="833"/>
      <c r="J41" s="451">
        <f>SUM(J38:J40)</f>
        <v>9.3399999999999997E-2</v>
      </c>
      <c r="K41" s="451">
        <f>SUM(K38:K40)</f>
        <v>0.10504169239280951</v>
      </c>
      <c r="L41" s="451">
        <f>SUM(L38:L40)</f>
        <v>1.1641692392809516E-2</v>
      </c>
      <c r="M41" s="834"/>
      <c r="N41" s="651">
        <f>SUM(N38:N40)</f>
        <v>9.3399999999999997E-2</v>
      </c>
      <c r="O41" s="651">
        <f>SUM(O38:O40)</f>
        <v>0.10509511673692389</v>
      </c>
      <c r="P41" s="651">
        <f>SUM(P38:P40)</f>
        <v>9.3399999999999997E-2</v>
      </c>
      <c r="Q41" s="651">
        <f>SUM(Q38:Q40)</f>
        <v>9.8423855582504979E-2</v>
      </c>
      <c r="R41" s="532"/>
      <c r="S41" s="532">
        <f>SUM(S38:S40)</f>
        <v>9.3399999999999997E-2</v>
      </c>
      <c r="T41" s="532">
        <f t="shared" ref="T41" si="12">SUM(T38:T40)</f>
        <v>9.3399999999999997E-2</v>
      </c>
      <c r="U41" s="532">
        <f t="shared" ref="U41" si="13">SUM(U38:U40)</f>
        <v>9.3399999999999997E-2</v>
      </c>
      <c r="V41" s="532">
        <f t="shared" ref="V41" si="14">SUM(V38:V40)</f>
        <v>9.3399999999999997E-2</v>
      </c>
      <c r="W41" s="532">
        <f t="shared" ref="W41" si="15">SUM(W38:W40)</f>
        <v>9.3399999999999997E-2</v>
      </c>
      <c r="X41" s="390"/>
    </row>
    <row r="42" spans="1:24" s="1348" customFormat="1" ht="31" x14ac:dyDescent="0.25">
      <c r="A42" s="1341"/>
      <c r="B42" s="388">
        <v>5.5</v>
      </c>
      <c r="C42" s="416" t="s">
        <v>1004</v>
      </c>
      <c r="D42" s="388" t="s">
        <v>101</v>
      </c>
      <c r="E42" s="505">
        <f>E$30*E37</f>
        <v>903.81031012876122</v>
      </c>
      <c r="F42" s="505">
        <f>F$30*F38</f>
        <v>785.84639819999995</v>
      </c>
      <c r="G42" s="505">
        <f>G$30*G38</f>
        <v>932.97240309999995</v>
      </c>
      <c r="H42" s="505">
        <f>G42-F42</f>
        <v>147.1260049</v>
      </c>
      <c r="I42" s="505">
        <f>I$30*I37</f>
        <v>893.74131334138428</v>
      </c>
      <c r="J42" s="505">
        <f>J$30*J38</f>
        <v>844.25371460000008</v>
      </c>
      <c r="K42" s="505">
        <f>K$30*K38</f>
        <v>949.48435749999999</v>
      </c>
      <c r="L42" s="505">
        <f t="shared" ref="L42:L45" si="16">K42-J42</f>
        <v>105.23064289999991</v>
      </c>
      <c r="M42" s="505">
        <f>M$30*M37</f>
        <v>891.29939718471371</v>
      </c>
      <c r="N42" s="505">
        <f>N$30*N38</f>
        <v>1089.1399870240286</v>
      </c>
      <c r="O42" s="505">
        <f>O$30*O38</f>
        <v>526.44371990000002</v>
      </c>
      <c r="P42" s="505">
        <f>P$30*P38</f>
        <v>621.27958622402855</v>
      </c>
      <c r="Q42" s="578">
        <f t="shared" ref="Q42:Q45" si="17">O42+P42</f>
        <v>1147.7233061240286</v>
      </c>
      <c r="R42" s="505">
        <f t="shared" si="8"/>
        <v>58.583319099999926</v>
      </c>
      <c r="S42" s="505">
        <f>S30*S37</f>
        <v>1256.8214405032513</v>
      </c>
      <c r="T42" s="505">
        <f t="shared" ref="T42:W42" si="18">T30*T37</f>
        <v>1256.7599913731995</v>
      </c>
      <c r="U42" s="505">
        <f t="shared" si="18"/>
        <v>1256.7711639422996</v>
      </c>
      <c r="V42" s="505">
        <f t="shared" si="18"/>
        <v>1256.6802002568713</v>
      </c>
      <c r="W42" s="505">
        <f t="shared" si="18"/>
        <v>1256.7439268561882</v>
      </c>
      <c r="X42" s="390"/>
    </row>
    <row r="43" spans="1:24" s="1348" customFormat="1" ht="31" x14ac:dyDescent="0.25">
      <c r="A43" s="1341"/>
      <c r="B43" s="388"/>
      <c r="C43" s="378" t="s">
        <v>1005</v>
      </c>
      <c r="D43" s="388" t="s">
        <v>101</v>
      </c>
      <c r="E43" s="388"/>
      <c r="F43" s="505">
        <f t="shared" ref="F43:G44" si="19">F$30*F39</f>
        <v>0</v>
      </c>
      <c r="G43" s="505">
        <f t="shared" si="19"/>
        <v>0</v>
      </c>
      <c r="H43" s="505">
        <f t="shared" ref="H43:H45" si="20">G43-F43</f>
        <v>0</v>
      </c>
      <c r="I43" s="835"/>
      <c r="J43" s="505">
        <f t="shared" ref="J43:K43" si="21">J$30*J39</f>
        <v>0</v>
      </c>
      <c r="K43" s="505">
        <f t="shared" si="21"/>
        <v>0</v>
      </c>
      <c r="L43" s="505">
        <f t="shared" si="16"/>
        <v>0</v>
      </c>
      <c r="M43" s="835"/>
      <c r="N43" s="505">
        <f t="shared" ref="N43:P43" si="22">N$30*N39</f>
        <v>0</v>
      </c>
      <c r="O43" s="505">
        <f t="shared" si="22"/>
        <v>0</v>
      </c>
      <c r="P43" s="505">
        <f t="shared" si="22"/>
        <v>0</v>
      </c>
      <c r="Q43" s="578">
        <f t="shared" si="17"/>
        <v>0</v>
      </c>
      <c r="R43" s="505">
        <f t="shared" si="8"/>
        <v>0</v>
      </c>
      <c r="S43" s="505">
        <f t="shared" ref="S43:W43" si="23">S$30*S39</f>
        <v>0</v>
      </c>
      <c r="T43" s="505">
        <f t="shared" si="23"/>
        <v>0</v>
      </c>
      <c r="U43" s="505">
        <f t="shared" si="23"/>
        <v>0</v>
      </c>
      <c r="V43" s="505">
        <f t="shared" si="23"/>
        <v>0</v>
      </c>
      <c r="W43" s="505">
        <f t="shared" si="23"/>
        <v>0</v>
      </c>
      <c r="X43" s="390"/>
    </row>
    <row r="44" spans="1:24" s="1348" customFormat="1" ht="31" x14ac:dyDescent="0.25">
      <c r="A44" s="1341"/>
      <c r="B44" s="388"/>
      <c r="C44" s="378" t="s">
        <v>1006</v>
      </c>
      <c r="D44" s="388" t="s">
        <v>101</v>
      </c>
      <c r="E44" s="388"/>
      <c r="F44" s="505">
        <f t="shared" si="19"/>
        <v>0</v>
      </c>
      <c r="G44" s="505">
        <f t="shared" si="19"/>
        <v>0</v>
      </c>
      <c r="H44" s="505">
        <f t="shared" si="20"/>
        <v>0</v>
      </c>
      <c r="I44" s="835"/>
      <c r="J44" s="505">
        <f t="shared" ref="J44:K44" si="24">J$30*J40</f>
        <v>0</v>
      </c>
      <c r="K44" s="505">
        <f t="shared" si="24"/>
        <v>0</v>
      </c>
      <c r="L44" s="505">
        <f t="shared" si="16"/>
        <v>0</v>
      </c>
      <c r="M44" s="835"/>
      <c r="N44" s="505">
        <f t="shared" ref="N44:P44" si="25">N$30*N40</f>
        <v>0</v>
      </c>
      <c r="O44" s="505">
        <f t="shared" si="25"/>
        <v>0</v>
      </c>
      <c r="P44" s="505">
        <f t="shared" si="25"/>
        <v>0</v>
      </c>
      <c r="Q44" s="578">
        <f t="shared" si="17"/>
        <v>0</v>
      </c>
      <c r="R44" s="505">
        <f t="shared" si="8"/>
        <v>0</v>
      </c>
      <c r="S44" s="505">
        <f t="shared" ref="S44:W44" si="26">S$30*S40</f>
        <v>0</v>
      </c>
      <c r="T44" s="505">
        <f t="shared" si="26"/>
        <v>0</v>
      </c>
      <c r="U44" s="505">
        <f t="shared" si="26"/>
        <v>0</v>
      </c>
      <c r="V44" s="505">
        <f t="shared" si="26"/>
        <v>0</v>
      </c>
      <c r="W44" s="505">
        <f t="shared" si="26"/>
        <v>0</v>
      </c>
      <c r="X44" s="390"/>
    </row>
    <row r="45" spans="1:24" s="1341" customFormat="1" x14ac:dyDescent="0.25">
      <c r="B45" s="359">
        <v>5.6</v>
      </c>
      <c r="C45" s="378" t="s">
        <v>1007</v>
      </c>
      <c r="D45" s="359" t="s">
        <v>101</v>
      </c>
      <c r="E45" s="525">
        <f>SUM(E42:E44)</f>
        <v>903.81031012876122</v>
      </c>
      <c r="F45" s="525">
        <f>SUM(F42:F44)</f>
        <v>785.84639819999995</v>
      </c>
      <c r="G45" s="525">
        <f>SUM(G42:G44)</f>
        <v>932.97240309999995</v>
      </c>
      <c r="H45" s="505">
        <f t="shared" si="20"/>
        <v>147.1260049</v>
      </c>
      <c r="I45" s="525">
        <f>SUM(I42:I44)</f>
        <v>893.74131334138428</v>
      </c>
      <c r="J45" s="525">
        <f>SUM(J42:J44)</f>
        <v>844.25371460000008</v>
      </c>
      <c r="K45" s="525">
        <f>SUM(K42:K44)</f>
        <v>949.48435749999999</v>
      </c>
      <c r="L45" s="505">
        <f t="shared" si="16"/>
        <v>105.23064289999991</v>
      </c>
      <c r="M45" s="525">
        <f>SUM(M42:M44)</f>
        <v>891.29939718471371</v>
      </c>
      <c r="N45" s="525">
        <f>SUM(N42:N44)</f>
        <v>1089.1399870240286</v>
      </c>
      <c r="O45" s="525">
        <f>SUM(O42:O44)</f>
        <v>526.44371990000002</v>
      </c>
      <c r="P45" s="525">
        <f>SUM(P42:P44)</f>
        <v>621.27958622402855</v>
      </c>
      <c r="Q45" s="578">
        <f t="shared" si="17"/>
        <v>1147.7233061240286</v>
      </c>
      <c r="R45" s="505">
        <f t="shared" si="8"/>
        <v>58.583319099999926</v>
      </c>
      <c r="S45" s="525">
        <f t="shared" ref="S45:W45" si="27">SUM(S42:S44)</f>
        <v>1256.8214405032513</v>
      </c>
      <c r="T45" s="525">
        <f t="shared" si="27"/>
        <v>1256.7599913731995</v>
      </c>
      <c r="U45" s="525">
        <f t="shared" si="27"/>
        <v>1256.7711639422996</v>
      </c>
      <c r="V45" s="525">
        <f t="shared" si="27"/>
        <v>1256.6802002568713</v>
      </c>
      <c r="W45" s="525">
        <f t="shared" si="27"/>
        <v>1256.7439268561882</v>
      </c>
      <c r="X45" s="390"/>
    </row>
    <row r="46" spans="1:24" s="1341" customFormat="1" x14ac:dyDescent="0.25">
      <c r="B46" s="359"/>
      <c r="C46" s="378"/>
      <c r="D46" s="359"/>
      <c r="E46" s="359"/>
      <c r="F46" s="505"/>
      <c r="G46" s="505"/>
      <c r="H46" s="505"/>
      <c r="I46" s="835"/>
      <c r="J46" s="505"/>
      <c r="K46" s="505"/>
      <c r="L46" s="505"/>
      <c r="M46" s="835"/>
      <c r="N46" s="505"/>
      <c r="O46" s="505"/>
      <c r="P46" s="505"/>
      <c r="Q46" s="505"/>
      <c r="R46" s="505"/>
      <c r="S46" s="505"/>
      <c r="T46" s="505"/>
      <c r="U46" s="505"/>
      <c r="V46" s="505"/>
      <c r="W46" s="505"/>
      <c r="X46" s="390"/>
    </row>
    <row r="47" spans="1:24" s="1341" customFormat="1" x14ac:dyDescent="0.25">
      <c r="B47" s="387">
        <v>6</v>
      </c>
      <c r="C47" s="396" t="s">
        <v>102</v>
      </c>
      <c r="D47" s="359"/>
      <c r="E47" s="359"/>
      <c r="F47" s="505"/>
      <c r="G47" s="505"/>
      <c r="H47" s="505"/>
      <c r="I47" s="835"/>
      <c r="J47" s="505"/>
      <c r="K47" s="505"/>
      <c r="L47" s="505"/>
      <c r="M47" s="835"/>
      <c r="N47" s="505"/>
      <c r="O47" s="505"/>
      <c r="P47" s="505"/>
      <c r="Q47" s="505"/>
      <c r="R47" s="505"/>
      <c r="S47" s="505"/>
      <c r="T47" s="505"/>
      <c r="U47" s="505"/>
      <c r="V47" s="505"/>
      <c r="W47" s="505"/>
      <c r="X47" s="390"/>
    </row>
    <row r="48" spans="1:24" s="1348" customFormat="1" x14ac:dyDescent="0.25">
      <c r="A48" s="1341"/>
      <c r="B48" s="388">
        <v>6.1</v>
      </c>
      <c r="C48" s="377" t="s">
        <v>689</v>
      </c>
      <c r="D48" s="388" t="s">
        <v>101</v>
      </c>
      <c r="E48" s="537">
        <v>10683.501358188691</v>
      </c>
      <c r="F48" s="505">
        <f>F30-F45</f>
        <v>7627.9266017999989</v>
      </c>
      <c r="G48" s="505">
        <f t="shared" ref="G48" si="28">G30-G45</f>
        <v>7480.8005968999996</v>
      </c>
      <c r="H48" s="505">
        <f>G48-F48</f>
        <v>-147.12600489999932</v>
      </c>
      <c r="I48" s="835">
        <f>I30*(1-I37)</f>
        <v>10564.4806525738</v>
      </c>
      <c r="J48" s="505">
        <f>J30-J45</f>
        <v>8194.8652854000011</v>
      </c>
      <c r="K48" s="505">
        <f t="shared" ref="K48" si="29">K30-K45</f>
        <v>8089.6346425000011</v>
      </c>
      <c r="L48" s="505">
        <f>K48-J48</f>
        <v>-105.23064290000002</v>
      </c>
      <c r="M48" s="835">
        <f>M30*(1-M37)</f>
        <v>10535.615951337257</v>
      </c>
      <c r="N48" s="505">
        <f>N30-N45</f>
        <v>10571.887711306043</v>
      </c>
      <c r="O48" s="505">
        <f t="shared" ref="O48:P48" si="30">O30-O45</f>
        <v>4482.7682801000001</v>
      </c>
      <c r="P48" s="505">
        <f t="shared" si="30"/>
        <v>6030.5361121060423</v>
      </c>
      <c r="Q48" s="578">
        <f>O48+P48</f>
        <v>10513.304392206042</v>
      </c>
      <c r="R48" s="505">
        <f>Q48-N48</f>
        <v>-58.583319100000153</v>
      </c>
      <c r="S48" s="505">
        <f>S30-S45</f>
        <v>12199.510898931989</v>
      </c>
      <c r="T48" s="505">
        <f t="shared" ref="T48:W48" si="31">T30-T45</f>
        <v>12198.914434464055</v>
      </c>
      <c r="U48" s="505">
        <f t="shared" si="31"/>
        <v>12199.022882549132</v>
      </c>
      <c r="V48" s="505">
        <f t="shared" si="31"/>
        <v>12198.139930973015</v>
      </c>
      <c r="W48" s="505">
        <f t="shared" si="31"/>
        <v>12198.758502010924</v>
      </c>
      <c r="X48" s="390"/>
    </row>
    <row r="49" spans="2:24" s="1341" customFormat="1" x14ac:dyDescent="0.25">
      <c r="B49" s="359">
        <v>6.2</v>
      </c>
      <c r="C49" s="374" t="s">
        <v>690</v>
      </c>
      <c r="D49" s="359" t="s">
        <v>101</v>
      </c>
      <c r="E49" s="359"/>
      <c r="F49" s="525"/>
      <c r="G49" s="525"/>
      <c r="H49" s="525">
        <f>G49-F49</f>
        <v>0</v>
      </c>
      <c r="I49" s="655"/>
      <c r="J49" s="505"/>
      <c r="K49" s="525"/>
      <c r="L49" s="505">
        <f>K49-J49</f>
        <v>0</v>
      </c>
      <c r="M49" s="835"/>
      <c r="N49" s="505"/>
      <c r="O49" s="525"/>
      <c r="P49" s="525"/>
      <c r="Q49" s="525">
        <f>O49+P49</f>
        <v>0</v>
      </c>
      <c r="R49" s="525">
        <f>Q49-N49</f>
        <v>0</v>
      </c>
      <c r="S49" s="525"/>
      <c r="T49" s="525"/>
      <c r="U49" s="525"/>
      <c r="V49" s="525"/>
      <c r="W49" s="525"/>
      <c r="X49" s="390"/>
    </row>
    <row r="50" spans="2:24" s="1341" customFormat="1" x14ac:dyDescent="0.25">
      <c r="B50" s="359"/>
      <c r="C50" s="378"/>
      <c r="D50" s="359"/>
      <c r="E50" s="359"/>
      <c r="F50" s="505"/>
      <c r="G50" s="505"/>
      <c r="H50" s="505"/>
      <c r="I50" s="835"/>
      <c r="J50" s="505"/>
      <c r="K50" s="505"/>
      <c r="L50" s="505"/>
      <c r="M50" s="835"/>
      <c r="N50" s="505"/>
      <c r="O50" s="505"/>
      <c r="P50" s="505"/>
      <c r="Q50" s="505"/>
      <c r="R50" s="505"/>
      <c r="S50" s="505"/>
      <c r="T50" s="505"/>
      <c r="U50" s="505"/>
      <c r="V50" s="505"/>
      <c r="W50" s="505"/>
      <c r="X50" s="390"/>
    </row>
    <row r="51" spans="2:24" s="1341" customFormat="1" x14ac:dyDescent="0.25">
      <c r="B51" s="387">
        <v>7</v>
      </c>
      <c r="C51" s="396" t="s">
        <v>446</v>
      </c>
      <c r="D51" s="359"/>
      <c r="E51" s="359"/>
      <c r="F51" s="505"/>
      <c r="G51" s="505"/>
      <c r="H51" s="505"/>
      <c r="I51" s="835"/>
      <c r="J51" s="505"/>
      <c r="K51" s="505"/>
      <c r="L51" s="505"/>
      <c r="M51" s="835"/>
      <c r="N51" s="505"/>
      <c r="O51" s="505"/>
      <c r="P51" s="505"/>
      <c r="Q51" s="505"/>
      <c r="R51" s="505"/>
      <c r="S51" s="505"/>
      <c r="T51" s="505"/>
      <c r="U51" s="505"/>
      <c r="V51" s="505"/>
      <c r="W51" s="505"/>
      <c r="X51" s="390"/>
    </row>
    <row r="52" spans="2:24" s="1341" customFormat="1" x14ac:dyDescent="0.25">
      <c r="B52" s="359">
        <f>B51+0.1</f>
        <v>7.1</v>
      </c>
      <c r="C52" s="378" t="s">
        <v>103</v>
      </c>
      <c r="D52" s="359" t="s">
        <v>104</v>
      </c>
      <c r="E52" s="380">
        <v>2688</v>
      </c>
      <c r="F52" s="505">
        <f>E52</f>
        <v>2688</v>
      </c>
      <c r="G52" s="1351"/>
      <c r="H52" s="1351"/>
      <c r="I52" s="835">
        <v>2688</v>
      </c>
      <c r="J52" s="505">
        <f>I52</f>
        <v>2688</v>
      </c>
      <c r="K52" s="1351"/>
      <c r="L52" s="1351"/>
      <c r="M52" s="835">
        <v>2688</v>
      </c>
      <c r="N52" s="505">
        <f>M52</f>
        <v>2688</v>
      </c>
      <c r="O52" s="1352"/>
      <c r="P52" s="1352"/>
      <c r="Q52" s="505">
        <f>'F2.2'!Q39</f>
        <v>0</v>
      </c>
      <c r="R52" s="505">
        <f>Q52-N52</f>
        <v>-2688</v>
      </c>
      <c r="S52" s="505">
        <f>'F2.2'!S39</f>
        <v>0</v>
      </c>
      <c r="T52" s="505">
        <f>'F2.2'!T39</f>
        <v>0</v>
      </c>
      <c r="U52" s="505">
        <f>'F2.2'!U39</f>
        <v>0</v>
      </c>
      <c r="V52" s="505">
        <f>'F2.2'!V39</f>
        <v>0</v>
      </c>
      <c r="W52" s="505">
        <f>'F2.2'!W39</f>
        <v>0</v>
      </c>
      <c r="X52" s="390"/>
    </row>
    <row r="53" spans="2:24" s="1341" customFormat="1" x14ac:dyDescent="0.25">
      <c r="B53" s="359">
        <f>B52+0.1</f>
        <v>7.1999999999999993</v>
      </c>
      <c r="C53" s="374" t="s">
        <v>317</v>
      </c>
      <c r="D53" s="359" t="s">
        <v>104</v>
      </c>
      <c r="E53" s="380"/>
      <c r="F53" s="1351"/>
      <c r="G53" s="505">
        <v>2732.5076599868162</v>
      </c>
      <c r="H53" s="505">
        <f>G53-F52</f>
        <v>44.507659986816179</v>
      </c>
      <c r="I53" s="835"/>
      <c r="J53" s="1351"/>
      <c r="K53" s="505">
        <v>2704.507259921776</v>
      </c>
      <c r="L53" s="1353">
        <f>K53-J52</f>
        <v>16.50725992177604</v>
      </c>
      <c r="M53" s="835"/>
      <c r="N53" s="1352"/>
      <c r="O53" s="505">
        <v>2704.507259921776</v>
      </c>
      <c r="P53" s="505">
        <f>'F2.2'!P40</f>
        <v>2726.0635805493839</v>
      </c>
      <c r="Q53" s="505">
        <f>'F2.2'!Q40</f>
        <v>2736.0977922384486</v>
      </c>
      <c r="R53" s="505">
        <f>Q53-N53</f>
        <v>2736.0977922384486</v>
      </c>
      <c r="S53" s="505">
        <f>'F2.2'!S40</f>
        <v>2688</v>
      </c>
      <c r="T53" s="505">
        <f>'F2.2'!T40</f>
        <v>2688</v>
      </c>
      <c r="U53" s="505">
        <f>'F2.2'!U40</f>
        <v>2688</v>
      </c>
      <c r="V53" s="505">
        <f>'F2.2'!V40</f>
        <v>2688</v>
      </c>
      <c r="W53" s="505">
        <f>'F2.2'!W40</f>
        <v>2688</v>
      </c>
      <c r="X53" s="390"/>
    </row>
    <row r="54" spans="2:24" s="1341" customFormat="1" x14ac:dyDescent="0.25">
      <c r="B54" s="359"/>
      <c r="C54" s="374"/>
      <c r="D54" s="359"/>
      <c r="E54" s="359"/>
      <c r="F54" s="505"/>
      <c r="G54" s="505"/>
      <c r="H54" s="505"/>
      <c r="I54" s="835"/>
      <c r="J54" s="505"/>
      <c r="K54" s="505"/>
      <c r="L54" s="505"/>
      <c r="M54" s="835"/>
      <c r="N54" s="505"/>
      <c r="O54" s="505"/>
      <c r="P54" s="505"/>
      <c r="Q54" s="505"/>
      <c r="R54" s="505"/>
      <c r="S54" s="505"/>
      <c r="T54" s="505"/>
      <c r="U54" s="505"/>
      <c r="V54" s="505"/>
      <c r="W54" s="505"/>
      <c r="X54" s="390"/>
    </row>
    <row r="55" spans="2:24" s="1341" customFormat="1" x14ac:dyDescent="0.25">
      <c r="B55" s="387">
        <v>8</v>
      </c>
      <c r="C55" s="393" t="s">
        <v>375</v>
      </c>
      <c r="D55" s="359"/>
      <c r="E55" s="359"/>
      <c r="F55" s="505"/>
      <c r="G55" s="505"/>
      <c r="H55" s="505"/>
      <c r="I55" s="835"/>
      <c r="J55" s="505"/>
      <c r="K55" s="505"/>
      <c r="L55" s="505"/>
      <c r="M55" s="835"/>
      <c r="N55" s="505"/>
      <c r="O55" s="505"/>
      <c r="P55" s="505"/>
      <c r="Q55" s="505"/>
      <c r="R55" s="505"/>
      <c r="S55" s="505"/>
      <c r="T55" s="505"/>
      <c r="U55" s="505"/>
      <c r="V55" s="505"/>
      <c r="W55" s="505"/>
      <c r="X55" s="390"/>
    </row>
    <row r="56" spans="2:24" s="1341" customFormat="1" x14ac:dyDescent="0.25">
      <c r="B56" s="359">
        <f>B55+0.1</f>
        <v>8.1</v>
      </c>
      <c r="C56" s="374" t="s">
        <v>105</v>
      </c>
      <c r="D56" s="359" t="s">
        <v>106</v>
      </c>
      <c r="E56" s="380">
        <v>1</v>
      </c>
      <c r="F56" s="505">
        <f>E56</f>
        <v>1</v>
      </c>
      <c r="G56" s="505"/>
      <c r="H56" s="505"/>
      <c r="I56" s="835">
        <v>1</v>
      </c>
      <c r="J56" s="505">
        <f>I56</f>
        <v>1</v>
      </c>
      <c r="K56" s="505">
        <f>'F2.2'!$K$41</f>
        <v>0</v>
      </c>
      <c r="L56" s="505">
        <f>K56-J56</f>
        <v>-1</v>
      </c>
      <c r="M56" s="835">
        <v>1</v>
      </c>
      <c r="N56" s="505">
        <f>M56</f>
        <v>1</v>
      </c>
      <c r="O56" s="505">
        <f>'F2.2'!O41</f>
        <v>0</v>
      </c>
      <c r="P56" s="505">
        <f>'F2.2'!P41</f>
        <v>0</v>
      </c>
      <c r="Q56" s="505">
        <f>'F2.2'!Q41</f>
        <v>0</v>
      </c>
      <c r="R56" s="505">
        <f>Q56-N56</f>
        <v>-1</v>
      </c>
      <c r="S56" s="505">
        <f>'F2.2'!S41</f>
        <v>0</v>
      </c>
      <c r="T56" s="505">
        <f>'F2.2'!T41</f>
        <v>0</v>
      </c>
      <c r="U56" s="505">
        <f>'F2.2'!U41</f>
        <v>0</v>
      </c>
      <c r="V56" s="505">
        <f>'F2.2'!V41</f>
        <v>0</v>
      </c>
      <c r="W56" s="505">
        <f>'F2.2'!W41</f>
        <v>0</v>
      </c>
      <c r="X56" s="390"/>
    </row>
    <row r="57" spans="2:24" s="1341" customFormat="1" x14ac:dyDescent="0.25">
      <c r="B57" s="359">
        <f>B56+0.1</f>
        <v>8.1999999999999993</v>
      </c>
      <c r="C57" s="374" t="s">
        <v>318</v>
      </c>
      <c r="D57" s="359" t="s">
        <v>106</v>
      </c>
      <c r="E57" s="380"/>
      <c r="F57" s="505"/>
      <c r="G57" s="505">
        <v>4.7586665340270056</v>
      </c>
      <c r="H57" s="505">
        <f>G57-F56</f>
        <v>3.7586665340270056</v>
      </c>
      <c r="I57" s="505"/>
      <c r="J57" s="505"/>
      <c r="K57" s="505">
        <v>1.9801808118689443</v>
      </c>
      <c r="L57" s="505">
        <f>K57-J57</f>
        <v>1.9801808118689443</v>
      </c>
      <c r="M57" s="505"/>
      <c r="N57" s="505"/>
      <c r="O57" s="505">
        <v>2.9588260588691395</v>
      </c>
      <c r="P57" s="505">
        <v>1</v>
      </c>
      <c r="Q57" s="505">
        <f>'F2.2'!Q42</f>
        <v>2.3461235855016986</v>
      </c>
      <c r="R57" s="505">
        <f>Q57-N57</f>
        <v>2.3461235855016986</v>
      </c>
      <c r="S57" s="808">
        <v>1</v>
      </c>
      <c r="T57" s="808">
        <v>1</v>
      </c>
      <c r="U57" s="808">
        <v>1</v>
      </c>
      <c r="V57" s="808">
        <v>1</v>
      </c>
      <c r="W57" s="808">
        <v>1</v>
      </c>
      <c r="X57" s="390"/>
    </row>
    <row r="58" spans="2:24" s="1341" customFormat="1" x14ac:dyDescent="0.25">
      <c r="B58" s="359"/>
      <c r="C58" s="374"/>
      <c r="D58" s="359"/>
      <c r="E58" s="359"/>
      <c r="F58" s="388"/>
      <c r="G58" s="388"/>
      <c r="H58" s="388"/>
      <c r="I58" s="388"/>
      <c r="J58" s="388"/>
      <c r="K58" s="388"/>
      <c r="L58" s="388"/>
      <c r="M58" s="389"/>
      <c r="N58" s="388"/>
      <c r="O58" s="388"/>
      <c r="P58" s="388"/>
      <c r="Q58" s="389"/>
      <c r="R58" s="389"/>
      <c r="S58" s="389"/>
      <c r="T58" s="389"/>
      <c r="U58" s="389"/>
      <c r="V58" s="389"/>
      <c r="W58" s="389"/>
      <c r="X58" s="390"/>
    </row>
    <row r="59" spans="2:24" s="1341" customFormat="1" x14ac:dyDescent="0.25">
      <c r="B59" s="387">
        <v>9</v>
      </c>
      <c r="C59" s="393" t="s">
        <v>143</v>
      </c>
      <c r="D59" s="359"/>
      <c r="E59" s="359"/>
      <c r="F59" s="388"/>
      <c r="G59" s="388"/>
      <c r="H59" s="388"/>
      <c r="I59" s="388"/>
      <c r="J59" s="388"/>
      <c r="K59" s="388"/>
      <c r="L59" s="388"/>
      <c r="M59" s="389"/>
      <c r="N59" s="388"/>
      <c r="O59" s="388"/>
      <c r="P59" s="388"/>
      <c r="Q59" s="389"/>
      <c r="R59" s="389"/>
      <c r="S59" s="389"/>
      <c r="T59" s="389"/>
      <c r="U59" s="389"/>
      <c r="V59" s="389"/>
      <c r="W59" s="389"/>
      <c r="X59" s="390"/>
    </row>
    <row r="60" spans="2:24" s="1341" customFormat="1" x14ac:dyDescent="0.25">
      <c r="B60" s="359">
        <f>B59+0.1</f>
        <v>9.1</v>
      </c>
      <c r="C60" s="374" t="s">
        <v>107</v>
      </c>
      <c r="D60" s="359" t="s">
        <v>99</v>
      </c>
      <c r="E60" s="391"/>
      <c r="F60" s="391">
        <f>'F2.2'!F43</f>
        <v>8.0000000000000002E-3</v>
      </c>
      <c r="G60" s="1351"/>
      <c r="H60" s="1354"/>
      <c r="I60" s="391">
        <v>8.0000000000000002E-3</v>
      </c>
      <c r="J60" s="391">
        <f>I60</f>
        <v>8.0000000000000002E-3</v>
      </c>
      <c r="K60" s="1351"/>
      <c r="L60" s="1354"/>
      <c r="M60" s="391"/>
      <c r="N60" s="391">
        <f>'F2.2'!N43</f>
        <v>0</v>
      </c>
      <c r="O60" s="1351"/>
      <c r="P60" s="1354"/>
      <c r="Q60" s="1354"/>
      <c r="R60" s="576"/>
      <c r="S60" s="808">
        <v>0</v>
      </c>
      <c r="T60" s="808">
        <v>0</v>
      </c>
      <c r="U60" s="808">
        <v>0</v>
      </c>
      <c r="V60" s="808">
        <v>0</v>
      </c>
      <c r="W60" s="808">
        <v>0</v>
      </c>
      <c r="X60" s="635"/>
    </row>
    <row r="61" spans="2:24" s="1341" customFormat="1" x14ac:dyDescent="0.25">
      <c r="B61" s="359">
        <f>B60+0.1</f>
        <v>9.1999999999999993</v>
      </c>
      <c r="C61" s="374" t="s">
        <v>319</v>
      </c>
      <c r="D61" s="359" t="s">
        <v>99</v>
      </c>
      <c r="E61" s="391"/>
      <c r="F61" s="1354"/>
      <c r="G61" s="532">
        <v>4.7561922950194596E-3</v>
      </c>
      <c r="H61" s="391">
        <f>G61-F60</f>
        <v>-3.2438077049805406E-3</v>
      </c>
      <c r="I61" s="391"/>
      <c r="J61" s="1354"/>
      <c r="K61" s="532">
        <v>4.1000000000000003E-3</v>
      </c>
      <c r="L61" s="391">
        <f>K61-J60</f>
        <v>-3.8999999999999998E-3</v>
      </c>
      <c r="M61" s="391"/>
      <c r="N61" s="1354"/>
      <c r="O61" s="532">
        <v>7.0176496438536795E-3</v>
      </c>
      <c r="P61" s="532">
        <v>8.0000000000000002E-3</v>
      </c>
      <c r="Q61" s="532">
        <v>7.5088248219268398E-3</v>
      </c>
      <c r="R61" s="576">
        <f>Q61-N60</f>
        <v>7.5088248219268398E-3</v>
      </c>
      <c r="S61" s="839">
        <v>8.0000000000000002E-3</v>
      </c>
      <c r="T61" s="839">
        <v>8.0000000000000002E-3</v>
      </c>
      <c r="U61" s="839">
        <v>8.0000000000000002E-3</v>
      </c>
      <c r="V61" s="839">
        <v>8.0000000000000002E-3</v>
      </c>
      <c r="W61" s="839">
        <v>8.0000000000000002E-3</v>
      </c>
      <c r="X61" s="635"/>
    </row>
    <row r="62" spans="2:24" s="1341" customFormat="1" x14ac:dyDescent="0.25">
      <c r="B62" s="1355"/>
      <c r="C62" s="1356"/>
      <c r="D62" s="1357"/>
      <c r="E62" s="1357"/>
      <c r="F62" s="1357"/>
      <c r="G62" s="1357"/>
      <c r="H62" s="1357"/>
      <c r="I62" s="1357"/>
      <c r="J62" s="1357"/>
      <c r="K62" s="1357"/>
      <c r="L62" s="1357"/>
      <c r="M62" s="1355"/>
      <c r="N62" s="1355"/>
      <c r="O62" s="1355"/>
      <c r="P62" s="1355"/>
      <c r="Q62" s="1355"/>
      <c r="R62" s="1355"/>
      <c r="S62" s="1355"/>
      <c r="T62" s="1355"/>
      <c r="U62" s="1355"/>
      <c r="V62" s="1355"/>
      <c r="W62" s="1355"/>
    </row>
    <row r="63" spans="2:24" s="1358" customFormat="1" ht="18.5" x14ac:dyDescent="0.35">
      <c r="B63" s="14" t="s">
        <v>1582</v>
      </c>
      <c r="C63" s="1"/>
      <c r="D63" s="1149"/>
      <c r="E63" s="1149"/>
      <c r="F63" s="1149"/>
      <c r="G63" s="1359"/>
      <c r="H63" s="1359"/>
      <c r="I63" s="1359"/>
      <c r="J63" s="1359"/>
      <c r="K63" s="1359"/>
      <c r="L63" s="1359"/>
      <c r="M63" s="1360"/>
      <c r="N63" s="1360"/>
      <c r="O63" s="1360"/>
      <c r="P63" s="1360"/>
      <c r="Q63" s="1360"/>
      <c r="R63" s="1360"/>
      <c r="S63" s="1360"/>
      <c r="T63" s="1360"/>
      <c r="U63" s="1360"/>
      <c r="V63" s="1360"/>
      <c r="W63" s="1360"/>
    </row>
    <row r="64" spans="2:24" ht="18.5" x14ac:dyDescent="0.35">
      <c r="B64" s="1"/>
      <c r="C64" s="1364" t="s">
        <v>1585</v>
      </c>
      <c r="D64" s="1149"/>
      <c r="E64" s="1149"/>
      <c r="F64" s="1149"/>
      <c r="M64" s="1360"/>
      <c r="N64" s="1360"/>
      <c r="O64" s="1360"/>
      <c r="P64" s="1360"/>
      <c r="Q64" s="1360"/>
      <c r="R64" s="1360"/>
      <c r="S64" s="1360"/>
      <c r="T64" s="1360"/>
      <c r="U64" s="1360"/>
      <c r="V64" s="1360"/>
      <c r="W64" s="1360"/>
    </row>
    <row r="65" spans="2:23" ht="18.5" x14ac:dyDescent="0.35">
      <c r="B65" s="1" t="s">
        <v>1586</v>
      </c>
      <c r="C65" s="1"/>
      <c r="D65" s="1149"/>
      <c r="E65" s="1149"/>
      <c r="F65" s="1149"/>
      <c r="M65" s="1360"/>
      <c r="N65" s="1360"/>
      <c r="O65" s="1360"/>
      <c r="P65" s="1360"/>
      <c r="Q65" s="1360"/>
      <c r="R65" s="1360"/>
      <c r="S65" s="1360"/>
      <c r="T65" s="1360"/>
      <c r="U65" s="1360"/>
      <c r="V65" s="1360"/>
      <c r="W65" s="1360"/>
    </row>
    <row r="66" spans="2:23" x14ac:dyDescent="0.35">
      <c r="B66" s="1"/>
      <c r="C66" s="1"/>
      <c r="D66" s="1149"/>
      <c r="E66" s="1149"/>
      <c r="F66" s="1149"/>
      <c r="M66" s="1362"/>
      <c r="N66" s="1362"/>
      <c r="O66" s="1362"/>
      <c r="P66" s="1362"/>
      <c r="Q66" s="1362"/>
      <c r="R66" s="1362"/>
      <c r="S66" s="1362"/>
      <c r="T66" s="1362"/>
      <c r="U66" s="1362"/>
      <c r="V66" s="1362"/>
      <c r="W66" s="1362"/>
    </row>
    <row r="67" spans="2:23" x14ac:dyDescent="0.35">
      <c r="P67" s="1363"/>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6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A206"/>
  <sheetViews>
    <sheetView showGridLines="0" view="pageBreakPreview" zoomScale="56" zoomScaleNormal="80" zoomScaleSheetLayoutView="56" workbookViewId="0">
      <pane xSplit="4" ySplit="8" topLeftCell="F148" activePane="bottomRight" state="frozen"/>
      <selection activeCell="D35" sqref="D35"/>
      <selection pane="topRight" activeCell="D35" sqref="D35"/>
      <selection pane="bottomLeft" activeCell="D35" sqref="D35"/>
      <selection pane="bottomRight" activeCell="N156" sqref="N156"/>
    </sheetView>
  </sheetViews>
  <sheetFormatPr defaultColWidth="9.36328125" defaultRowHeight="14" x14ac:dyDescent="0.3"/>
  <cols>
    <col min="1" max="1" width="10.36328125" style="5" bestFit="1" customWidth="1"/>
    <col min="2" max="2" width="10.453125" style="35" bestFit="1" customWidth="1"/>
    <col min="3" max="3" width="37.1796875" style="5" customWidth="1"/>
    <col min="4" max="4" width="13.1796875" style="50" bestFit="1" customWidth="1"/>
    <col min="5" max="5" width="16.453125" style="50" customWidth="1"/>
    <col min="6" max="6" width="15.1796875" style="50" customWidth="1"/>
    <col min="7" max="7" width="18" style="50" customWidth="1"/>
    <col min="8" max="8" width="14.6328125" style="50" bestFit="1" customWidth="1"/>
    <col min="9" max="9" width="14.6328125" style="50" customWidth="1"/>
    <col min="10" max="10" width="21.6328125" style="50" customWidth="1"/>
    <col min="11" max="11" width="20" style="50" customWidth="1"/>
    <col min="12" max="12" width="13.08984375" style="50" bestFit="1" customWidth="1"/>
    <col min="13" max="13" width="16.453125" style="5" customWidth="1"/>
    <col min="14" max="14" width="24.6328125" style="6" bestFit="1" customWidth="1"/>
    <col min="15" max="15" width="22.08984375" style="5" bestFit="1" customWidth="1"/>
    <col min="16" max="16" width="26.08984375" style="5" bestFit="1" customWidth="1"/>
    <col min="17" max="17" width="24.6328125" style="5" bestFit="1" customWidth="1"/>
    <col min="18" max="18" width="22.36328125" style="5" bestFit="1" customWidth="1"/>
    <col min="19" max="23" width="22.36328125" style="5" customWidth="1"/>
    <col min="24" max="24" width="11.453125" style="5" bestFit="1" customWidth="1"/>
    <col min="25" max="16384" width="9.36328125" style="5"/>
  </cols>
  <sheetData>
    <row r="2" spans="2:24" x14ac:dyDescent="0.3">
      <c r="B2" s="1657" t="str">
        <f>Index!B2</f>
        <v xml:space="preserve">      Maharashtra State Power Generation Company Ltd.</v>
      </c>
      <c r="C2" s="1657"/>
      <c r="D2" s="1657"/>
      <c r="E2" s="1657"/>
      <c r="F2" s="1657"/>
      <c r="G2" s="1657"/>
      <c r="H2" s="1657"/>
      <c r="I2" s="1657"/>
      <c r="J2" s="1657"/>
      <c r="K2" s="1657"/>
      <c r="L2" s="1657"/>
      <c r="M2" s="626"/>
      <c r="N2" s="1688" t="str">
        <f>B2</f>
        <v xml:space="preserve">      Maharashtra State Power Generation Company Ltd.</v>
      </c>
      <c r="O2" s="1688"/>
      <c r="P2" s="1688"/>
      <c r="Q2" s="1688"/>
      <c r="R2" s="1688"/>
      <c r="S2" s="1688"/>
      <c r="T2" s="1688"/>
      <c r="U2" s="1688"/>
      <c r="V2" s="1688"/>
      <c r="W2" s="1688"/>
      <c r="X2" s="1688"/>
    </row>
    <row r="3" spans="2:24" x14ac:dyDescent="0.3">
      <c r="B3" s="1657" t="str">
        <f>Index!B3</f>
        <v>MYT Petition Formats for Chandrapur Unit 3-7</v>
      </c>
      <c r="C3" s="1657"/>
      <c r="D3" s="1657"/>
      <c r="E3" s="1657"/>
      <c r="F3" s="1657"/>
      <c r="G3" s="1657"/>
      <c r="H3" s="1657"/>
      <c r="I3" s="1657"/>
      <c r="J3" s="1657"/>
      <c r="K3" s="1657"/>
      <c r="L3" s="1657"/>
      <c r="M3" s="626"/>
      <c r="N3" s="1688" t="str">
        <f>B3</f>
        <v>MYT Petition Formats for Chandrapur Unit 3-7</v>
      </c>
      <c r="O3" s="1688"/>
      <c r="P3" s="1688"/>
      <c r="Q3" s="1688"/>
      <c r="R3" s="1688"/>
      <c r="S3" s="1688"/>
      <c r="T3" s="1688"/>
      <c r="U3" s="1688"/>
      <c r="V3" s="1688"/>
      <c r="W3" s="1688"/>
      <c r="X3" s="1688"/>
    </row>
    <row r="4" spans="2:24" x14ac:dyDescent="0.3">
      <c r="B4" s="1657" t="s">
        <v>382</v>
      </c>
      <c r="C4" s="1657"/>
      <c r="D4" s="1657"/>
      <c r="E4" s="1657"/>
      <c r="F4" s="1657"/>
      <c r="G4" s="1657"/>
      <c r="H4" s="1657"/>
      <c r="I4" s="1657"/>
      <c r="J4" s="1657"/>
      <c r="K4" s="1657"/>
      <c r="L4" s="1657"/>
      <c r="M4" s="626"/>
      <c r="N4" s="1688" t="str">
        <f>B4</f>
        <v>Form 2.2: Energy Charges for Thermal Generation</v>
      </c>
      <c r="O4" s="1688"/>
      <c r="P4" s="1688"/>
      <c r="Q4" s="1688"/>
      <c r="R4" s="1688"/>
      <c r="S4" s="1688"/>
      <c r="T4" s="1688"/>
      <c r="U4" s="1688"/>
      <c r="V4" s="1688"/>
      <c r="W4" s="1688"/>
      <c r="X4" s="1688"/>
    </row>
    <row r="5" spans="2:24" s="14" customFormat="1" x14ac:dyDescent="0.3">
      <c r="B5" s="174"/>
      <c r="C5" s="8"/>
      <c r="D5" s="34"/>
      <c r="E5" s="34"/>
      <c r="F5" s="34"/>
      <c r="G5" s="34"/>
      <c r="H5" s="34"/>
      <c r="I5" s="34"/>
      <c r="J5" s="34"/>
      <c r="K5" s="34"/>
      <c r="L5" s="34"/>
      <c r="M5" s="16"/>
      <c r="N5" s="15"/>
      <c r="O5" s="16"/>
      <c r="P5" s="16"/>
      <c r="Q5" s="33"/>
      <c r="R5" s="33"/>
      <c r="S5" s="33"/>
      <c r="T5" s="33"/>
      <c r="U5" s="33"/>
      <c r="V5" s="33"/>
      <c r="W5" s="33"/>
    </row>
    <row r="6" spans="2:24" s="90" customFormat="1" ht="21" customHeight="1" x14ac:dyDescent="0.25">
      <c r="B6" s="1666" t="s">
        <v>340</v>
      </c>
      <c r="C6" s="1689" t="s">
        <v>37</v>
      </c>
      <c r="D6" s="1689" t="s">
        <v>94</v>
      </c>
      <c r="E6" s="1690" t="s">
        <v>506</v>
      </c>
      <c r="F6" s="1691"/>
      <c r="G6" s="1691"/>
      <c r="H6" s="1692"/>
      <c r="I6" s="1690" t="s">
        <v>507</v>
      </c>
      <c r="J6" s="1691"/>
      <c r="K6" s="1691"/>
      <c r="L6" s="1692"/>
      <c r="M6" s="1690" t="s">
        <v>508</v>
      </c>
      <c r="N6" s="1691"/>
      <c r="O6" s="1691"/>
      <c r="P6" s="1691"/>
      <c r="Q6" s="1691"/>
      <c r="R6" s="1692"/>
      <c r="S6" s="1677" t="s">
        <v>968</v>
      </c>
      <c r="T6" s="1677"/>
      <c r="U6" s="1677"/>
      <c r="V6" s="1677"/>
      <c r="W6" s="1677"/>
      <c r="X6" s="1666" t="s">
        <v>27</v>
      </c>
    </row>
    <row r="7" spans="2:24" s="90" customFormat="1" ht="43.5" customHeight="1" x14ac:dyDescent="0.25">
      <c r="B7" s="1689"/>
      <c r="C7" s="1689"/>
      <c r="D7" s="1689"/>
      <c r="E7" s="1332" t="s">
        <v>1577</v>
      </c>
      <c r="F7" s="1325" t="s">
        <v>914</v>
      </c>
      <c r="G7" s="301" t="s">
        <v>810</v>
      </c>
      <c r="H7" s="1325" t="s">
        <v>449</v>
      </c>
      <c r="I7" s="1332" t="s">
        <v>1577</v>
      </c>
      <c r="J7" s="1325" t="s">
        <v>914</v>
      </c>
      <c r="K7" s="1325" t="s">
        <v>79</v>
      </c>
      <c r="L7" s="1325" t="s">
        <v>449</v>
      </c>
      <c r="M7" s="1332" t="s">
        <v>1577</v>
      </c>
      <c r="N7" s="1325" t="s">
        <v>914</v>
      </c>
      <c r="O7" s="1325" t="s">
        <v>443</v>
      </c>
      <c r="P7" s="1325" t="s">
        <v>447</v>
      </c>
      <c r="Q7" s="1325" t="s">
        <v>80</v>
      </c>
      <c r="R7" s="1365" t="s">
        <v>450</v>
      </c>
      <c r="S7" s="1332" t="s">
        <v>969</v>
      </c>
      <c r="T7" s="1332" t="s">
        <v>970</v>
      </c>
      <c r="U7" s="1332" t="s">
        <v>971</v>
      </c>
      <c r="V7" s="1332" t="s">
        <v>972</v>
      </c>
      <c r="W7" s="1332" t="s">
        <v>973</v>
      </c>
      <c r="X7" s="1666"/>
    </row>
    <row r="8" spans="2:24" s="90" customFormat="1" ht="24" customHeight="1" x14ac:dyDescent="0.25">
      <c r="B8" s="1689"/>
      <c r="C8" s="1689"/>
      <c r="D8" s="1689"/>
      <c r="E8" s="1325" t="s">
        <v>81</v>
      </c>
      <c r="F8" s="1325" t="s">
        <v>82</v>
      </c>
      <c r="G8" s="1325" t="s">
        <v>1571</v>
      </c>
      <c r="H8" s="1325" t="s">
        <v>1572</v>
      </c>
      <c r="I8" s="1325" t="s">
        <v>409</v>
      </c>
      <c r="J8" s="1325" t="s">
        <v>1573</v>
      </c>
      <c r="K8" s="1325" t="s">
        <v>410</v>
      </c>
      <c r="L8" s="1325" t="s">
        <v>1574</v>
      </c>
      <c r="M8" s="1325" t="s">
        <v>501</v>
      </c>
      <c r="N8" s="1325" t="s">
        <v>652</v>
      </c>
      <c r="O8" s="1325" t="s">
        <v>1575</v>
      </c>
      <c r="P8" s="1325" t="s">
        <v>591</v>
      </c>
      <c r="Q8" s="1325" t="s">
        <v>675</v>
      </c>
      <c r="R8" s="1325" t="s">
        <v>676</v>
      </c>
      <c r="S8" s="1332" t="s">
        <v>21</v>
      </c>
      <c r="T8" s="1332" t="s">
        <v>21</v>
      </c>
      <c r="U8" s="1332" t="s">
        <v>21</v>
      </c>
      <c r="V8" s="1332" t="s">
        <v>21</v>
      </c>
      <c r="W8" s="1332" t="s">
        <v>21</v>
      </c>
      <c r="X8" s="1667"/>
    </row>
    <row r="9" spans="2:24" s="36" customFormat="1" x14ac:dyDescent="0.3">
      <c r="B9" s="175"/>
      <c r="C9" s="142"/>
      <c r="D9" s="142"/>
      <c r="E9" s="142"/>
      <c r="F9" s="142"/>
      <c r="G9" s="142"/>
      <c r="H9" s="142"/>
      <c r="I9" s="142"/>
      <c r="J9" s="142"/>
      <c r="K9" s="142"/>
      <c r="L9" s="142"/>
      <c r="M9" s="39"/>
      <c r="N9" s="39"/>
      <c r="O9" s="39"/>
      <c r="P9" s="39"/>
      <c r="Q9" s="39"/>
      <c r="R9" s="39"/>
      <c r="S9" s="39"/>
      <c r="T9" s="39"/>
      <c r="U9" s="39"/>
      <c r="V9" s="39"/>
      <c r="W9" s="39"/>
      <c r="X9" s="37"/>
    </row>
    <row r="10" spans="2:24" s="36" customFormat="1" ht="15.5" x14ac:dyDescent="0.3">
      <c r="B10" s="370">
        <v>1</v>
      </c>
      <c r="C10" s="371" t="s">
        <v>95</v>
      </c>
      <c r="D10" s="372"/>
      <c r="E10" s="372"/>
      <c r="F10" s="144"/>
      <c r="G10" s="144"/>
      <c r="H10" s="144"/>
      <c r="I10" s="144"/>
      <c r="J10" s="144"/>
      <c r="K10" s="144"/>
      <c r="L10" s="144"/>
      <c r="M10" s="37"/>
      <c r="N10" s="73"/>
      <c r="O10" s="37"/>
      <c r="P10" s="37"/>
      <c r="Q10" s="37"/>
      <c r="R10" s="37"/>
      <c r="S10" s="37"/>
      <c r="T10" s="37"/>
      <c r="U10" s="37"/>
      <c r="V10" s="37"/>
      <c r="W10" s="37"/>
      <c r="X10" s="37"/>
    </row>
    <row r="11" spans="2:24" s="36" customFormat="1" ht="15.5" x14ac:dyDescent="0.35">
      <c r="B11" s="373">
        <f>B10+0.1</f>
        <v>1.1000000000000001</v>
      </c>
      <c r="C11" s="374" t="s">
        <v>96</v>
      </c>
      <c r="D11" s="359" t="s">
        <v>97</v>
      </c>
      <c r="E11" s="1212">
        <f>F11</f>
        <v>1920</v>
      </c>
      <c r="F11" s="1311">
        <f>G11</f>
        <v>1920</v>
      </c>
      <c r="G11" s="1311">
        <v>1920</v>
      </c>
      <c r="H11" s="419">
        <f>G11-F11</f>
        <v>0</v>
      </c>
      <c r="I11" s="1212">
        <f>J11</f>
        <v>1920</v>
      </c>
      <c r="J11" s="1311">
        <f>K11</f>
        <v>1920</v>
      </c>
      <c r="K11" s="1311">
        <v>1920</v>
      </c>
      <c r="L11" s="419">
        <f>K11-J11</f>
        <v>0</v>
      </c>
      <c r="M11" s="1212">
        <f>N11</f>
        <v>1920</v>
      </c>
      <c r="N11" s="1311">
        <f>O11</f>
        <v>1920</v>
      </c>
      <c r="O11" s="1311">
        <v>1920</v>
      </c>
      <c r="P11" s="1311">
        <v>1920</v>
      </c>
      <c r="Q11" s="1312">
        <f>AVERAGE(O11:P11)</f>
        <v>1920</v>
      </c>
      <c r="R11" s="1313">
        <f t="shared" ref="R11:R41" si="0">Q11-N11</f>
        <v>0</v>
      </c>
      <c r="S11" s="1295">
        <v>1920</v>
      </c>
      <c r="T11" s="1295">
        <v>1920</v>
      </c>
      <c r="U11" s="1295">
        <v>1920</v>
      </c>
      <c r="V11" s="1295">
        <v>1920</v>
      </c>
      <c r="W11" s="1295">
        <v>1920</v>
      </c>
      <c r="X11" s="385"/>
    </row>
    <row r="12" spans="2:24" s="417" customFormat="1" ht="31" x14ac:dyDescent="0.35">
      <c r="B12" s="477">
        <f>B11+0.1</f>
        <v>1.2000000000000002</v>
      </c>
      <c r="C12" s="377" t="s">
        <v>98</v>
      </c>
      <c r="D12" s="388" t="s">
        <v>99</v>
      </c>
      <c r="E12" s="642">
        <f>'F2.1'!E15</f>
        <v>0.8</v>
      </c>
      <c r="F12" s="539">
        <v>0.8</v>
      </c>
      <c r="G12" s="539">
        <f>F12</f>
        <v>0.8</v>
      </c>
      <c r="H12" s="539">
        <f t="shared" ref="H12:H38" si="1">G12-F12</f>
        <v>0</v>
      </c>
      <c r="I12" s="455">
        <f>'F2.1'!G15</f>
        <v>0.8</v>
      </c>
      <c r="J12" s="539">
        <v>0.8</v>
      </c>
      <c r="K12" s="539">
        <f>J12</f>
        <v>0.8</v>
      </c>
      <c r="L12" s="539">
        <f t="shared" ref="L12:L38" si="2">K12-J12</f>
        <v>0</v>
      </c>
      <c r="M12" s="455">
        <f>'F2.1'!M15</f>
        <v>0.8</v>
      </c>
      <c r="N12" s="539">
        <v>0.8</v>
      </c>
      <c r="O12" s="540">
        <f>N12</f>
        <v>0.8</v>
      </c>
      <c r="P12" s="540">
        <f>O12</f>
        <v>0.8</v>
      </c>
      <c r="Q12" s="636">
        <v>0.8</v>
      </c>
      <c r="R12" s="541">
        <f t="shared" si="0"/>
        <v>0</v>
      </c>
      <c r="S12" s="1117">
        <f>'F2.1'!S15</f>
        <v>0.8</v>
      </c>
      <c r="T12" s="1117">
        <f>'F2.1'!T15</f>
        <v>0.8</v>
      </c>
      <c r="U12" s="1117">
        <f>'F2.1'!U15</f>
        <v>0.8</v>
      </c>
      <c r="V12" s="1117">
        <f>'F2.1'!V15</f>
        <v>0.8</v>
      </c>
      <c r="W12" s="1117">
        <f>'F2.1'!W15</f>
        <v>0.8</v>
      </c>
      <c r="X12" s="536"/>
    </row>
    <row r="13" spans="2:24" s="417" customFormat="1" ht="15.5" x14ac:dyDescent="0.35">
      <c r="B13" s="477">
        <v>1.3</v>
      </c>
      <c r="C13" s="377" t="s">
        <v>682</v>
      </c>
      <c r="D13" s="388" t="s">
        <v>99</v>
      </c>
      <c r="E13" s="639"/>
      <c r="F13" s="540">
        <f>G13</f>
        <v>0.52122000000000002</v>
      </c>
      <c r="G13" s="540">
        <f>'F2.1'!G16</f>
        <v>0.52122000000000002</v>
      </c>
      <c r="H13" s="540">
        <f t="shared" si="1"/>
        <v>0</v>
      </c>
      <c r="I13" s="639"/>
      <c r="J13" s="540">
        <f>K13</f>
        <v>0.57265999999999995</v>
      </c>
      <c r="K13" s="539">
        <v>0.57265999999999995</v>
      </c>
      <c r="L13" s="540">
        <f t="shared" si="2"/>
        <v>0</v>
      </c>
      <c r="M13" s="639"/>
      <c r="N13" s="540">
        <f>Q13</f>
        <v>0.69331642993305698</v>
      </c>
      <c r="O13" s="539">
        <v>0.67838023235166689</v>
      </c>
      <c r="P13" s="539">
        <v>0.7888177010200923</v>
      </c>
      <c r="Q13" s="538">
        <f>Q23/(Q11*8.76)</f>
        <v>0.69331642993305698</v>
      </c>
      <c r="R13" s="541">
        <f>'F2.1'!R16</f>
        <v>0</v>
      </c>
      <c r="S13" s="1117">
        <f>'F2.1'!S16</f>
        <v>0.85003451897966198</v>
      </c>
      <c r="T13" s="1117">
        <f>'F2.1'!T16</f>
        <v>0.84997984523353365</v>
      </c>
      <c r="U13" s="1117">
        <f>'F2.1'!U16</f>
        <v>0.84999496268122621</v>
      </c>
      <c r="V13" s="1117">
        <f>'F2.1'!V16</f>
        <v>0.84997700166097323</v>
      </c>
      <c r="W13" s="1117">
        <f>'F2.1'!W16</f>
        <v>0.85003409040956657</v>
      </c>
      <c r="X13" s="536"/>
    </row>
    <row r="14" spans="2:24" s="36" customFormat="1" ht="15.5" x14ac:dyDescent="0.35">
      <c r="B14" s="373" t="s">
        <v>683</v>
      </c>
      <c r="C14" s="375" t="s">
        <v>642</v>
      </c>
      <c r="D14" s="359"/>
      <c r="E14" s="639"/>
      <c r="F14" s="538"/>
      <c r="G14" s="538"/>
      <c r="H14" s="540"/>
      <c r="I14" s="639"/>
      <c r="J14" s="538"/>
      <c r="K14" s="538"/>
      <c r="L14" s="538"/>
      <c r="M14" s="639"/>
      <c r="N14" s="538"/>
      <c r="O14" s="538"/>
      <c r="P14" s="538"/>
      <c r="Q14" s="538"/>
      <c r="R14" s="541"/>
      <c r="S14" s="639"/>
      <c r="T14" s="639"/>
      <c r="U14" s="639"/>
      <c r="V14" s="639"/>
      <c r="W14" s="639"/>
      <c r="X14" s="385"/>
    </row>
    <row r="15" spans="2:24" s="36" customFormat="1" ht="15.5" x14ac:dyDescent="0.35">
      <c r="B15" s="373"/>
      <c r="C15" s="376" t="s">
        <v>643</v>
      </c>
      <c r="D15" s="359" t="s">
        <v>99</v>
      </c>
      <c r="E15" s="639"/>
      <c r="F15" s="538">
        <f>G15</f>
        <v>0.68162</v>
      </c>
      <c r="G15" s="538">
        <v>0.68162</v>
      </c>
      <c r="H15" s="540">
        <f t="shared" si="1"/>
        <v>0</v>
      </c>
      <c r="I15" s="639"/>
      <c r="J15" s="538"/>
      <c r="K15" s="538">
        <v>0.75631000000000004</v>
      </c>
      <c r="L15" s="538">
        <f t="shared" si="2"/>
        <v>0.75631000000000004</v>
      </c>
      <c r="M15" s="639"/>
      <c r="N15" s="538"/>
      <c r="O15" s="538">
        <v>0.77986</v>
      </c>
      <c r="P15" s="538">
        <v>0.8</v>
      </c>
      <c r="Q15" s="538">
        <f>O15+P15</f>
        <v>1.57986</v>
      </c>
      <c r="R15" s="541"/>
      <c r="S15" s="639"/>
      <c r="T15" s="639"/>
      <c r="U15" s="639"/>
      <c r="V15" s="639"/>
      <c r="W15" s="639"/>
      <c r="X15" s="385"/>
    </row>
    <row r="16" spans="2:24" s="36" customFormat="1" ht="15.5" x14ac:dyDescent="0.35">
      <c r="B16" s="373"/>
      <c r="C16" s="376" t="s">
        <v>644</v>
      </c>
      <c r="D16" s="359" t="s">
        <v>99</v>
      </c>
      <c r="E16" s="639"/>
      <c r="F16" s="538">
        <f t="shared" ref="F16:F19" si="3">G16</f>
        <v>0.68098999999999998</v>
      </c>
      <c r="G16" s="538">
        <v>0.68098999999999998</v>
      </c>
      <c r="H16" s="540">
        <f t="shared" si="1"/>
        <v>0</v>
      </c>
      <c r="I16" s="639"/>
      <c r="J16" s="538"/>
      <c r="K16" s="538">
        <v>0.74977000000000005</v>
      </c>
      <c r="L16" s="538">
        <f t="shared" si="2"/>
        <v>0.74977000000000005</v>
      </c>
      <c r="M16" s="639"/>
      <c r="N16" s="538"/>
      <c r="O16" s="538">
        <v>0.75113999999999992</v>
      </c>
      <c r="P16" s="538">
        <v>0.8</v>
      </c>
      <c r="Q16" s="538">
        <f t="shared" ref="Q16:Q31" si="4">O16+P16</f>
        <v>1.55114</v>
      </c>
      <c r="R16" s="541"/>
      <c r="S16" s="639"/>
      <c r="T16" s="639"/>
      <c r="U16" s="639"/>
      <c r="V16" s="639"/>
      <c r="W16" s="639"/>
      <c r="X16" s="385"/>
    </row>
    <row r="17" spans="2:24" s="36" customFormat="1" ht="15.5" x14ac:dyDescent="0.35">
      <c r="B17" s="373" t="s">
        <v>684</v>
      </c>
      <c r="C17" s="375" t="s">
        <v>645</v>
      </c>
      <c r="D17" s="359"/>
      <c r="E17" s="639"/>
      <c r="F17" s="538"/>
      <c r="G17" s="538"/>
      <c r="H17" s="540"/>
      <c r="I17" s="639"/>
      <c r="J17" s="538"/>
      <c r="K17" s="538"/>
      <c r="L17" s="538"/>
      <c r="M17" s="639"/>
      <c r="N17" s="538"/>
      <c r="O17" s="538"/>
      <c r="P17" s="538"/>
      <c r="Q17" s="538"/>
      <c r="R17" s="541"/>
      <c r="S17" s="639"/>
      <c r="T17" s="639"/>
      <c r="U17" s="639"/>
      <c r="V17" s="639"/>
      <c r="W17" s="639"/>
      <c r="X17" s="385"/>
    </row>
    <row r="18" spans="2:24" s="36" customFormat="1" ht="15.5" x14ac:dyDescent="0.35">
      <c r="B18" s="373"/>
      <c r="C18" s="376" t="s">
        <v>643</v>
      </c>
      <c r="D18" s="359" t="s">
        <v>99</v>
      </c>
      <c r="E18" s="639"/>
      <c r="F18" s="538">
        <f t="shared" si="3"/>
        <v>0.46498</v>
      </c>
      <c r="G18" s="538">
        <v>0.46498</v>
      </c>
      <c r="H18" s="540">
        <f t="shared" si="1"/>
        <v>0</v>
      </c>
      <c r="I18" s="639"/>
      <c r="J18" s="538"/>
      <c r="K18" s="538">
        <v>0.51034000000000002</v>
      </c>
      <c r="L18" s="538">
        <f t="shared" si="2"/>
        <v>0.51034000000000002</v>
      </c>
      <c r="M18" s="639"/>
      <c r="N18" s="538"/>
      <c r="O18" s="538">
        <v>0.65681999999999996</v>
      </c>
      <c r="P18" s="538">
        <v>0.8</v>
      </c>
      <c r="Q18" s="538">
        <f t="shared" si="4"/>
        <v>1.45682</v>
      </c>
      <c r="R18" s="541"/>
      <c r="S18" s="639"/>
      <c r="T18" s="639"/>
      <c r="U18" s="639"/>
      <c r="V18" s="639"/>
      <c r="W18" s="639"/>
      <c r="X18" s="385"/>
    </row>
    <row r="19" spans="2:24" s="36" customFormat="1" ht="15.5" x14ac:dyDescent="0.35">
      <c r="B19" s="373"/>
      <c r="C19" s="376" t="s">
        <v>644</v>
      </c>
      <c r="D19" s="359" t="s">
        <v>99</v>
      </c>
      <c r="E19" s="639"/>
      <c r="F19" s="538">
        <f t="shared" si="3"/>
        <v>0.46876000000000001</v>
      </c>
      <c r="G19" s="538">
        <v>0.46876000000000001</v>
      </c>
      <c r="H19" s="540">
        <f t="shared" si="1"/>
        <v>0</v>
      </c>
      <c r="I19" s="639"/>
      <c r="J19" s="538"/>
      <c r="K19" s="538">
        <v>0.51332</v>
      </c>
      <c r="L19" s="538">
        <f t="shared" si="2"/>
        <v>0.51332</v>
      </c>
      <c r="M19" s="639"/>
      <c r="N19" s="538"/>
      <c r="O19" s="538">
        <v>0.6361699999999999</v>
      </c>
      <c r="P19" s="538">
        <v>0.8</v>
      </c>
      <c r="Q19" s="538">
        <f t="shared" si="4"/>
        <v>1.4361699999999999</v>
      </c>
      <c r="R19" s="541"/>
      <c r="S19" s="639"/>
      <c r="T19" s="639"/>
      <c r="U19" s="639"/>
      <c r="V19" s="639"/>
      <c r="W19" s="639"/>
      <c r="X19" s="385"/>
    </row>
    <row r="20" spans="2:24" s="417" customFormat="1" ht="15.5" x14ac:dyDescent="0.35">
      <c r="B20" s="477">
        <v>1.4</v>
      </c>
      <c r="C20" s="377" t="s">
        <v>100</v>
      </c>
      <c r="D20" s="388" t="s">
        <v>99</v>
      </c>
      <c r="E20" s="796">
        <f>F20</f>
        <v>0.85</v>
      </c>
      <c r="F20" s="538">
        <v>0.85</v>
      </c>
      <c r="G20" s="636">
        <v>0.85</v>
      </c>
      <c r="H20" s="636">
        <f>G20-F20</f>
        <v>0</v>
      </c>
      <c r="I20" s="640">
        <f>'F2.1'!I25</f>
        <v>0.85</v>
      </c>
      <c r="J20" s="538">
        <v>0.85</v>
      </c>
      <c r="K20" s="636">
        <v>0.85</v>
      </c>
      <c r="L20" s="636">
        <f>K20-J20</f>
        <v>0</v>
      </c>
      <c r="M20" s="640">
        <f>'F2.1'!M25</f>
        <v>0.85</v>
      </c>
      <c r="N20" s="636"/>
      <c r="O20" s="636">
        <f>'F2.1'!O25</f>
        <v>0.85</v>
      </c>
      <c r="P20" s="636">
        <v>0.85</v>
      </c>
      <c r="Q20" s="636">
        <v>0.85</v>
      </c>
      <c r="R20" s="637">
        <f t="shared" si="0"/>
        <v>0.85</v>
      </c>
      <c r="S20" s="1119">
        <f>'F2.1'!S25</f>
        <v>0.85</v>
      </c>
      <c r="T20" s="1119">
        <f>'F2.1'!T25</f>
        <v>0.85</v>
      </c>
      <c r="U20" s="1119">
        <f>'F2.1'!U25</f>
        <v>0.85</v>
      </c>
      <c r="V20" s="1119">
        <f>'F2.1'!V25</f>
        <v>0.85</v>
      </c>
      <c r="W20" s="1119">
        <f>'F2.1'!W25</f>
        <v>0.85</v>
      </c>
      <c r="X20" s="638"/>
    </row>
    <row r="21" spans="2:24" s="417" customFormat="1" ht="15.5" x14ac:dyDescent="0.35">
      <c r="B21" s="477">
        <v>1.5</v>
      </c>
      <c r="C21" s="377" t="s">
        <v>685</v>
      </c>
      <c r="D21" s="388" t="s">
        <v>99</v>
      </c>
      <c r="E21" s="796">
        <v>0.67538500000000001</v>
      </c>
      <c r="F21" s="636">
        <f>G21</f>
        <v>0.48281000000000002</v>
      </c>
      <c r="G21" s="636">
        <v>0.48281000000000002</v>
      </c>
      <c r="H21" s="636">
        <f t="shared" si="1"/>
        <v>0</v>
      </c>
      <c r="I21" s="651"/>
      <c r="J21" s="636">
        <f>K21</f>
        <v>0.52266999999999997</v>
      </c>
      <c r="K21" s="636">
        <v>0.52266999999999997</v>
      </c>
      <c r="L21" s="636">
        <f t="shared" si="2"/>
        <v>0</v>
      </c>
      <c r="M21" s="651"/>
      <c r="N21" s="636">
        <f>Q21</f>
        <v>0.69331642993305698</v>
      </c>
      <c r="O21" s="636">
        <v>0.58516955298318984</v>
      </c>
      <c r="P21" s="636">
        <v>0.7888177010200923</v>
      </c>
      <c r="Q21" s="634">
        <f>Q13</f>
        <v>0.69331642993305698</v>
      </c>
      <c r="R21" s="637">
        <f t="shared" si="0"/>
        <v>0</v>
      </c>
      <c r="S21" s="1119">
        <f>'F2.1'!S26</f>
        <v>0.80005781127730446</v>
      </c>
      <c r="T21" s="1119">
        <f>'F2.1'!T26</f>
        <v>0.80001869445855067</v>
      </c>
      <c r="U21" s="1119">
        <f>'F2.1'!U26</f>
        <v>0.80002580660741485</v>
      </c>
      <c r="V21" s="1119">
        <f>'F2.1'!V26</f>
        <v>0.79996790163800213</v>
      </c>
      <c r="W21" s="1119">
        <f>'F2.1'!W26</f>
        <v>0.80000846823077865</v>
      </c>
      <c r="X21" s="638"/>
    </row>
    <row r="22" spans="2:24" s="36" customFormat="1" ht="15.5" x14ac:dyDescent="0.35">
      <c r="B22" s="373">
        <v>1.6</v>
      </c>
      <c r="C22" s="377" t="s">
        <v>678</v>
      </c>
      <c r="D22" s="359" t="s">
        <v>99</v>
      </c>
      <c r="E22" s="639"/>
      <c r="F22" s="538"/>
      <c r="G22" s="538"/>
      <c r="H22" s="540">
        <f t="shared" si="1"/>
        <v>0</v>
      </c>
      <c r="I22" s="639"/>
      <c r="J22" s="540"/>
      <c r="K22" s="538"/>
      <c r="L22" s="540">
        <f t="shared" si="2"/>
        <v>0</v>
      </c>
      <c r="M22" s="639"/>
      <c r="N22" s="540"/>
      <c r="O22" s="538"/>
      <c r="P22" s="538"/>
      <c r="Q22" s="541"/>
      <c r="R22" s="540"/>
      <c r="S22" s="1118"/>
      <c r="T22" s="1118"/>
      <c r="U22" s="1118"/>
      <c r="V22" s="1118"/>
      <c r="W22" s="1118"/>
      <c r="X22" s="385"/>
    </row>
    <row r="23" spans="2:24" s="36" customFormat="1" ht="31" x14ac:dyDescent="0.35">
      <c r="B23" s="373">
        <v>1.7</v>
      </c>
      <c r="C23" s="378" t="s">
        <v>686</v>
      </c>
      <c r="D23" s="359" t="s">
        <v>101</v>
      </c>
      <c r="E23" s="641">
        <v>11587.311668317452</v>
      </c>
      <c r="F23" s="543">
        <f>G23</f>
        <v>8413.7729999999992</v>
      </c>
      <c r="G23" s="543">
        <v>8413.7729999999992</v>
      </c>
      <c r="H23" s="543">
        <f t="shared" si="1"/>
        <v>0</v>
      </c>
      <c r="I23" s="641"/>
      <c r="J23" s="543">
        <f>'F2.1'!$J$30</f>
        <v>9039.1190000000006</v>
      </c>
      <c r="K23" s="543">
        <v>9039.1190000000006</v>
      </c>
      <c r="L23" s="543">
        <f t="shared" si="2"/>
        <v>0</v>
      </c>
      <c r="M23" s="641"/>
      <c r="N23" s="543">
        <f>Q23</f>
        <v>11661.027698330072</v>
      </c>
      <c r="O23" s="543">
        <v>5009.2120000000004</v>
      </c>
      <c r="P23" s="543">
        <v>6651.8156983300705</v>
      </c>
      <c r="Q23" s="548">
        <f t="shared" si="4"/>
        <v>11661.027698330072</v>
      </c>
      <c r="R23" s="543">
        <f t="shared" si="0"/>
        <v>0</v>
      </c>
      <c r="S23" s="1120">
        <f>S113/S40</f>
        <v>13456.332339435239</v>
      </c>
      <c r="T23" s="1120">
        <f>T113/T40</f>
        <v>13455.674425837255</v>
      </c>
      <c r="U23" s="1120">
        <f t="shared" ref="U23:W23" si="5">U113/U40</f>
        <v>13455.794046491432</v>
      </c>
      <c r="V23" s="1120">
        <f t="shared" si="5"/>
        <v>13454.820131229886</v>
      </c>
      <c r="W23" s="1120">
        <f t="shared" si="5"/>
        <v>13455.502428867112</v>
      </c>
      <c r="X23" s="390"/>
    </row>
    <row r="24" spans="2:24" s="36" customFormat="1" ht="15.5" x14ac:dyDescent="0.35">
      <c r="B24" s="373">
        <v>1.8</v>
      </c>
      <c r="C24" s="374" t="s">
        <v>691</v>
      </c>
      <c r="D24" s="359" t="s">
        <v>101</v>
      </c>
      <c r="E24" s="641"/>
      <c r="F24" s="525">
        <v>13455.36</v>
      </c>
      <c r="G24" s="548"/>
      <c r="H24" s="548"/>
      <c r="I24" s="641"/>
      <c r="J24" s="548">
        <v>13492.224</v>
      </c>
      <c r="K24" s="548"/>
      <c r="L24" s="543"/>
      <c r="M24" s="641"/>
      <c r="N24" s="543">
        <f>N38/(1-N29)</f>
        <v>0</v>
      </c>
      <c r="O24" s="543">
        <f>O38/(1-O29)</f>
        <v>0</v>
      </c>
      <c r="P24" s="543">
        <f>P38/(1-P29)</f>
        <v>0</v>
      </c>
      <c r="Q24" s="548">
        <f t="shared" si="4"/>
        <v>0</v>
      </c>
      <c r="R24" s="543">
        <f t="shared" si="0"/>
        <v>0</v>
      </c>
      <c r="S24" s="808"/>
      <c r="T24" s="808"/>
      <c r="U24" s="808"/>
      <c r="V24" s="808"/>
      <c r="W24" s="808"/>
      <c r="X24" s="385"/>
    </row>
    <row r="25" spans="2:24" s="36" customFormat="1" ht="31" x14ac:dyDescent="0.35">
      <c r="B25" s="379">
        <v>1.9</v>
      </c>
      <c r="C25" s="378" t="s">
        <v>989</v>
      </c>
      <c r="D25" s="359" t="s">
        <v>99</v>
      </c>
      <c r="E25" s="642">
        <f>'F2.1'!E34</f>
        <v>7.8E-2</v>
      </c>
      <c r="F25" s="642">
        <f>'F2.1'!F34</f>
        <v>9.3399999999999997E-2</v>
      </c>
      <c r="G25" s="750"/>
      <c r="H25" s="750"/>
      <c r="I25" s="642">
        <f>'F2.1'!I34</f>
        <v>7.8E-2</v>
      </c>
      <c r="J25" s="642">
        <f>'F2.1'!J34</f>
        <v>9.3399999999999997E-2</v>
      </c>
      <c r="K25" s="750"/>
      <c r="L25" s="750"/>
      <c r="M25" s="642">
        <f>'F2.1'!M34</f>
        <v>7.8E-2</v>
      </c>
      <c r="N25" s="642">
        <f>'F2.1'!N34</f>
        <v>9.3399999999999997E-2</v>
      </c>
      <c r="O25" s="750"/>
      <c r="P25" s="750"/>
      <c r="Q25" s="750"/>
      <c r="R25" s="750"/>
      <c r="S25" s="839">
        <v>9.3399999999999997E-2</v>
      </c>
      <c r="T25" s="839">
        <v>9.3399999999999997E-2</v>
      </c>
      <c r="U25" s="839">
        <v>9.3399999999999997E-2</v>
      </c>
      <c r="V25" s="839">
        <v>9.3399999999999997E-2</v>
      </c>
      <c r="W25" s="839">
        <v>9.3399999999999997E-2</v>
      </c>
      <c r="X25" s="385"/>
    </row>
    <row r="26" spans="2:24" s="36" customFormat="1" ht="31" x14ac:dyDescent="0.25">
      <c r="B26" s="380">
        <v>1.1000000000000001</v>
      </c>
      <c r="C26" s="378" t="s">
        <v>687</v>
      </c>
      <c r="D26" s="359" t="s">
        <v>99</v>
      </c>
      <c r="E26" s="643"/>
      <c r="F26" s="545"/>
      <c r="G26" s="749"/>
      <c r="H26" s="749"/>
      <c r="I26" s="643"/>
      <c r="J26" s="545"/>
      <c r="K26" s="749"/>
      <c r="L26" s="749"/>
      <c r="M26" s="643"/>
      <c r="N26" s="545"/>
      <c r="O26" s="749"/>
      <c r="P26" s="749"/>
      <c r="Q26" s="749"/>
      <c r="R26" s="749"/>
      <c r="S26" s="839">
        <v>0</v>
      </c>
      <c r="T26" s="839">
        <v>0</v>
      </c>
      <c r="U26" s="839">
        <v>0.01</v>
      </c>
      <c r="V26" s="839">
        <v>0.01</v>
      </c>
      <c r="W26" s="839">
        <v>0.01</v>
      </c>
      <c r="X26" s="385"/>
    </row>
    <row r="27" spans="2:24" s="36" customFormat="1" ht="31" x14ac:dyDescent="0.25">
      <c r="B27" s="380">
        <f>B26+0.01</f>
        <v>1.1100000000000001</v>
      </c>
      <c r="C27" s="378" t="s">
        <v>990</v>
      </c>
      <c r="D27" s="359" t="s">
        <v>99</v>
      </c>
      <c r="E27" s="643"/>
      <c r="F27" s="545"/>
      <c r="G27" s="749"/>
      <c r="H27" s="749"/>
      <c r="I27" s="643"/>
      <c r="J27" s="545"/>
      <c r="K27" s="749"/>
      <c r="L27" s="749"/>
      <c r="M27" s="643"/>
      <c r="N27" s="545"/>
      <c r="O27" s="749"/>
      <c r="P27" s="749"/>
      <c r="Q27" s="749"/>
      <c r="R27" s="749"/>
      <c r="S27" s="839">
        <v>4.3750000000000001E-4</v>
      </c>
      <c r="T27" s="839">
        <v>4.3750000000000001E-4</v>
      </c>
      <c r="U27" s="839">
        <v>2E-3</v>
      </c>
      <c r="V27" s="839">
        <v>2E-3</v>
      </c>
      <c r="W27" s="839">
        <v>2E-3</v>
      </c>
      <c r="X27" s="385"/>
    </row>
    <row r="28" spans="2:24" s="36" customFormat="1" ht="15.5" x14ac:dyDescent="0.25">
      <c r="B28" s="380">
        <f>B27+0.01</f>
        <v>1.1200000000000001</v>
      </c>
      <c r="C28" s="378" t="s">
        <v>994</v>
      </c>
      <c r="D28" s="359" t="s">
        <v>99</v>
      </c>
      <c r="E28" s="544">
        <f>SUM(E25:E27)</f>
        <v>7.8E-2</v>
      </c>
      <c r="F28" s="544">
        <f>SUM(F25:F27)</f>
        <v>9.3399999999999997E-2</v>
      </c>
      <c r="G28" s="749"/>
      <c r="H28" s="749"/>
      <c r="I28" s="839">
        <f>SUM(I25:I27)</f>
        <v>7.8E-2</v>
      </c>
      <c r="J28" s="544">
        <f>SUM(J25:J27)</f>
        <v>9.3399999999999997E-2</v>
      </c>
      <c r="K28" s="749"/>
      <c r="L28" s="749"/>
      <c r="M28" s="839">
        <f>SUM(M25:M27)</f>
        <v>7.8E-2</v>
      </c>
      <c r="N28" s="544">
        <f>SUM(N25:N27)</f>
        <v>9.3399999999999997E-2</v>
      </c>
      <c r="O28" s="749"/>
      <c r="P28" s="749"/>
      <c r="Q28" s="749"/>
      <c r="R28" s="749"/>
      <c r="S28" s="544">
        <f t="shared" ref="S28" si="6">SUM(S25:S27)</f>
        <v>9.383749999999999E-2</v>
      </c>
      <c r="T28" s="544">
        <f t="shared" ref="T28" si="7">SUM(T25:T27)</f>
        <v>9.383749999999999E-2</v>
      </c>
      <c r="U28" s="544">
        <f t="shared" ref="U28" si="8">SUM(U25:U27)</f>
        <v>0.10539999999999999</v>
      </c>
      <c r="V28" s="544">
        <f t="shared" ref="V28" si="9">SUM(V25:V27)</f>
        <v>0.10539999999999999</v>
      </c>
      <c r="W28" s="544">
        <f t="shared" ref="W28" si="10">SUM(W25:W27)</f>
        <v>0.10539999999999999</v>
      </c>
      <c r="X28" s="385"/>
    </row>
    <row r="29" spans="2:24" s="417" customFormat="1" ht="31" x14ac:dyDescent="0.25">
      <c r="B29" s="388">
        <v>1.1100000000000001</v>
      </c>
      <c r="C29" s="416" t="s">
        <v>995</v>
      </c>
      <c r="D29" s="388" t="s">
        <v>99</v>
      </c>
      <c r="E29" s="749"/>
      <c r="F29" s="749"/>
      <c r="G29" s="544">
        <v>0.11088632924848342</v>
      </c>
      <c r="H29" s="544">
        <f>G29-F25</f>
        <v>1.7486329248483423E-2</v>
      </c>
      <c r="I29" s="840"/>
      <c r="J29" s="749"/>
      <c r="K29" s="544">
        <v>0.10504169239280951</v>
      </c>
      <c r="L29" s="544">
        <f>K29-J25</f>
        <v>1.1641692392809516E-2</v>
      </c>
      <c r="M29" s="840"/>
      <c r="N29" s="749"/>
      <c r="O29" s="544">
        <v>0.10509511673692389</v>
      </c>
      <c r="P29" s="544">
        <v>9.3399999999999997E-2</v>
      </c>
      <c r="Q29" s="546">
        <f>Q33/Q23</f>
        <v>9.8423855582504979E-2</v>
      </c>
      <c r="R29" s="544">
        <f t="shared" si="0"/>
        <v>9.8423855582504979E-2</v>
      </c>
      <c r="S29" s="839">
        <v>9.3399999999999997E-2</v>
      </c>
      <c r="T29" s="839">
        <v>9.3399999999999997E-2</v>
      </c>
      <c r="U29" s="839">
        <v>9.3399999999999997E-2</v>
      </c>
      <c r="V29" s="839">
        <v>9.3399999999999997E-2</v>
      </c>
      <c r="W29" s="839">
        <v>9.3399999999999997E-2</v>
      </c>
      <c r="X29" s="390"/>
    </row>
    <row r="30" spans="2:24" s="36" customFormat="1" ht="31" x14ac:dyDescent="0.25">
      <c r="B30" s="359">
        <v>1.1200000000000001</v>
      </c>
      <c r="C30" s="378" t="s">
        <v>688</v>
      </c>
      <c r="D30" s="359" t="s">
        <v>99</v>
      </c>
      <c r="E30" s="749"/>
      <c r="F30" s="749"/>
      <c r="G30" s="544"/>
      <c r="H30" s="544">
        <f t="shared" si="1"/>
        <v>0</v>
      </c>
      <c r="I30" s="840"/>
      <c r="J30" s="749"/>
      <c r="K30" s="544"/>
      <c r="L30" s="544">
        <f t="shared" si="2"/>
        <v>0</v>
      </c>
      <c r="M30" s="840"/>
      <c r="N30" s="749"/>
      <c r="O30" s="544"/>
      <c r="P30" s="544"/>
      <c r="Q30" s="544">
        <f t="shared" si="4"/>
        <v>0</v>
      </c>
      <c r="R30" s="544">
        <f t="shared" si="0"/>
        <v>0</v>
      </c>
      <c r="S30" s="839">
        <v>0</v>
      </c>
      <c r="T30" s="839">
        <v>0</v>
      </c>
      <c r="U30" s="839">
        <v>0.01</v>
      </c>
      <c r="V30" s="839">
        <v>0.01</v>
      </c>
      <c r="W30" s="839">
        <v>0.01</v>
      </c>
      <c r="X30" s="385"/>
    </row>
    <row r="31" spans="2:24" s="36" customFormat="1" ht="31" x14ac:dyDescent="0.25">
      <c r="B31" s="359"/>
      <c r="C31" s="378" t="s">
        <v>992</v>
      </c>
      <c r="D31" s="359" t="s">
        <v>99</v>
      </c>
      <c r="E31" s="749"/>
      <c r="F31" s="749"/>
      <c r="G31" s="544"/>
      <c r="H31" s="544">
        <f t="shared" si="1"/>
        <v>0</v>
      </c>
      <c r="I31" s="840"/>
      <c r="J31" s="749"/>
      <c r="K31" s="544"/>
      <c r="L31" s="544">
        <f t="shared" si="2"/>
        <v>0</v>
      </c>
      <c r="M31" s="840"/>
      <c r="N31" s="749"/>
      <c r="O31" s="544"/>
      <c r="P31" s="544"/>
      <c r="Q31" s="544">
        <f t="shared" si="4"/>
        <v>0</v>
      </c>
      <c r="R31" s="544">
        <f t="shared" si="0"/>
        <v>0</v>
      </c>
      <c r="S31" s="839">
        <v>4.3750000000000001E-4</v>
      </c>
      <c r="T31" s="839">
        <v>4.3750000000000001E-4</v>
      </c>
      <c r="U31" s="839">
        <v>2E-3</v>
      </c>
      <c r="V31" s="839">
        <v>2E-3</v>
      </c>
      <c r="W31" s="839">
        <v>2E-3</v>
      </c>
      <c r="X31" s="385"/>
    </row>
    <row r="32" spans="2:24" s="36" customFormat="1" ht="31" x14ac:dyDescent="0.25">
      <c r="B32" s="359"/>
      <c r="C32" s="378" t="s">
        <v>993</v>
      </c>
      <c r="D32" s="359" t="s">
        <v>99</v>
      </c>
      <c r="E32" s="749"/>
      <c r="F32" s="749"/>
      <c r="G32" s="544">
        <f>SUM(G29:G31)</f>
        <v>0.11088632924848342</v>
      </c>
      <c r="H32" s="544">
        <f>SUM(H29:H31)</f>
        <v>1.7486329248483423E-2</v>
      </c>
      <c r="I32" s="840"/>
      <c r="J32" s="749"/>
      <c r="K32" s="544">
        <f>SUM(K29:K31)</f>
        <v>0.10504169239280951</v>
      </c>
      <c r="L32" s="544">
        <f>SUM(L29:L31)</f>
        <v>1.1641692392809516E-2</v>
      </c>
      <c r="M32" s="840"/>
      <c r="N32" s="749"/>
      <c r="O32" s="544">
        <f>SUM(O29:O31)</f>
        <v>0.10509511673692389</v>
      </c>
      <c r="P32" s="544">
        <f>SUM(P29:P31)</f>
        <v>9.3399999999999997E-2</v>
      </c>
      <c r="Q32" s="544">
        <f>SUM(Q29:Q31)</f>
        <v>9.8423855582504979E-2</v>
      </c>
      <c r="R32" s="544">
        <f>SUM(R29:R31)</f>
        <v>9.8423855582504979E-2</v>
      </c>
      <c r="S32" s="544">
        <f>SUM(S29:S31)</f>
        <v>9.383749999999999E-2</v>
      </c>
      <c r="T32" s="544">
        <f t="shared" ref="T32:W32" si="11">SUM(T29:T31)</f>
        <v>9.383749999999999E-2</v>
      </c>
      <c r="U32" s="544">
        <f t="shared" si="11"/>
        <v>0.10539999999999999</v>
      </c>
      <c r="V32" s="544">
        <f t="shared" si="11"/>
        <v>0.10539999999999999</v>
      </c>
      <c r="W32" s="544">
        <f t="shared" si="11"/>
        <v>0.10539999999999999</v>
      </c>
      <c r="X32" s="385"/>
    </row>
    <row r="33" spans="2:24" ht="31" x14ac:dyDescent="0.3">
      <c r="B33" s="38"/>
      <c r="C33" s="416" t="s">
        <v>995</v>
      </c>
      <c r="D33" s="359" t="s">
        <v>101</v>
      </c>
      <c r="E33" s="543">
        <f>E$23*E25</f>
        <v>903.81031012876122</v>
      </c>
      <c r="F33" s="543">
        <f>F$23*F25</f>
        <v>785.84639819999995</v>
      </c>
      <c r="G33" s="543">
        <f>G$23*G29</f>
        <v>932.97240309999995</v>
      </c>
      <c r="H33" s="543">
        <f t="shared" ref="H33" si="12">G33-F33</f>
        <v>147.1260049</v>
      </c>
      <c r="I33" s="808">
        <f t="shared" ref="I33:I35" si="13">I$23*I25</f>
        <v>0</v>
      </c>
      <c r="J33" s="543">
        <f t="shared" ref="J33:J35" si="14">J$23*J25</f>
        <v>844.25371460000008</v>
      </c>
      <c r="K33" s="543">
        <f>K$23*K29</f>
        <v>949.48435749999999</v>
      </c>
      <c r="L33" s="543">
        <f t="shared" ref="L33:L35" si="15">K33-J33</f>
        <v>105.23064289999991</v>
      </c>
      <c r="M33" s="808">
        <f t="shared" ref="M33:M35" si="16">M$23*M25</f>
        <v>0</v>
      </c>
      <c r="N33" s="543">
        <f>N$23*N25</f>
        <v>1089.1399870240286</v>
      </c>
      <c r="O33" s="543">
        <f t="shared" ref="O33:P35" si="17">O$23*O29</f>
        <v>526.44371990000002</v>
      </c>
      <c r="P33" s="543">
        <f t="shared" si="17"/>
        <v>621.27958622402855</v>
      </c>
      <c r="Q33" s="543">
        <f>Q36</f>
        <v>1147.7233061240295</v>
      </c>
      <c r="R33" s="543">
        <f>Q33-N33</f>
        <v>58.583319100000836</v>
      </c>
      <c r="S33" s="543">
        <f>S$23*S29</f>
        <v>1256.8214405032513</v>
      </c>
      <c r="T33" s="543">
        <f t="shared" ref="T33:W33" si="18">T$23*T29</f>
        <v>1256.7599913731995</v>
      </c>
      <c r="U33" s="543">
        <f t="shared" si="18"/>
        <v>1256.7711639422996</v>
      </c>
      <c r="V33" s="543">
        <f t="shared" si="18"/>
        <v>1256.6802002568713</v>
      </c>
      <c r="W33" s="543">
        <f t="shared" si="18"/>
        <v>1256.7439268561882</v>
      </c>
      <c r="X33" s="9"/>
    </row>
    <row r="34" spans="2:24" s="36" customFormat="1" ht="31" x14ac:dyDescent="0.25">
      <c r="B34" s="380">
        <v>1.1399999999999999</v>
      </c>
      <c r="C34" s="378" t="s">
        <v>997</v>
      </c>
      <c r="D34" s="359" t="s">
        <v>101</v>
      </c>
      <c r="E34" s="543">
        <f t="shared" ref="E34:F35" si="19">E$23*E26</f>
        <v>0</v>
      </c>
      <c r="F34" s="543">
        <f t="shared" si="19"/>
        <v>0</v>
      </c>
      <c r="G34" s="543">
        <f>G$23*G30</f>
        <v>0</v>
      </c>
      <c r="H34" s="543">
        <f t="shared" si="1"/>
        <v>0</v>
      </c>
      <c r="I34" s="808">
        <f t="shared" si="13"/>
        <v>0</v>
      </c>
      <c r="J34" s="543">
        <f t="shared" si="14"/>
        <v>0</v>
      </c>
      <c r="K34" s="543">
        <f>K$23*K30</f>
        <v>0</v>
      </c>
      <c r="L34" s="543">
        <f t="shared" si="15"/>
        <v>0</v>
      </c>
      <c r="M34" s="808">
        <f t="shared" si="16"/>
        <v>0</v>
      </c>
      <c r="N34" s="543">
        <f>N$23*N26</f>
        <v>0</v>
      </c>
      <c r="O34" s="543">
        <f t="shared" si="17"/>
        <v>0</v>
      </c>
      <c r="P34" s="543">
        <f t="shared" si="17"/>
        <v>0</v>
      </c>
      <c r="Q34" s="543">
        <f t="shared" ref="Q34:Q35" si="20">SUM(O34:P34)</f>
        <v>0</v>
      </c>
      <c r="R34" s="543">
        <f t="shared" si="0"/>
        <v>0</v>
      </c>
      <c r="S34" s="543">
        <f>S$23*S30</f>
        <v>0</v>
      </c>
      <c r="T34" s="543">
        <f t="shared" ref="T34:W34" si="21">T$23*T30</f>
        <v>0</v>
      </c>
      <c r="U34" s="543">
        <f t="shared" si="21"/>
        <v>134.55794046491431</v>
      </c>
      <c r="V34" s="543">
        <f t="shared" si="21"/>
        <v>134.54820131229886</v>
      </c>
      <c r="W34" s="543">
        <f t="shared" si="21"/>
        <v>134.55502428867112</v>
      </c>
      <c r="X34" s="385"/>
    </row>
    <row r="35" spans="2:24" s="36" customFormat="1" ht="31" x14ac:dyDescent="0.25">
      <c r="B35" s="380"/>
      <c r="C35" s="378" t="s">
        <v>992</v>
      </c>
      <c r="D35" s="359" t="s">
        <v>101</v>
      </c>
      <c r="E35" s="543">
        <f t="shared" si="19"/>
        <v>0</v>
      </c>
      <c r="F35" s="543">
        <f t="shared" si="19"/>
        <v>0</v>
      </c>
      <c r="G35" s="543">
        <f>G$23*G31</f>
        <v>0</v>
      </c>
      <c r="H35" s="543">
        <f t="shared" si="1"/>
        <v>0</v>
      </c>
      <c r="I35" s="808">
        <f t="shared" si="13"/>
        <v>0</v>
      </c>
      <c r="J35" s="543">
        <f t="shared" si="14"/>
        <v>0</v>
      </c>
      <c r="K35" s="543">
        <f>K$23*K31</f>
        <v>0</v>
      </c>
      <c r="L35" s="543">
        <f t="shared" si="15"/>
        <v>0</v>
      </c>
      <c r="M35" s="808">
        <f t="shared" si="16"/>
        <v>0</v>
      </c>
      <c r="N35" s="543">
        <f>N$23*N27</f>
        <v>0</v>
      </c>
      <c r="O35" s="543">
        <f t="shared" si="17"/>
        <v>0</v>
      </c>
      <c r="P35" s="543">
        <f t="shared" si="17"/>
        <v>0</v>
      </c>
      <c r="Q35" s="543">
        <f t="shared" si="20"/>
        <v>0</v>
      </c>
      <c r="R35" s="543">
        <f t="shared" si="0"/>
        <v>0</v>
      </c>
      <c r="S35" s="543">
        <f>S$23*S31</f>
        <v>5.8871453985029172</v>
      </c>
      <c r="T35" s="543">
        <f t="shared" ref="T35:W35" si="22">T$23*T31</f>
        <v>5.886857561303799</v>
      </c>
      <c r="U35" s="543">
        <f t="shared" si="22"/>
        <v>26.911588092982864</v>
      </c>
      <c r="V35" s="543">
        <f t="shared" si="22"/>
        <v>26.909640262459774</v>
      </c>
      <c r="W35" s="543">
        <f t="shared" si="22"/>
        <v>26.911004857734223</v>
      </c>
      <c r="X35" s="385"/>
    </row>
    <row r="36" spans="2:24" s="36" customFormat="1" ht="31" x14ac:dyDescent="0.35">
      <c r="B36" s="381">
        <v>1.1299999999999999</v>
      </c>
      <c r="C36" s="378" t="s">
        <v>996</v>
      </c>
      <c r="D36" s="359" t="s">
        <v>101</v>
      </c>
      <c r="E36" s="543">
        <f>SUM(E33:E35)</f>
        <v>903.81031012876122</v>
      </c>
      <c r="F36" s="543">
        <f t="shared" ref="F36:H36" si="23">SUM(F33:F35)</f>
        <v>785.84639819999995</v>
      </c>
      <c r="G36" s="543">
        <f t="shared" si="23"/>
        <v>932.97240309999995</v>
      </c>
      <c r="H36" s="543">
        <f t="shared" si="23"/>
        <v>147.1260049</v>
      </c>
      <c r="I36" s="808">
        <f>SUM(I33:I35)</f>
        <v>0</v>
      </c>
      <c r="J36" s="543">
        <f t="shared" ref="J36" si="24">SUM(J33:J35)</f>
        <v>844.25371460000008</v>
      </c>
      <c r="K36" s="543">
        <f>SUM(K33:K35)</f>
        <v>949.48435749999999</v>
      </c>
      <c r="L36" s="543">
        <f t="shared" ref="L36" si="25">SUM(L33:L35)</f>
        <v>105.23064289999991</v>
      </c>
      <c r="M36" s="808">
        <f>SUM(M33:M35)</f>
        <v>0</v>
      </c>
      <c r="N36" s="543">
        <f t="shared" ref="N36:P36" si="26">SUM(N33:N35)</f>
        <v>1089.1399870240286</v>
      </c>
      <c r="O36" s="543">
        <f t="shared" si="26"/>
        <v>526.44371990000002</v>
      </c>
      <c r="P36" s="543">
        <f t="shared" si="26"/>
        <v>621.27958622402855</v>
      </c>
      <c r="Q36" s="543">
        <f>Q23-Q37</f>
        <v>1147.7233061240295</v>
      </c>
      <c r="R36" s="543">
        <f t="shared" ref="R36" si="27">SUM(R33:R35)</f>
        <v>58.583319100000836</v>
      </c>
      <c r="S36" s="543">
        <f t="shared" ref="S36" si="28">SUM(S33:S35)</f>
        <v>1262.7085859017543</v>
      </c>
      <c r="T36" s="543">
        <f t="shared" ref="T36" si="29">SUM(T33:T35)</f>
        <v>1262.6468489345032</v>
      </c>
      <c r="U36" s="543">
        <f t="shared" ref="U36" si="30">SUM(U33:U35)</f>
        <v>1418.2406925001967</v>
      </c>
      <c r="V36" s="543">
        <f t="shared" ref="V36" si="31">SUM(V33:V35)</f>
        <v>1418.1380418316301</v>
      </c>
      <c r="W36" s="543">
        <f t="shared" ref="W36" si="32">SUM(W33:W35)</f>
        <v>1418.2099560025936</v>
      </c>
      <c r="X36" s="385"/>
    </row>
    <row r="37" spans="2:24" s="36" customFormat="1" ht="31" x14ac:dyDescent="0.35">
      <c r="B37" s="373">
        <v>1.1499999999999999</v>
      </c>
      <c r="C37" s="378" t="s">
        <v>998</v>
      </c>
      <c r="D37" s="359" t="s">
        <v>101</v>
      </c>
      <c r="E37" s="543">
        <f>E23-E36</f>
        <v>10683.501358188691</v>
      </c>
      <c r="F37" s="543">
        <f t="shared" ref="F37:R37" si="33">F23-F36</f>
        <v>7627.9266017999989</v>
      </c>
      <c r="G37" s="543">
        <f t="shared" si="33"/>
        <v>7480.8005968999996</v>
      </c>
      <c r="H37" s="543">
        <f t="shared" si="33"/>
        <v>-147.1260049</v>
      </c>
      <c r="I37" s="808">
        <f t="shared" si="33"/>
        <v>0</v>
      </c>
      <c r="J37" s="543">
        <f t="shared" si="33"/>
        <v>8194.8652854000011</v>
      </c>
      <c r="K37" s="543">
        <f t="shared" si="33"/>
        <v>8089.6346425000011</v>
      </c>
      <c r="L37" s="543">
        <f t="shared" si="33"/>
        <v>-105.23064289999991</v>
      </c>
      <c r="M37" s="808">
        <f t="shared" si="33"/>
        <v>0</v>
      </c>
      <c r="N37" s="543">
        <f t="shared" si="33"/>
        <v>10571.887711306043</v>
      </c>
      <c r="O37" s="543">
        <f t="shared" si="33"/>
        <v>4482.7682801000001</v>
      </c>
      <c r="P37" s="543">
        <f t="shared" si="33"/>
        <v>6030.5361121060423</v>
      </c>
      <c r="Q37" s="543">
        <f>SUM(O37:P37)</f>
        <v>10513.304392206042</v>
      </c>
      <c r="R37" s="543">
        <f t="shared" si="33"/>
        <v>-58.583319100000836</v>
      </c>
      <c r="S37" s="543">
        <f>S23-S36</f>
        <v>12193.623753533484</v>
      </c>
      <c r="T37" s="543">
        <f t="shared" ref="T37" si="34">T23-T36</f>
        <v>12193.027576902752</v>
      </c>
      <c r="U37" s="543">
        <f t="shared" ref="U37" si="35">U23-U36</f>
        <v>12037.553353991236</v>
      </c>
      <c r="V37" s="543">
        <f t="shared" ref="V37" si="36">V23-V36</f>
        <v>12036.682089398257</v>
      </c>
      <c r="W37" s="543">
        <f t="shared" ref="W37" si="37">W23-W36</f>
        <v>12037.292472864519</v>
      </c>
      <c r="X37" s="385"/>
    </row>
    <row r="38" spans="2:24" s="36" customFormat="1" ht="15.5" x14ac:dyDescent="0.35">
      <c r="B38" s="373">
        <v>1.1599999999999999</v>
      </c>
      <c r="C38" s="374" t="s">
        <v>690</v>
      </c>
      <c r="D38" s="359" t="s">
        <v>101</v>
      </c>
      <c r="E38" s="641"/>
      <c r="F38" s="548">
        <f>'F2.1'!F31</f>
        <v>13455.36</v>
      </c>
      <c r="G38" s="548"/>
      <c r="H38" s="543">
        <f t="shared" si="1"/>
        <v>-13455.36</v>
      </c>
      <c r="I38" s="641"/>
      <c r="J38" s="548">
        <f>'F2.1'!J31</f>
        <v>13492.224</v>
      </c>
      <c r="K38" s="543"/>
      <c r="L38" s="543">
        <f t="shared" si="2"/>
        <v>-13492.224</v>
      </c>
      <c r="M38" s="641"/>
      <c r="N38" s="543">
        <f>Q38</f>
        <v>0</v>
      </c>
      <c r="O38" s="547"/>
      <c r="P38" s="547"/>
      <c r="Q38" s="543">
        <f>O38+P38</f>
        <v>0</v>
      </c>
      <c r="R38" s="543">
        <f t="shared" si="0"/>
        <v>0</v>
      </c>
      <c r="S38" s="543"/>
      <c r="T38" s="543"/>
      <c r="U38" s="543"/>
      <c r="V38" s="543"/>
      <c r="W38" s="543"/>
      <c r="X38" s="385"/>
    </row>
    <row r="39" spans="2:24" s="36" customFormat="1" ht="15.5" x14ac:dyDescent="0.35">
      <c r="B39" s="373">
        <v>1.17</v>
      </c>
      <c r="C39" s="378" t="s">
        <v>103</v>
      </c>
      <c r="D39" s="359" t="s">
        <v>104</v>
      </c>
      <c r="E39" s="644">
        <v>2688</v>
      </c>
      <c r="F39" s="542">
        <f>E39</f>
        <v>2688</v>
      </c>
      <c r="G39" s="751"/>
      <c r="H39" s="751"/>
      <c r="I39" s="644">
        <f>'F2.1'!I52</f>
        <v>2688</v>
      </c>
      <c r="J39" s="542">
        <f>I39</f>
        <v>2688</v>
      </c>
      <c r="K39" s="751"/>
      <c r="L39" s="751"/>
      <c r="M39" s="644">
        <f>'F2.1'!M52</f>
        <v>2688</v>
      </c>
      <c r="N39" s="542">
        <f>M39</f>
        <v>2688</v>
      </c>
      <c r="O39" s="751"/>
      <c r="P39" s="751"/>
      <c r="Q39" s="753"/>
      <c r="R39" s="753"/>
      <c r="S39" s="808">
        <v>0</v>
      </c>
      <c r="T39" s="808">
        <v>0</v>
      </c>
      <c r="U39" s="808">
        <v>0</v>
      </c>
      <c r="V39" s="808">
        <v>0</v>
      </c>
      <c r="W39" s="808">
        <v>0</v>
      </c>
      <c r="X39" s="385"/>
    </row>
    <row r="40" spans="2:24" s="417" customFormat="1" ht="31" x14ac:dyDescent="0.25">
      <c r="B40" s="388">
        <v>1.18</v>
      </c>
      <c r="C40" s="377" t="s">
        <v>692</v>
      </c>
      <c r="D40" s="388" t="s">
        <v>104</v>
      </c>
      <c r="E40" s="752"/>
      <c r="F40" s="751"/>
      <c r="G40" s="542">
        <f>G113/G23</f>
        <v>2732.5076599868162</v>
      </c>
      <c r="H40" s="542">
        <f>G40-F39</f>
        <v>44.507659986816179</v>
      </c>
      <c r="I40" s="752"/>
      <c r="J40" s="751"/>
      <c r="K40" s="542">
        <f>K113/K23</f>
        <v>2704.5072599217751</v>
      </c>
      <c r="L40" s="542">
        <f>K40-J39</f>
        <v>16.50725992177513</v>
      </c>
      <c r="M40" s="752"/>
      <c r="N40" s="751"/>
      <c r="O40" s="542">
        <f>O113/O23</f>
        <v>2749.4223883692748</v>
      </c>
      <c r="P40" s="542">
        <f>P113/P23</f>
        <v>2726.0635805493839</v>
      </c>
      <c r="Q40" s="543">
        <f>Q113/Q23</f>
        <v>2736.0977922384486</v>
      </c>
      <c r="R40" s="543">
        <f>Q40-N39</f>
        <v>48.097792238448619</v>
      </c>
      <c r="S40" s="542">
        <v>2688</v>
      </c>
      <c r="T40" s="542">
        <v>2688</v>
      </c>
      <c r="U40" s="542">
        <v>2688</v>
      </c>
      <c r="V40" s="542">
        <v>2688</v>
      </c>
      <c r="W40" s="542">
        <v>2688</v>
      </c>
      <c r="X40" s="390"/>
    </row>
    <row r="41" spans="2:24" s="417" customFormat="1" ht="31" x14ac:dyDescent="0.35">
      <c r="B41" s="477">
        <v>1.19</v>
      </c>
      <c r="C41" s="377" t="s">
        <v>105</v>
      </c>
      <c r="D41" s="388" t="s">
        <v>106</v>
      </c>
      <c r="E41" s="809">
        <v>1</v>
      </c>
      <c r="F41" s="543">
        <f>E41</f>
        <v>1</v>
      </c>
      <c r="G41" s="751"/>
      <c r="H41" s="753"/>
      <c r="I41" s="641">
        <f>'F2.1'!I56</f>
        <v>1</v>
      </c>
      <c r="J41" s="543">
        <f>I41</f>
        <v>1</v>
      </c>
      <c r="K41" s="751"/>
      <c r="L41" s="753"/>
      <c r="M41" s="641">
        <f>'F2.1'!M56</f>
        <v>1</v>
      </c>
      <c r="N41" s="543">
        <f>M41</f>
        <v>1</v>
      </c>
      <c r="O41" s="751"/>
      <c r="P41" s="751"/>
      <c r="Q41" s="751"/>
      <c r="R41" s="543">
        <f t="shared" si="0"/>
        <v>-1</v>
      </c>
      <c r="S41" s="808">
        <v>0</v>
      </c>
      <c r="T41" s="808">
        <v>0</v>
      </c>
      <c r="U41" s="808">
        <v>0</v>
      </c>
      <c r="V41" s="808">
        <v>0</v>
      </c>
      <c r="W41" s="808">
        <v>0</v>
      </c>
      <c r="X41" s="390"/>
    </row>
    <row r="42" spans="2:24" s="417" customFormat="1" ht="31" x14ac:dyDescent="0.25">
      <c r="B42" s="537">
        <v>1.2</v>
      </c>
      <c r="C42" s="377" t="s">
        <v>693</v>
      </c>
      <c r="D42" s="388" t="s">
        <v>106</v>
      </c>
      <c r="E42" s="751"/>
      <c r="F42" s="751"/>
      <c r="G42" s="542">
        <v>4.7586665340270056</v>
      </c>
      <c r="H42" s="543">
        <f>G42-F41</f>
        <v>3.7586665340270056</v>
      </c>
      <c r="I42" s="742"/>
      <c r="J42" s="751"/>
      <c r="K42" s="542">
        <v>1.9801808118689443</v>
      </c>
      <c r="L42" s="543">
        <f>K42-J41</f>
        <v>0.98018081186894435</v>
      </c>
      <c r="M42" s="633"/>
      <c r="N42" s="751"/>
      <c r="O42" s="542">
        <v>2.9588260588691395</v>
      </c>
      <c r="P42" s="542">
        <v>1</v>
      </c>
      <c r="Q42" s="543">
        <f>(O42*SUM(O99:O102)+SUM(P99:P102)*P42)/SUM(O99:P102)</f>
        <v>2.3461235855016986</v>
      </c>
      <c r="R42" s="733">
        <f>Q42-N41</f>
        <v>1.3461235855016986</v>
      </c>
      <c r="S42" s="1120">
        <v>1</v>
      </c>
      <c r="T42" s="1120">
        <v>1</v>
      </c>
      <c r="U42" s="1120">
        <v>1</v>
      </c>
      <c r="V42" s="1120">
        <v>1</v>
      </c>
      <c r="W42" s="1120">
        <v>1</v>
      </c>
      <c r="X42" s="390"/>
    </row>
    <row r="43" spans="2:24" s="417" customFormat="1" ht="15.5" x14ac:dyDescent="0.35">
      <c r="B43" s="477">
        <v>1.21</v>
      </c>
      <c r="C43" s="377" t="s">
        <v>107</v>
      </c>
      <c r="D43" s="388" t="s">
        <v>99</v>
      </c>
      <c r="E43" s="642">
        <v>8.0000000000000002E-3</v>
      </c>
      <c r="F43" s="545">
        <f>E43</f>
        <v>8.0000000000000002E-3</v>
      </c>
      <c r="G43" s="750"/>
      <c r="H43" s="749"/>
      <c r="I43" s="642">
        <f>'F2.1'!I60</f>
        <v>8.0000000000000002E-3</v>
      </c>
      <c r="J43" s="545">
        <f>I43</f>
        <v>8.0000000000000002E-3</v>
      </c>
      <c r="K43" s="750"/>
      <c r="L43" s="749"/>
      <c r="M43" s="642"/>
      <c r="N43" s="545"/>
      <c r="O43" s="750"/>
      <c r="P43" s="750"/>
      <c r="Q43" s="750"/>
      <c r="R43" s="750"/>
      <c r="S43" s="1121"/>
      <c r="T43" s="1121"/>
      <c r="U43" s="1121"/>
      <c r="V43" s="1121"/>
      <c r="W43" s="1121"/>
      <c r="X43" s="390"/>
    </row>
    <row r="44" spans="2:24" s="417" customFormat="1" ht="31" x14ac:dyDescent="0.35">
      <c r="B44" s="477">
        <v>1.22</v>
      </c>
      <c r="C44" s="377" t="s">
        <v>694</v>
      </c>
      <c r="D44" s="388" t="s">
        <v>99</v>
      </c>
      <c r="E44" s="750"/>
      <c r="F44" s="750"/>
      <c r="G44" s="545">
        <v>4.7561922950194596E-3</v>
      </c>
      <c r="H44" s="544">
        <f>G44-F43</f>
        <v>-3.2438077049805406E-3</v>
      </c>
      <c r="I44" s="750"/>
      <c r="J44" s="750"/>
      <c r="K44" s="545">
        <v>4.1000000000000003E-3</v>
      </c>
      <c r="L44" s="544">
        <f>K44-J43</f>
        <v>-3.8999999999999998E-3</v>
      </c>
      <c r="M44" s="642"/>
      <c r="N44" s="750"/>
      <c r="O44" s="545">
        <v>7.0176496438536795E-3</v>
      </c>
      <c r="P44" s="545">
        <v>8.0000000000000002E-3</v>
      </c>
      <c r="Q44" s="544">
        <v>7.5088248219268398E-3</v>
      </c>
      <c r="R44" s="544">
        <f>Q44-N43</f>
        <v>7.5088248219268398E-3</v>
      </c>
      <c r="S44" s="1122">
        <v>8.0000000000000002E-3</v>
      </c>
      <c r="T44" s="1122">
        <v>8.0000000000000002E-3</v>
      </c>
      <c r="U44" s="1122">
        <v>8.0000000000000002E-3</v>
      </c>
      <c r="V44" s="1122">
        <v>8.0000000000000002E-3</v>
      </c>
      <c r="W44" s="1122">
        <v>8.0000000000000002E-3</v>
      </c>
      <c r="X44" s="390"/>
    </row>
    <row r="45" spans="2:24" s="417" customFormat="1" ht="15.5" x14ac:dyDescent="0.3">
      <c r="B45" s="462"/>
      <c r="C45" s="461"/>
      <c r="D45" s="463"/>
      <c r="E45" s="645"/>
      <c r="F45" s="508"/>
      <c r="G45" s="508"/>
      <c r="H45" s="508"/>
      <c r="I45" s="645"/>
      <c r="J45" s="508"/>
      <c r="K45" s="508"/>
      <c r="L45" s="508"/>
      <c r="M45" s="645"/>
      <c r="N45" s="506"/>
      <c r="O45" s="506"/>
      <c r="P45" s="506"/>
      <c r="Q45" s="506"/>
      <c r="R45" s="506"/>
      <c r="S45" s="506"/>
      <c r="T45" s="506"/>
      <c r="U45" s="506"/>
      <c r="V45" s="506"/>
      <c r="W45" s="506"/>
      <c r="X45" s="390"/>
    </row>
    <row r="46" spans="2:24" s="417" customFormat="1" ht="15.5" x14ac:dyDescent="0.3">
      <c r="B46" s="462">
        <v>2</v>
      </c>
      <c r="C46" s="488" t="s">
        <v>108</v>
      </c>
      <c r="D46" s="463"/>
      <c r="E46" s="645"/>
      <c r="F46" s="508"/>
      <c r="G46" s="508"/>
      <c r="H46" s="508"/>
      <c r="I46" s="645"/>
      <c r="J46" s="508"/>
      <c r="K46" s="508"/>
      <c r="L46" s="508"/>
      <c r="M46" s="645"/>
      <c r="N46" s="506"/>
      <c r="O46" s="506"/>
      <c r="P46" s="506"/>
      <c r="Q46" s="506"/>
      <c r="R46" s="506"/>
      <c r="S46" s="506"/>
      <c r="T46" s="506"/>
      <c r="U46" s="506"/>
      <c r="V46" s="506"/>
      <c r="W46" s="506"/>
      <c r="X46" s="390"/>
    </row>
    <row r="47" spans="2:24" s="417" customFormat="1" ht="15.5" x14ac:dyDescent="0.3">
      <c r="B47" s="462">
        <v>2.1</v>
      </c>
      <c r="C47" s="461" t="s">
        <v>578</v>
      </c>
      <c r="D47" s="463"/>
      <c r="E47" s="645"/>
      <c r="F47" s="508"/>
      <c r="G47" s="508"/>
      <c r="H47" s="508"/>
      <c r="I47" s="645"/>
      <c r="J47" s="508"/>
      <c r="K47" s="508"/>
      <c r="L47" s="508"/>
      <c r="M47" s="645"/>
      <c r="N47" s="506"/>
      <c r="O47" s="506"/>
      <c r="P47" s="506"/>
      <c r="Q47" s="506"/>
      <c r="R47" s="506"/>
      <c r="S47" s="506"/>
      <c r="T47" s="506"/>
      <c r="U47" s="506"/>
      <c r="V47" s="506"/>
      <c r="W47" s="506"/>
      <c r="X47" s="390"/>
    </row>
    <row r="48" spans="2:24" s="417" customFormat="1" ht="15.5" x14ac:dyDescent="0.35">
      <c r="B48" s="1136" t="s">
        <v>109</v>
      </c>
      <c r="C48" s="1137" t="s">
        <v>745</v>
      </c>
      <c r="D48" s="1138" t="s">
        <v>110</v>
      </c>
      <c r="E48" s="652">
        <v>4065.5959893844779</v>
      </c>
      <c r="F48" s="549">
        <f>G48</f>
        <v>4000.6594371230567</v>
      </c>
      <c r="G48" s="549">
        <v>4000.6594371230567</v>
      </c>
      <c r="H48" s="549">
        <f>G48-F48</f>
        <v>0</v>
      </c>
      <c r="I48" s="652"/>
      <c r="J48" s="549">
        <f>K48</f>
        <v>4046.651323722615</v>
      </c>
      <c r="K48" s="549">
        <v>4046.651323722615</v>
      </c>
      <c r="L48" s="542">
        <f>K48-J48</f>
        <v>0</v>
      </c>
      <c r="M48" s="652"/>
      <c r="N48" s="549">
        <f>Q48</f>
        <v>4050.2155052450034</v>
      </c>
      <c r="O48" s="549">
        <v>4054.817245841059</v>
      </c>
      <c r="P48" s="549">
        <v>4046.651323722615</v>
      </c>
      <c r="Q48" s="542">
        <f>SUMPRODUCT(O48:P48,O94:P94)/SUM(O94:P94)</f>
        <v>4050.2155052450034</v>
      </c>
      <c r="R48" s="542">
        <f>Q48-N48</f>
        <v>0</v>
      </c>
      <c r="S48" s="1123">
        <v>4050.4031843277721</v>
      </c>
      <c r="T48" s="1123">
        <v>4050.403184327773</v>
      </c>
      <c r="U48" s="1123">
        <v>4050.403184327773</v>
      </c>
      <c r="V48" s="1123">
        <v>4050.4031843277726</v>
      </c>
      <c r="W48" s="1123">
        <v>4050.4031843277712</v>
      </c>
      <c r="X48" s="390"/>
    </row>
    <row r="49" spans="2:24" s="417" customFormat="1" ht="15.5" x14ac:dyDescent="0.35">
      <c r="B49" s="1136" t="s">
        <v>111</v>
      </c>
      <c r="C49" s="1137" t="s">
        <v>746</v>
      </c>
      <c r="D49" s="1138" t="s">
        <v>110</v>
      </c>
      <c r="E49" s="652">
        <v>4778.5671188146389</v>
      </c>
      <c r="F49" s="549">
        <f>G49</f>
        <v>4767.3412439242729</v>
      </c>
      <c r="G49" s="549">
        <v>4767.3412439242729</v>
      </c>
      <c r="H49" s="549">
        <f t="shared" ref="H49:H56" si="38">G49-F49</f>
        <v>0</v>
      </c>
      <c r="I49" s="652"/>
      <c r="J49" s="549">
        <f t="shared" ref="J49:J56" si="39">K49</f>
        <v>4678.7092899273193</v>
      </c>
      <c r="K49" s="549">
        <v>4678.7092899273193</v>
      </c>
      <c r="L49" s="542">
        <f t="shared" ref="L49:L56" si="40">K49-J49</f>
        <v>0</v>
      </c>
      <c r="M49" s="652"/>
      <c r="N49" s="549">
        <f t="shared" ref="N49:N56" si="41">Q49</f>
        <v>4682.3507524153702</v>
      </c>
      <c r="O49" s="549">
        <v>4684.498265964372</v>
      </c>
      <c r="P49" s="549">
        <v>4678.7092899273193</v>
      </c>
      <c r="Q49" s="542">
        <f>SUMPRODUCT(O49:P49,O95:P95)/SUM(O95:P95)</f>
        <v>4682.3507524153702</v>
      </c>
      <c r="R49" s="542">
        <f>Q49-N49</f>
        <v>0</v>
      </c>
      <c r="S49" s="1123">
        <v>4680.8018505418304</v>
      </c>
      <c r="T49" s="1123">
        <v>4680.8018505418304</v>
      </c>
      <c r="U49" s="1123">
        <v>4680.8018505418304</v>
      </c>
      <c r="V49" s="1123">
        <v>4680.8018505418304</v>
      </c>
      <c r="W49" s="1123">
        <v>4680.8018505418304</v>
      </c>
      <c r="X49" s="390"/>
    </row>
    <row r="50" spans="2:24" s="417" customFormat="1" ht="15.5" x14ac:dyDescent="0.35">
      <c r="B50" s="1136" t="s">
        <v>113</v>
      </c>
      <c r="C50" s="1137" t="s">
        <v>854</v>
      </c>
      <c r="D50" s="1138" t="s">
        <v>110</v>
      </c>
      <c r="E50" s="652">
        <v>3959.0543298508569</v>
      </c>
      <c r="F50" s="549">
        <f t="shared" ref="F50:F56" si="42">G50</f>
        <v>3989</v>
      </c>
      <c r="G50" s="549">
        <v>3989</v>
      </c>
      <c r="H50" s="549">
        <f t="shared" si="38"/>
        <v>0</v>
      </c>
      <c r="I50" s="652"/>
      <c r="J50" s="549">
        <f t="shared" si="39"/>
        <v>4008.3640887713627</v>
      </c>
      <c r="K50" s="549">
        <v>4008.3640887713627</v>
      </c>
      <c r="L50" s="542">
        <f t="shared" si="40"/>
        <v>0</v>
      </c>
      <c r="M50" s="652"/>
      <c r="N50" s="549">
        <f t="shared" si="41"/>
        <v>3934.1638041974261</v>
      </c>
      <c r="O50" s="549">
        <v>3549.9999999999995</v>
      </c>
      <c r="P50" s="549">
        <v>4008.3640887713627</v>
      </c>
      <c r="Q50" s="542">
        <f>SUMPRODUCT(O50:P50,O96:P96)/SUM(O96:P96)</f>
        <v>3934.1638041974261</v>
      </c>
      <c r="R50" s="542">
        <f t="shared" ref="R50:R56" si="43">Q50-N50</f>
        <v>0</v>
      </c>
      <c r="S50" s="1123">
        <v>3919.3459879684806</v>
      </c>
      <c r="T50" s="1123">
        <v>3919.3459879684806</v>
      </c>
      <c r="U50" s="1123">
        <v>3919.3459879684806</v>
      </c>
      <c r="V50" s="1123">
        <v>3919.345987968481</v>
      </c>
      <c r="W50" s="1123">
        <v>3919.345987968481</v>
      </c>
      <c r="X50" s="390"/>
    </row>
    <row r="51" spans="2:24" s="417" customFormat="1" ht="15.5" x14ac:dyDescent="0.35">
      <c r="B51" s="1136" t="s">
        <v>744</v>
      </c>
      <c r="C51" s="1137" t="s">
        <v>1496</v>
      </c>
      <c r="D51" s="1138" t="s">
        <v>110</v>
      </c>
      <c r="E51" s="652"/>
      <c r="F51" s="549"/>
      <c r="G51" s="549"/>
      <c r="H51" s="549"/>
      <c r="I51" s="652"/>
      <c r="J51" s="549"/>
      <c r="K51" s="549"/>
      <c r="L51" s="542"/>
      <c r="M51" s="652"/>
      <c r="N51" s="549"/>
      <c r="O51" s="549"/>
      <c r="P51" s="549"/>
      <c r="Q51" s="542"/>
      <c r="R51" s="542"/>
      <c r="S51" s="1123">
        <v>3350</v>
      </c>
      <c r="T51" s="1123">
        <v>3350</v>
      </c>
      <c r="U51" s="1123">
        <v>3350</v>
      </c>
      <c r="V51" s="1123">
        <v>3350</v>
      </c>
      <c r="W51" s="1123">
        <v>3350</v>
      </c>
      <c r="X51" s="390"/>
    </row>
    <row r="52" spans="2:24" s="417" customFormat="1" ht="15.5" x14ac:dyDescent="0.35">
      <c r="B52" s="1136" t="s">
        <v>857</v>
      </c>
      <c r="C52" s="1137" t="s">
        <v>1497</v>
      </c>
      <c r="D52" s="1138" t="s">
        <v>110</v>
      </c>
      <c r="E52" s="652"/>
      <c r="F52" s="549"/>
      <c r="G52" s="549"/>
      <c r="H52" s="549"/>
      <c r="I52" s="652"/>
      <c r="J52" s="549"/>
      <c r="K52" s="549"/>
      <c r="L52" s="542"/>
      <c r="M52" s="652"/>
      <c r="N52" s="549"/>
      <c r="O52" s="549"/>
      <c r="P52" s="549"/>
      <c r="Q52" s="542"/>
      <c r="R52" s="542"/>
      <c r="S52" s="1123">
        <v>0</v>
      </c>
      <c r="T52" s="1123">
        <v>0</v>
      </c>
      <c r="U52" s="1123">
        <v>0</v>
      </c>
      <c r="V52" s="1123">
        <v>0</v>
      </c>
      <c r="W52" s="1123">
        <v>0</v>
      </c>
      <c r="X52" s="390"/>
    </row>
    <row r="53" spans="2:24" s="417" customFormat="1" ht="15.5" x14ac:dyDescent="0.35">
      <c r="B53" s="1136" t="s">
        <v>858</v>
      </c>
      <c r="C53" s="1137" t="s">
        <v>747</v>
      </c>
      <c r="D53" s="1138" t="s">
        <v>110</v>
      </c>
      <c r="E53" s="646">
        <v>58816.566647715343</v>
      </c>
      <c r="F53" s="549">
        <f>G53</f>
        <v>10335.994588704494</v>
      </c>
      <c r="G53" s="549">
        <v>10335.994588704494</v>
      </c>
      <c r="H53" s="549">
        <f t="shared" si="38"/>
        <v>0</v>
      </c>
      <c r="I53" s="646"/>
      <c r="J53" s="549">
        <f t="shared" si="39"/>
        <v>10205.596847059713</v>
      </c>
      <c r="K53" s="549">
        <v>10205.596847059713</v>
      </c>
      <c r="L53" s="542">
        <f t="shared" si="40"/>
        <v>0</v>
      </c>
      <c r="M53" s="646"/>
      <c r="N53" s="549">
        <f t="shared" si="41"/>
        <v>10242.510804282067</v>
      </c>
      <c r="O53" s="549">
        <v>10256.931136934765</v>
      </c>
      <c r="P53" s="549">
        <v>10205.596847059713</v>
      </c>
      <c r="Q53" s="542">
        <f>SUMPRODUCT(O53:P53,O99:P99)/SUM(O99:P99)</f>
        <v>10242.510804282067</v>
      </c>
      <c r="R53" s="542">
        <f t="shared" si="43"/>
        <v>0</v>
      </c>
      <c r="S53" s="1123">
        <v>10205.596847059713</v>
      </c>
      <c r="T53" s="1123">
        <v>10205.596847059713</v>
      </c>
      <c r="U53" s="1123">
        <v>10205.596847059713</v>
      </c>
      <c r="V53" s="1123">
        <v>10205.596847059713</v>
      </c>
      <c r="W53" s="1123">
        <v>10205.596847059713</v>
      </c>
      <c r="X53" s="390"/>
    </row>
    <row r="54" spans="2:24" s="417" customFormat="1" ht="15.5" x14ac:dyDescent="0.35">
      <c r="B54" s="1136" t="s">
        <v>859</v>
      </c>
      <c r="C54" s="1137" t="s">
        <v>748</v>
      </c>
      <c r="D54" s="1138" t="s">
        <v>110</v>
      </c>
      <c r="E54" s="646">
        <v>66824.3694138055</v>
      </c>
      <c r="F54" s="549">
        <f>G54</f>
        <v>10951.841738553418</v>
      </c>
      <c r="G54" s="549">
        <v>10951.841738553418</v>
      </c>
      <c r="H54" s="549">
        <f t="shared" si="38"/>
        <v>0</v>
      </c>
      <c r="I54" s="646"/>
      <c r="J54" s="549">
        <f t="shared" si="39"/>
        <v>10883.692204979843</v>
      </c>
      <c r="K54" s="549">
        <v>10883.692204979843</v>
      </c>
      <c r="L54" s="542">
        <f t="shared" si="40"/>
        <v>0</v>
      </c>
      <c r="M54" s="646"/>
      <c r="N54" s="549">
        <f t="shared" si="41"/>
        <v>10796.17109419897</v>
      </c>
      <c r="O54" s="549">
        <v>10721.379974431935</v>
      </c>
      <c r="P54" s="549">
        <v>10883.692204979843</v>
      </c>
      <c r="Q54" s="542">
        <f>SUMPRODUCT(O54:P54,O100:P100)/SUM(O100:P100)</f>
        <v>10796.17109419897</v>
      </c>
      <c r="R54" s="542">
        <f t="shared" si="43"/>
        <v>0</v>
      </c>
      <c r="S54" s="1123">
        <v>10883.692204979843</v>
      </c>
      <c r="T54" s="1123">
        <v>10883.692204979843</v>
      </c>
      <c r="U54" s="1123">
        <v>10883.692204979843</v>
      </c>
      <c r="V54" s="1123">
        <v>10883.692204979843</v>
      </c>
      <c r="W54" s="1123">
        <v>10883.692204979843</v>
      </c>
      <c r="X54" s="390"/>
    </row>
    <row r="55" spans="2:24" s="417" customFormat="1" ht="15.5" x14ac:dyDescent="0.35">
      <c r="B55" s="1136" t="s">
        <v>1160</v>
      </c>
      <c r="C55" s="1137" t="s">
        <v>855</v>
      </c>
      <c r="D55" s="1138" t="s">
        <v>110</v>
      </c>
      <c r="E55" s="646"/>
      <c r="F55" s="549">
        <f t="shared" si="42"/>
        <v>0</v>
      </c>
      <c r="G55" s="549">
        <v>0</v>
      </c>
      <c r="H55" s="549">
        <f t="shared" si="38"/>
        <v>0</v>
      </c>
      <c r="I55" s="646"/>
      <c r="J55" s="549">
        <f t="shared" si="39"/>
        <v>0</v>
      </c>
      <c r="K55" s="549">
        <v>0</v>
      </c>
      <c r="L55" s="542">
        <f t="shared" si="40"/>
        <v>0</v>
      </c>
      <c r="M55" s="646"/>
      <c r="N55" s="549">
        <f t="shared" si="41"/>
        <v>0</v>
      </c>
      <c r="O55" s="549">
        <v>0</v>
      </c>
      <c r="P55" s="549">
        <v>0</v>
      </c>
      <c r="Q55" s="542">
        <f t="shared" ref="Q55:Q56" si="44">O55+P55</f>
        <v>0</v>
      </c>
      <c r="R55" s="542">
        <f t="shared" si="43"/>
        <v>0</v>
      </c>
      <c r="S55" s="1123">
        <v>0</v>
      </c>
      <c r="T55" s="1123">
        <v>0</v>
      </c>
      <c r="U55" s="1123">
        <v>0</v>
      </c>
      <c r="V55" s="1123">
        <v>0</v>
      </c>
      <c r="W55" s="1123">
        <v>0</v>
      </c>
      <c r="X55" s="390"/>
    </row>
    <row r="56" spans="2:24" s="417" customFormat="1" ht="15.5" x14ac:dyDescent="0.35">
      <c r="B56" s="1136" t="s">
        <v>1498</v>
      </c>
      <c r="C56" s="1137" t="s">
        <v>856</v>
      </c>
      <c r="D56" s="1138" t="s">
        <v>110</v>
      </c>
      <c r="E56" s="646"/>
      <c r="F56" s="549">
        <f t="shared" si="42"/>
        <v>0</v>
      </c>
      <c r="G56" s="549">
        <v>0</v>
      </c>
      <c r="H56" s="549">
        <f t="shared" si="38"/>
        <v>0</v>
      </c>
      <c r="I56" s="646"/>
      <c r="J56" s="549">
        <f t="shared" si="39"/>
        <v>0</v>
      </c>
      <c r="K56" s="549">
        <v>0</v>
      </c>
      <c r="L56" s="542">
        <f t="shared" si="40"/>
        <v>0</v>
      </c>
      <c r="M56" s="646"/>
      <c r="N56" s="549">
        <f t="shared" si="41"/>
        <v>0</v>
      </c>
      <c r="O56" s="549">
        <v>0</v>
      </c>
      <c r="P56" s="549">
        <v>0</v>
      </c>
      <c r="Q56" s="542">
        <f t="shared" si="44"/>
        <v>0</v>
      </c>
      <c r="R56" s="542">
        <f t="shared" si="43"/>
        <v>0</v>
      </c>
      <c r="S56" s="1123">
        <v>0</v>
      </c>
      <c r="T56" s="1123">
        <v>0</v>
      </c>
      <c r="U56" s="1123">
        <v>0</v>
      </c>
      <c r="V56" s="1123">
        <v>0</v>
      </c>
      <c r="W56" s="1123">
        <v>0</v>
      </c>
      <c r="X56" s="390"/>
    </row>
    <row r="57" spans="2:24" s="417" customFormat="1" ht="15.5" x14ac:dyDescent="0.3">
      <c r="B57" s="462">
        <v>2.2000000000000002</v>
      </c>
      <c r="C57" s="461" t="s">
        <v>333</v>
      </c>
      <c r="D57" s="463"/>
      <c r="E57" s="646"/>
      <c r="F57" s="549"/>
      <c r="G57" s="549"/>
      <c r="H57" s="549"/>
      <c r="I57" s="646"/>
      <c r="J57" s="549"/>
      <c r="K57" s="549"/>
      <c r="L57" s="549"/>
      <c r="M57" s="646"/>
      <c r="N57" s="549"/>
      <c r="O57" s="549"/>
      <c r="P57" s="549"/>
      <c r="Q57" s="542"/>
      <c r="R57" s="542"/>
      <c r="S57" s="542"/>
      <c r="T57" s="542"/>
      <c r="U57" s="542"/>
      <c r="V57" s="542"/>
      <c r="W57" s="542"/>
      <c r="X57" s="390"/>
    </row>
    <row r="58" spans="2:24" s="417" customFormat="1" ht="15.5" x14ac:dyDescent="0.35">
      <c r="B58" s="1136" t="s">
        <v>116</v>
      </c>
      <c r="C58" s="1137" t="s">
        <v>745</v>
      </c>
      <c r="D58" s="1138" t="s">
        <v>110</v>
      </c>
      <c r="E58" s="653">
        <v>3465.5959893844779</v>
      </c>
      <c r="F58" s="744">
        <v>3400.6594371230567</v>
      </c>
      <c r="G58" s="549">
        <v>3106.4837935426644</v>
      </c>
      <c r="H58" s="549">
        <f>G58-F58</f>
        <v>-294.17564358039226</v>
      </c>
      <c r="I58" s="653"/>
      <c r="J58" s="744">
        <f>IF(J48=0,0,MAX(K58,J48-650))</f>
        <v>3396.651323722615</v>
      </c>
      <c r="K58" s="549">
        <v>3185.5580545094699</v>
      </c>
      <c r="L58" s="542">
        <f>K58-J58</f>
        <v>-211.09326921314505</v>
      </c>
      <c r="M58" s="653"/>
      <c r="N58" s="1306">
        <f>IF(N48=0,0,MAX(Q58,N48-650))</f>
        <v>3400.2155052450034</v>
      </c>
      <c r="O58" s="1307">
        <v>3260.0171795395645</v>
      </c>
      <c r="P58" s="1307">
        <v>3396.651323722615</v>
      </c>
      <c r="Q58" s="1305">
        <f>SUMPRODUCT(O58:P58,O94:P94)/SUM(O94:P94)</f>
        <v>3337.0145937904672</v>
      </c>
      <c r="R58" s="1305">
        <f>Q58-N58</f>
        <v>-63.200911454536254</v>
      </c>
      <c r="S58" s="744">
        <f>IF(S48=0,0,S48-750)</f>
        <v>3300.4031843277721</v>
      </c>
      <c r="T58" s="744">
        <f>IF(T48=0,0,T48-750)</f>
        <v>3300.403184327773</v>
      </c>
      <c r="U58" s="744">
        <f>IF(U48=0,0,U48-750)</f>
        <v>3300.403184327773</v>
      </c>
      <c r="V58" s="744">
        <f>IF(V48=0,0,V48-750)</f>
        <v>3300.4031843277726</v>
      </c>
      <c r="W58" s="744">
        <f>IF(W48=0,0,W48-750)</f>
        <v>3300.4031843277712</v>
      </c>
      <c r="X58" s="390"/>
    </row>
    <row r="59" spans="2:24" s="417" customFormat="1" ht="15.5" x14ac:dyDescent="0.35">
      <c r="B59" s="1136" t="s">
        <v>118</v>
      </c>
      <c r="C59" s="1137" t="s">
        <v>746</v>
      </c>
      <c r="D59" s="1138" t="s">
        <v>110</v>
      </c>
      <c r="E59" s="653">
        <v>4778.5671188146389</v>
      </c>
      <c r="F59" s="550">
        <f t="shared" ref="F59:F66" si="45">G59</f>
        <v>4767.3412439242729</v>
      </c>
      <c r="G59" s="549">
        <v>4767.3412439242729</v>
      </c>
      <c r="H59" s="549">
        <f>G59-F59</f>
        <v>0</v>
      </c>
      <c r="I59" s="653"/>
      <c r="J59" s="550">
        <f t="shared" ref="J59:J66" si="46">K59</f>
        <v>4678.7092899273193</v>
      </c>
      <c r="K59" s="549">
        <v>4678.7092899273193</v>
      </c>
      <c r="L59" s="542">
        <f>K59-J59</f>
        <v>0</v>
      </c>
      <c r="M59" s="653"/>
      <c r="N59" s="1306">
        <f>Q59</f>
        <v>4682.3507524153702</v>
      </c>
      <c r="O59" s="1307">
        <v>4684.498265964372</v>
      </c>
      <c r="P59" s="1307">
        <v>4678.7092899273193</v>
      </c>
      <c r="Q59" s="1305">
        <f>SUMPRODUCT(O59:P59,O95:P95)/SUM(O95:P95)</f>
        <v>4682.3507524153702</v>
      </c>
      <c r="R59" s="1305">
        <f>Q59-N59</f>
        <v>0</v>
      </c>
      <c r="S59" s="550">
        <f>S49</f>
        <v>4680.8018505418304</v>
      </c>
      <c r="T59" s="550">
        <f t="shared" ref="T59:W59" si="47">T49</f>
        <v>4680.8018505418304</v>
      </c>
      <c r="U59" s="550">
        <f t="shared" si="47"/>
        <v>4680.8018505418304</v>
      </c>
      <c r="V59" s="550">
        <f t="shared" si="47"/>
        <v>4680.8018505418304</v>
      </c>
      <c r="W59" s="550">
        <f t="shared" si="47"/>
        <v>4680.8018505418304</v>
      </c>
      <c r="X59" s="390"/>
    </row>
    <row r="60" spans="2:24" s="417" customFormat="1" ht="15.5" x14ac:dyDescent="0.35">
      <c r="B60" s="1136" t="s">
        <v>119</v>
      </c>
      <c r="C60" s="1137" t="s">
        <v>854</v>
      </c>
      <c r="D60" s="1138" t="s">
        <v>110</v>
      </c>
      <c r="E60" s="653">
        <v>4180.9057475742611</v>
      </c>
      <c r="F60" s="744">
        <f>IF(F50=0,0,MAX(G60,F50-300))</f>
        <v>4181</v>
      </c>
      <c r="G60" s="549">
        <v>4181</v>
      </c>
      <c r="H60" s="549">
        <f t="shared" ref="H60:H68" si="48">G60-F60</f>
        <v>0</v>
      </c>
      <c r="I60" s="653"/>
      <c r="J60" s="744">
        <f>IF(J50=0,0,MAX(K60,J50-300))</f>
        <v>3708.3640887713627</v>
      </c>
      <c r="K60" s="549">
        <v>3662.2642014144549</v>
      </c>
      <c r="L60" s="542">
        <f t="shared" ref="L60:L68" si="49">K60-J60</f>
        <v>-46.099887356907857</v>
      </c>
      <c r="M60" s="653"/>
      <c r="N60" s="1306">
        <f>IF(N50=0,0,MAX(Q60,N50-300))</f>
        <v>3717.6942285436699</v>
      </c>
      <c r="O60" s="1307">
        <v>3765.9999999999995</v>
      </c>
      <c r="P60" s="1307">
        <v>3708.3640887713627</v>
      </c>
      <c r="Q60" s="1305">
        <f>SUMPRODUCT(O60:P60,O96:P96)/SUM(O96:P96)</f>
        <v>3717.6942285436699</v>
      </c>
      <c r="R60" s="1305">
        <f t="shared" ref="R60:R68" si="50">Q60-N60</f>
        <v>0</v>
      </c>
      <c r="S60" s="744">
        <f>IF(S50=0,0,S50-300)</f>
        <v>3619.3459879684806</v>
      </c>
      <c r="T60" s="744">
        <f t="shared" ref="T60:W60" si="51">IF(T50=0,0,T50-300)</f>
        <v>3619.3459879684806</v>
      </c>
      <c r="U60" s="744">
        <f t="shared" si="51"/>
        <v>3619.3459879684806</v>
      </c>
      <c r="V60" s="744">
        <f t="shared" si="51"/>
        <v>3619.345987968481</v>
      </c>
      <c r="W60" s="744">
        <f t="shared" si="51"/>
        <v>3619.345987968481</v>
      </c>
      <c r="X60" s="390"/>
    </row>
    <row r="61" spans="2:24" s="417" customFormat="1" ht="15.5" x14ac:dyDescent="0.35">
      <c r="B61" s="1136" t="s">
        <v>749</v>
      </c>
      <c r="C61" s="1137" t="s">
        <v>1496</v>
      </c>
      <c r="D61" s="1138" t="s">
        <v>110</v>
      </c>
      <c r="E61" s="653"/>
      <c r="F61" s="744"/>
      <c r="G61" s="549"/>
      <c r="H61" s="549"/>
      <c r="I61" s="653"/>
      <c r="J61" s="744"/>
      <c r="K61" s="549"/>
      <c r="L61" s="542"/>
      <c r="M61" s="653"/>
      <c r="N61" s="744"/>
      <c r="O61" s="549"/>
      <c r="P61" s="549"/>
      <c r="Q61" s="542"/>
      <c r="R61" s="542"/>
      <c r="S61" s="744">
        <f t="shared" ref="S61:S66" si="52">S51</f>
        <v>3350</v>
      </c>
      <c r="T61" s="744">
        <f t="shared" ref="T61:W61" si="53">T51</f>
        <v>3350</v>
      </c>
      <c r="U61" s="744">
        <f t="shared" si="53"/>
        <v>3350</v>
      </c>
      <c r="V61" s="744">
        <f t="shared" si="53"/>
        <v>3350</v>
      </c>
      <c r="W61" s="744">
        <f t="shared" si="53"/>
        <v>3350</v>
      </c>
      <c r="X61" s="390"/>
    </row>
    <row r="62" spans="2:24" s="417" customFormat="1" ht="15.5" x14ac:dyDescent="0.35">
      <c r="B62" s="1136" t="s">
        <v>860</v>
      </c>
      <c r="C62" s="1137" t="s">
        <v>1497</v>
      </c>
      <c r="D62" s="1138" t="s">
        <v>110</v>
      </c>
      <c r="E62" s="653"/>
      <c r="F62" s="744"/>
      <c r="G62" s="549"/>
      <c r="H62" s="549"/>
      <c r="I62" s="653"/>
      <c r="J62" s="744"/>
      <c r="K62" s="549"/>
      <c r="L62" s="542"/>
      <c r="M62" s="653"/>
      <c r="N62" s="744"/>
      <c r="O62" s="549"/>
      <c r="P62" s="549"/>
      <c r="Q62" s="542"/>
      <c r="R62" s="542"/>
      <c r="S62" s="744">
        <f t="shared" si="52"/>
        <v>0</v>
      </c>
      <c r="T62" s="744">
        <f t="shared" ref="T62:W62" si="54">T52</f>
        <v>0</v>
      </c>
      <c r="U62" s="744">
        <f t="shared" si="54"/>
        <v>0</v>
      </c>
      <c r="V62" s="744">
        <f t="shared" si="54"/>
        <v>0</v>
      </c>
      <c r="W62" s="744">
        <f t="shared" si="54"/>
        <v>0</v>
      </c>
      <c r="X62" s="390"/>
    </row>
    <row r="63" spans="2:24" s="417" customFormat="1" ht="15.5" x14ac:dyDescent="0.35">
      <c r="B63" s="1136" t="s">
        <v>861</v>
      </c>
      <c r="C63" s="1137" t="s">
        <v>747</v>
      </c>
      <c r="D63" s="1138" t="s">
        <v>110</v>
      </c>
      <c r="E63" s="647">
        <f>E53</f>
        <v>58816.566647715343</v>
      </c>
      <c r="F63" s="550">
        <f t="shared" si="45"/>
        <v>10335.994588704494</v>
      </c>
      <c r="G63" s="549">
        <v>10335.994588704494</v>
      </c>
      <c r="H63" s="549">
        <f t="shared" si="48"/>
        <v>0</v>
      </c>
      <c r="I63" s="647"/>
      <c r="J63" s="550">
        <f t="shared" si="46"/>
        <v>10205.596847059713</v>
      </c>
      <c r="K63" s="549">
        <v>10205.596847059713</v>
      </c>
      <c r="L63" s="542">
        <f t="shared" si="49"/>
        <v>0</v>
      </c>
      <c r="M63" s="647"/>
      <c r="N63" s="1306">
        <f>Q63</f>
        <v>10242.510804282067</v>
      </c>
      <c r="O63" s="1307">
        <v>10256.931136934765</v>
      </c>
      <c r="P63" s="1307">
        <v>10205.596847059713</v>
      </c>
      <c r="Q63" s="1305">
        <f>SUMPRODUCT(O63:P63,O99:P99)/SUM(O99:P99)</f>
        <v>10242.510804282067</v>
      </c>
      <c r="R63" s="542">
        <f t="shared" si="50"/>
        <v>0</v>
      </c>
      <c r="S63" s="550">
        <f t="shared" si="52"/>
        <v>10205.596847059713</v>
      </c>
      <c r="T63" s="550">
        <f t="shared" ref="T63:W63" si="55">T53</f>
        <v>10205.596847059713</v>
      </c>
      <c r="U63" s="550">
        <f t="shared" si="55"/>
        <v>10205.596847059713</v>
      </c>
      <c r="V63" s="550">
        <f t="shared" si="55"/>
        <v>10205.596847059713</v>
      </c>
      <c r="W63" s="550">
        <f t="shared" si="55"/>
        <v>10205.596847059713</v>
      </c>
      <c r="X63" s="390"/>
    </row>
    <row r="64" spans="2:24" s="417" customFormat="1" ht="15.5" x14ac:dyDescent="0.35">
      <c r="B64" s="1136" t="s">
        <v>862</v>
      </c>
      <c r="C64" s="1137" t="s">
        <v>748</v>
      </c>
      <c r="D64" s="1138" t="s">
        <v>110</v>
      </c>
      <c r="E64" s="647">
        <f>E54</f>
        <v>66824.3694138055</v>
      </c>
      <c r="F64" s="550">
        <f t="shared" si="45"/>
        <v>10951.841738553418</v>
      </c>
      <c r="G64" s="549">
        <v>10951.841738553418</v>
      </c>
      <c r="H64" s="549">
        <f t="shared" si="48"/>
        <v>0</v>
      </c>
      <c r="I64" s="647"/>
      <c r="J64" s="550">
        <f t="shared" si="46"/>
        <v>10883.692204979843</v>
      </c>
      <c r="K64" s="549">
        <v>10883.692204979843</v>
      </c>
      <c r="L64" s="542">
        <f t="shared" si="49"/>
        <v>0</v>
      </c>
      <c r="M64" s="647"/>
      <c r="N64" s="1306">
        <f t="shared" ref="N64:N66" si="56">Q64</f>
        <v>10796.17109419897</v>
      </c>
      <c r="O64" s="1307">
        <v>10721.379974431935</v>
      </c>
      <c r="P64" s="1307">
        <v>10883.692204979843</v>
      </c>
      <c r="Q64" s="1305">
        <f>SUMPRODUCT(O64:P64,O100:P100)/SUM(O100:P100)</f>
        <v>10796.17109419897</v>
      </c>
      <c r="R64" s="542">
        <f t="shared" si="50"/>
        <v>0</v>
      </c>
      <c r="S64" s="550">
        <f t="shared" si="52"/>
        <v>10883.692204979843</v>
      </c>
      <c r="T64" s="550">
        <f t="shared" ref="T64:W66" si="57">T54</f>
        <v>10883.692204979843</v>
      </c>
      <c r="U64" s="550">
        <f t="shared" si="57"/>
        <v>10883.692204979843</v>
      </c>
      <c r="V64" s="550">
        <f t="shared" si="57"/>
        <v>10883.692204979843</v>
      </c>
      <c r="W64" s="550">
        <f t="shared" si="57"/>
        <v>10883.692204979843</v>
      </c>
      <c r="X64" s="390"/>
    </row>
    <row r="65" spans="2:24" s="417" customFormat="1" ht="15.5" x14ac:dyDescent="0.35">
      <c r="B65" s="1136" t="s">
        <v>1170</v>
      </c>
      <c r="C65" s="1137" t="s">
        <v>855</v>
      </c>
      <c r="D65" s="1138" t="s">
        <v>110</v>
      </c>
      <c r="E65" s="647"/>
      <c r="F65" s="550">
        <f t="shared" si="45"/>
        <v>0</v>
      </c>
      <c r="G65" s="549">
        <v>0</v>
      </c>
      <c r="H65" s="549">
        <f t="shared" si="48"/>
        <v>0</v>
      </c>
      <c r="I65" s="647"/>
      <c r="J65" s="550">
        <f t="shared" si="46"/>
        <v>0</v>
      </c>
      <c r="K65" s="549">
        <v>0</v>
      </c>
      <c r="L65" s="542">
        <f t="shared" si="49"/>
        <v>0</v>
      </c>
      <c r="M65" s="647"/>
      <c r="N65" s="1306">
        <f>Q65</f>
        <v>0</v>
      </c>
      <c r="O65" s="1307">
        <v>0</v>
      </c>
      <c r="P65" s="1307">
        <v>0</v>
      </c>
      <c r="Q65" s="1305">
        <f>IFERROR(SUMPRODUCT(O65:P65,O101:P101)/SUM(O101:P101),0)</f>
        <v>0</v>
      </c>
      <c r="R65" s="542">
        <f t="shared" si="50"/>
        <v>0</v>
      </c>
      <c r="S65" s="550">
        <f t="shared" si="52"/>
        <v>0</v>
      </c>
      <c r="T65" s="550">
        <f t="shared" si="57"/>
        <v>0</v>
      </c>
      <c r="U65" s="550">
        <f t="shared" si="57"/>
        <v>0</v>
      </c>
      <c r="V65" s="550">
        <f t="shared" si="57"/>
        <v>0</v>
      </c>
      <c r="W65" s="550">
        <f t="shared" si="57"/>
        <v>0</v>
      </c>
      <c r="X65" s="390"/>
    </row>
    <row r="66" spans="2:24" s="417" customFormat="1" ht="15.5" x14ac:dyDescent="0.35">
      <c r="B66" s="1136" t="s">
        <v>1172</v>
      </c>
      <c r="C66" s="1137" t="s">
        <v>856</v>
      </c>
      <c r="D66" s="1138" t="s">
        <v>110</v>
      </c>
      <c r="E66" s="647"/>
      <c r="F66" s="550">
        <f t="shared" si="45"/>
        <v>0</v>
      </c>
      <c r="G66" s="549">
        <v>0</v>
      </c>
      <c r="H66" s="549">
        <f t="shared" si="48"/>
        <v>0</v>
      </c>
      <c r="I66" s="647"/>
      <c r="J66" s="550">
        <f t="shared" si="46"/>
        <v>0</v>
      </c>
      <c r="K66" s="549">
        <v>0</v>
      </c>
      <c r="L66" s="542">
        <f t="shared" si="49"/>
        <v>0</v>
      </c>
      <c r="M66" s="647"/>
      <c r="N66" s="1306">
        <f t="shared" si="56"/>
        <v>0</v>
      </c>
      <c r="O66" s="1307">
        <v>0</v>
      </c>
      <c r="P66" s="1307">
        <v>0</v>
      </c>
      <c r="Q66" s="1305">
        <f>IFERROR(SUMPRODUCT(O66:P66,O102:P102)/SUM(O102:P102),0)</f>
        <v>0</v>
      </c>
      <c r="R66" s="542">
        <f t="shared" si="50"/>
        <v>0</v>
      </c>
      <c r="S66" s="550">
        <f t="shared" si="52"/>
        <v>0</v>
      </c>
      <c r="T66" s="550">
        <f t="shared" si="57"/>
        <v>0</v>
      </c>
      <c r="U66" s="550">
        <f t="shared" si="57"/>
        <v>0</v>
      </c>
      <c r="V66" s="550">
        <f t="shared" si="57"/>
        <v>0</v>
      </c>
      <c r="W66" s="550">
        <f t="shared" si="57"/>
        <v>0</v>
      </c>
      <c r="X66" s="390"/>
    </row>
    <row r="67" spans="2:24" s="417" customFormat="1" ht="15.5" x14ac:dyDescent="0.35">
      <c r="B67" s="477"/>
      <c r="C67" s="377"/>
      <c r="D67" s="388"/>
      <c r="E67" s="647"/>
      <c r="F67" s="550"/>
      <c r="G67" s="549"/>
      <c r="H67" s="549"/>
      <c r="I67" s="647"/>
      <c r="J67" s="550"/>
      <c r="K67" s="549"/>
      <c r="L67" s="542"/>
      <c r="M67" s="647"/>
      <c r="N67" s="1306"/>
      <c r="O67" s="1307"/>
      <c r="P67" s="1307"/>
      <c r="Q67" s="1305"/>
      <c r="R67" s="542"/>
      <c r="S67" s="542"/>
      <c r="T67" s="542"/>
      <c r="U67" s="542"/>
      <c r="V67" s="542"/>
      <c r="W67" s="542"/>
      <c r="X67" s="390"/>
    </row>
    <row r="68" spans="2:24" s="417" customFormat="1" ht="30" x14ac:dyDescent="0.3">
      <c r="B68" s="462">
        <v>2.2999999999999998</v>
      </c>
      <c r="C68" s="461" t="s">
        <v>2256</v>
      </c>
      <c r="D68" s="388" t="s">
        <v>110</v>
      </c>
      <c r="E68" s="647"/>
      <c r="F68" s="810">
        <f>MAX(SUMPRODUCT(F58:F60,G94:G96)/SUM(G94:G96)-MIN(120,SUMPRODUCT(G58:G60,G94:G96)/SUM(G94:G96)-G68),G68)</f>
        <v>3410.7232545394404</v>
      </c>
      <c r="G68" s="549">
        <v>3087.1527870149712</v>
      </c>
      <c r="H68" s="549">
        <f t="shared" si="48"/>
        <v>-323.57046752446922</v>
      </c>
      <c r="I68" s="647"/>
      <c r="J68" s="810">
        <f>MAX(SUMPRODUCT(J58*K94+J60*K96)/SUM(K94,K96)-MIN(120,SUMPRODUCT(K58*K94+K60*K96)/SUM(K94,K96)-K68),K68)</f>
        <v>3297.2201498375357</v>
      </c>
      <c r="K68" s="1307">
        <v>3094.9837409830225</v>
      </c>
      <c r="L68" s="542">
        <f t="shared" si="49"/>
        <v>-202.23640885451323</v>
      </c>
      <c r="M68" s="647"/>
      <c r="N68" s="811">
        <f>MAX(SUMPRODUCT(N58*Q94+N60*Q96)/SUM(Q94,Q96)-MIN(120,SUMPRODUCT(Q58*Q94+Q60*Q96)/SUM(Q94,Q96)-Q68),Q68)</f>
        <v>3288.2781566485951</v>
      </c>
      <c r="O68" s="1310">
        <v>3076.771003385109</v>
      </c>
      <c r="P68" s="810">
        <f>(P58*P94+P60*P96)/(P94+P96)-120</f>
        <v>3288.2809450590257</v>
      </c>
      <c r="Q68" s="810">
        <f>(Q58*Q94+Q60*Q96)/(Q94+Q96)-120</f>
        <v>3226.6822879262227</v>
      </c>
      <c r="R68" s="542">
        <f t="shared" si="50"/>
        <v>-61.595868722372416</v>
      </c>
      <c r="S68" s="1216">
        <f>IF(SUM(S94:S98)&gt;0,SUMPRODUCT(S58:S62,S94:S98)/SUM(S94:S98)-85,0)</f>
        <v>3313.5039676822794</v>
      </c>
      <c r="T68" s="1216">
        <f t="shared" ref="T68:W68" si="58">IF(SUM(T94:T98)&gt;0,SUMPRODUCT(T58:T62,T94:T98)/SUM(T94:T98)-85,0)</f>
        <v>3313.5089281889309</v>
      </c>
      <c r="U68" s="1216">
        <f t="shared" si="58"/>
        <v>3313.5080262413176</v>
      </c>
      <c r="V68" s="1216">
        <f t="shared" si="58"/>
        <v>3318.3567338476223</v>
      </c>
      <c r="W68" s="1216">
        <f t="shared" si="58"/>
        <v>3318.3519942495404</v>
      </c>
      <c r="X68" s="390"/>
    </row>
    <row r="69" spans="2:24" s="417" customFormat="1" ht="15.5" x14ac:dyDescent="0.3">
      <c r="B69" s="462"/>
      <c r="C69" s="461" t="s">
        <v>1480</v>
      </c>
      <c r="D69" s="388"/>
      <c r="E69" s="647"/>
      <c r="F69" s="550"/>
      <c r="G69" s="549"/>
      <c r="H69" s="549"/>
      <c r="I69" s="647"/>
      <c r="J69" s="1307">
        <f>IF(K69=0,0,MAX(J59-120,K69))</f>
        <v>4578.3586079179277</v>
      </c>
      <c r="K69" s="1307">
        <v>4578.3586079179277</v>
      </c>
      <c r="L69" s="549"/>
      <c r="M69" s="647"/>
      <c r="N69" s="1307">
        <f>IF(Q69=0,0,MAX(N59-120,Q69))</f>
        <v>4563.3879176117034</v>
      </c>
      <c r="O69" s="1307">
        <v>4566.1470882405165</v>
      </c>
      <c r="P69" s="1307">
        <v>4558.7092899273193</v>
      </c>
      <c r="Q69" s="1305">
        <f>SUMPRODUCT(O69:P69,O95:P95)/SUM(O95:P95)</f>
        <v>4563.3879176117034</v>
      </c>
      <c r="R69" s="542"/>
      <c r="S69" s="542"/>
      <c r="T69" s="542"/>
      <c r="U69" s="542"/>
      <c r="V69" s="542"/>
      <c r="W69" s="542"/>
      <c r="X69" s="390"/>
    </row>
    <row r="70" spans="2:24" s="417" customFormat="1" ht="15.5" x14ac:dyDescent="0.3">
      <c r="B70" s="462">
        <v>2.4</v>
      </c>
      <c r="C70" s="488" t="s">
        <v>1576</v>
      </c>
      <c r="D70" s="388" t="s">
        <v>110</v>
      </c>
      <c r="E70" s="647"/>
      <c r="F70" s="811">
        <f>SUMPRODUCT(F58:F60,F94:F96)/SUM(F94:F96)-F68</f>
        <v>120</v>
      </c>
      <c r="G70" s="745">
        <f>SUMPRODUCT(G58:G60,G94:G96)/SUM(G94:G96)-G68</f>
        <v>178.02598433493858</v>
      </c>
      <c r="H70" s="549">
        <f t="shared" ref="H70" si="59">G70-F70</f>
        <v>58.025984334938585</v>
      </c>
      <c r="I70" s="647"/>
      <c r="J70" s="745">
        <f>SUMPRODUCT(J58:J60,J94:J96)/SUM(J94:J96)-J68</f>
        <v>186.13469609384811</v>
      </c>
      <c r="K70" s="745">
        <f>SUMPRODUCT(K58:K60,K94:K96)/SUM(K94:K96)-K68</f>
        <v>192.59972050972283</v>
      </c>
      <c r="L70" s="542">
        <f t="shared" ref="L70" si="60">K70-J70</f>
        <v>6.4650244158747228</v>
      </c>
      <c r="M70" s="647"/>
      <c r="N70" s="1306">
        <f>SUMPRODUCT(N58:N60,N94:N96)/SUM(N94:N96)-N68</f>
        <v>192.70238555692958</v>
      </c>
      <c r="O70" s="1306">
        <f>SUMPRODUCT(O58:O60,O94:O96)/SUM(O94:O96)-O68</f>
        <v>300.52621455860526</v>
      </c>
      <c r="P70" s="1306">
        <f>SUMPRODUCT(P58:P60,P94:P96)/SUM(P94:P96)-P68</f>
        <v>166.73068087649108</v>
      </c>
      <c r="Q70" s="1306">
        <f>SUMPRODUCT(Q58:Q60,Q94:Q96)/SUM(Q94:Q96)-Q68</f>
        <v>194.09106656260883</v>
      </c>
      <c r="R70" s="542">
        <f t="shared" ref="R70" si="61">Q70-N70</f>
        <v>1.3886810056792456</v>
      </c>
      <c r="S70" s="745">
        <f t="shared" ref="S70:W70" si="62">SUMPRODUCT(S58:S60,S94:S96)/SUM(S94:S96)-S68</f>
        <v>85</v>
      </c>
      <c r="T70" s="745">
        <f t="shared" si="62"/>
        <v>85</v>
      </c>
      <c r="U70" s="745">
        <f t="shared" si="62"/>
        <v>85</v>
      </c>
      <c r="V70" s="745">
        <f t="shared" si="62"/>
        <v>85</v>
      </c>
      <c r="W70" s="745">
        <f t="shared" si="62"/>
        <v>85</v>
      </c>
      <c r="X70" s="390"/>
    </row>
    <row r="71" spans="2:24" s="417" customFormat="1" ht="15.5" x14ac:dyDescent="0.35">
      <c r="B71" s="477"/>
      <c r="C71" s="377"/>
      <c r="D71" s="388"/>
      <c r="E71" s="641"/>
      <c r="F71" s="543"/>
      <c r="G71" s="543"/>
      <c r="H71" s="542"/>
      <c r="I71" s="641"/>
      <c r="J71" s="543"/>
      <c r="K71" s="543"/>
      <c r="L71" s="542"/>
      <c r="M71" s="641"/>
      <c r="N71" s="543"/>
      <c r="O71" s="543"/>
      <c r="P71" s="543"/>
      <c r="Q71" s="543"/>
      <c r="R71" s="542"/>
      <c r="S71" s="543"/>
      <c r="T71" s="543"/>
      <c r="U71" s="543"/>
      <c r="V71" s="543"/>
      <c r="W71" s="543"/>
      <c r="X71" s="390"/>
    </row>
    <row r="72" spans="2:24" s="417" customFormat="1" ht="15.5" x14ac:dyDescent="0.3">
      <c r="B72" s="462">
        <v>2.5</v>
      </c>
      <c r="C72" s="461" t="s">
        <v>115</v>
      </c>
      <c r="D72" s="463"/>
      <c r="E72" s="647"/>
      <c r="F72" s="550"/>
      <c r="G72" s="549"/>
      <c r="H72" s="549"/>
      <c r="I72" s="647"/>
      <c r="J72" s="549"/>
      <c r="K72" s="549"/>
      <c r="L72" s="549"/>
      <c r="M72" s="647"/>
      <c r="N72" s="542"/>
      <c r="O72" s="542"/>
      <c r="P72" s="542"/>
      <c r="Q72" s="542"/>
      <c r="R72" s="542"/>
      <c r="S72" s="542"/>
      <c r="T72" s="542"/>
      <c r="U72" s="542"/>
      <c r="V72" s="542"/>
      <c r="W72" s="542"/>
      <c r="X72" s="390"/>
    </row>
    <row r="73" spans="2:24" s="417" customFormat="1" ht="15.5" x14ac:dyDescent="0.35">
      <c r="B73" s="1136" t="s">
        <v>412</v>
      </c>
      <c r="C73" s="1137" t="s">
        <v>745</v>
      </c>
      <c r="D73" s="1138" t="s">
        <v>117</v>
      </c>
      <c r="E73" s="641">
        <v>3650.0947890820848</v>
      </c>
      <c r="F73" s="543">
        <f>'F2.3'!$E$26</f>
        <v>3878.5961115339805</v>
      </c>
      <c r="G73" s="543">
        <f>'F2.3'!$F$26</f>
        <v>3866.304714643501</v>
      </c>
      <c r="H73" s="542">
        <f t="shared" ref="H73:H81" si="63">G73-F73</f>
        <v>-12.291396890479518</v>
      </c>
      <c r="I73" s="641"/>
      <c r="J73" s="543">
        <f>'F2.3'!$H$26</f>
        <v>4302.3758339584701</v>
      </c>
      <c r="K73" s="543">
        <f>'F2.3'!$I$26</f>
        <v>4285.8308043612851</v>
      </c>
      <c r="L73" s="542">
        <f t="shared" ref="L73:L81" si="64">K73-J73</f>
        <v>-16.545029597185021</v>
      </c>
      <c r="M73" s="641"/>
      <c r="N73" s="1133">
        <f>'F2.3'!$K$26</f>
        <v>4314.4461790693431</v>
      </c>
      <c r="O73" s="1133">
        <f>'F2.3'!$L$26</f>
        <v>4351.3916967536297</v>
      </c>
      <c r="P73" s="1133">
        <f>'F2.3'!$M$26</f>
        <v>4285.8308043612851</v>
      </c>
      <c r="Q73" s="1305">
        <f>SUMPRODUCT(O73:P73,O94:P94)/SUM(O94:P94)</f>
        <v>4314.4461790693431</v>
      </c>
      <c r="R73" s="1305">
        <f t="shared" ref="R73:R81" si="65">Q73-N73</f>
        <v>0</v>
      </c>
      <c r="S73" s="542">
        <f>'F2.3'!P26</f>
        <v>4499.7525636254413</v>
      </c>
      <c r="T73" s="542">
        <f>'F2.3'!Q26</f>
        <v>4724.7401918067135</v>
      </c>
      <c r="U73" s="542">
        <f>'F2.3'!R26</f>
        <v>4960.9772013970487</v>
      </c>
      <c r="V73" s="542">
        <f>'F2.3'!S26</f>
        <v>5190.1740367690873</v>
      </c>
      <c r="W73" s="542">
        <f>'F2.3'!T26</f>
        <v>5449.6911158850726</v>
      </c>
      <c r="X73" s="507"/>
    </row>
    <row r="74" spans="2:24" s="417" customFormat="1" ht="15.5" x14ac:dyDescent="0.35">
      <c r="B74" s="1136" t="s">
        <v>415</v>
      </c>
      <c r="C74" s="1137" t="s">
        <v>746</v>
      </c>
      <c r="D74" s="1138" t="s">
        <v>117</v>
      </c>
      <c r="E74" s="641">
        <v>16608.28</v>
      </c>
      <c r="F74" s="543">
        <f>'F2.3'!$E$40</f>
        <v>15485.794884725279</v>
      </c>
      <c r="G74" s="543">
        <f>'F2.3'!$F$40</f>
        <v>15485.794884725279</v>
      </c>
      <c r="H74" s="542">
        <f>G74-F74</f>
        <v>0</v>
      </c>
      <c r="I74" s="641"/>
      <c r="J74" s="543">
        <f>'F2.3'!$H$40</f>
        <v>12223.558814479162</v>
      </c>
      <c r="K74" s="543">
        <f>'F2.3'!$I$40</f>
        <v>12223.558814479162</v>
      </c>
      <c r="L74" s="542">
        <f t="shared" si="64"/>
        <v>0</v>
      </c>
      <c r="M74" s="641"/>
      <c r="N74" s="1133">
        <f>'F2.3'!$K$40</f>
        <v>11629.90822331719</v>
      </c>
      <c r="O74" s="1133">
        <f>'F2.3'!$L$40</f>
        <v>11279.809137557848</v>
      </c>
      <c r="P74" s="1133">
        <f>'F2.3'!$M$40</f>
        <v>12223.558814479162</v>
      </c>
      <c r="Q74" s="1305">
        <f>SUMPRODUCT(O74:P74,O95:P95)/SUM(O95:P95)</f>
        <v>11629.90822331719</v>
      </c>
      <c r="R74" s="1305">
        <f t="shared" si="65"/>
        <v>0</v>
      </c>
      <c r="S74" s="542">
        <f>'F2.3'!P40</f>
        <v>11937.421266904768</v>
      </c>
      <c r="T74" s="542">
        <f>'F2.3'!Q40</f>
        <v>12534.292330250008</v>
      </c>
      <c r="U74" s="542">
        <f>'F2.3'!R40</f>
        <v>13161.006946762509</v>
      </c>
      <c r="V74" s="542">
        <f>'F2.3'!S40</f>
        <v>13819.057294100634</v>
      </c>
      <c r="W74" s="542">
        <f>'F2.3'!T40</f>
        <v>14510.010158805668</v>
      </c>
      <c r="X74" s="507"/>
    </row>
    <row r="75" spans="2:24" s="417" customFormat="1" ht="15.5" x14ac:dyDescent="0.35">
      <c r="B75" s="1136" t="s">
        <v>416</v>
      </c>
      <c r="C75" s="1137" t="s">
        <v>854</v>
      </c>
      <c r="D75" s="1138" t="s">
        <v>117</v>
      </c>
      <c r="E75" s="641">
        <v>4552.0813729632255</v>
      </c>
      <c r="F75" s="543">
        <f>'F2.3'!$E$54</f>
        <v>3340.0257853931698</v>
      </c>
      <c r="G75" s="543">
        <f>'F2.3'!$F$54</f>
        <v>3340.0257853931698</v>
      </c>
      <c r="H75" s="542">
        <f t="shared" si="63"/>
        <v>0</v>
      </c>
      <c r="I75" s="641"/>
      <c r="J75" s="543">
        <f>'F2.3'!$H$54</f>
        <v>3911.9283357010622</v>
      </c>
      <c r="K75" s="543">
        <f>'F2.3'!$I$54</f>
        <v>3911.9283357010622</v>
      </c>
      <c r="L75" s="542">
        <f t="shared" si="64"/>
        <v>0</v>
      </c>
      <c r="M75" s="641"/>
      <c r="N75" s="1133">
        <f>'F2.3'!$K$54</f>
        <v>4026.5753961975374</v>
      </c>
      <c r="O75" s="1133">
        <f>'F2.3'!$L$54</f>
        <v>4620.1479296895322</v>
      </c>
      <c r="P75" s="1133">
        <f>'F2.3'!$M$54</f>
        <v>3911.9283357010622</v>
      </c>
      <c r="Q75" s="1305">
        <f>SUMPRODUCT(O75:P75,O96:P96)/SUM(O96:P96)</f>
        <v>4026.5753961975374</v>
      </c>
      <c r="R75" s="1305">
        <f t="shared" si="65"/>
        <v>0</v>
      </c>
      <c r="S75" s="542">
        <f>'F2.3'!P54</f>
        <v>4442.4639032349833</v>
      </c>
      <c r="T75" s="542">
        <f>'F2.3'!Q54</f>
        <v>4664.5870983967325</v>
      </c>
      <c r="U75" s="542">
        <f>'F2.3'!R54</f>
        <v>4897.8164533165691</v>
      </c>
      <c r="V75" s="542">
        <f>'F2.3'!S54</f>
        <v>5142.7072759823968</v>
      </c>
      <c r="W75" s="542">
        <f>'F2.3'!T54</f>
        <v>5399.8426397815174</v>
      </c>
      <c r="X75" s="507"/>
    </row>
    <row r="76" spans="2:24" s="417" customFormat="1" ht="15.5" x14ac:dyDescent="0.35">
      <c r="B76" s="1136" t="s">
        <v>750</v>
      </c>
      <c r="C76" s="1137" t="s">
        <v>1496</v>
      </c>
      <c r="D76" s="1138" t="s">
        <v>117</v>
      </c>
      <c r="E76" s="641"/>
      <c r="F76" s="543"/>
      <c r="G76" s="543"/>
      <c r="H76" s="542"/>
      <c r="I76" s="641"/>
      <c r="J76" s="543"/>
      <c r="K76" s="543"/>
      <c r="L76" s="542"/>
      <c r="M76" s="641"/>
      <c r="N76" s="1133"/>
      <c r="O76" s="1133"/>
      <c r="P76" s="1133"/>
      <c r="Q76" s="1305"/>
      <c r="R76" s="1305"/>
      <c r="S76" s="1120">
        <f>'F2.3'!P68</f>
        <v>0</v>
      </c>
      <c r="T76" s="1120">
        <f>'F2.3'!Q68</f>
        <v>0</v>
      </c>
      <c r="U76" s="1120">
        <f>'F2.3'!R68</f>
        <v>0</v>
      </c>
      <c r="V76" s="1120">
        <f>'F2.3'!S68</f>
        <v>0</v>
      </c>
      <c r="W76" s="1120">
        <f>'F2.3'!T68</f>
        <v>0</v>
      </c>
      <c r="X76" s="507"/>
    </row>
    <row r="77" spans="2:24" s="417" customFormat="1" ht="15.5" x14ac:dyDescent="0.35">
      <c r="B77" s="1136" t="s">
        <v>863</v>
      </c>
      <c r="C77" s="1137" t="s">
        <v>1497</v>
      </c>
      <c r="D77" s="1138" t="s">
        <v>117</v>
      </c>
      <c r="E77" s="641"/>
      <c r="F77" s="543"/>
      <c r="G77" s="543"/>
      <c r="H77" s="542"/>
      <c r="I77" s="641"/>
      <c r="J77" s="543"/>
      <c r="K77" s="543"/>
      <c r="L77" s="542"/>
      <c r="M77" s="641"/>
      <c r="N77" s="543"/>
      <c r="O77" s="543"/>
      <c r="P77" s="543"/>
      <c r="Q77" s="542"/>
      <c r="R77" s="542"/>
      <c r="S77" s="1120">
        <f>'F2.3'!P82</f>
        <v>0</v>
      </c>
      <c r="T77" s="1120">
        <f>'F2.3'!Q82</f>
        <v>0</v>
      </c>
      <c r="U77" s="1120">
        <f>'F2.3'!R82</f>
        <v>0</v>
      </c>
      <c r="V77" s="1120">
        <f>'F2.3'!S82</f>
        <v>0</v>
      </c>
      <c r="W77" s="1120">
        <f>'F2.3'!T82</f>
        <v>0</v>
      </c>
      <c r="X77" s="507"/>
    </row>
    <row r="78" spans="2:24" s="417" customFormat="1" ht="15.5" x14ac:dyDescent="0.35">
      <c r="B78" s="1136" t="s">
        <v>864</v>
      </c>
      <c r="C78" s="1137" t="s">
        <v>747</v>
      </c>
      <c r="D78" s="1138" t="s">
        <v>117</v>
      </c>
      <c r="E78" s="654">
        <v>58816.566647715343</v>
      </c>
      <c r="F78" s="543">
        <f>'F2.3'!$E$112</f>
        <v>58734.038747716913</v>
      </c>
      <c r="G78" s="543">
        <f>'F2.3'!$F$112</f>
        <v>58734.038747716913</v>
      </c>
      <c r="H78" s="542">
        <f t="shared" si="63"/>
        <v>0</v>
      </c>
      <c r="I78" s="654"/>
      <c r="J78" s="543">
        <f>'F2.3'!$H$112</f>
        <v>53758.289700017005</v>
      </c>
      <c r="K78" s="543">
        <f>'F2.3'!$I$112</f>
        <v>53758.289700017005</v>
      </c>
      <c r="L78" s="542">
        <f t="shared" si="64"/>
        <v>0</v>
      </c>
      <c r="M78" s="654"/>
      <c r="N78" s="1133">
        <f>'F2.3'!$K$112</f>
        <v>58186.78203451787</v>
      </c>
      <c r="O78" s="543">
        <f>'F2.3'!$L$112</f>
        <v>59916.759999999995</v>
      </c>
      <c r="P78" s="543">
        <f>'F2.3'!$M$112</f>
        <v>53758.289700017005</v>
      </c>
      <c r="Q78" s="542">
        <f>SUMPRODUCT(O78:P78,O99:P99)/SUM(O99:P99)</f>
        <v>58186.78203451787</v>
      </c>
      <c r="R78" s="542">
        <f t="shared" si="65"/>
        <v>0</v>
      </c>
      <c r="S78" s="542">
        <f>'F2.3'!P112</f>
        <v>54675.010540998395</v>
      </c>
      <c r="T78" s="542">
        <f>'F2.3'!Q112</f>
        <v>57408.761068048319</v>
      </c>
      <c r="U78" s="542">
        <f>'F2.3'!R112</f>
        <v>60279.199121450736</v>
      </c>
      <c r="V78" s="542">
        <f>'F2.3'!S112</f>
        <v>63293.159077523276</v>
      </c>
      <c r="W78" s="542">
        <f>'F2.3'!T112</f>
        <v>66457.817031399449</v>
      </c>
      <c r="X78" s="507"/>
    </row>
    <row r="79" spans="2:24" s="417" customFormat="1" ht="15.5" x14ac:dyDescent="0.35">
      <c r="B79" s="1136" t="s">
        <v>865</v>
      </c>
      <c r="C79" s="1137" t="s">
        <v>748</v>
      </c>
      <c r="D79" s="1138" t="s">
        <v>117</v>
      </c>
      <c r="E79" s="654">
        <v>66824.3694138055</v>
      </c>
      <c r="F79" s="543">
        <f>'F2.3'!$E$97</f>
        <v>72947.6671378584</v>
      </c>
      <c r="G79" s="543">
        <f>'F2.3'!$F$97</f>
        <v>72947.6671378584</v>
      </c>
      <c r="H79" s="549">
        <f t="shared" si="63"/>
        <v>0</v>
      </c>
      <c r="I79" s="654"/>
      <c r="J79" s="543">
        <f>'F2.3'!$H$97</f>
        <v>77509.4977427829</v>
      </c>
      <c r="K79" s="543">
        <f>'F2.3'!$I$97</f>
        <v>77509.4977427829</v>
      </c>
      <c r="L79" s="542">
        <f t="shared" si="64"/>
        <v>0</v>
      </c>
      <c r="M79" s="654"/>
      <c r="N79" s="1133">
        <f>'F2.3'!$K$97</f>
        <v>77423.084441627172</v>
      </c>
      <c r="O79" s="543">
        <f>'F2.3'!$L$97</f>
        <v>77349.239999999991</v>
      </c>
      <c r="P79" s="543">
        <f>'F2.3'!$M$97</f>
        <v>77509.4977427829</v>
      </c>
      <c r="Q79" s="542">
        <f>SUMPRODUCT(O79:P79,O100:P100)/SUM(O100:P100)</f>
        <v>77423.084441627172</v>
      </c>
      <c r="R79" s="542">
        <f t="shared" si="65"/>
        <v>0</v>
      </c>
      <c r="S79" s="542">
        <f>'F2.3'!P97</f>
        <v>86180.747835868926</v>
      </c>
      <c r="T79" s="542">
        <f>'F2.3'!Q97</f>
        <v>90489.785227662374</v>
      </c>
      <c r="U79" s="542">
        <f>'F2.3'!R97</f>
        <v>95014.274489045492</v>
      </c>
      <c r="V79" s="542">
        <f>'F2.3'!S97</f>
        <v>99764.988213497767</v>
      </c>
      <c r="W79" s="542">
        <f>'F2.3'!T97</f>
        <v>104753.23762417266</v>
      </c>
      <c r="X79" s="507"/>
    </row>
    <row r="80" spans="2:24" s="417" customFormat="1" ht="15.5" x14ac:dyDescent="0.35">
      <c r="B80" s="1136" t="s">
        <v>1499</v>
      </c>
      <c r="C80" s="1137" t="s">
        <v>855</v>
      </c>
      <c r="D80" s="1138" t="s">
        <v>117</v>
      </c>
      <c r="E80" s="641"/>
      <c r="F80" s="543">
        <f>'F2.3'!$E$125</f>
        <v>0</v>
      </c>
      <c r="G80" s="543">
        <f>'F2.3'!$F$125</f>
        <v>0</v>
      </c>
      <c r="H80" s="549">
        <f t="shared" si="63"/>
        <v>0</v>
      </c>
      <c r="I80" s="641"/>
      <c r="J80" s="543">
        <f>'F2.3'!$H$125</f>
        <v>0</v>
      </c>
      <c r="K80" s="543">
        <f>'F2.3'!$I$125</f>
        <v>0</v>
      </c>
      <c r="L80" s="542">
        <f t="shared" si="64"/>
        <v>0</v>
      </c>
      <c r="M80" s="641"/>
      <c r="N80" s="1133">
        <f>'F2.3'!$K$125</f>
        <v>0</v>
      </c>
      <c r="O80" s="543">
        <f>'F2.3'!$L$125</f>
        <v>0</v>
      </c>
      <c r="P80" s="543">
        <f>'F2.3'!$M$125</f>
        <v>0</v>
      </c>
      <c r="Q80" s="542">
        <f>IFERROR(SUMPRODUCT(O80:P80,O101:P101)/SUM(O101:P101),0)</f>
        <v>0</v>
      </c>
      <c r="R80" s="542">
        <f t="shared" si="65"/>
        <v>0</v>
      </c>
      <c r="S80" s="542">
        <f>'F2.3'!P125</f>
        <v>0</v>
      </c>
      <c r="T80" s="542">
        <f>'F2.3'!Q125</f>
        <v>0</v>
      </c>
      <c r="U80" s="542">
        <f>'F2.3'!R125</f>
        <v>0</v>
      </c>
      <c r="V80" s="542">
        <f>'F2.3'!S125</f>
        <v>0</v>
      </c>
      <c r="W80" s="542">
        <f>'F2.3'!T125</f>
        <v>0</v>
      </c>
      <c r="X80" s="507"/>
    </row>
    <row r="81" spans="2:24" s="417" customFormat="1" ht="15.5" x14ac:dyDescent="0.35">
      <c r="B81" s="1136" t="s">
        <v>1500</v>
      </c>
      <c r="C81" s="1137" t="s">
        <v>856</v>
      </c>
      <c r="D81" s="1138" t="s">
        <v>117</v>
      </c>
      <c r="E81" s="641"/>
      <c r="F81" s="543">
        <f>'F2.3'!$E$138</f>
        <v>111625.44755797101</v>
      </c>
      <c r="G81" s="543">
        <f>'F2.3'!$F$138</f>
        <v>111625.44755797101</v>
      </c>
      <c r="H81" s="549">
        <f t="shared" si="63"/>
        <v>0</v>
      </c>
      <c r="I81" s="641"/>
      <c r="J81" s="543">
        <f>'F2.3'!$H$138</f>
        <v>0</v>
      </c>
      <c r="K81" s="543">
        <f>'F2.3'!$I$138</f>
        <v>0</v>
      </c>
      <c r="L81" s="542">
        <f t="shared" si="64"/>
        <v>0</v>
      </c>
      <c r="M81" s="641"/>
      <c r="N81" s="543">
        <f>'F2.3'!$K$138</f>
        <v>0</v>
      </c>
      <c r="O81" s="543">
        <f>'F2.3'!$L$138</f>
        <v>0</v>
      </c>
      <c r="P81" s="543">
        <f>'F2.3'!$M$138</f>
        <v>0</v>
      </c>
      <c r="Q81" s="542">
        <f>IFERROR(SUMPRODUCT(O81:P81,O102:P102)/SUM(O102:P102),0)</f>
        <v>0</v>
      </c>
      <c r="R81" s="542">
        <f t="shared" si="65"/>
        <v>0</v>
      </c>
      <c r="S81" s="542">
        <f>'F2.3'!P138</f>
        <v>0</v>
      </c>
      <c r="T81" s="542">
        <f>'F2.3'!Q138</f>
        <v>0</v>
      </c>
      <c r="U81" s="542">
        <f>'F2.3'!R138</f>
        <v>0</v>
      </c>
      <c r="V81" s="542">
        <f>'F2.3'!S138</f>
        <v>0</v>
      </c>
      <c r="W81" s="542">
        <f>'F2.3'!T138</f>
        <v>0</v>
      </c>
      <c r="X81" s="507"/>
    </row>
    <row r="82" spans="2:24" s="417" customFormat="1" ht="15.5" x14ac:dyDescent="0.3">
      <c r="B82" s="462">
        <v>3</v>
      </c>
      <c r="C82" s="488" t="s">
        <v>120</v>
      </c>
      <c r="D82" s="463"/>
      <c r="E82" s="646"/>
      <c r="F82" s="549"/>
      <c r="G82" s="549"/>
      <c r="H82" s="549"/>
      <c r="I82" s="646"/>
      <c r="J82" s="549"/>
      <c r="K82" s="549"/>
      <c r="L82" s="549"/>
      <c r="M82" s="646"/>
      <c r="N82" s="542"/>
      <c r="O82" s="542"/>
      <c r="P82" s="542"/>
      <c r="Q82" s="542"/>
      <c r="R82" s="542"/>
      <c r="S82" s="542"/>
      <c r="T82" s="542"/>
      <c r="U82" s="542"/>
      <c r="V82" s="542"/>
      <c r="W82" s="542"/>
      <c r="X82" s="507"/>
    </row>
    <row r="83" spans="2:24" s="417" customFormat="1" ht="15.5" x14ac:dyDescent="0.3">
      <c r="B83" s="462">
        <v>3.1</v>
      </c>
      <c r="C83" s="461" t="s">
        <v>121</v>
      </c>
      <c r="D83" s="463"/>
      <c r="E83" s="646"/>
      <c r="F83" s="549"/>
      <c r="G83" s="549"/>
      <c r="H83" s="549"/>
      <c r="I83" s="646"/>
      <c r="J83" s="549"/>
      <c r="K83" s="549"/>
      <c r="L83" s="549"/>
      <c r="M83" s="646"/>
      <c r="N83" s="542"/>
      <c r="O83" s="542"/>
      <c r="P83" s="542"/>
      <c r="Q83" s="542"/>
      <c r="R83" s="542"/>
      <c r="S83" s="542"/>
      <c r="T83" s="542"/>
      <c r="U83" s="542"/>
      <c r="V83" s="542"/>
      <c r="W83" s="542"/>
      <c r="X83" s="507"/>
    </row>
    <row r="84" spans="2:24" s="417" customFormat="1" ht="15.5" x14ac:dyDescent="0.35">
      <c r="B84" s="1136" t="s">
        <v>122</v>
      </c>
      <c r="C84" s="1137" t="s">
        <v>745</v>
      </c>
      <c r="D84" s="1138" t="s">
        <v>894</v>
      </c>
      <c r="E84" s="655"/>
      <c r="F84" s="808">
        <f t="shared" ref="F84:G86" si="66">F94/F$23/1000</f>
        <v>0.70885896473024446</v>
      </c>
      <c r="G84" s="808">
        <f t="shared" si="66"/>
        <v>0.7856212403163243</v>
      </c>
      <c r="H84" s="543">
        <f>G84-F84</f>
        <v>7.6762275586079842E-2</v>
      </c>
      <c r="I84" s="655"/>
      <c r="J84" s="543">
        <f t="shared" ref="J84:K86" si="67">J94/J$23/1000</f>
        <v>0.71096823798137143</v>
      </c>
      <c r="K84" s="543">
        <f t="shared" si="67"/>
        <v>0.75947113872491334</v>
      </c>
      <c r="L84" s="543">
        <f>K84-J84</f>
        <v>4.850290074354191E-2</v>
      </c>
      <c r="M84" s="655"/>
      <c r="N84" s="543">
        <f>N94/N$23/1000</f>
        <v>0.73214224290133001</v>
      </c>
      <c r="O84" s="543">
        <f t="shared" ref="N84:Q86" si="68">O94/O$23/1000</f>
        <v>0.77683176515587671</v>
      </c>
      <c r="P84" s="543">
        <f t="shared" si="68"/>
        <v>0.75529828664093845</v>
      </c>
      <c r="Q84" s="543">
        <f t="shared" si="68"/>
        <v>0.76454839407308339</v>
      </c>
      <c r="R84" s="543">
        <f t="shared" ref="R84:R92" si="69">Q84-N84</f>
        <v>3.2406151171753383E-2</v>
      </c>
      <c r="S84" s="543">
        <f t="shared" ref="S84:W84" si="70">S94/S$23/1000</f>
        <v>0.720482353990887</v>
      </c>
      <c r="T84" s="543">
        <f t="shared" si="70"/>
        <v>0.72047670694118893</v>
      </c>
      <c r="U84" s="543">
        <f t="shared" si="70"/>
        <v>0.72047773371857182</v>
      </c>
      <c r="V84" s="543">
        <f t="shared" si="70"/>
        <v>0.7074044771440563</v>
      </c>
      <c r="W84" s="543">
        <f t="shared" si="70"/>
        <v>0.70740576580620562</v>
      </c>
      <c r="X84" s="507"/>
    </row>
    <row r="85" spans="2:24" s="417" customFormat="1" ht="15.5" x14ac:dyDescent="0.35">
      <c r="B85" s="1136" t="s">
        <v>123</v>
      </c>
      <c r="C85" s="1137" t="s">
        <v>746</v>
      </c>
      <c r="D85" s="1138" t="s">
        <v>894</v>
      </c>
      <c r="E85" s="655"/>
      <c r="F85" s="808">
        <f t="shared" si="66"/>
        <v>7.2477454817309245E-2</v>
      </c>
      <c r="G85" s="808">
        <f t="shared" si="66"/>
        <v>8.0326032090478325E-2</v>
      </c>
      <c r="H85" s="543">
        <f t="shared" ref="H85:H92" si="71">G85-F85</f>
        <v>7.84857727316908E-3</v>
      </c>
      <c r="I85" s="655"/>
      <c r="J85" s="543">
        <f t="shared" si="67"/>
        <v>4.3977654367019788E-2</v>
      </c>
      <c r="K85" s="543">
        <f t="shared" si="67"/>
        <v>4.4096443469767349E-2</v>
      </c>
      <c r="L85" s="543">
        <f t="shared" ref="L85:L92" si="72">K85-J85</f>
        <v>1.1878910274756155E-4</v>
      </c>
      <c r="M85" s="655"/>
      <c r="N85" s="543">
        <f t="shared" si="68"/>
        <v>4.5392693319027275E-2</v>
      </c>
      <c r="O85" s="543">
        <f t="shared" si="68"/>
        <v>6.7463704870147245E-2</v>
      </c>
      <c r="P85" s="543">
        <f t="shared" si="68"/>
        <v>2.9961217964898385E-2</v>
      </c>
      <c r="Q85" s="543">
        <f t="shared" si="68"/>
        <v>4.6071110874467386E-2</v>
      </c>
      <c r="R85" s="543">
        <f t="shared" si="69"/>
        <v>6.7841755544011118E-4</v>
      </c>
      <c r="S85" s="543">
        <f t="shared" ref="S85:W85" si="73">S95/S$23/1000</f>
        <v>4.8304395551758535E-2</v>
      </c>
      <c r="T85" s="543">
        <f t="shared" si="73"/>
        <v>4.83067573894242E-2</v>
      </c>
      <c r="U85" s="543">
        <f t="shared" si="73"/>
        <v>4.8306327947215129E-2</v>
      </c>
      <c r="V85" s="543">
        <f t="shared" si="73"/>
        <v>4.8309824558062257E-2</v>
      </c>
      <c r="W85" s="543">
        <f t="shared" si="73"/>
        <v>4.8307374877767893E-2</v>
      </c>
      <c r="X85" s="507"/>
    </row>
    <row r="86" spans="2:24" s="417" customFormat="1" ht="15.5" x14ac:dyDescent="0.35">
      <c r="B86" s="1136" t="s">
        <v>124</v>
      </c>
      <c r="C86" s="1137" t="s">
        <v>854</v>
      </c>
      <c r="D86" s="1138" t="s">
        <v>894</v>
      </c>
      <c r="E86" s="655"/>
      <c r="F86" s="808">
        <f t="shared" si="66"/>
        <v>3.9521304255004594E-3</v>
      </c>
      <c r="G86" s="808">
        <f t="shared" si="66"/>
        <v>4.3801062852539523E-3</v>
      </c>
      <c r="H86" s="543">
        <f t="shared" si="71"/>
        <v>4.2797585975349293E-4</v>
      </c>
      <c r="I86" s="655"/>
      <c r="J86" s="543">
        <f t="shared" si="67"/>
        <v>4.032974696006756E-2</v>
      </c>
      <c r="K86" s="543">
        <f t="shared" si="67"/>
        <v>4.308107902993643E-2</v>
      </c>
      <c r="L86" s="543">
        <f t="shared" si="72"/>
        <v>2.7513320698688698E-3</v>
      </c>
      <c r="M86" s="655"/>
      <c r="N86" s="543">
        <f t="shared" si="68"/>
        <v>1.9424587841726754E-2</v>
      </c>
      <c r="O86" s="543">
        <f t="shared" si="68"/>
        <v>7.5076219573058595E-3</v>
      </c>
      <c r="P86" s="543">
        <f t="shared" si="68"/>
        <v>2.9271331141793522E-2</v>
      </c>
      <c r="Q86" s="543">
        <f t="shared" si="68"/>
        <v>1.9922323830280315E-2</v>
      </c>
      <c r="R86" s="543">
        <f t="shared" si="69"/>
        <v>4.9773598855356108E-4</v>
      </c>
      <c r="S86" s="543">
        <f t="shared" ref="S86:W86" si="74">S96/S$23/1000</f>
        <v>3.9572447125094501E-2</v>
      </c>
      <c r="T86" s="543">
        <f t="shared" si="74"/>
        <v>3.9574382015182138E-2</v>
      </c>
      <c r="U86" s="543">
        <f t="shared" si="74"/>
        <v>3.9574030202910865E-2</v>
      </c>
      <c r="V86" s="543">
        <f t="shared" si="74"/>
        <v>5.1468543856089406E-2</v>
      </c>
      <c r="W86" s="543">
        <f t="shared" si="74"/>
        <v>5.146593400439118E-2</v>
      </c>
      <c r="X86" s="507"/>
    </row>
    <row r="87" spans="2:24" s="417" customFormat="1" ht="15.5" x14ac:dyDescent="0.35">
      <c r="B87" s="1136" t="s">
        <v>751</v>
      </c>
      <c r="C87" s="1137" t="s">
        <v>1496</v>
      </c>
      <c r="D87" s="1138" t="s">
        <v>894</v>
      </c>
      <c r="E87" s="655"/>
      <c r="F87" s="808"/>
      <c r="G87" s="808"/>
      <c r="H87" s="543"/>
      <c r="I87" s="655"/>
      <c r="J87" s="543"/>
      <c r="K87" s="543"/>
      <c r="L87" s="543"/>
      <c r="M87" s="655"/>
      <c r="N87" s="543"/>
      <c r="O87" s="543"/>
      <c r="P87" s="543"/>
      <c r="Q87" s="543"/>
      <c r="R87" s="543"/>
      <c r="S87" s="543">
        <f t="shared" ref="S87:W87" si="75">S97/S$23/1000</f>
        <v>0</v>
      </c>
      <c r="T87" s="543">
        <f t="shared" si="75"/>
        <v>0</v>
      </c>
      <c r="U87" s="543">
        <f t="shared" si="75"/>
        <v>0</v>
      </c>
      <c r="V87" s="543">
        <f t="shared" si="75"/>
        <v>0</v>
      </c>
      <c r="W87" s="543">
        <f t="shared" si="75"/>
        <v>0</v>
      </c>
      <c r="X87" s="507"/>
    </row>
    <row r="88" spans="2:24" s="417" customFormat="1" ht="15.5" x14ac:dyDescent="0.35">
      <c r="B88" s="1136" t="s">
        <v>866</v>
      </c>
      <c r="C88" s="1137" t="s">
        <v>1497</v>
      </c>
      <c r="D88" s="1138" t="s">
        <v>894</v>
      </c>
      <c r="E88" s="655"/>
      <c r="F88" s="808"/>
      <c r="G88" s="808"/>
      <c r="H88" s="543"/>
      <c r="I88" s="655"/>
      <c r="J88" s="543"/>
      <c r="K88" s="543"/>
      <c r="L88" s="543"/>
      <c r="M88" s="655"/>
      <c r="N88" s="543"/>
      <c r="O88" s="543"/>
      <c r="P88" s="543"/>
      <c r="Q88" s="543"/>
      <c r="R88" s="543"/>
      <c r="S88" s="543">
        <f t="shared" ref="S88:W88" si="76">S98/S$23/1000</f>
        <v>0</v>
      </c>
      <c r="T88" s="543">
        <f t="shared" si="76"/>
        <v>0</v>
      </c>
      <c r="U88" s="543">
        <f t="shared" si="76"/>
        <v>0</v>
      </c>
      <c r="V88" s="543">
        <f t="shared" si="76"/>
        <v>0</v>
      </c>
      <c r="W88" s="543">
        <f t="shared" si="76"/>
        <v>0</v>
      </c>
      <c r="X88" s="507"/>
    </row>
    <row r="89" spans="2:24" s="417" customFormat="1" ht="15.5" x14ac:dyDescent="0.35">
      <c r="B89" s="1136" t="s">
        <v>867</v>
      </c>
      <c r="C89" s="1137" t="s">
        <v>747</v>
      </c>
      <c r="D89" s="1138" t="s">
        <v>894</v>
      </c>
      <c r="E89" s="641"/>
      <c r="F89" s="808">
        <f>F$41*G89/(G89+G90+G91+G92)</f>
        <v>0.84944430763113554</v>
      </c>
      <c r="G89" s="808">
        <f>G99/G$23</f>
        <v>4.0422221992440255</v>
      </c>
      <c r="H89" s="543">
        <f t="shared" si="71"/>
        <v>3.1927778916128897</v>
      </c>
      <c r="I89" s="641"/>
      <c r="J89" s="754">
        <f>J$41*K89/(K89+K90+K91+K92)</f>
        <v>0.73890627959298483</v>
      </c>
      <c r="K89" s="543">
        <f>K99/K$23</f>
        <v>1.4631680366194979</v>
      </c>
      <c r="L89" s="543">
        <f t="shared" si="72"/>
        <v>0.72426175702651308</v>
      </c>
      <c r="M89" s="641"/>
      <c r="N89" s="543">
        <f>N$41*Q89/($Q$89+$Q$90+$Q$91+$Q$92)</f>
        <v>0.82276422127746895</v>
      </c>
      <c r="O89" s="543">
        <f>O99/O$23</f>
        <v>2.5473511602224064</v>
      </c>
      <c r="P89" s="543">
        <f>P99/P$23</f>
        <v>0.74938103304470738</v>
      </c>
      <c r="Q89" s="543">
        <f>Q99/Q23</f>
        <v>1.5217326447289701</v>
      </c>
      <c r="R89" s="543">
        <f t="shared" si="69"/>
        <v>0.69896842345150112</v>
      </c>
      <c r="S89" s="543">
        <f>S99/S$23</f>
        <v>0.74194647921871992</v>
      </c>
      <c r="T89" s="543">
        <f t="shared" ref="T89:W89" si="77">T99/T$23</f>
        <v>0.74198275660342794</v>
      </c>
      <c r="U89" s="543">
        <f t="shared" si="77"/>
        <v>0.74197616045143377</v>
      </c>
      <c r="V89" s="543">
        <f t="shared" si="77"/>
        <v>0.74044475001708654</v>
      </c>
      <c r="W89" s="543">
        <f t="shared" si="77"/>
        <v>0.74172099272119274</v>
      </c>
      <c r="X89" s="507"/>
    </row>
    <row r="90" spans="2:24" s="417" customFormat="1" ht="15.5" x14ac:dyDescent="0.35">
      <c r="B90" s="1136" t="s">
        <v>868</v>
      </c>
      <c r="C90" s="1137" t="s">
        <v>748</v>
      </c>
      <c r="D90" s="1138" t="s">
        <v>894</v>
      </c>
      <c r="E90" s="641"/>
      <c r="F90" s="808">
        <f>F$41*G90/(G89+G90+G91+G92)</f>
        <v>0.15055569236886446</v>
      </c>
      <c r="G90" s="808">
        <f>G100/G$23</f>
        <v>0.71644433478298031</v>
      </c>
      <c r="H90" s="543">
        <f t="shared" si="71"/>
        <v>0.56588864241411585</v>
      </c>
      <c r="I90" s="641"/>
      <c r="J90" s="754">
        <f>J$41*K90/(K90+K91+K92+K89)</f>
        <v>0.26109372040701512</v>
      </c>
      <c r="K90" s="543">
        <f>K100/K$23</f>
        <v>0.51701277524944633</v>
      </c>
      <c r="L90" s="543">
        <f t="shared" si="72"/>
        <v>0.25591905484243122</v>
      </c>
      <c r="M90" s="641"/>
      <c r="N90" s="543">
        <f>N$41*Q90/($Q$89+$Q$90+$Q$91+$Q$92)</f>
        <v>0.17723577872253105</v>
      </c>
      <c r="O90" s="543">
        <f t="shared" ref="O90:P90" si="78">O100/O$23</f>
        <v>0.4114748986467332</v>
      </c>
      <c r="P90" s="543">
        <f t="shared" si="78"/>
        <v>0.26479499135921619</v>
      </c>
      <c r="Q90" s="543">
        <f>Q100/Q23</f>
        <v>0.3278040820458577</v>
      </c>
      <c r="R90" s="543">
        <f t="shared" si="69"/>
        <v>0.15056830332332666</v>
      </c>
      <c r="S90" s="543">
        <f t="shared" ref="S90:W92" si="79">S100/S$23</f>
        <v>0.26216797982662704</v>
      </c>
      <c r="T90" s="543">
        <f t="shared" si="79"/>
        <v>0.2621807984987668</v>
      </c>
      <c r="U90" s="543">
        <f t="shared" si="79"/>
        <v>0.26217846773786774</v>
      </c>
      <c r="V90" s="543">
        <f t="shared" si="79"/>
        <v>0.26163734140179967</v>
      </c>
      <c r="W90" s="543">
        <f t="shared" si="79"/>
        <v>0.26208830381064657</v>
      </c>
      <c r="X90" s="507"/>
    </row>
    <row r="91" spans="2:24" s="417" customFormat="1" ht="15.5" x14ac:dyDescent="0.35">
      <c r="B91" s="1136" t="s">
        <v>1501</v>
      </c>
      <c r="C91" s="1137" t="s">
        <v>855</v>
      </c>
      <c r="D91" s="1138" t="s">
        <v>894</v>
      </c>
      <c r="E91" s="641"/>
      <c r="F91" s="808">
        <f>F$41*G91/(G91+G92+G93+G94)</f>
        <v>0</v>
      </c>
      <c r="G91" s="808">
        <f>G101/G$23</f>
        <v>0</v>
      </c>
      <c r="H91" s="543">
        <f t="shared" si="71"/>
        <v>0</v>
      </c>
      <c r="I91" s="641"/>
      <c r="J91" s="754">
        <f>J$41*K91/(K91+K92+K90+K89)</f>
        <v>0</v>
      </c>
      <c r="K91" s="543">
        <f>K101/K$23</f>
        <v>0</v>
      </c>
      <c r="L91" s="543">
        <f t="shared" si="72"/>
        <v>0</v>
      </c>
      <c r="M91" s="641"/>
      <c r="N91" s="543">
        <f>N$41*Q91/($Q$89+$Q$90+$Q$91+$Q$92)</f>
        <v>0</v>
      </c>
      <c r="O91" s="543">
        <f t="shared" ref="O91:P91" si="80">O101/O$23</f>
        <v>0</v>
      </c>
      <c r="P91" s="543">
        <f t="shared" si="80"/>
        <v>0</v>
      </c>
      <c r="Q91" s="543">
        <f t="shared" ref="Q91:Q92" si="81">O91+P91</f>
        <v>0</v>
      </c>
      <c r="R91" s="543">
        <f t="shared" si="69"/>
        <v>0</v>
      </c>
      <c r="S91" s="543">
        <f t="shared" si="79"/>
        <v>0</v>
      </c>
      <c r="T91" s="543">
        <f t="shared" si="79"/>
        <v>0</v>
      </c>
      <c r="U91" s="543">
        <f t="shared" si="79"/>
        <v>0</v>
      </c>
      <c r="V91" s="543">
        <f t="shared" si="79"/>
        <v>0</v>
      </c>
      <c r="W91" s="543">
        <f t="shared" si="79"/>
        <v>0</v>
      </c>
      <c r="X91" s="507"/>
    </row>
    <row r="92" spans="2:24" s="417" customFormat="1" ht="15.5" x14ac:dyDescent="0.35">
      <c r="B92" s="1136" t="s">
        <v>1502</v>
      </c>
      <c r="C92" s="1137" t="s">
        <v>856</v>
      </c>
      <c r="D92" s="1138" t="s">
        <v>894</v>
      </c>
      <c r="E92" s="641"/>
      <c r="F92" s="808">
        <f>F$41*G92/(G92+G93+G94+G95)</f>
        <v>0</v>
      </c>
      <c r="G92" s="808">
        <f>G102/G$23</f>
        <v>0</v>
      </c>
      <c r="H92" s="543">
        <f t="shared" si="71"/>
        <v>0</v>
      </c>
      <c r="I92" s="641"/>
      <c r="J92" s="754">
        <f>J$41*K92/(K92+K91+K90+K89)</f>
        <v>0</v>
      </c>
      <c r="K92" s="543">
        <f>K102/K$23</f>
        <v>0</v>
      </c>
      <c r="L92" s="543">
        <f t="shared" si="72"/>
        <v>0</v>
      </c>
      <c r="M92" s="641"/>
      <c r="N92" s="543">
        <f>N$41*Q92/($Q$89+$Q$90+$Q$91+$Q$92)</f>
        <v>0</v>
      </c>
      <c r="O92" s="543">
        <f t="shared" ref="O92:P92" si="82">O102/O$23</f>
        <v>0</v>
      </c>
      <c r="P92" s="543">
        <f t="shared" si="82"/>
        <v>0</v>
      </c>
      <c r="Q92" s="543">
        <f t="shared" si="81"/>
        <v>0</v>
      </c>
      <c r="R92" s="543">
        <f t="shared" si="69"/>
        <v>0</v>
      </c>
      <c r="S92" s="543">
        <f t="shared" si="79"/>
        <v>0</v>
      </c>
      <c r="T92" s="543">
        <f t="shared" si="79"/>
        <v>0</v>
      </c>
      <c r="U92" s="543">
        <f t="shared" si="79"/>
        <v>0</v>
      </c>
      <c r="V92" s="543">
        <f t="shared" si="79"/>
        <v>0</v>
      </c>
      <c r="W92" s="543">
        <f t="shared" si="79"/>
        <v>0</v>
      </c>
      <c r="X92" s="507"/>
    </row>
    <row r="93" spans="2:24" s="417" customFormat="1" ht="15.5" x14ac:dyDescent="0.3">
      <c r="B93" s="462">
        <v>3.2</v>
      </c>
      <c r="C93" s="461" t="s">
        <v>125</v>
      </c>
      <c r="D93" s="463"/>
      <c r="E93" s="647"/>
      <c r="F93" s="550"/>
      <c r="G93" s="550"/>
      <c r="H93" s="550"/>
      <c r="I93" s="647"/>
      <c r="J93" s="550"/>
      <c r="K93" s="550"/>
      <c r="L93" s="550"/>
      <c r="M93" s="647"/>
      <c r="N93" s="543"/>
      <c r="O93" s="543"/>
      <c r="P93" s="543"/>
      <c r="Q93" s="543"/>
      <c r="R93" s="543"/>
      <c r="S93" s="543"/>
      <c r="T93" s="543"/>
      <c r="U93" s="543"/>
      <c r="V93" s="543"/>
      <c r="W93" s="543"/>
      <c r="X93" s="507"/>
    </row>
    <row r="94" spans="2:24" s="417" customFormat="1" ht="15.5" x14ac:dyDescent="0.35">
      <c r="B94" s="1136" t="s">
        <v>126</v>
      </c>
      <c r="C94" s="1137" t="s">
        <v>745</v>
      </c>
      <c r="D94" s="1138" t="s">
        <v>895</v>
      </c>
      <c r="E94" s="641"/>
      <c r="F94" s="808">
        <f>IFERROR(F104/F$68*1000,0)</f>
        <v>5964178.4182552826</v>
      </c>
      <c r="G94" s="808">
        <v>6610038.7800000003</v>
      </c>
      <c r="H94" s="543">
        <f t="shared" ref="H94:H112" si="83">G94-F94</f>
        <v>645860.36174471769</v>
      </c>
      <c r="I94" s="641"/>
      <c r="J94" s="543">
        <f>IFERROR(J104/J$68*1000,0)</f>
        <v>6426526.5083339363</v>
      </c>
      <c r="K94" s="808">
        <v>6864950</v>
      </c>
      <c r="L94" s="543">
        <f t="shared" ref="L94:L102" si="84">K94-J94</f>
        <v>438423.49166606367</v>
      </c>
      <c r="M94" s="641"/>
      <c r="N94" s="543">
        <f>IFERROR(N104/N$68*1000,0)</f>
        <v>8537530.9735899139</v>
      </c>
      <c r="O94" s="808">
        <v>3891315</v>
      </c>
      <c r="P94" s="808">
        <v>5024105</v>
      </c>
      <c r="Q94" s="543">
        <f>O94+P94</f>
        <v>8915420</v>
      </c>
      <c r="R94" s="543">
        <f>Q94-N94</f>
        <v>377889.02641008608</v>
      </c>
      <c r="S94" s="808">
        <v>9695050</v>
      </c>
      <c r="T94" s="808">
        <v>9694499.9999999981</v>
      </c>
      <c r="U94" s="808">
        <v>9694599.9999999981</v>
      </c>
      <c r="V94" s="808">
        <v>9518000</v>
      </c>
      <c r="W94" s="808">
        <v>9518500</v>
      </c>
      <c r="X94" s="507"/>
    </row>
    <row r="95" spans="2:24" s="417" customFormat="1" ht="15.5" x14ac:dyDescent="0.35">
      <c r="B95" s="1136" t="s">
        <v>127</v>
      </c>
      <c r="C95" s="1137" t="s">
        <v>746</v>
      </c>
      <c r="D95" s="1138" t="s">
        <v>895</v>
      </c>
      <c r="E95" s="641"/>
      <c r="F95" s="808">
        <f>IFERROR(F105/F$68*1000,0)</f>
        <v>609808.8524505964</v>
      </c>
      <c r="G95" s="808">
        <v>675845</v>
      </c>
      <c r="H95" s="543">
        <f t="shared" si="83"/>
        <v>66036.147549403599</v>
      </c>
      <c r="I95" s="641"/>
      <c r="J95" s="543">
        <f>IFERROR(J105/J$69*1000,0)</f>
        <v>397519.25116436154</v>
      </c>
      <c r="K95" s="808">
        <v>398593</v>
      </c>
      <c r="L95" s="543">
        <f t="shared" si="84"/>
        <v>1073.7488356384565</v>
      </c>
      <c r="M95" s="641"/>
      <c r="N95" s="543">
        <f>IFERROR(N105/N$69*1000,0)</f>
        <v>529325.45409497945</v>
      </c>
      <c r="O95" s="808">
        <v>337940</v>
      </c>
      <c r="P95" s="808">
        <v>199296.5</v>
      </c>
      <c r="Q95" s="543">
        <f>O95+P95</f>
        <v>537236.5</v>
      </c>
      <c r="R95" s="543">
        <f t="shared" ref="R95:R102" si="85">Q95-N95</f>
        <v>7911.0459050205536</v>
      </c>
      <c r="S95" s="808">
        <v>650000</v>
      </c>
      <c r="T95" s="808">
        <v>650000</v>
      </c>
      <c r="U95" s="808">
        <v>650000</v>
      </c>
      <c r="V95" s="808">
        <v>650000</v>
      </c>
      <c r="W95" s="808">
        <v>650000</v>
      </c>
      <c r="X95" s="507"/>
    </row>
    <row r="96" spans="2:24" s="417" customFormat="1" ht="15.5" x14ac:dyDescent="0.35">
      <c r="B96" s="1136" t="s">
        <v>128</v>
      </c>
      <c r="C96" s="1137" t="s">
        <v>854</v>
      </c>
      <c r="D96" s="1138" t="s">
        <v>895</v>
      </c>
      <c r="E96" s="641"/>
      <c r="F96" s="808">
        <f>IFERROR(F106/F$68*1000,0)</f>
        <v>33252.328266554272</v>
      </c>
      <c r="G96" s="808">
        <v>36853.22</v>
      </c>
      <c r="H96" s="543">
        <f t="shared" si="83"/>
        <v>3600.8917334457292</v>
      </c>
      <c r="I96" s="641"/>
      <c r="J96" s="543">
        <f>IFERROR(J106/J$68*1000,0)</f>
        <v>364545.38201193896</v>
      </c>
      <c r="K96" s="808">
        <v>389415</v>
      </c>
      <c r="L96" s="543">
        <f t="shared" si="84"/>
        <v>24869.617988061043</v>
      </c>
      <c r="M96" s="641"/>
      <c r="N96" s="543">
        <f>IFERROR(N106/N$68*1000,0)</f>
        <v>226510.65685102125</v>
      </c>
      <c r="O96" s="808">
        <v>37607.270000000004</v>
      </c>
      <c r="P96" s="808">
        <v>194707.5</v>
      </c>
      <c r="Q96" s="543">
        <f t="shared" ref="Q96:Q102" si="86">O96+P96</f>
        <v>232314.77000000002</v>
      </c>
      <c r="R96" s="543">
        <f t="shared" si="85"/>
        <v>5804.1131489787658</v>
      </c>
      <c r="S96" s="808">
        <v>532500.00000000012</v>
      </c>
      <c r="T96" s="808">
        <v>532500.00000000012</v>
      </c>
      <c r="U96" s="808">
        <v>532500.00000000012</v>
      </c>
      <c r="V96" s="808">
        <v>692500</v>
      </c>
      <c r="W96" s="808">
        <v>692500</v>
      </c>
      <c r="X96" s="507"/>
    </row>
    <row r="97" spans="2:27" s="417" customFormat="1" ht="15.5" x14ac:dyDescent="0.35">
      <c r="B97" s="1136" t="s">
        <v>752</v>
      </c>
      <c r="C97" s="1137" t="s">
        <v>1496</v>
      </c>
      <c r="D97" s="1138" t="s">
        <v>895</v>
      </c>
      <c r="E97" s="641"/>
      <c r="F97" s="808"/>
      <c r="G97" s="808"/>
      <c r="H97" s="543"/>
      <c r="I97" s="641"/>
      <c r="J97" s="543"/>
      <c r="K97" s="808"/>
      <c r="L97" s="543"/>
      <c r="M97" s="641"/>
      <c r="N97" s="543"/>
      <c r="O97" s="808"/>
      <c r="P97" s="808"/>
      <c r="Q97" s="543"/>
      <c r="R97" s="543"/>
      <c r="S97" s="808">
        <v>0</v>
      </c>
      <c r="T97" s="808">
        <v>0</v>
      </c>
      <c r="U97" s="808">
        <v>0</v>
      </c>
      <c r="V97" s="808">
        <v>0</v>
      </c>
      <c r="W97" s="808">
        <v>0</v>
      </c>
      <c r="X97" s="507"/>
    </row>
    <row r="98" spans="2:27" s="417" customFormat="1" ht="15.5" x14ac:dyDescent="0.35">
      <c r="B98" s="1136" t="s">
        <v>869</v>
      </c>
      <c r="C98" s="1137" t="s">
        <v>1497</v>
      </c>
      <c r="D98" s="1138" t="s">
        <v>895</v>
      </c>
      <c r="E98" s="641"/>
      <c r="F98" s="808"/>
      <c r="G98" s="808"/>
      <c r="H98" s="543"/>
      <c r="I98" s="641"/>
      <c r="J98" s="543"/>
      <c r="K98" s="808"/>
      <c r="L98" s="543"/>
      <c r="M98" s="641"/>
      <c r="N98" s="543"/>
      <c r="O98" s="808"/>
      <c r="P98" s="808"/>
      <c r="Q98" s="543"/>
      <c r="R98" s="543"/>
      <c r="S98" s="808">
        <v>0</v>
      </c>
      <c r="T98" s="808">
        <v>0</v>
      </c>
      <c r="U98" s="808">
        <v>0</v>
      </c>
      <c r="V98" s="808">
        <v>0</v>
      </c>
      <c r="W98" s="808">
        <v>0</v>
      </c>
      <c r="X98" s="507"/>
    </row>
    <row r="99" spans="2:27" s="417" customFormat="1" ht="15.5" x14ac:dyDescent="0.35">
      <c r="B99" s="1136" t="s">
        <v>870</v>
      </c>
      <c r="C99" s="1137" t="s">
        <v>747</v>
      </c>
      <c r="D99" s="1138" t="s">
        <v>895</v>
      </c>
      <c r="E99" s="641"/>
      <c r="F99" s="812">
        <f>F89*F$23</f>
        <v>7147.0315805505415</v>
      </c>
      <c r="G99" s="808">
        <v>34010.339999999997</v>
      </c>
      <c r="H99" s="543">
        <f t="shared" si="83"/>
        <v>26863.308419449455</v>
      </c>
      <c r="I99" s="641"/>
      <c r="J99" s="754">
        <f>J89*J$23</f>
        <v>6679.061791088262</v>
      </c>
      <c r="K99" s="808">
        <v>13225.75</v>
      </c>
      <c r="L99" s="543">
        <f t="shared" si="84"/>
        <v>6546.688208911738</v>
      </c>
      <c r="M99" s="641"/>
      <c r="N99" s="1133">
        <f>N89*N$23</f>
        <v>9594.2763735115386</v>
      </c>
      <c r="O99" s="808">
        <v>12760.222000000002</v>
      </c>
      <c r="P99" s="808">
        <v>4984.7445196375902</v>
      </c>
      <c r="Q99" s="543">
        <f t="shared" si="86"/>
        <v>17744.966519637594</v>
      </c>
      <c r="R99" s="733">
        <f>Q99-N99</f>
        <v>8150.690146126055</v>
      </c>
      <c r="S99" s="808">
        <v>9983.8784024409761</v>
      </c>
      <c r="T99" s="808">
        <v>9983.8784024409742</v>
      </c>
      <c r="U99" s="808">
        <v>9983.8784024409742</v>
      </c>
      <c r="V99" s="808">
        <v>9962.5509285933767</v>
      </c>
      <c r="W99" s="808">
        <v>9980.2286191017338</v>
      </c>
      <c r="X99" s="507"/>
    </row>
    <row r="100" spans="2:27" s="417" customFormat="1" ht="15.5" x14ac:dyDescent="0.35">
      <c r="B100" s="1136" t="s">
        <v>871</v>
      </c>
      <c r="C100" s="1137" t="s">
        <v>748</v>
      </c>
      <c r="D100" s="1138" t="s">
        <v>895</v>
      </c>
      <c r="E100" s="641"/>
      <c r="F100" s="808">
        <f>F90*F$23</f>
        <v>1266.7414194494577</v>
      </c>
      <c r="G100" s="808">
        <v>6028</v>
      </c>
      <c r="H100" s="543">
        <f t="shared" si="83"/>
        <v>4761.2585805505423</v>
      </c>
      <c r="I100" s="641"/>
      <c r="J100" s="543">
        <f>J90*J$23</f>
        <v>2360.0572089117381</v>
      </c>
      <c r="K100" s="808">
        <v>4673.34</v>
      </c>
      <c r="L100" s="543">
        <f t="shared" si="84"/>
        <v>2313.282791088262</v>
      </c>
      <c r="M100" s="641"/>
      <c r="N100" s="1133">
        <f>N90*N$23</f>
        <v>2066.7513248185342</v>
      </c>
      <c r="O100" s="808">
        <v>2061.165</v>
      </c>
      <c r="P100" s="808">
        <v>1761.3674803624097</v>
      </c>
      <c r="Q100" s="543">
        <f t="shared" si="86"/>
        <v>3822.5324803624098</v>
      </c>
      <c r="R100" s="543">
        <f t="shared" si="85"/>
        <v>1755.7811555438757</v>
      </c>
      <c r="S100" s="808">
        <v>3527.819465305447</v>
      </c>
      <c r="T100" s="808">
        <v>3527.8194653054466</v>
      </c>
      <c r="U100" s="808">
        <v>3527.8194653054466</v>
      </c>
      <c r="V100" s="808">
        <v>3520.2833681744005</v>
      </c>
      <c r="W100" s="808">
        <v>3526.5298085018167</v>
      </c>
      <c r="X100" s="507"/>
    </row>
    <row r="101" spans="2:27" s="417" customFormat="1" ht="15.5" x14ac:dyDescent="0.35">
      <c r="B101" s="1136" t="s">
        <v>1503</v>
      </c>
      <c r="C101" s="1137" t="s">
        <v>855</v>
      </c>
      <c r="D101" s="1138" t="s">
        <v>895</v>
      </c>
      <c r="E101" s="641"/>
      <c r="F101" s="808">
        <f>F91*F$23</f>
        <v>0</v>
      </c>
      <c r="G101" s="808">
        <v>0</v>
      </c>
      <c r="H101" s="543">
        <f t="shared" si="83"/>
        <v>0</v>
      </c>
      <c r="I101" s="641"/>
      <c r="J101" s="543">
        <f>J91*J$23</f>
        <v>0</v>
      </c>
      <c r="K101" s="808">
        <v>0</v>
      </c>
      <c r="L101" s="543">
        <f t="shared" si="84"/>
        <v>0</v>
      </c>
      <c r="M101" s="641"/>
      <c r="N101" s="543">
        <f>N91*N$23</f>
        <v>0</v>
      </c>
      <c r="O101" s="808">
        <v>0</v>
      </c>
      <c r="P101" s="808">
        <v>0</v>
      </c>
      <c r="Q101" s="543">
        <f t="shared" si="86"/>
        <v>0</v>
      </c>
      <c r="R101" s="543">
        <f t="shared" si="85"/>
        <v>0</v>
      </c>
      <c r="S101" s="808">
        <v>0</v>
      </c>
      <c r="T101" s="808">
        <v>0</v>
      </c>
      <c r="U101" s="808">
        <v>0</v>
      </c>
      <c r="V101" s="808">
        <v>0</v>
      </c>
      <c r="W101" s="808">
        <v>0</v>
      </c>
      <c r="X101" s="507"/>
    </row>
    <row r="102" spans="2:27" s="417" customFormat="1" ht="15.5" x14ac:dyDescent="0.35">
      <c r="B102" s="1136" t="s">
        <v>1504</v>
      </c>
      <c r="C102" s="1137" t="s">
        <v>856</v>
      </c>
      <c r="D102" s="1138" t="s">
        <v>895</v>
      </c>
      <c r="E102" s="641"/>
      <c r="F102" s="808">
        <f>F92*F$23</f>
        <v>0</v>
      </c>
      <c r="G102" s="808">
        <v>0</v>
      </c>
      <c r="H102" s="543">
        <f t="shared" si="83"/>
        <v>0</v>
      </c>
      <c r="I102" s="641"/>
      <c r="J102" s="543">
        <f>J92*J$23</f>
        <v>0</v>
      </c>
      <c r="K102" s="808">
        <v>0</v>
      </c>
      <c r="L102" s="543">
        <f t="shared" si="84"/>
        <v>0</v>
      </c>
      <c r="M102" s="641"/>
      <c r="N102" s="543">
        <f>N92*N$23</f>
        <v>0</v>
      </c>
      <c r="O102" s="808">
        <v>0</v>
      </c>
      <c r="P102" s="808">
        <v>0</v>
      </c>
      <c r="Q102" s="543">
        <f t="shared" si="86"/>
        <v>0</v>
      </c>
      <c r="R102" s="543">
        <f t="shared" si="85"/>
        <v>0</v>
      </c>
      <c r="S102" s="808">
        <v>0</v>
      </c>
      <c r="T102" s="808">
        <v>0</v>
      </c>
      <c r="U102" s="808">
        <v>0</v>
      </c>
      <c r="V102" s="808">
        <v>0</v>
      </c>
      <c r="W102" s="808">
        <v>0</v>
      </c>
      <c r="X102" s="507"/>
    </row>
    <row r="103" spans="2:27" s="417" customFormat="1" ht="15.5" x14ac:dyDescent="0.3">
      <c r="B103" s="462">
        <v>3.3</v>
      </c>
      <c r="C103" s="461" t="s">
        <v>129</v>
      </c>
      <c r="D103" s="463"/>
      <c r="E103" s="647"/>
      <c r="F103" s="550"/>
      <c r="G103" s="550"/>
      <c r="H103" s="550"/>
      <c r="I103" s="647"/>
      <c r="J103" s="550"/>
      <c r="K103" s="550"/>
      <c r="L103" s="550"/>
      <c r="M103" s="647"/>
      <c r="N103" s="543"/>
      <c r="O103" s="543"/>
      <c r="P103" s="543"/>
      <c r="Q103" s="543"/>
      <c r="R103" s="543"/>
      <c r="S103" s="543"/>
      <c r="T103" s="543"/>
      <c r="U103" s="543"/>
      <c r="V103" s="543"/>
      <c r="W103" s="543"/>
      <c r="X103" s="507"/>
    </row>
    <row r="104" spans="2:27" s="417" customFormat="1" ht="15.5" x14ac:dyDescent="0.35">
      <c r="B104" s="1136" t="s">
        <v>130</v>
      </c>
      <c r="C104" s="1137" t="s">
        <v>745</v>
      </c>
      <c r="D104" s="1138" t="s">
        <v>131</v>
      </c>
      <c r="E104" s="641"/>
      <c r="F104" s="733">
        <f>(F$113-SUM(F$109:F$112))*G104/SUM(G$104:G$106)</f>
        <v>20342162.02536555</v>
      </c>
      <c r="G104" s="543">
        <f>G94*G$68/1000</f>
        <v>20406199.641954042</v>
      </c>
      <c r="H104" s="543">
        <f t="shared" si="83"/>
        <v>64037.616588491946</v>
      </c>
      <c r="I104" s="641"/>
      <c r="J104" s="1133">
        <f>(J$113-SUM(J$109:J$112))*K104/SUM(K$104:K$106)</f>
        <v>21189672.696743716</v>
      </c>
      <c r="K104" s="543">
        <f>K94*K$68/1000</f>
        <v>21246908.632661399</v>
      </c>
      <c r="L104" s="543">
        <f t="shared" ref="L104:L112" si="87">K104-J104</f>
        <v>57235.935917682946</v>
      </c>
      <c r="M104" s="641"/>
      <c r="N104" s="1133">
        <f>(N$113-SUM(N$109:N$112))*Q104/SUM(Q$104:Q$106)</f>
        <v>28073776.612166528</v>
      </c>
      <c r="O104" s="1133">
        <f t="shared" ref="O104:P106" si="88">O94*O$68/1000</f>
        <v>11972685.157037525</v>
      </c>
      <c r="P104" s="1133">
        <f t="shared" si="88"/>
        <v>16520668.737475777</v>
      </c>
      <c r="Q104" s="1133">
        <f>O104+P104</f>
        <v>28493353.894513302</v>
      </c>
      <c r="R104" s="543">
        <f>Q104-N104</f>
        <v>419577.28234677389</v>
      </c>
      <c r="S104" s="543">
        <f t="shared" ref="S104:W106" si="89">S94*S$68/1000</f>
        <v>32124586.641878083</v>
      </c>
      <c r="T104" s="543">
        <f t="shared" si="89"/>
        <v>32122812.304327585</v>
      </c>
      <c r="U104" s="543">
        <f t="shared" si="89"/>
        <v>32123134.911199071</v>
      </c>
      <c r="V104" s="543">
        <f t="shared" si="89"/>
        <v>31584119.39276167</v>
      </c>
      <c r="W104" s="543">
        <f t="shared" si="89"/>
        <v>31585733.457264252</v>
      </c>
      <c r="X104" s="514"/>
      <c r="Y104" s="515"/>
      <c r="Z104" s="515"/>
      <c r="AA104" s="515"/>
    </row>
    <row r="105" spans="2:27" s="417" customFormat="1" ht="15.5" x14ac:dyDescent="0.35">
      <c r="B105" s="1136" t="s">
        <v>132</v>
      </c>
      <c r="C105" s="1137" t="s">
        <v>746</v>
      </c>
      <c r="D105" s="1138" t="s">
        <v>131</v>
      </c>
      <c r="E105" s="641"/>
      <c r="F105" s="733">
        <f>(F$113-SUM(F$109:F$112))*G105/SUM(G$104:G$106)</f>
        <v>2079889.2338772598</v>
      </c>
      <c r="G105" s="543">
        <f>G95*G$68/1000</f>
        <v>2086436.7753401331</v>
      </c>
      <c r="H105" s="543">
        <f t="shared" si="83"/>
        <v>6547.5414628733415</v>
      </c>
      <c r="I105" s="641"/>
      <c r="J105" s="1133">
        <f>(J$113-SUM(J$109:J$112))*K105/SUM(K$104:K$106)</f>
        <v>1819985.6853814435</v>
      </c>
      <c r="K105" s="543">
        <f>K95*K$69/1000</f>
        <v>1824901.6926058305</v>
      </c>
      <c r="L105" s="543">
        <f t="shared" si="87"/>
        <v>4916.0072243870236</v>
      </c>
      <c r="M105" s="641"/>
      <c r="N105" s="1133">
        <f>(N$113-SUM(N$109:N$112))*Q105/SUM(Q$104:Q$106)</f>
        <v>2415517.3817013577</v>
      </c>
      <c r="O105" s="1133">
        <f>O95*O$69/1000</f>
        <v>1543083.7470000002</v>
      </c>
      <c r="P105" s="1133">
        <f>P95*P$69/1000</f>
        <v>908534.80599999998</v>
      </c>
      <c r="Q105" s="1133">
        <f>O105+P105</f>
        <v>2451618.5530000003</v>
      </c>
      <c r="R105" s="543">
        <f>Q105-N105</f>
        <v>36101.171298642643</v>
      </c>
      <c r="S105" s="543">
        <f t="shared" si="89"/>
        <v>2153777.5789934816</v>
      </c>
      <c r="T105" s="543">
        <f t="shared" si="89"/>
        <v>2153780.8033228051</v>
      </c>
      <c r="U105" s="543">
        <f t="shared" si="89"/>
        <v>2153780.2170568565</v>
      </c>
      <c r="V105" s="543">
        <f t="shared" si="89"/>
        <v>2156931.8770009545</v>
      </c>
      <c r="W105" s="543">
        <f t="shared" si="89"/>
        <v>2156928.7962622014</v>
      </c>
      <c r="X105" s="514"/>
      <c r="Y105" s="515"/>
      <c r="Z105" s="515"/>
      <c r="AA105" s="515"/>
    </row>
    <row r="106" spans="2:27" s="417" customFormat="1" ht="15.5" x14ac:dyDescent="0.35">
      <c r="B106" s="1136" t="s">
        <v>133</v>
      </c>
      <c r="C106" s="1137" t="s">
        <v>854</v>
      </c>
      <c r="D106" s="1138" t="s">
        <v>131</v>
      </c>
      <c r="E106" s="641"/>
      <c r="F106" s="733">
        <f>(F$113-SUM(F$109:F$112))*G106/SUM(G$104:G$106)</f>
        <v>113414.48928631582</v>
      </c>
      <c r="G106" s="543">
        <f>G96*G$68/1000</f>
        <v>113771.52083347588</v>
      </c>
      <c r="H106" s="543">
        <f t="shared" si="83"/>
        <v>357.03154716006247</v>
      </c>
      <c r="I106" s="641"/>
      <c r="J106" s="1133">
        <f>(J$113-SUM(J$109:J$112))*K106/SUM(K$104:K$106)</f>
        <v>1201986.379099987</v>
      </c>
      <c r="K106" s="543">
        <f>K96*K$68/1000</f>
        <v>1205233.0934949038</v>
      </c>
      <c r="L106" s="543">
        <f t="shared" si="87"/>
        <v>3246.7143949167803</v>
      </c>
      <c r="M106" s="641"/>
      <c r="N106" s="1133">
        <f>(N$113-SUM(N$109:N$112))*Q106/SUM(Q$104:Q$106)</f>
        <v>744830.0451713386</v>
      </c>
      <c r="O106" s="1133">
        <f t="shared" si="88"/>
        <v>115708.95785247472</v>
      </c>
      <c r="P106" s="1133">
        <f t="shared" si="88"/>
        <v>640252.96211008029</v>
      </c>
      <c r="Q106" s="1133">
        <f t="shared" ref="Q106:Q112" si="90">O106+P106</f>
        <v>755961.91996255505</v>
      </c>
      <c r="R106" s="543">
        <f>Q106-N106</f>
        <v>11131.874791216454</v>
      </c>
      <c r="S106" s="543">
        <f t="shared" si="89"/>
        <v>1764440.8627908141</v>
      </c>
      <c r="T106" s="543">
        <f t="shared" si="89"/>
        <v>1764443.5042606061</v>
      </c>
      <c r="U106" s="543">
        <f t="shared" si="89"/>
        <v>1764443.023973502</v>
      </c>
      <c r="V106" s="543">
        <f t="shared" si="89"/>
        <v>2297962.0381894782</v>
      </c>
      <c r="W106" s="543">
        <f t="shared" si="89"/>
        <v>2297958.7560178065</v>
      </c>
      <c r="X106" s="514"/>
      <c r="Y106" s="515"/>
      <c r="Z106" s="515"/>
      <c r="AA106" s="515"/>
    </row>
    <row r="107" spans="2:27" s="417" customFormat="1" ht="15.5" x14ac:dyDescent="0.35">
      <c r="B107" s="1136" t="s">
        <v>753</v>
      </c>
      <c r="C107" s="1137" t="s">
        <v>1496</v>
      </c>
      <c r="D107" s="1138" t="s">
        <v>131</v>
      </c>
      <c r="E107" s="641"/>
      <c r="F107" s="733"/>
      <c r="G107" s="543"/>
      <c r="H107" s="543"/>
      <c r="I107" s="641"/>
      <c r="J107" s="1133"/>
      <c r="K107" s="543"/>
      <c r="L107" s="543"/>
      <c r="M107" s="641"/>
      <c r="N107" s="1133"/>
      <c r="O107" s="1133"/>
      <c r="P107" s="1133"/>
      <c r="Q107" s="1133"/>
      <c r="R107" s="543"/>
      <c r="S107" s="543">
        <f t="shared" ref="S107:W107" si="91">S97*S$68/1000</f>
        <v>0</v>
      </c>
      <c r="T107" s="543">
        <f t="shared" si="91"/>
        <v>0</v>
      </c>
      <c r="U107" s="543">
        <f t="shared" si="91"/>
        <v>0</v>
      </c>
      <c r="V107" s="543">
        <f t="shared" si="91"/>
        <v>0</v>
      </c>
      <c r="W107" s="543">
        <f t="shared" si="91"/>
        <v>0</v>
      </c>
      <c r="X107" s="514"/>
      <c r="Y107" s="515"/>
      <c r="Z107" s="515"/>
      <c r="AA107" s="515"/>
    </row>
    <row r="108" spans="2:27" s="417" customFormat="1" ht="15.5" x14ac:dyDescent="0.35">
      <c r="B108" s="1136" t="s">
        <v>872</v>
      </c>
      <c r="C108" s="1137" t="s">
        <v>1497</v>
      </c>
      <c r="D108" s="1138" t="s">
        <v>131</v>
      </c>
      <c r="E108" s="641"/>
      <c r="F108" s="733"/>
      <c r="G108" s="543"/>
      <c r="H108" s="543"/>
      <c r="I108" s="641"/>
      <c r="J108" s="1133"/>
      <c r="K108" s="543"/>
      <c r="L108" s="543"/>
      <c r="M108" s="641"/>
      <c r="N108" s="1133"/>
      <c r="O108" s="1133"/>
      <c r="P108" s="1133"/>
      <c r="Q108" s="1133"/>
      <c r="R108" s="543"/>
      <c r="S108" s="543">
        <f t="shared" ref="S108:W108" si="92">S98*S$68/1000</f>
        <v>0</v>
      </c>
      <c r="T108" s="543">
        <f t="shared" si="92"/>
        <v>0</v>
      </c>
      <c r="U108" s="543">
        <f t="shared" si="92"/>
        <v>0</v>
      </c>
      <c r="V108" s="543">
        <f t="shared" si="92"/>
        <v>0</v>
      </c>
      <c r="W108" s="543">
        <f t="shared" si="92"/>
        <v>0</v>
      </c>
      <c r="X108" s="514"/>
      <c r="Y108" s="515"/>
      <c r="Z108" s="515"/>
      <c r="AA108" s="515"/>
    </row>
    <row r="109" spans="2:27" s="417" customFormat="1" ht="15.5" x14ac:dyDescent="0.35">
      <c r="B109" s="1136" t="s">
        <v>873</v>
      </c>
      <c r="C109" s="1137" t="s">
        <v>747</v>
      </c>
      <c r="D109" s="1138" t="s">
        <v>131</v>
      </c>
      <c r="E109" s="641"/>
      <c r="F109" s="755">
        <f>F99*F63/1000*0.933</f>
        <v>68922.277199165197</v>
      </c>
      <c r="G109" s="543">
        <f>G99*G63/1000*0.933</f>
        <v>327978.13395660004</v>
      </c>
      <c r="H109" s="543">
        <f t="shared" si="83"/>
        <v>259055.85675743484</v>
      </c>
      <c r="I109" s="641"/>
      <c r="J109" s="1133">
        <f>J99*J63/1000*0.933</f>
        <v>63596.836555365393</v>
      </c>
      <c r="K109" s="543">
        <f>K99*K63/1000*0.933</f>
        <v>125933.23544249999</v>
      </c>
      <c r="L109" s="543">
        <f t="shared" si="87"/>
        <v>62336.398887134601</v>
      </c>
      <c r="M109" s="641"/>
      <c r="N109" s="1133">
        <f>N99*N63/1000*0.933</f>
        <v>91685.424294157783</v>
      </c>
      <c r="O109" s="1133">
        <f>O99*O63/1000*0.933</f>
        <v>122111.71021681801</v>
      </c>
      <c r="P109" s="1133">
        <f>P99*P63/1000*0.933</f>
        <v>47463.849325159797</v>
      </c>
      <c r="Q109" s="1133">
        <f t="shared" si="90"/>
        <v>169575.55954197783</v>
      </c>
      <c r="R109" s="543">
        <f>Q109-N109</f>
        <v>77890.135247820042</v>
      </c>
      <c r="S109" s="543">
        <f>S99*S63/1000*0.933</f>
        <v>95064.711603038784</v>
      </c>
      <c r="T109" s="543">
        <f>T99*T63/1000*0.933</f>
        <v>95064.71160303877</v>
      </c>
      <c r="U109" s="543">
        <f>U99*U63/1000*0.933</f>
        <v>95064.71160303877</v>
      </c>
      <c r="V109" s="543">
        <f>V99*V63/1000*0.933</f>
        <v>94861.635196374264</v>
      </c>
      <c r="W109" s="543">
        <f>W99*W63/1000*0.933</f>
        <v>95029.959016261113</v>
      </c>
      <c r="X109" s="514"/>
      <c r="Y109" s="515"/>
      <c r="Z109" s="515"/>
      <c r="AA109" s="515"/>
    </row>
    <row r="110" spans="2:27" s="417" customFormat="1" ht="15.5" x14ac:dyDescent="0.35">
      <c r="B110" s="1136" t="s">
        <v>874</v>
      </c>
      <c r="C110" s="1137" t="s">
        <v>748</v>
      </c>
      <c r="D110" s="1138" t="s">
        <v>131</v>
      </c>
      <c r="E110" s="641"/>
      <c r="F110" s="543">
        <f>F100*F64/1000*0.853</f>
        <v>11833.79827170727</v>
      </c>
      <c r="G110" s="543">
        <f>G100*G64/1000*0.853</f>
        <v>56313.099806000006</v>
      </c>
      <c r="H110" s="543">
        <f t="shared" si="83"/>
        <v>44479.301534292739</v>
      </c>
      <c r="I110" s="641"/>
      <c r="J110" s="1133">
        <f>J100*J64/1000*0.853</f>
        <v>21910.274219492108</v>
      </c>
      <c r="K110" s="543">
        <f>K100*K64/1000*0.853</f>
        <v>43386.304592225089</v>
      </c>
      <c r="L110" s="543">
        <f t="shared" si="87"/>
        <v>21476.030372732981</v>
      </c>
      <c r="M110" s="641"/>
      <c r="N110" s="1133">
        <f>N100*N64/1000*0.853</f>
        <v>19032.989777853501</v>
      </c>
      <c r="O110" s="1133">
        <f>O100*O64/1000*0.853</f>
        <v>18850.048781214999</v>
      </c>
      <c r="P110" s="1133">
        <f>P100*P64/1000*0.853</f>
        <v>16352.164833254918</v>
      </c>
      <c r="Q110" s="1133">
        <f t="shared" si="90"/>
        <v>35202.213614469918</v>
      </c>
      <c r="R110" s="543">
        <f>Q110-N110</f>
        <v>16169.223836616417</v>
      </c>
      <c r="S110" s="543">
        <f>S100*S64/1000*0.853</f>
        <v>32751.533136498256</v>
      </c>
      <c r="T110" s="543">
        <f>T100*T64/1000*0.853</f>
        <v>32751.533136498248</v>
      </c>
      <c r="U110" s="543">
        <f>U100*U64/1000*0.853</f>
        <v>32751.533136498248</v>
      </c>
      <c r="V110" s="543">
        <f>V100*V64/1000*0.853</f>
        <v>32681.569597452486</v>
      </c>
      <c r="W110" s="543">
        <f>W100*W64/1000*0.853</f>
        <v>32739.560234269502</v>
      </c>
      <c r="X110" s="514"/>
      <c r="Y110" s="515"/>
      <c r="Z110" s="515"/>
      <c r="AA110" s="515"/>
    </row>
    <row r="111" spans="2:27" s="417" customFormat="1" ht="15.5" x14ac:dyDescent="0.35">
      <c r="B111" s="1136" t="s">
        <v>1505</v>
      </c>
      <c r="C111" s="1137" t="s">
        <v>855</v>
      </c>
      <c r="D111" s="1138" t="s">
        <v>131</v>
      </c>
      <c r="E111" s="641"/>
      <c r="F111" s="543">
        <f>F101*F65/1000</f>
        <v>0</v>
      </c>
      <c r="G111" s="543">
        <f>G101*G65/1000</f>
        <v>0</v>
      </c>
      <c r="H111" s="543">
        <f t="shared" si="83"/>
        <v>0</v>
      </c>
      <c r="I111" s="641"/>
      <c r="J111" s="1133">
        <f>J101*J65/1000</f>
        <v>0</v>
      </c>
      <c r="K111" s="543">
        <f>K101*K65/1000</f>
        <v>0</v>
      </c>
      <c r="L111" s="543">
        <f t="shared" si="87"/>
        <v>0</v>
      </c>
      <c r="M111" s="641"/>
      <c r="N111" s="1133">
        <f t="shared" ref="N111:P112" si="93">N101*N65/1000</f>
        <v>0</v>
      </c>
      <c r="O111" s="1133">
        <f t="shared" si="93"/>
        <v>0</v>
      </c>
      <c r="P111" s="1133">
        <f t="shared" si="93"/>
        <v>0</v>
      </c>
      <c r="Q111" s="1133">
        <f t="shared" si="90"/>
        <v>0</v>
      </c>
      <c r="R111" s="543">
        <f t="shared" ref="R111:R112" si="94">Q111-N111</f>
        <v>0</v>
      </c>
      <c r="S111" s="543">
        <f t="shared" ref="S111:W112" si="95">S101*S65/1000</f>
        <v>0</v>
      </c>
      <c r="T111" s="543">
        <f t="shared" si="95"/>
        <v>0</v>
      </c>
      <c r="U111" s="543">
        <f t="shared" si="95"/>
        <v>0</v>
      </c>
      <c r="V111" s="543">
        <f t="shared" si="95"/>
        <v>0</v>
      </c>
      <c r="W111" s="543">
        <f t="shared" si="95"/>
        <v>0</v>
      </c>
      <c r="X111" s="514"/>
      <c r="Y111" s="515"/>
      <c r="Z111" s="515"/>
      <c r="AA111" s="515"/>
    </row>
    <row r="112" spans="2:27" s="417" customFormat="1" ht="15.5" x14ac:dyDescent="0.35">
      <c r="B112" s="1136" t="s">
        <v>1506</v>
      </c>
      <c r="C112" s="1137" t="s">
        <v>856</v>
      </c>
      <c r="D112" s="1138" t="s">
        <v>131</v>
      </c>
      <c r="E112" s="641"/>
      <c r="F112" s="543">
        <f>F102*F66/1000</f>
        <v>0</v>
      </c>
      <c r="G112" s="543">
        <f>G102*G66/1000</f>
        <v>0</v>
      </c>
      <c r="H112" s="543">
        <f t="shared" si="83"/>
        <v>0</v>
      </c>
      <c r="I112" s="641"/>
      <c r="J112" s="1133">
        <f>J102*J66/1000</f>
        <v>0</v>
      </c>
      <c r="K112" s="543">
        <f>K102*K66/1000</f>
        <v>0</v>
      </c>
      <c r="L112" s="543">
        <f t="shared" si="87"/>
        <v>0</v>
      </c>
      <c r="M112" s="641"/>
      <c r="N112" s="1133">
        <f t="shared" si="93"/>
        <v>0</v>
      </c>
      <c r="O112" s="1133">
        <f t="shared" si="93"/>
        <v>0</v>
      </c>
      <c r="P112" s="1133">
        <f t="shared" si="93"/>
        <v>0</v>
      </c>
      <c r="Q112" s="1133">
        <f t="shared" si="90"/>
        <v>0</v>
      </c>
      <c r="R112" s="543">
        <f t="shared" si="94"/>
        <v>0</v>
      </c>
      <c r="S112" s="543">
        <f t="shared" si="95"/>
        <v>0</v>
      </c>
      <c r="T112" s="543">
        <f t="shared" si="95"/>
        <v>0</v>
      </c>
      <c r="U112" s="543">
        <f t="shared" si="95"/>
        <v>0</v>
      </c>
      <c r="V112" s="543">
        <f t="shared" si="95"/>
        <v>0</v>
      </c>
      <c r="W112" s="543">
        <f t="shared" si="95"/>
        <v>0</v>
      </c>
      <c r="X112" s="514"/>
      <c r="Y112" s="515"/>
      <c r="Z112" s="515"/>
      <c r="AA112" s="515"/>
    </row>
    <row r="113" spans="2:24" s="478" customFormat="1" ht="15" x14ac:dyDescent="0.3">
      <c r="B113" s="462"/>
      <c r="C113" s="461" t="s">
        <v>376</v>
      </c>
      <c r="D113" s="389" t="s">
        <v>131</v>
      </c>
      <c r="E113" s="650"/>
      <c r="F113" s="419">
        <f>F23*F39</f>
        <v>22616221.823999997</v>
      </c>
      <c r="G113" s="419">
        <f>SUM(G104:G112)</f>
        <v>22990699.171890251</v>
      </c>
      <c r="H113" s="419">
        <f>SUM(H104:H112)</f>
        <v>374477.34789025295</v>
      </c>
      <c r="I113" s="650"/>
      <c r="J113" s="1308">
        <f>J23*J39</f>
        <v>24297151.872000001</v>
      </c>
      <c r="K113" s="419">
        <f>SUM(K104:K112)</f>
        <v>24446362.958796859</v>
      </c>
      <c r="L113" s="419">
        <f>SUM(L104:L112)</f>
        <v>149211.08679685433</v>
      </c>
      <c r="M113" s="650"/>
      <c r="N113" s="1308">
        <f>N23*N39</f>
        <v>31344842.453111231</v>
      </c>
      <c r="O113" s="1308">
        <f>SUM(O104:O112)</f>
        <v>13772439.620888032</v>
      </c>
      <c r="P113" s="1308">
        <f>SUM(P104:P112)</f>
        <v>18133272.519744273</v>
      </c>
      <c r="Q113" s="1308">
        <f t="shared" ref="Q113:R113" si="96">SUM(Q104:Q112)</f>
        <v>31905712.140632305</v>
      </c>
      <c r="R113" s="419">
        <f t="shared" si="96"/>
        <v>560869.68752106943</v>
      </c>
      <c r="S113" s="419">
        <f>SUM(S104:S112)</f>
        <v>36170621.328401923</v>
      </c>
      <c r="T113" s="419">
        <f>SUM(T104:T112)</f>
        <v>36168852.856650539</v>
      </c>
      <c r="U113" s="419">
        <f>SUM(U104:U112)</f>
        <v>36169174.396968968</v>
      </c>
      <c r="V113" s="419">
        <f>SUM(V104:V112)</f>
        <v>36166556.512745932</v>
      </c>
      <c r="W113" s="419">
        <f>SUM(W104:W112)</f>
        <v>36168390.528794795</v>
      </c>
      <c r="X113" s="510"/>
    </row>
    <row r="114" spans="2:24" s="417" customFormat="1" ht="15.5" x14ac:dyDescent="0.3">
      <c r="B114" s="462"/>
      <c r="C114" s="461"/>
      <c r="D114" s="463"/>
      <c r="E114" s="649"/>
      <c r="F114" s="509"/>
      <c r="G114" s="509"/>
      <c r="H114" s="509"/>
      <c r="I114" s="649"/>
      <c r="J114" s="509"/>
      <c r="K114" s="509"/>
      <c r="L114" s="509"/>
      <c r="M114" s="649"/>
      <c r="N114" s="505"/>
      <c r="O114" s="505"/>
      <c r="P114" s="505"/>
      <c r="Q114" s="505"/>
      <c r="R114" s="505"/>
      <c r="S114" s="505"/>
      <c r="T114" s="505"/>
      <c r="U114" s="505"/>
      <c r="V114" s="505"/>
      <c r="W114" s="505"/>
      <c r="X114" s="507"/>
    </row>
    <row r="115" spans="2:24" s="417" customFormat="1" ht="15.5" x14ac:dyDescent="0.3">
      <c r="B115" s="462">
        <v>4</v>
      </c>
      <c r="C115" s="461" t="s">
        <v>134</v>
      </c>
      <c r="D115" s="463"/>
      <c r="E115" s="649"/>
      <c r="F115" s="509"/>
      <c r="G115" s="509"/>
      <c r="H115" s="509"/>
      <c r="I115" s="649"/>
      <c r="J115" s="509"/>
      <c r="K115" s="509"/>
      <c r="L115" s="509"/>
      <c r="M115" s="649"/>
      <c r="N115" s="505"/>
      <c r="O115" s="505"/>
      <c r="P115" s="505"/>
      <c r="Q115" s="505"/>
      <c r="R115" s="505"/>
      <c r="S115" s="505"/>
      <c r="T115" s="505"/>
      <c r="U115" s="505"/>
      <c r="V115" s="505"/>
      <c r="W115" s="505"/>
      <c r="X115" s="507"/>
    </row>
    <row r="116" spans="2:24" s="417" customFormat="1" ht="15.5" x14ac:dyDescent="0.35">
      <c r="B116" s="1136" t="s">
        <v>875</v>
      </c>
      <c r="C116" s="1137" t="s">
        <v>745</v>
      </c>
      <c r="D116" s="1138" t="s">
        <v>135</v>
      </c>
      <c r="E116" s="648"/>
      <c r="F116" s="505">
        <f t="shared" ref="F116:G118" si="97">F94*F73/10^7</f>
        <v>2313.2639221539825</v>
      </c>
      <c r="G116" s="505">
        <f t="shared" si="97"/>
        <v>2555.6424099090377</v>
      </c>
      <c r="H116" s="505">
        <f>G116-F116</f>
        <v>242.37848775505518</v>
      </c>
      <c r="I116" s="648"/>
      <c r="J116" s="505">
        <f>J94*J73/10^7</f>
        <v>2764.9332345749435</v>
      </c>
      <c r="K116" s="505">
        <f>K94*K73/10^7</f>
        <v>2942.2014180400006</v>
      </c>
      <c r="L116" s="505">
        <f>K116-J116</f>
        <v>177.26818346505706</v>
      </c>
      <c r="M116" s="648"/>
      <c r="N116" s="505">
        <f>N94*N73/10^7</f>
        <v>3683.4717887691168</v>
      </c>
      <c r="O116" s="505">
        <f>O94*O73/10^7</f>
        <v>1693.2635780452849</v>
      </c>
      <c r="P116" s="505">
        <f>P94*P73/10^7</f>
        <v>2153.2463973345552</v>
      </c>
      <c r="Q116" s="505">
        <f>O116+P116</f>
        <v>3846.5099753798404</v>
      </c>
      <c r="R116" s="505">
        <f t="shared" ref="R116:R124" si="98">Q116-N116</f>
        <v>163.03818661072364</v>
      </c>
      <c r="S116" s="505">
        <f>S94*S73/10^7</f>
        <v>4362.532609197684</v>
      </c>
      <c r="T116" s="505">
        <f>T94*T73/10^7</f>
        <v>4580.3993789470178</v>
      </c>
      <c r="U116" s="505">
        <f t="shared" ref="U116:W116" si="99">U94*U73/10^7</f>
        <v>4809.4689576663823</v>
      </c>
      <c r="V116" s="505">
        <f t="shared" si="99"/>
        <v>4940.0076481968172</v>
      </c>
      <c r="W116" s="505">
        <f t="shared" si="99"/>
        <v>5187.2884886552065</v>
      </c>
      <c r="X116" s="507"/>
    </row>
    <row r="117" spans="2:24" s="417" customFormat="1" ht="15.5" x14ac:dyDescent="0.35">
      <c r="B117" s="1136" t="s">
        <v>876</v>
      </c>
      <c r="C117" s="1137" t="s">
        <v>746</v>
      </c>
      <c r="D117" s="1138" t="s">
        <v>135</v>
      </c>
      <c r="E117" s="648"/>
      <c r="F117" s="505">
        <f t="shared" si="97"/>
        <v>944.33748079396378</v>
      </c>
      <c r="G117" s="505">
        <f t="shared" si="97"/>
        <v>1046.5997043867158</v>
      </c>
      <c r="H117" s="505">
        <f>G117-F117</f>
        <v>102.26222359275198</v>
      </c>
      <c r="I117" s="648"/>
      <c r="J117" s="505">
        <f>J95*J74/10^7</f>
        <v>485.9099946495287</v>
      </c>
      <c r="K117" s="505">
        <f>K95*K74/10^7</f>
        <v>487.22249785396929</v>
      </c>
      <c r="L117" s="505">
        <f>K117-J117</f>
        <v>1.3125032044405884</v>
      </c>
      <c r="M117" s="648"/>
      <c r="N117" s="505">
        <f t="shared" ref="N117" si="100">N95*N74/10^7</f>
        <v>615.60064513903069</v>
      </c>
      <c r="O117" s="505">
        <f>O95*O74/10^7</f>
        <v>381.18986999462993</v>
      </c>
      <c r="P117" s="505">
        <f t="shared" ref="P117" si="101">P95*P74/10^7</f>
        <v>243.61124892698464</v>
      </c>
      <c r="Q117" s="505">
        <f t="shared" ref="Q117:Q124" si="102">O117+P117</f>
        <v>624.8011189216146</v>
      </c>
      <c r="R117" s="505">
        <f t="shared" si="98"/>
        <v>9.2004737825839129</v>
      </c>
      <c r="S117" s="505">
        <f t="shared" ref="S117:W117" si="103">S95*S74/10^7</f>
        <v>775.93238234880994</v>
      </c>
      <c r="T117" s="505">
        <f t="shared" si="103"/>
        <v>814.72900146625057</v>
      </c>
      <c r="U117" s="505">
        <f t="shared" si="103"/>
        <v>855.46545153956311</v>
      </c>
      <c r="V117" s="505">
        <f t="shared" si="103"/>
        <v>898.23872411654133</v>
      </c>
      <c r="W117" s="505">
        <f t="shared" si="103"/>
        <v>943.15066032236848</v>
      </c>
      <c r="X117" s="507"/>
    </row>
    <row r="118" spans="2:24" s="417" customFormat="1" ht="15.5" x14ac:dyDescent="0.35">
      <c r="B118" s="1136" t="s">
        <v>877</v>
      </c>
      <c r="C118" s="1137" t="s">
        <v>854</v>
      </c>
      <c r="D118" s="1138" t="s">
        <v>135</v>
      </c>
      <c r="E118" s="648"/>
      <c r="F118" s="505">
        <f t="shared" si="97"/>
        <v>11.106363383464943</v>
      </c>
      <c r="G118" s="505">
        <f t="shared" si="97"/>
        <v>12.309070507476727</v>
      </c>
      <c r="H118" s="505">
        <f>G118-F118</f>
        <v>1.2027071240117841</v>
      </c>
      <c r="I118" s="648"/>
      <c r="J118" s="505">
        <f t="shared" ref="J118:K118" si="104">J96*J75/10^7</f>
        <v>142.60754095414723</v>
      </c>
      <c r="K118" s="505">
        <f t="shared" si="104"/>
        <v>152.33635728470293</v>
      </c>
      <c r="L118" s="505">
        <f>K118-J118</f>
        <v>9.7288163305557021</v>
      </c>
      <c r="M118" s="648"/>
      <c r="N118" s="505">
        <f t="shared" ref="N118:O118" si="105">N96*N75/10^7</f>
        <v>91.206223785286539</v>
      </c>
      <c r="O118" s="505">
        <f t="shared" si="105"/>
        <v>17.375115063177525</v>
      </c>
      <c r="P118" s="505">
        <f t="shared" ref="P118" si="106">P96*P75/10^7</f>
        <v>76.168178642351464</v>
      </c>
      <c r="Q118" s="505">
        <f t="shared" si="102"/>
        <v>93.543293705528981</v>
      </c>
      <c r="R118" s="505">
        <f t="shared" si="98"/>
        <v>2.3370699202424419</v>
      </c>
      <c r="S118" s="505">
        <f t="shared" ref="S118:W118" si="107">S96*S75/10^7</f>
        <v>236.5612028472629</v>
      </c>
      <c r="T118" s="505">
        <f t="shared" si="107"/>
        <v>248.38926298962608</v>
      </c>
      <c r="U118" s="505">
        <f t="shared" si="107"/>
        <v>260.80872613910736</v>
      </c>
      <c r="V118" s="505">
        <f t="shared" si="107"/>
        <v>356.13247886178095</v>
      </c>
      <c r="W118" s="505">
        <f t="shared" si="107"/>
        <v>373.93910280487006</v>
      </c>
      <c r="X118" s="507"/>
    </row>
    <row r="119" spans="2:24" s="417" customFormat="1" ht="15.5" x14ac:dyDescent="0.35">
      <c r="B119" s="1136" t="s">
        <v>878</v>
      </c>
      <c r="C119" s="1137" t="s">
        <v>1496</v>
      </c>
      <c r="D119" s="1138" t="s">
        <v>135</v>
      </c>
      <c r="E119" s="648"/>
      <c r="F119" s="505"/>
      <c r="G119" s="505"/>
      <c r="H119" s="505"/>
      <c r="I119" s="648"/>
      <c r="J119" s="505"/>
      <c r="K119" s="505"/>
      <c r="L119" s="505"/>
      <c r="M119" s="648"/>
      <c r="N119" s="505"/>
      <c r="O119" s="505"/>
      <c r="P119" s="505"/>
      <c r="Q119" s="505"/>
      <c r="R119" s="505"/>
      <c r="S119" s="505">
        <f t="shared" ref="S119:W119" si="108">S97*S76/10^7</f>
        <v>0</v>
      </c>
      <c r="T119" s="505">
        <f t="shared" si="108"/>
        <v>0</v>
      </c>
      <c r="U119" s="505">
        <f t="shared" si="108"/>
        <v>0</v>
      </c>
      <c r="V119" s="505">
        <f t="shared" si="108"/>
        <v>0</v>
      </c>
      <c r="W119" s="505">
        <f t="shared" si="108"/>
        <v>0</v>
      </c>
      <c r="X119" s="507"/>
    </row>
    <row r="120" spans="2:24" s="417" customFormat="1" ht="15.5" x14ac:dyDescent="0.35">
      <c r="B120" s="1136" t="s">
        <v>879</v>
      </c>
      <c r="C120" s="1137" t="s">
        <v>1497</v>
      </c>
      <c r="D120" s="1138" t="s">
        <v>135</v>
      </c>
      <c r="E120" s="648"/>
      <c r="F120" s="505"/>
      <c r="G120" s="505"/>
      <c r="H120" s="505"/>
      <c r="I120" s="648"/>
      <c r="J120" s="505"/>
      <c r="K120" s="505"/>
      <c r="L120" s="505"/>
      <c r="M120" s="648"/>
      <c r="N120" s="505"/>
      <c r="O120" s="505"/>
      <c r="P120" s="505"/>
      <c r="Q120" s="505"/>
      <c r="R120" s="505"/>
      <c r="S120" s="505">
        <f t="shared" ref="S120:W120" si="109">S98*S77/10^7</f>
        <v>0</v>
      </c>
      <c r="T120" s="505">
        <f t="shared" si="109"/>
        <v>0</v>
      </c>
      <c r="U120" s="505">
        <f t="shared" si="109"/>
        <v>0</v>
      </c>
      <c r="V120" s="505">
        <f t="shared" si="109"/>
        <v>0</v>
      </c>
      <c r="W120" s="505">
        <f t="shared" si="109"/>
        <v>0</v>
      </c>
      <c r="X120" s="507"/>
    </row>
    <row r="121" spans="2:24" s="417" customFormat="1" ht="15.5" x14ac:dyDescent="0.35">
      <c r="B121" s="1136" t="s">
        <v>880</v>
      </c>
      <c r="C121" s="1137" t="s">
        <v>747</v>
      </c>
      <c r="D121" s="1138" t="s">
        <v>135</v>
      </c>
      <c r="E121" s="648"/>
      <c r="F121" s="505">
        <f t="shared" ref="F121:G124" si="110">F99*F78/10^7</f>
        <v>41.977402978321194</v>
      </c>
      <c r="G121" s="505">
        <f t="shared" si="110"/>
        <v>199.75646273830262</v>
      </c>
      <c r="H121" s="505">
        <f>G121-F121</f>
        <v>157.77905975998141</v>
      </c>
      <c r="I121" s="648"/>
      <c r="J121" s="505">
        <f t="shared" ref="J121:K121" si="111">J99*J78/10^7</f>
        <v>35.905493868963724</v>
      </c>
      <c r="K121" s="505">
        <f t="shared" si="111"/>
        <v>71.099369999999993</v>
      </c>
      <c r="L121" s="505">
        <f>K121-J121</f>
        <v>35.193876131036269</v>
      </c>
      <c r="M121" s="648"/>
      <c r="N121" s="505">
        <f t="shared" ref="N121:O121" si="112">N99*N78/10^7</f>
        <v>55.826006812444042</v>
      </c>
      <c r="O121" s="505">
        <f t="shared" si="112"/>
        <v>76.455115912072003</v>
      </c>
      <c r="P121" s="505">
        <f t="shared" ref="P121" si="113">P99*P78/10^7</f>
        <v>26.79713399672497</v>
      </c>
      <c r="Q121" s="505">
        <f t="shared" si="102"/>
        <v>103.25224990879697</v>
      </c>
      <c r="R121" s="505">
        <f t="shared" si="98"/>
        <v>47.426243096352927</v>
      </c>
      <c r="S121" s="505">
        <f t="shared" ref="S121:W121" si="114">S99*S78/10^7</f>
        <v>54.586865689350653</v>
      </c>
      <c r="T121" s="505">
        <f t="shared" si="114"/>
        <v>57.316208973818185</v>
      </c>
      <c r="U121" s="505">
        <f t="shared" si="114"/>
        <v>60.1820194225091</v>
      </c>
      <c r="V121" s="505">
        <f t="shared" si="114"/>
        <v>63.056132074138787</v>
      </c>
      <c r="W121" s="505">
        <f t="shared" si="114"/>
        <v>66.326420749979931</v>
      </c>
      <c r="X121" s="507"/>
    </row>
    <row r="122" spans="2:24" s="417" customFormat="1" ht="15.5" x14ac:dyDescent="0.35">
      <c r="B122" s="1136" t="s">
        <v>881</v>
      </c>
      <c r="C122" s="1137" t="s">
        <v>748</v>
      </c>
      <c r="D122" s="1138" t="s">
        <v>135</v>
      </c>
      <c r="E122" s="648"/>
      <c r="F122" s="505">
        <f t="shared" si="110"/>
        <v>9.2405831415737296</v>
      </c>
      <c r="G122" s="505">
        <f t="shared" si="110"/>
        <v>43.972853750701049</v>
      </c>
      <c r="H122" s="505">
        <f>G122-F122</f>
        <v>34.732270609127319</v>
      </c>
      <c r="I122" s="648"/>
      <c r="J122" s="505">
        <f t="shared" ref="J122:K122" si="115">J100*J79/10^7</f>
        <v>18.292684890698286</v>
      </c>
      <c r="K122" s="505">
        <f t="shared" si="115"/>
        <v>36.222823618125709</v>
      </c>
      <c r="L122" s="505">
        <f>K122-J122</f>
        <v>17.930138727427423</v>
      </c>
      <c r="M122" s="648"/>
      <c r="N122" s="505">
        <f t="shared" ref="N122:O122" si="116">N100*N79/10^7</f>
        <v>16.00142623412702</v>
      </c>
      <c r="O122" s="505">
        <f t="shared" si="116"/>
        <v>15.942954626459997</v>
      </c>
      <c r="P122" s="505">
        <f t="shared" ref="P122" si="117">P100*P79/10^7</f>
        <v>13.652270874336139</v>
      </c>
      <c r="Q122" s="505">
        <f t="shared" si="102"/>
        <v>29.595225500796136</v>
      </c>
      <c r="R122" s="505">
        <f t="shared" si="98"/>
        <v>13.593799266669116</v>
      </c>
      <c r="S122" s="505">
        <f t="shared" ref="S122:W122" si="118">S100*S79/10^7</f>
        <v>30.40301197499587</v>
      </c>
      <c r="T122" s="505">
        <f t="shared" si="118"/>
        <v>31.923162573745657</v>
      </c>
      <c r="U122" s="505">
        <f t="shared" si="118"/>
        <v>33.519320702432942</v>
      </c>
      <c r="V122" s="505">
        <f t="shared" si="118"/>
        <v>35.120102873409131</v>
      </c>
      <c r="W122" s="505">
        <f t="shared" si="118"/>
        <v>36.941541501871889</v>
      </c>
      <c r="X122" s="507"/>
    </row>
    <row r="123" spans="2:24" s="417" customFormat="1" ht="15.5" x14ac:dyDescent="0.35">
      <c r="B123" s="1136" t="s">
        <v>1507</v>
      </c>
      <c r="C123" s="1137" t="s">
        <v>855</v>
      </c>
      <c r="D123" s="1138" t="s">
        <v>135</v>
      </c>
      <c r="E123" s="648"/>
      <c r="F123" s="505">
        <f t="shared" si="110"/>
        <v>0</v>
      </c>
      <c r="G123" s="505">
        <f t="shared" si="110"/>
        <v>0</v>
      </c>
      <c r="H123" s="505">
        <f t="shared" ref="H123:H124" si="119">G123-F123</f>
        <v>0</v>
      </c>
      <c r="I123" s="648"/>
      <c r="J123" s="505">
        <f t="shared" ref="J123:K123" si="120">J101*J80/10^7</f>
        <v>0</v>
      </c>
      <c r="K123" s="505">
        <f t="shared" si="120"/>
        <v>0</v>
      </c>
      <c r="L123" s="505">
        <f t="shared" ref="L123:L124" si="121">K123-J123</f>
        <v>0</v>
      </c>
      <c r="M123" s="648"/>
      <c r="N123" s="505">
        <f t="shared" ref="N123:O123" si="122">N101*N80/10^7</f>
        <v>0</v>
      </c>
      <c r="O123" s="505">
        <f t="shared" si="122"/>
        <v>0</v>
      </c>
      <c r="P123" s="505">
        <f t="shared" ref="P123" si="123">P101*P80/10^7</f>
        <v>0</v>
      </c>
      <c r="Q123" s="505">
        <f t="shared" si="102"/>
        <v>0</v>
      </c>
      <c r="R123" s="505">
        <f t="shared" si="98"/>
        <v>0</v>
      </c>
      <c r="S123" s="505">
        <f t="shared" ref="S123:W123" si="124">S101*S80/10^7</f>
        <v>0</v>
      </c>
      <c r="T123" s="505">
        <f t="shared" si="124"/>
        <v>0</v>
      </c>
      <c r="U123" s="505">
        <f t="shared" si="124"/>
        <v>0</v>
      </c>
      <c r="V123" s="505">
        <f t="shared" si="124"/>
        <v>0</v>
      </c>
      <c r="W123" s="505">
        <f t="shared" si="124"/>
        <v>0</v>
      </c>
      <c r="X123" s="507"/>
    </row>
    <row r="124" spans="2:24" s="417" customFormat="1" ht="15.5" x14ac:dyDescent="0.35">
      <c r="B124" s="1136" t="s">
        <v>1508</v>
      </c>
      <c r="C124" s="1137" t="s">
        <v>856</v>
      </c>
      <c r="D124" s="1138" t="s">
        <v>135</v>
      </c>
      <c r="E124" s="648"/>
      <c r="F124" s="505">
        <f t="shared" si="110"/>
        <v>0</v>
      </c>
      <c r="G124" s="505">
        <f t="shared" si="110"/>
        <v>0</v>
      </c>
      <c r="H124" s="505">
        <f t="shared" si="119"/>
        <v>0</v>
      </c>
      <c r="I124" s="648"/>
      <c r="J124" s="505">
        <f t="shared" ref="J124:K124" si="125">J102*J81/10^7</f>
        <v>0</v>
      </c>
      <c r="K124" s="505">
        <f t="shared" si="125"/>
        <v>0</v>
      </c>
      <c r="L124" s="505">
        <f t="shared" si="121"/>
        <v>0</v>
      </c>
      <c r="M124" s="648"/>
      <c r="N124" s="505">
        <f t="shared" ref="N124:O124" si="126">N102*N81/10^7</f>
        <v>0</v>
      </c>
      <c r="O124" s="505">
        <f t="shared" si="126"/>
        <v>0</v>
      </c>
      <c r="P124" s="505">
        <f t="shared" ref="P124" si="127">P102*P81/10^7</f>
        <v>0</v>
      </c>
      <c r="Q124" s="505">
        <f t="shared" si="102"/>
        <v>0</v>
      </c>
      <c r="R124" s="505">
        <f t="shared" si="98"/>
        <v>0</v>
      </c>
      <c r="S124" s="505">
        <f t="shared" ref="S124:W124" si="128">S102*S81/10^7</f>
        <v>0</v>
      </c>
      <c r="T124" s="505">
        <f t="shared" si="128"/>
        <v>0</v>
      </c>
      <c r="U124" s="505">
        <f t="shared" si="128"/>
        <v>0</v>
      </c>
      <c r="V124" s="505">
        <f t="shared" si="128"/>
        <v>0</v>
      </c>
      <c r="W124" s="505">
        <f t="shared" si="128"/>
        <v>0</v>
      </c>
      <c r="X124" s="507"/>
    </row>
    <row r="125" spans="2:24" s="478" customFormat="1" ht="15.5" x14ac:dyDescent="0.3">
      <c r="B125" s="462"/>
      <c r="C125" s="461" t="s">
        <v>134</v>
      </c>
      <c r="D125" s="389" t="s">
        <v>135</v>
      </c>
      <c r="E125" s="648"/>
      <c r="F125" s="505">
        <f t="shared" ref="F125:L125" si="129">SUM(F116:F124)</f>
        <v>3319.9257524513064</v>
      </c>
      <c r="G125" s="505">
        <f>SUM(G116:G124)</f>
        <v>3858.2805012922345</v>
      </c>
      <c r="H125" s="505">
        <f t="shared" si="129"/>
        <v>538.35474884092764</v>
      </c>
      <c r="I125" s="648"/>
      <c r="J125" s="505">
        <f t="shared" ref="J125:K125" si="130">SUM(J116:J124)</f>
        <v>3447.6489489382816</v>
      </c>
      <c r="K125" s="505">
        <f t="shared" si="130"/>
        <v>3689.0824667967986</v>
      </c>
      <c r="L125" s="505">
        <f t="shared" si="129"/>
        <v>241.43351785851704</v>
      </c>
      <c r="M125" s="648"/>
      <c r="N125" s="505">
        <f t="shared" ref="N125:O125" si="131">SUM(N116:N124)</f>
        <v>4462.1060907400051</v>
      </c>
      <c r="O125" s="505">
        <f t="shared" si="131"/>
        <v>2184.2266336416242</v>
      </c>
      <c r="P125" s="505">
        <f t="shared" ref="P125" si="132">SUM(P116:P124)</f>
        <v>2513.4752297749519</v>
      </c>
      <c r="Q125" s="505">
        <f>SUM(Q116:Q124)</f>
        <v>4697.7018634165779</v>
      </c>
      <c r="R125" s="505">
        <f>SUM(R116:R124)</f>
        <v>235.59577267657204</v>
      </c>
      <c r="S125" s="505">
        <f t="shared" ref="S125:W125" si="133">SUM(S116:S124)</f>
        <v>5460.0160720581043</v>
      </c>
      <c r="T125" s="505">
        <f t="shared" si="133"/>
        <v>5732.7570149504581</v>
      </c>
      <c r="U125" s="505">
        <f t="shared" si="133"/>
        <v>6019.4444754699953</v>
      </c>
      <c r="V125" s="505">
        <f t="shared" si="133"/>
        <v>6292.5550861226884</v>
      </c>
      <c r="W125" s="505">
        <f t="shared" si="133"/>
        <v>6607.6462140342974</v>
      </c>
      <c r="X125" s="510"/>
    </row>
    <row r="126" spans="2:24" s="417" customFormat="1" ht="15.5" x14ac:dyDescent="0.3">
      <c r="B126" s="462"/>
      <c r="C126" s="461"/>
      <c r="D126" s="463"/>
      <c r="E126" s="645"/>
      <c r="F126" s="508"/>
      <c r="G126" s="508"/>
      <c r="H126" s="508"/>
      <c r="I126" s="645"/>
      <c r="J126" s="508"/>
      <c r="K126" s="508"/>
      <c r="L126" s="508"/>
      <c r="M126" s="645"/>
      <c r="N126" s="506"/>
      <c r="O126" s="506"/>
      <c r="P126" s="506"/>
      <c r="Q126" s="506"/>
      <c r="R126" s="506"/>
      <c r="S126" s="506"/>
      <c r="T126" s="506"/>
      <c r="U126" s="506"/>
      <c r="V126" s="506"/>
      <c r="W126" s="506"/>
      <c r="X126" s="507"/>
    </row>
    <row r="127" spans="2:24" s="417" customFormat="1" ht="15.5" x14ac:dyDescent="0.3">
      <c r="B127" s="462">
        <v>5</v>
      </c>
      <c r="C127" s="461" t="s">
        <v>695</v>
      </c>
      <c r="D127" s="463"/>
      <c r="E127" s="645"/>
      <c r="F127" s="508"/>
      <c r="G127" s="508"/>
      <c r="H127" s="508"/>
      <c r="I127" s="645"/>
      <c r="J127" s="508"/>
      <c r="K127" s="508"/>
      <c r="L127" s="508"/>
      <c r="M127" s="645"/>
      <c r="N127" s="506"/>
      <c r="O127" s="506"/>
      <c r="P127" s="506"/>
      <c r="Q127" s="506"/>
      <c r="R127" s="506"/>
      <c r="S127" s="506"/>
      <c r="T127" s="506"/>
      <c r="U127" s="506"/>
      <c r="V127" s="506"/>
      <c r="W127" s="506"/>
      <c r="X127" s="507"/>
    </row>
    <row r="128" spans="2:24" s="417" customFormat="1" ht="15.5" x14ac:dyDescent="0.35">
      <c r="B128" s="477">
        <v>5.0999999999999996</v>
      </c>
      <c r="C128" s="377" t="s">
        <v>745</v>
      </c>
      <c r="D128" s="388" t="s">
        <v>135</v>
      </c>
      <c r="E128" s="648"/>
      <c r="F128" s="505">
        <f>G128</f>
        <v>0</v>
      </c>
      <c r="G128" s="505"/>
      <c r="H128" s="505">
        <f>G128-F128</f>
        <v>0</v>
      </c>
      <c r="I128" s="648"/>
      <c r="J128" s="505">
        <f>K128</f>
        <v>0</v>
      </c>
      <c r="K128" s="505"/>
      <c r="L128" s="505">
        <f>K128-J128</f>
        <v>0</v>
      </c>
      <c r="M128" s="648"/>
      <c r="N128" s="505">
        <f>Q128</f>
        <v>0</v>
      </c>
      <c r="O128" s="505"/>
      <c r="P128" s="505"/>
      <c r="Q128" s="505">
        <f>SUM(O128:P128)</f>
        <v>0</v>
      </c>
      <c r="R128" s="505">
        <f t="shared" ref="R128:R131" si="134">Q128-N128</f>
        <v>0</v>
      </c>
      <c r="S128" s="505"/>
      <c r="T128" s="505"/>
      <c r="U128" s="505"/>
      <c r="V128" s="505"/>
      <c r="W128" s="505"/>
      <c r="X128" s="507"/>
    </row>
    <row r="129" spans="2:24" s="417" customFormat="1" ht="15.5" x14ac:dyDescent="0.35">
      <c r="B129" s="477">
        <v>5.2</v>
      </c>
      <c r="C129" s="377" t="s">
        <v>112</v>
      </c>
      <c r="D129" s="388" t="s">
        <v>135</v>
      </c>
      <c r="E129" s="648"/>
      <c r="F129" s="505">
        <f t="shared" ref="F129:F130" si="135">G129</f>
        <v>0</v>
      </c>
      <c r="G129" s="505"/>
      <c r="H129" s="505">
        <f>G129-F129</f>
        <v>0</v>
      </c>
      <c r="I129" s="648"/>
      <c r="J129" s="505">
        <f t="shared" ref="J129:J130" si="136">K129</f>
        <v>0</v>
      </c>
      <c r="K129" s="505"/>
      <c r="L129" s="505">
        <f>K129-J129</f>
        <v>0</v>
      </c>
      <c r="M129" s="648"/>
      <c r="N129" s="505">
        <f t="shared" ref="N129:N130" si="137">Q129</f>
        <v>0</v>
      </c>
      <c r="O129" s="505"/>
      <c r="P129" s="505"/>
      <c r="Q129" s="505">
        <f t="shared" ref="Q129:Q130" si="138">SUM(O129:P129)</f>
        <v>0</v>
      </c>
      <c r="R129" s="505">
        <f t="shared" si="134"/>
        <v>0</v>
      </c>
      <c r="S129" s="505"/>
      <c r="T129" s="505"/>
      <c r="U129" s="505"/>
      <c r="V129" s="505"/>
      <c r="W129" s="505"/>
      <c r="X129" s="507"/>
    </row>
    <row r="130" spans="2:24" s="417" customFormat="1" ht="15.5" x14ac:dyDescent="0.35">
      <c r="B130" s="477">
        <v>5.3</v>
      </c>
      <c r="C130" s="377" t="s">
        <v>114</v>
      </c>
      <c r="D130" s="388" t="s">
        <v>135</v>
      </c>
      <c r="E130" s="648"/>
      <c r="F130" s="505">
        <f t="shared" si="135"/>
        <v>0</v>
      </c>
      <c r="G130" s="505"/>
      <c r="H130" s="505">
        <f>G130-F130</f>
        <v>0</v>
      </c>
      <c r="I130" s="648"/>
      <c r="J130" s="505">
        <f t="shared" si="136"/>
        <v>0</v>
      </c>
      <c r="K130" s="505"/>
      <c r="L130" s="505">
        <f>K130-J130</f>
        <v>0</v>
      </c>
      <c r="M130" s="648"/>
      <c r="N130" s="505">
        <f t="shared" si="137"/>
        <v>0</v>
      </c>
      <c r="O130" s="505"/>
      <c r="P130" s="505"/>
      <c r="Q130" s="505">
        <f t="shared" si="138"/>
        <v>0</v>
      </c>
      <c r="R130" s="505">
        <f t="shared" si="134"/>
        <v>0</v>
      </c>
      <c r="S130" s="505"/>
      <c r="T130" s="505"/>
      <c r="U130" s="505"/>
      <c r="V130" s="505"/>
      <c r="W130" s="505"/>
      <c r="X130" s="507"/>
    </row>
    <row r="131" spans="2:24" s="417" customFormat="1" ht="15.5" x14ac:dyDescent="0.3">
      <c r="B131" s="462"/>
      <c r="C131" s="461" t="s">
        <v>696</v>
      </c>
      <c r="D131" s="388" t="s">
        <v>135</v>
      </c>
      <c r="E131" s="492"/>
      <c r="F131" s="320">
        <f t="shared" ref="F131:Q131" si="139">SUM(F128:F130)</f>
        <v>0</v>
      </c>
      <c r="G131" s="320">
        <f t="shared" si="139"/>
        <v>0</v>
      </c>
      <c r="H131" s="320">
        <f t="shared" si="139"/>
        <v>0</v>
      </c>
      <c r="I131" s="492"/>
      <c r="J131" s="508">
        <f t="shared" si="139"/>
        <v>0</v>
      </c>
      <c r="K131" s="508">
        <f t="shared" si="139"/>
        <v>0</v>
      </c>
      <c r="L131" s="506">
        <f t="shared" si="139"/>
        <v>0</v>
      </c>
      <c r="M131" s="492"/>
      <c r="N131" s="508">
        <f t="shared" si="139"/>
        <v>0</v>
      </c>
      <c r="O131" s="508">
        <f t="shared" si="139"/>
        <v>0</v>
      </c>
      <c r="P131" s="508">
        <f t="shared" si="139"/>
        <v>0</v>
      </c>
      <c r="Q131" s="508">
        <f t="shared" si="139"/>
        <v>0</v>
      </c>
      <c r="R131" s="505">
        <f t="shared" si="134"/>
        <v>0</v>
      </c>
      <c r="S131" s="320">
        <f t="shared" ref="S131:W131" si="140">SUM(S128:S130)</f>
        <v>0</v>
      </c>
      <c r="T131" s="320">
        <f t="shared" si="140"/>
        <v>0</v>
      </c>
      <c r="U131" s="320">
        <f t="shared" si="140"/>
        <v>0</v>
      </c>
      <c r="V131" s="320">
        <f t="shared" si="140"/>
        <v>0</v>
      </c>
      <c r="W131" s="320">
        <f t="shared" si="140"/>
        <v>0</v>
      </c>
      <c r="X131" s="507"/>
    </row>
    <row r="132" spans="2:24" s="417" customFormat="1" ht="15.5" x14ac:dyDescent="0.3">
      <c r="B132" s="462"/>
      <c r="C132" s="461"/>
      <c r="D132" s="463"/>
      <c r="E132" s="645"/>
      <c r="F132" s="508"/>
      <c r="G132" s="508"/>
      <c r="H132" s="508"/>
      <c r="I132" s="645"/>
      <c r="J132" s="508"/>
      <c r="K132" s="508"/>
      <c r="L132" s="508"/>
      <c r="M132" s="645"/>
      <c r="N132" s="506"/>
      <c r="O132" s="506"/>
      <c r="P132" s="506"/>
      <c r="Q132" s="506"/>
      <c r="R132" s="506"/>
      <c r="S132" s="508"/>
      <c r="T132" s="508"/>
      <c r="U132" s="508"/>
      <c r="V132" s="508"/>
      <c r="W132" s="508"/>
      <c r="X132" s="507"/>
    </row>
    <row r="133" spans="2:24" s="417" customFormat="1" ht="15.5" x14ac:dyDescent="0.3">
      <c r="B133" s="462">
        <v>6</v>
      </c>
      <c r="C133" s="461" t="s">
        <v>697</v>
      </c>
      <c r="D133" s="463"/>
      <c r="E133" s="645"/>
      <c r="F133" s="508"/>
      <c r="G133" s="508"/>
      <c r="H133" s="508"/>
      <c r="I133" s="645"/>
      <c r="J133" s="508"/>
      <c r="K133" s="508"/>
      <c r="L133" s="508"/>
      <c r="M133" s="645"/>
      <c r="N133" s="506"/>
      <c r="O133" s="506"/>
      <c r="P133" s="506"/>
      <c r="Q133" s="506"/>
      <c r="R133" s="506"/>
      <c r="S133" s="508"/>
      <c r="T133" s="508"/>
      <c r="U133" s="508"/>
      <c r="V133" s="508"/>
      <c r="W133" s="508"/>
      <c r="X133" s="507"/>
    </row>
    <row r="134" spans="2:24" s="417" customFormat="1" ht="15.5" x14ac:dyDescent="0.35">
      <c r="B134" s="477">
        <v>6.1</v>
      </c>
      <c r="C134" s="377" t="s">
        <v>745</v>
      </c>
      <c r="D134" s="388" t="s">
        <v>135</v>
      </c>
      <c r="E134" s="648"/>
      <c r="F134" s="505">
        <f t="shared" ref="F134:F136" si="141">G134</f>
        <v>0</v>
      </c>
      <c r="G134" s="505"/>
      <c r="H134" s="505"/>
      <c r="I134" s="648"/>
      <c r="J134" s="505">
        <f t="shared" ref="J134:J136" si="142">K134</f>
        <v>0</v>
      </c>
      <c r="K134" s="505"/>
      <c r="L134" s="505">
        <f>K134-J134</f>
        <v>0</v>
      </c>
      <c r="M134" s="648"/>
      <c r="N134" s="505">
        <f t="shared" ref="N134:N136" si="143">Q134</f>
        <v>0</v>
      </c>
      <c r="O134" s="505"/>
      <c r="P134" s="505"/>
      <c r="Q134" s="505">
        <f>SUM(O134:P134)</f>
        <v>0</v>
      </c>
      <c r="R134" s="505">
        <f t="shared" ref="R134:R137" si="144">Q134-N134</f>
        <v>0</v>
      </c>
      <c r="S134" s="505"/>
      <c r="T134" s="505"/>
      <c r="U134" s="505"/>
      <c r="V134" s="505"/>
      <c r="W134" s="505"/>
      <c r="X134" s="507"/>
    </row>
    <row r="135" spans="2:24" s="417" customFormat="1" ht="15.5" x14ac:dyDescent="0.35">
      <c r="B135" s="477">
        <v>6.2</v>
      </c>
      <c r="C135" s="377" t="s">
        <v>112</v>
      </c>
      <c r="D135" s="388" t="s">
        <v>135</v>
      </c>
      <c r="E135" s="648"/>
      <c r="F135" s="505">
        <f t="shared" si="141"/>
        <v>0</v>
      </c>
      <c r="G135" s="505"/>
      <c r="H135" s="505"/>
      <c r="I135" s="648"/>
      <c r="J135" s="505">
        <f t="shared" si="142"/>
        <v>0</v>
      </c>
      <c r="K135" s="505"/>
      <c r="L135" s="505">
        <f>K135-J135</f>
        <v>0</v>
      </c>
      <c r="M135" s="648"/>
      <c r="N135" s="505">
        <f t="shared" si="143"/>
        <v>0</v>
      </c>
      <c r="O135" s="505"/>
      <c r="P135" s="505"/>
      <c r="Q135" s="505">
        <f t="shared" ref="Q135:Q136" si="145">SUM(O135:P135)</f>
        <v>0</v>
      </c>
      <c r="R135" s="505">
        <f t="shared" si="144"/>
        <v>0</v>
      </c>
      <c r="S135" s="505"/>
      <c r="T135" s="505"/>
      <c r="U135" s="505"/>
      <c r="V135" s="505"/>
      <c r="W135" s="505"/>
      <c r="X135" s="507"/>
    </row>
    <row r="136" spans="2:24" s="417" customFormat="1" ht="15.5" x14ac:dyDescent="0.35">
      <c r="B136" s="477">
        <v>6.3</v>
      </c>
      <c r="C136" s="377" t="s">
        <v>114</v>
      </c>
      <c r="D136" s="388" t="s">
        <v>135</v>
      </c>
      <c r="E136" s="648"/>
      <c r="F136" s="505">
        <f t="shared" si="141"/>
        <v>0</v>
      </c>
      <c r="G136" s="505"/>
      <c r="H136" s="505"/>
      <c r="I136" s="648"/>
      <c r="J136" s="505">
        <f t="shared" si="142"/>
        <v>0</v>
      </c>
      <c r="K136" s="505"/>
      <c r="L136" s="505">
        <f>K136-J136</f>
        <v>0</v>
      </c>
      <c r="M136" s="648"/>
      <c r="N136" s="505">
        <f t="shared" si="143"/>
        <v>0</v>
      </c>
      <c r="O136" s="505"/>
      <c r="P136" s="505"/>
      <c r="Q136" s="505">
        <f t="shared" si="145"/>
        <v>0</v>
      </c>
      <c r="R136" s="505">
        <f t="shared" si="144"/>
        <v>0</v>
      </c>
      <c r="S136" s="505"/>
      <c r="T136" s="505"/>
      <c r="U136" s="505"/>
      <c r="V136" s="505"/>
      <c r="W136" s="505"/>
      <c r="X136" s="507"/>
    </row>
    <row r="137" spans="2:24" s="417" customFormat="1" ht="15.5" x14ac:dyDescent="0.3">
      <c r="B137" s="462"/>
      <c r="C137" s="461" t="s">
        <v>698</v>
      </c>
      <c r="D137" s="389" t="s">
        <v>135</v>
      </c>
      <c r="E137" s="492"/>
      <c r="F137" s="320">
        <f t="shared" ref="F137:Q137" si="146">SUM(F134:F136)</f>
        <v>0</v>
      </c>
      <c r="G137" s="320">
        <f t="shared" si="146"/>
        <v>0</v>
      </c>
      <c r="H137" s="320">
        <f t="shared" si="146"/>
        <v>0</v>
      </c>
      <c r="I137" s="492"/>
      <c r="J137" s="508">
        <f t="shared" si="146"/>
        <v>0</v>
      </c>
      <c r="K137" s="508">
        <f t="shared" si="146"/>
        <v>0</v>
      </c>
      <c r="L137" s="506">
        <f t="shared" si="146"/>
        <v>0</v>
      </c>
      <c r="M137" s="492"/>
      <c r="N137" s="508">
        <f t="shared" si="146"/>
        <v>0</v>
      </c>
      <c r="O137" s="508">
        <f t="shared" si="146"/>
        <v>0</v>
      </c>
      <c r="P137" s="508">
        <f t="shared" si="146"/>
        <v>0</v>
      </c>
      <c r="Q137" s="508">
        <f t="shared" si="146"/>
        <v>0</v>
      </c>
      <c r="R137" s="505">
        <f t="shared" si="144"/>
        <v>0</v>
      </c>
      <c r="S137" s="320">
        <f t="shared" ref="S137:W137" si="147">SUM(S134:S136)</f>
        <v>0</v>
      </c>
      <c r="T137" s="320">
        <f t="shared" si="147"/>
        <v>0</v>
      </c>
      <c r="U137" s="320">
        <f t="shared" si="147"/>
        <v>0</v>
      </c>
      <c r="V137" s="320">
        <f t="shared" si="147"/>
        <v>0</v>
      </c>
      <c r="W137" s="320">
        <f t="shared" si="147"/>
        <v>0</v>
      </c>
      <c r="X137" s="507"/>
    </row>
    <row r="138" spans="2:24" s="417" customFormat="1" ht="15.5" x14ac:dyDescent="0.3">
      <c r="B138" s="462"/>
      <c r="C138" s="461"/>
      <c r="D138" s="388"/>
      <c r="E138" s="645"/>
      <c r="F138" s="508"/>
      <c r="G138" s="508"/>
      <c r="H138" s="508"/>
      <c r="I138" s="645"/>
      <c r="J138" s="508"/>
      <c r="K138" s="508"/>
      <c r="L138" s="508"/>
      <c r="M138" s="645"/>
      <c r="N138" s="506"/>
      <c r="O138" s="506"/>
      <c r="P138" s="506"/>
      <c r="Q138" s="506"/>
      <c r="R138" s="506"/>
      <c r="S138" s="508"/>
      <c r="T138" s="508"/>
      <c r="U138" s="508"/>
      <c r="V138" s="508"/>
      <c r="W138" s="508"/>
      <c r="X138" s="507"/>
    </row>
    <row r="139" spans="2:24" s="417" customFormat="1" ht="15.5" x14ac:dyDescent="0.3">
      <c r="B139" s="462">
        <v>7</v>
      </c>
      <c r="C139" s="461" t="s">
        <v>136</v>
      </c>
      <c r="D139" s="463"/>
      <c r="E139" s="645"/>
      <c r="F139" s="508"/>
      <c r="G139" s="508"/>
      <c r="H139" s="508"/>
      <c r="I139" s="645"/>
      <c r="J139" s="508"/>
      <c r="K139" s="508"/>
      <c r="L139" s="508"/>
      <c r="M139" s="645"/>
      <c r="N139" s="506"/>
      <c r="O139" s="506"/>
      <c r="P139" s="506"/>
      <c r="Q139" s="506"/>
      <c r="R139" s="506"/>
      <c r="S139" s="508"/>
      <c r="T139" s="508"/>
      <c r="U139" s="508"/>
      <c r="V139" s="508"/>
      <c r="W139" s="508"/>
      <c r="X139" s="507"/>
    </row>
    <row r="140" spans="2:24" s="417" customFormat="1" ht="15.5" x14ac:dyDescent="0.35">
      <c r="B140" s="477" t="s">
        <v>766</v>
      </c>
      <c r="C140" s="377" t="s">
        <v>851</v>
      </c>
      <c r="D140" s="388" t="s">
        <v>135</v>
      </c>
      <c r="E140" s="648"/>
      <c r="F140" s="505">
        <f t="shared" ref="F140:F152" si="148">G140</f>
        <v>0</v>
      </c>
      <c r="G140" s="505">
        <v>0</v>
      </c>
      <c r="H140" s="505">
        <f>G140-F140</f>
        <v>0</v>
      </c>
      <c r="I140" s="648"/>
      <c r="J140" s="505">
        <f t="shared" ref="J140:J152" si="149">K140</f>
        <v>0</v>
      </c>
      <c r="K140" s="505">
        <v>0</v>
      </c>
      <c r="L140" s="505">
        <f>K140-J140</f>
        <v>0</v>
      </c>
      <c r="M140" s="648"/>
      <c r="N140" s="505">
        <f t="shared" ref="N140:N152" si="150">Q140</f>
        <v>0</v>
      </c>
      <c r="O140" s="505">
        <v>0</v>
      </c>
      <c r="P140" s="505">
        <v>0</v>
      </c>
      <c r="Q140" s="505">
        <f t="shared" ref="Q140" si="151">SUM(O140:P140)</f>
        <v>0</v>
      </c>
      <c r="R140" s="505">
        <f t="shared" ref="R140" si="152">Q140-N140</f>
        <v>0</v>
      </c>
      <c r="S140" s="835">
        <v>0</v>
      </c>
      <c r="T140" s="835">
        <v>0</v>
      </c>
      <c r="U140" s="835">
        <v>0</v>
      </c>
      <c r="V140" s="835">
        <v>0</v>
      </c>
      <c r="W140" s="835">
        <v>0</v>
      </c>
      <c r="X140" s="507"/>
    </row>
    <row r="141" spans="2:24" s="417" customFormat="1" ht="15.5" x14ac:dyDescent="0.35">
      <c r="B141" s="477" t="s">
        <v>767</v>
      </c>
      <c r="C141" s="377" t="s">
        <v>852</v>
      </c>
      <c r="D141" s="388" t="s">
        <v>135</v>
      </c>
      <c r="E141" s="648"/>
      <c r="F141" s="505">
        <f t="shared" si="148"/>
        <v>0</v>
      </c>
      <c r="G141" s="505">
        <v>0</v>
      </c>
      <c r="H141" s="505">
        <f t="shared" ref="H141:H152" si="153">G141-F141</f>
        <v>0</v>
      </c>
      <c r="I141" s="648"/>
      <c r="J141" s="505">
        <f t="shared" si="149"/>
        <v>0</v>
      </c>
      <c r="K141" s="505">
        <v>0</v>
      </c>
      <c r="L141" s="505">
        <f t="shared" ref="L141:L152" si="154">K141-J141</f>
        <v>0</v>
      </c>
      <c r="M141" s="648"/>
      <c r="N141" s="505">
        <f t="shared" si="150"/>
        <v>0</v>
      </c>
      <c r="O141" s="505">
        <v>0</v>
      </c>
      <c r="P141" s="505">
        <v>0</v>
      </c>
      <c r="Q141" s="505">
        <f t="shared" ref="Q141:Q152" si="155">SUM(O141:P141)</f>
        <v>0</v>
      </c>
      <c r="R141" s="505">
        <f t="shared" ref="R141:R152" si="156">Q141-N141</f>
        <v>0</v>
      </c>
      <c r="S141" s="835"/>
      <c r="T141" s="835"/>
      <c r="U141" s="835"/>
      <c r="V141" s="835"/>
      <c r="W141" s="835"/>
      <c r="X141" s="507"/>
    </row>
    <row r="142" spans="2:24" s="417" customFormat="1" ht="15.5" x14ac:dyDescent="0.35">
      <c r="B142" s="477" t="s">
        <v>768</v>
      </c>
      <c r="C142" s="377" t="s">
        <v>755</v>
      </c>
      <c r="D142" s="388" t="s">
        <v>135</v>
      </c>
      <c r="E142" s="648"/>
      <c r="F142" s="505">
        <f t="shared" si="148"/>
        <v>0</v>
      </c>
      <c r="G142" s="505">
        <v>0</v>
      </c>
      <c r="H142" s="505">
        <f t="shared" si="153"/>
        <v>0</v>
      </c>
      <c r="I142" s="648"/>
      <c r="J142" s="505">
        <f t="shared" si="149"/>
        <v>0</v>
      </c>
      <c r="K142" s="505">
        <v>0</v>
      </c>
      <c r="L142" s="505">
        <f t="shared" si="154"/>
        <v>0</v>
      </c>
      <c r="M142" s="648"/>
      <c r="N142" s="505">
        <f t="shared" si="150"/>
        <v>0</v>
      </c>
      <c r="O142" s="505">
        <v>0</v>
      </c>
      <c r="P142" s="505">
        <v>0</v>
      </c>
      <c r="Q142" s="505">
        <f t="shared" si="155"/>
        <v>0</v>
      </c>
      <c r="R142" s="505">
        <f t="shared" si="156"/>
        <v>0</v>
      </c>
      <c r="S142" s="835"/>
      <c r="T142" s="835"/>
      <c r="U142" s="835"/>
      <c r="V142" s="835"/>
      <c r="W142" s="835"/>
      <c r="X142" s="507"/>
    </row>
    <row r="143" spans="2:24" s="417" customFormat="1" ht="15.5" x14ac:dyDescent="0.35">
      <c r="B143" s="477" t="s">
        <v>832</v>
      </c>
      <c r="C143" s="377" t="s">
        <v>756</v>
      </c>
      <c r="D143" s="388" t="s">
        <v>135</v>
      </c>
      <c r="E143" s="648"/>
      <c r="F143" s="505">
        <f t="shared" si="148"/>
        <v>0</v>
      </c>
      <c r="G143" s="505">
        <v>0</v>
      </c>
      <c r="H143" s="505">
        <f t="shared" si="153"/>
        <v>0</v>
      </c>
      <c r="I143" s="648"/>
      <c r="J143" s="505">
        <f t="shared" si="149"/>
        <v>0</v>
      </c>
      <c r="K143" s="505">
        <v>0</v>
      </c>
      <c r="L143" s="505">
        <f t="shared" si="154"/>
        <v>0</v>
      </c>
      <c r="M143" s="648"/>
      <c r="N143" s="505">
        <f t="shared" si="150"/>
        <v>0</v>
      </c>
      <c r="O143" s="505">
        <v>0</v>
      </c>
      <c r="P143" s="505">
        <v>0</v>
      </c>
      <c r="Q143" s="505">
        <f t="shared" si="155"/>
        <v>0</v>
      </c>
      <c r="R143" s="505">
        <f t="shared" si="156"/>
        <v>0</v>
      </c>
      <c r="S143" s="835"/>
      <c r="T143" s="835"/>
      <c r="U143" s="835"/>
      <c r="V143" s="835"/>
      <c r="W143" s="835"/>
      <c r="X143" s="507"/>
    </row>
    <row r="144" spans="2:24" s="417" customFormat="1" ht="15.5" x14ac:dyDescent="0.35">
      <c r="B144" s="477" t="s">
        <v>833</v>
      </c>
      <c r="C144" s="377" t="s">
        <v>757</v>
      </c>
      <c r="D144" s="388" t="s">
        <v>135</v>
      </c>
      <c r="E144" s="648"/>
      <c r="F144" s="505">
        <f t="shared" si="148"/>
        <v>0</v>
      </c>
      <c r="G144" s="505">
        <v>0</v>
      </c>
      <c r="H144" s="505">
        <f t="shared" si="153"/>
        <v>0</v>
      </c>
      <c r="I144" s="648"/>
      <c r="J144" s="505">
        <f t="shared" si="149"/>
        <v>0</v>
      </c>
      <c r="K144" s="505">
        <v>0</v>
      </c>
      <c r="L144" s="505">
        <f t="shared" si="154"/>
        <v>0</v>
      </c>
      <c r="M144" s="648"/>
      <c r="N144" s="505">
        <f t="shared" si="150"/>
        <v>0</v>
      </c>
      <c r="O144" s="505">
        <v>0</v>
      </c>
      <c r="P144" s="505">
        <v>0</v>
      </c>
      <c r="Q144" s="505">
        <f t="shared" si="155"/>
        <v>0</v>
      </c>
      <c r="R144" s="505">
        <f t="shared" si="156"/>
        <v>0</v>
      </c>
      <c r="S144" s="835">
        <v>0</v>
      </c>
      <c r="T144" s="835">
        <v>0</v>
      </c>
      <c r="U144" s="835">
        <v>0</v>
      </c>
      <c r="V144" s="835">
        <v>0</v>
      </c>
      <c r="W144" s="835">
        <v>0</v>
      </c>
      <c r="X144" s="507"/>
    </row>
    <row r="145" spans="2:24" s="417" customFormat="1" ht="15.5" x14ac:dyDescent="0.35">
      <c r="B145" s="477" t="s">
        <v>834</v>
      </c>
      <c r="C145" s="377" t="s">
        <v>758</v>
      </c>
      <c r="D145" s="388" t="s">
        <v>135</v>
      </c>
      <c r="E145" s="648"/>
      <c r="F145" s="505">
        <f t="shared" si="148"/>
        <v>0</v>
      </c>
      <c r="G145" s="505">
        <v>0</v>
      </c>
      <c r="H145" s="505">
        <f t="shared" si="153"/>
        <v>0</v>
      </c>
      <c r="I145" s="648"/>
      <c r="J145" s="505">
        <f t="shared" si="149"/>
        <v>0</v>
      </c>
      <c r="K145" s="505">
        <v>0</v>
      </c>
      <c r="L145" s="505">
        <f t="shared" si="154"/>
        <v>0</v>
      </c>
      <c r="M145" s="648"/>
      <c r="N145" s="505">
        <f t="shared" si="150"/>
        <v>0</v>
      </c>
      <c r="O145" s="505">
        <v>0</v>
      </c>
      <c r="P145" s="505">
        <v>0</v>
      </c>
      <c r="Q145" s="505">
        <f t="shared" si="155"/>
        <v>0</v>
      </c>
      <c r="R145" s="505">
        <f t="shared" si="156"/>
        <v>0</v>
      </c>
      <c r="S145" s="835">
        <v>0</v>
      </c>
      <c r="T145" s="835">
        <v>0</v>
      </c>
      <c r="U145" s="835">
        <v>0</v>
      </c>
      <c r="V145" s="835">
        <v>0</v>
      </c>
      <c r="W145" s="835">
        <v>0</v>
      </c>
      <c r="X145" s="507"/>
    </row>
    <row r="146" spans="2:24" s="417" customFormat="1" ht="15.5" x14ac:dyDescent="0.35">
      <c r="B146" s="477" t="s">
        <v>835</v>
      </c>
      <c r="C146" s="377" t="s">
        <v>759</v>
      </c>
      <c r="D146" s="388" t="s">
        <v>135</v>
      </c>
      <c r="E146" s="648"/>
      <c r="F146" s="505">
        <f t="shared" si="148"/>
        <v>0</v>
      </c>
      <c r="G146" s="505">
        <v>0</v>
      </c>
      <c r="H146" s="505">
        <f t="shared" si="153"/>
        <v>0</v>
      </c>
      <c r="I146" s="648"/>
      <c r="J146" s="505">
        <f t="shared" si="149"/>
        <v>0</v>
      </c>
      <c r="K146" s="505">
        <v>0</v>
      </c>
      <c r="L146" s="505">
        <f t="shared" si="154"/>
        <v>0</v>
      </c>
      <c r="M146" s="648"/>
      <c r="N146" s="505">
        <f t="shared" si="150"/>
        <v>0</v>
      </c>
      <c r="O146" s="505">
        <v>0</v>
      </c>
      <c r="P146" s="505">
        <v>0</v>
      </c>
      <c r="Q146" s="505">
        <f t="shared" si="155"/>
        <v>0</v>
      </c>
      <c r="R146" s="505">
        <f t="shared" si="156"/>
        <v>0</v>
      </c>
      <c r="S146" s="835">
        <v>0</v>
      </c>
      <c r="T146" s="835">
        <v>0</v>
      </c>
      <c r="U146" s="835">
        <v>0</v>
      </c>
      <c r="V146" s="835">
        <v>0</v>
      </c>
      <c r="W146" s="835">
        <v>0</v>
      </c>
      <c r="X146" s="507"/>
    </row>
    <row r="147" spans="2:24" s="417" customFormat="1" ht="15.5" x14ac:dyDescent="0.35">
      <c r="B147" s="477" t="s">
        <v>836</v>
      </c>
      <c r="C147" s="377" t="s">
        <v>760</v>
      </c>
      <c r="D147" s="388" t="s">
        <v>135</v>
      </c>
      <c r="E147" s="648"/>
      <c r="F147" s="505">
        <f t="shared" si="148"/>
        <v>0</v>
      </c>
      <c r="G147" s="505">
        <v>0</v>
      </c>
      <c r="H147" s="505">
        <f t="shared" si="153"/>
        <v>0</v>
      </c>
      <c r="I147" s="648"/>
      <c r="J147" s="505">
        <f t="shared" si="149"/>
        <v>0</v>
      </c>
      <c r="K147" s="505">
        <v>0</v>
      </c>
      <c r="L147" s="505">
        <f t="shared" si="154"/>
        <v>0</v>
      </c>
      <c r="M147" s="648"/>
      <c r="N147" s="505">
        <f t="shared" si="150"/>
        <v>0</v>
      </c>
      <c r="O147" s="505">
        <v>0</v>
      </c>
      <c r="P147" s="505">
        <v>0</v>
      </c>
      <c r="Q147" s="505">
        <f t="shared" si="155"/>
        <v>0</v>
      </c>
      <c r="R147" s="505">
        <f t="shared" si="156"/>
        <v>0</v>
      </c>
      <c r="S147" s="835">
        <v>0</v>
      </c>
      <c r="T147" s="835">
        <v>0</v>
      </c>
      <c r="U147" s="835">
        <v>0</v>
      </c>
      <c r="V147" s="835">
        <v>0</v>
      </c>
      <c r="W147" s="835">
        <v>0</v>
      </c>
      <c r="X147" s="507"/>
    </row>
    <row r="148" spans="2:24" s="417" customFormat="1" ht="15.5" x14ac:dyDescent="0.35">
      <c r="B148" s="477" t="s">
        <v>837</v>
      </c>
      <c r="C148" s="377" t="s">
        <v>761</v>
      </c>
      <c r="D148" s="388" t="s">
        <v>135</v>
      </c>
      <c r="E148" s="648"/>
      <c r="F148" s="505">
        <f t="shared" si="148"/>
        <v>0</v>
      </c>
      <c r="G148" s="505">
        <v>0</v>
      </c>
      <c r="H148" s="505">
        <f t="shared" si="153"/>
        <v>0</v>
      </c>
      <c r="I148" s="648"/>
      <c r="J148" s="505">
        <f t="shared" si="149"/>
        <v>0</v>
      </c>
      <c r="K148" s="505">
        <v>0</v>
      </c>
      <c r="L148" s="505">
        <f t="shared" si="154"/>
        <v>0</v>
      </c>
      <c r="M148" s="648"/>
      <c r="N148" s="505">
        <f t="shared" si="150"/>
        <v>0</v>
      </c>
      <c r="O148" s="505">
        <v>0</v>
      </c>
      <c r="P148" s="505">
        <v>0</v>
      </c>
      <c r="Q148" s="505">
        <f t="shared" si="155"/>
        <v>0</v>
      </c>
      <c r="R148" s="505">
        <f t="shared" si="156"/>
        <v>0</v>
      </c>
      <c r="S148" s="835">
        <v>0</v>
      </c>
      <c r="T148" s="835">
        <v>0</v>
      </c>
      <c r="U148" s="835">
        <v>0</v>
      </c>
      <c r="V148" s="835">
        <v>0</v>
      </c>
      <c r="W148" s="835">
        <v>0</v>
      </c>
      <c r="X148" s="507"/>
    </row>
    <row r="149" spans="2:24" s="417" customFormat="1" ht="15.5" x14ac:dyDescent="0.35">
      <c r="B149" s="477" t="s">
        <v>838</v>
      </c>
      <c r="C149" s="377" t="s">
        <v>762</v>
      </c>
      <c r="D149" s="388" t="s">
        <v>135</v>
      </c>
      <c r="E149" s="648"/>
      <c r="F149" s="505">
        <f t="shared" si="148"/>
        <v>0</v>
      </c>
      <c r="G149" s="505">
        <v>0</v>
      </c>
      <c r="H149" s="505">
        <f t="shared" si="153"/>
        <v>0</v>
      </c>
      <c r="I149" s="648"/>
      <c r="J149" s="505">
        <f t="shared" si="149"/>
        <v>0</v>
      </c>
      <c r="K149" s="505">
        <v>0</v>
      </c>
      <c r="L149" s="505">
        <f t="shared" si="154"/>
        <v>0</v>
      </c>
      <c r="M149" s="648"/>
      <c r="N149" s="505">
        <f t="shared" si="150"/>
        <v>0</v>
      </c>
      <c r="O149" s="505">
        <v>0</v>
      </c>
      <c r="P149" s="505">
        <v>0</v>
      </c>
      <c r="Q149" s="505">
        <f t="shared" si="155"/>
        <v>0</v>
      </c>
      <c r="R149" s="505">
        <f t="shared" si="156"/>
        <v>0</v>
      </c>
      <c r="S149" s="835">
        <v>0</v>
      </c>
      <c r="T149" s="835">
        <v>0</v>
      </c>
      <c r="U149" s="835">
        <v>0</v>
      </c>
      <c r="V149" s="835">
        <v>0</v>
      </c>
      <c r="W149" s="835">
        <v>0</v>
      </c>
      <c r="X149" s="507"/>
    </row>
    <row r="150" spans="2:24" s="417" customFormat="1" ht="15.5" x14ac:dyDescent="0.35">
      <c r="B150" s="477" t="s">
        <v>839</v>
      </c>
      <c r="C150" s="377" t="s">
        <v>763</v>
      </c>
      <c r="D150" s="388" t="s">
        <v>135</v>
      </c>
      <c r="E150" s="648"/>
      <c r="F150" s="505">
        <f t="shared" si="148"/>
        <v>0</v>
      </c>
      <c r="G150" s="505">
        <v>0</v>
      </c>
      <c r="H150" s="505">
        <f t="shared" si="153"/>
        <v>0</v>
      </c>
      <c r="I150" s="648"/>
      <c r="J150" s="505">
        <f t="shared" si="149"/>
        <v>0</v>
      </c>
      <c r="K150" s="505">
        <v>0</v>
      </c>
      <c r="L150" s="505">
        <f t="shared" si="154"/>
        <v>0</v>
      </c>
      <c r="M150" s="648"/>
      <c r="N150" s="505">
        <f t="shared" si="150"/>
        <v>0</v>
      </c>
      <c r="O150" s="505">
        <v>0</v>
      </c>
      <c r="P150" s="505">
        <v>0</v>
      </c>
      <c r="Q150" s="505">
        <f t="shared" si="155"/>
        <v>0</v>
      </c>
      <c r="R150" s="505">
        <f t="shared" si="156"/>
        <v>0</v>
      </c>
      <c r="S150" s="835">
        <v>0</v>
      </c>
      <c r="T150" s="835">
        <v>0</v>
      </c>
      <c r="U150" s="835">
        <v>0</v>
      </c>
      <c r="V150" s="835">
        <v>0</v>
      </c>
      <c r="W150" s="835">
        <v>0</v>
      </c>
      <c r="X150" s="507"/>
    </row>
    <row r="151" spans="2:24" s="417" customFormat="1" ht="15.5" x14ac:dyDescent="0.35">
      <c r="B151" s="477" t="s">
        <v>840</v>
      </c>
      <c r="C151" s="377" t="s">
        <v>764</v>
      </c>
      <c r="D151" s="388" t="s">
        <v>135</v>
      </c>
      <c r="E151" s="648"/>
      <c r="F151" s="505">
        <f t="shared" si="148"/>
        <v>0</v>
      </c>
      <c r="G151" s="505">
        <v>0</v>
      </c>
      <c r="H151" s="505">
        <f t="shared" si="153"/>
        <v>0</v>
      </c>
      <c r="I151" s="648"/>
      <c r="J151" s="505">
        <f t="shared" si="149"/>
        <v>0</v>
      </c>
      <c r="K151" s="505">
        <v>0</v>
      </c>
      <c r="L151" s="505">
        <f t="shared" si="154"/>
        <v>0</v>
      </c>
      <c r="M151" s="648"/>
      <c r="N151" s="505">
        <f t="shared" si="150"/>
        <v>0</v>
      </c>
      <c r="O151" s="505">
        <v>0</v>
      </c>
      <c r="P151" s="505">
        <v>0</v>
      </c>
      <c r="Q151" s="505">
        <f t="shared" si="155"/>
        <v>0</v>
      </c>
      <c r="R151" s="505">
        <f t="shared" si="156"/>
        <v>0</v>
      </c>
      <c r="S151" s="835">
        <v>0</v>
      </c>
      <c r="T151" s="835">
        <v>0</v>
      </c>
      <c r="U151" s="835">
        <v>0</v>
      </c>
      <c r="V151" s="835">
        <v>0</v>
      </c>
      <c r="W151" s="835">
        <v>0</v>
      </c>
      <c r="X151" s="507"/>
    </row>
    <row r="152" spans="2:24" s="417" customFormat="1" ht="15.5" x14ac:dyDescent="0.35">
      <c r="B152" s="477" t="s">
        <v>841</v>
      </c>
      <c r="C152" s="377" t="s">
        <v>765</v>
      </c>
      <c r="D152" s="388" t="s">
        <v>135</v>
      </c>
      <c r="E152" s="648"/>
      <c r="F152" s="505">
        <f t="shared" si="148"/>
        <v>0</v>
      </c>
      <c r="G152" s="505">
        <v>0</v>
      </c>
      <c r="H152" s="505">
        <f t="shared" si="153"/>
        <v>0</v>
      </c>
      <c r="I152" s="648"/>
      <c r="J152" s="505">
        <f t="shared" si="149"/>
        <v>0</v>
      </c>
      <c r="K152" s="505">
        <v>0</v>
      </c>
      <c r="L152" s="505">
        <f t="shared" si="154"/>
        <v>0</v>
      </c>
      <c r="M152" s="648"/>
      <c r="N152" s="505">
        <f t="shared" si="150"/>
        <v>0</v>
      </c>
      <c r="O152" s="505">
        <v>0</v>
      </c>
      <c r="P152" s="505">
        <v>0</v>
      </c>
      <c r="Q152" s="505">
        <f t="shared" si="155"/>
        <v>0</v>
      </c>
      <c r="R152" s="505">
        <f t="shared" si="156"/>
        <v>0</v>
      </c>
      <c r="S152" s="835">
        <v>0</v>
      </c>
      <c r="T152" s="835">
        <v>0</v>
      </c>
      <c r="U152" s="835">
        <v>0</v>
      </c>
      <c r="V152" s="835">
        <v>0</v>
      </c>
      <c r="W152" s="835">
        <v>0</v>
      </c>
      <c r="X152" s="507"/>
    </row>
    <row r="153" spans="2:24" s="478" customFormat="1" ht="15.5" x14ac:dyDescent="0.3">
      <c r="B153" s="462"/>
      <c r="C153" s="461" t="s">
        <v>137</v>
      </c>
      <c r="D153" s="389" t="s">
        <v>135</v>
      </c>
      <c r="E153" s="648"/>
      <c r="F153" s="505">
        <f>SUM(F140:F152)</f>
        <v>0</v>
      </c>
      <c r="G153" s="505">
        <f t="shared" ref="G153:R153" si="157">SUM(G140:G152)</f>
        <v>0</v>
      </c>
      <c r="H153" s="505">
        <f t="shared" si="157"/>
        <v>0</v>
      </c>
      <c r="I153" s="648"/>
      <c r="J153" s="505">
        <f t="shared" si="157"/>
        <v>0</v>
      </c>
      <c r="K153" s="505">
        <f t="shared" si="157"/>
        <v>0</v>
      </c>
      <c r="L153" s="505">
        <f t="shared" si="157"/>
        <v>0</v>
      </c>
      <c r="M153" s="648"/>
      <c r="N153" s="505">
        <f t="shared" si="157"/>
        <v>0</v>
      </c>
      <c r="O153" s="505">
        <f t="shared" si="157"/>
        <v>0</v>
      </c>
      <c r="P153" s="505">
        <f t="shared" si="157"/>
        <v>0</v>
      </c>
      <c r="Q153" s="505">
        <f t="shared" si="157"/>
        <v>0</v>
      </c>
      <c r="R153" s="505">
        <f t="shared" si="157"/>
        <v>0</v>
      </c>
      <c r="S153" s="505">
        <f t="shared" ref="S153:W153" si="158">SUM(S140:S152)</f>
        <v>0</v>
      </c>
      <c r="T153" s="505">
        <f t="shared" si="158"/>
        <v>0</v>
      </c>
      <c r="U153" s="505">
        <f t="shared" si="158"/>
        <v>0</v>
      </c>
      <c r="V153" s="505">
        <f t="shared" si="158"/>
        <v>0</v>
      </c>
      <c r="W153" s="505">
        <f t="shared" si="158"/>
        <v>0</v>
      </c>
      <c r="X153" s="510"/>
    </row>
    <row r="154" spans="2:24" s="417" customFormat="1" ht="15.5" x14ac:dyDescent="0.3">
      <c r="B154" s="462"/>
      <c r="C154" s="461"/>
      <c r="D154" s="463"/>
      <c r="E154" s="649"/>
      <c r="F154" s="509"/>
      <c r="G154" s="509"/>
      <c r="H154" s="509"/>
      <c r="I154" s="649"/>
      <c r="J154" s="509"/>
      <c r="K154" s="509"/>
      <c r="L154" s="509"/>
      <c r="M154" s="649"/>
      <c r="N154" s="509"/>
      <c r="O154" s="509"/>
      <c r="P154" s="509"/>
      <c r="Q154" s="505"/>
      <c r="R154" s="505"/>
      <c r="S154" s="509"/>
      <c r="T154" s="509"/>
      <c r="U154" s="509"/>
      <c r="V154" s="509"/>
      <c r="W154" s="509"/>
      <c r="X154" s="507"/>
    </row>
    <row r="155" spans="2:24" s="420" customFormat="1" ht="15.5" x14ac:dyDescent="0.3">
      <c r="B155" s="464">
        <v>8</v>
      </c>
      <c r="C155" s="465" t="s">
        <v>699</v>
      </c>
      <c r="D155" s="388" t="s">
        <v>135</v>
      </c>
      <c r="E155" s="650">
        <v>4353.6843876076555</v>
      </c>
      <c r="F155" s="805">
        <f>F125+F131+F137+F153</f>
        <v>3319.9257524513064</v>
      </c>
      <c r="G155" s="419">
        <f>G125+G131+G137+G4153</f>
        <v>3858.2805012922345</v>
      </c>
      <c r="H155" s="419">
        <f t="shared" ref="H155:P155" si="159">H125+H131+H137+H153</f>
        <v>538.35474884092764</v>
      </c>
      <c r="I155" s="650">
        <v>4334.6185179535787</v>
      </c>
      <c r="J155" s="419">
        <f>J125+J131+J137+J153</f>
        <v>3447.6489489382816</v>
      </c>
      <c r="K155" s="419">
        <f t="shared" si="159"/>
        <v>3689.0824667967986</v>
      </c>
      <c r="L155" s="419">
        <f t="shared" si="159"/>
        <v>241.43351785851704</v>
      </c>
      <c r="M155" s="650">
        <v>4316.0668723285653</v>
      </c>
      <c r="N155" s="419">
        <f>N125+N131+N137+N153</f>
        <v>4462.1060907400051</v>
      </c>
      <c r="O155" s="419">
        <f t="shared" si="159"/>
        <v>2184.2266336416242</v>
      </c>
      <c r="P155" s="419">
        <f t="shared" si="159"/>
        <v>2513.4752297749519</v>
      </c>
      <c r="Q155" s="419">
        <f>Q125+Q131+Q137+Q153</f>
        <v>4697.7018634165779</v>
      </c>
      <c r="R155" s="723">
        <f>R125+R131+R137+R153</f>
        <v>235.59577267657204</v>
      </c>
      <c r="S155" s="419">
        <f>S125+S131+S137+S153</f>
        <v>5460.0160720581043</v>
      </c>
      <c r="T155" s="419">
        <f t="shared" ref="T155:W155" si="160">T125+T131+T137+T153</f>
        <v>5732.7570149504581</v>
      </c>
      <c r="U155" s="419">
        <f t="shared" si="160"/>
        <v>6019.4444754699953</v>
      </c>
      <c r="V155" s="419">
        <f t="shared" si="160"/>
        <v>6292.5550861226884</v>
      </c>
      <c r="W155" s="419">
        <f t="shared" si="160"/>
        <v>6607.6462140342974</v>
      </c>
      <c r="X155" s="402"/>
    </row>
    <row r="156" spans="2:24" s="6" customFormat="1" ht="15.5" x14ac:dyDescent="0.35">
      <c r="B156" s="382"/>
      <c r="C156" s="383"/>
      <c r="D156" s="384"/>
      <c r="E156" s="496"/>
      <c r="F156" s="496"/>
      <c r="G156" s="496"/>
      <c r="H156" s="496"/>
      <c r="I156" s="496"/>
      <c r="J156" s="496"/>
      <c r="K156" s="496"/>
      <c r="L156" s="496"/>
      <c r="M156" s="496"/>
      <c r="N156" s="495"/>
      <c r="O156" s="495"/>
      <c r="P156" s="495"/>
      <c r="Q156" s="495"/>
      <c r="R156" s="495"/>
      <c r="S156" s="496"/>
      <c r="T156" s="496"/>
      <c r="U156" s="496"/>
      <c r="V156" s="496"/>
      <c r="W156" s="496"/>
      <c r="X156" s="392"/>
    </row>
    <row r="157" spans="2:24" s="6" customFormat="1" ht="15.5" x14ac:dyDescent="0.35">
      <c r="B157" s="382">
        <v>9</v>
      </c>
      <c r="C157" s="383" t="s">
        <v>700</v>
      </c>
      <c r="D157" s="384" t="s">
        <v>138</v>
      </c>
      <c r="E157" s="496">
        <v>4.0751475023407409</v>
      </c>
      <c r="F157" s="731">
        <f>F155/F37*10</f>
        <v>4.352330490002208</v>
      </c>
      <c r="G157" s="496">
        <f>G155/G37*10</f>
        <v>5.157576988338767</v>
      </c>
      <c r="H157" s="496">
        <f t="shared" ref="H157" si="161">G157-F157</f>
        <v>0.80524649833655904</v>
      </c>
      <c r="I157" s="496">
        <v>4.1030114593447102</v>
      </c>
      <c r="J157" s="496">
        <f>J155/J37*10</f>
        <v>4.2070843496117307</v>
      </c>
      <c r="K157" s="496">
        <f>K155/K37*10</f>
        <v>4.5602584416058791</v>
      </c>
      <c r="L157" s="496">
        <f t="shared" ref="L157" si="162">K157-J157</f>
        <v>0.3531740919941484</v>
      </c>
      <c r="M157" s="496">
        <v>4.096644080672605</v>
      </c>
      <c r="N157" s="496">
        <f t="shared" ref="N157:W157" si="163">N155/N37*10</f>
        <v>4.2207278516286468</v>
      </c>
      <c r="O157" s="496">
        <f t="shared" si="163"/>
        <v>4.8724950681432482</v>
      </c>
      <c r="P157" s="496">
        <f t="shared" si="163"/>
        <v>4.1679134044637562</v>
      </c>
      <c r="Q157" s="496">
        <f t="shared" si="163"/>
        <v>4.4683400082082505</v>
      </c>
      <c r="R157" s="731">
        <f t="shared" si="163"/>
        <v>-40.215504395442949</v>
      </c>
      <c r="S157" s="496">
        <f t="shared" si="163"/>
        <v>4.4777632822038598</v>
      </c>
      <c r="T157" s="496">
        <f t="shared" si="163"/>
        <v>4.7016682106173677</v>
      </c>
      <c r="U157" s="496">
        <f t="shared" si="163"/>
        <v>5.000554762628866</v>
      </c>
      <c r="V157" s="496">
        <f t="shared" si="163"/>
        <v>5.2278153060676775</v>
      </c>
      <c r="W157" s="496">
        <f t="shared" si="163"/>
        <v>5.4893126746980778</v>
      </c>
      <c r="X157" s="496"/>
    </row>
    <row r="158" spans="2:24" s="1" customFormat="1" ht="16" x14ac:dyDescent="0.3">
      <c r="B158" s="676"/>
      <c r="C158" s="149"/>
      <c r="D158" s="677"/>
      <c r="E158" s="677"/>
      <c r="F158" s="677"/>
      <c r="G158" s="677"/>
      <c r="H158" s="677"/>
      <c r="I158" s="677"/>
      <c r="J158" s="677"/>
      <c r="K158" s="677"/>
      <c r="L158" s="677"/>
      <c r="M158" s="40"/>
      <c r="N158" s="40"/>
      <c r="O158" s="40"/>
      <c r="P158" s="40"/>
      <c r="Q158" s="40"/>
      <c r="R158" s="40"/>
      <c r="S158" s="4"/>
      <c r="T158" s="4"/>
      <c r="U158" s="4"/>
      <c r="V158" s="4"/>
      <c r="W158" s="4"/>
      <c r="X158" s="9"/>
    </row>
    <row r="159" spans="2:24" x14ac:dyDescent="0.3">
      <c r="N159" s="1300"/>
      <c r="P159" s="52"/>
      <c r="S159" s="11"/>
      <c r="T159" s="11"/>
      <c r="U159" s="11"/>
      <c r="V159" s="11"/>
      <c r="W159" s="11"/>
    </row>
    <row r="160" spans="2:24" x14ac:dyDescent="0.3">
      <c r="S160" s="11"/>
      <c r="T160" s="11"/>
      <c r="U160" s="11"/>
      <c r="V160" s="11"/>
      <c r="W160" s="11"/>
    </row>
    <row r="161" spans="1:23" x14ac:dyDescent="0.3">
      <c r="S161" s="11"/>
      <c r="T161" s="11"/>
      <c r="U161" s="11"/>
      <c r="V161" s="11"/>
      <c r="W161" s="11"/>
    </row>
    <row r="162" spans="1:23" x14ac:dyDescent="0.3">
      <c r="S162" s="11"/>
      <c r="T162" s="11"/>
      <c r="U162" s="11"/>
      <c r="V162" s="11"/>
      <c r="W162" s="11"/>
    </row>
    <row r="163" spans="1:23" ht="14.5" thickBot="1" x14ac:dyDescent="0.35">
      <c r="S163" s="11"/>
      <c r="T163" s="11"/>
      <c r="U163" s="11"/>
      <c r="V163" s="11"/>
      <c r="W163" s="11"/>
    </row>
    <row r="164" spans="1:23" ht="14.5" thickBot="1" x14ac:dyDescent="0.35">
      <c r="A164" s="1147"/>
      <c r="B164" s="1148" t="s">
        <v>605</v>
      </c>
      <c r="C164" s="1149"/>
      <c r="D164" s="1150"/>
      <c r="E164" s="1694" t="s">
        <v>1517</v>
      </c>
      <c r="F164" s="1695"/>
      <c r="G164" s="1696"/>
      <c r="H164" s="1697" t="s">
        <v>1518</v>
      </c>
      <c r="I164" s="1693"/>
      <c r="J164" s="1693"/>
      <c r="K164" s="1693" t="s">
        <v>1519</v>
      </c>
      <c r="L164" s="1693"/>
      <c r="M164" s="1693"/>
      <c r="N164" s="1693" t="s">
        <v>1520</v>
      </c>
      <c r="O164" s="1693"/>
      <c r="P164" s="1693"/>
      <c r="Q164" s="1693" t="s">
        <v>1521</v>
      </c>
      <c r="R164" s="1693"/>
      <c r="S164" s="1693"/>
      <c r="T164" s="11"/>
      <c r="U164" s="11"/>
      <c r="V164" s="11"/>
      <c r="W164" s="11"/>
    </row>
    <row r="165" spans="1:23" ht="28.5" thickBot="1" x14ac:dyDescent="0.35">
      <c r="A165" s="1147"/>
      <c r="B165" s="1151" t="s">
        <v>1516</v>
      </c>
      <c r="C165" s="1149"/>
      <c r="D165" s="1150"/>
      <c r="E165" s="1239" t="s">
        <v>1562</v>
      </c>
      <c r="F165" s="1240" t="s">
        <v>1563</v>
      </c>
      <c r="G165" s="1241" t="s">
        <v>1564</v>
      </c>
      <c r="H165" s="1242" t="s">
        <v>1562</v>
      </c>
      <c r="I165" s="1243" t="s">
        <v>1563</v>
      </c>
      <c r="J165" s="1244" t="s">
        <v>1564</v>
      </c>
      <c r="K165" s="1243" t="s">
        <v>1562</v>
      </c>
      <c r="L165" s="1243" t="s">
        <v>1563</v>
      </c>
      <c r="M165" s="1245" t="s">
        <v>1564</v>
      </c>
      <c r="N165" s="1243" t="s">
        <v>1562</v>
      </c>
      <c r="O165" s="1243" t="s">
        <v>1563</v>
      </c>
      <c r="P165" s="1244" t="s">
        <v>1564</v>
      </c>
      <c r="Q165" s="1243" t="s">
        <v>1562</v>
      </c>
      <c r="R165" s="1243" t="s">
        <v>1563</v>
      </c>
      <c r="S165" s="1244" t="s">
        <v>1564</v>
      </c>
      <c r="T165" s="11"/>
      <c r="U165" s="11"/>
      <c r="V165" s="11"/>
      <c r="W165" s="11"/>
    </row>
    <row r="166" spans="1:23" ht="15.5" x14ac:dyDescent="0.35">
      <c r="A166" s="1147"/>
      <c r="B166" s="1152"/>
      <c r="C166" s="1147"/>
      <c r="D166" s="1150"/>
      <c r="T166" s="11"/>
      <c r="U166" s="11"/>
      <c r="V166" s="11"/>
      <c r="W166" s="11"/>
    </row>
    <row r="167" spans="1:23" x14ac:dyDescent="0.3">
      <c r="A167" s="1147"/>
      <c r="B167" s="1153" t="s">
        <v>425</v>
      </c>
      <c r="C167" s="1218" t="s">
        <v>37</v>
      </c>
      <c r="D167" s="1149"/>
      <c r="E167" s="1227"/>
      <c r="F167" s="132"/>
      <c r="G167" s="1228"/>
      <c r="H167" s="1220"/>
      <c r="I167" s="132"/>
      <c r="J167" s="132"/>
      <c r="K167" s="132"/>
      <c r="L167" s="132"/>
      <c r="M167" s="9"/>
      <c r="N167" s="40"/>
      <c r="O167" s="132"/>
      <c r="P167" s="9"/>
      <c r="Q167" s="132"/>
      <c r="R167" s="9"/>
      <c r="S167" s="3"/>
      <c r="T167" s="11"/>
      <c r="U167" s="11"/>
      <c r="V167" s="11"/>
      <c r="W167" s="11"/>
    </row>
    <row r="168" spans="1:23" x14ac:dyDescent="0.3">
      <c r="A168" s="1147"/>
      <c r="B168" s="1153">
        <v>1</v>
      </c>
      <c r="C168" s="1218" t="s">
        <v>1522</v>
      </c>
      <c r="D168" s="1149"/>
      <c r="E168" s="1247">
        <f>S40</f>
        <v>2688</v>
      </c>
      <c r="F168" s="1248">
        <f>E168</f>
        <v>2688</v>
      </c>
      <c r="G168" s="1249"/>
      <c r="H168" s="1250">
        <f>$T$40</f>
        <v>2688</v>
      </c>
      <c r="I168" s="1248">
        <f>H168</f>
        <v>2688</v>
      </c>
      <c r="J168" s="132"/>
      <c r="K168" s="1222">
        <f>$U$40</f>
        <v>2688</v>
      </c>
      <c r="L168" s="1248">
        <f>K168</f>
        <v>2688</v>
      </c>
      <c r="M168" s="9"/>
      <c r="N168" s="1222">
        <f>$V$40</f>
        <v>2688</v>
      </c>
      <c r="O168" s="1248">
        <f>N168</f>
        <v>2688</v>
      </c>
      <c r="P168" s="9"/>
      <c r="Q168" s="1222">
        <f>$W$40</f>
        <v>2688</v>
      </c>
      <c r="R168" s="1248">
        <f>Q168</f>
        <v>2688</v>
      </c>
      <c r="S168" s="3"/>
      <c r="T168" s="11"/>
      <c r="U168" s="11"/>
      <c r="V168" s="11"/>
      <c r="W168" s="11"/>
    </row>
    <row r="169" spans="1:23" x14ac:dyDescent="0.3">
      <c r="A169" s="1147"/>
      <c r="B169" s="1153">
        <f>B168+1</f>
        <v>2</v>
      </c>
      <c r="C169" s="1218" t="s">
        <v>1523</v>
      </c>
      <c r="D169" s="1149"/>
      <c r="E169" s="1251">
        <f>S68+85</f>
        <v>3398.5039676822794</v>
      </c>
      <c r="F169" s="1252">
        <f>E169</f>
        <v>3398.5039676822794</v>
      </c>
      <c r="G169" s="1249"/>
      <c r="H169" s="1253">
        <f>T68+85</f>
        <v>3398.5089281889309</v>
      </c>
      <c r="I169" s="1252">
        <f>H169</f>
        <v>3398.5089281889309</v>
      </c>
      <c r="J169" s="132"/>
      <c r="K169" s="1225">
        <f>U68+85</f>
        <v>3398.5080262413176</v>
      </c>
      <c r="L169" s="1223">
        <f>K169</f>
        <v>3398.5080262413176</v>
      </c>
      <c r="M169" s="9"/>
      <c r="N169" s="1225">
        <f>V68+85</f>
        <v>3403.3567338476223</v>
      </c>
      <c r="O169" s="1223">
        <f>N169</f>
        <v>3403.3567338476223</v>
      </c>
      <c r="P169" s="9"/>
      <c r="Q169" s="1225">
        <f>W68+85</f>
        <v>3403.3519942495404</v>
      </c>
      <c r="R169" s="1223">
        <f>Q169</f>
        <v>3403.3519942495404</v>
      </c>
      <c r="S169" s="3"/>
      <c r="T169" s="11"/>
      <c r="U169" s="11"/>
      <c r="V169" s="11"/>
      <c r="W169" s="11"/>
    </row>
    <row r="170" spans="1:23" x14ac:dyDescent="0.3">
      <c r="A170" s="1147"/>
      <c r="B170" s="1153">
        <f t="shared" ref="B170:B176" si="164">B169+1</f>
        <v>3</v>
      </c>
      <c r="C170" s="1218" t="s">
        <v>1524</v>
      </c>
      <c r="D170" s="1149"/>
      <c r="E170" s="1254">
        <f>E169-85</f>
        <v>3313.5039676822794</v>
      </c>
      <c r="F170" s="1255">
        <f>F169-85</f>
        <v>3313.5039676822794</v>
      </c>
      <c r="G170" s="1249"/>
      <c r="H170" s="1256">
        <f t="shared" ref="H170:I170" si="165">H169-85</f>
        <v>3313.5089281889309</v>
      </c>
      <c r="I170" s="1255">
        <f t="shared" si="165"/>
        <v>3313.5089281889309</v>
      </c>
      <c r="J170" s="132"/>
      <c r="K170" s="1226">
        <f t="shared" ref="K170" si="166">K169-85</f>
        <v>3313.5080262413176</v>
      </c>
      <c r="L170" s="1155">
        <f t="shared" ref="L170" si="167">L169-85</f>
        <v>3313.5080262413176</v>
      </c>
      <c r="M170" s="9"/>
      <c r="N170" s="1226">
        <f t="shared" ref="N170" si="168">N169-85</f>
        <v>3318.3567338476223</v>
      </c>
      <c r="O170" s="1155">
        <f t="shared" ref="O170" si="169">O169-85</f>
        <v>3318.3567338476223</v>
      </c>
      <c r="P170" s="9"/>
      <c r="Q170" s="1226">
        <f t="shared" ref="Q170" si="170">Q169-85</f>
        <v>3318.3519942495404</v>
      </c>
      <c r="R170" s="1155">
        <f t="shared" ref="R170" si="171">R169-85</f>
        <v>3318.3519942495404</v>
      </c>
      <c r="S170" s="3"/>
      <c r="T170" s="11"/>
      <c r="U170" s="11"/>
      <c r="V170" s="11"/>
      <c r="W170" s="11"/>
    </row>
    <row r="171" spans="1:23" x14ac:dyDescent="0.3">
      <c r="A171" s="1461">
        <v>7.4999999999999997E-3</v>
      </c>
      <c r="B171" s="1153">
        <f t="shared" si="164"/>
        <v>4</v>
      </c>
      <c r="C171" s="1218" t="s">
        <v>1525</v>
      </c>
      <c r="D171" s="1149"/>
      <c r="E171" s="1257">
        <v>7.4999999999999997E-3</v>
      </c>
      <c r="F171" s="1258">
        <v>7.4999999999999997E-3</v>
      </c>
      <c r="G171" s="1249"/>
      <c r="H171" s="1257">
        <v>7.4999999999999997E-3</v>
      </c>
      <c r="I171" s="1258">
        <v>7.4999999999999997E-3</v>
      </c>
      <c r="J171" s="132"/>
      <c r="K171" s="1257">
        <v>7.4999999999999997E-3</v>
      </c>
      <c r="L171" s="1258">
        <v>7.4999999999999997E-3</v>
      </c>
      <c r="M171" s="9"/>
      <c r="N171" s="1257">
        <v>7.4999999999999997E-3</v>
      </c>
      <c r="O171" s="1258">
        <v>7.4999999999999997E-3</v>
      </c>
      <c r="P171" s="9"/>
      <c r="Q171" s="1257">
        <v>7.4999999999999997E-3</v>
      </c>
      <c r="R171" s="1258">
        <v>7.4999999999999997E-3</v>
      </c>
      <c r="S171" s="3"/>
      <c r="T171" s="11"/>
      <c r="U171" s="11"/>
      <c r="V171" s="11"/>
      <c r="W171" s="11"/>
    </row>
    <row r="172" spans="1:23" x14ac:dyDescent="0.3">
      <c r="A172" s="1147"/>
      <c r="B172" s="1153">
        <f t="shared" si="164"/>
        <v>5</v>
      </c>
      <c r="C172" s="1218" t="s">
        <v>2269</v>
      </c>
      <c r="D172" s="1149"/>
      <c r="E172" s="1259">
        <v>0.85</v>
      </c>
      <c r="F172" s="1260">
        <v>0.89</v>
      </c>
      <c r="G172" s="1249"/>
      <c r="H172" s="1259">
        <v>0.85</v>
      </c>
      <c r="I172" s="1260">
        <v>0.89</v>
      </c>
      <c r="J172" s="132"/>
      <c r="K172" s="1259">
        <v>0.85</v>
      </c>
      <c r="L172" s="1260">
        <v>0.89</v>
      </c>
      <c r="M172" s="9"/>
      <c r="N172" s="1259">
        <v>0.85</v>
      </c>
      <c r="O172" s="1260">
        <v>0.89</v>
      </c>
      <c r="P172" s="9"/>
      <c r="Q172" s="1259">
        <v>0.85</v>
      </c>
      <c r="R172" s="1260">
        <v>0.89</v>
      </c>
      <c r="S172" s="3"/>
      <c r="T172" s="11"/>
      <c r="U172" s="11"/>
      <c r="V172" s="11"/>
      <c r="W172" s="11"/>
    </row>
    <row r="173" spans="1:23" ht="25" x14ac:dyDescent="0.3">
      <c r="A173" s="1147"/>
      <c r="B173" s="1153">
        <f t="shared" si="164"/>
        <v>6</v>
      </c>
      <c r="C173" s="1218" t="s">
        <v>1526</v>
      </c>
      <c r="D173" s="1149"/>
      <c r="E173" s="1261">
        <v>600</v>
      </c>
      <c r="F173" s="466">
        <v>200</v>
      </c>
      <c r="G173" s="1249"/>
      <c r="H173" s="1261">
        <v>600</v>
      </c>
      <c r="I173" s="466">
        <v>200</v>
      </c>
      <c r="J173" s="132"/>
      <c r="K173" s="1261">
        <v>600</v>
      </c>
      <c r="L173" s="466">
        <v>200</v>
      </c>
      <c r="M173" s="9"/>
      <c r="N173" s="1261">
        <v>600</v>
      </c>
      <c r="O173" s="466">
        <v>200</v>
      </c>
      <c r="P173" s="9"/>
      <c r="Q173" s="1261">
        <v>600</v>
      </c>
      <c r="R173" s="466">
        <v>200</v>
      </c>
      <c r="S173" s="3"/>
      <c r="T173" s="11"/>
      <c r="U173" s="11"/>
      <c r="V173" s="11"/>
      <c r="W173" s="11"/>
    </row>
    <row r="174" spans="1:23" x14ac:dyDescent="0.3">
      <c r="A174" s="1147"/>
      <c r="B174" s="1153">
        <f t="shared" si="164"/>
        <v>7</v>
      </c>
      <c r="C174" s="1218" t="s">
        <v>1527</v>
      </c>
      <c r="D174" s="1149"/>
      <c r="E174" s="1261">
        <f>IF(E173&lt;=200,95%,73%)</f>
        <v>0.73</v>
      </c>
      <c r="F174" s="1262">
        <f>IF(F173&lt;=200,95%,73%)</f>
        <v>0.95</v>
      </c>
      <c r="G174" s="1249"/>
      <c r="H174" s="1261">
        <f>IF(H173&lt;=200,95%,73%)</f>
        <v>0.73</v>
      </c>
      <c r="I174" s="1262">
        <f>IF(I173&lt;=200,95%,73%)</f>
        <v>0.95</v>
      </c>
      <c r="J174" s="132"/>
      <c r="K174" s="1229">
        <f>IF(K173&lt;=200,95%,73%)</f>
        <v>0.73</v>
      </c>
      <c r="L174" s="1154">
        <f>IF(L173&lt;=200,95%,73%)</f>
        <v>0.95</v>
      </c>
      <c r="M174" s="9"/>
      <c r="N174" s="1229">
        <f>IF(N173&lt;=200,95%,73%)</f>
        <v>0.73</v>
      </c>
      <c r="O174" s="1154">
        <f>IF(O173&lt;=200,95%,73%)</f>
        <v>0.95</v>
      </c>
      <c r="P174" s="9"/>
      <c r="Q174" s="1229">
        <f>IF(Q173&lt;=200,95%,73%)</f>
        <v>0.73</v>
      </c>
      <c r="R174" s="1154">
        <f>IF(R173&lt;=200,95%,73%)</f>
        <v>0.95</v>
      </c>
      <c r="S174" s="3"/>
      <c r="T174" s="11"/>
      <c r="U174" s="11"/>
      <c r="V174" s="11"/>
      <c r="W174" s="11"/>
    </row>
    <row r="175" spans="1:23" x14ac:dyDescent="0.3">
      <c r="A175" s="1147"/>
      <c r="B175" s="1153">
        <f t="shared" si="164"/>
        <v>8</v>
      </c>
      <c r="C175" s="1218" t="s">
        <v>1528</v>
      </c>
      <c r="D175" s="1149"/>
      <c r="E175" s="1261">
        <f>IF(E174=73%,26.8,35.2)</f>
        <v>26.8</v>
      </c>
      <c r="F175" s="1262">
        <f>IF(F174=73%,26.8,35.2)</f>
        <v>35.200000000000003</v>
      </c>
      <c r="G175" s="1249"/>
      <c r="H175" s="1261">
        <f>IF(H174=73%,26.8,35.2)</f>
        <v>26.8</v>
      </c>
      <c r="I175" s="1262">
        <f>IF(I174=73%,26.8,35.2)</f>
        <v>35.200000000000003</v>
      </c>
      <c r="J175" s="132"/>
      <c r="K175" s="1229">
        <f>IF(K174=73%,26.8,35.2)</f>
        <v>26.8</v>
      </c>
      <c r="L175" s="1154">
        <f>IF(L174=73%,26.8,35.2)</f>
        <v>35.200000000000003</v>
      </c>
      <c r="M175" s="9"/>
      <c r="N175" s="1229">
        <f>IF(N174=73%,26.8,35.2)</f>
        <v>26.8</v>
      </c>
      <c r="O175" s="1154">
        <f>IF(O174=73%,26.8,35.2)</f>
        <v>35.200000000000003</v>
      </c>
      <c r="P175" s="9"/>
      <c r="Q175" s="1229">
        <f>IF(Q174=73%,26.8,35.2)</f>
        <v>26.8</v>
      </c>
      <c r="R175" s="1154">
        <f>IF(R174=73%,26.8,35.2)</f>
        <v>35.200000000000003</v>
      </c>
      <c r="S175" s="3"/>
      <c r="T175" s="11"/>
      <c r="U175" s="11"/>
      <c r="V175" s="11"/>
      <c r="W175" s="11"/>
    </row>
    <row r="176" spans="1:23" x14ac:dyDescent="0.3">
      <c r="A176" s="1147"/>
      <c r="B176" s="1153">
        <f t="shared" si="164"/>
        <v>9</v>
      </c>
      <c r="C176" s="1218" t="s">
        <v>1529</v>
      </c>
      <c r="D176" s="1149"/>
      <c r="E176" s="1259">
        <v>0.67</v>
      </c>
      <c r="F176" s="1260">
        <v>0.95</v>
      </c>
      <c r="G176" s="1249"/>
      <c r="H176" s="1259">
        <v>0.67</v>
      </c>
      <c r="I176" s="1260">
        <v>0.95</v>
      </c>
      <c r="J176" s="132"/>
      <c r="K176" s="1259">
        <v>0.67</v>
      </c>
      <c r="L176" s="1260">
        <v>0.95</v>
      </c>
      <c r="M176" s="9"/>
      <c r="N176" s="1259">
        <v>0.67</v>
      </c>
      <c r="O176" s="1260">
        <v>0.95</v>
      </c>
      <c r="P176" s="9"/>
      <c r="Q176" s="1259">
        <v>0.67</v>
      </c>
      <c r="R176" s="1260">
        <v>0.95</v>
      </c>
      <c r="S176" s="3"/>
      <c r="T176" s="11"/>
      <c r="U176" s="11"/>
      <c r="V176" s="11"/>
      <c r="W176" s="11"/>
    </row>
    <row r="177" spans="1:27" x14ac:dyDescent="0.3">
      <c r="A177" s="1147"/>
      <c r="B177" s="1153">
        <f>B176+1</f>
        <v>10</v>
      </c>
      <c r="C177" s="1218" t="s">
        <v>1530</v>
      </c>
      <c r="D177" s="1149"/>
      <c r="E177" s="1263">
        <f>E175*E176/E174</f>
        <v>24.597260273972609</v>
      </c>
      <c r="F177" s="1264">
        <f>F175*F176/F174</f>
        <v>35.199999999999996</v>
      </c>
      <c r="G177" s="1249"/>
      <c r="H177" s="1263">
        <f>H175*H176/H174</f>
        <v>24.597260273972609</v>
      </c>
      <c r="I177" s="1264">
        <f>I175*I176/I174</f>
        <v>35.199999999999996</v>
      </c>
      <c r="J177" s="132"/>
      <c r="K177" s="1230">
        <f>K175*K176/K174</f>
        <v>24.597260273972609</v>
      </c>
      <c r="L177" s="1156">
        <f>L175*L176/L174</f>
        <v>35.199999999999996</v>
      </c>
      <c r="M177" s="9"/>
      <c r="N177" s="1230">
        <f>N175*N176/N174</f>
        <v>24.597260273972609</v>
      </c>
      <c r="O177" s="1156">
        <f>O175*O176/O174</f>
        <v>35.199999999999996</v>
      </c>
      <c r="P177" s="9"/>
      <c r="Q177" s="1230">
        <f>Q175*Q176/Q174</f>
        <v>24.597260273972609</v>
      </c>
      <c r="R177" s="1156">
        <f>R175*R176/R174</f>
        <v>35.199999999999996</v>
      </c>
      <c r="S177" s="3"/>
      <c r="T177" s="11"/>
      <c r="U177" s="11"/>
      <c r="V177" s="11"/>
      <c r="W177" s="11"/>
    </row>
    <row r="178" spans="1:27" x14ac:dyDescent="0.3">
      <c r="A178" s="1147"/>
      <c r="B178" s="1153">
        <f>B177+1</f>
        <v>11</v>
      </c>
      <c r="C178" s="1218" t="s">
        <v>1531</v>
      </c>
      <c r="D178" s="1149"/>
      <c r="E178" s="1265">
        <f>(E177*E168*E171/E170)*(85/E172)</f>
        <v>14.965449625525725</v>
      </c>
      <c r="F178" s="1266">
        <f>(F177*F168*F171/F170)*(85/F172)</f>
        <v>20.453828743725776</v>
      </c>
      <c r="G178" s="1249"/>
      <c r="H178" s="1265">
        <f>(H177*H168*H171/H170)*(85/H172)</f>
        <v>14.965427221417569</v>
      </c>
      <c r="I178" s="1266">
        <f>(I177*I168*I171/I170)*(85/I172)</f>
        <v>20.453798123209662</v>
      </c>
      <c r="J178" s="132"/>
      <c r="K178" s="1231">
        <f>(K177*K168*K171/K170)*(85/K172)</f>
        <v>14.965431295055312</v>
      </c>
      <c r="L178" s="1217">
        <f>(L177*L168*L171/L170)*(85/L172)</f>
        <v>20.453803690799734</v>
      </c>
      <c r="M178" s="9"/>
      <c r="N178" s="1231">
        <f>(N177*N168*N171/N170)*(85/N172)</f>
        <v>14.94356414623077</v>
      </c>
      <c r="O178" s="1217">
        <f>(O177*O168*O171/O170)*(85/O172)</f>
        <v>20.423917056695011</v>
      </c>
      <c r="P178" s="9"/>
      <c r="Q178" s="1231">
        <f>(Q177*Q168*Q171/Q170)*(85/Q172)</f>
        <v>14.943585490105104</v>
      </c>
      <c r="R178" s="1217">
        <f>(R177*R168*R171/R170)*(85/R172)</f>
        <v>20.423946228150687</v>
      </c>
      <c r="S178" s="3"/>
      <c r="T178" s="11"/>
      <c r="U178" s="11"/>
      <c r="V178" s="11"/>
      <c r="W178" s="11"/>
    </row>
    <row r="179" spans="1:27" x14ac:dyDescent="0.3">
      <c r="A179" s="1157"/>
      <c r="B179" s="1158"/>
      <c r="C179" s="1158"/>
      <c r="D179" s="1149"/>
      <c r="E179" s="1267"/>
      <c r="F179" s="338"/>
      <c r="G179" s="1268"/>
      <c r="H179" s="1269"/>
      <c r="I179" s="466"/>
      <c r="J179" s="132"/>
      <c r="K179" s="1220"/>
      <c r="L179" s="132"/>
      <c r="M179" s="9"/>
      <c r="N179" s="1220"/>
      <c r="O179" s="132"/>
      <c r="P179" s="9"/>
      <c r="Q179" s="1220"/>
      <c r="R179" s="132"/>
      <c r="S179" s="3"/>
      <c r="T179" s="11"/>
      <c r="U179" s="11"/>
      <c r="V179" s="11"/>
      <c r="W179" s="11"/>
    </row>
    <row r="180" spans="1:27" x14ac:dyDescent="0.3">
      <c r="A180" s="1147"/>
      <c r="B180" s="1158"/>
      <c r="C180" s="1158"/>
      <c r="D180" s="1149"/>
      <c r="E180" s="1267"/>
      <c r="F180" s="338"/>
      <c r="G180" s="1268"/>
      <c r="H180" s="1269"/>
      <c r="I180" s="466"/>
      <c r="J180" s="132"/>
      <c r="K180" s="1220"/>
      <c r="L180" s="132"/>
      <c r="M180" s="9"/>
      <c r="N180" s="1220"/>
      <c r="O180" s="132"/>
      <c r="P180" s="9"/>
      <c r="Q180" s="1220"/>
      <c r="R180" s="132"/>
      <c r="S180" s="3"/>
      <c r="T180" s="11"/>
      <c r="U180" s="11"/>
      <c r="V180" s="11"/>
      <c r="W180" s="11"/>
    </row>
    <row r="181" spans="1:27" x14ac:dyDescent="0.3">
      <c r="A181" s="1147"/>
      <c r="B181" s="1153" t="s">
        <v>425</v>
      </c>
      <c r="C181" s="1218" t="s">
        <v>1532</v>
      </c>
      <c r="D181" s="1149"/>
      <c r="E181" s="1227"/>
      <c r="F181" s="466"/>
      <c r="G181" s="1249"/>
      <c r="H181" s="1269"/>
      <c r="I181" s="466"/>
      <c r="J181" s="132"/>
      <c r="K181" s="1220"/>
      <c r="L181" s="132"/>
      <c r="M181" s="9"/>
      <c r="N181" s="1220"/>
      <c r="O181" s="132"/>
      <c r="P181" s="9"/>
      <c r="Q181" s="1220"/>
      <c r="R181" s="132"/>
      <c r="S181" s="3"/>
      <c r="T181" s="11"/>
      <c r="U181" s="11"/>
      <c r="V181" s="11"/>
      <c r="W181" s="11"/>
    </row>
    <row r="182" spans="1:27" x14ac:dyDescent="0.3">
      <c r="A182" s="1147"/>
      <c r="B182" s="1153">
        <v>1</v>
      </c>
      <c r="C182" s="1218" t="s">
        <v>1533</v>
      </c>
      <c r="D182" s="1149"/>
      <c r="E182" s="1270">
        <f>S23*420/1920*(304/365)</f>
        <v>2451.6331522532696</v>
      </c>
      <c r="F182" s="1271">
        <f>S23*1500/1920*(0/365)</f>
        <v>0</v>
      </c>
      <c r="G182" s="1249"/>
      <c r="H182" s="1272">
        <f>T23*420/1920</f>
        <v>2943.4287806518996</v>
      </c>
      <c r="I182" s="1271">
        <f>T23*1500/1920*(243/365)*0</f>
        <v>0</v>
      </c>
      <c r="J182" s="132"/>
      <c r="K182" s="1246">
        <f>U23*420/1920</f>
        <v>2943.4549476700004</v>
      </c>
      <c r="L182" s="1224">
        <f>U23*1500/1920*182/365</f>
        <v>5241.7690848917819</v>
      </c>
      <c r="M182" s="9"/>
      <c r="N182" s="1246">
        <f>V23*420/1920</f>
        <v>2943.2419037065379</v>
      </c>
      <c r="O182" s="1224">
        <f>V23*1500/1920</f>
        <v>10511.578227523347</v>
      </c>
      <c r="P182" s="9"/>
      <c r="Q182" s="1246">
        <f>W23*420/1920</f>
        <v>2943.3911563146808</v>
      </c>
      <c r="R182" s="1224">
        <f>W23*1500/1920</f>
        <v>10512.111272552431</v>
      </c>
      <c r="S182" s="3"/>
      <c r="T182" s="11"/>
      <c r="U182" s="11"/>
      <c r="V182" s="11"/>
      <c r="W182" s="11"/>
    </row>
    <row r="183" spans="1:27" x14ac:dyDescent="0.3">
      <c r="A183" s="1147"/>
      <c r="B183" s="1153">
        <f>B182+1</f>
        <v>2</v>
      </c>
      <c r="C183" s="1218" t="s">
        <v>1534</v>
      </c>
      <c r="D183" s="1149"/>
      <c r="E183" s="1273" t="s">
        <v>2443</v>
      </c>
      <c r="F183" s="466" t="s">
        <v>2444</v>
      </c>
      <c r="G183" s="1249"/>
      <c r="H183" s="1273" t="s">
        <v>2443</v>
      </c>
      <c r="I183" s="466" t="s">
        <v>2444</v>
      </c>
      <c r="J183" s="132"/>
      <c r="K183" s="1273" t="s">
        <v>2443</v>
      </c>
      <c r="L183" s="466" t="s">
        <v>2444</v>
      </c>
      <c r="M183" s="9"/>
      <c r="N183" s="1273" t="s">
        <v>2443</v>
      </c>
      <c r="O183" s="466" t="s">
        <v>2444</v>
      </c>
      <c r="P183" s="9"/>
      <c r="Q183" s="1273" t="s">
        <v>2443</v>
      </c>
      <c r="R183" s="466" t="s">
        <v>2444</v>
      </c>
      <c r="S183" s="3"/>
      <c r="T183" s="11"/>
      <c r="U183" s="11"/>
      <c r="V183" s="11"/>
      <c r="W183" s="11"/>
    </row>
    <row r="184" spans="1:27" x14ac:dyDescent="0.3">
      <c r="A184" s="1147"/>
      <c r="B184" s="1153">
        <f t="shared" ref="B184:B187" si="172">B183+1</f>
        <v>3</v>
      </c>
      <c r="C184" s="1218" t="s">
        <v>1531</v>
      </c>
      <c r="D184" s="1149"/>
      <c r="E184" s="1156">
        <f>IF(E183="SBC",12*100%/E172,E178)</f>
        <v>14.117647058823529</v>
      </c>
      <c r="F184" s="1156">
        <f>IF(F183="SBC",12*100%/F172,F178)</f>
        <v>20.453828743725776</v>
      </c>
      <c r="G184" s="1249"/>
      <c r="H184" s="1156">
        <f t="shared" ref="H184:I184" si="173">IF(H183="SBC",12*100%/H172,H178)</f>
        <v>14.117647058823529</v>
      </c>
      <c r="I184" s="1156">
        <f t="shared" si="173"/>
        <v>20.453798123209662</v>
      </c>
      <c r="J184" s="132"/>
      <c r="K184" s="1156">
        <f t="shared" ref="K184:L184" si="174">IF(K183="SBC",12*100%/K172,K178)</f>
        <v>14.117647058823529</v>
      </c>
      <c r="L184" s="1156">
        <f t="shared" si="174"/>
        <v>20.453803690799734</v>
      </c>
      <c r="M184" s="9"/>
      <c r="N184" s="1156">
        <f t="shared" ref="N184:O184" si="175">IF(N183="SBC",12*100%/N172,N178)</f>
        <v>14.117647058823529</v>
      </c>
      <c r="O184" s="1156">
        <f t="shared" si="175"/>
        <v>20.423917056695011</v>
      </c>
      <c r="P184" s="9"/>
      <c r="Q184" s="1156">
        <f t="shared" ref="Q184:R184" si="176">IF(Q183="SBC",12*100%/Q172,Q178)</f>
        <v>14.117647058823529</v>
      </c>
      <c r="R184" s="1156">
        <f t="shared" si="176"/>
        <v>20.423946228150687</v>
      </c>
      <c r="S184" s="3"/>
      <c r="T184" s="11"/>
      <c r="U184" s="11"/>
      <c r="V184" s="11"/>
      <c r="W184" s="11"/>
    </row>
    <row r="185" spans="1:27" x14ac:dyDescent="0.3">
      <c r="A185" s="1147"/>
      <c r="B185" s="1153">
        <f t="shared" si="172"/>
        <v>4</v>
      </c>
      <c r="C185" s="1218" t="s">
        <v>1535</v>
      </c>
      <c r="D185" s="1149"/>
      <c r="E185" s="1274">
        <f t="shared" ref="E185:I185" si="177">E182*E184</f>
        <v>34611.291561222628</v>
      </c>
      <c r="F185" s="1275">
        <f t="shared" si="177"/>
        <v>0</v>
      </c>
      <c r="G185" s="1249"/>
      <c r="H185" s="1274">
        <f t="shared" si="177"/>
        <v>41554.28866802682</v>
      </c>
      <c r="I185" s="1275">
        <f t="shared" si="177"/>
        <v>0</v>
      </c>
      <c r="J185" s="132"/>
      <c r="K185" s="1233">
        <f t="shared" ref="K185:L185" si="178">K182*K184</f>
        <v>41554.658084752948</v>
      </c>
      <c r="L185" s="1219">
        <f t="shared" si="178"/>
        <v>107214.11585487948</v>
      </c>
      <c r="M185" s="9"/>
      <c r="N185" s="1233">
        <f t="shared" ref="N185:O185" si="179">N182*N184</f>
        <v>41551.650405268767</v>
      </c>
      <c r="O185" s="1219">
        <f t="shared" si="179"/>
        <v>214687.601853898</v>
      </c>
      <c r="P185" s="9"/>
      <c r="Q185" s="1233">
        <f t="shared" ref="Q185:R185" si="180">Q182*Q184</f>
        <v>41553.75750091314</v>
      </c>
      <c r="R185" s="1219">
        <f t="shared" si="180"/>
        <v>214698.79537494754</v>
      </c>
      <c r="S185" s="9"/>
    </row>
    <row r="186" spans="1:27" x14ac:dyDescent="0.3">
      <c r="A186" s="1147"/>
      <c r="B186" s="1153">
        <f t="shared" si="172"/>
        <v>5</v>
      </c>
      <c r="C186" s="1218" t="s">
        <v>1536</v>
      </c>
      <c r="D186" s="1149"/>
      <c r="E186" s="1273" t="str">
        <f>IF(E183="SBC","44895.46","3228.75")</f>
        <v>44895.46</v>
      </c>
      <c r="F186" s="1276" t="str">
        <f>IF(F183="SBC","44895.46","3228.75")</f>
        <v>3228.75</v>
      </c>
      <c r="G186" s="1249"/>
      <c r="H186" s="1273" t="str">
        <f>IF(H183="SBC","44895.46","3228.75")</f>
        <v>44895.46</v>
      </c>
      <c r="I186" s="1276" t="str">
        <f>IF(I183="SBC","44895.46","3228.75")</f>
        <v>3228.75</v>
      </c>
      <c r="J186" s="132"/>
      <c r="K186" s="1232" t="str">
        <f>IF(K183="SBC","44895.46","3228.75")</f>
        <v>44895.46</v>
      </c>
      <c r="L186" s="1159" t="str">
        <f>IF(L183="SBC","44895.46","3228.75")</f>
        <v>3228.75</v>
      </c>
      <c r="M186" s="9"/>
      <c r="N186" s="1232" t="str">
        <f>IF(N183="SBC","44895.46","3228.75")</f>
        <v>44895.46</v>
      </c>
      <c r="O186" s="1159" t="str">
        <f>IF(O183="SBC","44895.46","3228.75")</f>
        <v>3228.75</v>
      </c>
      <c r="P186" s="9"/>
      <c r="Q186" s="1232" t="str">
        <f>IF(Q183="SBC","44895.46","3228.75")</f>
        <v>44895.46</v>
      </c>
      <c r="R186" s="1159" t="str">
        <f>IF(R183="SBC","44895.46","3228.75")</f>
        <v>3228.75</v>
      </c>
      <c r="S186" s="9"/>
    </row>
    <row r="187" spans="1:27" s="6" customFormat="1" x14ac:dyDescent="0.3">
      <c r="A187" s="1157"/>
      <c r="B187" s="1153">
        <f t="shared" si="172"/>
        <v>6</v>
      </c>
      <c r="C187" s="1218" t="s">
        <v>1537</v>
      </c>
      <c r="D187" s="130"/>
      <c r="E187" s="1265">
        <f>E186*E185/10^7</f>
        <v>155.38898558352079</v>
      </c>
      <c r="F187" s="1266">
        <f>F186*F185/10^7</f>
        <v>0</v>
      </c>
      <c r="G187" s="1277">
        <f>SUM(E187:F187)</f>
        <v>155.38898558352079</v>
      </c>
      <c r="H187" s="1265">
        <f>H186*H185/10^7</f>
        <v>186.55989047238515</v>
      </c>
      <c r="I187" s="1266">
        <f>I186*I185/10^7</f>
        <v>0</v>
      </c>
      <c r="J187" s="1234">
        <f>SUM(H187:I187)</f>
        <v>186.55989047238515</v>
      </c>
      <c r="K187" s="1231">
        <f>K186*K185/10^7</f>
        <v>186.56154898577026</v>
      </c>
      <c r="L187" s="1217">
        <f>L186*L185/10^7</f>
        <v>34.616757656644211</v>
      </c>
      <c r="M187" s="1234">
        <f>SUM(K187:L187)</f>
        <v>221.17830664241447</v>
      </c>
      <c r="N187" s="1231">
        <f>N186*N185/10^7</f>
        <v>186.54804587037276</v>
      </c>
      <c r="O187" s="1217">
        <f>O186*O185/10^7</f>
        <v>69.317259448577317</v>
      </c>
      <c r="P187" s="1234">
        <f>SUM(N187:O187)</f>
        <v>255.86530531895008</v>
      </c>
      <c r="Q187" s="1231">
        <f>Q186*Q185/10^7</f>
        <v>186.55750577319458</v>
      </c>
      <c r="R187" s="1217">
        <f>R186*R185/10^7</f>
        <v>69.32087355668618</v>
      </c>
      <c r="S187" s="1234">
        <f>SUM(Q187:R187)</f>
        <v>255.87837932988077</v>
      </c>
    </row>
    <row r="188" spans="1:27" x14ac:dyDescent="0.3">
      <c r="A188" s="1147"/>
      <c r="B188" s="1158"/>
      <c r="C188" s="1158"/>
      <c r="D188" s="1149"/>
      <c r="E188" s="1261"/>
      <c r="F188" s="466"/>
      <c r="G188" s="1278"/>
      <c r="H188" s="1269"/>
      <c r="I188" s="466"/>
      <c r="J188" s="1235"/>
      <c r="K188" s="1220"/>
      <c r="L188" s="132"/>
      <c r="M188" s="1235"/>
      <c r="N188" s="1220"/>
      <c r="O188" s="132"/>
      <c r="P188" s="1235"/>
      <c r="Q188" s="1220"/>
      <c r="R188" s="132"/>
      <c r="S188" s="1235"/>
    </row>
    <row r="189" spans="1:27" x14ac:dyDescent="0.3">
      <c r="A189" s="1147"/>
      <c r="B189" s="1158"/>
      <c r="C189" s="1158"/>
      <c r="D189" s="1149"/>
      <c r="E189" s="1261"/>
      <c r="F189" s="466"/>
      <c r="G189" s="1278"/>
      <c r="H189" s="1269"/>
      <c r="I189" s="466"/>
      <c r="J189" s="1235"/>
      <c r="K189" s="1220"/>
      <c r="L189" s="132"/>
      <c r="M189" s="1235"/>
      <c r="N189" s="1220"/>
      <c r="O189" s="132"/>
      <c r="P189" s="1235"/>
      <c r="Q189" s="1220"/>
      <c r="R189" s="132"/>
      <c r="S189" s="1235"/>
    </row>
    <row r="190" spans="1:27" ht="25" x14ac:dyDescent="0.3">
      <c r="A190" s="1147"/>
      <c r="B190" s="1153" t="s">
        <v>425</v>
      </c>
      <c r="C190" s="1153" t="s">
        <v>1538</v>
      </c>
      <c r="D190" s="1149"/>
      <c r="E190" s="1227"/>
      <c r="F190" s="466"/>
      <c r="G190" s="1278"/>
      <c r="H190" s="1269"/>
      <c r="I190" s="466"/>
      <c r="J190" s="1235"/>
      <c r="K190" s="1220"/>
      <c r="L190" s="132"/>
      <c r="M190" s="1235"/>
      <c r="N190" s="1220"/>
      <c r="O190" s="132"/>
      <c r="P190" s="1235"/>
      <c r="Q190" s="1220"/>
      <c r="R190" s="132"/>
      <c r="S190" s="1235"/>
    </row>
    <row r="191" spans="1:27" x14ac:dyDescent="0.3">
      <c r="A191" s="1147"/>
      <c r="B191" s="1153">
        <v>1</v>
      </c>
      <c r="C191" s="1153" t="s">
        <v>1533</v>
      </c>
      <c r="D191" s="1149"/>
      <c r="E191" s="1254">
        <f>E182</f>
        <v>2451.6331522532696</v>
      </c>
      <c r="F191" s="1255">
        <f>F182</f>
        <v>0</v>
      </c>
      <c r="G191" s="1278"/>
      <c r="H191" s="1254">
        <f>H182</f>
        <v>2943.4287806518996</v>
      </c>
      <c r="I191" s="1255">
        <f>I182</f>
        <v>0</v>
      </c>
      <c r="J191" s="1235"/>
      <c r="K191" s="1254">
        <f>K182</f>
        <v>2943.4549476700004</v>
      </c>
      <c r="L191" s="1255">
        <f>L182</f>
        <v>5241.7690848917819</v>
      </c>
      <c r="M191" s="1278"/>
      <c r="N191" s="1254">
        <f>N182</f>
        <v>2943.2419037065379</v>
      </c>
      <c r="O191" s="1255">
        <f>O182</f>
        <v>10511.578227523347</v>
      </c>
      <c r="P191" s="1278"/>
      <c r="Q191" s="1254">
        <f>Q182</f>
        <v>2943.3911563146808</v>
      </c>
      <c r="R191" s="1255">
        <f>R182</f>
        <v>10512.111272552431</v>
      </c>
      <c r="S191" s="1278"/>
      <c r="T191" s="11"/>
      <c r="U191" s="11"/>
      <c r="V191" s="11"/>
      <c r="W191" s="11"/>
      <c r="X191" s="11"/>
      <c r="Y191" s="11"/>
      <c r="Z191" s="11"/>
      <c r="AA191" s="11"/>
    </row>
    <row r="192" spans="1:27" x14ac:dyDescent="0.3">
      <c r="A192" s="1147"/>
      <c r="B192" s="1153">
        <f>B191+1</f>
        <v>2</v>
      </c>
      <c r="C192" s="1153" t="s">
        <v>1534</v>
      </c>
      <c r="D192" s="1149"/>
      <c r="E192" s="1273" t="s">
        <v>2445</v>
      </c>
      <c r="F192" s="466" t="s">
        <v>2445</v>
      </c>
      <c r="G192" s="1278"/>
      <c r="H192" s="1273" t="s">
        <v>2445</v>
      </c>
      <c r="I192" s="466" t="s">
        <v>2445</v>
      </c>
      <c r="J192" s="1235"/>
      <c r="K192" s="1273" t="s">
        <v>2445</v>
      </c>
      <c r="L192" s="466" t="s">
        <v>2445</v>
      </c>
      <c r="M192" s="1235"/>
      <c r="N192" s="1273" t="s">
        <v>2445</v>
      </c>
      <c r="O192" s="466" t="s">
        <v>2445</v>
      </c>
      <c r="P192" s="1235"/>
      <c r="Q192" s="1273" t="s">
        <v>2445</v>
      </c>
      <c r="R192" s="466" t="s">
        <v>2445</v>
      </c>
      <c r="S192" s="1235"/>
    </row>
    <row r="193" spans="1:19" x14ac:dyDescent="0.3">
      <c r="A193" s="1147"/>
      <c r="B193" s="1153">
        <f t="shared" ref="B193:B196" si="181">B192+1</f>
        <v>3</v>
      </c>
      <c r="C193" s="1153" t="s">
        <v>1539</v>
      </c>
      <c r="D193" s="1149"/>
      <c r="E193" s="1274">
        <v>0.6</v>
      </c>
      <c r="F193" s="1279">
        <v>0.6</v>
      </c>
      <c r="G193" s="1278"/>
      <c r="H193" s="1274">
        <v>0.6</v>
      </c>
      <c r="I193" s="1279">
        <v>0.6</v>
      </c>
      <c r="J193" s="1235"/>
      <c r="K193" s="1274">
        <v>0.6</v>
      </c>
      <c r="L193" s="1279">
        <v>0.6</v>
      </c>
      <c r="M193" s="1235"/>
      <c r="N193" s="1274">
        <v>0.6</v>
      </c>
      <c r="O193" s="1279">
        <v>0.6</v>
      </c>
      <c r="P193" s="1235"/>
      <c r="Q193" s="1274">
        <v>0.6</v>
      </c>
      <c r="R193" s="1279">
        <v>0.6</v>
      </c>
      <c r="S193" s="1235"/>
    </row>
    <row r="194" spans="1:19" x14ac:dyDescent="0.3">
      <c r="A194" s="1147"/>
      <c r="B194" s="1153">
        <f t="shared" si="181"/>
        <v>4</v>
      </c>
      <c r="C194" s="1153" t="s">
        <v>1540</v>
      </c>
      <c r="D194" s="1149"/>
      <c r="E194" s="1274">
        <f t="shared" ref="E194:I194" si="182">E191*E193</f>
        <v>1470.9798913519617</v>
      </c>
      <c r="F194" s="1275">
        <f t="shared" si="182"/>
        <v>0</v>
      </c>
      <c r="G194" s="1278"/>
      <c r="H194" s="1274">
        <f t="shared" si="182"/>
        <v>1766.0572683911398</v>
      </c>
      <c r="I194" s="1275">
        <f t="shared" si="182"/>
        <v>0</v>
      </c>
      <c r="J194" s="1235"/>
      <c r="K194" s="1233">
        <f t="shared" ref="K194:L194" si="183">K191*K193</f>
        <v>1766.0729686020002</v>
      </c>
      <c r="L194" s="1219">
        <f t="shared" si="183"/>
        <v>3145.0614509350689</v>
      </c>
      <c r="M194" s="1235"/>
      <c r="N194" s="1233">
        <f t="shared" ref="N194:O194" si="184">N191*N193</f>
        <v>1765.9451422239226</v>
      </c>
      <c r="O194" s="1219">
        <f t="shared" si="184"/>
        <v>6306.9469365140076</v>
      </c>
      <c r="P194" s="1235"/>
      <c r="Q194" s="1233">
        <f t="shared" ref="Q194:R194" si="185">Q191*Q193</f>
        <v>1766.0346937888085</v>
      </c>
      <c r="R194" s="1219">
        <f t="shared" si="185"/>
        <v>6307.2667635314583</v>
      </c>
      <c r="S194" s="1235"/>
    </row>
    <row r="195" spans="1:19" x14ac:dyDescent="0.3">
      <c r="A195" s="1147"/>
      <c r="B195" s="1153">
        <f t="shared" si="181"/>
        <v>5</v>
      </c>
      <c r="C195" s="1153" t="s">
        <v>1541</v>
      </c>
      <c r="D195" s="1149"/>
      <c r="E195" s="1261">
        <v>116.82</v>
      </c>
      <c r="F195" s="466">
        <v>116.82</v>
      </c>
      <c r="G195" s="1278"/>
      <c r="H195" s="1261">
        <v>116.82</v>
      </c>
      <c r="I195" s="466">
        <v>116.82</v>
      </c>
      <c r="J195" s="1235"/>
      <c r="K195" s="1261">
        <v>116.82</v>
      </c>
      <c r="L195" s="466">
        <v>116.82</v>
      </c>
      <c r="M195" s="1235"/>
      <c r="N195" s="1261">
        <v>116.82</v>
      </c>
      <c r="O195" s="466">
        <v>116.82</v>
      </c>
      <c r="P195" s="1235"/>
      <c r="Q195" s="1261">
        <v>116.82</v>
      </c>
      <c r="R195" s="466">
        <v>116.82</v>
      </c>
      <c r="S195" s="1235"/>
    </row>
    <row r="196" spans="1:19" x14ac:dyDescent="0.3">
      <c r="A196" s="1147"/>
      <c r="B196" s="1153">
        <f t="shared" si="181"/>
        <v>6</v>
      </c>
      <c r="C196" s="1153" t="s">
        <v>1542</v>
      </c>
      <c r="D196" s="1149"/>
      <c r="E196" s="1274">
        <f>E195*E194/10^7</f>
        <v>1.7183987090773616E-2</v>
      </c>
      <c r="F196" s="1275">
        <f>F195*F194/10^7</f>
        <v>0</v>
      </c>
      <c r="G196" s="1277">
        <f>SUM(E196:F196)</f>
        <v>1.7183987090773616E-2</v>
      </c>
      <c r="H196" s="1274">
        <f>H195*H194/10^7</f>
        <v>2.0631081009345294E-2</v>
      </c>
      <c r="I196" s="1275">
        <f>I195*I194/10^7</f>
        <v>0</v>
      </c>
      <c r="J196" s="1234">
        <f>SUM(H196:I196)</f>
        <v>2.0631081009345294E-2</v>
      </c>
      <c r="K196" s="1233">
        <f>K195*K194/10^7</f>
        <v>2.0631264419208567E-2</v>
      </c>
      <c r="L196" s="1219">
        <f>L195*L194/10^7</f>
        <v>3.6740607869823472E-2</v>
      </c>
      <c r="M196" s="1234">
        <f>SUM(K196:L196)</f>
        <v>5.7371872289032039E-2</v>
      </c>
      <c r="N196" s="1233">
        <f>N195*N194/10^7</f>
        <v>2.0629771151459864E-2</v>
      </c>
      <c r="O196" s="1219">
        <f>O195*O194/10^7</f>
        <v>7.3677754112356636E-2</v>
      </c>
      <c r="P196" s="1234">
        <f>SUM(N196:O196)</f>
        <v>9.43075252638165E-2</v>
      </c>
      <c r="Q196" s="1233">
        <f>Q195*Q194/10^7</f>
        <v>2.0630817292840862E-2</v>
      </c>
      <c r="R196" s="1219">
        <f>R195*R194/10^7</f>
        <v>7.3681490331574492E-2</v>
      </c>
      <c r="S196" s="1234">
        <f>SUM(Q196:R196)</f>
        <v>9.4312307624415351E-2</v>
      </c>
    </row>
    <row r="197" spans="1:19" x14ac:dyDescent="0.3">
      <c r="A197" s="1"/>
      <c r="B197" s="1"/>
      <c r="C197" s="1149"/>
      <c r="D197" s="1149"/>
      <c r="E197" s="1280"/>
      <c r="F197" s="466"/>
      <c r="G197" s="1278"/>
      <c r="H197" s="1269"/>
      <c r="I197" s="466"/>
      <c r="J197" s="1235"/>
      <c r="K197" s="1220"/>
      <c r="L197" s="132"/>
      <c r="M197" s="1235"/>
      <c r="N197" s="1220"/>
      <c r="O197" s="132"/>
      <c r="P197" s="1235"/>
      <c r="Q197" s="1220"/>
      <c r="R197" s="132"/>
      <c r="S197" s="1235"/>
    </row>
    <row r="198" spans="1:19" ht="14.5" thickBot="1" x14ac:dyDescent="0.35">
      <c r="A198" s="1"/>
      <c r="B198" s="40"/>
      <c r="C198" s="1160" t="s">
        <v>1543</v>
      </c>
      <c r="D198" s="1221"/>
      <c r="E198" s="1281">
        <f>E187+E196</f>
        <v>155.40616957061155</v>
      </c>
      <c r="F198" s="1282">
        <f>F187+F196</f>
        <v>0</v>
      </c>
      <c r="G198" s="1283">
        <f>SUM(E198:F198)</f>
        <v>155.40616957061155</v>
      </c>
      <c r="H198" s="1281">
        <f>H187+H196</f>
        <v>186.5805215533945</v>
      </c>
      <c r="I198" s="1282">
        <f>I187+I196</f>
        <v>0</v>
      </c>
      <c r="J198" s="1238">
        <f>SUM(H198:I198)</f>
        <v>186.5805215533945</v>
      </c>
      <c r="K198" s="1236">
        <f>K187+K196</f>
        <v>186.58218025018948</v>
      </c>
      <c r="L198" s="1237">
        <f>L187+L196</f>
        <v>34.653498264514035</v>
      </c>
      <c r="M198" s="1238">
        <f>SUM(K198:L198)</f>
        <v>221.23567851470352</v>
      </c>
      <c r="N198" s="1236">
        <f>N187+N196</f>
        <v>186.56867564152421</v>
      </c>
      <c r="O198" s="1237">
        <f>O187+O196</f>
        <v>69.39093720268967</v>
      </c>
      <c r="P198" s="1238">
        <f>SUM(N198:O198)</f>
        <v>255.95961284421389</v>
      </c>
      <c r="Q198" s="1236">
        <f>Q187+Q196</f>
        <v>186.57813659048742</v>
      </c>
      <c r="R198" s="1237">
        <f>R187+R196</f>
        <v>69.394555047017761</v>
      </c>
      <c r="S198" s="1238">
        <f>SUM(Q198:R198)</f>
        <v>255.97269163750519</v>
      </c>
    </row>
    <row r="199" spans="1:19" x14ac:dyDescent="0.3">
      <c r="A199" s="1"/>
      <c r="B199" s="1"/>
      <c r="C199" s="1149"/>
      <c r="D199" s="1149"/>
      <c r="E199" s="1694" t="s">
        <v>1517</v>
      </c>
      <c r="F199" s="1695"/>
      <c r="G199" s="1696"/>
      <c r="H199" s="1697" t="s">
        <v>1518</v>
      </c>
      <c r="I199" s="1693"/>
      <c r="J199" s="1693"/>
      <c r="K199" s="1693" t="s">
        <v>1519</v>
      </c>
      <c r="L199" s="1693"/>
      <c r="M199" s="1693"/>
      <c r="N199" s="1693" t="s">
        <v>1520</v>
      </c>
      <c r="O199" s="1693"/>
      <c r="P199" s="1693"/>
      <c r="Q199" s="1693" t="s">
        <v>1521</v>
      </c>
      <c r="R199" s="1693"/>
      <c r="S199" s="1693"/>
    </row>
    <row r="202" spans="1:19" ht="16" x14ac:dyDescent="0.3">
      <c r="B202" s="1366"/>
      <c r="C202" s="1" t="s">
        <v>1587</v>
      </c>
      <c r="D202" s="1367"/>
      <c r="E202" s="1367"/>
    </row>
    <row r="203" spans="1:19" ht="16" x14ac:dyDescent="0.3">
      <c r="B203" s="44" t="s">
        <v>1588</v>
      </c>
      <c r="C203" s="262"/>
      <c r="D203" s="1368"/>
      <c r="E203" s="1368"/>
    </row>
    <row r="204" spans="1:19" ht="16" x14ac:dyDescent="0.3">
      <c r="B204" s="1149">
        <v>1</v>
      </c>
      <c r="C204" s="1364" t="s">
        <v>1589</v>
      </c>
      <c r="D204" s="1368"/>
      <c r="E204" s="1368"/>
    </row>
    <row r="205" spans="1:19" ht="16" x14ac:dyDescent="0.3">
      <c r="B205" s="1149">
        <v>2</v>
      </c>
      <c r="C205" s="985" t="s">
        <v>1590</v>
      </c>
      <c r="D205" s="1368"/>
      <c r="E205" s="1368"/>
    </row>
    <row r="206" spans="1:19" x14ac:dyDescent="0.3">
      <c r="B206" s="1149">
        <v>3</v>
      </c>
      <c r="C206" s="1364" t="s">
        <v>1591</v>
      </c>
      <c r="D206" s="1369"/>
      <c r="E206" s="1369"/>
    </row>
  </sheetData>
  <mergeCells count="24">
    <mergeCell ref="Q164:S164"/>
    <mergeCell ref="E199:G199"/>
    <mergeCell ref="H199:J199"/>
    <mergeCell ref="K199:M199"/>
    <mergeCell ref="N199:P199"/>
    <mergeCell ref="Q199:S199"/>
    <mergeCell ref="E164:G164"/>
    <mergeCell ref="H164:J164"/>
    <mergeCell ref="K164:M164"/>
    <mergeCell ref="N164:P16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0" type="noConversion"/>
  <dataValidations disablePrompts="1" count="1">
    <dataValidation type="list" allowBlank="1" showInputMessage="1" showErrorMessage="1" sqref="E173 H173 K173 N173 Q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H15" activePane="bottomRight" state="frozen"/>
      <selection activeCell="D35" sqref="D35"/>
      <selection pane="topRight" activeCell="D35" sqref="D35"/>
      <selection pane="bottomLeft" activeCell="D35" sqref="D35"/>
      <selection pane="bottomRight" activeCell="M23" sqref="M23"/>
    </sheetView>
  </sheetViews>
  <sheetFormatPr defaultColWidth="9.36328125" defaultRowHeight="14" x14ac:dyDescent="0.3"/>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x14ac:dyDescent="0.3">
      <c r="B2" s="1657" t="str">
        <f>Index!B2</f>
        <v xml:space="preserve">      Maharashtra State Power Generation Company Ltd.</v>
      </c>
      <c r="C2" s="1657"/>
      <c r="D2" s="1657"/>
      <c r="E2" s="1657"/>
      <c r="F2" s="1657"/>
      <c r="G2" s="1657"/>
      <c r="H2" s="1657"/>
      <c r="I2" s="1657"/>
      <c r="J2" s="1657"/>
      <c r="K2" s="1688" t="str">
        <f>B2</f>
        <v xml:space="preserve">      Maharashtra State Power Generation Company Ltd.</v>
      </c>
      <c r="L2" s="1688"/>
      <c r="M2" s="1688"/>
      <c r="N2" s="1688"/>
      <c r="O2" s="1688"/>
      <c r="P2" s="1688"/>
      <c r="Q2" s="1688"/>
      <c r="R2" s="1688"/>
      <c r="S2" s="1688"/>
      <c r="T2" s="1688"/>
      <c r="U2" s="1688"/>
    </row>
    <row r="3" spans="2:21" x14ac:dyDescent="0.3">
      <c r="B3" s="1657" t="str">
        <f>Index!B3</f>
        <v>MYT Petition Formats for Chandrapur Unit 3-7</v>
      </c>
      <c r="C3" s="1657"/>
      <c r="D3" s="1657"/>
      <c r="E3" s="1657"/>
      <c r="F3" s="1657"/>
      <c r="G3" s="1657"/>
      <c r="H3" s="1657"/>
      <c r="I3" s="1657"/>
      <c r="J3" s="1657"/>
      <c r="K3" s="1688" t="str">
        <f>B3</f>
        <v>MYT Petition Formats for Chandrapur Unit 3-7</v>
      </c>
      <c r="L3" s="1688"/>
      <c r="M3" s="1688"/>
      <c r="N3" s="1688"/>
      <c r="O3" s="1688"/>
      <c r="P3" s="1688"/>
      <c r="Q3" s="1688"/>
      <c r="R3" s="1688"/>
      <c r="S3" s="1688"/>
      <c r="T3" s="1688"/>
      <c r="U3" s="1688"/>
    </row>
    <row r="4" spans="2:21" x14ac:dyDescent="0.3">
      <c r="B4" s="1657" t="s">
        <v>383</v>
      </c>
      <c r="C4" s="1657"/>
      <c r="D4" s="1657"/>
      <c r="E4" s="1657"/>
      <c r="F4" s="1657"/>
      <c r="G4" s="1657"/>
      <c r="H4" s="1657"/>
      <c r="I4" s="1657"/>
      <c r="J4" s="1657"/>
      <c r="K4" s="1688" t="str">
        <f>B4</f>
        <v>Form 2.3: Fuel Cost Details for Thermal Generation</v>
      </c>
      <c r="L4" s="1688"/>
      <c r="M4" s="1688"/>
      <c r="N4" s="1688"/>
      <c r="O4" s="1688"/>
      <c r="P4" s="1688"/>
      <c r="Q4" s="1688"/>
      <c r="R4" s="1688"/>
      <c r="S4" s="1688"/>
      <c r="T4" s="1688"/>
      <c r="U4" s="1688"/>
    </row>
    <row r="5" spans="2:21" x14ac:dyDescent="0.3">
      <c r="B5" s="188"/>
      <c r="C5" s="117"/>
      <c r="D5" s="117"/>
      <c r="E5" s="117"/>
      <c r="F5" s="117"/>
      <c r="G5" s="117"/>
      <c r="H5" s="117"/>
      <c r="I5" s="117"/>
      <c r="J5" s="117"/>
      <c r="K5" s="117"/>
      <c r="L5" s="117"/>
      <c r="M5" s="117"/>
      <c r="N5" s="117"/>
      <c r="O5" s="117"/>
      <c r="P5" s="117"/>
      <c r="Q5" s="117"/>
      <c r="R5" s="117"/>
      <c r="S5" s="117"/>
      <c r="T5" s="117"/>
      <c r="U5" s="117"/>
    </row>
    <row r="6" spans="2:21" x14ac:dyDescent="0.3">
      <c r="B6" s="53"/>
      <c r="C6" s="17"/>
      <c r="D6" s="18"/>
      <c r="E6" s="18"/>
      <c r="F6" s="18"/>
      <c r="G6" s="18"/>
      <c r="H6" s="18"/>
      <c r="I6" s="18"/>
      <c r="J6" s="18"/>
      <c r="K6" s="18"/>
      <c r="L6" s="18"/>
      <c r="M6" s="18"/>
    </row>
    <row r="7" spans="2:21" s="35" customFormat="1" ht="15" x14ac:dyDescent="0.3">
      <c r="B7" s="1699" t="s">
        <v>340</v>
      </c>
      <c r="C7" s="1701" t="s">
        <v>37</v>
      </c>
      <c r="D7" s="1701" t="s">
        <v>139</v>
      </c>
      <c r="E7" s="1654" t="s">
        <v>506</v>
      </c>
      <c r="F7" s="1655"/>
      <c r="G7" s="1656"/>
      <c r="H7" s="1654" t="s">
        <v>507</v>
      </c>
      <c r="I7" s="1655"/>
      <c r="J7" s="1656"/>
      <c r="K7" s="1654" t="s">
        <v>508</v>
      </c>
      <c r="L7" s="1655"/>
      <c r="M7" s="1655"/>
      <c r="N7" s="1655"/>
      <c r="O7" s="1656"/>
      <c r="P7" s="1698" t="s">
        <v>968</v>
      </c>
      <c r="Q7" s="1698"/>
      <c r="R7" s="1698"/>
      <c r="S7" s="1698"/>
      <c r="T7" s="1698"/>
      <c r="U7" s="1659" t="s">
        <v>27</v>
      </c>
    </row>
    <row r="8" spans="2:21" s="36" customFormat="1" ht="44.25" customHeight="1" x14ac:dyDescent="0.25">
      <c r="B8" s="1699"/>
      <c r="C8" s="1701"/>
      <c r="D8" s="1701"/>
      <c r="E8" s="291" t="s">
        <v>914</v>
      </c>
      <c r="F8" s="292" t="s">
        <v>79</v>
      </c>
      <c r="G8" s="292" t="s">
        <v>449</v>
      </c>
      <c r="H8" s="735" t="s">
        <v>914</v>
      </c>
      <c r="I8" s="292" t="s">
        <v>79</v>
      </c>
      <c r="J8" s="292" t="s">
        <v>449</v>
      </c>
      <c r="K8" s="735" t="s">
        <v>914</v>
      </c>
      <c r="L8" s="292" t="s">
        <v>443</v>
      </c>
      <c r="M8" s="292" t="s">
        <v>447</v>
      </c>
      <c r="N8" s="292" t="s">
        <v>80</v>
      </c>
      <c r="O8" s="292" t="s">
        <v>450</v>
      </c>
      <c r="P8" s="696" t="s">
        <v>969</v>
      </c>
      <c r="Q8" s="696" t="s">
        <v>970</v>
      </c>
      <c r="R8" s="696" t="s">
        <v>971</v>
      </c>
      <c r="S8" s="696" t="s">
        <v>972</v>
      </c>
      <c r="T8" s="696" t="s">
        <v>973</v>
      </c>
      <c r="U8" s="1660"/>
    </row>
    <row r="9" spans="2:21" s="36" customFormat="1" ht="15" x14ac:dyDescent="0.25">
      <c r="B9" s="1700"/>
      <c r="C9" s="1663"/>
      <c r="D9" s="1663"/>
      <c r="E9" s="292" t="s">
        <v>81</v>
      </c>
      <c r="F9" s="292" t="s">
        <v>82</v>
      </c>
      <c r="G9" s="292" t="s">
        <v>673</v>
      </c>
      <c r="H9" s="292" t="s">
        <v>391</v>
      </c>
      <c r="I9" s="292" t="s">
        <v>409</v>
      </c>
      <c r="J9" s="292" t="s">
        <v>454</v>
      </c>
      <c r="K9" s="292" t="s">
        <v>410</v>
      </c>
      <c r="L9" s="292" t="s">
        <v>411</v>
      </c>
      <c r="M9" s="292" t="s">
        <v>589</v>
      </c>
      <c r="N9" s="292" t="s">
        <v>674</v>
      </c>
      <c r="O9" s="292" t="s">
        <v>985</v>
      </c>
      <c r="P9" s="696" t="s">
        <v>21</v>
      </c>
      <c r="Q9" s="696" t="s">
        <v>21</v>
      </c>
      <c r="R9" s="696" t="s">
        <v>21</v>
      </c>
      <c r="S9" s="696" t="s">
        <v>21</v>
      </c>
      <c r="T9" s="696" t="s">
        <v>21</v>
      </c>
      <c r="U9" s="1702"/>
    </row>
    <row r="10" spans="2:21" s="36" customFormat="1" ht="15.5" x14ac:dyDescent="0.25">
      <c r="B10" s="341" t="s">
        <v>172</v>
      </c>
      <c r="C10" s="342" t="s">
        <v>780</v>
      </c>
      <c r="D10" s="397"/>
      <c r="E10" s="397"/>
      <c r="F10" s="397"/>
      <c r="G10" s="397"/>
      <c r="H10" s="397"/>
      <c r="I10" s="397"/>
      <c r="J10" s="397"/>
      <c r="K10" s="387"/>
      <c r="L10" s="387"/>
      <c r="M10" s="387"/>
      <c r="N10" s="387"/>
      <c r="O10" s="387"/>
      <c r="P10" s="387"/>
      <c r="Q10" s="387"/>
      <c r="R10" s="387"/>
      <c r="S10" s="387"/>
      <c r="T10" s="387"/>
      <c r="U10" s="387"/>
    </row>
    <row r="11" spans="2:21" s="420" customFormat="1" ht="15.5" x14ac:dyDescent="0.35">
      <c r="B11" s="418">
        <v>1</v>
      </c>
      <c r="C11" s="398" t="s">
        <v>140</v>
      </c>
      <c r="D11" s="464" t="s">
        <v>117</v>
      </c>
      <c r="E11" s="746">
        <f>F11</f>
        <v>2083.085969666633</v>
      </c>
      <c r="F11" s="741">
        <v>2083.085969666633</v>
      </c>
      <c r="G11" s="741">
        <f>F11-E11</f>
        <v>0</v>
      </c>
      <c r="H11" s="746">
        <f>I11</f>
        <v>2389.0965677909689</v>
      </c>
      <c r="I11" s="854">
        <v>2389.0965677909689</v>
      </c>
      <c r="J11" s="741">
        <f>I11-H11</f>
        <v>0</v>
      </c>
      <c r="K11" s="648"/>
      <c r="L11" s="1293">
        <v>2912.982538563645</v>
      </c>
      <c r="M11" s="1293"/>
      <c r="N11" s="1294"/>
      <c r="O11" s="506">
        <f>N11-K11</f>
        <v>0</v>
      </c>
      <c r="P11" s="1215"/>
      <c r="Q11" s="1215"/>
      <c r="R11" s="1215"/>
      <c r="S11" s="1215"/>
      <c r="T11" s="1215"/>
      <c r="U11" s="419"/>
    </row>
    <row r="12" spans="2:21" s="420" customFormat="1" ht="15.5" x14ac:dyDescent="0.35">
      <c r="B12" s="418">
        <f>B11+1</f>
        <v>2</v>
      </c>
      <c r="C12" s="399" t="s">
        <v>781</v>
      </c>
      <c r="D12" s="464" t="s">
        <v>117</v>
      </c>
      <c r="E12" s="746">
        <f t="shared" ref="E12:E22" si="0">F12</f>
        <v>386.50009894526141</v>
      </c>
      <c r="F12" s="741">
        <v>386.50009894526141</v>
      </c>
      <c r="G12" s="741">
        <f t="shared" ref="G12:G25" si="1">F12-E12</f>
        <v>0</v>
      </c>
      <c r="H12" s="746">
        <f t="shared" ref="H12:H22" si="2">I12</f>
        <v>426.73305292833521</v>
      </c>
      <c r="I12" s="854">
        <v>426.73305292833521</v>
      </c>
      <c r="J12" s="741">
        <f t="shared" ref="J12:J25" si="3">I12-H12</f>
        <v>0</v>
      </c>
      <c r="K12" s="648"/>
      <c r="L12" s="1293">
        <v>578.32856498127501</v>
      </c>
      <c r="M12" s="1293"/>
      <c r="N12" s="575"/>
      <c r="O12" s="506">
        <f t="shared" ref="O12:O25" si="4">N12-K12</f>
        <v>0</v>
      </c>
      <c r="P12" s="1215"/>
      <c r="Q12" s="1215"/>
      <c r="R12" s="1215"/>
      <c r="S12" s="1215"/>
      <c r="T12" s="1215"/>
      <c r="U12" s="419"/>
    </row>
    <row r="13" spans="2:21" s="420" customFormat="1" ht="15.5" x14ac:dyDescent="0.35">
      <c r="B13" s="418">
        <f t="shared" ref="B13:B26" si="5">B12+1</f>
        <v>3</v>
      </c>
      <c r="C13" s="399" t="s">
        <v>228</v>
      </c>
      <c r="D13" s="464" t="s">
        <v>117</v>
      </c>
      <c r="E13" s="746">
        <f t="shared" si="0"/>
        <v>0</v>
      </c>
      <c r="F13" s="741">
        <v>0</v>
      </c>
      <c r="G13" s="741">
        <f t="shared" si="1"/>
        <v>0</v>
      </c>
      <c r="H13" s="746">
        <f t="shared" si="2"/>
        <v>0</v>
      </c>
      <c r="I13" s="854">
        <v>0</v>
      </c>
      <c r="J13" s="741">
        <f t="shared" si="3"/>
        <v>0</v>
      </c>
      <c r="K13" s="648"/>
      <c r="L13" s="1293">
        <v>0</v>
      </c>
      <c r="M13" s="1293"/>
      <c r="N13" s="575"/>
      <c r="O13" s="506">
        <f t="shared" si="4"/>
        <v>0</v>
      </c>
      <c r="P13" s="1215"/>
      <c r="Q13" s="1215"/>
      <c r="R13" s="1215"/>
      <c r="S13" s="1215"/>
      <c r="T13" s="1215"/>
      <c r="U13" s="419"/>
    </row>
    <row r="14" spans="2:21" s="420" customFormat="1" ht="15.5" x14ac:dyDescent="0.35">
      <c r="B14" s="418">
        <f t="shared" si="5"/>
        <v>4</v>
      </c>
      <c r="C14" s="399" t="s">
        <v>790</v>
      </c>
      <c r="D14" s="464" t="s">
        <v>117</v>
      </c>
      <c r="E14" s="746">
        <f t="shared" si="0"/>
        <v>0</v>
      </c>
      <c r="F14" s="741">
        <v>0</v>
      </c>
      <c r="G14" s="741">
        <f t="shared" si="1"/>
        <v>0</v>
      </c>
      <c r="H14" s="746">
        <f t="shared" si="2"/>
        <v>0</v>
      </c>
      <c r="I14" s="854">
        <v>0</v>
      </c>
      <c r="J14" s="741">
        <f t="shared" si="3"/>
        <v>0</v>
      </c>
      <c r="K14" s="648"/>
      <c r="L14" s="1293">
        <v>0</v>
      </c>
      <c r="M14" s="1293"/>
      <c r="N14" s="575"/>
      <c r="O14" s="741">
        <f t="shared" si="4"/>
        <v>0</v>
      </c>
      <c r="P14" s="1215"/>
      <c r="Q14" s="1215"/>
      <c r="R14" s="1215"/>
      <c r="S14" s="1215"/>
      <c r="T14" s="1215"/>
      <c r="U14" s="402"/>
    </row>
    <row r="15" spans="2:21" s="420" customFormat="1" ht="15.5" x14ac:dyDescent="0.35">
      <c r="B15" s="418">
        <f t="shared" si="5"/>
        <v>5</v>
      </c>
      <c r="C15" s="399" t="s">
        <v>822</v>
      </c>
      <c r="D15" s="464" t="s">
        <v>117</v>
      </c>
      <c r="E15" s="746">
        <f t="shared" si="0"/>
        <v>141.6713177929</v>
      </c>
      <c r="F15" s="741">
        <v>141.6713177929</v>
      </c>
      <c r="G15" s="741">
        <f t="shared" si="1"/>
        <v>0</v>
      </c>
      <c r="H15" s="746">
        <f t="shared" si="2"/>
        <v>160.21237212563483</v>
      </c>
      <c r="I15" s="854">
        <v>160.21237212563483</v>
      </c>
      <c r="J15" s="741">
        <f t="shared" si="3"/>
        <v>0</v>
      </c>
      <c r="K15" s="648"/>
      <c r="L15" s="1293">
        <v>160.19203722059191</v>
      </c>
      <c r="M15" s="1293"/>
      <c r="N15" s="575"/>
      <c r="O15" s="741">
        <f t="shared" si="4"/>
        <v>0</v>
      </c>
      <c r="P15" s="1215"/>
      <c r="Q15" s="1215"/>
      <c r="R15" s="1215"/>
      <c r="S15" s="1215"/>
      <c r="T15" s="1215"/>
      <c r="U15" s="402"/>
    </row>
    <row r="16" spans="2:21" s="420" customFormat="1" ht="15.5" x14ac:dyDescent="0.35">
      <c r="B16" s="418">
        <f t="shared" si="5"/>
        <v>6</v>
      </c>
      <c r="C16" s="399" t="s">
        <v>782</v>
      </c>
      <c r="D16" s="464" t="s">
        <v>117</v>
      </c>
      <c r="E16" s="746">
        <f t="shared" si="0"/>
        <v>0</v>
      </c>
      <c r="F16" s="741">
        <v>0</v>
      </c>
      <c r="G16" s="741">
        <f t="shared" si="1"/>
        <v>0</v>
      </c>
      <c r="H16" s="746">
        <f t="shared" si="2"/>
        <v>0</v>
      </c>
      <c r="I16" s="854">
        <v>0</v>
      </c>
      <c r="J16" s="741">
        <f t="shared" si="3"/>
        <v>0</v>
      </c>
      <c r="K16" s="648"/>
      <c r="L16" s="1293">
        <v>0</v>
      </c>
      <c r="M16" s="1293"/>
      <c r="N16" s="575"/>
      <c r="O16" s="741">
        <f t="shared" si="4"/>
        <v>0</v>
      </c>
      <c r="P16" s="1215"/>
      <c r="Q16" s="1215"/>
      <c r="R16" s="1215"/>
      <c r="S16" s="1215"/>
      <c r="T16" s="1215"/>
      <c r="U16" s="402"/>
    </row>
    <row r="17" spans="2:21" s="420" customFormat="1" ht="15.5" x14ac:dyDescent="0.35">
      <c r="B17" s="418">
        <f t="shared" si="5"/>
        <v>7</v>
      </c>
      <c r="C17" s="399" t="s">
        <v>783</v>
      </c>
      <c r="D17" s="464" t="s">
        <v>117</v>
      </c>
      <c r="E17" s="746">
        <f t="shared" si="0"/>
        <v>0</v>
      </c>
      <c r="F17" s="741">
        <v>0</v>
      </c>
      <c r="G17" s="741">
        <f t="shared" si="1"/>
        <v>0</v>
      </c>
      <c r="H17" s="746">
        <f t="shared" si="2"/>
        <v>0</v>
      </c>
      <c r="I17" s="854">
        <v>0</v>
      </c>
      <c r="J17" s="741">
        <f t="shared" si="3"/>
        <v>0</v>
      </c>
      <c r="K17" s="648"/>
      <c r="L17" s="1293">
        <v>0</v>
      </c>
      <c r="M17" s="1293"/>
      <c r="N17" s="575"/>
      <c r="O17" s="741">
        <f t="shared" si="4"/>
        <v>0</v>
      </c>
      <c r="P17" s="1215"/>
      <c r="Q17" s="1215"/>
      <c r="R17" s="1215"/>
      <c r="S17" s="1215"/>
      <c r="T17" s="1215"/>
      <c r="U17" s="402"/>
    </row>
    <row r="18" spans="2:21" s="420" customFormat="1" ht="15.5" x14ac:dyDescent="0.35">
      <c r="B18" s="418">
        <f t="shared" si="5"/>
        <v>8</v>
      </c>
      <c r="C18" s="399" t="s">
        <v>784</v>
      </c>
      <c r="D18" s="464" t="s">
        <v>117</v>
      </c>
      <c r="E18" s="746">
        <f t="shared" si="0"/>
        <v>0</v>
      </c>
      <c r="F18" s="741">
        <v>0</v>
      </c>
      <c r="G18" s="741">
        <f t="shared" si="1"/>
        <v>0</v>
      </c>
      <c r="H18" s="746">
        <f t="shared" si="2"/>
        <v>815.08042152172504</v>
      </c>
      <c r="I18" s="854">
        <v>815.08042152172504</v>
      </c>
      <c r="J18" s="741">
        <f t="shared" si="3"/>
        <v>0</v>
      </c>
      <c r="K18" s="648"/>
      <c r="L18" s="1293">
        <v>229.17316777304478</v>
      </c>
      <c r="M18" s="1293"/>
      <c r="N18" s="575"/>
      <c r="O18" s="741">
        <f t="shared" si="4"/>
        <v>0</v>
      </c>
      <c r="P18" s="1215"/>
      <c r="Q18" s="1215"/>
      <c r="R18" s="1215"/>
      <c r="S18" s="1215"/>
      <c r="T18" s="1215"/>
      <c r="U18" s="402"/>
    </row>
    <row r="19" spans="2:21" s="420" customFormat="1" ht="15.5" x14ac:dyDescent="0.35">
      <c r="B19" s="418">
        <f t="shared" si="5"/>
        <v>9</v>
      </c>
      <c r="C19" s="399" t="s">
        <v>785</v>
      </c>
      <c r="D19" s="464" t="s">
        <v>117</v>
      </c>
      <c r="E19" s="746">
        <f t="shared" si="0"/>
        <v>0</v>
      </c>
      <c r="F19" s="741">
        <v>0</v>
      </c>
      <c r="G19" s="741">
        <f t="shared" si="1"/>
        <v>0</v>
      </c>
      <c r="H19" s="746">
        <f t="shared" si="2"/>
        <v>400</v>
      </c>
      <c r="I19" s="854">
        <v>400</v>
      </c>
      <c r="J19" s="741">
        <f t="shared" si="3"/>
        <v>0</v>
      </c>
      <c r="K19" s="648"/>
      <c r="L19" s="1293">
        <v>400</v>
      </c>
      <c r="M19" s="1293"/>
      <c r="N19" s="575"/>
      <c r="O19" s="741">
        <f t="shared" si="4"/>
        <v>0</v>
      </c>
      <c r="P19" s="1215"/>
      <c r="Q19" s="1215"/>
      <c r="R19" s="1215"/>
      <c r="S19" s="1215"/>
      <c r="T19" s="1215"/>
      <c r="U19" s="402"/>
    </row>
    <row r="20" spans="2:21" s="420" customFormat="1" ht="15.5" x14ac:dyDescent="0.35">
      <c r="B20" s="418">
        <f t="shared" si="5"/>
        <v>10</v>
      </c>
      <c r="C20" s="399" t="s">
        <v>786</v>
      </c>
      <c r="D20" s="464" t="s">
        <v>117</v>
      </c>
      <c r="E20" s="746">
        <f t="shared" si="0"/>
        <v>400</v>
      </c>
      <c r="F20" s="741">
        <v>400</v>
      </c>
      <c r="G20" s="741">
        <f t="shared" si="1"/>
        <v>0</v>
      </c>
      <c r="H20" s="746">
        <f t="shared" si="2"/>
        <v>0</v>
      </c>
      <c r="I20" s="854">
        <v>0</v>
      </c>
      <c r="J20" s="741">
        <f t="shared" si="3"/>
        <v>0</v>
      </c>
      <c r="K20" s="648"/>
      <c r="L20" s="1293">
        <v>0</v>
      </c>
      <c r="M20" s="1293"/>
      <c r="N20" s="575"/>
      <c r="O20" s="741">
        <f t="shared" si="4"/>
        <v>0</v>
      </c>
      <c r="P20" s="1215"/>
      <c r="Q20" s="1215"/>
      <c r="R20" s="1215"/>
      <c r="S20" s="1215"/>
      <c r="T20" s="1215"/>
      <c r="U20" s="402"/>
    </row>
    <row r="21" spans="2:21" s="420" customFormat="1" ht="15.5" x14ac:dyDescent="0.35">
      <c r="B21" s="418">
        <f t="shared" si="5"/>
        <v>11</v>
      </c>
      <c r="C21" s="399" t="s">
        <v>818</v>
      </c>
      <c r="D21" s="464" t="s">
        <v>117</v>
      </c>
      <c r="E21" s="746">
        <f t="shared" si="0"/>
        <v>729.73907633721706</v>
      </c>
      <c r="F21" s="741">
        <v>729.73907633721706</v>
      </c>
      <c r="G21" s="741">
        <f t="shared" si="1"/>
        <v>0</v>
      </c>
      <c r="H21" s="746">
        <f t="shared" si="2"/>
        <v>0</v>
      </c>
      <c r="I21" s="854">
        <v>0</v>
      </c>
      <c r="J21" s="741">
        <f t="shared" si="3"/>
        <v>0</v>
      </c>
      <c r="K21" s="648"/>
      <c r="L21" s="1293">
        <v>0</v>
      </c>
      <c r="M21" s="1293"/>
      <c r="N21" s="575"/>
      <c r="O21" s="741">
        <f t="shared" si="4"/>
        <v>0</v>
      </c>
      <c r="P21" s="1215"/>
      <c r="Q21" s="1215"/>
      <c r="R21" s="1215"/>
      <c r="S21" s="1215"/>
      <c r="T21" s="1215"/>
      <c r="U21" s="402"/>
    </row>
    <row r="22" spans="2:21" s="420" customFormat="1" ht="15.5" x14ac:dyDescent="0.35">
      <c r="B22" s="418">
        <f t="shared" si="5"/>
        <v>12</v>
      </c>
      <c r="C22" s="399" t="s">
        <v>806</v>
      </c>
      <c r="D22" s="464" t="s">
        <v>117</v>
      </c>
      <c r="E22" s="746">
        <f t="shared" si="0"/>
        <v>107.43032247953343</v>
      </c>
      <c r="F22" s="741">
        <v>107.43032247953343</v>
      </c>
      <c r="G22" s="741">
        <f t="shared" si="1"/>
        <v>0</v>
      </c>
      <c r="H22" s="746">
        <f t="shared" si="2"/>
        <v>77.454045282397232</v>
      </c>
      <c r="I22" s="854">
        <v>77.454045282397232</v>
      </c>
      <c r="J22" s="741">
        <f t="shared" si="3"/>
        <v>0</v>
      </c>
      <c r="K22" s="648"/>
      <c r="L22" s="1293">
        <v>40.462799575108903</v>
      </c>
      <c r="M22" s="1293"/>
      <c r="N22" s="575"/>
      <c r="O22" s="741">
        <f t="shared" si="4"/>
        <v>0</v>
      </c>
      <c r="P22" s="1215"/>
      <c r="Q22" s="1215"/>
      <c r="R22" s="1215"/>
      <c r="S22" s="1215"/>
      <c r="T22" s="1215"/>
      <c r="U22" s="402"/>
    </row>
    <row r="23" spans="2:21" s="420" customFormat="1" ht="45" x14ac:dyDescent="0.3">
      <c r="B23" s="479">
        <f t="shared" si="5"/>
        <v>13</v>
      </c>
      <c r="C23" s="421" t="s">
        <v>701</v>
      </c>
      <c r="D23" s="464" t="s">
        <v>117</v>
      </c>
      <c r="E23" s="456">
        <f>SUM(E11:E22)</f>
        <v>3848.4267852215448</v>
      </c>
      <c r="F23" s="456">
        <f>SUM(F11:F22)</f>
        <v>3848.4267852215448</v>
      </c>
      <c r="G23" s="456">
        <f t="shared" si="1"/>
        <v>0</v>
      </c>
      <c r="H23" s="456">
        <f>SUM(H11:H22)</f>
        <v>4268.5764596490617</v>
      </c>
      <c r="I23" s="456">
        <f>SUM(I11:I22)</f>
        <v>4268.5764596490617</v>
      </c>
      <c r="J23" s="456">
        <f>SUM(J11:J22)</f>
        <v>0</v>
      </c>
      <c r="K23" s="1212"/>
      <c r="L23" s="1212">
        <f t="shared" ref="L23" si="6">SUM(L11:L22)</f>
        <v>4321.1391081136662</v>
      </c>
      <c r="M23" s="1212"/>
      <c r="N23" s="1295"/>
      <c r="O23" s="456">
        <f t="shared" ref="O23" si="7">SUM(O11:O22)</f>
        <v>0</v>
      </c>
      <c r="P23" s="1212"/>
      <c r="Q23" s="1212"/>
      <c r="R23" s="1212"/>
      <c r="S23" s="1212"/>
      <c r="T23" s="1212"/>
      <c r="U23" s="402"/>
    </row>
    <row r="24" spans="2:21" s="420" customFormat="1" ht="15.5" x14ac:dyDescent="0.35">
      <c r="B24" s="418">
        <f t="shared" si="5"/>
        <v>14</v>
      </c>
      <c r="C24" s="422" t="s">
        <v>143</v>
      </c>
      <c r="D24" s="464" t="s">
        <v>99</v>
      </c>
      <c r="E24" s="455">
        <f>'F2.2'!$F$43</f>
        <v>8.0000000000000002E-3</v>
      </c>
      <c r="F24" s="455">
        <f>'F2.2'!$G$44</f>
        <v>4.7561922950194596E-3</v>
      </c>
      <c r="G24" s="455">
        <f t="shared" si="1"/>
        <v>-3.2438077049805406E-3</v>
      </c>
      <c r="H24" s="455">
        <f>'F2.2'!$J$43</f>
        <v>8.0000000000000002E-3</v>
      </c>
      <c r="I24" s="455">
        <f>'F2.2'!$K$44</f>
        <v>4.1000000000000003E-3</v>
      </c>
      <c r="J24" s="455">
        <f t="shared" si="3"/>
        <v>-3.8999999999999998E-3</v>
      </c>
      <c r="K24" s="455"/>
      <c r="L24" s="455">
        <f>'F2.2'!O44</f>
        <v>7.0176496438536795E-3</v>
      </c>
      <c r="M24" s="455"/>
      <c r="N24" s="796"/>
      <c r="O24" s="455">
        <f t="shared" si="4"/>
        <v>0</v>
      </c>
      <c r="P24" s="455"/>
      <c r="Q24" s="455"/>
      <c r="R24" s="455"/>
      <c r="S24" s="455"/>
      <c r="T24" s="455"/>
      <c r="U24" s="403"/>
    </row>
    <row r="25" spans="2:21" s="420" customFormat="1" ht="15.5" x14ac:dyDescent="0.35">
      <c r="B25" s="418">
        <f t="shared" si="5"/>
        <v>15</v>
      </c>
      <c r="C25" s="422" t="s">
        <v>681</v>
      </c>
      <c r="D25" s="464" t="s">
        <v>117</v>
      </c>
      <c r="E25" s="741"/>
      <c r="F25" s="747"/>
      <c r="G25" s="741">
        <f t="shared" si="1"/>
        <v>0</v>
      </c>
      <c r="H25" s="741"/>
      <c r="I25" s="741"/>
      <c r="J25" s="741">
        <f t="shared" si="3"/>
        <v>0</v>
      </c>
      <c r="K25" s="1293"/>
      <c r="L25" s="1293"/>
      <c r="M25" s="1293"/>
      <c r="N25" s="1293"/>
      <c r="O25" s="741">
        <f t="shared" si="4"/>
        <v>0</v>
      </c>
      <c r="P25" s="1215"/>
      <c r="Q25" s="1213"/>
      <c r="R25" s="1215"/>
      <c r="S25" s="1213"/>
      <c r="T25" s="1213"/>
      <c r="U25" s="403"/>
    </row>
    <row r="26" spans="2:21" s="420" customFormat="1" ht="45" x14ac:dyDescent="0.3">
      <c r="B26" s="479">
        <f t="shared" si="5"/>
        <v>16</v>
      </c>
      <c r="C26" s="421" t="s">
        <v>702</v>
      </c>
      <c r="D26" s="423" t="s">
        <v>117</v>
      </c>
      <c r="E26" s="456">
        <f t="shared" ref="E26:J26" si="8">(E23-E22)/(1-E24)+E25+E22</f>
        <v>3878.5961115339805</v>
      </c>
      <c r="F26" s="456">
        <f>(F23-F22)/(1-F24)+F25+F22</f>
        <v>3866.304714643501</v>
      </c>
      <c r="G26" s="456">
        <f t="shared" si="8"/>
        <v>0</v>
      </c>
      <c r="H26" s="456">
        <f t="shared" si="8"/>
        <v>4302.3758339584701</v>
      </c>
      <c r="I26" s="456">
        <f t="shared" si="8"/>
        <v>4285.8308043612851</v>
      </c>
      <c r="J26" s="456">
        <f t="shared" si="8"/>
        <v>0</v>
      </c>
      <c r="K26" s="1212">
        <f>N26</f>
        <v>4314.4461790693431</v>
      </c>
      <c r="L26" s="1212">
        <f>(L23-L22)/(1-L24)+L25+L22</f>
        <v>4351.3916967536297</v>
      </c>
      <c r="M26" s="1212">
        <v>4285.8308043612851</v>
      </c>
      <c r="N26" s="1212">
        <f>SUMPRODUCT(L26:M26,'F2.2'!O94:P94)/SUM('F2.2'!O94:P94)</f>
        <v>4314.4461790693431</v>
      </c>
      <c r="O26" s="730">
        <f>O23/(1-O24)+O25</f>
        <v>0</v>
      </c>
      <c r="P26" s="1212">
        <v>4499.7525636254413</v>
      </c>
      <c r="Q26" s="1212">
        <v>4724.7401918067135</v>
      </c>
      <c r="R26" s="1212">
        <v>4960.9772013970487</v>
      </c>
      <c r="S26" s="1212">
        <v>5190.1740367690873</v>
      </c>
      <c r="T26" s="1212">
        <v>5449.6911158850726</v>
      </c>
      <c r="U26" s="456"/>
    </row>
    <row r="27" spans="2:21" s="6" customFormat="1" ht="15.5" x14ac:dyDescent="0.3">
      <c r="B27" s="405"/>
      <c r="C27" s="401"/>
      <c r="D27" s="404"/>
      <c r="E27" s="424"/>
      <c r="F27" s="424"/>
      <c r="G27" s="741"/>
      <c r="H27" s="424"/>
      <c r="I27" s="424"/>
      <c r="J27" s="741"/>
      <c r="K27" s="424"/>
      <c r="L27" s="424"/>
      <c r="M27" s="424"/>
      <c r="N27" s="1293"/>
      <c r="O27" s="741"/>
      <c r="P27" s="424"/>
      <c r="Q27" s="424"/>
      <c r="R27" s="424"/>
      <c r="S27" s="424"/>
      <c r="T27" s="424"/>
      <c r="U27" s="392"/>
    </row>
    <row r="28" spans="2:21" s="6" customFormat="1" ht="15" x14ac:dyDescent="0.3">
      <c r="B28" s="344" t="s">
        <v>185</v>
      </c>
      <c r="C28" s="345" t="s">
        <v>787</v>
      </c>
      <c r="D28" s="404"/>
      <c r="E28" s="424"/>
      <c r="F28" s="424"/>
      <c r="G28" s="741"/>
      <c r="H28" s="424"/>
      <c r="I28" s="424"/>
      <c r="J28" s="741"/>
      <c r="K28" s="424"/>
      <c r="L28" s="424"/>
      <c r="M28" s="424"/>
      <c r="N28" s="1293"/>
      <c r="O28" s="741"/>
      <c r="P28" s="424"/>
      <c r="Q28" s="424"/>
      <c r="R28" s="424"/>
      <c r="S28" s="424"/>
      <c r="T28" s="424"/>
      <c r="U28" s="392"/>
    </row>
    <row r="29" spans="2:21" s="6" customFormat="1" ht="15.5" x14ac:dyDescent="0.35">
      <c r="B29" s="346">
        <v>1</v>
      </c>
      <c r="C29" s="399" t="s">
        <v>788</v>
      </c>
      <c r="D29" s="404" t="s">
        <v>117</v>
      </c>
      <c r="E29" s="741">
        <f>F29</f>
        <v>10113.896324194589</v>
      </c>
      <c r="F29" s="741">
        <v>10113.896324194589</v>
      </c>
      <c r="G29" s="741">
        <f t="shared" ref="G29:G39" si="9">F29-E29</f>
        <v>0</v>
      </c>
      <c r="H29" s="741">
        <f>I29</f>
        <v>8748.906697737124</v>
      </c>
      <c r="I29" s="854">
        <v>8748.906697737124</v>
      </c>
      <c r="J29" s="741">
        <f t="shared" ref="J29:J39" si="10">I29-H29</f>
        <v>0</v>
      </c>
      <c r="K29" s="537"/>
      <c r="L29" s="1293">
        <v>6737.9823113088578</v>
      </c>
      <c r="M29" s="1293"/>
      <c r="N29" s="1293"/>
      <c r="O29" s="741">
        <f t="shared" ref="O29:O38" si="11">N29-K29</f>
        <v>0</v>
      </c>
      <c r="P29" s="1215"/>
      <c r="Q29" s="1215"/>
      <c r="R29" s="1215"/>
      <c r="S29" s="1215"/>
      <c r="T29" s="1215"/>
      <c r="U29" s="392"/>
    </row>
    <row r="30" spans="2:21" s="6" customFormat="1" ht="15.5" x14ac:dyDescent="0.35">
      <c r="B30" s="346">
        <v>2</v>
      </c>
      <c r="C30" s="399" t="s">
        <v>789</v>
      </c>
      <c r="D30" s="404" t="s">
        <v>117</v>
      </c>
      <c r="E30" s="741">
        <f t="shared" ref="E30:E38" si="12">F30</f>
        <v>0</v>
      </c>
      <c r="F30" s="741">
        <v>0</v>
      </c>
      <c r="G30" s="741">
        <f t="shared" si="9"/>
        <v>0</v>
      </c>
      <c r="H30" s="741">
        <f t="shared" ref="H30:H38" si="13">I30</f>
        <v>0</v>
      </c>
      <c r="I30" s="854">
        <v>0</v>
      </c>
      <c r="J30" s="741">
        <f t="shared" si="10"/>
        <v>0</v>
      </c>
      <c r="K30" s="537"/>
      <c r="L30" s="1293">
        <v>0</v>
      </c>
      <c r="M30" s="1293"/>
      <c r="N30" s="1293"/>
      <c r="O30" s="741">
        <f t="shared" si="11"/>
        <v>0</v>
      </c>
      <c r="P30" s="1215"/>
      <c r="Q30" s="1215"/>
      <c r="R30" s="1215"/>
      <c r="S30" s="1215"/>
      <c r="T30" s="1215"/>
      <c r="U30" s="392"/>
    </row>
    <row r="31" spans="2:21" s="6" customFormat="1" ht="15.5" x14ac:dyDescent="0.35">
      <c r="B31" s="346">
        <v>3</v>
      </c>
      <c r="C31" s="399" t="s">
        <v>228</v>
      </c>
      <c r="D31" s="404" t="s">
        <v>117</v>
      </c>
      <c r="E31" s="741">
        <f t="shared" si="12"/>
        <v>0</v>
      </c>
      <c r="F31" s="741">
        <v>0</v>
      </c>
      <c r="G31" s="741">
        <f t="shared" si="9"/>
        <v>0</v>
      </c>
      <c r="H31" s="741">
        <f t="shared" si="13"/>
        <v>0</v>
      </c>
      <c r="I31" s="854">
        <v>0</v>
      </c>
      <c r="J31" s="741">
        <f t="shared" si="10"/>
        <v>0</v>
      </c>
      <c r="K31" s="537"/>
      <c r="L31" s="1293">
        <v>0</v>
      </c>
      <c r="M31" s="1293"/>
      <c r="N31" s="1293"/>
      <c r="O31" s="741">
        <f t="shared" si="11"/>
        <v>0</v>
      </c>
      <c r="P31" s="1215"/>
      <c r="Q31" s="1215"/>
      <c r="R31" s="1215"/>
      <c r="S31" s="1215"/>
      <c r="T31" s="1215"/>
      <c r="U31" s="392"/>
    </row>
    <row r="32" spans="2:21" s="6" customFormat="1" ht="15.5" x14ac:dyDescent="0.35">
      <c r="B32" s="346">
        <v>4</v>
      </c>
      <c r="C32" s="399" t="s">
        <v>790</v>
      </c>
      <c r="D32" s="404" t="s">
        <v>117</v>
      </c>
      <c r="E32" s="741">
        <f t="shared" si="12"/>
        <v>0</v>
      </c>
      <c r="F32" s="741">
        <v>0</v>
      </c>
      <c r="G32" s="741">
        <f t="shared" si="9"/>
        <v>0</v>
      </c>
      <c r="H32" s="741">
        <f t="shared" si="13"/>
        <v>0</v>
      </c>
      <c r="I32" s="854">
        <v>0</v>
      </c>
      <c r="J32" s="741">
        <f t="shared" si="10"/>
        <v>0</v>
      </c>
      <c r="K32" s="537"/>
      <c r="L32" s="1293">
        <v>0</v>
      </c>
      <c r="M32" s="1293"/>
      <c r="N32" s="1293"/>
      <c r="O32" s="741">
        <f t="shared" si="11"/>
        <v>0</v>
      </c>
      <c r="P32" s="1215"/>
      <c r="Q32" s="1215"/>
      <c r="R32" s="1215"/>
      <c r="S32" s="1215"/>
      <c r="T32" s="1215"/>
      <c r="U32" s="392"/>
    </row>
    <row r="33" spans="2:21" s="6" customFormat="1" ht="15.5" x14ac:dyDescent="0.35">
      <c r="B33" s="346">
        <v>5</v>
      </c>
      <c r="C33" s="399" t="s">
        <v>791</v>
      </c>
      <c r="D33" s="404" t="s">
        <v>117</v>
      </c>
      <c r="E33" s="741">
        <f t="shared" si="12"/>
        <v>713.25545534503544</v>
      </c>
      <c r="F33" s="741">
        <v>713.25545534503544</v>
      </c>
      <c r="G33" s="741">
        <f t="shared" si="9"/>
        <v>0</v>
      </c>
      <c r="H33" s="741">
        <f t="shared" si="13"/>
        <v>559.33832234270312</v>
      </c>
      <c r="I33" s="854">
        <v>559.33832234270312</v>
      </c>
      <c r="J33" s="741">
        <f t="shared" si="10"/>
        <v>0</v>
      </c>
      <c r="K33" s="537"/>
      <c r="L33" s="1293">
        <v>516.1631563934111</v>
      </c>
      <c r="M33" s="1293"/>
      <c r="N33" s="1293"/>
      <c r="O33" s="741">
        <f t="shared" si="11"/>
        <v>0</v>
      </c>
      <c r="P33" s="1215"/>
      <c r="Q33" s="1215"/>
      <c r="R33" s="1215"/>
      <c r="S33" s="1215"/>
      <c r="T33" s="1215"/>
      <c r="U33" s="392"/>
    </row>
    <row r="34" spans="2:21" s="6" customFormat="1" ht="15.5" x14ac:dyDescent="0.35">
      <c r="B34" s="346">
        <v>6</v>
      </c>
      <c r="C34" s="399" t="s">
        <v>782</v>
      </c>
      <c r="D34" s="404" t="s">
        <v>117</v>
      </c>
      <c r="E34" s="741">
        <f t="shared" si="12"/>
        <v>0</v>
      </c>
      <c r="F34" s="741">
        <v>0</v>
      </c>
      <c r="G34" s="741">
        <f t="shared" si="9"/>
        <v>0</v>
      </c>
      <c r="H34" s="741">
        <f t="shared" si="13"/>
        <v>0</v>
      </c>
      <c r="I34" s="854">
        <v>0</v>
      </c>
      <c r="J34" s="741">
        <f t="shared" si="10"/>
        <v>0</v>
      </c>
      <c r="K34" s="537"/>
      <c r="L34" s="1293">
        <v>0</v>
      </c>
      <c r="M34" s="1293"/>
      <c r="N34" s="1293"/>
      <c r="O34" s="741">
        <f t="shared" si="11"/>
        <v>0</v>
      </c>
      <c r="P34" s="1215"/>
      <c r="Q34" s="1215"/>
      <c r="R34" s="1215"/>
      <c r="S34" s="1215"/>
      <c r="T34" s="1215"/>
      <c r="U34" s="392"/>
    </row>
    <row r="35" spans="2:21" s="6" customFormat="1" ht="15.5" x14ac:dyDescent="0.35">
      <c r="B35" s="346">
        <v>7</v>
      </c>
      <c r="C35" s="399" t="s">
        <v>783</v>
      </c>
      <c r="D35" s="404" t="s">
        <v>117</v>
      </c>
      <c r="E35" s="741">
        <f t="shared" si="12"/>
        <v>0</v>
      </c>
      <c r="F35" s="741">
        <v>0</v>
      </c>
      <c r="G35" s="741">
        <f t="shared" si="9"/>
        <v>0</v>
      </c>
      <c r="H35" s="741">
        <f t="shared" si="13"/>
        <v>0</v>
      </c>
      <c r="I35" s="854">
        <v>0</v>
      </c>
      <c r="J35" s="741">
        <f t="shared" si="10"/>
        <v>0</v>
      </c>
      <c r="K35" s="537"/>
      <c r="L35" s="1293">
        <v>400</v>
      </c>
      <c r="M35" s="1293"/>
      <c r="N35" s="1293"/>
      <c r="O35" s="741">
        <f t="shared" si="11"/>
        <v>0</v>
      </c>
      <c r="P35" s="1215"/>
      <c r="Q35" s="1215"/>
      <c r="R35" s="1215"/>
      <c r="S35" s="1215"/>
      <c r="T35" s="1215"/>
      <c r="U35" s="392"/>
    </row>
    <row r="36" spans="2:21" s="6" customFormat="1" ht="15.5" x14ac:dyDescent="0.35">
      <c r="B36" s="346">
        <v>8</v>
      </c>
      <c r="C36" s="399" t="s">
        <v>784</v>
      </c>
      <c r="D36" s="404" t="s">
        <v>117</v>
      </c>
      <c r="E36" s="741">
        <f t="shared" si="12"/>
        <v>400</v>
      </c>
      <c r="F36" s="741">
        <v>400</v>
      </c>
      <c r="G36" s="741">
        <f t="shared" si="9"/>
        <v>0</v>
      </c>
      <c r="H36" s="741">
        <f t="shared" si="13"/>
        <v>2437.8597491169385</v>
      </c>
      <c r="I36" s="854">
        <v>2437.8597491169385</v>
      </c>
      <c r="J36" s="741">
        <f t="shared" si="10"/>
        <v>0</v>
      </c>
      <c r="K36" s="537"/>
      <c r="L36" s="1293">
        <v>3585.2008702804701</v>
      </c>
      <c r="M36" s="1293"/>
      <c r="N36" s="1293"/>
      <c r="O36" s="741">
        <f t="shared" si="11"/>
        <v>0</v>
      </c>
      <c r="P36" s="1215"/>
      <c r="Q36" s="1215"/>
      <c r="R36" s="1215"/>
      <c r="S36" s="1215"/>
      <c r="T36" s="1215"/>
      <c r="U36" s="392"/>
    </row>
    <row r="37" spans="2:21" s="6" customFormat="1" ht="15.5" x14ac:dyDescent="0.35">
      <c r="B37" s="346">
        <v>9</v>
      </c>
      <c r="C37" s="399" t="s">
        <v>210</v>
      </c>
      <c r="D37" s="404" t="s">
        <v>117</v>
      </c>
      <c r="E37" s="741">
        <f t="shared" si="12"/>
        <v>4151.2127827061213</v>
      </c>
      <c r="F37" s="741">
        <v>4151.2127827061213</v>
      </c>
      <c r="G37" s="741">
        <f t="shared" si="9"/>
        <v>0</v>
      </c>
      <c r="H37" s="741">
        <f t="shared" si="13"/>
        <v>400.00000000000006</v>
      </c>
      <c r="I37" s="854">
        <v>400.00000000000006</v>
      </c>
      <c r="J37" s="741">
        <f t="shared" si="10"/>
        <v>0</v>
      </c>
      <c r="K37" s="537"/>
      <c r="L37" s="1293">
        <v>0</v>
      </c>
      <c r="M37" s="1293"/>
      <c r="N37" s="1293"/>
      <c r="O37" s="741">
        <f t="shared" si="11"/>
        <v>0</v>
      </c>
      <c r="P37" s="1215"/>
      <c r="Q37" s="1215"/>
      <c r="R37" s="1215"/>
      <c r="S37" s="1215"/>
      <c r="T37" s="1215"/>
      <c r="U37" s="392"/>
    </row>
    <row r="38" spans="2:21" s="6" customFormat="1" ht="15.5" x14ac:dyDescent="0.35">
      <c r="B38" s="346">
        <v>10</v>
      </c>
      <c r="C38" s="399" t="s">
        <v>210</v>
      </c>
      <c r="D38" s="404" t="s">
        <v>117</v>
      </c>
      <c r="E38" s="741">
        <f t="shared" si="12"/>
        <v>0</v>
      </c>
      <c r="F38" s="741">
        <v>0</v>
      </c>
      <c r="G38" s="741">
        <f t="shared" si="9"/>
        <v>0</v>
      </c>
      <c r="H38" s="741">
        <f t="shared" si="13"/>
        <v>0</v>
      </c>
      <c r="I38" s="854">
        <v>0</v>
      </c>
      <c r="J38" s="741">
        <f t="shared" si="10"/>
        <v>0</v>
      </c>
      <c r="K38" s="537"/>
      <c r="L38" s="1293">
        <v>0</v>
      </c>
      <c r="M38" s="1293"/>
      <c r="N38" s="1293"/>
      <c r="O38" s="741">
        <f t="shared" si="11"/>
        <v>0</v>
      </c>
      <c r="P38" s="1215"/>
      <c r="Q38" s="1215"/>
      <c r="R38" s="1215"/>
      <c r="S38" s="1215"/>
      <c r="T38" s="1215"/>
      <c r="U38" s="392"/>
    </row>
    <row r="39" spans="2:21" s="420" customFormat="1" ht="15.5" x14ac:dyDescent="0.35">
      <c r="B39" s="418">
        <v>11</v>
      </c>
      <c r="C39" s="399" t="s">
        <v>806</v>
      </c>
      <c r="D39" s="423" t="s">
        <v>117</v>
      </c>
      <c r="E39" s="1141">
        <f>F39</f>
        <v>107.43032247953344</v>
      </c>
      <c r="F39" s="1141">
        <v>107.43032247953344</v>
      </c>
      <c r="G39" s="1141">
        <f t="shared" si="9"/>
        <v>0</v>
      </c>
      <c r="H39" s="1141">
        <f>I39</f>
        <v>77.454045282397232</v>
      </c>
      <c r="I39" s="1141">
        <v>77.454045282397232</v>
      </c>
      <c r="J39" s="1141">
        <f t="shared" si="10"/>
        <v>0</v>
      </c>
      <c r="K39" s="537"/>
      <c r="L39" s="1330">
        <v>40.462799575108903</v>
      </c>
      <c r="M39" s="1330"/>
      <c r="N39" s="1330"/>
      <c r="O39" s="1141"/>
      <c r="P39" s="1330"/>
      <c r="Q39" s="1330"/>
      <c r="R39" s="1330"/>
      <c r="S39" s="1330"/>
      <c r="T39" s="1330"/>
      <c r="U39" s="403"/>
    </row>
    <row r="40" spans="2:21" s="6" customFormat="1" ht="15" x14ac:dyDescent="0.3">
      <c r="B40" s="344"/>
      <c r="C40" s="345" t="s">
        <v>792</v>
      </c>
      <c r="D40" s="404" t="s">
        <v>117</v>
      </c>
      <c r="E40" s="456">
        <f t="shared" ref="E40:J40" si="14">SUM(E29:E39)</f>
        <v>15485.794884725279</v>
      </c>
      <c r="F40" s="456">
        <f t="shared" si="14"/>
        <v>15485.794884725279</v>
      </c>
      <c r="G40" s="456">
        <f t="shared" si="14"/>
        <v>0</v>
      </c>
      <c r="H40" s="456">
        <f t="shared" si="14"/>
        <v>12223.558814479162</v>
      </c>
      <c r="I40" s="456">
        <f t="shared" si="14"/>
        <v>12223.558814479162</v>
      </c>
      <c r="J40" s="456">
        <f t="shared" si="14"/>
        <v>0</v>
      </c>
      <c r="K40" s="1212">
        <f>N40</f>
        <v>11629.90822331719</v>
      </c>
      <c r="L40" s="1212">
        <f>SUM(L29:L39)</f>
        <v>11279.809137557848</v>
      </c>
      <c r="M40" s="1212">
        <v>12223.558814479162</v>
      </c>
      <c r="N40" s="1212">
        <f>IFERROR(SUMPRODUCT(L40:M40,'F2.2'!O95:P95)/SUM('F2.2'!O95:P95),0)</f>
        <v>11629.90822331719</v>
      </c>
      <c r="O40" s="456">
        <f t="shared" ref="O40" si="15">SUM(O29:O38)</f>
        <v>0</v>
      </c>
      <c r="P40" s="1212">
        <v>11937.421266904768</v>
      </c>
      <c r="Q40" s="1212">
        <v>12534.292330250008</v>
      </c>
      <c r="R40" s="1212">
        <v>13161.006946762509</v>
      </c>
      <c r="S40" s="1212">
        <v>13819.057294100634</v>
      </c>
      <c r="T40" s="1212">
        <v>14510.010158805668</v>
      </c>
      <c r="U40" s="400">
        <f t="shared" ref="U40" si="16">SUM(U29:U38)</f>
        <v>0</v>
      </c>
    </row>
    <row r="41" spans="2:21" s="6" customFormat="1" ht="15.5" x14ac:dyDescent="0.3">
      <c r="B41" s="405"/>
      <c r="C41" s="401"/>
      <c r="D41" s="404"/>
      <c r="E41" s="741"/>
      <c r="F41" s="741"/>
      <c r="G41" s="741"/>
      <c r="H41" s="741"/>
      <c r="I41" s="741"/>
      <c r="J41" s="741"/>
      <c r="K41" s="1293"/>
      <c r="L41" s="1293"/>
      <c r="M41" s="1293"/>
      <c r="N41" s="1293"/>
      <c r="O41" s="741"/>
      <c r="P41" s="1215"/>
      <c r="Q41" s="1215"/>
      <c r="R41" s="1215"/>
      <c r="S41" s="1215"/>
      <c r="T41" s="1215"/>
      <c r="U41" s="392"/>
    </row>
    <row r="42" spans="2:21" s="420" customFormat="1" ht="15" x14ac:dyDescent="0.3">
      <c r="B42" s="479" t="s">
        <v>186</v>
      </c>
      <c r="C42" s="345" t="s">
        <v>882</v>
      </c>
      <c r="D42" s="423"/>
      <c r="E42" s="741"/>
      <c r="F42" s="741"/>
      <c r="G42" s="741"/>
      <c r="H42" s="741"/>
      <c r="I42" s="741"/>
      <c r="J42" s="741"/>
      <c r="K42" s="1293"/>
      <c r="L42" s="1293"/>
      <c r="M42" s="1293"/>
      <c r="N42" s="1293"/>
      <c r="O42" s="741"/>
      <c r="P42" s="1215"/>
      <c r="Q42" s="1215"/>
      <c r="R42" s="1215"/>
      <c r="S42" s="1215"/>
      <c r="T42" s="1215"/>
      <c r="U42" s="403"/>
    </row>
    <row r="43" spans="2:21" s="420" customFormat="1" ht="15.5" x14ac:dyDescent="0.35">
      <c r="B43" s="479">
        <v>1</v>
      </c>
      <c r="C43" s="399" t="s">
        <v>788</v>
      </c>
      <c r="D43" s="423" t="s">
        <v>883</v>
      </c>
      <c r="E43" s="741">
        <f>F43</f>
        <v>1291.9399559888204</v>
      </c>
      <c r="F43" s="741">
        <v>1291.9399559888204</v>
      </c>
      <c r="G43" s="741">
        <f t="shared" ref="G43:G52" si="17">F43-E43</f>
        <v>0</v>
      </c>
      <c r="H43" s="741">
        <f>I43</f>
        <v>2750.6945742544067</v>
      </c>
      <c r="I43" s="854">
        <v>2750.6945742544067</v>
      </c>
      <c r="J43" s="741">
        <f t="shared" ref="J43:J53" si="18">I43-H43</f>
        <v>0</v>
      </c>
      <c r="K43" s="1293"/>
      <c r="L43" s="1293">
        <v>3253.6530161985702</v>
      </c>
      <c r="M43" s="1293"/>
      <c r="N43" s="1293"/>
      <c r="O43" s="741">
        <f t="shared" ref="O43:O52" si="19">N43-K43</f>
        <v>0</v>
      </c>
      <c r="P43" s="1215"/>
      <c r="Q43" s="1215"/>
      <c r="R43" s="1215"/>
      <c r="S43" s="1215"/>
      <c r="T43" s="1215"/>
      <c r="U43" s="403"/>
    </row>
    <row r="44" spans="2:21" s="420" customFormat="1" ht="15.5" x14ac:dyDescent="0.35">
      <c r="B44" s="479">
        <f>+B43+1</f>
        <v>2</v>
      </c>
      <c r="C44" s="399" t="s">
        <v>789</v>
      </c>
      <c r="D44" s="423" t="s">
        <v>883</v>
      </c>
      <c r="E44" s="741">
        <f t="shared" ref="E44:E52" si="20">F44</f>
        <v>560.9305038691856</v>
      </c>
      <c r="F44" s="741">
        <v>560.9305038691856</v>
      </c>
      <c r="G44" s="741">
        <f t="shared" si="17"/>
        <v>0</v>
      </c>
      <c r="H44" s="741">
        <f t="shared" ref="H44:H52" si="21">I44</f>
        <v>336.3272778185281</v>
      </c>
      <c r="I44" s="854">
        <v>336.3272778185281</v>
      </c>
      <c r="J44" s="741">
        <f t="shared" si="18"/>
        <v>0</v>
      </c>
      <c r="K44" s="1293"/>
      <c r="L44" s="1293">
        <v>303.75371380983097</v>
      </c>
      <c r="M44" s="1293"/>
      <c r="N44" s="1293"/>
      <c r="O44" s="741">
        <f t="shared" si="19"/>
        <v>0</v>
      </c>
      <c r="P44" s="1215"/>
      <c r="Q44" s="1215"/>
      <c r="R44" s="1215"/>
      <c r="S44" s="1215"/>
      <c r="T44" s="1215"/>
      <c r="U44" s="403"/>
    </row>
    <row r="45" spans="2:21" s="420" customFormat="1" ht="15.5" x14ac:dyDescent="0.35">
      <c r="B45" s="479">
        <f t="shared" ref="B45:B53" si="22">+B44+1</f>
        <v>3</v>
      </c>
      <c r="C45" s="399" t="s">
        <v>228</v>
      </c>
      <c r="D45" s="423" t="s">
        <v>883</v>
      </c>
      <c r="E45" s="741">
        <f t="shared" si="20"/>
        <v>0</v>
      </c>
      <c r="F45" s="741">
        <v>0</v>
      </c>
      <c r="G45" s="741">
        <f t="shared" si="17"/>
        <v>0</v>
      </c>
      <c r="H45" s="741">
        <f t="shared" si="21"/>
        <v>0</v>
      </c>
      <c r="I45" s="854">
        <v>0</v>
      </c>
      <c r="J45" s="741">
        <f t="shared" si="18"/>
        <v>0</v>
      </c>
      <c r="K45" s="1293"/>
      <c r="L45" s="1293">
        <v>0</v>
      </c>
      <c r="M45" s="1293"/>
      <c r="N45" s="1293"/>
      <c r="O45" s="741">
        <f t="shared" si="19"/>
        <v>0</v>
      </c>
      <c r="P45" s="1215"/>
      <c r="Q45" s="1215"/>
      <c r="R45" s="1215"/>
      <c r="S45" s="1215"/>
      <c r="T45" s="1215"/>
      <c r="U45" s="403"/>
    </row>
    <row r="46" spans="2:21" s="420" customFormat="1" ht="15.5" x14ac:dyDescent="0.35">
      <c r="B46" s="479">
        <f t="shared" si="22"/>
        <v>4</v>
      </c>
      <c r="C46" s="399" t="s">
        <v>790</v>
      </c>
      <c r="D46" s="423" t="s">
        <v>883</v>
      </c>
      <c r="E46" s="741">
        <f t="shared" si="20"/>
        <v>0</v>
      </c>
      <c r="F46" s="741">
        <v>0</v>
      </c>
      <c r="G46" s="741">
        <f t="shared" si="17"/>
        <v>0</v>
      </c>
      <c r="H46" s="741">
        <f t="shared" si="21"/>
        <v>0</v>
      </c>
      <c r="I46" s="854">
        <v>0</v>
      </c>
      <c r="J46" s="741">
        <f t="shared" si="18"/>
        <v>0</v>
      </c>
      <c r="K46" s="1293"/>
      <c r="L46" s="1293">
        <v>0</v>
      </c>
      <c r="M46" s="1293"/>
      <c r="N46" s="1293"/>
      <c r="O46" s="741">
        <f t="shared" si="19"/>
        <v>0</v>
      </c>
      <c r="P46" s="1215"/>
      <c r="Q46" s="1215"/>
      <c r="R46" s="1215"/>
      <c r="S46" s="1215"/>
      <c r="T46" s="1215"/>
      <c r="U46" s="403"/>
    </row>
    <row r="47" spans="2:21" s="420" customFormat="1" ht="15.5" x14ac:dyDescent="0.35">
      <c r="B47" s="479">
        <f t="shared" si="22"/>
        <v>5</v>
      </c>
      <c r="C47" s="399" t="s">
        <v>791</v>
      </c>
      <c r="D47" s="423" t="s">
        <v>883</v>
      </c>
      <c r="E47" s="741">
        <f t="shared" si="20"/>
        <v>101.40240782942992</v>
      </c>
      <c r="F47" s="741">
        <v>101.40240782942992</v>
      </c>
      <c r="G47" s="741">
        <f t="shared" si="17"/>
        <v>0</v>
      </c>
      <c r="H47" s="741">
        <f t="shared" si="21"/>
        <v>141.32818470623897</v>
      </c>
      <c r="I47" s="854">
        <v>141.32818470623897</v>
      </c>
      <c r="J47" s="741">
        <f t="shared" si="18"/>
        <v>0</v>
      </c>
      <c r="K47" s="1293"/>
      <c r="L47" s="1293">
        <v>173.30582874028207</v>
      </c>
      <c r="M47" s="1293"/>
      <c r="N47" s="1293"/>
      <c r="O47" s="741">
        <f t="shared" si="19"/>
        <v>0</v>
      </c>
      <c r="P47" s="1215"/>
      <c r="Q47" s="1215"/>
      <c r="R47" s="1215"/>
      <c r="S47" s="1215"/>
      <c r="T47" s="1215"/>
      <c r="U47" s="403"/>
    </row>
    <row r="48" spans="2:21" s="420" customFormat="1" ht="15.5" x14ac:dyDescent="0.35">
      <c r="B48" s="479">
        <f t="shared" si="22"/>
        <v>6</v>
      </c>
      <c r="C48" s="399" t="s">
        <v>782</v>
      </c>
      <c r="D48" s="423" t="s">
        <v>883</v>
      </c>
      <c r="E48" s="741">
        <f t="shared" si="20"/>
        <v>0</v>
      </c>
      <c r="F48" s="741">
        <v>0</v>
      </c>
      <c r="G48" s="741">
        <f t="shared" si="17"/>
        <v>0</v>
      </c>
      <c r="H48" s="741">
        <f t="shared" si="21"/>
        <v>0</v>
      </c>
      <c r="I48" s="854">
        <v>0</v>
      </c>
      <c r="J48" s="741">
        <f t="shared" si="18"/>
        <v>0</v>
      </c>
      <c r="K48" s="1293"/>
      <c r="L48" s="1293">
        <v>0</v>
      </c>
      <c r="M48" s="1293"/>
      <c r="N48" s="1293"/>
      <c r="O48" s="741">
        <f t="shared" si="19"/>
        <v>0</v>
      </c>
      <c r="P48" s="1215"/>
      <c r="Q48" s="1215"/>
      <c r="R48" s="1215"/>
      <c r="S48" s="1215"/>
      <c r="T48" s="1215"/>
      <c r="U48" s="403"/>
    </row>
    <row r="49" spans="2:21" s="420" customFormat="1" ht="15.5" x14ac:dyDescent="0.35">
      <c r="B49" s="479">
        <f t="shared" si="22"/>
        <v>7</v>
      </c>
      <c r="C49" s="399" t="s">
        <v>783</v>
      </c>
      <c r="D49" s="423" t="s">
        <v>883</v>
      </c>
      <c r="E49" s="741">
        <f t="shared" si="20"/>
        <v>0</v>
      </c>
      <c r="F49" s="741">
        <v>0</v>
      </c>
      <c r="G49" s="741">
        <f t="shared" si="17"/>
        <v>0</v>
      </c>
      <c r="H49" s="741">
        <f t="shared" si="21"/>
        <v>400</v>
      </c>
      <c r="I49" s="854">
        <v>400</v>
      </c>
      <c r="J49" s="741">
        <f t="shared" si="18"/>
        <v>0</v>
      </c>
      <c r="K49" s="1293"/>
      <c r="L49" s="1293">
        <v>400</v>
      </c>
      <c r="M49" s="1293"/>
      <c r="N49" s="1293"/>
      <c r="O49" s="741">
        <f t="shared" si="19"/>
        <v>0</v>
      </c>
      <c r="P49" s="1215"/>
      <c r="Q49" s="1215"/>
      <c r="R49" s="1215"/>
      <c r="S49" s="1215"/>
      <c r="T49" s="1215"/>
      <c r="U49" s="403"/>
    </row>
    <row r="50" spans="2:21" s="420" customFormat="1" ht="15.5" x14ac:dyDescent="0.35">
      <c r="B50" s="479">
        <f t="shared" si="22"/>
        <v>8</v>
      </c>
      <c r="C50" s="399" t="s">
        <v>784</v>
      </c>
      <c r="D50" s="423" t="s">
        <v>883</v>
      </c>
      <c r="E50" s="741">
        <f t="shared" si="20"/>
        <v>400</v>
      </c>
      <c r="F50" s="741">
        <v>400</v>
      </c>
      <c r="G50" s="741">
        <f t="shared" si="17"/>
        <v>0</v>
      </c>
      <c r="H50" s="741">
        <f t="shared" si="21"/>
        <v>75.869119870372288</v>
      </c>
      <c r="I50" s="854">
        <v>75.869119870372288</v>
      </c>
      <c r="J50" s="741">
        <f t="shared" si="18"/>
        <v>0</v>
      </c>
      <c r="K50" s="1293"/>
      <c r="L50" s="1293">
        <v>212.46355860707078</v>
      </c>
      <c r="M50" s="1293"/>
      <c r="N50" s="1293"/>
      <c r="O50" s="741">
        <f t="shared" si="19"/>
        <v>0</v>
      </c>
      <c r="P50" s="1215"/>
      <c r="Q50" s="1215"/>
      <c r="R50" s="1215"/>
      <c r="S50" s="1215"/>
      <c r="T50" s="1215"/>
      <c r="U50" s="403"/>
    </row>
    <row r="51" spans="2:21" s="420" customFormat="1" ht="15.5" x14ac:dyDescent="0.35">
      <c r="B51" s="479">
        <f t="shared" si="22"/>
        <v>9</v>
      </c>
      <c r="C51" s="399" t="s">
        <v>884</v>
      </c>
      <c r="D51" s="423" t="s">
        <v>883</v>
      </c>
      <c r="E51" s="741">
        <f t="shared" si="20"/>
        <v>736.10820059977755</v>
      </c>
      <c r="F51" s="741">
        <v>736.10820059977755</v>
      </c>
      <c r="G51" s="741">
        <f t="shared" si="17"/>
        <v>0</v>
      </c>
      <c r="H51" s="741">
        <f t="shared" si="21"/>
        <v>0</v>
      </c>
      <c r="I51" s="854">
        <v>0</v>
      </c>
      <c r="J51" s="741">
        <f t="shared" si="18"/>
        <v>0</v>
      </c>
      <c r="K51" s="1293"/>
      <c r="L51" s="1293">
        <v>0</v>
      </c>
      <c r="M51" s="1293"/>
      <c r="N51" s="1293"/>
      <c r="O51" s="741">
        <f t="shared" si="19"/>
        <v>0</v>
      </c>
      <c r="P51" s="1215"/>
      <c r="Q51" s="1215"/>
      <c r="R51" s="1215"/>
      <c r="S51" s="1215"/>
      <c r="T51" s="1215"/>
      <c r="U51" s="403"/>
    </row>
    <row r="52" spans="2:21" s="420" customFormat="1" ht="15.5" x14ac:dyDescent="0.35">
      <c r="B52" s="479">
        <f t="shared" si="22"/>
        <v>10</v>
      </c>
      <c r="C52" s="399" t="s">
        <v>210</v>
      </c>
      <c r="D52" s="423" t="s">
        <v>883</v>
      </c>
      <c r="E52" s="741">
        <f t="shared" si="20"/>
        <v>142.2143946264228</v>
      </c>
      <c r="F52" s="741">
        <v>142.2143946264228</v>
      </c>
      <c r="G52" s="741">
        <f t="shared" si="17"/>
        <v>0</v>
      </c>
      <c r="H52" s="741">
        <f t="shared" si="21"/>
        <v>130.25513376911869</v>
      </c>
      <c r="I52" s="854">
        <v>130.25513376911869</v>
      </c>
      <c r="J52" s="741">
        <f t="shared" si="18"/>
        <v>0</v>
      </c>
      <c r="K52" s="1293"/>
      <c r="L52" s="1293">
        <v>236.50901275866966</v>
      </c>
      <c r="M52" s="1293"/>
      <c r="N52" s="1293"/>
      <c r="O52" s="741">
        <f t="shared" si="19"/>
        <v>0</v>
      </c>
      <c r="P52" s="1215"/>
      <c r="Q52" s="1215"/>
      <c r="R52" s="1215"/>
      <c r="S52" s="1215"/>
      <c r="T52" s="1215"/>
      <c r="U52" s="403"/>
    </row>
    <row r="53" spans="2:21" s="420" customFormat="1" ht="15.5" x14ac:dyDescent="0.35">
      <c r="B53" s="479">
        <f t="shared" si="22"/>
        <v>11</v>
      </c>
      <c r="C53" s="399" t="s">
        <v>806</v>
      </c>
      <c r="D53" s="423" t="s">
        <v>117</v>
      </c>
      <c r="E53" s="1141">
        <f>F53</f>
        <v>107.43032247953343</v>
      </c>
      <c r="F53" s="1141">
        <v>107.43032247953343</v>
      </c>
      <c r="G53" s="1141"/>
      <c r="H53" s="1141">
        <f>I53</f>
        <v>77.454045282397232</v>
      </c>
      <c r="I53" s="1141">
        <v>77.454045282397232</v>
      </c>
      <c r="J53" s="1141">
        <f t="shared" si="18"/>
        <v>0</v>
      </c>
      <c r="K53" s="1330"/>
      <c r="L53" s="1330">
        <v>40.462799575108903</v>
      </c>
      <c r="M53" s="1330"/>
      <c r="N53" s="1330"/>
      <c r="O53" s="1141"/>
      <c r="P53" s="1330"/>
      <c r="Q53" s="1330"/>
      <c r="R53" s="1330"/>
      <c r="S53" s="1330"/>
      <c r="T53" s="1330"/>
      <c r="U53" s="403"/>
    </row>
    <row r="54" spans="2:21" s="420" customFormat="1" ht="15" x14ac:dyDescent="0.3">
      <c r="B54" s="479"/>
      <c r="C54" s="345" t="s">
        <v>885</v>
      </c>
      <c r="D54" s="423" t="s">
        <v>883</v>
      </c>
      <c r="E54" s="456">
        <f>SUM(E43:E53)</f>
        <v>3340.0257853931698</v>
      </c>
      <c r="F54" s="456">
        <f>SUM(F43:F53)</f>
        <v>3340.0257853931698</v>
      </c>
      <c r="G54" s="456">
        <f t="shared" ref="G54:O54" si="23">SUM(G43:G52)</f>
        <v>0</v>
      </c>
      <c r="H54" s="456">
        <f>SUM(H43:H53)</f>
        <v>3911.9283357010622</v>
      </c>
      <c r="I54" s="456">
        <f>SUM(I43:I53)</f>
        <v>3911.9283357010622</v>
      </c>
      <c r="J54" s="456">
        <f>SUM(J43:J53)</f>
        <v>0</v>
      </c>
      <c r="K54" s="1212">
        <f>N54</f>
        <v>4026.5753961975374</v>
      </c>
      <c r="L54" s="1212">
        <f>SUM(L43:L53)</f>
        <v>4620.1479296895322</v>
      </c>
      <c r="M54" s="1212">
        <v>3911.9283357010622</v>
      </c>
      <c r="N54" s="1212">
        <f>IFERROR(SUMPRODUCT(L54:M54,'F2.2'!O96:P96)/SUM('F2.2'!O96:P96),0)</f>
        <v>4026.5753961975374</v>
      </c>
      <c r="O54" s="456">
        <f t="shared" si="23"/>
        <v>0</v>
      </c>
      <c r="P54" s="1212">
        <v>4442.4639032349833</v>
      </c>
      <c r="Q54" s="1212">
        <v>4664.5870983967325</v>
      </c>
      <c r="R54" s="1212">
        <v>4897.8164533165691</v>
      </c>
      <c r="S54" s="1212">
        <v>5142.7072759823968</v>
      </c>
      <c r="T54" s="1212">
        <v>5399.8426397815174</v>
      </c>
      <c r="U54" s="403"/>
    </row>
    <row r="55" spans="2:21" s="420" customFormat="1" ht="15" x14ac:dyDescent="0.3">
      <c r="B55" s="479"/>
      <c r="C55" s="345"/>
      <c r="D55" s="423"/>
      <c r="E55" s="456"/>
      <c r="F55" s="456"/>
      <c r="G55" s="456"/>
      <c r="H55" s="456"/>
      <c r="I55" s="456"/>
      <c r="J55" s="456"/>
      <c r="K55" s="1214"/>
      <c r="L55" s="1214"/>
      <c r="M55" s="1214"/>
      <c r="N55" s="1214"/>
      <c r="O55" s="456"/>
      <c r="P55" s="1214"/>
      <c r="Q55" s="1214"/>
      <c r="R55" s="1214"/>
      <c r="S55" s="1214"/>
      <c r="T55" s="1214"/>
      <c r="U55" s="403"/>
    </row>
    <row r="56" spans="2:21" s="420" customFormat="1" ht="15" x14ac:dyDescent="0.3">
      <c r="B56" s="1143" t="s">
        <v>798</v>
      </c>
      <c r="C56" s="1144" t="s">
        <v>1509</v>
      </c>
      <c r="D56" s="1145"/>
      <c r="E56" s="456"/>
      <c r="F56" s="456"/>
      <c r="G56" s="456"/>
      <c r="H56" s="456"/>
      <c r="I56" s="456"/>
      <c r="J56" s="456"/>
      <c r="K56" s="1214"/>
      <c r="L56" s="1214"/>
      <c r="M56" s="1214"/>
      <c r="N56" s="1214"/>
      <c r="O56" s="456"/>
      <c r="P56" s="1214"/>
      <c r="Q56" s="1214"/>
      <c r="R56" s="1214"/>
      <c r="S56" s="1214"/>
      <c r="T56" s="1214"/>
      <c r="U56" s="403"/>
    </row>
    <row r="57" spans="2:21" s="6" customFormat="1" ht="15.5" x14ac:dyDescent="0.35">
      <c r="B57" s="1143">
        <v>1</v>
      </c>
      <c r="C57" s="1146" t="s">
        <v>788</v>
      </c>
      <c r="D57" s="1145" t="s">
        <v>883</v>
      </c>
      <c r="E57" s="551"/>
      <c r="F57" s="551"/>
      <c r="G57" s="551"/>
      <c r="H57" s="551"/>
      <c r="I57" s="551"/>
      <c r="J57" s="551"/>
      <c r="K57" s="1214"/>
      <c r="L57" s="1214"/>
      <c r="M57" s="1214"/>
      <c r="N57" s="1214"/>
      <c r="O57" s="551"/>
      <c r="P57" s="1214"/>
      <c r="Q57" s="1214"/>
      <c r="R57" s="1214"/>
      <c r="S57" s="1214"/>
      <c r="T57" s="1214"/>
      <c r="U57" s="392"/>
    </row>
    <row r="58" spans="2:21" s="6" customFormat="1" ht="15.5" x14ac:dyDescent="0.35">
      <c r="B58" s="1143">
        <f>+B57+1</f>
        <v>2</v>
      </c>
      <c r="C58" s="1146" t="s">
        <v>789</v>
      </c>
      <c r="D58" s="1145" t="s">
        <v>883</v>
      </c>
      <c r="E58" s="551"/>
      <c r="F58" s="551"/>
      <c r="G58" s="551"/>
      <c r="H58" s="551"/>
      <c r="I58" s="551"/>
      <c r="J58" s="551"/>
      <c r="K58" s="1214"/>
      <c r="L58" s="1214"/>
      <c r="M58" s="1214"/>
      <c r="N58" s="1214"/>
      <c r="O58" s="551"/>
      <c r="P58" s="1214"/>
      <c r="Q58" s="1214"/>
      <c r="R58" s="1214"/>
      <c r="S58" s="1214"/>
      <c r="T58" s="1214"/>
      <c r="U58" s="392"/>
    </row>
    <row r="59" spans="2:21" s="6" customFormat="1" ht="15.5" x14ac:dyDescent="0.35">
      <c r="B59" s="1143">
        <f t="shared" ref="B59:B67" si="24">+B58+1</f>
        <v>3</v>
      </c>
      <c r="C59" s="1146" t="s">
        <v>228</v>
      </c>
      <c r="D59" s="1145" t="s">
        <v>883</v>
      </c>
      <c r="E59" s="551"/>
      <c r="F59" s="551"/>
      <c r="G59" s="551"/>
      <c r="H59" s="551"/>
      <c r="I59" s="551"/>
      <c r="J59" s="551"/>
      <c r="K59" s="1214"/>
      <c r="L59" s="1214"/>
      <c r="M59" s="1214"/>
      <c r="N59" s="1214"/>
      <c r="O59" s="551"/>
      <c r="P59" s="1214"/>
      <c r="Q59" s="1214"/>
      <c r="R59" s="1214"/>
      <c r="S59" s="1214"/>
      <c r="T59" s="1214"/>
      <c r="U59" s="392"/>
    </row>
    <row r="60" spans="2:21" s="6" customFormat="1" ht="15.5" x14ac:dyDescent="0.35">
      <c r="B60" s="1143">
        <f t="shared" si="24"/>
        <v>4</v>
      </c>
      <c r="C60" s="1146" t="s">
        <v>790</v>
      </c>
      <c r="D60" s="1145" t="s">
        <v>883</v>
      </c>
      <c r="E60" s="551"/>
      <c r="F60" s="551"/>
      <c r="G60" s="551"/>
      <c r="H60" s="551"/>
      <c r="I60" s="551"/>
      <c r="J60" s="551"/>
      <c r="K60" s="1214"/>
      <c r="L60" s="1214"/>
      <c r="M60" s="1214"/>
      <c r="N60" s="1214"/>
      <c r="O60" s="551"/>
      <c r="P60" s="1214"/>
      <c r="Q60" s="1214"/>
      <c r="R60" s="1214"/>
      <c r="S60" s="1214"/>
      <c r="T60" s="1214"/>
      <c r="U60" s="392"/>
    </row>
    <row r="61" spans="2:21" s="6" customFormat="1" ht="15.5" x14ac:dyDescent="0.35">
      <c r="B61" s="1143">
        <f t="shared" si="24"/>
        <v>5</v>
      </c>
      <c r="C61" s="1146" t="s">
        <v>791</v>
      </c>
      <c r="D61" s="1145" t="s">
        <v>883</v>
      </c>
      <c r="E61" s="551"/>
      <c r="F61" s="551"/>
      <c r="G61" s="551"/>
      <c r="H61" s="551"/>
      <c r="I61" s="551"/>
      <c r="J61" s="551"/>
      <c r="K61" s="1214"/>
      <c r="L61" s="1214"/>
      <c r="M61" s="1214"/>
      <c r="N61" s="1214"/>
      <c r="O61" s="551"/>
      <c r="P61" s="1214"/>
      <c r="Q61" s="1214"/>
      <c r="R61" s="1214"/>
      <c r="S61" s="1214"/>
      <c r="T61" s="1214"/>
      <c r="U61" s="392"/>
    </row>
    <row r="62" spans="2:21" s="6" customFormat="1" ht="15.5" x14ac:dyDescent="0.35">
      <c r="B62" s="1143">
        <f t="shared" si="24"/>
        <v>6</v>
      </c>
      <c r="C62" s="1146" t="s">
        <v>782</v>
      </c>
      <c r="D62" s="1145" t="s">
        <v>883</v>
      </c>
      <c r="E62" s="551"/>
      <c r="F62" s="551"/>
      <c r="G62" s="551"/>
      <c r="H62" s="551"/>
      <c r="I62" s="551"/>
      <c r="J62" s="551"/>
      <c r="K62" s="1214"/>
      <c r="L62" s="1214"/>
      <c r="M62" s="1214"/>
      <c r="N62" s="1214"/>
      <c r="O62" s="551"/>
      <c r="P62" s="1214"/>
      <c r="Q62" s="1214"/>
      <c r="R62" s="1214"/>
      <c r="S62" s="1214"/>
      <c r="T62" s="1214"/>
      <c r="U62" s="392"/>
    </row>
    <row r="63" spans="2:21" s="6" customFormat="1" ht="15.5" x14ac:dyDescent="0.35">
      <c r="B63" s="1143">
        <f t="shared" si="24"/>
        <v>7</v>
      </c>
      <c r="C63" s="1146" t="s">
        <v>783</v>
      </c>
      <c r="D63" s="1145" t="s">
        <v>883</v>
      </c>
      <c r="E63" s="551"/>
      <c r="F63" s="551"/>
      <c r="G63" s="551"/>
      <c r="H63" s="551"/>
      <c r="I63" s="551"/>
      <c r="J63" s="551"/>
      <c r="K63" s="1214"/>
      <c r="L63" s="1214"/>
      <c r="M63" s="1214"/>
      <c r="N63" s="1214"/>
      <c r="O63" s="551"/>
      <c r="P63" s="1214"/>
      <c r="Q63" s="1214"/>
      <c r="R63" s="1214"/>
      <c r="S63" s="1214"/>
      <c r="T63" s="1214"/>
      <c r="U63" s="392"/>
    </row>
    <row r="64" spans="2:21" s="6" customFormat="1" ht="15.5" x14ac:dyDescent="0.35">
      <c r="B64" s="1143">
        <f t="shared" si="24"/>
        <v>8</v>
      </c>
      <c r="C64" s="1146" t="s">
        <v>784</v>
      </c>
      <c r="D64" s="1145" t="s">
        <v>883</v>
      </c>
      <c r="E64" s="551"/>
      <c r="F64" s="551"/>
      <c r="G64" s="551"/>
      <c r="H64" s="551"/>
      <c r="I64" s="551"/>
      <c r="J64" s="551"/>
      <c r="K64" s="1214"/>
      <c r="L64" s="1214"/>
      <c r="M64" s="1214"/>
      <c r="N64" s="1214"/>
      <c r="O64" s="551"/>
      <c r="P64" s="1214"/>
      <c r="Q64" s="1214"/>
      <c r="R64" s="1214"/>
      <c r="S64" s="1214"/>
      <c r="T64" s="1214"/>
      <c r="U64" s="392"/>
    </row>
    <row r="65" spans="2:21" s="6" customFormat="1" ht="15.5" x14ac:dyDescent="0.35">
      <c r="B65" s="1143">
        <f t="shared" si="24"/>
        <v>9</v>
      </c>
      <c r="C65" s="1146" t="s">
        <v>884</v>
      </c>
      <c r="D65" s="1145" t="s">
        <v>883</v>
      </c>
      <c r="E65" s="551"/>
      <c r="F65" s="551"/>
      <c r="G65" s="551"/>
      <c r="H65" s="551"/>
      <c r="I65" s="551"/>
      <c r="J65" s="551"/>
      <c r="K65" s="1214"/>
      <c r="L65" s="1214"/>
      <c r="M65" s="1214"/>
      <c r="N65" s="1214"/>
      <c r="O65" s="551"/>
      <c r="P65" s="1214"/>
      <c r="Q65" s="1214"/>
      <c r="R65" s="1214"/>
      <c r="S65" s="1214"/>
      <c r="T65" s="1214"/>
      <c r="U65" s="392"/>
    </row>
    <row r="66" spans="2:21" s="6" customFormat="1" ht="15.5" x14ac:dyDescent="0.35">
      <c r="B66" s="1143">
        <f t="shared" si="24"/>
        <v>10</v>
      </c>
      <c r="C66" s="1146" t="s">
        <v>210</v>
      </c>
      <c r="D66" s="1145" t="s">
        <v>883</v>
      </c>
      <c r="E66" s="551"/>
      <c r="F66" s="551"/>
      <c r="G66" s="551"/>
      <c r="H66" s="551"/>
      <c r="I66" s="551"/>
      <c r="J66" s="551"/>
      <c r="K66" s="1214"/>
      <c r="L66" s="1214"/>
      <c r="M66" s="1214"/>
      <c r="N66" s="1214"/>
      <c r="O66" s="551"/>
      <c r="P66" s="1214"/>
      <c r="Q66" s="1214"/>
      <c r="R66" s="1214"/>
      <c r="S66" s="1214"/>
      <c r="T66" s="1214"/>
      <c r="U66" s="392"/>
    </row>
    <row r="67" spans="2:21" s="420" customFormat="1" ht="15.5" x14ac:dyDescent="0.35">
      <c r="B67" s="479">
        <f t="shared" si="24"/>
        <v>11</v>
      </c>
      <c r="C67" s="1370" t="s">
        <v>806</v>
      </c>
      <c r="D67" s="423" t="s">
        <v>117</v>
      </c>
      <c r="E67" s="551"/>
      <c r="F67" s="551"/>
      <c r="G67" s="551"/>
      <c r="H67" s="551"/>
      <c r="I67" s="551"/>
      <c r="J67" s="551"/>
      <c r="K67" s="1214"/>
      <c r="L67" s="1214"/>
      <c r="M67" s="1214"/>
      <c r="N67" s="1214"/>
      <c r="O67" s="551"/>
      <c r="P67" s="1214"/>
      <c r="Q67" s="1214"/>
      <c r="R67" s="1214"/>
      <c r="S67" s="1214"/>
      <c r="T67" s="1214"/>
      <c r="U67" s="403"/>
    </row>
    <row r="68" spans="2:21" s="6" customFormat="1" ht="15" x14ac:dyDescent="0.3">
      <c r="B68" s="1143"/>
      <c r="C68" s="1144" t="s">
        <v>1510</v>
      </c>
      <c r="D68" s="1145" t="s">
        <v>883</v>
      </c>
      <c r="E68" s="551"/>
      <c r="F68" s="551"/>
      <c r="G68" s="551"/>
      <c r="H68" s="551"/>
      <c r="I68" s="551"/>
      <c r="J68" s="551"/>
      <c r="K68" s="1214"/>
      <c r="L68" s="1214"/>
      <c r="M68" s="1214"/>
      <c r="N68" s="1214"/>
      <c r="O68" s="551"/>
      <c r="P68" s="1214">
        <v>0</v>
      </c>
      <c r="Q68" s="1214">
        <v>0</v>
      </c>
      <c r="R68" s="1214">
        <v>0</v>
      </c>
      <c r="S68" s="1214">
        <v>0</v>
      </c>
      <c r="T68" s="1214">
        <v>0</v>
      </c>
      <c r="U68" s="392"/>
    </row>
    <row r="69" spans="2:21" s="6" customFormat="1" ht="15" x14ac:dyDescent="0.3">
      <c r="B69" s="1143"/>
      <c r="C69" s="1144"/>
      <c r="D69" s="1145"/>
      <c r="E69" s="551"/>
      <c r="F69" s="551"/>
      <c r="G69" s="551"/>
      <c r="H69" s="551"/>
      <c r="I69" s="551"/>
      <c r="J69" s="551"/>
      <c r="K69" s="1214"/>
      <c r="L69" s="1214"/>
      <c r="M69" s="1214"/>
      <c r="N69" s="1214"/>
      <c r="O69" s="551"/>
      <c r="P69" s="1214"/>
      <c r="Q69" s="1214"/>
      <c r="R69" s="1214"/>
      <c r="S69" s="1214"/>
      <c r="T69" s="1214"/>
      <c r="U69" s="392"/>
    </row>
    <row r="70" spans="2:21" s="6" customFormat="1" ht="15" x14ac:dyDescent="0.3">
      <c r="B70" s="1143" t="s">
        <v>886</v>
      </c>
      <c r="C70" s="1144" t="s">
        <v>1511</v>
      </c>
      <c r="D70" s="1145"/>
      <c r="E70" s="551"/>
      <c r="F70" s="551"/>
      <c r="G70" s="551"/>
      <c r="H70" s="551"/>
      <c r="I70" s="551"/>
      <c r="J70" s="551"/>
      <c r="K70" s="1214"/>
      <c r="L70" s="1214"/>
      <c r="M70" s="1214"/>
      <c r="N70" s="1214"/>
      <c r="O70" s="551"/>
      <c r="P70" s="1214"/>
      <c r="Q70" s="1214"/>
      <c r="R70" s="1214"/>
      <c r="S70" s="1214"/>
      <c r="T70" s="1214"/>
      <c r="U70" s="392"/>
    </row>
    <row r="71" spans="2:21" s="6" customFormat="1" ht="15.5" x14ac:dyDescent="0.35">
      <c r="B71" s="1143">
        <v>1</v>
      </c>
      <c r="C71" s="1146" t="s">
        <v>788</v>
      </c>
      <c r="D71" s="1145" t="s">
        <v>883</v>
      </c>
      <c r="E71" s="551"/>
      <c r="F71" s="551"/>
      <c r="G71" s="551"/>
      <c r="H71" s="551"/>
      <c r="I71" s="551"/>
      <c r="J71" s="551"/>
      <c r="K71" s="1214"/>
      <c r="L71" s="1214"/>
      <c r="M71" s="1214"/>
      <c r="N71" s="1214"/>
      <c r="O71" s="551"/>
      <c r="P71" s="1214"/>
      <c r="Q71" s="1214"/>
      <c r="R71" s="1214"/>
      <c r="S71" s="1214"/>
      <c r="T71" s="1214"/>
      <c r="U71" s="392"/>
    </row>
    <row r="72" spans="2:21" s="6" customFormat="1" ht="15.5" x14ac:dyDescent="0.35">
      <c r="B72" s="1143">
        <f>+B71+1</f>
        <v>2</v>
      </c>
      <c r="C72" s="1146" t="s">
        <v>789</v>
      </c>
      <c r="D72" s="1145" t="s">
        <v>883</v>
      </c>
      <c r="E72" s="551"/>
      <c r="F72" s="551"/>
      <c r="G72" s="551"/>
      <c r="H72" s="551"/>
      <c r="I72" s="551"/>
      <c r="J72" s="551"/>
      <c r="K72" s="1214"/>
      <c r="L72" s="1214"/>
      <c r="M72" s="1214"/>
      <c r="N72" s="1214"/>
      <c r="O72" s="551"/>
      <c r="P72" s="1214"/>
      <c r="Q72" s="1214"/>
      <c r="R72" s="1214"/>
      <c r="S72" s="1214"/>
      <c r="T72" s="1214"/>
      <c r="U72" s="392"/>
    </row>
    <row r="73" spans="2:21" s="6" customFormat="1" ht="15.5" x14ac:dyDescent="0.35">
      <c r="B73" s="1143">
        <f t="shared" ref="B73:B81" si="25">+B72+1</f>
        <v>3</v>
      </c>
      <c r="C73" s="1146" t="s">
        <v>228</v>
      </c>
      <c r="D73" s="1145" t="s">
        <v>883</v>
      </c>
      <c r="E73" s="551"/>
      <c r="F73" s="551"/>
      <c r="G73" s="551"/>
      <c r="H73" s="551"/>
      <c r="I73" s="551"/>
      <c r="J73" s="551"/>
      <c r="K73" s="1214"/>
      <c r="L73" s="1214"/>
      <c r="M73" s="1214"/>
      <c r="N73" s="1214"/>
      <c r="O73" s="551"/>
      <c r="P73" s="1214"/>
      <c r="Q73" s="1214"/>
      <c r="R73" s="1214"/>
      <c r="S73" s="1214"/>
      <c r="T73" s="1214"/>
      <c r="U73" s="392"/>
    </row>
    <row r="74" spans="2:21" s="6" customFormat="1" ht="15.5" x14ac:dyDescent="0.35">
      <c r="B74" s="1143">
        <f t="shared" si="25"/>
        <v>4</v>
      </c>
      <c r="C74" s="1146" t="s">
        <v>790</v>
      </c>
      <c r="D74" s="1145" t="s">
        <v>883</v>
      </c>
      <c r="E74" s="551"/>
      <c r="F74" s="551"/>
      <c r="G74" s="551"/>
      <c r="H74" s="551"/>
      <c r="I74" s="551"/>
      <c r="J74" s="551"/>
      <c r="K74" s="1214"/>
      <c r="L74" s="1214"/>
      <c r="M74" s="1214"/>
      <c r="N74" s="1214"/>
      <c r="O74" s="551"/>
      <c r="P74" s="1214"/>
      <c r="Q74" s="1214"/>
      <c r="R74" s="1214"/>
      <c r="S74" s="1214"/>
      <c r="T74" s="1214"/>
      <c r="U74" s="392"/>
    </row>
    <row r="75" spans="2:21" s="6" customFormat="1" ht="15.5" x14ac:dyDescent="0.35">
      <c r="B75" s="1143">
        <f t="shared" si="25"/>
        <v>5</v>
      </c>
      <c r="C75" s="1146" t="s">
        <v>791</v>
      </c>
      <c r="D75" s="1145" t="s">
        <v>883</v>
      </c>
      <c r="E75" s="551"/>
      <c r="F75" s="551"/>
      <c r="G75" s="551"/>
      <c r="H75" s="551"/>
      <c r="I75" s="551"/>
      <c r="J75" s="551"/>
      <c r="K75" s="1214"/>
      <c r="L75" s="1214"/>
      <c r="M75" s="1214"/>
      <c r="N75" s="1214"/>
      <c r="O75" s="551"/>
      <c r="P75" s="1214"/>
      <c r="Q75" s="1214"/>
      <c r="R75" s="1214"/>
      <c r="S75" s="1214"/>
      <c r="T75" s="1214"/>
      <c r="U75" s="392"/>
    </row>
    <row r="76" spans="2:21" s="6" customFormat="1" ht="15.5" x14ac:dyDescent="0.35">
      <c r="B76" s="1143">
        <f t="shared" si="25"/>
        <v>6</v>
      </c>
      <c r="C76" s="1146" t="s">
        <v>782</v>
      </c>
      <c r="D76" s="1145" t="s">
        <v>883</v>
      </c>
      <c r="E76" s="551"/>
      <c r="F76" s="551"/>
      <c r="G76" s="551"/>
      <c r="H76" s="551"/>
      <c r="I76" s="551"/>
      <c r="J76" s="551"/>
      <c r="K76" s="1214"/>
      <c r="L76" s="1214"/>
      <c r="M76" s="1214"/>
      <c r="N76" s="1214"/>
      <c r="O76" s="551"/>
      <c r="P76" s="1214"/>
      <c r="Q76" s="1214"/>
      <c r="R76" s="1214"/>
      <c r="S76" s="1214"/>
      <c r="T76" s="1214"/>
      <c r="U76" s="392"/>
    </row>
    <row r="77" spans="2:21" s="6" customFormat="1" ht="15.5" x14ac:dyDescent="0.35">
      <c r="B77" s="1143">
        <f t="shared" si="25"/>
        <v>7</v>
      </c>
      <c r="C77" s="1146" t="s">
        <v>783</v>
      </c>
      <c r="D77" s="1145" t="s">
        <v>883</v>
      </c>
      <c r="E77" s="551"/>
      <c r="F77" s="551"/>
      <c r="G77" s="551"/>
      <c r="H77" s="551"/>
      <c r="I77" s="551"/>
      <c r="J77" s="551"/>
      <c r="K77" s="1214"/>
      <c r="L77" s="1214"/>
      <c r="M77" s="1214"/>
      <c r="N77" s="1214"/>
      <c r="O77" s="551"/>
      <c r="P77" s="1214"/>
      <c r="Q77" s="1214"/>
      <c r="R77" s="1214"/>
      <c r="S77" s="1214"/>
      <c r="T77" s="1214"/>
      <c r="U77" s="392"/>
    </row>
    <row r="78" spans="2:21" s="6" customFormat="1" ht="15.5" x14ac:dyDescent="0.35">
      <c r="B78" s="1143">
        <f t="shared" si="25"/>
        <v>8</v>
      </c>
      <c r="C78" s="1146" t="s">
        <v>784</v>
      </c>
      <c r="D78" s="1145" t="s">
        <v>883</v>
      </c>
      <c r="E78" s="551"/>
      <c r="F78" s="551"/>
      <c r="G78" s="551"/>
      <c r="H78" s="551"/>
      <c r="I78" s="551"/>
      <c r="J78" s="551"/>
      <c r="K78" s="1214"/>
      <c r="L78" s="1214"/>
      <c r="M78" s="1214"/>
      <c r="N78" s="1214"/>
      <c r="O78" s="551"/>
      <c r="P78" s="1214"/>
      <c r="Q78" s="1214"/>
      <c r="R78" s="1214"/>
      <c r="S78" s="1214"/>
      <c r="T78" s="1214"/>
      <c r="U78" s="392"/>
    </row>
    <row r="79" spans="2:21" s="6" customFormat="1" ht="15.5" x14ac:dyDescent="0.35">
      <c r="B79" s="1143">
        <f t="shared" si="25"/>
        <v>9</v>
      </c>
      <c r="C79" s="1146" t="s">
        <v>884</v>
      </c>
      <c r="D79" s="1145" t="s">
        <v>883</v>
      </c>
      <c r="E79" s="551"/>
      <c r="F79" s="551"/>
      <c r="G79" s="551"/>
      <c r="H79" s="551"/>
      <c r="I79" s="551"/>
      <c r="J79" s="551"/>
      <c r="K79" s="1214"/>
      <c r="L79" s="1214"/>
      <c r="M79" s="1214"/>
      <c r="N79" s="1214"/>
      <c r="O79" s="551"/>
      <c r="P79" s="1214"/>
      <c r="Q79" s="1214"/>
      <c r="R79" s="1214"/>
      <c r="S79" s="1214"/>
      <c r="T79" s="1214"/>
      <c r="U79" s="392"/>
    </row>
    <row r="80" spans="2:21" s="6" customFormat="1" ht="15.5" x14ac:dyDescent="0.35">
      <c r="B80" s="1143">
        <f t="shared" si="25"/>
        <v>10</v>
      </c>
      <c r="C80" s="1146" t="s">
        <v>210</v>
      </c>
      <c r="D80" s="1145" t="s">
        <v>883</v>
      </c>
      <c r="E80" s="551"/>
      <c r="F80" s="551"/>
      <c r="G80" s="551"/>
      <c r="H80" s="551"/>
      <c r="I80" s="551"/>
      <c r="J80" s="551"/>
      <c r="K80" s="1214"/>
      <c r="L80" s="1214"/>
      <c r="M80" s="1214"/>
      <c r="N80" s="1214"/>
      <c r="O80" s="551"/>
      <c r="P80" s="1214"/>
      <c r="Q80" s="1214"/>
      <c r="R80" s="1214"/>
      <c r="S80" s="1214"/>
      <c r="T80" s="1214"/>
      <c r="U80" s="392"/>
    </row>
    <row r="81" spans="2:21" s="420" customFormat="1" ht="15.5" x14ac:dyDescent="0.35">
      <c r="B81" s="479">
        <f t="shared" si="25"/>
        <v>11</v>
      </c>
      <c r="C81" s="1370" t="s">
        <v>806</v>
      </c>
      <c r="D81" s="423" t="s">
        <v>117</v>
      </c>
      <c r="E81" s="551"/>
      <c r="F81" s="551"/>
      <c r="G81" s="551"/>
      <c r="H81" s="551"/>
      <c r="I81" s="551"/>
      <c r="J81" s="551"/>
      <c r="K81" s="1214"/>
      <c r="L81" s="1214"/>
      <c r="M81" s="1214"/>
      <c r="N81" s="1214"/>
      <c r="O81" s="551"/>
      <c r="P81" s="1214"/>
      <c r="Q81" s="1214"/>
      <c r="R81" s="1214"/>
      <c r="S81" s="1214"/>
      <c r="T81" s="1214"/>
      <c r="U81" s="403"/>
    </row>
    <row r="82" spans="2:21" s="6" customFormat="1" ht="15" x14ac:dyDescent="0.3">
      <c r="B82" s="1143"/>
      <c r="C82" s="1144" t="s">
        <v>1512</v>
      </c>
      <c r="D82" s="1145" t="s">
        <v>883</v>
      </c>
      <c r="E82" s="551"/>
      <c r="F82" s="551"/>
      <c r="G82" s="551"/>
      <c r="H82" s="551"/>
      <c r="I82" s="551"/>
      <c r="J82" s="551"/>
      <c r="K82" s="1214"/>
      <c r="L82" s="1214"/>
      <c r="M82" s="1214"/>
      <c r="N82" s="1214"/>
      <c r="O82" s="551"/>
      <c r="P82" s="1214">
        <v>0</v>
      </c>
      <c r="Q82" s="1214">
        <v>0</v>
      </c>
      <c r="R82" s="1214">
        <v>0</v>
      </c>
      <c r="S82" s="1214">
        <v>0</v>
      </c>
      <c r="T82" s="1214">
        <v>0</v>
      </c>
      <c r="U82" s="392"/>
    </row>
    <row r="83" spans="2:21" s="6" customFormat="1" ht="15.5" x14ac:dyDescent="0.3">
      <c r="B83" s="405"/>
      <c r="C83" s="401"/>
      <c r="D83" s="404"/>
      <c r="E83" s="551"/>
      <c r="F83" s="551"/>
      <c r="G83" s="551"/>
      <c r="H83" s="551"/>
      <c r="I83" s="551"/>
      <c r="J83" s="551"/>
      <c r="K83" s="1214"/>
      <c r="L83" s="1214"/>
      <c r="M83" s="1214"/>
      <c r="N83" s="1214"/>
      <c r="O83" s="551"/>
      <c r="P83" s="1214"/>
      <c r="Q83" s="1214"/>
      <c r="R83" s="1214"/>
      <c r="S83" s="1214"/>
      <c r="T83" s="1214"/>
      <c r="U83" s="392"/>
    </row>
    <row r="84" spans="2:21" s="6" customFormat="1" ht="15" x14ac:dyDescent="0.3">
      <c r="B84" s="344" t="s">
        <v>798</v>
      </c>
      <c r="C84" s="345" t="s">
        <v>793</v>
      </c>
      <c r="D84" s="406"/>
      <c r="E84" s="551"/>
      <c r="F84" s="551"/>
      <c r="G84" s="551"/>
      <c r="H84" s="551"/>
      <c r="I84" s="551"/>
      <c r="J84" s="551"/>
      <c r="K84" s="1214"/>
      <c r="L84" s="1214"/>
      <c r="M84" s="1214"/>
      <c r="N84" s="1214"/>
      <c r="O84" s="551"/>
      <c r="P84" s="1214"/>
      <c r="Q84" s="1214"/>
      <c r="R84" s="1214"/>
      <c r="S84" s="1214"/>
      <c r="T84" s="1214"/>
      <c r="U84" s="392"/>
    </row>
    <row r="85" spans="2:21" s="6" customFormat="1" ht="15.5" x14ac:dyDescent="0.35">
      <c r="B85" s="346">
        <v>1</v>
      </c>
      <c r="C85" s="399" t="s">
        <v>140</v>
      </c>
      <c r="D85" s="406" t="s">
        <v>797</v>
      </c>
      <c r="E85" s="480">
        <f>F85</f>
        <v>61603.156896490174</v>
      </c>
      <c r="F85" s="480">
        <v>61603.156896490174</v>
      </c>
      <c r="G85" s="480">
        <f t="shared" ref="G85:G96" si="26">F85-E85</f>
        <v>0</v>
      </c>
      <c r="H85" s="480">
        <f>I85</f>
        <v>65469.115036256691</v>
      </c>
      <c r="I85" s="480">
        <v>65469.115036256691</v>
      </c>
      <c r="J85" s="480">
        <f t="shared" ref="J85:J96" si="27">I85-H85</f>
        <v>0</v>
      </c>
      <c r="K85" s="732"/>
      <c r="L85" s="1115">
        <v>64033.3</v>
      </c>
      <c r="M85" s="1115"/>
      <c r="N85" s="1115"/>
      <c r="O85" s="480">
        <f t="shared" ref="O85:O96" si="28">N85-K85</f>
        <v>0</v>
      </c>
      <c r="P85" s="1115"/>
      <c r="Q85" s="1115"/>
      <c r="R85" s="1115"/>
      <c r="S85" s="1115"/>
      <c r="T85" s="1115"/>
      <c r="U85" s="392"/>
    </row>
    <row r="86" spans="2:21" s="6" customFormat="1" ht="15.5" x14ac:dyDescent="0.35">
      <c r="B86" s="346">
        <v>2</v>
      </c>
      <c r="C86" s="399" t="s">
        <v>781</v>
      </c>
      <c r="D86" s="406" t="s">
        <v>797</v>
      </c>
      <c r="E86" s="480">
        <f t="shared" ref="E86:E96" si="29">F86</f>
        <v>1516.9000000000003</v>
      </c>
      <c r="F86" s="480">
        <v>1516.9000000000003</v>
      </c>
      <c r="G86" s="480">
        <f t="shared" si="26"/>
        <v>0</v>
      </c>
      <c r="H86" s="480">
        <f t="shared" ref="H86:H96" si="30">I86</f>
        <v>1516.9</v>
      </c>
      <c r="I86" s="480">
        <v>1516.9</v>
      </c>
      <c r="J86" s="480">
        <f t="shared" si="27"/>
        <v>0</v>
      </c>
      <c r="K86" s="732"/>
      <c r="L86" s="1115">
        <v>1516.9</v>
      </c>
      <c r="M86" s="1115"/>
      <c r="N86" s="1115"/>
      <c r="O86" s="480">
        <f t="shared" si="28"/>
        <v>0</v>
      </c>
      <c r="P86" s="1115"/>
      <c r="Q86" s="1115"/>
      <c r="R86" s="1115"/>
      <c r="S86" s="1115"/>
      <c r="T86" s="1115"/>
      <c r="U86" s="392"/>
    </row>
    <row r="87" spans="2:21" s="420" customFormat="1" ht="15.5" x14ac:dyDescent="0.35">
      <c r="B87" s="418">
        <v>3</v>
      </c>
      <c r="C87" s="399" t="s">
        <v>228</v>
      </c>
      <c r="D87" s="464" t="s">
        <v>797</v>
      </c>
      <c r="E87" s="480">
        <f t="shared" si="29"/>
        <v>0</v>
      </c>
      <c r="F87" s="480">
        <v>0</v>
      </c>
      <c r="G87" s="480">
        <f t="shared" si="26"/>
        <v>0</v>
      </c>
      <c r="H87" s="480">
        <f t="shared" si="30"/>
        <v>0</v>
      </c>
      <c r="I87" s="480">
        <v>0</v>
      </c>
      <c r="J87" s="480">
        <f t="shared" si="27"/>
        <v>0</v>
      </c>
      <c r="K87" s="732"/>
      <c r="L87" s="1115">
        <v>0</v>
      </c>
      <c r="M87" s="1115"/>
      <c r="N87" s="1115"/>
      <c r="O87" s="480">
        <f t="shared" si="28"/>
        <v>0</v>
      </c>
      <c r="P87" s="1115"/>
      <c r="Q87" s="1115"/>
      <c r="R87" s="1115"/>
      <c r="S87" s="1115"/>
      <c r="T87" s="1115"/>
      <c r="U87" s="403"/>
    </row>
    <row r="88" spans="2:21" s="420" customFormat="1" ht="15.5" x14ac:dyDescent="0.35">
      <c r="B88" s="418">
        <v>4</v>
      </c>
      <c r="C88" s="399" t="s">
        <v>790</v>
      </c>
      <c r="D88" s="464" t="s">
        <v>797</v>
      </c>
      <c r="E88" s="480">
        <f t="shared" si="29"/>
        <v>0</v>
      </c>
      <c r="F88" s="480">
        <v>0</v>
      </c>
      <c r="G88" s="480">
        <f t="shared" si="26"/>
        <v>0</v>
      </c>
      <c r="H88" s="480">
        <f t="shared" si="30"/>
        <v>0</v>
      </c>
      <c r="I88" s="480">
        <v>0</v>
      </c>
      <c r="J88" s="480">
        <f t="shared" si="27"/>
        <v>0</v>
      </c>
      <c r="K88" s="732"/>
      <c r="L88" s="1115">
        <v>0</v>
      </c>
      <c r="M88" s="1115"/>
      <c r="N88" s="1115"/>
      <c r="O88" s="480">
        <f t="shared" si="28"/>
        <v>0</v>
      </c>
      <c r="P88" s="1115"/>
      <c r="Q88" s="1115"/>
      <c r="R88" s="1115"/>
      <c r="S88" s="1115"/>
      <c r="T88" s="1115"/>
      <c r="U88" s="403"/>
    </row>
    <row r="89" spans="2:21" s="6" customFormat="1" ht="15.5" x14ac:dyDescent="0.35">
      <c r="B89" s="346">
        <v>5</v>
      </c>
      <c r="C89" s="399" t="s">
        <v>141</v>
      </c>
      <c r="D89" s="406" t="s">
        <v>797</v>
      </c>
      <c r="E89" s="480">
        <f t="shared" si="29"/>
        <v>11127.610241368231</v>
      </c>
      <c r="F89" s="480">
        <v>11127.610241368231</v>
      </c>
      <c r="G89" s="480">
        <f t="shared" si="26"/>
        <v>0</v>
      </c>
      <c r="H89" s="480">
        <f t="shared" si="30"/>
        <v>11823.482706526205</v>
      </c>
      <c r="I89" s="480">
        <v>11823.482706526205</v>
      </c>
      <c r="J89" s="480">
        <f t="shared" si="27"/>
        <v>0</v>
      </c>
      <c r="K89" s="732"/>
      <c r="L89" s="1115">
        <v>11799.04</v>
      </c>
      <c r="M89" s="1115"/>
      <c r="N89" s="1115"/>
      <c r="O89" s="480">
        <f t="shared" si="28"/>
        <v>0</v>
      </c>
      <c r="P89" s="1115"/>
      <c r="Q89" s="1115"/>
      <c r="R89" s="1115"/>
      <c r="S89" s="1115"/>
      <c r="T89" s="1115"/>
      <c r="U89" s="392"/>
    </row>
    <row r="90" spans="2:21" s="6" customFormat="1" ht="15.5" x14ac:dyDescent="0.35">
      <c r="B90" s="346">
        <v>6</v>
      </c>
      <c r="C90" s="399" t="s">
        <v>782</v>
      </c>
      <c r="D90" s="406" t="s">
        <v>797</v>
      </c>
      <c r="E90" s="480">
        <f t="shared" si="29"/>
        <v>0</v>
      </c>
      <c r="F90" s="480">
        <v>0</v>
      </c>
      <c r="G90" s="480">
        <f t="shared" si="26"/>
        <v>0</v>
      </c>
      <c r="H90" s="480">
        <f t="shared" si="30"/>
        <v>0</v>
      </c>
      <c r="I90" s="480">
        <v>0</v>
      </c>
      <c r="J90" s="480">
        <f t="shared" si="27"/>
        <v>0</v>
      </c>
      <c r="K90" s="732"/>
      <c r="L90" s="1115">
        <v>0</v>
      </c>
      <c r="M90" s="1115"/>
      <c r="N90" s="1115"/>
      <c r="O90" s="480">
        <f t="shared" si="28"/>
        <v>0</v>
      </c>
      <c r="P90" s="1115"/>
      <c r="Q90" s="1115"/>
      <c r="R90" s="1115"/>
      <c r="S90" s="1115"/>
      <c r="T90" s="1115"/>
      <c r="U90" s="392"/>
    </row>
    <row r="91" spans="2:21" s="6" customFormat="1" ht="15.5" x14ac:dyDescent="0.35">
      <c r="B91" s="346">
        <v>7</v>
      </c>
      <c r="C91" s="399" t="s">
        <v>783</v>
      </c>
      <c r="D91" s="406" t="s">
        <v>797</v>
      </c>
      <c r="E91" s="480">
        <f t="shared" si="29"/>
        <v>0</v>
      </c>
      <c r="F91" s="480">
        <v>0</v>
      </c>
      <c r="G91" s="480">
        <f t="shared" si="26"/>
        <v>0</v>
      </c>
      <c r="H91" s="480">
        <f t="shared" si="30"/>
        <v>0</v>
      </c>
      <c r="I91" s="480">
        <v>0</v>
      </c>
      <c r="J91" s="480">
        <f t="shared" si="27"/>
        <v>0</v>
      </c>
      <c r="K91" s="732"/>
      <c r="L91" s="1115">
        <v>0</v>
      </c>
      <c r="M91" s="1115"/>
      <c r="N91" s="1115"/>
      <c r="O91" s="480">
        <f t="shared" si="28"/>
        <v>0</v>
      </c>
      <c r="P91" s="1115"/>
      <c r="Q91" s="1115"/>
      <c r="R91" s="1115"/>
      <c r="S91" s="1115"/>
      <c r="T91" s="1115"/>
      <c r="U91" s="392"/>
    </row>
    <row r="92" spans="2:21" s="6" customFormat="1" ht="15.5" x14ac:dyDescent="0.35">
      <c r="B92" s="346">
        <v>8</v>
      </c>
      <c r="C92" s="399" t="s">
        <v>784</v>
      </c>
      <c r="D92" s="406" t="s">
        <v>797</v>
      </c>
      <c r="E92" s="480">
        <f t="shared" si="29"/>
        <v>0</v>
      </c>
      <c r="F92" s="480">
        <v>0</v>
      </c>
      <c r="G92" s="480">
        <f t="shared" si="26"/>
        <v>0</v>
      </c>
      <c r="H92" s="480">
        <f t="shared" si="30"/>
        <v>0</v>
      </c>
      <c r="I92" s="480">
        <v>0</v>
      </c>
      <c r="J92" s="480">
        <f t="shared" si="27"/>
        <v>0</v>
      </c>
      <c r="K92" s="732"/>
      <c r="L92" s="1115">
        <v>0</v>
      </c>
      <c r="M92" s="1115"/>
      <c r="N92" s="1115"/>
      <c r="O92" s="480">
        <f t="shared" si="28"/>
        <v>0</v>
      </c>
      <c r="P92" s="1115"/>
      <c r="Q92" s="1115"/>
      <c r="R92" s="1115"/>
      <c r="S92" s="1115"/>
      <c r="T92" s="1115"/>
      <c r="U92" s="392"/>
    </row>
    <row r="93" spans="2:21" s="6" customFormat="1" ht="15.5" x14ac:dyDescent="0.35">
      <c r="B93" s="346">
        <v>9</v>
      </c>
      <c r="C93" s="399" t="s">
        <v>823</v>
      </c>
      <c r="D93" s="406" t="s">
        <v>797</v>
      </c>
      <c r="E93" s="480">
        <f t="shared" si="29"/>
        <v>-1300</v>
      </c>
      <c r="F93" s="480">
        <v>-1300</v>
      </c>
      <c r="G93" s="480">
        <f t="shared" si="26"/>
        <v>0</v>
      </c>
      <c r="H93" s="480">
        <f t="shared" si="30"/>
        <v>-1300.0000000000002</v>
      </c>
      <c r="I93" s="480">
        <v>-1300.0000000000002</v>
      </c>
      <c r="J93" s="480">
        <f t="shared" si="27"/>
        <v>0</v>
      </c>
      <c r="K93" s="732"/>
      <c r="L93" s="1115">
        <v>0</v>
      </c>
      <c r="M93" s="1115"/>
      <c r="N93" s="1115"/>
      <c r="O93" s="480">
        <f t="shared" si="28"/>
        <v>0</v>
      </c>
      <c r="P93" s="1115"/>
      <c r="Q93" s="1115"/>
      <c r="R93" s="1115"/>
      <c r="S93" s="1115"/>
      <c r="T93" s="1115"/>
      <c r="U93" s="392"/>
    </row>
    <row r="94" spans="2:21" s="420" customFormat="1" ht="15.5" x14ac:dyDescent="0.3">
      <c r="B94" s="418">
        <v>10</v>
      </c>
      <c r="C94" s="449" t="s">
        <v>210</v>
      </c>
      <c r="D94" s="464" t="s">
        <v>797</v>
      </c>
      <c r="E94" s="480">
        <f t="shared" si="29"/>
        <v>0</v>
      </c>
      <c r="F94" s="480">
        <v>0</v>
      </c>
      <c r="G94" s="480">
        <f t="shared" si="26"/>
        <v>0</v>
      </c>
      <c r="H94" s="480">
        <f t="shared" si="30"/>
        <v>0</v>
      </c>
      <c r="I94" s="480">
        <v>0</v>
      </c>
      <c r="J94" s="480">
        <f t="shared" si="27"/>
        <v>0</v>
      </c>
      <c r="K94" s="732"/>
      <c r="L94" s="1115">
        <v>0</v>
      </c>
      <c r="M94" s="1115"/>
      <c r="N94" s="1115"/>
      <c r="O94" s="480">
        <f t="shared" si="28"/>
        <v>0</v>
      </c>
      <c r="P94" s="1115"/>
      <c r="Q94" s="1115"/>
      <c r="R94" s="1115"/>
      <c r="S94" s="1115"/>
      <c r="T94" s="1115"/>
      <c r="U94" s="403"/>
    </row>
    <row r="95" spans="2:21" s="6" customFormat="1" ht="15.5" x14ac:dyDescent="0.35">
      <c r="B95" s="346">
        <v>11</v>
      </c>
      <c r="C95" s="399" t="s">
        <v>786</v>
      </c>
      <c r="D95" s="406" t="s">
        <v>797</v>
      </c>
      <c r="E95" s="480">
        <f t="shared" si="29"/>
        <v>0</v>
      </c>
      <c r="F95" s="480"/>
      <c r="G95" s="480">
        <f t="shared" si="26"/>
        <v>0</v>
      </c>
      <c r="H95" s="480">
        <f t="shared" si="30"/>
        <v>0</v>
      </c>
      <c r="I95" s="480"/>
      <c r="J95" s="480">
        <f t="shared" si="27"/>
        <v>0</v>
      </c>
      <c r="K95" s="732"/>
      <c r="L95" s="1115"/>
      <c r="M95" s="1293"/>
      <c r="N95" s="1115"/>
      <c r="O95" s="480">
        <f t="shared" si="28"/>
        <v>0</v>
      </c>
      <c r="P95" s="1115"/>
      <c r="Q95" s="1115"/>
      <c r="R95" s="1115"/>
      <c r="S95" s="1115"/>
      <c r="T95" s="1115"/>
      <c r="U95" s="392"/>
    </row>
    <row r="96" spans="2:21" s="6" customFormat="1" ht="15.5" x14ac:dyDescent="0.35">
      <c r="B96" s="346">
        <v>12</v>
      </c>
      <c r="C96" s="399" t="s">
        <v>142</v>
      </c>
      <c r="D96" s="406" t="s">
        <v>797</v>
      </c>
      <c r="E96" s="480">
        <f t="shared" si="29"/>
        <v>0</v>
      </c>
      <c r="F96" s="480"/>
      <c r="G96" s="480">
        <f t="shared" si="26"/>
        <v>0</v>
      </c>
      <c r="H96" s="480">
        <f t="shared" si="30"/>
        <v>0</v>
      </c>
      <c r="I96" s="480"/>
      <c r="J96" s="480">
        <f t="shared" si="27"/>
        <v>0</v>
      </c>
      <c r="K96" s="732"/>
      <c r="L96" s="1115"/>
      <c r="M96" s="1293"/>
      <c r="N96" s="1115"/>
      <c r="O96" s="480">
        <f t="shared" si="28"/>
        <v>0</v>
      </c>
      <c r="P96" s="1115"/>
      <c r="Q96" s="1115"/>
      <c r="R96" s="1115"/>
      <c r="S96" s="1115"/>
      <c r="T96" s="1115"/>
      <c r="U96" s="392"/>
    </row>
    <row r="97" spans="2:21" s="6" customFormat="1" ht="15" x14ac:dyDescent="0.3">
      <c r="B97" s="344"/>
      <c r="C97" s="345" t="s">
        <v>794</v>
      </c>
      <c r="D97" s="406" t="s">
        <v>797</v>
      </c>
      <c r="E97" s="481">
        <f t="shared" ref="E97:O97" si="31">SUM(E85:E96)</f>
        <v>72947.6671378584</v>
      </c>
      <c r="F97" s="481">
        <f t="shared" si="31"/>
        <v>72947.6671378584</v>
      </c>
      <c r="G97" s="481">
        <f t="shared" si="31"/>
        <v>0</v>
      </c>
      <c r="H97" s="481">
        <f t="shared" ref="H97" si="32">SUM(H85:H96)</f>
        <v>77509.4977427829</v>
      </c>
      <c r="I97" s="481">
        <f t="shared" si="31"/>
        <v>77509.4977427829</v>
      </c>
      <c r="J97" s="481">
        <f t="shared" si="31"/>
        <v>0</v>
      </c>
      <c r="K97" s="1116">
        <f>N97</f>
        <v>77423.084441627172</v>
      </c>
      <c r="L97" s="1116">
        <f t="shared" ref="L97" si="33">SUM(L85:L96)</f>
        <v>77349.239999999991</v>
      </c>
      <c r="M97" s="1116">
        <v>77509.4977427829</v>
      </c>
      <c r="N97" s="1116">
        <f>SUMPRODUCT(L97:M97,'F2.2'!O100:P100)/SUM('F2.2'!O100:P100)</f>
        <v>77423.084441627172</v>
      </c>
      <c r="O97" s="481">
        <f t="shared" si="31"/>
        <v>0</v>
      </c>
      <c r="P97" s="1116">
        <v>86180.747835868926</v>
      </c>
      <c r="Q97" s="1116">
        <v>90489.785227662374</v>
      </c>
      <c r="R97" s="1116">
        <v>95014.274489045492</v>
      </c>
      <c r="S97" s="1116">
        <v>99764.988213497767</v>
      </c>
      <c r="T97" s="1116">
        <v>104753.23762417266</v>
      </c>
      <c r="U97" s="400">
        <f t="shared" ref="U97" si="34">SUM(U85:U96)</f>
        <v>0</v>
      </c>
    </row>
    <row r="98" spans="2:21" s="6" customFormat="1" ht="15.5" x14ac:dyDescent="0.35">
      <c r="B98" s="346"/>
      <c r="C98" s="399"/>
      <c r="D98" s="406"/>
      <c r="E98" s="480"/>
      <c r="F98" s="480"/>
      <c r="G98" s="480"/>
      <c r="H98" s="480"/>
      <c r="I98" s="480"/>
      <c r="J98" s="480"/>
      <c r="K98" s="1115"/>
      <c r="L98" s="1115"/>
      <c r="M98" s="1115"/>
      <c r="N98" s="1115"/>
      <c r="O98" s="480"/>
      <c r="P98" s="1115"/>
      <c r="Q98" s="1115"/>
      <c r="R98" s="1115"/>
      <c r="S98" s="1115"/>
      <c r="T98" s="1115"/>
      <c r="U98" s="392"/>
    </row>
    <row r="99" spans="2:21" s="6" customFormat="1" ht="15" x14ac:dyDescent="0.3">
      <c r="B99" s="344" t="s">
        <v>886</v>
      </c>
      <c r="C99" s="345" t="s">
        <v>795</v>
      </c>
      <c r="D99" s="406"/>
      <c r="E99" s="480"/>
      <c r="F99" s="480"/>
      <c r="G99" s="480"/>
      <c r="H99" s="480"/>
      <c r="I99" s="480"/>
      <c r="J99" s="480"/>
      <c r="K99" s="1115"/>
      <c r="L99" s="1115"/>
      <c r="M99" s="1115"/>
      <c r="N99" s="1115"/>
      <c r="O99" s="480"/>
      <c r="P99" s="1115"/>
      <c r="Q99" s="1115"/>
      <c r="R99" s="1115"/>
      <c r="S99" s="1115"/>
      <c r="T99" s="1115"/>
      <c r="U99" s="392"/>
    </row>
    <row r="100" spans="2:21" s="11" customFormat="1" ht="15.5" x14ac:dyDescent="0.35">
      <c r="B100" s="418">
        <v>1</v>
      </c>
      <c r="C100" s="399" t="s">
        <v>140</v>
      </c>
      <c r="D100" s="512" t="s">
        <v>797</v>
      </c>
      <c r="E100" s="480">
        <f t="shared" ref="E100:E111" si="35">F100</f>
        <v>49557.709108234674</v>
      </c>
      <c r="F100" s="480">
        <v>49557.709108234674</v>
      </c>
      <c r="G100" s="480">
        <f t="shared" ref="G100:G111" si="36">F100-E100</f>
        <v>0</v>
      </c>
      <c r="H100" s="480">
        <f t="shared" ref="H100:H111" si="37">I100</f>
        <v>45375.397706979245</v>
      </c>
      <c r="I100" s="480">
        <v>45375.397706979245</v>
      </c>
      <c r="J100" s="480">
        <f t="shared" ref="J100:J111" si="38">I100-H100</f>
        <v>0</v>
      </c>
      <c r="K100" s="1115"/>
      <c r="L100" s="1115">
        <v>49260.02</v>
      </c>
      <c r="M100" s="1115"/>
      <c r="N100" s="1115"/>
      <c r="O100" s="480">
        <f t="shared" ref="O100:O111" si="39">N100-K100</f>
        <v>0</v>
      </c>
      <c r="P100" s="1115"/>
      <c r="Q100" s="1115"/>
      <c r="R100" s="1115"/>
      <c r="S100" s="1115"/>
      <c r="T100" s="1115"/>
      <c r="U100" s="513"/>
    </row>
    <row r="101" spans="2:21" s="11" customFormat="1" ht="15.5" x14ac:dyDescent="0.35">
      <c r="B101" s="418">
        <v>2</v>
      </c>
      <c r="C101" s="399" t="s">
        <v>781</v>
      </c>
      <c r="D101" s="512" t="s">
        <v>797</v>
      </c>
      <c r="E101" s="480">
        <f t="shared" si="35"/>
        <v>1516.9</v>
      </c>
      <c r="F101" s="480">
        <v>1516.9</v>
      </c>
      <c r="G101" s="480">
        <f t="shared" si="36"/>
        <v>0</v>
      </c>
      <c r="H101" s="480">
        <f t="shared" si="37"/>
        <v>1516.9</v>
      </c>
      <c r="I101" s="480">
        <v>1516.9</v>
      </c>
      <c r="J101" s="480">
        <f t="shared" si="38"/>
        <v>0</v>
      </c>
      <c r="K101" s="1115"/>
      <c r="L101" s="1115">
        <v>1516.9</v>
      </c>
      <c r="M101" s="1115"/>
      <c r="N101" s="1115"/>
      <c r="O101" s="480">
        <f t="shared" si="39"/>
        <v>0</v>
      </c>
      <c r="P101" s="1115"/>
      <c r="Q101" s="1115"/>
      <c r="R101" s="1115"/>
      <c r="S101" s="1115"/>
      <c r="T101" s="1115"/>
      <c r="U101" s="513"/>
    </row>
    <row r="102" spans="2:21" s="11" customFormat="1" ht="15.5" x14ac:dyDescent="0.35">
      <c r="B102" s="418">
        <v>3</v>
      </c>
      <c r="C102" s="399" t="s">
        <v>228</v>
      </c>
      <c r="D102" s="512" t="s">
        <v>797</v>
      </c>
      <c r="E102" s="480">
        <f t="shared" si="35"/>
        <v>0</v>
      </c>
      <c r="F102" s="480">
        <v>0</v>
      </c>
      <c r="G102" s="480">
        <f t="shared" si="36"/>
        <v>0</v>
      </c>
      <c r="H102" s="480">
        <f t="shared" si="37"/>
        <v>0</v>
      </c>
      <c r="I102" s="480">
        <v>0</v>
      </c>
      <c r="J102" s="480">
        <f t="shared" si="38"/>
        <v>0</v>
      </c>
      <c r="K102" s="1115"/>
      <c r="L102" s="1115">
        <v>0</v>
      </c>
      <c r="M102" s="1115"/>
      <c r="N102" s="1115"/>
      <c r="O102" s="480">
        <f t="shared" si="39"/>
        <v>0</v>
      </c>
      <c r="P102" s="1115"/>
      <c r="Q102" s="1115"/>
      <c r="R102" s="1115"/>
      <c r="S102" s="1115"/>
      <c r="T102" s="1115"/>
      <c r="U102" s="513"/>
    </row>
    <row r="103" spans="2:21" s="11" customFormat="1" ht="15.5" x14ac:dyDescent="0.35">
      <c r="B103" s="418">
        <v>4</v>
      </c>
      <c r="C103" s="399" t="s">
        <v>790</v>
      </c>
      <c r="D103" s="512" t="s">
        <v>797</v>
      </c>
      <c r="E103" s="480">
        <f t="shared" si="35"/>
        <v>0</v>
      </c>
      <c r="F103" s="480">
        <v>0</v>
      </c>
      <c r="G103" s="480">
        <f t="shared" si="36"/>
        <v>0</v>
      </c>
      <c r="H103" s="480">
        <f t="shared" si="37"/>
        <v>0</v>
      </c>
      <c r="I103" s="480">
        <v>0</v>
      </c>
      <c r="J103" s="480">
        <f t="shared" si="38"/>
        <v>0</v>
      </c>
      <c r="K103" s="1115"/>
      <c r="L103" s="1115">
        <v>0</v>
      </c>
      <c r="M103" s="1115"/>
      <c r="N103" s="1115"/>
      <c r="O103" s="480">
        <f t="shared" si="39"/>
        <v>0</v>
      </c>
      <c r="P103" s="1115"/>
      <c r="Q103" s="1115"/>
      <c r="R103" s="1115"/>
      <c r="S103" s="1115"/>
      <c r="T103" s="1115"/>
      <c r="U103" s="513"/>
    </row>
    <row r="104" spans="2:21" s="11" customFormat="1" ht="15.5" x14ac:dyDescent="0.35">
      <c r="B104" s="418">
        <v>5</v>
      </c>
      <c r="C104" s="399" t="s">
        <v>822</v>
      </c>
      <c r="D104" s="512" t="s">
        <v>797</v>
      </c>
      <c r="E104" s="480">
        <f t="shared" si="35"/>
        <v>8959.4296394822413</v>
      </c>
      <c r="F104" s="480">
        <v>8959.4296394822413</v>
      </c>
      <c r="G104" s="480">
        <f t="shared" si="36"/>
        <v>0</v>
      </c>
      <c r="H104" s="480">
        <f t="shared" si="37"/>
        <v>8165.99199303776</v>
      </c>
      <c r="I104" s="480">
        <v>8165.99199303776</v>
      </c>
      <c r="J104" s="480">
        <f t="shared" si="38"/>
        <v>0</v>
      </c>
      <c r="K104" s="1115"/>
      <c r="L104" s="1115">
        <v>9139.84</v>
      </c>
      <c r="M104" s="1115"/>
      <c r="N104" s="1115"/>
      <c r="O104" s="480">
        <f t="shared" si="39"/>
        <v>0</v>
      </c>
      <c r="P104" s="1115"/>
      <c r="Q104" s="1115"/>
      <c r="R104" s="1115"/>
      <c r="S104" s="1115"/>
      <c r="T104" s="1115"/>
      <c r="U104" s="513"/>
    </row>
    <row r="105" spans="2:21" s="11" customFormat="1" ht="15.5" x14ac:dyDescent="0.35">
      <c r="B105" s="418">
        <v>6</v>
      </c>
      <c r="C105" s="399" t="s">
        <v>824</v>
      </c>
      <c r="D105" s="512" t="s">
        <v>797</v>
      </c>
      <c r="E105" s="480">
        <f t="shared" si="35"/>
        <v>0</v>
      </c>
      <c r="F105" s="480">
        <v>0</v>
      </c>
      <c r="G105" s="480">
        <f t="shared" si="36"/>
        <v>0</v>
      </c>
      <c r="H105" s="480">
        <f t="shared" si="37"/>
        <v>0</v>
      </c>
      <c r="I105" s="480">
        <v>0</v>
      </c>
      <c r="J105" s="480">
        <f t="shared" si="38"/>
        <v>0</v>
      </c>
      <c r="K105" s="1115"/>
      <c r="L105" s="1115">
        <v>0</v>
      </c>
      <c r="M105" s="1115"/>
      <c r="N105" s="1115"/>
      <c r="O105" s="480">
        <f t="shared" si="39"/>
        <v>0</v>
      </c>
      <c r="P105" s="1115"/>
      <c r="Q105" s="1115"/>
      <c r="R105" s="1115"/>
      <c r="S105" s="1115"/>
      <c r="T105" s="1115"/>
      <c r="U105" s="513"/>
    </row>
    <row r="106" spans="2:21" s="11" customFormat="1" ht="15.5" x14ac:dyDescent="0.35">
      <c r="B106" s="418">
        <v>7</v>
      </c>
      <c r="C106" s="399" t="s">
        <v>783</v>
      </c>
      <c r="D106" s="512" t="s">
        <v>797</v>
      </c>
      <c r="E106" s="480">
        <f t="shared" si="35"/>
        <v>0</v>
      </c>
      <c r="F106" s="480">
        <v>0</v>
      </c>
      <c r="G106" s="480">
        <f t="shared" si="36"/>
        <v>0</v>
      </c>
      <c r="H106" s="480">
        <f t="shared" si="37"/>
        <v>0</v>
      </c>
      <c r="I106" s="480">
        <v>0</v>
      </c>
      <c r="J106" s="480">
        <f t="shared" si="38"/>
        <v>0</v>
      </c>
      <c r="K106" s="1115"/>
      <c r="L106" s="1115">
        <v>0</v>
      </c>
      <c r="M106" s="1115"/>
      <c r="N106" s="1115"/>
      <c r="O106" s="480">
        <f t="shared" si="39"/>
        <v>0</v>
      </c>
      <c r="P106" s="1115"/>
      <c r="Q106" s="1115"/>
      <c r="R106" s="1115"/>
      <c r="S106" s="1115"/>
      <c r="T106" s="1115"/>
      <c r="U106" s="513"/>
    </row>
    <row r="107" spans="2:21" s="11" customFormat="1" ht="15.5" x14ac:dyDescent="0.35">
      <c r="B107" s="418">
        <v>8</v>
      </c>
      <c r="C107" s="399" t="s">
        <v>784</v>
      </c>
      <c r="D107" s="512" t="s">
        <v>797</v>
      </c>
      <c r="E107" s="480">
        <f t="shared" si="35"/>
        <v>0</v>
      </c>
      <c r="F107" s="480">
        <v>0</v>
      </c>
      <c r="G107" s="480">
        <f t="shared" si="36"/>
        <v>0</v>
      </c>
      <c r="H107" s="480">
        <f t="shared" si="37"/>
        <v>0</v>
      </c>
      <c r="I107" s="480">
        <v>0</v>
      </c>
      <c r="J107" s="480">
        <f t="shared" si="38"/>
        <v>0</v>
      </c>
      <c r="K107" s="1115"/>
      <c r="L107" s="1115">
        <v>0</v>
      </c>
      <c r="M107" s="1115"/>
      <c r="N107" s="1115"/>
      <c r="O107" s="480">
        <f t="shared" si="39"/>
        <v>0</v>
      </c>
      <c r="P107" s="1115"/>
      <c r="Q107" s="1115"/>
      <c r="R107" s="1115"/>
      <c r="S107" s="1115"/>
      <c r="T107" s="1115"/>
      <c r="U107" s="513"/>
    </row>
    <row r="108" spans="2:21" s="11" customFormat="1" ht="15.5" x14ac:dyDescent="0.35">
      <c r="B108" s="418">
        <v>9</v>
      </c>
      <c r="C108" s="399" t="s">
        <v>825</v>
      </c>
      <c r="D108" s="512" t="s">
        <v>797</v>
      </c>
      <c r="E108" s="480">
        <f t="shared" si="35"/>
        <v>-1300.0000000000002</v>
      </c>
      <c r="F108" s="480">
        <v>-1300.0000000000002</v>
      </c>
      <c r="G108" s="480">
        <f t="shared" si="36"/>
        <v>0</v>
      </c>
      <c r="H108" s="480">
        <f t="shared" si="37"/>
        <v>-1299.9999999999998</v>
      </c>
      <c r="I108" s="480">
        <v>-1299.9999999999998</v>
      </c>
      <c r="J108" s="480">
        <f t="shared" si="38"/>
        <v>0</v>
      </c>
      <c r="K108" s="1115"/>
      <c r="L108" s="1115">
        <v>0</v>
      </c>
      <c r="M108" s="1115"/>
      <c r="N108" s="1115"/>
      <c r="O108" s="480">
        <f t="shared" si="39"/>
        <v>0</v>
      </c>
      <c r="P108" s="1115"/>
      <c r="Q108" s="1115"/>
      <c r="R108" s="1115"/>
      <c r="S108" s="1115"/>
      <c r="T108" s="1115"/>
      <c r="U108" s="513"/>
    </row>
    <row r="109" spans="2:21" s="11" customFormat="1" ht="15.5" x14ac:dyDescent="0.35">
      <c r="B109" s="418">
        <v>10</v>
      </c>
      <c r="C109" s="399" t="s">
        <v>210</v>
      </c>
      <c r="D109" s="512" t="s">
        <v>797</v>
      </c>
      <c r="E109" s="480">
        <f t="shared" si="35"/>
        <v>0</v>
      </c>
      <c r="F109" s="480">
        <v>0</v>
      </c>
      <c r="G109" s="480">
        <f t="shared" si="36"/>
        <v>0</v>
      </c>
      <c r="H109" s="480">
        <f t="shared" si="37"/>
        <v>0</v>
      </c>
      <c r="I109" s="480">
        <v>0</v>
      </c>
      <c r="J109" s="480">
        <f t="shared" si="38"/>
        <v>0</v>
      </c>
      <c r="K109" s="1115"/>
      <c r="L109" s="1115">
        <v>0</v>
      </c>
      <c r="M109" s="1115"/>
      <c r="N109" s="1115"/>
      <c r="O109" s="480">
        <f t="shared" si="39"/>
        <v>0</v>
      </c>
      <c r="P109" s="1115"/>
      <c r="Q109" s="1115"/>
      <c r="R109" s="1115"/>
      <c r="S109" s="1115"/>
      <c r="T109" s="1115"/>
      <c r="U109" s="513"/>
    </row>
    <row r="110" spans="2:21" s="11" customFormat="1" ht="15.5" x14ac:dyDescent="0.35">
      <c r="B110" s="418">
        <v>11</v>
      </c>
      <c r="C110" s="399" t="s">
        <v>786</v>
      </c>
      <c r="D110" s="512" t="s">
        <v>797</v>
      </c>
      <c r="E110" s="480">
        <f t="shared" si="35"/>
        <v>0</v>
      </c>
      <c r="F110" s="480"/>
      <c r="G110" s="480">
        <f t="shared" si="36"/>
        <v>0</v>
      </c>
      <c r="H110" s="480">
        <f t="shared" si="37"/>
        <v>0</v>
      </c>
      <c r="I110" s="480"/>
      <c r="J110" s="480">
        <f t="shared" si="38"/>
        <v>0</v>
      </c>
      <c r="K110" s="1115"/>
      <c r="L110" s="1115"/>
      <c r="M110" s="1296"/>
      <c r="N110" s="1115"/>
      <c r="O110" s="480">
        <f t="shared" si="39"/>
        <v>0</v>
      </c>
      <c r="P110" s="1115"/>
      <c r="Q110" s="1115"/>
      <c r="R110" s="1115"/>
      <c r="S110" s="1115"/>
      <c r="T110" s="1115"/>
      <c r="U110" s="513"/>
    </row>
    <row r="111" spans="2:21" s="11" customFormat="1" ht="15.5" x14ac:dyDescent="0.35">
      <c r="B111" s="418">
        <v>12</v>
      </c>
      <c r="C111" s="399" t="s">
        <v>142</v>
      </c>
      <c r="D111" s="512" t="s">
        <v>797</v>
      </c>
      <c r="E111" s="480">
        <f t="shared" si="35"/>
        <v>0</v>
      </c>
      <c r="F111" s="480"/>
      <c r="G111" s="480">
        <f t="shared" si="36"/>
        <v>0</v>
      </c>
      <c r="H111" s="480">
        <f t="shared" si="37"/>
        <v>0</v>
      </c>
      <c r="I111" s="480"/>
      <c r="J111" s="480">
        <f t="shared" si="38"/>
        <v>0</v>
      </c>
      <c r="K111" s="1115"/>
      <c r="L111" s="1115"/>
      <c r="M111" s="1296"/>
      <c r="N111" s="1296"/>
      <c r="O111" s="480">
        <f t="shared" si="39"/>
        <v>0</v>
      </c>
      <c r="P111" s="1115"/>
      <c r="Q111" s="1115"/>
      <c r="R111" s="1115"/>
      <c r="S111" s="1115"/>
      <c r="T111" s="1115"/>
      <c r="U111" s="513"/>
    </row>
    <row r="112" spans="2:21" s="6" customFormat="1" ht="15" x14ac:dyDescent="0.3">
      <c r="B112" s="344"/>
      <c r="C112" s="345" t="s">
        <v>796</v>
      </c>
      <c r="D112" s="406" t="s">
        <v>797</v>
      </c>
      <c r="E112" s="481">
        <f>SUM(E100:E111)</f>
        <v>58734.038747716913</v>
      </c>
      <c r="F112" s="481">
        <f>SUM(F100:F111)</f>
        <v>58734.038747716913</v>
      </c>
      <c r="G112" s="481">
        <f t="shared" ref="G112:O112" si="40">SUM(G100:G111)</f>
        <v>0</v>
      </c>
      <c r="H112" s="481">
        <f>SUM(H100:H111)</f>
        <v>53758.289700017005</v>
      </c>
      <c r="I112" s="481">
        <f t="shared" si="40"/>
        <v>53758.289700017005</v>
      </c>
      <c r="J112" s="481">
        <f t="shared" si="40"/>
        <v>0</v>
      </c>
      <c r="K112" s="1116">
        <f>N112</f>
        <v>58186.78203451787</v>
      </c>
      <c r="L112" s="1116">
        <f t="shared" ref="L112" si="41">SUM(L100:L111)</f>
        <v>59916.759999999995</v>
      </c>
      <c r="M112" s="1116">
        <v>53758.289700017005</v>
      </c>
      <c r="N112" s="1297">
        <f>SUMPRODUCT(L112:M112,'F2.2'!O99:P99)/SUM('F2.2'!O99:P99)</f>
        <v>58186.78203451787</v>
      </c>
      <c r="O112" s="481">
        <f t="shared" si="40"/>
        <v>0</v>
      </c>
      <c r="P112" s="1116">
        <v>54675.010540998395</v>
      </c>
      <c r="Q112" s="1116">
        <v>57408.761068048319</v>
      </c>
      <c r="R112" s="1116">
        <v>60279.199121450736</v>
      </c>
      <c r="S112" s="1116">
        <v>63293.159077523276</v>
      </c>
      <c r="T112" s="1116">
        <v>66457.817031399449</v>
      </c>
      <c r="U112" s="400">
        <f t="shared" ref="U112" si="42">SUM(U100:U111)</f>
        <v>0</v>
      </c>
    </row>
    <row r="113" spans="2:21" s="6" customFormat="1" ht="15.5" x14ac:dyDescent="0.3">
      <c r="B113" s="346"/>
      <c r="C113" s="345"/>
      <c r="D113" s="406"/>
      <c r="E113" s="480"/>
      <c r="F113" s="480"/>
      <c r="G113" s="480"/>
      <c r="H113" s="480"/>
      <c r="I113" s="480"/>
      <c r="J113" s="480"/>
      <c r="K113" s="1115"/>
      <c r="L113" s="1115"/>
      <c r="M113" s="1115"/>
      <c r="N113" s="1115"/>
      <c r="O113" s="480"/>
      <c r="P113" s="1115"/>
      <c r="Q113" s="1115"/>
      <c r="R113" s="1115"/>
      <c r="S113" s="1115"/>
      <c r="T113" s="1115"/>
      <c r="U113" s="400"/>
    </row>
    <row r="114" spans="2:21" s="420" customFormat="1" ht="15" x14ac:dyDescent="0.3">
      <c r="B114" s="479" t="s">
        <v>892</v>
      </c>
      <c r="C114" s="345" t="s">
        <v>890</v>
      </c>
      <c r="D114" s="464"/>
      <c r="E114" s="480"/>
      <c r="F114" s="480"/>
      <c r="G114" s="480"/>
      <c r="H114" s="480"/>
      <c r="I114" s="480"/>
      <c r="J114" s="480"/>
      <c r="K114" s="1115"/>
      <c r="L114" s="1115"/>
      <c r="M114" s="1115"/>
      <c r="N114" s="1115"/>
      <c r="O114" s="480"/>
      <c r="P114" s="1115"/>
      <c r="Q114" s="1115"/>
      <c r="R114" s="1115"/>
      <c r="S114" s="1115"/>
      <c r="T114" s="1115"/>
      <c r="U114" s="402"/>
    </row>
    <row r="115" spans="2:21" s="420" customFormat="1" ht="15.5" x14ac:dyDescent="0.35">
      <c r="B115" s="479">
        <v>1</v>
      </c>
      <c r="C115" s="399" t="s">
        <v>788</v>
      </c>
      <c r="D115" s="512" t="s">
        <v>797</v>
      </c>
      <c r="E115" s="480">
        <f t="shared" ref="E115:E124" si="43">F115</f>
        <v>0</v>
      </c>
      <c r="F115" s="480">
        <v>0</v>
      </c>
      <c r="G115" s="480">
        <f t="shared" ref="G115:G124" si="44">F115-E115</f>
        <v>0</v>
      </c>
      <c r="H115" s="480">
        <f t="shared" ref="H115:H124" si="45">I115</f>
        <v>0</v>
      </c>
      <c r="I115" s="480">
        <v>0</v>
      </c>
      <c r="J115" s="480">
        <f t="shared" ref="J115:J124" si="46">I115-H115</f>
        <v>0</v>
      </c>
      <c r="K115" s="1115">
        <f t="shared" ref="K115:K124" si="47">N115</f>
        <v>0</v>
      </c>
      <c r="L115" s="1115">
        <v>0</v>
      </c>
      <c r="M115" s="1115"/>
      <c r="N115" s="1298">
        <f>IFERROR(SUMPRODUCT(L115:M115,'F2.2'!$O$101:$P$101)/SUM('F2.2'!$O$101:$P$101),0)</f>
        <v>0</v>
      </c>
      <c r="O115" s="480">
        <f t="shared" ref="O115:O124" si="48">N115-K115</f>
        <v>0</v>
      </c>
      <c r="P115" s="1115"/>
      <c r="Q115" s="1115"/>
      <c r="R115" s="1115"/>
      <c r="S115" s="1115"/>
      <c r="T115" s="1115"/>
      <c r="U115" s="402"/>
    </row>
    <row r="116" spans="2:21" s="420" customFormat="1" ht="15.5" x14ac:dyDescent="0.35">
      <c r="B116" s="479">
        <f>+B115+1</f>
        <v>2</v>
      </c>
      <c r="C116" s="399" t="s">
        <v>789</v>
      </c>
      <c r="D116" s="512" t="s">
        <v>797</v>
      </c>
      <c r="E116" s="480">
        <f t="shared" si="43"/>
        <v>0</v>
      </c>
      <c r="F116" s="480">
        <v>0</v>
      </c>
      <c r="G116" s="480">
        <f t="shared" si="44"/>
        <v>0</v>
      </c>
      <c r="H116" s="480">
        <f t="shared" si="45"/>
        <v>0</v>
      </c>
      <c r="I116" s="480">
        <v>0</v>
      </c>
      <c r="J116" s="480">
        <f t="shared" si="46"/>
        <v>0</v>
      </c>
      <c r="K116" s="1115">
        <f>N116</f>
        <v>0</v>
      </c>
      <c r="L116" s="1115">
        <v>0</v>
      </c>
      <c r="M116" s="1115"/>
      <c r="N116" s="1298">
        <f>IFERROR(SUMPRODUCT(L116:M116,'F2.2'!$O$101:$P$101)/SUM('F2.2'!$O$101:$P$101),0)</f>
        <v>0</v>
      </c>
      <c r="O116" s="480">
        <f t="shared" si="48"/>
        <v>0</v>
      </c>
      <c r="P116" s="1115"/>
      <c r="Q116" s="1115"/>
      <c r="R116" s="1115"/>
      <c r="S116" s="1115"/>
      <c r="T116" s="1115"/>
      <c r="U116" s="402"/>
    </row>
    <row r="117" spans="2:21" s="420" customFormat="1" ht="15.5" x14ac:dyDescent="0.35">
      <c r="B117" s="479">
        <f t="shared" ref="B117:B124" si="49">+B116+1</f>
        <v>3</v>
      </c>
      <c r="C117" s="399" t="s">
        <v>228</v>
      </c>
      <c r="D117" s="512" t="s">
        <v>797</v>
      </c>
      <c r="E117" s="480">
        <f t="shared" si="43"/>
        <v>0</v>
      </c>
      <c r="F117" s="480">
        <v>0</v>
      </c>
      <c r="G117" s="480">
        <f t="shared" si="44"/>
        <v>0</v>
      </c>
      <c r="H117" s="480">
        <f t="shared" si="45"/>
        <v>0</v>
      </c>
      <c r="I117" s="480">
        <v>0</v>
      </c>
      <c r="J117" s="480">
        <f t="shared" si="46"/>
        <v>0</v>
      </c>
      <c r="K117" s="1115">
        <f t="shared" si="47"/>
        <v>0</v>
      </c>
      <c r="L117" s="1115">
        <v>0</v>
      </c>
      <c r="M117" s="1115"/>
      <c r="N117" s="1298">
        <f>IFERROR(SUMPRODUCT(L117:M117,'F2.2'!$O$101:$P$101)/SUM('F2.2'!$O$101:$P$101),0)</f>
        <v>0</v>
      </c>
      <c r="O117" s="480">
        <f t="shared" si="48"/>
        <v>0</v>
      </c>
      <c r="P117" s="1115"/>
      <c r="Q117" s="1115"/>
      <c r="R117" s="1115"/>
      <c r="S117" s="1115"/>
      <c r="T117" s="1115"/>
      <c r="U117" s="402"/>
    </row>
    <row r="118" spans="2:21" s="420" customFormat="1" ht="15.5" x14ac:dyDescent="0.35">
      <c r="B118" s="479">
        <f t="shared" si="49"/>
        <v>4</v>
      </c>
      <c r="C118" s="399" t="s">
        <v>790</v>
      </c>
      <c r="D118" s="512" t="s">
        <v>797</v>
      </c>
      <c r="E118" s="480">
        <f t="shared" si="43"/>
        <v>0</v>
      </c>
      <c r="F118" s="480">
        <v>0</v>
      </c>
      <c r="G118" s="480">
        <f t="shared" si="44"/>
        <v>0</v>
      </c>
      <c r="H118" s="480">
        <f t="shared" si="45"/>
        <v>0</v>
      </c>
      <c r="I118" s="480">
        <v>0</v>
      </c>
      <c r="J118" s="480">
        <f t="shared" si="46"/>
        <v>0</v>
      </c>
      <c r="K118" s="1115">
        <f t="shared" si="47"/>
        <v>0</v>
      </c>
      <c r="L118" s="1115">
        <v>0</v>
      </c>
      <c r="M118" s="1115"/>
      <c r="N118" s="1298">
        <f>IFERROR(SUMPRODUCT(L118:M118,'F2.2'!$O$101:$P$101)/SUM('F2.2'!$O$101:$P$101),0)</f>
        <v>0</v>
      </c>
      <c r="O118" s="480">
        <f t="shared" si="48"/>
        <v>0</v>
      </c>
      <c r="P118" s="1115"/>
      <c r="Q118" s="1115"/>
      <c r="R118" s="1115"/>
      <c r="S118" s="1115"/>
      <c r="T118" s="1115"/>
      <c r="U118" s="402"/>
    </row>
    <row r="119" spans="2:21" s="420" customFormat="1" ht="15.5" x14ac:dyDescent="0.35">
      <c r="B119" s="479">
        <f t="shared" si="49"/>
        <v>5</v>
      </c>
      <c r="C119" s="399" t="s">
        <v>791</v>
      </c>
      <c r="D119" s="512" t="s">
        <v>797</v>
      </c>
      <c r="E119" s="480">
        <f t="shared" si="43"/>
        <v>0</v>
      </c>
      <c r="F119" s="480">
        <v>0</v>
      </c>
      <c r="G119" s="480">
        <f t="shared" si="44"/>
        <v>0</v>
      </c>
      <c r="H119" s="480">
        <f t="shared" si="45"/>
        <v>0</v>
      </c>
      <c r="I119" s="480">
        <v>0</v>
      </c>
      <c r="J119" s="480">
        <f t="shared" si="46"/>
        <v>0</v>
      </c>
      <c r="K119" s="1115">
        <f t="shared" si="47"/>
        <v>0</v>
      </c>
      <c r="L119" s="1115">
        <v>0</v>
      </c>
      <c r="M119" s="1115"/>
      <c r="N119" s="1298">
        <f>IFERROR(SUMPRODUCT(L119:M119,'F2.2'!$O$101:$P$101)/SUM('F2.2'!$O$101:$P$101),0)</f>
        <v>0</v>
      </c>
      <c r="O119" s="480">
        <f t="shared" si="48"/>
        <v>0</v>
      </c>
      <c r="P119" s="1115"/>
      <c r="Q119" s="1115"/>
      <c r="R119" s="1115"/>
      <c r="S119" s="1115"/>
      <c r="T119" s="1115"/>
      <c r="U119" s="402"/>
    </row>
    <row r="120" spans="2:21" s="420" customFormat="1" ht="15.5" x14ac:dyDescent="0.35">
      <c r="B120" s="479">
        <f t="shared" si="49"/>
        <v>6</v>
      </c>
      <c r="C120" s="399" t="s">
        <v>782</v>
      </c>
      <c r="D120" s="512" t="s">
        <v>797</v>
      </c>
      <c r="E120" s="480">
        <f t="shared" si="43"/>
        <v>0</v>
      </c>
      <c r="F120" s="480">
        <v>0</v>
      </c>
      <c r="G120" s="480">
        <f t="shared" si="44"/>
        <v>0</v>
      </c>
      <c r="H120" s="480">
        <f t="shared" si="45"/>
        <v>0</v>
      </c>
      <c r="I120" s="480">
        <v>0</v>
      </c>
      <c r="J120" s="480">
        <f t="shared" si="46"/>
        <v>0</v>
      </c>
      <c r="K120" s="1115">
        <f t="shared" si="47"/>
        <v>0</v>
      </c>
      <c r="L120" s="1115">
        <v>0</v>
      </c>
      <c r="M120" s="1115"/>
      <c r="N120" s="1298">
        <f>IFERROR(SUMPRODUCT(L120:M120,'F2.2'!$O$101:$P$101)/SUM('F2.2'!$O$101:$P$101),0)</f>
        <v>0</v>
      </c>
      <c r="O120" s="480">
        <f t="shared" si="48"/>
        <v>0</v>
      </c>
      <c r="P120" s="1115"/>
      <c r="Q120" s="1115"/>
      <c r="R120" s="1115"/>
      <c r="S120" s="1115"/>
      <c r="T120" s="1115"/>
      <c r="U120" s="402"/>
    </row>
    <row r="121" spans="2:21" s="420" customFormat="1" ht="15.5" x14ac:dyDescent="0.35">
      <c r="B121" s="479">
        <f t="shared" si="49"/>
        <v>7</v>
      </c>
      <c r="C121" s="399" t="s">
        <v>783</v>
      </c>
      <c r="D121" s="512" t="s">
        <v>797</v>
      </c>
      <c r="E121" s="480">
        <f t="shared" si="43"/>
        <v>0</v>
      </c>
      <c r="F121" s="480">
        <v>0</v>
      </c>
      <c r="G121" s="480">
        <f t="shared" si="44"/>
        <v>0</v>
      </c>
      <c r="H121" s="480">
        <f t="shared" si="45"/>
        <v>0</v>
      </c>
      <c r="I121" s="480">
        <v>0</v>
      </c>
      <c r="J121" s="480">
        <f t="shared" si="46"/>
        <v>0</v>
      </c>
      <c r="K121" s="1115">
        <f t="shared" si="47"/>
        <v>0</v>
      </c>
      <c r="L121" s="1115">
        <v>0</v>
      </c>
      <c r="M121" s="1115"/>
      <c r="N121" s="1298">
        <f>IFERROR(SUMPRODUCT(L121:M121,'F2.2'!$O$101:$P$101)/SUM('F2.2'!$O$101:$P$101),0)</f>
        <v>0</v>
      </c>
      <c r="O121" s="480">
        <f t="shared" si="48"/>
        <v>0</v>
      </c>
      <c r="P121" s="1115"/>
      <c r="Q121" s="1115"/>
      <c r="R121" s="1115"/>
      <c r="S121" s="1115"/>
      <c r="T121" s="1115"/>
      <c r="U121" s="402"/>
    </row>
    <row r="122" spans="2:21" s="420" customFormat="1" ht="15.5" x14ac:dyDescent="0.35">
      <c r="B122" s="479">
        <f t="shared" si="49"/>
        <v>8</v>
      </c>
      <c r="C122" s="399" t="s">
        <v>784</v>
      </c>
      <c r="D122" s="512" t="s">
        <v>797</v>
      </c>
      <c r="E122" s="480">
        <f t="shared" si="43"/>
        <v>0</v>
      </c>
      <c r="F122" s="480">
        <v>0</v>
      </c>
      <c r="G122" s="480">
        <f t="shared" si="44"/>
        <v>0</v>
      </c>
      <c r="H122" s="480">
        <f t="shared" si="45"/>
        <v>0</v>
      </c>
      <c r="I122" s="480">
        <v>0</v>
      </c>
      <c r="J122" s="480">
        <f t="shared" si="46"/>
        <v>0</v>
      </c>
      <c r="K122" s="1115">
        <f t="shared" si="47"/>
        <v>0</v>
      </c>
      <c r="L122" s="1115">
        <v>0</v>
      </c>
      <c r="M122" s="1115"/>
      <c r="N122" s="1298">
        <f>IFERROR(SUMPRODUCT(L122:M122,'F2.2'!$O$101:$P$101)/SUM('F2.2'!$O$101:$P$101),0)</f>
        <v>0</v>
      </c>
      <c r="O122" s="480">
        <f t="shared" si="48"/>
        <v>0</v>
      </c>
      <c r="P122" s="1115"/>
      <c r="Q122" s="1115"/>
      <c r="R122" s="1115"/>
      <c r="S122" s="1115"/>
      <c r="T122" s="1115"/>
      <c r="U122" s="402"/>
    </row>
    <row r="123" spans="2:21" s="420" customFormat="1" ht="15.5" x14ac:dyDescent="0.35">
      <c r="B123" s="479">
        <f t="shared" si="49"/>
        <v>9</v>
      </c>
      <c r="C123" s="399" t="s">
        <v>210</v>
      </c>
      <c r="D123" s="512" t="s">
        <v>797</v>
      </c>
      <c r="E123" s="480">
        <f t="shared" si="43"/>
        <v>0</v>
      </c>
      <c r="F123" s="480">
        <v>0</v>
      </c>
      <c r="G123" s="480">
        <f t="shared" si="44"/>
        <v>0</v>
      </c>
      <c r="H123" s="480">
        <f t="shared" si="45"/>
        <v>0</v>
      </c>
      <c r="I123" s="480">
        <v>0</v>
      </c>
      <c r="J123" s="480">
        <f t="shared" si="46"/>
        <v>0</v>
      </c>
      <c r="K123" s="1115">
        <f t="shared" si="47"/>
        <v>0</v>
      </c>
      <c r="L123" s="1115">
        <v>0</v>
      </c>
      <c r="M123" s="1115"/>
      <c r="N123" s="1298">
        <f>IFERROR(SUMPRODUCT(L123:M123,'F2.2'!$O$101:$P$101)/SUM('F2.2'!$O$101:$P$101),0)</f>
        <v>0</v>
      </c>
      <c r="O123" s="480">
        <f t="shared" si="48"/>
        <v>0</v>
      </c>
      <c r="P123" s="1115"/>
      <c r="Q123" s="1115"/>
      <c r="R123" s="1115"/>
      <c r="S123" s="1115"/>
      <c r="T123" s="1115"/>
      <c r="U123" s="402"/>
    </row>
    <row r="124" spans="2:21" s="420" customFormat="1" ht="15.5" x14ac:dyDescent="0.35">
      <c r="B124" s="479">
        <f t="shared" si="49"/>
        <v>10</v>
      </c>
      <c r="C124" s="399" t="s">
        <v>210</v>
      </c>
      <c r="D124" s="512" t="s">
        <v>797</v>
      </c>
      <c r="E124" s="480">
        <f t="shared" si="43"/>
        <v>0</v>
      </c>
      <c r="F124" s="480">
        <v>0</v>
      </c>
      <c r="G124" s="480">
        <f t="shared" si="44"/>
        <v>0</v>
      </c>
      <c r="H124" s="480">
        <f t="shared" si="45"/>
        <v>0</v>
      </c>
      <c r="I124" s="480">
        <v>0</v>
      </c>
      <c r="J124" s="480">
        <f t="shared" si="46"/>
        <v>0</v>
      </c>
      <c r="K124" s="1115">
        <f t="shared" si="47"/>
        <v>0</v>
      </c>
      <c r="L124" s="1115">
        <v>0</v>
      </c>
      <c r="M124" s="1115"/>
      <c r="N124" s="1298">
        <f>IFERROR(SUMPRODUCT(L124:M124,'F2.2'!$O$101:$P$101)/SUM('F2.2'!$O$101:$P$101),0)</f>
        <v>0</v>
      </c>
      <c r="O124" s="480">
        <f t="shared" si="48"/>
        <v>0</v>
      </c>
      <c r="P124" s="1115"/>
      <c r="Q124" s="1115"/>
      <c r="R124" s="1115"/>
      <c r="S124" s="1115"/>
      <c r="T124" s="1115"/>
      <c r="U124" s="402"/>
    </row>
    <row r="125" spans="2:21" s="420" customFormat="1" ht="15" x14ac:dyDescent="0.3">
      <c r="B125" s="479"/>
      <c r="C125" s="345" t="s">
        <v>891</v>
      </c>
      <c r="D125" s="464" t="s">
        <v>797</v>
      </c>
      <c r="E125" s="481">
        <f>SUM(E115:E124)</f>
        <v>0</v>
      </c>
      <c r="F125" s="481">
        <f>SUM(F115:F124)</f>
        <v>0</v>
      </c>
      <c r="G125" s="481">
        <f t="shared" ref="G125:O125" si="50">SUM(G115:G124)</f>
        <v>0</v>
      </c>
      <c r="H125" s="481">
        <f>SUM(H115:H124)</f>
        <v>0</v>
      </c>
      <c r="I125" s="481">
        <f>SUM(I115:I124)</f>
        <v>0</v>
      </c>
      <c r="J125" s="481">
        <f t="shared" si="50"/>
        <v>0</v>
      </c>
      <c r="K125" s="1116">
        <f t="shared" si="50"/>
        <v>0</v>
      </c>
      <c r="L125" s="1116">
        <f t="shared" si="50"/>
        <v>0</v>
      </c>
      <c r="M125" s="1116">
        <v>0</v>
      </c>
      <c r="N125" s="1299">
        <f t="shared" si="50"/>
        <v>0</v>
      </c>
      <c r="O125" s="481">
        <f t="shared" si="50"/>
        <v>0</v>
      </c>
      <c r="P125" s="1116">
        <v>0</v>
      </c>
      <c r="Q125" s="1116">
        <v>0</v>
      </c>
      <c r="R125" s="1116">
        <v>0</v>
      </c>
      <c r="S125" s="1116">
        <v>0</v>
      </c>
      <c r="T125" s="1116">
        <v>0</v>
      </c>
      <c r="U125" s="402"/>
    </row>
    <row r="126" spans="2:21" s="420" customFormat="1" ht="15" x14ac:dyDescent="0.3">
      <c r="B126" s="479"/>
      <c r="C126" s="345"/>
      <c r="D126" s="464"/>
      <c r="E126" s="480"/>
      <c r="F126" s="480"/>
      <c r="G126" s="480"/>
      <c r="H126" s="480"/>
      <c r="I126" s="480"/>
      <c r="J126" s="480"/>
      <c r="K126" s="1115"/>
      <c r="L126" s="1115"/>
      <c r="M126" s="1115"/>
      <c r="N126" s="1115"/>
      <c r="O126" s="480"/>
      <c r="P126" s="1115"/>
      <c r="Q126" s="1115"/>
      <c r="R126" s="1115"/>
      <c r="S126" s="1115"/>
      <c r="T126" s="1115"/>
      <c r="U126" s="402"/>
    </row>
    <row r="127" spans="2:21" s="420" customFormat="1" ht="15" x14ac:dyDescent="0.3">
      <c r="B127" s="479" t="s">
        <v>893</v>
      </c>
      <c r="C127" s="345" t="s">
        <v>887</v>
      </c>
      <c r="D127" s="464"/>
      <c r="E127" s="480"/>
      <c r="F127" s="480"/>
      <c r="G127" s="480"/>
      <c r="H127" s="480"/>
      <c r="I127" s="480"/>
      <c r="J127" s="480"/>
      <c r="K127" s="1115"/>
      <c r="L127" s="1115"/>
      <c r="M127" s="1115"/>
      <c r="N127" s="1115"/>
      <c r="O127" s="480"/>
      <c r="P127" s="1115"/>
      <c r="Q127" s="1115"/>
      <c r="R127" s="1115"/>
      <c r="S127" s="1115"/>
      <c r="T127" s="1115"/>
      <c r="U127" s="402"/>
    </row>
    <row r="128" spans="2:21" s="420" customFormat="1" ht="15" x14ac:dyDescent="0.3">
      <c r="B128" s="479">
        <v>1</v>
      </c>
      <c r="C128" s="345" t="s">
        <v>788</v>
      </c>
      <c r="D128" s="464" t="s">
        <v>797</v>
      </c>
      <c r="E128" s="480">
        <f t="shared" ref="E128:E137" si="51">F128</f>
        <v>92252.435998323155</v>
      </c>
      <c r="F128" s="480">
        <v>92252.435998323155</v>
      </c>
      <c r="G128" s="480">
        <f t="shared" ref="G128:G137" si="52">F128-E128</f>
        <v>0</v>
      </c>
      <c r="H128" s="480">
        <f t="shared" ref="H128:H137" si="53">I128</f>
        <v>0</v>
      </c>
      <c r="I128" s="480">
        <v>0</v>
      </c>
      <c r="J128" s="480">
        <f t="shared" ref="J128:J137" si="54">I128-H128</f>
        <v>0</v>
      </c>
      <c r="K128" s="1115">
        <f>N128</f>
        <v>0</v>
      </c>
      <c r="L128" s="1115">
        <v>0</v>
      </c>
      <c r="M128" s="1115"/>
      <c r="N128" s="1298">
        <f>IFERROR(SUMPRODUCT(L128:M128,'F2.2'!$O$102:$P$102)/SUM('F2.2'!$O$102:$P$102),0)</f>
        <v>0</v>
      </c>
      <c r="O128" s="480">
        <f t="shared" ref="O128:O137" si="55">N128-K128</f>
        <v>0</v>
      </c>
      <c r="P128" s="1115"/>
      <c r="Q128" s="1115"/>
      <c r="R128" s="1115"/>
      <c r="S128" s="1115"/>
      <c r="T128" s="1115"/>
      <c r="U128" s="402"/>
    </row>
    <row r="129" spans="2:21" s="420" customFormat="1" ht="15" x14ac:dyDescent="0.3">
      <c r="B129" s="479">
        <f>1+B128</f>
        <v>2</v>
      </c>
      <c r="C129" s="345" t="s">
        <v>789</v>
      </c>
      <c r="D129" s="464" t="s">
        <v>797</v>
      </c>
      <c r="E129" s="480">
        <f t="shared" si="51"/>
        <v>0</v>
      </c>
      <c r="F129" s="480">
        <v>0</v>
      </c>
      <c r="G129" s="480">
        <f t="shared" si="52"/>
        <v>0</v>
      </c>
      <c r="H129" s="480">
        <f t="shared" si="53"/>
        <v>0</v>
      </c>
      <c r="I129" s="480">
        <v>0</v>
      </c>
      <c r="J129" s="480">
        <f t="shared" si="54"/>
        <v>0</v>
      </c>
      <c r="K129" s="1115">
        <f t="shared" ref="K129:K137" si="56">N129</f>
        <v>0</v>
      </c>
      <c r="L129" s="1115">
        <v>0</v>
      </c>
      <c r="M129" s="1115"/>
      <c r="N129" s="1298">
        <f>IFERROR(SUMPRODUCT(L129:M129,'F2.2'!$O$102:$P$102)/SUM('F2.2'!$O$102:$P$102),0)</f>
        <v>0</v>
      </c>
      <c r="O129" s="480">
        <f t="shared" si="55"/>
        <v>0</v>
      </c>
      <c r="P129" s="1115"/>
      <c r="Q129" s="1115"/>
      <c r="R129" s="1115"/>
      <c r="S129" s="1115"/>
      <c r="T129" s="1115"/>
      <c r="U129" s="402"/>
    </row>
    <row r="130" spans="2:21" s="420" customFormat="1" ht="15" x14ac:dyDescent="0.3">
      <c r="B130" s="479">
        <f t="shared" ref="B130:B137" si="57">1+B129</f>
        <v>3</v>
      </c>
      <c r="C130" s="345" t="s">
        <v>228</v>
      </c>
      <c r="D130" s="464" t="s">
        <v>797</v>
      </c>
      <c r="E130" s="480">
        <f t="shared" si="51"/>
        <v>0</v>
      </c>
      <c r="F130" s="480">
        <v>0</v>
      </c>
      <c r="G130" s="480">
        <f t="shared" si="52"/>
        <v>0</v>
      </c>
      <c r="H130" s="480">
        <f t="shared" si="53"/>
        <v>0</v>
      </c>
      <c r="I130" s="480">
        <v>0</v>
      </c>
      <c r="J130" s="480">
        <f t="shared" si="54"/>
        <v>0</v>
      </c>
      <c r="K130" s="1115">
        <f t="shared" si="56"/>
        <v>0</v>
      </c>
      <c r="L130" s="1115">
        <v>0</v>
      </c>
      <c r="M130" s="1115"/>
      <c r="N130" s="1298">
        <f>IFERROR(SUMPRODUCT(L130:M130,'F2.2'!$O$102:$P$102)/SUM('F2.2'!$O$102:$P$102),0)</f>
        <v>0</v>
      </c>
      <c r="O130" s="480">
        <f t="shared" si="55"/>
        <v>0</v>
      </c>
      <c r="P130" s="1115"/>
      <c r="Q130" s="1115"/>
      <c r="R130" s="1115"/>
      <c r="S130" s="1115"/>
      <c r="T130" s="1115"/>
      <c r="U130" s="402"/>
    </row>
    <row r="131" spans="2:21" s="420" customFormat="1" ht="15" x14ac:dyDescent="0.3">
      <c r="B131" s="479">
        <f t="shared" si="57"/>
        <v>4</v>
      </c>
      <c r="C131" s="345" t="s">
        <v>790</v>
      </c>
      <c r="D131" s="464" t="s">
        <v>797</v>
      </c>
      <c r="E131" s="480">
        <f t="shared" si="51"/>
        <v>0</v>
      </c>
      <c r="F131" s="480">
        <v>0</v>
      </c>
      <c r="G131" s="480">
        <f t="shared" si="52"/>
        <v>0</v>
      </c>
      <c r="H131" s="480">
        <f t="shared" si="53"/>
        <v>0</v>
      </c>
      <c r="I131" s="480">
        <v>0</v>
      </c>
      <c r="J131" s="480">
        <f t="shared" si="54"/>
        <v>0</v>
      </c>
      <c r="K131" s="1115">
        <f t="shared" si="56"/>
        <v>0</v>
      </c>
      <c r="L131" s="1115">
        <v>0</v>
      </c>
      <c r="M131" s="1115"/>
      <c r="N131" s="1298">
        <f>IFERROR(SUMPRODUCT(L131:M131,'F2.2'!$O$102:$P$102)/SUM('F2.2'!$O$102:$P$102),0)</f>
        <v>0</v>
      </c>
      <c r="O131" s="480">
        <f t="shared" si="55"/>
        <v>0</v>
      </c>
      <c r="P131" s="1115"/>
      <c r="Q131" s="1115"/>
      <c r="R131" s="1115"/>
      <c r="S131" s="1115"/>
      <c r="T131" s="1115"/>
      <c r="U131" s="402"/>
    </row>
    <row r="132" spans="2:21" s="420" customFormat="1" ht="15" x14ac:dyDescent="0.3">
      <c r="B132" s="479">
        <f t="shared" si="57"/>
        <v>5</v>
      </c>
      <c r="C132" s="345" t="s">
        <v>822</v>
      </c>
      <c r="D132" s="464" t="s">
        <v>797</v>
      </c>
      <c r="E132" s="480">
        <f t="shared" si="51"/>
        <v>19373.011559647861</v>
      </c>
      <c r="F132" s="480">
        <v>19373.011559647861</v>
      </c>
      <c r="G132" s="480">
        <f t="shared" si="52"/>
        <v>0</v>
      </c>
      <c r="H132" s="480">
        <f t="shared" si="53"/>
        <v>0</v>
      </c>
      <c r="I132" s="480">
        <v>0</v>
      </c>
      <c r="J132" s="480">
        <f t="shared" si="54"/>
        <v>0</v>
      </c>
      <c r="K132" s="1115">
        <f t="shared" si="56"/>
        <v>0</v>
      </c>
      <c r="L132" s="1115">
        <v>0</v>
      </c>
      <c r="M132" s="1115"/>
      <c r="N132" s="1298">
        <f>IFERROR(SUMPRODUCT(L132:M132,'F2.2'!$O$102:$P$102)/SUM('F2.2'!$O$102:$P$102),0)</f>
        <v>0</v>
      </c>
      <c r="O132" s="480">
        <f t="shared" si="55"/>
        <v>0</v>
      </c>
      <c r="P132" s="1115"/>
      <c r="Q132" s="1115"/>
      <c r="R132" s="1115"/>
      <c r="S132" s="1115"/>
      <c r="T132" s="1115"/>
      <c r="U132" s="402"/>
    </row>
    <row r="133" spans="2:21" s="420" customFormat="1" ht="15" x14ac:dyDescent="0.3">
      <c r="B133" s="479">
        <f t="shared" si="57"/>
        <v>6</v>
      </c>
      <c r="C133" s="345" t="s">
        <v>782</v>
      </c>
      <c r="D133" s="464" t="s">
        <v>797</v>
      </c>
      <c r="E133" s="480">
        <f t="shared" si="51"/>
        <v>0</v>
      </c>
      <c r="F133" s="480">
        <v>0</v>
      </c>
      <c r="G133" s="480">
        <f t="shared" si="52"/>
        <v>0</v>
      </c>
      <c r="H133" s="480">
        <f t="shared" si="53"/>
        <v>0</v>
      </c>
      <c r="I133" s="480">
        <v>0</v>
      </c>
      <c r="J133" s="480">
        <f t="shared" si="54"/>
        <v>0</v>
      </c>
      <c r="K133" s="1115">
        <f t="shared" si="56"/>
        <v>0</v>
      </c>
      <c r="L133" s="1115">
        <v>0</v>
      </c>
      <c r="M133" s="1115"/>
      <c r="N133" s="1298">
        <f>IFERROR(SUMPRODUCT(L133:M133,'F2.2'!$O$102:$P$102)/SUM('F2.2'!$O$102:$P$102),0)</f>
        <v>0</v>
      </c>
      <c r="O133" s="480">
        <f t="shared" si="55"/>
        <v>0</v>
      </c>
      <c r="P133" s="1115"/>
      <c r="Q133" s="1115"/>
      <c r="R133" s="1115"/>
      <c r="S133" s="1115"/>
      <c r="T133" s="1115"/>
      <c r="U133" s="402"/>
    </row>
    <row r="134" spans="2:21" s="420" customFormat="1" ht="15" x14ac:dyDescent="0.3">
      <c r="B134" s="479">
        <f t="shared" si="57"/>
        <v>7</v>
      </c>
      <c r="C134" s="345" t="s">
        <v>783</v>
      </c>
      <c r="D134" s="464" t="s">
        <v>797</v>
      </c>
      <c r="E134" s="480">
        <f t="shared" si="51"/>
        <v>0</v>
      </c>
      <c r="F134" s="480">
        <v>0</v>
      </c>
      <c r="G134" s="480">
        <f t="shared" si="52"/>
        <v>0</v>
      </c>
      <c r="H134" s="480">
        <f t="shared" si="53"/>
        <v>0</v>
      </c>
      <c r="I134" s="480">
        <v>0</v>
      </c>
      <c r="J134" s="480">
        <f t="shared" si="54"/>
        <v>0</v>
      </c>
      <c r="K134" s="1115">
        <f t="shared" si="56"/>
        <v>0</v>
      </c>
      <c r="L134" s="1115">
        <v>0</v>
      </c>
      <c r="M134" s="1115"/>
      <c r="N134" s="1298">
        <f>IFERROR(SUMPRODUCT(L134:M134,'F2.2'!$O$102:$P$102)/SUM('F2.2'!$O$102:$P$102),0)</f>
        <v>0</v>
      </c>
      <c r="O134" s="480">
        <f t="shared" si="55"/>
        <v>0</v>
      </c>
      <c r="P134" s="1115"/>
      <c r="Q134" s="1115"/>
      <c r="R134" s="1115"/>
      <c r="S134" s="1115"/>
      <c r="T134" s="1115"/>
      <c r="U134" s="402"/>
    </row>
    <row r="135" spans="2:21" s="420" customFormat="1" ht="15" x14ac:dyDescent="0.3">
      <c r="B135" s="479">
        <f t="shared" si="57"/>
        <v>8</v>
      </c>
      <c r="C135" s="345" t="s">
        <v>784</v>
      </c>
      <c r="D135" s="464" t="s">
        <v>797</v>
      </c>
      <c r="E135" s="480">
        <f t="shared" si="51"/>
        <v>0</v>
      </c>
      <c r="F135" s="480">
        <v>0</v>
      </c>
      <c r="G135" s="480">
        <f t="shared" si="52"/>
        <v>0</v>
      </c>
      <c r="H135" s="480">
        <f t="shared" si="53"/>
        <v>0</v>
      </c>
      <c r="I135" s="480">
        <v>0</v>
      </c>
      <c r="J135" s="480">
        <f t="shared" si="54"/>
        <v>0</v>
      </c>
      <c r="K135" s="1115">
        <f t="shared" si="56"/>
        <v>0</v>
      </c>
      <c r="L135" s="1115">
        <v>0</v>
      </c>
      <c r="M135" s="1115"/>
      <c r="N135" s="1298">
        <f>IFERROR(SUMPRODUCT(L135:M135,'F2.2'!$O$102:$P$102)/SUM('F2.2'!$O$102:$P$102),0)</f>
        <v>0</v>
      </c>
      <c r="O135" s="480">
        <f t="shared" si="55"/>
        <v>0</v>
      </c>
      <c r="P135" s="1115"/>
      <c r="Q135" s="1115"/>
      <c r="R135" s="1115"/>
      <c r="S135" s="1115"/>
      <c r="T135" s="1115"/>
      <c r="U135" s="402"/>
    </row>
    <row r="136" spans="2:21" s="420" customFormat="1" ht="15" x14ac:dyDescent="0.3">
      <c r="B136" s="479">
        <f t="shared" si="57"/>
        <v>9</v>
      </c>
      <c r="C136" s="345" t="s">
        <v>888</v>
      </c>
      <c r="D136" s="464" t="s">
        <v>797</v>
      </c>
      <c r="E136" s="480">
        <f t="shared" si="51"/>
        <v>0</v>
      </c>
      <c r="F136" s="480">
        <v>0</v>
      </c>
      <c r="G136" s="480">
        <f t="shared" si="52"/>
        <v>0</v>
      </c>
      <c r="H136" s="480">
        <f t="shared" si="53"/>
        <v>0</v>
      </c>
      <c r="I136" s="480">
        <v>0</v>
      </c>
      <c r="J136" s="480">
        <f t="shared" si="54"/>
        <v>0</v>
      </c>
      <c r="K136" s="1115">
        <f t="shared" si="56"/>
        <v>0</v>
      </c>
      <c r="L136" s="1115">
        <v>0</v>
      </c>
      <c r="M136" s="1115"/>
      <c r="N136" s="1298">
        <f>IFERROR(SUMPRODUCT(L136:M136,'F2.2'!$O$102:$P$102)/SUM('F2.2'!$O$102:$P$102),0)</f>
        <v>0</v>
      </c>
      <c r="O136" s="480">
        <f t="shared" si="55"/>
        <v>0</v>
      </c>
      <c r="P136" s="1115"/>
      <c r="Q136" s="1115"/>
      <c r="R136" s="1115"/>
      <c r="S136" s="1115"/>
      <c r="T136" s="1115"/>
      <c r="U136" s="402"/>
    </row>
    <row r="137" spans="2:21" s="420" customFormat="1" ht="15" x14ac:dyDescent="0.3">
      <c r="B137" s="479">
        <f t="shared" si="57"/>
        <v>10</v>
      </c>
      <c r="C137" s="345" t="s">
        <v>210</v>
      </c>
      <c r="D137" s="464" t="s">
        <v>797</v>
      </c>
      <c r="E137" s="480">
        <f t="shared" si="51"/>
        <v>0</v>
      </c>
      <c r="F137" s="480">
        <v>0</v>
      </c>
      <c r="G137" s="480">
        <f t="shared" si="52"/>
        <v>0</v>
      </c>
      <c r="H137" s="480">
        <f t="shared" si="53"/>
        <v>0</v>
      </c>
      <c r="I137" s="480">
        <v>0</v>
      </c>
      <c r="J137" s="480">
        <f t="shared" si="54"/>
        <v>0</v>
      </c>
      <c r="K137" s="1115">
        <f t="shared" si="56"/>
        <v>0</v>
      </c>
      <c r="L137" s="1115">
        <v>0</v>
      </c>
      <c r="M137" s="1115"/>
      <c r="N137" s="1298">
        <f>IFERROR(SUMPRODUCT(L137:M137,'F2.2'!$O$102:$P$102)/SUM('F2.2'!$O$102:$P$102),0)</f>
        <v>0</v>
      </c>
      <c r="O137" s="480">
        <f t="shared" si="55"/>
        <v>0</v>
      </c>
      <c r="P137" s="1115"/>
      <c r="Q137" s="1115"/>
      <c r="R137" s="1115"/>
      <c r="S137" s="1115"/>
      <c r="T137" s="1115"/>
      <c r="U137" s="402"/>
    </row>
    <row r="138" spans="2:21" s="420" customFormat="1" ht="15" x14ac:dyDescent="0.3">
      <c r="B138" s="479"/>
      <c r="C138" s="345" t="s">
        <v>889</v>
      </c>
      <c r="D138" s="464" t="s">
        <v>797</v>
      </c>
      <c r="E138" s="480">
        <f>SUM(E128:E137)</f>
        <v>111625.44755797101</v>
      </c>
      <c r="F138" s="480">
        <f>SUM(F128:F137)</f>
        <v>111625.44755797101</v>
      </c>
      <c r="G138" s="480">
        <f t="shared" ref="G138" si="58">SUM(G128:G137)</f>
        <v>0</v>
      </c>
      <c r="H138" s="480">
        <f>SUM(H128:H137)</f>
        <v>0</v>
      </c>
      <c r="I138" s="480">
        <f>SUM(I128:I137)</f>
        <v>0</v>
      </c>
      <c r="J138" s="480">
        <f t="shared" ref="J138:L138" si="59">SUM(J128:J137)</f>
        <v>0</v>
      </c>
      <c r="K138" s="1115">
        <f t="shared" si="59"/>
        <v>0</v>
      </c>
      <c r="L138" s="1115">
        <f t="shared" si="59"/>
        <v>0</v>
      </c>
      <c r="M138" s="1115">
        <v>0</v>
      </c>
      <c r="N138" s="1115">
        <f t="shared" ref="N138" si="60">SUM(N128:N137)</f>
        <v>0</v>
      </c>
      <c r="O138" s="480">
        <f t="shared" ref="O138" si="61">SUM(O128:O137)</f>
        <v>0</v>
      </c>
      <c r="P138" s="1115">
        <v>0</v>
      </c>
      <c r="Q138" s="1115">
        <v>0</v>
      </c>
      <c r="R138" s="1115">
        <v>0</v>
      </c>
      <c r="S138" s="1115">
        <v>0</v>
      </c>
      <c r="T138" s="1115">
        <v>0</v>
      </c>
      <c r="U138" s="402"/>
    </row>
    <row r="139" spans="2:21" s="1" customFormat="1" ht="15.5" x14ac:dyDescent="0.35">
      <c r="B139" s="407"/>
      <c r="C139" s="408"/>
      <c r="D139" s="408"/>
      <c r="E139" s="513"/>
      <c r="F139" s="513"/>
      <c r="G139" s="513"/>
      <c r="H139" s="513"/>
      <c r="I139" s="513"/>
      <c r="J139" s="513"/>
      <c r="K139" s="748"/>
      <c r="L139" s="748"/>
      <c r="M139" s="748"/>
      <c r="N139" s="403"/>
      <c r="O139" s="403"/>
      <c r="P139" s="403"/>
      <c r="Q139" s="403"/>
      <c r="R139" s="403"/>
      <c r="S139" s="403"/>
      <c r="T139" s="403"/>
      <c r="U139" s="392"/>
    </row>
    <row r="140" spans="2:21" s="2" customFormat="1" x14ac:dyDescent="0.3">
      <c r="B140" s="149"/>
      <c r="C140" s="149"/>
      <c r="D140" s="343"/>
      <c r="E140" s="343"/>
      <c r="F140" s="343"/>
      <c r="G140" s="343"/>
      <c r="H140" s="343"/>
      <c r="I140" s="343"/>
      <c r="J140" s="343"/>
      <c r="K140" s="119"/>
      <c r="L140" s="119"/>
      <c r="M140" s="119"/>
      <c r="N140" s="4"/>
      <c r="O140" s="4"/>
      <c r="P140" s="4"/>
      <c r="Q140" s="4"/>
      <c r="R140" s="4"/>
      <c r="S140" s="4"/>
      <c r="T140" s="4"/>
      <c r="U140" s="4"/>
    </row>
    <row r="141" spans="2:21" s="2" customFormat="1" ht="18" customHeight="1" x14ac:dyDescent="0.3">
      <c r="B141" s="42"/>
      <c r="C141" s="756"/>
      <c r="D141" s="756"/>
      <c r="E141" s="756"/>
      <c r="F141" s="756"/>
      <c r="G141" s="756"/>
      <c r="H141" s="756"/>
      <c r="I141" s="756"/>
      <c r="J141" s="756"/>
    </row>
    <row r="142" spans="2:21" x14ac:dyDescent="0.3">
      <c r="B142" s="7"/>
      <c r="C142" s="7"/>
      <c r="D142" s="7"/>
      <c r="E142" s="7"/>
      <c r="F142" s="7"/>
      <c r="G142" s="7"/>
      <c r="H142" s="7"/>
      <c r="I142" s="7"/>
      <c r="J142" s="7"/>
      <c r="K142" s="7"/>
      <c r="L142" s="7"/>
      <c r="M142" s="7"/>
      <c r="N142" s="7"/>
      <c r="O142" s="7"/>
      <c r="P142" s="1"/>
      <c r="Q142" s="1"/>
      <c r="R142" s="1"/>
      <c r="S142" s="1"/>
      <c r="T142" s="1"/>
      <c r="U142" s="1"/>
    </row>
    <row r="143" spans="2:21" x14ac:dyDescent="0.3">
      <c r="B143" s="7"/>
      <c r="C143" s="7"/>
      <c r="D143" s="7"/>
      <c r="E143" s="7"/>
      <c r="F143" s="7"/>
      <c r="G143" s="7"/>
      <c r="H143" s="7"/>
      <c r="I143" s="7"/>
      <c r="J143" s="7"/>
      <c r="K143" s="48"/>
      <c r="L143" s="11"/>
      <c r="M143" s="11"/>
      <c r="N143" s="7"/>
      <c r="O143" s="7"/>
      <c r="P143" s="1"/>
      <c r="Q143" s="1"/>
      <c r="R143" s="1"/>
      <c r="S143" s="1"/>
      <c r="T143" s="1"/>
      <c r="U143" s="1"/>
    </row>
    <row r="144" spans="2:21" x14ac:dyDescent="0.3">
      <c r="B144" s="7"/>
      <c r="C144" s="7"/>
      <c r="D144" s="7"/>
      <c r="E144" s="7"/>
      <c r="F144" s="7"/>
      <c r="G144" s="7"/>
      <c r="H144" s="7"/>
      <c r="I144" s="7"/>
      <c r="J144" s="7"/>
      <c r="K144" s="55"/>
      <c r="L144" s="55"/>
      <c r="M144" s="55"/>
      <c r="N144" s="7"/>
      <c r="O144" s="7"/>
      <c r="P144" s="1"/>
      <c r="Q144" s="1"/>
      <c r="R144" s="1"/>
      <c r="S144" s="1"/>
      <c r="T144" s="1"/>
      <c r="U144" s="1"/>
    </row>
    <row r="145" spans="2:15" x14ac:dyDescent="0.3">
      <c r="B145" s="7"/>
      <c r="C145" s="7"/>
      <c r="D145" s="7"/>
      <c r="E145" s="7"/>
      <c r="F145" s="7"/>
      <c r="G145" s="7"/>
      <c r="H145" s="7"/>
      <c r="I145" s="7"/>
      <c r="J145" s="7"/>
      <c r="K145" s="7"/>
      <c r="L145" s="7"/>
      <c r="M145" s="7"/>
      <c r="N145" s="7"/>
      <c r="O145" s="7"/>
    </row>
    <row r="146" spans="2:15" x14ac:dyDescent="0.3">
      <c r="K146" s="7"/>
      <c r="L146" s="7"/>
      <c r="M146" s="7"/>
      <c r="N146" s="7"/>
      <c r="O146" s="7"/>
    </row>
    <row r="147" spans="2:15" x14ac:dyDescent="0.3">
      <c r="K147" s="7"/>
      <c r="L147" s="7"/>
      <c r="M147" s="56"/>
      <c r="N147" s="7"/>
      <c r="O147" s="7"/>
    </row>
    <row r="148" spans="2:15" x14ac:dyDescent="0.3">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6"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G59" sqref="G59"/>
    </sheetView>
  </sheetViews>
  <sheetFormatPr defaultColWidth="9.36328125" defaultRowHeight="14" x14ac:dyDescent="0.3"/>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2.6328125"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x14ac:dyDescent="0.3">
      <c r="B2" s="1657" t="str">
        <f>Index!B2</f>
        <v xml:space="preserve">      Maharashtra State Power Generation Company Ltd.</v>
      </c>
      <c r="C2" s="1657"/>
      <c r="D2" s="1657"/>
      <c r="E2" s="1657"/>
      <c r="F2" s="1657"/>
      <c r="G2" s="117"/>
      <c r="H2" s="117"/>
      <c r="I2" s="117"/>
      <c r="J2" s="117"/>
      <c r="K2" s="117"/>
      <c r="L2" s="117"/>
      <c r="M2" s="117"/>
      <c r="N2" s="117"/>
      <c r="O2" s="117"/>
    </row>
    <row r="3" spans="2:15" x14ac:dyDescent="0.3">
      <c r="B3" s="1657" t="str">
        <f>Index!B3</f>
        <v>MYT Petition Formats for Chandrapur Unit 3-7</v>
      </c>
      <c r="C3" s="1657"/>
      <c r="D3" s="1657"/>
      <c r="E3" s="1657"/>
      <c r="F3" s="1657"/>
      <c r="G3" s="117"/>
      <c r="H3" s="117"/>
      <c r="I3" s="117"/>
      <c r="J3" s="117"/>
      <c r="K3" s="117"/>
      <c r="L3" s="117"/>
      <c r="M3" s="117"/>
      <c r="N3" s="117"/>
      <c r="O3" s="117"/>
    </row>
    <row r="4" spans="2:15" x14ac:dyDescent="0.3">
      <c r="B4" s="1658" t="s">
        <v>384</v>
      </c>
      <c r="C4" s="1658"/>
      <c r="D4" s="1658"/>
      <c r="E4" s="1658"/>
      <c r="F4" s="1658"/>
      <c r="G4" s="117"/>
      <c r="H4" s="117"/>
      <c r="I4" s="117"/>
      <c r="J4" s="117"/>
      <c r="K4" s="117"/>
      <c r="L4" s="117"/>
      <c r="M4" s="117"/>
      <c r="N4" s="117"/>
      <c r="O4" s="117"/>
    </row>
    <row r="5" spans="2:15" x14ac:dyDescent="0.3">
      <c r="B5" s="156"/>
      <c r="C5" s="7"/>
      <c r="D5" s="18"/>
      <c r="E5" s="18"/>
      <c r="F5" s="18"/>
      <c r="G5" s="18"/>
      <c r="H5" s="18"/>
      <c r="I5" s="18"/>
    </row>
    <row r="6" spans="2:15" x14ac:dyDescent="0.3">
      <c r="B6" s="155" t="s">
        <v>1015</v>
      </c>
      <c r="C6" s="7"/>
      <c r="D6" s="18"/>
      <c r="E6" s="18"/>
      <c r="F6" s="18"/>
      <c r="G6" s="18"/>
      <c r="H6" s="18"/>
      <c r="I6" s="18"/>
    </row>
    <row r="7" spans="2:15" x14ac:dyDescent="0.3">
      <c r="B7" s="155"/>
      <c r="C7" s="17"/>
      <c r="D7" s="18"/>
      <c r="E7" s="18"/>
      <c r="F7" s="21" t="s">
        <v>10</v>
      </c>
      <c r="G7" s="21"/>
      <c r="H7" s="21"/>
      <c r="I7" s="18"/>
    </row>
    <row r="8" spans="2:15" s="35" customFormat="1" x14ac:dyDescent="0.3">
      <c r="B8" s="1705" t="s">
        <v>340</v>
      </c>
      <c r="C8" s="1707" t="s">
        <v>37</v>
      </c>
      <c r="D8" s="1707" t="s">
        <v>145</v>
      </c>
      <c r="E8" s="1654" t="s">
        <v>506</v>
      </c>
      <c r="F8" s="1656"/>
      <c r="G8" s="1654" t="s">
        <v>507</v>
      </c>
      <c r="H8" s="1656"/>
      <c r="I8" s="1654" t="s">
        <v>508</v>
      </c>
      <c r="J8" s="1656"/>
      <c r="K8" s="57"/>
      <c r="L8" s="57"/>
      <c r="M8" s="57"/>
    </row>
    <row r="9" spans="2:15" s="35" customFormat="1" ht="33.65" customHeight="1" x14ac:dyDescent="0.3">
      <c r="B9" s="1706"/>
      <c r="C9" s="1708"/>
      <c r="D9" s="1708"/>
      <c r="E9" s="624" t="s">
        <v>967</v>
      </c>
      <c r="F9" s="254" t="s">
        <v>814</v>
      </c>
      <c r="G9" s="688" t="s">
        <v>967</v>
      </c>
      <c r="H9" s="688" t="s">
        <v>814</v>
      </c>
      <c r="I9" s="688" t="s">
        <v>967</v>
      </c>
      <c r="J9" s="688" t="s">
        <v>814</v>
      </c>
      <c r="K9" s="57"/>
      <c r="L9" s="57"/>
      <c r="M9" s="57"/>
    </row>
    <row r="10" spans="2:15" s="425" customFormat="1" x14ac:dyDescent="0.3">
      <c r="B10" s="424">
        <v>1</v>
      </c>
      <c r="C10" s="552" t="s">
        <v>451</v>
      </c>
      <c r="D10" s="466"/>
      <c r="E10" s="530">
        <f>'F2.2'!E12</f>
        <v>0.8</v>
      </c>
      <c r="F10" s="530">
        <f>'F2.2'!F12</f>
        <v>0.8</v>
      </c>
      <c r="G10" s="530">
        <f>'F2.2'!I12</f>
        <v>0.8</v>
      </c>
      <c r="H10" s="757">
        <f>'F2.2'!J12</f>
        <v>0.8</v>
      </c>
      <c r="I10" s="530">
        <f>'F2.2'!N12</f>
        <v>0.8</v>
      </c>
      <c r="J10" s="757">
        <f>'F2.2'!Q12</f>
        <v>0.8</v>
      </c>
      <c r="K10" s="57"/>
      <c r="L10" s="57"/>
      <c r="M10" s="57"/>
    </row>
    <row r="11" spans="2:15" s="425" customFormat="1" x14ac:dyDescent="0.3">
      <c r="B11" s="424">
        <v>1.1000000000000001</v>
      </c>
      <c r="C11" s="556" t="s">
        <v>642</v>
      </c>
      <c r="D11" s="466"/>
      <c r="E11" s="498"/>
      <c r="F11" s="758"/>
      <c r="G11" s="498"/>
      <c r="H11" s="758"/>
      <c r="I11" s="498"/>
      <c r="J11" s="758"/>
      <c r="K11" s="57"/>
      <c r="L11" s="57"/>
      <c r="M11" s="57"/>
    </row>
    <row r="12" spans="2:15" s="6" customFormat="1" x14ac:dyDescent="0.3">
      <c r="B12" s="424"/>
      <c r="C12" s="759" t="s">
        <v>643</v>
      </c>
      <c r="D12" s="466"/>
      <c r="E12" s="320"/>
      <c r="F12" s="320">
        <f>'F2.2'!F15</f>
        <v>0.68162</v>
      </c>
      <c r="G12" s="320"/>
      <c r="H12" s="320">
        <f>'F2.2'!J15</f>
        <v>0</v>
      </c>
      <c r="I12" s="320"/>
      <c r="J12" s="320">
        <f>'F2.2'!N15</f>
        <v>0</v>
      </c>
      <c r="K12" s="57"/>
    </row>
    <row r="13" spans="2:15" s="6" customFormat="1" x14ac:dyDescent="0.3">
      <c r="B13" s="424"/>
      <c r="C13" s="759" t="s">
        <v>644</v>
      </c>
      <c r="D13" s="466"/>
      <c r="E13" s="320"/>
      <c r="F13" s="320">
        <f>'F2.2'!F16</f>
        <v>0.68098999999999998</v>
      </c>
      <c r="G13" s="320"/>
      <c r="H13" s="320">
        <f>'F2.2'!J16</f>
        <v>0</v>
      </c>
      <c r="I13" s="320"/>
      <c r="J13" s="320">
        <f>'F2.2'!N16</f>
        <v>0</v>
      </c>
      <c r="K13" s="57"/>
    </row>
    <row r="14" spans="2:15" s="6" customFormat="1" x14ac:dyDescent="0.3">
      <c r="B14" s="424">
        <v>1.2</v>
      </c>
      <c r="C14" s="556" t="s">
        <v>645</v>
      </c>
      <c r="D14" s="466"/>
      <c r="E14" s="320"/>
      <c r="F14" s="320"/>
      <c r="G14" s="320"/>
      <c r="H14" s="320"/>
      <c r="I14" s="320"/>
      <c r="J14" s="320"/>
      <c r="K14" s="57"/>
    </row>
    <row r="15" spans="2:15" s="6" customFormat="1" x14ac:dyDescent="0.3">
      <c r="B15" s="424"/>
      <c r="C15" s="759" t="s">
        <v>643</v>
      </c>
      <c r="D15" s="466"/>
      <c r="E15" s="320"/>
      <c r="F15" s="320">
        <f>'F2.2'!F18</f>
        <v>0.46498</v>
      </c>
      <c r="G15" s="320"/>
      <c r="H15" s="320">
        <f>'F2.2'!J18</f>
        <v>0</v>
      </c>
      <c r="I15" s="320"/>
      <c r="J15" s="320">
        <f>'F2.2'!N18</f>
        <v>0</v>
      </c>
      <c r="K15" s="57"/>
    </row>
    <row r="16" spans="2:15" s="6" customFormat="1" x14ac:dyDescent="0.3">
      <c r="B16" s="424"/>
      <c r="C16" s="759" t="s">
        <v>644</v>
      </c>
      <c r="D16" s="466"/>
      <c r="E16" s="320"/>
      <c r="F16" s="320">
        <f>'F2.2'!F19</f>
        <v>0.46876000000000001</v>
      </c>
      <c r="G16" s="320"/>
      <c r="H16" s="320">
        <f>'F2.2'!J19</f>
        <v>0</v>
      </c>
      <c r="I16" s="320"/>
      <c r="J16" s="320">
        <f>'F2.2'!N19</f>
        <v>0</v>
      </c>
      <c r="K16" s="57"/>
    </row>
    <row r="17" spans="2:11" s="6" customFormat="1" x14ac:dyDescent="0.3">
      <c r="B17" s="424">
        <v>2</v>
      </c>
      <c r="C17" s="552" t="s">
        <v>704</v>
      </c>
      <c r="D17" s="466"/>
      <c r="E17" s="320"/>
      <c r="F17" s="320"/>
      <c r="G17" s="320"/>
      <c r="H17" s="320"/>
      <c r="I17" s="320"/>
      <c r="J17" s="320"/>
      <c r="K17" s="57"/>
    </row>
    <row r="18" spans="2:11" s="6" customFormat="1" x14ac:dyDescent="0.3">
      <c r="B18" s="424">
        <v>3</v>
      </c>
      <c r="C18" s="552" t="s">
        <v>738</v>
      </c>
      <c r="D18" s="466"/>
      <c r="E18" s="320"/>
      <c r="F18" s="320"/>
      <c r="G18" s="320"/>
      <c r="H18" s="320"/>
      <c r="I18" s="320"/>
      <c r="J18" s="320"/>
      <c r="K18" s="57"/>
    </row>
    <row r="19" spans="2:11" s="6" customFormat="1" ht="16" x14ac:dyDescent="0.3">
      <c r="B19" s="424">
        <f>B18+1</f>
        <v>4</v>
      </c>
      <c r="C19" s="552" t="s">
        <v>329</v>
      </c>
      <c r="D19" s="1371">
        <v>30</v>
      </c>
      <c r="E19" s="320">
        <v>352.16042292044324</v>
      </c>
      <c r="F19" s="320">
        <f>SUM('F2.2'!$F$116:$F$118)/365*$D19</f>
        <v>268.66091230121191</v>
      </c>
      <c r="G19" s="492">
        <v>349.17436366424522</v>
      </c>
      <c r="H19" s="320">
        <f>SUM('F2.2'!$J$116:$J$118)/366*$D19</f>
        <v>278.15170247365734</v>
      </c>
      <c r="I19" s="492">
        <v>348.53115267263433</v>
      </c>
      <c r="J19" s="320">
        <f>SUM('F2.2'!$N$116:$N$118)/365*$D19</f>
        <v>360.84482118028228</v>
      </c>
      <c r="K19" s="57"/>
    </row>
    <row r="20" spans="2:11" s="6" customFormat="1" ht="16" x14ac:dyDescent="0.3">
      <c r="B20" s="424">
        <f t="shared" ref="B20:B30" si="0">B19+1</f>
        <v>5</v>
      </c>
      <c r="C20" s="552" t="s">
        <v>332</v>
      </c>
      <c r="D20" s="1371">
        <v>30</v>
      </c>
      <c r="E20" s="320">
        <f>E19</f>
        <v>352.16042292044324</v>
      </c>
      <c r="F20" s="320">
        <f>SUM('F2.2'!$F$116:$F$118)/365*$D20</f>
        <v>268.66091230121191</v>
      </c>
      <c r="G20" s="492">
        <f>G19</f>
        <v>349.17436366424522</v>
      </c>
      <c r="H20" s="320">
        <f>SUM('F2.2'!$J$116:$J$118)/366*$D20</f>
        <v>278.15170247365734</v>
      </c>
      <c r="I20" s="492">
        <f>I19</f>
        <v>348.53115267263433</v>
      </c>
      <c r="J20" s="320">
        <f>SUM('F2.2'!$N$116:$N$118)/365*$D20</f>
        <v>360.84482118028228</v>
      </c>
      <c r="K20" s="57"/>
    </row>
    <row r="21" spans="2:11" s="6" customFormat="1" ht="16" x14ac:dyDescent="0.3">
      <c r="B21" s="424">
        <f t="shared" si="0"/>
        <v>6</v>
      </c>
      <c r="C21" s="91" t="s">
        <v>330</v>
      </c>
      <c r="D21" s="1371"/>
      <c r="E21" s="320"/>
      <c r="F21" s="320"/>
      <c r="G21" s="492"/>
      <c r="H21" s="320"/>
      <c r="I21" s="492"/>
      <c r="J21" s="320"/>
      <c r="K21" s="57"/>
    </row>
    <row r="22" spans="2:11" s="6" customFormat="1" ht="16" x14ac:dyDescent="0.3">
      <c r="B22" s="424">
        <f t="shared" si="0"/>
        <v>7</v>
      </c>
      <c r="C22" s="91" t="s">
        <v>331</v>
      </c>
      <c r="D22" s="1372">
        <v>2</v>
      </c>
      <c r="E22" s="320">
        <v>11.510984790377139</v>
      </c>
      <c r="F22" s="320">
        <f>SUM('F2.2'!$F$121:$F$124)/12*$D22</f>
        <v>8.5363310199824873</v>
      </c>
      <c r="G22" s="492">
        <v>12.448546874964272</v>
      </c>
      <c r="H22" s="320">
        <f>SUM('F2.2'!$J$121:$J$124)/12*$D22</f>
        <v>9.0330297932770023</v>
      </c>
      <c r="I22" s="492">
        <v>12.60075246858576</v>
      </c>
      <c r="J22" s="320">
        <f>SUM('F2.2'!$N$121:$N$124)/12*$D22</f>
        <v>11.971238841095177</v>
      </c>
      <c r="K22" s="57"/>
    </row>
    <row r="23" spans="2:11" s="6" customFormat="1" ht="16" x14ac:dyDescent="0.3">
      <c r="B23" s="424">
        <f t="shared" si="0"/>
        <v>8</v>
      </c>
      <c r="C23" s="91" t="s">
        <v>146</v>
      </c>
      <c r="D23" s="4"/>
      <c r="E23" s="320"/>
      <c r="F23" s="320"/>
      <c r="G23" s="492"/>
      <c r="H23" s="320"/>
      <c r="I23" s="492"/>
      <c r="J23" s="320"/>
      <c r="K23" s="57"/>
    </row>
    <row r="24" spans="2:11" s="6" customFormat="1" ht="16" x14ac:dyDescent="0.3">
      <c r="B24" s="424">
        <f t="shared" si="0"/>
        <v>9</v>
      </c>
      <c r="C24" s="91" t="s">
        <v>147</v>
      </c>
      <c r="D24" s="4"/>
      <c r="E24" s="320"/>
      <c r="F24" s="320"/>
      <c r="G24" s="492"/>
      <c r="H24" s="320"/>
      <c r="I24" s="492"/>
      <c r="J24" s="320"/>
      <c r="K24" s="57"/>
    </row>
    <row r="25" spans="2:11" s="6" customFormat="1" ht="16" x14ac:dyDescent="0.3">
      <c r="B25" s="424">
        <f t="shared" si="0"/>
        <v>10</v>
      </c>
      <c r="C25" s="91" t="s">
        <v>148</v>
      </c>
      <c r="D25" s="4"/>
      <c r="E25" s="320"/>
      <c r="F25" s="320"/>
      <c r="G25" s="492"/>
      <c r="H25" s="320"/>
      <c r="I25" s="492"/>
      <c r="J25" s="320"/>
      <c r="K25" s="57"/>
    </row>
    <row r="26" spans="2:11" s="6" customFormat="1" x14ac:dyDescent="0.3">
      <c r="B26" s="424">
        <f t="shared" si="0"/>
        <v>11</v>
      </c>
      <c r="C26" s="552" t="s">
        <v>173</v>
      </c>
      <c r="D26" s="1373">
        <v>1</v>
      </c>
      <c r="E26" s="320">
        <v>57.041725044058431</v>
      </c>
      <c r="F26" s="320">
        <f>('F1'!$F$13+'F1'!$F$21)/12*$D26</f>
        <v>58.819359785978456</v>
      </c>
      <c r="G26" s="492">
        <v>59.099140845907698</v>
      </c>
      <c r="H26" s="320">
        <f>('F1'!$J$13+'F1'!$K$21)/12*$D26</f>
        <v>66.226540723748641</v>
      </c>
      <c r="I26" s="492">
        <v>61.237566666502481</v>
      </c>
      <c r="J26" s="320">
        <f>('F1'!$N$13+'F1'!$Q$21)/12*$D26</f>
        <v>67.349350878888842</v>
      </c>
      <c r="K26" s="57"/>
    </row>
    <row r="27" spans="2:11" s="6" customFormat="1" x14ac:dyDescent="0.3">
      <c r="B27" s="424">
        <f t="shared" si="0"/>
        <v>12</v>
      </c>
      <c r="C27" s="552" t="s">
        <v>1016</v>
      </c>
      <c r="D27" s="1374">
        <v>0.01</v>
      </c>
      <c r="E27" s="320">
        <v>42.117595612961686</v>
      </c>
      <c r="F27" s="320">
        <f>'F3.4'!$D$23*$D27</f>
        <v>42.117595612961686</v>
      </c>
      <c r="G27" s="492">
        <v>44.109281544191688</v>
      </c>
      <c r="H27" s="320">
        <f>'F3.4'!$E$23*$D27</f>
        <v>43.264281029061685</v>
      </c>
      <c r="I27" s="492">
        <v>45.603796320191698</v>
      </c>
      <c r="J27" s="320">
        <f>'F3.4'!$H$23*$D27</f>
        <v>44.342512365111695</v>
      </c>
      <c r="K27" s="57"/>
    </row>
    <row r="28" spans="2:11" s="6" customFormat="1" x14ac:dyDescent="0.3">
      <c r="B28" s="424">
        <f t="shared" si="0"/>
        <v>13</v>
      </c>
      <c r="C28" s="552" t="s">
        <v>150</v>
      </c>
      <c r="D28" s="1375">
        <v>45</v>
      </c>
      <c r="E28" s="320">
        <v>669.31301080578828</v>
      </c>
      <c r="F28" s="320">
        <f>('F1'!$G$27-'F1'!$G$11+'F1'!$F$11-'F1'!$G$13+'F1'!$F$13)/365*$D28</f>
        <v>555.19222944833837</v>
      </c>
      <c r="G28" s="492">
        <v>674.72082152740415</v>
      </c>
      <c r="H28" s="320">
        <f>('F1'!$K$27-'F1'!$K$11+'F1'!$J$11-'F1'!$K$13+'F1'!$J$13)/366*69</f>
        <v>904.10834533968477</v>
      </c>
      <c r="I28" s="492">
        <v>696.55022030192208</v>
      </c>
      <c r="J28" s="320">
        <f ca="1">('F1'!$Q$27-'F1'!$Q$11+'F1'!$N$11-'F1'!$Q$13+'F1'!$N$13)/365*75</f>
        <v>1200.8003931995688</v>
      </c>
      <c r="K28" s="57"/>
    </row>
    <row r="29" spans="2:11" s="6" customFormat="1" ht="16" x14ac:dyDescent="0.3">
      <c r="B29" s="424">
        <f t="shared" si="0"/>
        <v>14</v>
      </c>
      <c r="C29" s="552" t="s">
        <v>548</v>
      </c>
      <c r="D29" s="1375">
        <v>30</v>
      </c>
      <c r="E29" s="320">
        <v>4.7962436626571412</v>
      </c>
      <c r="F29" s="320">
        <f>SUM('F2.2'!$F$121:$F$124)/365*$D29</f>
        <v>4.2096974893064321</v>
      </c>
      <c r="G29" s="492">
        <v>5.1868945312351133</v>
      </c>
      <c r="H29" s="320">
        <f>SUM('F2.2'!$J$121:$J$124)/366*$D29</f>
        <v>4.4424736688247553</v>
      </c>
      <c r="I29" s="492">
        <v>5.2503135285773999</v>
      </c>
      <c r="J29" s="320">
        <f>SUM('F2.2'!$N$121:$N$124)/365*$D29</f>
        <v>5.9036246339647445</v>
      </c>
      <c r="K29" s="57"/>
    </row>
    <row r="30" spans="2:11" s="6" customFormat="1" x14ac:dyDescent="0.3">
      <c r="B30" s="424">
        <f t="shared" si="0"/>
        <v>15</v>
      </c>
      <c r="C30" s="179" t="s">
        <v>151</v>
      </c>
      <c r="D30" s="3"/>
      <c r="E30" s="764">
        <f>SUM(E19:E28)-E29</f>
        <v>1479.507918431415</v>
      </c>
      <c r="F30" s="764">
        <f>SUM(F19:F28)-F29</f>
        <v>1197.7776429803787</v>
      </c>
      <c r="G30" s="764">
        <f t="shared" ref="G30:J30" si="1">SUM(G19:G28)-G29</f>
        <v>1483.5396235897231</v>
      </c>
      <c r="H30" s="764">
        <f t="shared" si="1"/>
        <v>1574.4931281642621</v>
      </c>
      <c r="I30" s="764">
        <f t="shared" si="1"/>
        <v>1507.8043275738933</v>
      </c>
      <c r="J30" s="764">
        <f t="shared" ca="1" si="1"/>
        <v>2040.2495130112643</v>
      </c>
      <c r="K30" s="57"/>
    </row>
    <row r="31" spans="2:11" s="6" customFormat="1" x14ac:dyDescent="0.3">
      <c r="B31" s="491"/>
      <c r="C31" s="557"/>
      <c r="D31" s="3"/>
      <c r="E31" s="320"/>
      <c r="F31" s="697"/>
      <c r="G31" s="320"/>
      <c r="H31" s="697"/>
      <c r="I31" s="320"/>
      <c r="J31" s="697"/>
      <c r="K31" s="57"/>
    </row>
    <row r="32" spans="2:11" s="6" customFormat="1" x14ac:dyDescent="0.3">
      <c r="B32" s="424">
        <f>B30+1</f>
        <v>16</v>
      </c>
      <c r="C32" s="181" t="s">
        <v>377</v>
      </c>
      <c r="D32" s="3"/>
      <c r="E32" s="320"/>
      <c r="F32" s="320"/>
      <c r="G32" s="320"/>
      <c r="H32" s="320"/>
      <c r="I32" s="320"/>
      <c r="J32" s="320"/>
      <c r="K32" s="57"/>
    </row>
    <row r="33" spans="2:20" x14ac:dyDescent="0.3">
      <c r="B33" s="424">
        <f t="shared" ref="B33:B35" si="2">B32+1</f>
        <v>17</v>
      </c>
      <c r="C33" s="552" t="s">
        <v>378</v>
      </c>
      <c r="D33" s="3"/>
      <c r="E33" s="813">
        <v>9.4500000000000001E-2</v>
      </c>
      <c r="F33" s="813">
        <v>9.2987671232876712E-2</v>
      </c>
      <c r="G33" s="841">
        <v>9.4500000000000001E-2</v>
      </c>
      <c r="H33" s="813">
        <v>0.10065163934426231</v>
      </c>
      <c r="I33" s="841">
        <v>9.4500000000000001E-2</v>
      </c>
      <c r="J33" s="813">
        <v>0.1045</v>
      </c>
      <c r="K33" s="57"/>
    </row>
    <row r="34" spans="2:20" x14ac:dyDescent="0.3">
      <c r="B34" s="240">
        <f t="shared" si="2"/>
        <v>18</v>
      </c>
      <c r="C34" s="179" t="s">
        <v>87</v>
      </c>
      <c r="D34" s="3"/>
      <c r="E34" s="765">
        <f>E30*E33</f>
        <v>139.81349829176872</v>
      </c>
      <c r="F34" s="765">
        <f>F30*F33</f>
        <v>111.37855367554943</v>
      </c>
      <c r="G34" s="765">
        <f t="shared" ref="G34:J34" si="3">G30*G33</f>
        <v>140.19449442922883</v>
      </c>
      <c r="H34" s="765">
        <f t="shared" si="3"/>
        <v>158.4753144860087</v>
      </c>
      <c r="I34" s="765">
        <f t="shared" si="3"/>
        <v>142.48750895573292</v>
      </c>
      <c r="J34" s="765">
        <f t="shared" ca="1" si="3"/>
        <v>213.2060741096771</v>
      </c>
      <c r="K34" s="57"/>
    </row>
    <row r="35" spans="2:20" x14ac:dyDescent="0.3">
      <c r="B35" s="240">
        <f t="shared" si="2"/>
        <v>19</v>
      </c>
      <c r="C35" s="179" t="s">
        <v>953</v>
      </c>
      <c r="D35" s="3"/>
      <c r="E35" s="766"/>
      <c r="F35" s="320">
        <v>215.59555157145701</v>
      </c>
      <c r="G35" s="766"/>
      <c r="H35" s="320">
        <v>272.97874436253818</v>
      </c>
      <c r="I35" s="766"/>
      <c r="J35" s="320"/>
      <c r="K35" s="57"/>
    </row>
    <row r="36" spans="2:20" s="1" customFormat="1" x14ac:dyDescent="0.3">
      <c r="B36" s="214"/>
      <c r="C36" s="553"/>
      <c r="D36" s="7"/>
      <c r="E36" s="215"/>
      <c r="F36" s="215"/>
      <c r="G36" s="215"/>
      <c r="H36" s="215"/>
      <c r="I36" s="215"/>
      <c r="J36" s="215"/>
      <c r="K36" s="57"/>
      <c r="L36" s="57"/>
      <c r="M36" s="57"/>
      <c r="N36" s="57"/>
      <c r="O36" s="57"/>
      <c r="P36" s="57"/>
    </row>
    <row r="37" spans="2:20" s="1" customFormat="1" hidden="1" x14ac:dyDescent="0.3">
      <c r="B37" s="176" t="s">
        <v>144</v>
      </c>
      <c r="C37" s="554"/>
      <c r="D37" s="7"/>
      <c r="E37" s="7"/>
      <c r="F37" s="7"/>
      <c r="G37" s="7"/>
      <c r="H37" s="7"/>
      <c r="I37" s="7"/>
      <c r="J37" s="7"/>
    </row>
    <row r="38" spans="2:20" s="1" customFormat="1" hidden="1" x14ac:dyDescent="0.3">
      <c r="B38" s="96">
        <v>1</v>
      </c>
      <c r="C38" s="555" t="s">
        <v>153</v>
      </c>
      <c r="D38" s="48"/>
      <c r="E38" s="48"/>
      <c r="F38" s="11"/>
      <c r="G38" s="11"/>
      <c r="H38" s="11"/>
      <c r="I38" s="11"/>
      <c r="J38" s="7"/>
    </row>
    <row r="39" spans="2:20" s="1" customFormat="1" hidden="1" x14ac:dyDescent="0.3">
      <c r="B39" s="96">
        <v>2</v>
      </c>
      <c r="C39" s="555" t="s">
        <v>154</v>
      </c>
      <c r="D39" s="48"/>
      <c r="E39" s="48"/>
      <c r="F39" s="11"/>
      <c r="G39" s="11"/>
      <c r="H39" s="11"/>
      <c r="I39" s="11"/>
      <c r="J39" s="7"/>
    </row>
    <row r="40" spans="2:20" s="1" customFormat="1" ht="18" hidden="1" customHeight="1" x14ac:dyDescent="0.3">
      <c r="B40" s="96">
        <v>3</v>
      </c>
      <c r="C40" s="555" t="s">
        <v>155</v>
      </c>
      <c r="D40" s="42"/>
      <c r="E40" s="42"/>
      <c r="F40" s="42"/>
      <c r="G40" s="42"/>
      <c r="H40" s="42"/>
      <c r="I40" s="42"/>
      <c r="J40" s="7"/>
    </row>
    <row r="41" spans="2:20" hidden="1" x14ac:dyDescent="0.3">
      <c r="B41" s="162">
        <v>4</v>
      </c>
      <c r="C41" s="554" t="s">
        <v>680</v>
      </c>
      <c r="D41" s="7"/>
      <c r="E41" s="7"/>
      <c r="F41" s="7"/>
      <c r="G41" s="7"/>
      <c r="H41" s="7"/>
      <c r="I41" s="7"/>
      <c r="J41" s="7"/>
    </row>
    <row r="42" spans="2:20" hidden="1" x14ac:dyDescent="0.3">
      <c r="B42" s="162">
        <v>5</v>
      </c>
      <c r="C42" s="554" t="s">
        <v>452</v>
      </c>
      <c r="D42" s="7"/>
      <c r="E42" s="7"/>
      <c r="F42" s="7"/>
      <c r="G42" s="7"/>
      <c r="H42" s="7"/>
      <c r="I42" s="7"/>
      <c r="J42" s="7"/>
    </row>
    <row r="43" spans="2:20" hidden="1" x14ac:dyDescent="0.3">
      <c r="B43" s="162"/>
      <c r="C43" s="554"/>
      <c r="D43" s="7"/>
      <c r="E43" s="7"/>
      <c r="F43" s="7"/>
      <c r="G43" s="7"/>
      <c r="H43" s="7"/>
      <c r="I43" s="7"/>
      <c r="J43" s="7"/>
    </row>
    <row r="44" spans="2:20" hidden="1" x14ac:dyDescent="0.3">
      <c r="B44" s="162"/>
      <c r="C44" s="554"/>
      <c r="D44" s="7"/>
      <c r="E44" s="7"/>
      <c r="F44" s="7"/>
      <c r="G44" s="7"/>
      <c r="H44" s="7"/>
      <c r="I44" s="7"/>
      <c r="J44" s="7"/>
    </row>
    <row r="45" spans="2:20" x14ac:dyDescent="0.3">
      <c r="B45" s="176" t="s">
        <v>1008</v>
      </c>
      <c r="C45" s="554"/>
      <c r="D45" s="7"/>
      <c r="E45" s="348"/>
      <c r="F45" s="7"/>
      <c r="G45" s="7"/>
      <c r="H45" s="7"/>
      <c r="I45" s="7"/>
      <c r="J45" s="7"/>
    </row>
    <row r="46" spans="2:20" s="11" customFormat="1" x14ac:dyDescent="0.3">
      <c r="B46" s="92"/>
      <c r="C46" s="767"/>
      <c r="I46" s="768" t="s">
        <v>10</v>
      </c>
    </row>
    <row r="47" spans="2:20" s="35" customFormat="1" ht="27.65" customHeight="1" x14ac:dyDescent="0.3">
      <c r="B47" s="1699" t="s">
        <v>340</v>
      </c>
      <c r="C47" s="1701" t="s">
        <v>37</v>
      </c>
      <c r="D47" s="1701" t="s">
        <v>145</v>
      </c>
      <c r="E47" s="705" t="s">
        <v>969</v>
      </c>
      <c r="F47" s="705" t="s">
        <v>970</v>
      </c>
      <c r="G47" s="705" t="s">
        <v>971</v>
      </c>
      <c r="H47" s="705" t="s">
        <v>972</v>
      </c>
      <c r="I47" s="729" t="s">
        <v>973</v>
      </c>
      <c r="J47" s="57"/>
      <c r="K47" s="57"/>
      <c r="L47" s="57"/>
      <c r="M47" s="57"/>
      <c r="N47" s="57"/>
      <c r="S47" s="57"/>
      <c r="T47" s="57"/>
    </row>
    <row r="48" spans="2:20" s="36" customFormat="1" ht="37.75" customHeight="1" x14ac:dyDescent="0.25">
      <c r="B48" s="1699"/>
      <c r="C48" s="1701"/>
      <c r="D48" s="1701"/>
      <c r="E48" s="688" t="s">
        <v>21</v>
      </c>
      <c r="F48" s="292" t="s">
        <v>21</v>
      </c>
      <c r="G48" s="688" t="s">
        <v>21</v>
      </c>
      <c r="H48" s="688" t="s">
        <v>21</v>
      </c>
      <c r="I48" s="688" t="s">
        <v>21</v>
      </c>
      <c r="J48" s="692"/>
      <c r="K48" s="692"/>
      <c r="L48" s="692"/>
      <c r="M48" s="692"/>
      <c r="N48" s="692"/>
    </row>
    <row r="49" spans="2:14" s="420" customFormat="1" x14ac:dyDescent="0.3">
      <c r="B49" s="424">
        <v>1</v>
      </c>
      <c r="C49" s="552" t="s">
        <v>451</v>
      </c>
      <c r="D49" s="466"/>
      <c r="E49" s="511"/>
      <c r="F49" s="531"/>
      <c r="G49" s="511"/>
      <c r="H49" s="531"/>
      <c r="I49" s="511"/>
      <c r="J49" s="724"/>
      <c r="K49" s="725"/>
      <c r="L49" s="724"/>
      <c r="M49" s="725"/>
      <c r="N49" s="724"/>
    </row>
    <row r="50" spans="2:14" s="420" customFormat="1" x14ac:dyDescent="0.3">
      <c r="B50" s="424">
        <v>1.1000000000000001</v>
      </c>
      <c r="C50" s="556" t="s">
        <v>642</v>
      </c>
      <c r="D50" s="466"/>
      <c r="E50" s="444"/>
      <c r="F50" s="444"/>
      <c r="G50" s="444"/>
      <c r="H50" s="444"/>
      <c r="I50" s="444"/>
      <c r="J50" s="698"/>
      <c r="K50" s="698"/>
      <c r="L50" s="698"/>
      <c r="M50" s="698"/>
      <c r="N50" s="698"/>
    </row>
    <row r="51" spans="2:14" s="420" customFormat="1" x14ac:dyDescent="0.3">
      <c r="B51" s="424"/>
      <c r="C51" s="556" t="s">
        <v>643</v>
      </c>
      <c r="D51" s="466"/>
      <c r="E51" s="444"/>
      <c r="F51" s="444"/>
      <c r="G51" s="444"/>
      <c r="H51" s="444"/>
      <c r="I51" s="444"/>
      <c r="J51" s="698"/>
      <c r="K51" s="698"/>
      <c r="L51" s="698"/>
      <c r="M51" s="698"/>
      <c r="N51" s="698"/>
    </row>
    <row r="52" spans="2:14" s="420" customFormat="1" x14ac:dyDescent="0.3">
      <c r="B52" s="424"/>
      <c r="C52" s="556" t="s">
        <v>644</v>
      </c>
      <c r="D52" s="466"/>
      <c r="E52" s="444"/>
      <c r="F52" s="444"/>
      <c r="G52" s="444"/>
      <c r="H52" s="444"/>
      <c r="I52" s="444"/>
      <c r="J52" s="698"/>
      <c r="K52" s="698"/>
      <c r="L52" s="698"/>
      <c r="M52" s="698"/>
      <c r="N52" s="698"/>
    </row>
    <row r="53" spans="2:14" s="420" customFormat="1" x14ac:dyDescent="0.3">
      <c r="B53" s="424">
        <v>1.2</v>
      </c>
      <c r="C53" s="556" t="s">
        <v>645</v>
      </c>
      <c r="D53" s="466"/>
      <c r="E53" s="444"/>
      <c r="F53" s="444"/>
      <c r="G53" s="444"/>
      <c r="H53" s="444"/>
      <c r="I53" s="444"/>
      <c r="J53" s="698"/>
      <c r="K53" s="698"/>
      <c r="L53" s="698"/>
      <c r="M53" s="698"/>
      <c r="N53" s="698"/>
    </row>
    <row r="54" spans="2:14" s="420" customFormat="1" x14ac:dyDescent="0.3">
      <c r="B54" s="424"/>
      <c r="C54" s="556" t="s">
        <v>643</v>
      </c>
      <c r="D54" s="466"/>
      <c r="E54" s="444"/>
      <c r="F54" s="444"/>
      <c r="G54" s="444"/>
      <c r="H54" s="444"/>
      <c r="I54" s="444"/>
      <c r="J54" s="698"/>
      <c r="K54" s="698"/>
      <c r="L54" s="698"/>
      <c r="M54" s="698"/>
      <c r="N54" s="698"/>
    </row>
    <row r="55" spans="2:14" s="420" customFormat="1" x14ac:dyDescent="0.3">
      <c r="B55" s="424"/>
      <c r="C55" s="556" t="s">
        <v>644</v>
      </c>
      <c r="D55" s="466"/>
      <c r="E55" s="444"/>
      <c r="F55" s="444"/>
      <c r="G55" s="444"/>
      <c r="H55" s="444"/>
      <c r="I55" s="444"/>
      <c r="J55" s="698"/>
      <c r="K55" s="698"/>
      <c r="L55" s="698"/>
      <c r="M55" s="698"/>
      <c r="N55" s="698"/>
    </row>
    <row r="56" spans="2:14" s="420" customFormat="1" x14ac:dyDescent="0.3">
      <c r="B56" s="424">
        <v>2</v>
      </c>
      <c r="C56" s="552" t="s">
        <v>704</v>
      </c>
      <c r="D56" s="466"/>
      <c r="E56" s="444"/>
      <c r="F56" s="444"/>
      <c r="G56" s="444"/>
      <c r="H56" s="444"/>
      <c r="I56" s="444"/>
      <c r="J56" s="698"/>
      <c r="K56" s="698"/>
      <c r="L56" s="698"/>
      <c r="M56" s="698"/>
      <c r="N56" s="698"/>
    </row>
    <row r="57" spans="2:14" s="420" customFormat="1" x14ac:dyDescent="0.3">
      <c r="B57" s="424">
        <v>3</v>
      </c>
      <c r="C57" s="552" t="s">
        <v>738</v>
      </c>
      <c r="D57" s="466"/>
      <c r="E57" s="444"/>
      <c r="F57" s="444"/>
      <c r="G57" s="444"/>
      <c r="H57" s="444"/>
      <c r="I57" s="444"/>
      <c r="J57" s="698"/>
      <c r="K57" s="698"/>
      <c r="L57" s="698"/>
      <c r="M57" s="698"/>
      <c r="N57" s="698"/>
    </row>
    <row r="58" spans="2:14" s="420" customFormat="1" ht="16" x14ac:dyDescent="0.3">
      <c r="B58" s="424">
        <v>3</v>
      </c>
      <c r="C58" s="552" t="s">
        <v>329</v>
      </c>
      <c r="D58" s="1371">
        <v>20</v>
      </c>
      <c r="E58" s="444">
        <f>SUM('F2.2'!S116:S120)/365*$D58</f>
        <v>294.52198325445249</v>
      </c>
      <c r="F58" s="444">
        <f>SUM('F2.2'!T116:T120)/365*$D58</f>
        <v>309.23384347413116</v>
      </c>
      <c r="G58" s="444">
        <f>SUM('F2.2'!U116:U120)/366*$D58</f>
        <v>323.8111002920794</v>
      </c>
      <c r="H58" s="444">
        <f>SUM('F2.2'!V116:V120)/365*$D58</f>
        <v>339.41801924247341</v>
      </c>
      <c r="I58" s="444">
        <f>SUM('F2.2'!W116:W120)/365*$D58</f>
        <v>356.4042877689011</v>
      </c>
      <c r="J58" s="698"/>
      <c r="K58" s="698"/>
      <c r="L58" s="698"/>
      <c r="M58" s="698"/>
      <c r="N58" s="698"/>
    </row>
    <row r="59" spans="2:14" s="420" customFormat="1" ht="16" x14ac:dyDescent="0.3">
      <c r="B59" s="424">
        <f>B58+1</f>
        <v>4</v>
      </c>
      <c r="C59" s="552" t="s">
        <v>332</v>
      </c>
      <c r="D59" s="1371">
        <v>30</v>
      </c>
      <c r="E59" s="444">
        <f>SUM('F2.2'!S116:S120)/365*$D59</f>
        <v>441.78297488167874</v>
      </c>
      <c r="F59" s="444">
        <f>SUM('F2.2'!T116:T120)/365*$D59</f>
        <v>463.8507652111968</v>
      </c>
      <c r="G59" s="444">
        <f>SUM('F2.2'!U116:U120)/366*$D59</f>
        <v>485.71665043811907</v>
      </c>
      <c r="H59" s="444">
        <f>SUM('F2.2'!V116:V120)/365*$D59</f>
        <v>509.12702886371017</v>
      </c>
      <c r="I59" s="444">
        <f>SUM('F2.2'!W116:W120)/365*$D59</f>
        <v>534.60643165335171</v>
      </c>
      <c r="J59" s="698"/>
      <c r="K59" s="698"/>
      <c r="L59" s="698"/>
      <c r="M59" s="698"/>
      <c r="N59" s="698"/>
    </row>
    <row r="60" spans="2:14" s="420" customFormat="1" ht="16" x14ac:dyDescent="0.3">
      <c r="B60" s="424">
        <f t="shared" ref="B60:B74" si="4">B59+1</f>
        <v>5</v>
      </c>
      <c r="C60" s="91" t="s">
        <v>330</v>
      </c>
      <c r="D60" s="1371"/>
      <c r="E60" s="444"/>
      <c r="F60" s="444"/>
      <c r="G60" s="444"/>
      <c r="H60" s="444"/>
      <c r="I60" s="444"/>
      <c r="J60" s="698"/>
      <c r="K60" s="698"/>
      <c r="L60" s="698"/>
      <c r="M60" s="698"/>
      <c r="N60" s="698"/>
    </row>
    <row r="61" spans="2:14" s="420" customFormat="1" ht="16" x14ac:dyDescent="0.3">
      <c r="B61" s="424">
        <f t="shared" si="4"/>
        <v>6</v>
      </c>
      <c r="C61" s="91" t="s">
        <v>331</v>
      </c>
      <c r="D61" s="1372">
        <v>2</v>
      </c>
      <c r="E61" s="444">
        <f>SUM('F2.2'!S121:S124)/12*$D$61</f>
        <v>14.164979610724421</v>
      </c>
      <c r="F61" s="444">
        <f>SUM('F2.2'!T121:T124)/12*$D$61</f>
        <v>14.873228591260641</v>
      </c>
      <c r="G61" s="444">
        <f>SUM('F2.2'!U121:U124)/12*$D$61</f>
        <v>15.616890020823675</v>
      </c>
      <c r="H61" s="444">
        <f>SUM('F2.2'!V121:V124)/12*$D$61</f>
        <v>16.36270582459132</v>
      </c>
      <c r="I61" s="444">
        <f>SUM('F2.2'!W121:W124)/12*$D$61</f>
        <v>17.211327041975306</v>
      </c>
      <c r="J61" s="698"/>
      <c r="K61" s="698"/>
      <c r="L61" s="698"/>
      <c r="M61" s="698"/>
      <c r="N61" s="698"/>
    </row>
    <row r="62" spans="2:14" s="420" customFormat="1" ht="16" x14ac:dyDescent="0.3">
      <c r="B62" s="424">
        <f t="shared" si="4"/>
        <v>7</v>
      </c>
      <c r="C62" s="91" t="s">
        <v>146</v>
      </c>
      <c r="D62" s="4"/>
      <c r="E62" s="444"/>
      <c r="F62" s="444"/>
      <c r="G62" s="444"/>
      <c r="H62" s="444"/>
      <c r="I62" s="444"/>
      <c r="J62" s="698"/>
      <c r="K62" s="698"/>
      <c r="L62" s="698"/>
      <c r="M62" s="698"/>
      <c r="N62" s="698"/>
    </row>
    <row r="63" spans="2:14" s="420" customFormat="1" ht="16" x14ac:dyDescent="0.3">
      <c r="B63" s="424">
        <f t="shared" si="4"/>
        <v>8</v>
      </c>
      <c r="C63" s="91" t="s">
        <v>147</v>
      </c>
      <c r="D63" s="4"/>
      <c r="E63" s="444"/>
      <c r="F63" s="444"/>
      <c r="G63" s="444"/>
      <c r="H63" s="444"/>
      <c r="I63" s="444"/>
      <c r="J63" s="698"/>
      <c r="K63" s="698"/>
      <c r="L63" s="698"/>
      <c r="M63" s="698"/>
      <c r="N63" s="698"/>
    </row>
    <row r="64" spans="2:14" s="420" customFormat="1" ht="16" x14ac:dyDescent="0.3">
      <c r="B64" s="424">
        <f t="shared" si="4"/>
        <v>9</v>
      </c>
      <c r="C64" s="91" t="s">
        <v>148</v>
      </c>
      <c r="D64" s="4"/>
      <c r="E64" s="444"/>
      <c r="F64" s="444"/>
      <c r="G64" s="444"/>
      <c r="H64" s="444"/>
      <c r="I64" s="444"/>
      <c r="J64" s="698"/>
      <c r="K64" s="698"/>
      <c r="L64" s="698"/>
      <c r="M64" s="698"/>
      <c r="N64" s="698"/>
    </row>
    <row r="65" spans="2:19" s="420" customFormat="1" x14ac:dyDescent="0.3">
      <c r="B65" s="424">
        <f t="shared" si="4"/>
        <v>10</v>
      </c>
      <c r="C65" s="552" t="s">
        <v>173</v>
      </c>
      <c r="D65" s="1373">
        <v>1</v>
      </c>
      <c r="E65" s="444">
        <f>('F1'!S13+'F1'!S21)/12*$D$65</f>
        <v>72.283028990090131</v>
      </c>
      <c r="F65" s="444">
        <f>('F1'!T13+'F1'!T21)/12*$D$65</f>
        <v>75.332756550895439</v>
      </c>
      <c r="G65" s="444">
        <f>('F1'!U13+'F1'!U21)/12*$D$65</f>
        <v>78.521732074174494</v>
      </c>
      <c r="H65" s="444">
        <f>('F1'!V13+'F1'!V21)/12*$D$65</f>
        <v>81.856660349678336</v>
      </c>
      <c r="I65" s="444">
        <f>('F1'!W13+'F1'!W21)/12*$D$65</f>
        <v>85.344602097581358</v>
      </c>
      <c r="J65" s="698"/>
      <c r="K65" s="698"/>
      <c r="L65" s="698"/>
      <c r="M65" s="698"/>
      <c r="N65" s="698"/>
    </row>
    <row r="66" spans="2:19" s="420" customFormat="1" x14ac:dyDescent="0.3">
      <c r="B66" s="424">
        <f t="shared" si="4"/>
        <v>11</v>
      </c>
      <c r="C66" s="552" t="s">
        <v>149</v>
      </c>
      <c r="D66" s="1374">
        <v>0.01</v>
      </c>
      <c r="E66" s="444">
        <f>'F3.4'!I23*$D$66</f>
        <v>48.739212365111698</v>
      </c>
      <c r="F66" s="444">
        <f>'F3.4'!J23*$D$66</f>
        <v>56.099231444005035</v>
      </c>
      <c r="G66" s="444">
        <f>'F3.4'!K23*$D$66</f>
        <v>62.683676375511887</v>
      </c>
      <c r="H66" s="444">
        <f>'F3.4'!L23*$D$66</f>
        <v>66.632744375511891</v>
      </c>
      <c r="I66" s="444">
        <f>'F3.4'!M23*$D$66</f>
        <v>72.493810642178559</v>
      </c>
      <c r="J66" s="698"/>
      <c r="K66" s="698"/>
      <c r="L66" s="698"/>
      <c r="M66" s="698"/>
      <c r="N66" s="698"/>
    </row>
    <row r="67" spans="2:19" s="420" customFormat="1" x14ac:dyDescent="0.3">
      <c r="B67" s="424">
        <f t="shared" si="4"/>
        <v>12</v>
      </c>
      <c r="C67" s="552" t="s">
        <v>150</v>
      </c>
      <c r="D67" s="1375">
        <v>45</v>
      </c>
      <c r="E67" s="444">
        <f ca="1">'F1'!S27/365*$D$67</f>
        <v>880.51663616116116</v>
      </c>
      <c r="F67" s="444">
        <f ca="1">'F1'!T27/365*$D$67</f>
        <v>937.13632720941712</v>
      </c>
      <c r="G67" s="444">
        <f ca="1">'F1'!U27/366*$D$67</f>
        <v>997.18837367053879</v>
      </c>
      <c r="H67" s="444">
        <f ca="1">'F1'!V27/365*$D$67</f>
        <v>1049.0128536836492</v>
      </c>
      <c r="I67" s="444">
        <f ca="1">'F1'!W27/365*$D$67</f>
        <v>1097.8600917543149</v>
      </c>
      <c r="J67" s="698"/>
      <c r="K67" s="698"/>
      <c r="L67" s="698"/>
      <c r="M67" s="698"/>
      <c r="N67" s="698"/>
    </row>
    <row r="68" spans="2:19" s="420" customFormat="1" ht="16" x14ac:dyDescent="0.3">
      <c r="B68" s="424">
        <f t="shared" si="4"/>
        <v>13</v>
      </c>
      <c r="C68" s="552" t="s">
        <v>548</v>
      </c>
      <c r="D68" s="1375">
        <v>30</v>
      </c>
      <c r="E68" s="320">
        <f>SUM('F2.2'!S121:S124)/365*$D$68</f>
        <v>6.9854693970695774</v>
      </c>
      <c r="F68" s="320">
        <f>SUM('F2.2'!T121:T124)/365*$D$68</f>
        <v>7.3347428669230554</v>
      </c>
      <c r="G68" s="320">
        <f>SUM('F2.2'!U121:U124)/366*$D$68</f>
        <v>7.6804377151591847</v>
      </c>
      <c r="H68" s="320">
        <f>SUM('F2.2'!V121:V124)/365*$D$68</f>
        <v>8.0692795847299656</v>
      </c>
      <c r="I68" s="320">
        <f>SUM('F2.2'!W121:W124)/365*$D$68</f>
        <v>8.4877777193302872</v>
      </c>
      <c r="J68" s="325"/>
      <c r="K68" s="325"/>
      <c r="L68" s="325"/>
      <c r="M68" s="325"/>
      <c r="N68" s="325"/>
      <c r="O68" s="57"/>
      <c r="P68" s="57"/>
      <c r="Q68" s="57"/>
      <c r="R68" s="57"/>
      <c r="S68" s="57"/>
    </row>
    <row r="69" spans="2:19" s="11" customFormat="1" x14ac:dyDescent="0.3">
      <c r="B69" s="424">
        <f t="shared" si="4"/>
        <v>14</v>
      </c>
      <c r="C69" s="179" t="s">
        <v>151</v>
      </c>
      <c r="D69" s="3"/>
      <c r="E69" s="764">
        <f ca="1">SUM(E58:E67)-E68</f>
        <v>1745.0233458661492</v>
      </c>
      <c r="F69" s="764">
        <f t="shared" ref="F69:I69" ca="1" si="5">SUM(F58:F67)-F68</f>
        <v>1849.1914096139831</v>
      </c>
      <c r="G69" s="764">
        <f t="shared" ca="1" si="5"/>
        <v>1955.8579851560883</v>
      </c>
      <c r="H69" s="764">
        <f t="shared" ca="1" si="5"/>
        <v>2054.3407327548844</v>
      </c>
      <c r="I69" s="764">
        <f t="shared" ca="1" si="5"/>
        <v>2155.4327732389729</v>
      </c>
      <c r="J69" s="726"/>
      <c r="K69" s="726"/>
      <c r="L69" s="726"/>
      <c r="M69" s="726"/>
      <c r="N69" s="726"/>
    </row>
    <row r="70" spans="2:19" s="11" customFormat="1" x14ac:dyDescent="0.3">
      <c r="B70" s="491"/>
      <c r="C70" s="557"/>
      <c r="D70" s="3"/>
      <c r="E70" s="320"/>
      <c r="F70" s="320"/>
      <c r="G70" s="320"/>
      <c r="H70" s="320"/>
      <c r="I70" s="320"/>
      <c r="J70" s="698"/>
      <c r="K70" s="698"/>
      <c r="L70" s="698"/>
      <c r="M70" s="698"/>
      <c r="N70" s="698"/>
    </row>
    <row r="71" spans="2:19" s="11" customFormat="1" x14ac:dyDescent="0.3">
      <c r="B71" s="424">
        <v>13</v>
      </c>
      <c r="C71" s="181" t="s">
        <v>377</v>
      </c>
      <c r="D71" s="3"/>
      <c r="E71" s="320"/>
      <c r="F71" s="320"/>
      <c r="G71" s="320"/>
      <c r="H71" s="320"/>
      <c r="I71" s="320"/>
      <c r="J71" s="698"/>
      <c r="K71" s="698"/>
      <c r="L71" s="698"/>
      <c r="M71" s="698"/>
      <c r="N71" s="698"/>
    </row>
    <row r="72" spans="2:19" s="2" customFormat="1" x14ac:dyDescent="0.3">
      <c r="B72" s="424">
        <f t="shared" si="4"/>
        <v>14</v>
      </c>
      <c r="C72" s="552" t="s">
        <v>378</v>
      </c>
      <c r="D72" s="3"/>
      <c r="E72" s="1113">
        <v>0.1045</v>
      </c>
      <c r="F72" s="1113">
        <v>0.1045</v>
      </c>
      <c r="G72" s="1113">
        <v>0.1045</v>
      </c>
      <c r="H72" s="1113">
        <v>0.1045</v>
      </c>
      <c r="I72" s="1113">
        <v>0.1045</v>
      </c>
      <c r="J72" s="727"/>
      <c r="K72" s="728"/>
      <c r="L72" s="728"/>
      <c r="M72" s="728"/>
      <c r="N72" s="728"/>
    </row>
    <row r="73" spans="2:19" s="2" customFormat="1" x14ac:dyDescent="0.3">
      <c r="B73" s="240">
        <f t="shared" si="4"/>
        <v>15</v>
      </c>
      <c r="C73" s="179" t="s">
        <v>87</v>
      </c>
      <c r="D73" s="3"/>
      <c r="E73" s="765">
        <f t="shared" ref="E73:I73" ca="1" si="6">E69*E72</f>
        <v>182.35493964301259</v>
      </c>
      <c r="F73" s="765">
        <f t="shared" ca="1" si="6"/>
        <v>193.24050230466122</v>
      </c>
      <c r="G73" s="765">
        <f t="shared" ca="1" si="6"/>
        <v>204.38715944881122</v>
      </c>
      <c r="H73" s="765">
        <f t="shared" ca="1" si="6"/>
        <v>214.6786065728854</v>
      </c>
      <c r="I73" s="765">
        <f t="shared" ca="1" si="6"/>
        <v>225.24272480347267</v>
      </c>
      <c r="J73" s="726"/>
      <c r="K73" s="726"/>
      <c r="L73" s="726"/>
      <c r="M73" s="726"/>
      <c r="N73" s="726"/>
    </row>
    <row r="74" spans="2:19" s="2" customFormat="1" x14ac:dyDescent="0.3">
      <c r="B74" s="240">
        <f t="shared" si="4"/>
        <v>16</v>
      </c>
      <c r="C74" s="179" t="s">
        <v>953</v>
      </c>
      <c r="D74" s="3"/>
      <c r="E74" s="1114">
        <v>0</v>
      </c>
      <c r="F74" s="1114">
        <v>0</v>
      </c>
      <c r="G74" s="1114">
        <v>0</v>
      </c>
      <c r="H74" s="1114">
        <v>0</v>
      </c>
      <c r="I74" s="1114">
        <v>0</v>
      </c>
      <c r="J74" s="726"/>
      <c r="K74" s="726"/>
      <c r="L74" s="726"/>
      <c r="M74" s="726"/>
      <c r="N74" s="726"/>
    </row>
    <row r="75" spans="2:19" s="1" customFormat="1" x14ac:dyDescent="0.3">
      <c r="B75" s="176"/>
      <c r="C75" s="7"/>
      <c r="D75" s="7"/>
      <c r="E75" s="7"/>
      <c r="F75" s="7"/>
      <c r="G75" s="7"/>
      <c r="H75" s="7"/>
      <c r="I75" s="7"/>
      <c r="J75" s="7"/>
    </row>
    <row r="76" spans="2:19" s="1" customFormat="1" x14ac:dyDescent="0.3">
      <c r="B76" s="96"/>
      <c r="C76" s="1181" t="s">
        <v>1554</v>
      </c>
      <c r="D76" s="48"/>
      <c r="E76" s="48"/>
      <c r="F76" s="11"/>
      <c r="G76" s="11"/>
      <c r="H76" s="11"/>
      <c r="I76" s="11"/>
      <c r="J76" s="7"/>
    </row>
    <row r="77" spans="2:19" s="1" customFormat="1" x14ac:dyDescent="0.3">
      <c r="B77" s="96"/>
      <c r="C77" s="1703" t="s">
        <v>37</v>
      </c>
      <c r="D77" s="1659" t="s">
        <v>921</v>
      </c>
      <c r="E77" s="1171" t="s">
        <v>969</v>
      </c>
      <c r="F77" s="1171" t="s">
        <v>970</v>
      </c>
      <c r="G77" s="1171" t="s">
        <v>971</v>
      </c>
      <c r="H77" s="1171" t="s">
        <v>972</v>
      </c>
      <c r="I77" s="1171" t="s">
        <v>973</v>
      </c>
      <c r="J77" s="7"/>
    </row>
    <row r="78" spans="2:19" s="1" customFormat="1" ht="18" customHeight="1" x14ac:dyDescent="0.3">
      <c r="B78" s="96"/>
      <c r="C78" s="1704"/>
      <c r="D78" s="1702"/>
      <c r="E78" s="1171" t="s">
        <v>21</v>
      </c>
      <c r="F78" s="1171" t="s">
        <v>21</v>
      </c>
      <c r="G78" s="1171" t="s">
        <v>21</v>
      </c>
      <c r="H78" s="1171" t="s">
        <v>21</v>
      </c>
      <c r="I78" s="1171" t="s">
        <v>21</v>
      </c>
      <c r="J78" s="7"/>
    </row>
    <row r="79" spans="2:19" x14ac:dyDescent="0.3">
      <c r="C79" s="1182" t="s">
        <v>1555</v>
      </c>
      <c r="D79" s="1183">
        <v>20</v>
      </c>
      <c r="E79" s="892">
        <f>'F2.2'!G198/365*$D79</f>
        <v>8.5154065518143316</v>
      </c>
      <c r="F79" s="892">
        <f>'F2.2'!J198/365*$D79</f>
        <v>10.223590222103809</v>
      </c>
      <c r="G79" s="892">
        <f>'F2.2'!M198/366*$D79</f>
        <v>12.089381339601285</v>
      </c>
      <c r="H79" s="892">
        <f>'F2.2'!P198/365*$D79</f>
        <v>14.025184265436376</v>
      </c>
      <c r="I79" s="892">
        <f>'F2.2'!S198/365*$D79</f>
        <v>14.02590091164412</v>
      </c>
    </row>
    <row r="80" spans="2:19" x14ac:dyDescent="0.3">
      <c r="C80" s="1182" t="s">
        <v>1556</v>
      </c>
      <c r="D80" s="1183">
        <v>30</v>
      </c>
      <c r="E80" s="892">
        <f>'F2.2'!G198/365*$D80</f>
        <v>12.773109827721498</v>
      </c>
      <c r="F80" s="892">
        <f>'F2.2'!J198/365*$D80</f>
        <v>15.335385333155713</v>
      </c>
      <c r="G80" s="892">
        <f>'F2.2'!M198/366*$D80</f>
        <v>18.13407200940193</v>
      </c>
      <c r="H80" s="892">
        <f>'F2.2'!P198/365*$D80</f>
        <v>21.037776398154566</v>
      </c>
      <c r="I80" s="892">
        <f>'F2.2'!S198/365*$D80</f>
        <v>21.038851367466179</v>
      </c>
    </row>
    <row r="81" spans="3:9" x14ac:dyDescent="0.3">
      <c r="C81" s="1182" t="s">
        <v>1557</v>
      </c>
      <c r="D81" s="1184">
        <v>1</v>
      </c>
      <c r="E81" s="892">
        <f>'F3'!E24/12*$D81</f>
        <v>0.20494999999999999</v>
      </c>
      <c r="F81" s="892">
        <f>'F3'!F24/12*$D81</f>
        <v>0.21382433499999998</v>
      </c>
      <c r="G81" s="892">
        <f>'F3'!G24/12*$D81</f>
        <v>2.1966148930126663</v>
      </c>
      <c r="H81" s="892">
        <f>'F3'!H24/12*$D81</f>
        <v>2.2917283178801142</v>
      </c>
      <c r="I81" s="892">
        <f>'F3'!I24/12*$D81</f>
        <v>2.3909601540443237</v>
      </c>
    </row>
    <row r="82" spans="3:9" x14ac:dyDescent="0.3">
      <c r="C82" s="1185" t="s">
        <v>1558</v>
      </c>
      <c r="D82" s="1186">
        <v>0.01</v>
      </c>
      <c r="E82" s="892">
        <f>'F3'!E23*$D82</f>
        <v>1.2297</v>
      </c>
      <c r="F82" s="892">
        <f>'F3'!F23*$D82</f>
        <v>1.2297</v>
      </c>
      <c r="G82" s="892">
        <f>'F3'!G23*$D82</f>
        <v>12.1084</v>
      </c>
      <c r="H82" s="892">
        <f>'F3'!H23*$D82</f>
        <v>12.1084</v>
      </c>
      <c r="I82" s="892">
        <f>'F3'!I23*$D82</f>
        <v>12.1084</v>
      </c>
    </row>
    <row r="83" spans="3:9" ht="14.5" x14ac:dyDescent="0.35">
      <c r="C83" s="1187" t="s">
        <v>1559</v>
      </c>
      <c r="D83" s="1188"/>
      <c r="E83" s="1189">
        <f>SUM(E79:E82)</f>
        <v>22.723166379535829</v>
      </c>
      <c r="F83" s="1189">
        <f t="shared" ref="F83:I83" si="7">SUM(F79:F82)</f>
        <v>27.002499890259521</v>
      </c>
      <c r="G83" s="1189">
        <f t="shared" si="7"/>
        <v>44.528468242015876</v>
      </c>
      <c r="H83" s="1189">
        <f t="shared" si="7"/>
        <v>49.46308898147106</v>
      </c>
      <c r="I83" s="1189">
        <f t="shared" si="7"/>
        <v>49.564112433154619</v>
      </c>
    </row>
    <row r="84" spans="3:9" ht="14.5" x14ac:dyDescent="0.35">
      <c r="C84" s="1190" t="s">
        <v>1560</v>
      </c>
      <c r="D84" s="1191" t="s">
        <v>99</v>
      </c>
      <c r="E84" s="1192">
        <f>E72</f>
        <v>0.1045</v>
      </c>
      <c r="F84" s="1192">
        <f t="shared" ref="F84:I84" si="8">F72</f>
        <v>0.1045</v>
      </c>
      <c r="G84" s="1192">
        <f t="shared" si="8"/>
        <v>0.1045</v>
      </c>
      <c r="H84" s="1192">
        <f t="shared" si="8"/>
        <v>0.1045</v>
      </c>
      <c r="I84" s="1192">
        <f t="shared" si="8"/>
        <v>0.1045</v>
      </c>
    </row>
    <row r="85" spans="3:9" ht="14.5" x14ac:dyDescent="0.35">
      <c r="C85" s="1190" t="s">
        <v>1515</v>
      </c>
      <c r="D85" s="1193"/>
      <c r="E85" s="1194">
        <f>E83*E84</f>
        <v>2.3745708866614943</v>
      </c>
      <c r="F85" s="1194">
        <f t="shared" ref="F85:I85" si="9">F83*F84</f>
        <v>2.8217612385321198</v>
      </c>
      <c r="G85" s="1194">
        <f t="shared" si="9"/>
        <v>4.6532249312906586</v>
      </c>
      <c r="H85" s="1194">
        <f t="shared" si="9"/>
        <v>5.1688927985637259</v>
      </c>
      <c r="I85" s="1194">
        <f t="shared" si="9"/>
        <v>5.1794497492646574</v>
      </c>
    </row>
    <row r="86" spans="3:9" x14ac:dyDescent="0.3">
      <c r="C86" s="9"/>
      <c r="D86" s="9"/>
      <c r="E86" s="9"/>
      <c r="F86" s="9"/>
      <c r="G86" s="9"/>
      <c r="H86" s="9"/>
      <c r="I86" s="9"/>
    </row>
    <row r="87" spans="3:9" x14ac:dyDescent="0.3">
      <c r="C87" s="9"/>
      <c r="D87" s="9"/>
      <c r="E87" s="9"/>
      <c r="F87" s="9"/>
      <c r="G87" s="9"/>
      <c r="H87" s="9"/>
      <c r="I87" s="9"/>
    </row>
  </sheetData>
  <mergeCells count="14">
    <mergeCell ref="G8:H8"/>
    <mergeCell ref="I8:J8"/>
    <mergeCell ref="C77:C78"/>
    <mergeCell ref="D77:D78"/>
    <mergeCell ref="B2:F2"/>
    <mergeCell ref="B3:F3"/>
    <mergeCell ref="B4:F4"/>
    <mergeCell ref="E8:F8"/>
    <mergeCell ref="B8:B9"/>
    <mergeCell ref="C8:C9"/>
    <mergeCell ref="D8:D9"/>
    <mergeCell ref="B47:B48"/>
    <mergeCell ref="C47:C48"/>
    <mergeCell ref="D47:D48"/>
  </mergeCells>
  <pageMargins left="0.74803149606299213" right="0.74803149606299213" top="0.98425196850393704" bottom="0.98425196850393704" header="0.51181102362204722" footer="0.51181102362204722"/>
  <pageSetup paperSize="9" scale="4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D35" sqref="D35"/>
    </sheetView>
  </sheetViews>
  <sheetFormatPr defaultColWidth="9.36328125" defaultRowHeight="14" x14ac:dyDescent="0.3"/>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x14ac:dyDescent="0.3">
      <c r="B2" s="1657" t="str">
        <f>Index!B2</f>
        <v xml:space="preserve">      Maharashtra State Power Generation Company Ltd.</v>
      </c>
      <c r="C2" s="1657"/>
      <c r="D2" s="1657"/>
      <c r="E2" s="1657"/>
      <c r="F2" s="1657"/>
      <c r="G2" s="1657"/>
      <c r="H2" s="1657"/>
      <c r="I2" s="1657"/>
      <c r="J2" s="1657"/>
      <c r="K2" s="1688" t="str">
        <f>B2</f>
        <v xml:space="preserve">      Maharashtra State Power Generation Company Ltd.</v>
      </c>
      <c r="L2" s="1688"/>
      <c r="M2" s="1688"/>
      <c r="N2" s="1688"/>
      <c r="O2" s="1688"/>
      <c r="P2" s="1688"/>
      <c r="Q2" s="1688"/>
      <c r="R2" s="1688"/>
      <c r="S2" s="1688"/>
      <c r="T2" s="1688"/>
    </row>
    <row r="3" spans="2:20" x14ac:dyDescent="0.3">
      <c r="B3" s="1657" t="str">
        <f>Index!B3</f>
        <v>MYT Petition Formats for Chandrapur Unit 3-7</v>
      </c>
      <c r="C3" s="1657"/>
      <c r="D3" s="1657"/>
      <c r="E3" s="1657"/>
      <c r="F3" s="1657"/>
      <c r="G3" s="1657"/>
      <c r="H3" s="1657"/>
      <c r="I3" s="1657"/>
      <c r="J3" s="1657"/>
      <c r="K3" s="1688" t="str">
        <f>B3</f>
        <v>MYT Petition Formats for Chandrapur Unit 3-7</v>
      </c>
      <c r="L3" s="1688"/>
      <c r="M3" s="1688"/>
      <c r="N3" s="1688"/>
      <c r="O3" s="1688"/>
      <c r="P3" s="1688"/>
      <c r="Q3" s="1688"/>
      <c r="R3" s="1688"/>
      <c r="S3" s="1688"/>
      <c r="T3" s="1688"/>
    </row>
    <row r="4" spans="2:20" x14ac:dyDescent="0.3">
      <c r="B4" s="1657" t="s">
        <v>385</v>
      </c>
      <c r="C4" s="1657"/>
      <c r="D4" s="1657"/>
      <c r="E4" s="1657"/>
      <c r="F4" s="1657"/>
      <c r="G4" s="1657"/>
      <c r="H4" s="1657"/>
      <c r="I4" s="1657"/>
      <c r="J4" s="1657"/>
      <c r="K4" s="1688" t="str">
        <f>B4</f>
        <v>Form 2.5: Operational Parameters - Hydel Generation</v>
      </c>
      <c r="L4" s="1688"/>
      <c r="M4" s="1688"/>
      <c r="N4" s="1688"/>
      <c r="O4" s="1688"/>
      <c r="P4" s="1688"/>
      <c r="Q4" s="1688"/>
      <c r="R4" s="1688"/>
      <c r="S4" s="1688"/>
      <c r="T4" s="1688"/>
    </row>
    <row r="5" spans="2:20" x14ac:dyDescent="0.3">
      <c r="B5" s="1657"/>
      <c r="C5" s="1718"/>
      <c r="D5" s="1718"/>
      <c r="E5" s="1718"/>
      <c r="F5" s="1718"/>
      <c r="G5" s="1718"/>
      <c r="H5" s="1718"/>
      <c r="I5" s="1718"/>
      <c r="J5" s="1718"/>
      <c r="K5" s="1718"/>
      <c r="L5" s="1718"/>
      <c r="M5" s="1718"/>
      <c r="N5" s="1718"/>
      <c r="O5" s="1718"/>
      <c r="P5" s="1718"/>
      <c r="Q5" s="1718"/>
      <c r="R5" s="1718"/>
      <c r="S5" s="1718"/>
      <c r="T5" s="1718"/>
    </row>
    <row r="6" spans="2:20" x14ac:dyDescent="0.3">
      <c r="B6" s="134"/>
      <c r="C6" s="133"/>
      <c r="D6" s="133"/>
      <c r="E6" s="226"/>
      <c r="F6" s="226"/>
      <c r="G6" s="226"/>
      <c r="H6" s="287"/>
      <c r="I6" s="287"/>
      <c r="J6" s="287"/>
      <c r="K6" s="207"/>
      <c r="L6" s="133"/>
      <c r="M6" s="133"/>
      <c r="N6" s="133"/>
      <c r="O6" s="691"/>
      <c r="P6" s="691"/>
      <c r="Q6" s="691"/>
      <c r="R6" s="691"/>
      <c r="S6" s="691"/>
      <c r="T6" s="133"/>
    </row>
    <row r="7" spans="2:20" s="14" customFormat="1" x14ac:dyDescent="0.3">
      <c r="B7" s="33"/>
      <c r="C7" s="8"/>
      <c r="D7" s="34"/>
      <c r="E7" s="34"/>
      <c r="F7" s="34"/>
      <c r="G7" s="34"/>
      <c r="H7" s="34"/>
      <c r="I7" s="34"/>
      <c r="J7" s="34"/>
      <c r="K7" s="16"/>
      <c r="L7" s="16"/>
      <c r="M7" s="16"/>
      <c r="N7" s="33"/>
      <c r="O7" s="33"/>
      <c r="P7" s="33"/>
      <c r="Q7" s="33"/>
      <c r="R7" s="33"/>
      <c r="S7" s="33"/>
      <c r="T7" s="16"/>
    </row>
    <row r="8" spans="2:20" s="35" customFormat="1" ht="13.75" customHeight="1" x14ac:dyDescent="0.3">
      <c r="B8" s="1652" t="s">
        <v>340</v>
      </c>
      <c r="C8" s="1719" t="s">
        <v>37</v>
      </c>
      <c r="D8" s="1719" t="s">
        <v>94</v>
      </c>
      <c r="E8" s="1654" t="s">
        <v>506</v>
      </c>
      <c r="F8" s="1655"/>
      <c r="G8" s="1656"/>
      <c r="H8" s="1654" t="s">
        <v>507</v>
      </c>
      <c r="I8" s="1655"/>
      <c r="J8" s="1656"/>
      <c r="K8" s="1654" t="s">
        <v>508</v>
      </c>
      <c r="L8" s="1655"/>
      <c r="M8" s="1655"/>
      <c r="N8" s="1655"/>
      <c r="O8" s="1698" t="s">
        <v>968</v>
      </c>
      <c r="P8" s="1698"/>
      <c r="Q8" s="1698"/>
      <c r="R8" s="1698"/>
      <c r="S8" s="1698"/>
      <c r="T8" s="1652" t="s">
        <v>27</v>
      </c>
    </row>
    <row r="9" spans="2:20" s="36" customFormat="1" ht="30" customHeight="1" x14ac:dyDescent="0.25">
      <c r="B9" s="1719"/>
      <c r="C9" s="1719"/>
      <c r="D9" s="1719"/>
      <c r="E9" s="369" t="s">
        <v>811</v>
      </c>
      <c r="F9" s="292" t="s">
        <v>79</v>
      </c>
      <c r="G9" s="292" t="s">
        <v>449</v>
      </c>
      <c r="H9" s="369" t="s">
        <v>974</v>
      </c>
      <c r="I9" s="292" t="s">
        <v>79</v>
      </c>
      <c r="J9" s="292" t="s">
        <v>449</v>
      </c>
      <c r="K9" s="369" t="s">
        <v>974</v>
      </c>
      <c r="L9" s="292" t="s">
        <v>443</v>
      </c>
      <c r="M9" s="292" t="s">
        <v>447</v>
      </c>
      <c r="N9" s="292" t="s">
        <v>80</v>
      </c>
      <c r="O9" s="696" t="s">
        <v>969</v>
      </c>
      <c r="P9" s="696" t="s">
        <v>970</v>
      </c>
      <c r="Q9" s="696" t="s">
        <v>971</v>
      </c>
      <c r="R9" s="696" t="s">
        <v>972</v>
      </c>
      <c r="S9" s="696" t="s">
        <v>973</v>
      </c>
      <c r="T9" s="1652"/>
    </row>
    <row r="10" spans="2:20" s="36" customFormat="1" ht="20" customHeight="1" x14ac:dyDescent="0.25">
      <c r="B10" s="1700"/>
      <c r="C10" s="1700"/>
      <c r="D10" s="1700"/>
      <c r="E10" s="292" t="s">
        <v>81</v>
      </c>
      <c r="F10" s="292" t="s">
        <v>82</v>
      </c>
      <c r="G10" s="292" t="s">
        <v>673</v>
      </c>
      <c r="H10" s="292" t="s">
        <v>391</v>
      </c>
      <c r="I10" s="292" t="s">
        <v>409</v>
      </c>
      <c r="J10" s="292" t="s">
        <v>454</v>
      </c>
      <c r="K10" s="292" t="s">
        <v>652</v>
      </c>
      <c r="L10" s="292" t="s">
        <v>590</v>
      </c>
      <c r="M10" s="292" t="s">
        <v>591</v>
      </c>
      <c r="N10" s="292" t="s">
        <v>675</v>
      </c>
      <c r="O10" s="688" t="s">
        <v>21</v>
      </c>
      <c r="P10" s="688" t="s">
        <v>21</v>
      </c>
      <c r="Q10" s="688" t="s">
        <v>21</v>
      </c>
      <c r="R10" s="688" t="s">
        <v>21</v>
      </c>
      <c r="S10" s="688" t="s">
        <v>21</v>
      </c>
      <c r="T10" s="1653"/>
    </row>
    <row r="11" spans="2:20" s="36" customFormat="1" ht="42" customHeight="1" x14ac:dyDescent="0.25">
      <c r="B11" s="39">
        <v>1</v>
      </c>
      <c r="C11" s="143" t="s">
        <v>95</v>
      </c>
      <c r="D11" s="144"/>
      <c r="E11" s="1709" t="s">
        <v>769</v>
      </c>
      <c r="F11" s="1710"/>
      <c r="G11" s="1710"/>
      <c r="H11" s="1710"/>
      <c r="I11" s="1710"/>
      <c r="J11" s="1710"/>
      <c r="K11" s="1710" t="str">
        <f>E11</f>
        <v>Not Applicable for Thermal Power Plant</v>
      </c>
      <c r="L11" s="1710"/>
      <c r="M11" s="1710"/>
      <c r="N11" s="1710"/>
      <c r="O11" s="1710"/>
      <c r="P11" s="1710"/>
      <c r="Q11" s="1710"/>
      <c r="R11" s="1710"/>
      <c r="S11" s="1710"/>
      <c r="T11" s="1715"/>
    </row>
    <row r="12" spans="2:20" s="36" customFormat="1" x14ac:dyDescent="0.25">
      <c r="B12" s="145">
        <v>1.1000000000000001</v>
      </c>
      <c r="C12" s="147" t="s">
        <v>96</v>
      </c>
      <c r="D12" s="145" t="s">
        <v>97</v>
      </c>
      <c r="E12" s="1711"/>
      <c r="F12" s="1712"/>
      <c r="G12" s="1712"/>
      <c r="H12" s="1712"/>
      <c r="I12" s="1712"/>
      <c r="J12" s="1712"/>
      <c r="K12" s="1712"/>
      <c r="L12" s="1712"/>
      <c r="M12" s="1712"/>
      <c r="N12" s="1712"/>
      <c r="O12" s="1712"/>
      <c r="P12" s="1712"/>
      <c r="Q12" s="1712"/>
      <c r="R12" s="1712"/>
      <c r="S12" s="1712"/>
      <c r="T12" s="1716"/>
    </row>
    <row r="13" spans="2:20" s="36" customFormat="1" x14ac:dyDescent="0.25">
      <c r="B13" s="145">
        <v>1.2</v>
      </c>
      <c r="C13" s="146" t="s">
        <v>156</v>
      </c>
      <c r="D13" s="145" t="s">
        <v>99</v>
      </c>
      <c r="E13" s="1711"/>
      <c r="F13" s="1712"/>
      <c r="G13" s="1712"/>
      <c r="H13" s="1712"/>
      <c r="I13" s="1712"/>
      <c r="J13" s="1712"/>
      <c r="K13" s="1712"/>
      <c r="L13" s="1712"/>
      <c r="M13" s="1712"/>
      <c r="N13" s="1712"/>
      <c r="O13" s="1712"/>
      <c r="P13" s="1712"/>
      <c r="Q13" s="1712"/>
      <c r="R13" s="1712"/>
      <c r="S13" s="1712"/>
      <c r="T13" s="1716"/>
    </row>
    <row r="14" spans="2:20" s="36" customFormat="1" x14ac:dyDescent="0.25">
      <c r="B14" s="145">
        <v>1.3</v>
      </c>
      <c r="C14" s="146" t="s">
        <v>320</v>
      </c>
      <c r="D14" s="145" t="s">
        <v>99</v>
      </c>
      <c r="E14" s="1711"/>
      <c r="F14" s="1712"/>
      <c r="G14" s="1712"/>
      <c r="H14" s="1712"/>
      <c r="I14" s="1712"/>
      <c r="J14" s="1712"/>
      <c r="K14" s="1712"/>
      <c r="L14" s="1712"/>
      <c r="M14" s="1712"/>
      <c r="N14" s="1712"/>
      <c r="O14" s="1712"/>
      <c r="P14" s="1712"/>
      <c r="Q14" s="1712"/>
      <c r="R14" s="1712"/>
      <c r="S14" s="1712"/>
      <c r="T14" s="1716"/>
    </row>
    <row r="15" spans="2:20" s="36" customFormat="1" x14ac:dyDescent="0.25">
      <c r="B15" s="145">
        <v>1.4</v>
      </c>
      <c r="C15" s="146" t="s">
        <v>157</v>
      </c>
      <c r="D15" s="145" t="s">
        <v>101</v>
      </c>
      <c r="E15" s="1711"/>
      <c r="F15" s="1712"/>
      <c r="G15" s="1712"/>
      <c r="H15" s="1712"/>
      <c r="I15" s="1712"/>
      <c r="J15" s="1712"/>
      <c r="K15" s="1712"/>
      <c r="L15" s="1712"/>
      <c r="M15" s="1712"/>
      <c r="N15" s="1712"/>
      <c r="O15" s="1712"/>
      <c r="P15" s="1712"/>
      <c r="Q15" s="1712"/>
      <c r="R15" s="1712"/>
      <c r="S15" s="1712"/>
      <c r="T15" s="1716"/>
    </row>
    <row r="16" spans="2:20" s="36" customFormat="1" x14ac:dyDescent="0.25">
      <c r="B16" s="145">
        <v>1.5</v>
      </c>
      <c r="C16" s="152" t="s">
        <v>158</v>
      </c>
      <c r="D16" s="145" t="s">
        <v>101</v>
      </c>
      <c r="E16" s="1711"/>
      <c r="F16" s="1712"/>
      <c r="G16" s="1712"/>
      <c r="H16" s="1712"/>
      <c r="I16" s="1712"/>
      <c r="J16" s="1712"/>
      <c r="K16" s="1712"/>
      <c r="L16" s="1712"/>
      <c r="M16" s="1712"/>
      <c r="N16" s="1712"/>
      <c r="O16" s="1712"/>
      <c r="P16" s="1712"/>
      <c r="Q16" s="1712"/>
      <c r="R16" s="1712"/>
      <c r="S16" s="1712"/>
      <c r="T16" s="1716"/>
    </row>
    <row r="17" spans="2:20" s="36" customFormat="1" x14ac:dyDescent="0.25">
      <c r="B17" s="145">
        <v>1.6</v>
      </c>
      <c r="C17" s="152" t="s">
        <v>159</v>
      </c>
      <c r="D17" s="145" t="s">
        <v>99</v>
      </c>
      <c r="E17" s="1711"/>
      <c r="F17" s="1712"/>
      <c r="G17" s="1712"/>
      <c r="H17" s="1712"/>
      <c r="I17" s="1712"/>
      <c r="J17" s="1712"/>
      <c r="K17" s="1712"/>
      <c r="L17" s="1712"/>
      <c r="M17" s="1712"/>
      <c r="N17" s="1712"/>
      <c r="O17" s="1712"/>
      <c r="P17" s="1712"/>
      <c r="Q17" s="1712"/>
      <c r="R17" s="1712"/>
      <c r="S17" s="1712"/>
      <c r="T17" s="1716"/>
    </row>
    <row r="18" spans="2:20" s="36" customFormat="1" x14ac:dyDescent="0.25">
      <c r="B18" s="145">
        <v>1.7</v>
      </c>
      <c r="C18" s="153" t="s">
        <v>159</v>
      </c>
      <c r="D18" s="145" t="s">
        <v>101</v>
      </c>
      <c r="E18" s="1711"/>
      <c r="F18" s="1712"/>
      <c r="G18" s="1712"/>
      <c r="H18" s="1712"/>
      <c r="I18" s="1712"/>
      <c r="J18" s="1712"/>
      <c r="K18" s="1712"/>
      <c r="L18" s="1712"/>
      <c r="M18" s="1712"/>
      <c r="N18" s="1712"/>
      <c r="O18" s="1712"/>
      <c r="P18" s="1712"/>
      <c r="Q18" s="1712"/>
      <c r="R18" s="1712"/>
      <c r="S18" s="1712"/>
      <c r="T18" s="1716"/>
    </row>
    <row r="19" spans="2:20" s="36" customFormat="1" x14ac:dyDescent="0.25">
      <c r="B19" s="95">
        <v>1.8</v>
      </c>
      <c r="C19" s="152" t="s">
        <v>102</v>
      </c>
      <c r="D19" s="145" t="s">
        <v>101</v>
      </c>
      <c r="E19" s="1713"/>
      <c r="F19" s="1714"/>
      <c r="G19" s="1714"/>
      <c r="H19" s="1714"/>
      <c r="I19" s="1714"/>
      <c r="J19" s="1714"/>
      <c r="K19" s="1714"/>
      <c r="L19" s="1714"/>
      <c r="M19" s="1714"/>
      <c r="N19" s="1714"/>
      <c r="O19" s="1714"/>
      <c r="P19" s="1714"/>
      <c r="Q19" s="1714"/>
      <c r="R19" s="1714"/>
      <c r="S19" s="1714"/>
      <c r="T19" s="1717"/>
    </row>
    <row r="20" spans="2:20" s="1" customFormat="1" ht="16" x14ac:dyDescent="0.3">
      <c r="B20" s="41"/>
      <c r="C20" s="42"/>
      <c r="D20" s="43"/>
      <c r="E20" s="43"/>
      <c r="F20" s="43"/>
      <c r="G20" s="43"/>
      <c r="H20" s="43"/>
      <c r="I20" s="43"/>
      <c r="J20" s="43"/>
      <c r="K20" s="48"/>
      <c r="L20" s="48"/>
      <c r="M20" s="11"/>
      <c r="N20" s="11"/>
      <c r="O20" s="11"/>
      <c r="P20" s="11"/>
      <c r="Q20" s="11"/>
      <c r="R20" s="11"/>
      <c r="S20" s="11"/>
    </row>
    <row r="21" spans="2:20" s="1" customFormat="1" ht="16" x14ac:dyDescent="0.3">
      <c r="B21" s="44"/>
      <c r="C21" s="45"/>
      <c r="D21" s="46"/>
      <c r="E21" s="46"/>
      <c r="F21" s="46"/>
      <c r="G21" s="46"/>
      <c r="H21" s="46"/>
      <c r="I21" s="46"/>
      <c r="J21" s="46"/>
      <c r="K21" s="45"/>
      <c r="L21" s="45"/>
      <c r="M21" s="45"/>
      <c r="N21" s="45"/>
      <c r="O21" s="45"/>
      <c r="P21" s="45"/>
      <c r="Q21" s="45"/>
      <c r="R21" s="45"/>
      <c r="S21" s="45"/>
    </row>
    <row r="22" spans="2:20" s="1" customFormat="1" ht="16" x14ac:dyDescent="0.3">
      <c r="B22" s="163"/>
      <c r="C22" s="45"/>
      <c r="D22" s="46"/>
      <c r="E22" s="46"/>
      <c r="F22" s="46"/>
      <c r="G22" s="46"/>
      <c r="H22" s="46"/>
      <c r="I22" s="46"/>
      <c r="J22" s="46"/>
      <c r="K22" s="45"/>
      <c r="L22" s="45"/>
      <c r="M22" s="45"/>
      <c r="N22" s="45"/>
      <c r="O22" s="45"/>
      <c r="P22" s="45"/>
      <c r="Q22" s="45"/>
      <c r="R22" s="45"/>
      <c r="S22" s="45"/>
    </row>
    <row r="23" spans="2:20" s="1" customFormat="1" x14ac:dyDescent="0.3">
      <c r="B23" s="7"/>
      <c r="C23" s="51"/>
      <c r="D23" s="49"/>
      <c r="E23" s="49"/>
      <c r="F23" s="49"/>
      <c r="G23" s="49"/>
      <c r="H23" s="49"/>
      <c r="I23" s="49"/>
      <c r="J23" s="49"/>
      <c r="K23" s="51"/>
      <c r="L23" s="51"/>
      <c r="M23" s="51"/>
      <c r="N23" s="51"/>
      <c r="O23" s="51"/>
      <c r="P23" s="51"/>
      <c r="Q23" s="51"/>
      <c r="R23" s="51"/>
      <c r="S23" s="51"/>
    </row>
    <row r="24" spans="2:20" x14ac:dyDescent="0.3">
      <c r="M24" s="52"/>
    </row>
  </sheetData>
  <mergeCells count="17">
    <mergeCell ref="K2:T2"/>
    <mergeCell ref="K3:T3"/>
    <mergeCell ref="K4:T4"/>
    <mergeCell ref="B5:T5"/>
    <mergeCell ref="B8:B10"/>
    <mergeCell ref="C8:C10"/>
    <mergeCell ref="D8:D10"/>
    <mergeCell ref="K8:N8"/>
    <mergeCell ref="E8:G8"/>
    <mergeCell ref="H8:J8"/>
    <mergeCell ref="T8:T10"/>
    <mergeCell ref="B2:J2"/>
    <mergeCell ref="O8:S8"/>
    <mergeCell ref="E11:J19"/>
    <mergeCell ref="K11:T19"/>
    <mergeCell ref="B3:J3"/>
    <mergeCell ref="B4:J4"/>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D35" sqref="D35"/>
    </sheetView>
  </sheetViews>
  <sheetFormatPr defaultColWidth="9.36328125" defaultRowHeight="14" x14ac:dyDescent="0.25"/>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x14ac:dyDescent="0.25">
      <c r="B2" s="1657" t="str">
        <f>Index!B2</f>
        <v xml:space="preserve">      Maharashtra State Power Generation Company Ltd.</v>
      </c>
      <c r="C2" s="1657"/>
      <c r="D2" s="1657"/>
      <c r="E2" s="1657"/>
      <c r="F2" s="1657"/>
      <c r="G2" s="1657"/>
      <c r="H2" s="1657"/>
      <c r="I2" s="1657"/>
      <c r="J2" s="1657"/>
      <c r="K2" s="1688" t="str">
        <f>B2</f>
        <v xml:space="preserve">      Maharashtra State Power Generation Company Ltd.</v>
      </c>
      <c r="L2" s="1688"/>
      <c r="M2" s="1688"/>
      <c r="N2" s="1688"/>
      <c r="O2" s="1688"/>
      <c r="P2" s="1688"/>
      <c r="Q2" s="1688"/>
      <c r="R2" s="1688"/>
      <c r="S2" s="1688"/>
      <c r="T2" s="1688"/>
      <c r="U2" s="1688"/>
    </row>
    <row r="3" spans="2:21" x14ac:dyDescent="0.25">
      <c r="B3" s="1657" t="str">
        <f>Index!B3</f>
        <v>MYT Petition Formats for Chandrapur Unit 3-7</v>
      </c>
      <c r="C3" s="1657"/>
      <c r="D3" s="1657"/>
      <c r="E3" s="1657"/>
      <c r="F3" s="1657"/>
      <c r="G3" s="1657"/>
      <c r="H3" s="1657"/>
      <c r="I3" s="1657"/>
      <c r="J3" s="1657"/>
      <c r="K3" s="1688" t="str">
        <f>B3</f>
        <v>MYT Petition Formats for Chandrapur Unit 3-7</v>
      </c>
      <c r="L3" s="1688"/>
      <c r="M3" s="1688"/>
      <c r="N3" s="1688"/>
      <c r="O3" s="1688"/>
      <c r="P3" s="1688"/>
      <c r="Q3" s="1688"/>
      <c r="R3" s="1688"/>
      <c r="S3" s="1688"/>
      <c r="T3" s="1688"/>
      <c r="U3" s="1688"/>
    </row>
    <row r="4" spans="2:21" x14ac:dyDescent="0.25">
      <c r="B4" s="1657" t="s">
        <v>457</v>
      </c>
      <c r="C4" s="1657"/>
      <c r="D4" s="1657"/>
      <c r="E4" s="1657"/>
      <c r="F4" s="1657"/>
      <c r="G4" s="1657"/>
      <c r="H4" s="1657"/>
      <c r="I4" s="1657"/>
      <c r="J4" s="1657"/>
      <c r="K4" s="1688" t="str">
        <f>B4</f>
        <v>Form 2.6: Capacity Charge &amp; Energy Charge Rate - Hydel Generation</v>
      </c>
      <c r="L4" s="1688"/>
      <c r="M4" s="1688"/>
      <c r="N4" s="1688"/>
      <c r="O4" s="1688"/>
      <c r="P4" s="1688"/>
      <c r="Q4" s="1688"/>
      <c r="R4" s="1688"/>
      <c r="S4" s="1688"/>
      <c r="T4" s="1688"/>
      <c r="U4" s="1688"/>
    </row>
    <row r="6" spans="2:21" x14ac:dyDescent="0.25">
      <c r="B6" s="155"/>
      <c r="C6" s="156"/>
      <c r="D6" s="157"/>
      <c r="E6" s="157"/>
      <c r="F6" s="157"/>
      <c r="G6" s="157"/>
      <c r="H6" s="157"/>
      <c r="I6" s="157"/>
      <c r="J6" s="157"/>
      <c r="U6" s="21"/>
    </row>
    <row r="7" spans="2:21" ht="13.75" customHeight="1" x14ac:dyDescent="0.25">
      <c r="B7" s="1699" t="s">
        <v>340</v>
      </c>
      <c r="C7" s="1701" t="s">
        <v>37</v>
      </c>
      <c r="D7" s="1701" t="s">
        <v>453</v>
      </c>
      <c r="E7" s="1654" t="s">
        <v>506</v>
      </c>
      <c r="F7" s="1655"/>
      <c r="G7" s="1656"/>
      <c r="H7" s="1654" t="s">
        <v>507</v>
      </c>
      <c r="I7" s="1655"/>
      <c r="J7" s="1656"/>
      <c r="K7" s="1654" t="s">
        <v>508</v>
      </c>
      <c r="L7" s="1655"/>
      <c r="M7" s="1655"/>
      <c r="N7" s="1655"/>
      <c r="O7" s="1656"/>
      <c r="P7" s="1698" t="s">
        <v>968</v>
      </c>
      <c r="Q7" s="1698"/>
      <c r="R7" s="1698"/>
      <c r="S7" s="1698"/>
      <c r="T7" s="1698"/>
      <c r="U7" s="1652" t="s">
        <v>27</v>
      </c>
    </row>
    <row r="8" spans="2:21" ht="42" x14ac:dyDescent="0.25">
      <c r="B8" s="1699"/>
      <c r="C8" s="1701"/>
      <c r="D8" s="1701"/>
      <c r="E8" s="369" t="s">
        <v>975</v>
      </c>
      <c r="F8" s="292" t="s">
        <v>79</v>
      </c>
      <c r="G8" s="292" t="s">
        <v>812</v>
      </c>
      <c r="H8" s="369" t="s">
        <v>975</v>
      </c>
      <c r="I8" s="292" t="s">
        <v>79</v>
      </c>
      <c r="J8" s="369" t="s">
        <v>812</v>
      </c>
      <c r="K8" s="369" t="s">
        <v>975</v>
      </c>
      <c r="L8" s="292" t="s">
        <v>443</v>
      </c>
      <c r="M8" s="292" t="s">
        <v>447</v>
      </c>
      <c r="N8" s="292" t="s">
        <v>80</v>
      </c>
      <c r="O8" s="292" t="s">
        <v>450</v>
      </c>
      <c r="P8" s="696" t="s">
        <v>969</v>
      </c>
      <c r="Q8" s="696" t="s">
        <v>970</v>
      </c>
      <c r="R8" s="696" t="s">
        <v>971</v>
      </c>
      <c r="S8" s="696" t="s">
        <v>972</v>
      </c>
      <c r="T8" s="696" t="s">
        <v>973</v>
      </c>
      <c r="U8" s="1652"/>
    </row>
    <row r="9" spans="2:21" x14ac:dyDescent="0.25">
      <c r="B9" s="1700"/>
      <c r="C9" s="1663"/>
      <c r="D9" s="1663"/>
      <c r="E9" s="292" t="s">
        <v>81</v>
      </c>
      <c r="F9" s="292" t="s">
        <v>82</v>
      </c>
      <c r="G9" s="292" t="s">
        <v>673</v>
      </c>
      <c r="H9" s="292" t="s">
        <v>391</v>
      </c>
      <c r="I9" s="292" t="s">
        <v>409</v>
      </c>
      <c r="J9" s="292" t="s">
        <v>454</v>
      </c>
      <c r="K9" s="292" t="s">
        <v>652</v>
      </c>
      <c r="L9" s="292" t="s">
        <v>590</v>
      </c>
      <c r="M9" s="292" t="s">
        <v>591</v>
      </c>
      <c r="N9" s="292" t="s">
        <v>675</v>
      </c>
      <c r="O9" s="292" t="s">
        <v>676</v>
      </c>
      <c r="P9" s="688" t="s">
        <v>21</v>
      </c>
      <c r="Q9" s="688" t="s">
        <v>21</v>
      </c>
      <c r="R9" s="688" t="s">
        <v>21</v>
      </c>
      <c r="S9" s="688" t="s">
        <v>21</v>
      </c>
      <c r="T9" s="688" t="s">
        <v>21</v>
      </c>
      <c r="U9" s="1653"/>
    </row>
    <row r="10" spans="2:21" s="65" customFormat="1" x14ac:dyDescent="0.25">
      <c r="B10" s="158">
        <v>1</v>
      </c>
      <c r="C10" s="159" t="s">
        <v>456</v>
      </c>
      <c r="D10" s="166" t="s">
        <v>352</v>
      </c>
      <c r="E10" s="1720" t="s">
        <v>769</v>
      </c>
      <c r="F10" s="1721"/>
      <c r="G10" s="1721"/>
      <c r="H10" s="1721"/>
      <c r="I10" s="1721"/>
      <c r="J10" s="1721"/>
      <c r="K10" s="1726" t="str">
        <f>E10</f>
        <v>Not Applicable for Thermal Power Plant</v>
      </c>
      <c r="L10" s="1726"/>
      <c r="M10" s="1726"/>
      <c r="N10" s="1726"/>
      <c r="O10" s="1726"/>
      <c r="P10" s="1726"/>
      <c r="Q10" s="1726"/>
      <c r="R10" s="1726"/>
      <c r="S10" s="1726"/>
      <c r="T10" s="1726"/>
      <c r="U10" s="1727"/>
    </row>
    <row r="11" spans="2:21" s="65" customFormat="1" x14ac:dyDescent="0.25">
      <c r="B11" s="158">
        <f>B10+1</f>
        <v>2</v>
      </c>
      <c r="C11" s="159" t="s">
        <v>419</v>
      </c>
      <c r="D11" s="166" t="s">
        <v>353</v>
      </c>
      <c r="E11" s="1722"/>
      <c r="F11" s="1723"/>
      <c r="G11" s="1723"/>
      <c r="H11" s="1723"/>
      <c r="I11" s="1723"/>
      <c r="J11" s="1723"/>
      <c r="K11" s="1728"/>
      <c r="L11" s="1728"/>
      <c r="M11" s="1728"/>
      <c r="N11" s="1728"/>
      <c r="O11" s="1728"/>
      <c r="P11" s="1728"/>
      <c r="Q11" s="1728"/>
      <c r="R11" s="1728"/>
      <c r="S11" s="1728"/>
      <c r="T11" s="1728"/>
      <c r="U11" s="1729"/>
    </row>
    <row r="12" spans="2:21" s="65" customFormat="1" x14ac:dyDescent="0.25">
      <c r="B12" s="158">
        <f t="shared" ref="B12:B18" si="0">B11+1</f>
        <v>3</v>
      </c>
      <c r="C12" s="159" t="s">
        <v>363</v>
      </c>
      <c r="D12" s="166" t="s">
        <v>357</v>
      </c>
      <c r="E12" s="1722"/>
      <c r="F12" s="1723"/>
      <c r="G12" s="1723"/>
      <c r="H12" s="1723"/>
      <c r="I12" s="1723"/>
      <c r="J12" s="1723"/>
      <c r="K12" s="1728"/>
      <c r="L12" s="1728"/>
      <c r="M12" s="1728"/>
      <c r="N12" s="1728"/>
      <c r="O12" s="1728"/>
      <c r="P12" s="1728"/>
      <c r="Q12" s="1728"/>
      <c r="R12" s="1728"/>
      <c r="S12" s="1728"/>
      <c r="T12" s="1728"/>
      <c r="U12" s="1729"/>
    </row>
    <row r="13" spans="2:21" x14ac:dyDescent="0.25">
      <c r="B13" s="158">
        <f t="shared" si="0"/>
        <v>4</v>
      </c>
      <c r="C13" s="160" t="s">
        <v>458</v>
      </c>
      <c r="D13" s="166" t="s">
        <v>455</v>
      </c>
      <c r="E13" s="1722"/>
      <c r="F13" s="1723"/>
      <c r="G13" s="1723"/>
      <c r="H13" s="1723"/>
      <c r="I13" s="1723"/>
      <c r="J13" s="1723"/>
      <c r="K13" s="1728"/>
      <c r="L13" s="1728"/>
      <c r="M13" s="1728"/>
      <c r="N13" s="1728"/>
      <c r="O13" s="1728"/>
      <c r="P13" s="1728"/>
      <c r="Q13" s="1728"/>
      <c r="R13" s="1728"/>
      <c r="S13" s="1728"/>
      <c r="T13" s="1728"/>
      <c r="U13" s="1729"/>
    </row>
    <row r="14" spans="2:21" x14ac:dyDescent="0.25">
      <c r="B14" s="158"/>
      <c r="C14" s="161"/>
      <c r="D14" s="166"/>
      <c r="E14" s="1722"/>
      <c r="F14" s="1723"/>
      <c r="G14" s="1723"/>
      <c r="H14" s="1723"/>
      <c r="I14" s="1723"/>
      <c r="J14" s="1723"/>
      <c r="K14" s="1728"/>
      <c r="L14" s="1728"/>
      <c r="M14" s="1728"/>
      <c r="N14" s="1728"/>
      <c r="O14" s="1728"/>
      <c r="P14" s="1728"/>
      <c r="Q14" s="1728"/>
      <c r="R14" s="1728"/>
      <c r="S14" s="1728"/>
      <c r="T14" s="1728"/>
      <c r="U14" s="1729"/>
    </row>
    <row r="15" spans="2:21" x14ac:dyDescent="0.25">
      <c r="B15" s="158">
        <v>5</v>
      </c>
      <c r="C15" s="159" t="s">
        <v>364</v>
      </c>
      <c r="D15" s="166" t="s">
        <v>354</v>
      </c>
      <c r="E15" s="1722"/>
      <c r="F15" s="1723"/>
      <c r="G15" s="1723"/>
      <c r="H15" s="1723"/>
      <c r="I15" s="1723"/>
      <c r="J15" s="1723"/>
      <c r="K15" s="1728"/>
      <c r="L15" s="1728"/>
      <c r="M15" s="1728"/>
      <c r="N15" s="1728"/>
      <c r="O15" s="1728"/>
      <c r="P15" s="1728"/>
      <c r="Q15" s="1728"/>
      <c r="R15" s="1728"/>
      <c r="S15" s="1728"/>
      <c r="T15" s="1728"/>
      <c r="U15" s="1729"/>
    </row>
    <row r="16" spans="2:21" s="96" customFormat="1" x14ac:dyDescent="0.25">
      <c r="B16" s="158">
        <f t="shared" si="0"/>
        <v>6</v>
      </c>
      <c r="C16" s="159" t="s">
        <v>365</v>
      </c>
      <c r="D16" s="166" t="s">
        <v>359</v>
      </c>
      <c r="E16" s="1722"/>
      <c r="F16" s="1723"/>
      <c r="G16" s="1723"/>
      <c r="H16" s="1723"/>
      <c r="I16" s="1723"/>
      <c r="J16" s="1723"/>
      <c r="K16" s="1728"/>
      <c r="L16" s="1728"/>
      <c r="M16" s="1728"/>
      <c r="N16" s="1728"/>
      <c r="O16" s="1728"/>
      <c r="P16" s="1728"/>
      <c r="Q16" s="1728"/>
      <c r="R16" s="1728"/>
      <c r="S16" s="1728"/>
      <c r="T16" s="1728"/>
      <c r="U16" s="1729"/>
    </row>
    <row r="17" spans="2:21" s="96" customFormat="1" x14ac:dyDescent="0.25">
      <c r="B17" s="158">
        <f t="shared" si="0"/>
        <v>7</v>
      </c>
      <c r="C17" s="159" t="s">
        <v>366</v>
      </c>
      <c r="D17" s="166" t="s">
        <v>360</v>
      </c>
      <c r="E17" s="1722"/>
      <c r="F17" s="1723"/>
      <c r="G17" s="1723"/>
      <c r="H17" s="1723"/>
      <c r="I17" s="1723"/>
      <c r="J17" s="1723"/>
      <c r="K17" s="1728"/>
      <c r="L17" s="1728"/>
      <c r="M17" s="1728"/>
      <c r="N17" s="1728"/>
      <c r="O17" s="1728"/>
      <c r="P17" s="1728"/>
      <c r="Q17" s="1728"/>
      <c r="R17" s="1728"/>
      <c r="S17" s="1728"/>
      <c r="T17" s="1728"/>
      <c r="U17" s="1729"/>
    </row>
    <row r="18" spans="2:21" s="96" customFormat="1" x14ac:dyDescent="0.25">
      <c r="B18" s="158">
        <f t="shared" si="0"/>
        <v>8</v>
      </c>
      <c r="C18" s="167" t="s">
        <v>367</v>
      </c>
      <c r="D18" s="166" t="s">
        <v>361</v>
      </c>
      <c r="E18" s="1724"/>
      <c r="F18" s="1725"/>
      <c r="G18" s="1725"/>
      <c r="H18" s="1725"/>
      <c r="I18" s="1725"/>
      <c r="J18" s="1725"/>
      <c r="K18" s="1730"/>
      <c r="L18" s="1730"/>
      <c r="M18" s="1730"/>
      <c r="N18" s="1730"/>
      <c r="O18" s="1730"/>
      <c r="P18" s="1730"/>
      <c r="Q18" s="1730"/>
      <c r="R18" s="1730"/>
      <c r="S18" s="1730"/>
      <c r="T18" s="1730"/>
      <c r="U18" s="1731"/>
    </row>
    <row r="19" spans="2:21" s="96" customFormat="1" x14ac:dyDescent="0.25">
      <c r="B19" s="90"/>
      <c r="C19" s="90"/>
    </row>
    <row r="20" spans="2:21" s="96" customFormat="1" x14ac:dyDescent="0.25">
      <c r="B20" s="176"/>
      <c r="C20" s="162"/>
      <c r="D20" s="162"/>
      <c r="E20" s="162"/>
      <c r="F20" s="162"/>
      <c r="G20" s="162"/>
      <c r="H20" s="162"/>
      <c r="I20" s="162"/>
      <c r="J20" s="162"/>
    </row>
    <row r="21" spans="2:21" s="96" customFormat="1" ht="16" x14ac:dyDescent="0.25">
      <c r="B21" s="163"/>
      <c r="C21" s="164"/>
      <c r="D21" s="165"/>
      <c r="E21" s="92"/>
      <c r="F21" s="92"/>
      <c r="G21" s="92"/>
      <c r="H21" s="92"/>
      <c r="I21" s="92"/>
      <c r="J21" s="92"/>
    </row>
    <row r="22" spans="2:21" s="96" customFormat="1" ht="18" customHeight="1" x14ac:dyDescent="0.3">
      <c r="B22" s="7"/>
      <c r="C22" s="163"/>
      <c r="D22" s="163"/>
      <c r="E22" s="163"/>
      <c r="F22" s="163"/>
      <c r="G22" s="163"/>
      <c r="H22" s="163"/>
      <c r="I22" s="163"/>
      <c r="J22" s="163"/>
    </row>
  </sheetData>
  <mergeCells count="16">
    <mergeCell ref="B2:J2"/>
    <mergeCell ref="B3:J3"/>
    <mergeCell ref="B4:J4"/>
    <mergeCell ref="K2:U2"/>
    <mergeCell ref="K3:U3"/>
    <mergeCell ref="K4:U4"/>
    <mergeCell ref="B7:B9"/>
    <mergeCell ref="C7:C9"/>
    <mergeCell ref="D7:D9"/>
    <mergeCell ref="E7:G7"/>
    <mergeCell ref="H7:J7"/>
    <mergeCell ref="E10:J18"/>
    <mergeCell ref="K10:U18"/>
    <mergeCell ref="U7:U9"/>
    <mergeCell ref="K7:O7"/>
    <mergeCell ref="P7:T7"/>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x14ac:dyDescent="0.3"/>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x14ac:dyDescent="0.3">
      <c r="B2" s="1657" t="str">
        <f>Index!B2</f>
        <v xml:space="preserve">      Maharashtra State Power Generation Company Ltd.</v>
      </c>
      <c r="C2" s="1718"/>
      <c r="D2" s="1718"/>
      <c r="E2" s="1718"/>
      <c r="F2" s="1718"/>
      <c r="G2" s="1718"/>
      <c r="H2" s="1718"/>
      <c r="I2" s="1718"/>
      <c r="J2" s="1718"/>
      <c r="K2" s="1718"/>
      <c r="L2" s="1718"/>
      <c r="M2" s="1718"/>
    </row>
    <row r="3" spans="2:14" x14ac:dyDescent="0.3">
      <c r="B3" s="1657" t="str">
        <f>Index!B3</f>
        <v>MYT Petition Formats for Chandrapur Unit 3-7</v>
      </c>
      <c r="C3" s="1718"/>
      <c r="D3" s="1718"/>
      <c r="E3" s="1718"/>
      <c r="F3" s="1718"/>
      <c r="G3" s="1718"/>
      <c r="H3" s="1718"/>
      <c r="I3" s="1718"/>
      <c r="J3" s="1718"/>
      <c r="K3" s="1718"/>
      <c r="L3" s="1718"/>
      <c r="M3" s="1718"/>
    </row>
    <row r="4" spans="2:14" x14ac:dyDescent="0.3">
      <c r="B4" s="1658" t="s">
        <v>386</v>
      </c>
      <c r="C4" s="1718"/>
      <c r="D4" s="1718"/>
      <c r="E4" s="1718"/>
      <c r="F4" s="1718"/>
      <c r="G4" s="1718"/>
      <c r="H4" s="1718"/>
      <c r="I4" s="1718"/>
      <c r="J4" s="1718"/>
      <c r="K4" s="1718"/>
      <c r="L4" s="1718"/>
      <c r="M4" s="1718"/>
    </row>
    <row r="6" spans="2:14" x14ac:dyDescent="0.3">
      <c r="B6" s="6" t="s">
        <v>1017</v>
      </c>
    </row>
    <row r="7" spans="2:14" x14ac:dyDescent="0.3">
      <c r="B7" s="53"/>
      <c r="C7" s="17"/>
      <c r="D7" s="18"/>
      <c r="E7" s="18"/>
      <c r="F7" s="21" t="s">
        <v>10</v>
      </c>
      <c r="G7" s="18"/>
      <c r="H7" s="18"/>
      <c r="I7" s="18"/>
      <c r="J7" s="18"/>
      <c r="K7" s="18"/>
      <c r="L7" s="18"/>
      <c r="M7" s="18"/>
      <c r="N7" s="18"/>
    </row>
    <row r="8" spans="2:14" s="35" customFormat="1" ht="15.75" customHeight="1" x14ac:dyDescent="0.3">
      <c r="B8" s="1705" t="s">
        <v>340</v>
      </c>
      <c r="C8" s="1707" t="s">
        <v>37</v>
      </c>
      <c r="D8" s="1707" t="s">
        <v>145</v>
      </c>
      <c r="E8" s="1654" t="s">
        <v>506</v>
      </c>
      <c r="F8" s="1656"/>
      <c r="G8" s="1707" t="s">
        <v>145</v>
      </c>
      <c r="H8" s="1654" t="s">
        <v>507</v>
      </c>
      <c r="I8" s="1656"/>
      <c r="J8" s="1707" t="s">
        <v>145</v>
      </c>
      <c r="K8" s="1654" t="s">
        <v>508</v>
      </c>
      <c r="L8" s="1656"/>
    </row>
    <row r="9" spans="2:14" s="35" customFormat="1" ht="26.25" customHeight="1" x14ac:dyDescent="0.3">
      <c r="B9" s="1706"/>
      <c r="C9" s="1708"/>
      <c r="D9" s="1708"/>
      <c r="E9" s="369" t="s">
        <v>813</v>
      </c>
      <c r="F9" s="254" t="s">
        <v>814</v>
      </c>
      <c r="G9" s="1708"/>
      <c r="H9" s="737" t="s">
        <v>813</v>
      </c>
      <c r="I9" s="737" t="s">
        <v>814</v>
      </c>
      <c r="J9" s="1708"/>
      <c r="K9" s="737" t="s">
        <v>813</v>
      </c>
      <c r="L9" s="737" t="s">
        <v>814</v>
      </c>
    </row>
    <row r="10" spans="2:14" s="6" customFormat="1" x14ac:dyDescent="0.3">
      <c r="B10" s="137">
        <v>1</v>
      </c>
      <c r="C10" s="60" t="s">
        <v>379</v>
      </c>
      <c r="D10" s="1741" t="s">
        <v>769</v>
      </c>
      <c r="E10" s="1742"/>
      <c r="F10" s="1743"/>
      <c r="G10" s="1741" t="s">
        <v>769</v>
      </c>
      <c r="H10" s="1742"/>
      <c r="I10" s="1743"/>
      <c r="J10" s="1741" t="s">
        <v>769</v>
      </c>
      <c r="K10" s="1742"/>
      <c r="L10" s="1743"/>
    </row>
    <row r="11" spans="2:14" s="6" customFormat="1" x14ac:dyDescent="0.3">
      <c r="B11" s="137">
        <v>2</v>
      </c>
      <c r="C11" s="60" t="s">
        <v>149</v>
      </c>
      <c r="D11" s="1744"/>
      <c r="E11" s="1745"/>
      <c r="F11" s="1746"/>
      <c r="G11" s="1744"/>
      <c r="H11" s="1745"/>
      <c r="I11" s="1746"/>
      <c r="J11" s="1744"/>
      <c r="K11" s="1745"/>
      <c r="L11" s="1746"/>
    </row>
    <row r="12" spans="2:14" s="6" customFormat="1" x14ac:dyDescent="0.3">
      <c r="B12" s="137">
        <v>3</v>
      </c>
      <c r="C12" s="60" t="s">
        <v>150</v>
      </c>
      <c r="D12" s="1744"/>
      <c r="E12" s="1745"/>
      <c r="F12" s="1746"/>
      <c r="G12" s="1744"/>
      <c r="H12" s="1745"/>
      <c r="I12" s="1746"/>
      <c r="J12" s="1744"/>
      <c r="K12" s="1745"/>
      <c r="L12" s="1746"/>
    </row>
    <row r="13" spans="2:14" x14ac:dyDescent="0.3">
      <c r="B13" s="137">
        <v>4</v>
      </c>
      <c r="C13" s="139" t="s">
        <v>151</v>
      </c>
      <c r="D13" s="1744"/>
      <c r="E13" s="1745"/>
      <c r="F13" s="1746"/>
      <c r="G13" s="1744"/>
      <c r="H13" s="1745"/>
      <c r="I13" s="1746"/>
      <c r="J13" s="1744"/>
      <c r="K13" s="1745"/>
      <c r="L13" s="1746"/>
    </row>
    <row r="14" spans="2:14" x14ac:dyDescent="0.3">
      <c r="B14" s="10"/>
      <c r="C14" s="9"/>
      <c r="D14" s="1744"/>
      <c r="E14" s="1745"/>
      <c r="F14" s="1746"/>
      <c r="G14" s="1744"/>
      <c r="H14" s="1745"/>
      <c r="I14" s="1746"/>
      <c r="J14" s="1744"/>
      <c r="K14" s="1745"/>
      <c r="L14" s="1746"/>
    </row>
    <row r="15" spans="2:14" ht="14" customHeight="1" x14ac:dyDescent="0.3">
      <c r="B15" s="140">
        <v>5</v>
      </c>
      <c r="C15" s="61" t="s">
        <v>152</v>
      </c>
      <c r="D15" s="1744"/>
      <c r="E15" s="1745"/>
      <c r="F15" s="1746"/>
      <c r="G15" s="1744"/>
      <c r="H15" s="1745"/>
      <c r="I15" s="1746"/>
      <c r="J15" s="1744"/>
      <c r="K15" s="1745"/>
      <c r="L15" s="1746"/>
    </row>
    <row r="16" spans="2:14" s="1" customFormat="1" ht="17.25" customHeight="1" x14ac:dyDescent="0.3">
      <c r="B16" s="141">
        <v>6</v>
      </c>
      <c r="C16" s="60" t="s">
        <v>381</v>
      </c>
      <c r="D16" s="1744"/>
      <c r="E16" s="1745"/>
      <c r="F16" s="1746"/>
      <c r="G16" s="1744"/>
      <c r="H16" s="1745"/>
      <c r="I16" s="1746"/>
      <c r="J16" s="1744"/>
      <c r="K16" s="1745"/>
      <c r="L16" s="1746"/>
    </row>
    <row r="17" spans="2:14" s="1" customFormat="1" x14ac:dyDescent="0.3">
      <c r="B17" s="137">
        <v>7</v>
      </c>
      <c r="C17" s="61" t="s">
        <v>87</v>
      </c>
      <c r="D17" s="1744"/>
      <c r="E17" s="1745"/>
      <c r="F17" s="1746"/>
      <c r="G17" s="1744"/>
      <c r="H17" s="1745"/>
      <c r="I17" s="1746"/>
      <c r="J17" s="1744"/>
      <c r="K17" s="1745"/>
      <c r="L17" s="1746"/>
    </row>
    <row r="18" spans="2:14" s="1" customFormat="1" x14ac:dyDescent="0.3">
      <c r="B18" s="137"/>
      <c r="C18" s="61"/>
      <c r="D18" s="1744"/>
      <c r="E18" s="1745"/>
      <c r="F18" s="1746"/>
      <c r="G18" s="1744"/>
      <c r="H18" s="1745"/>
      <c r="I18" s="1746"/>
      <c r="J18" s="1744"/>
      <c r="K18" s="1745"/>
      <c r="L18" s="1746"/>
    </row>
    <row r="19" spans="2:14" s="1" customFormat="1" x14ac:dyDescent="0.3">
      <c r="B19" s="158">
        <v>8</v>
      </c>
      <c r="C19" s="61" t="s">
        <v>484</v>
      </c>
      <c r="D19" s="1747"/>
      <c r="E19" s="1748"/>
      <c r="F19" s="1749"/>
      <c r="G19" s="1747"/>
      <c r="H19" s="1748"/>
      <c r="I19" s="1749"/>
      <c r="J19" s="1747"/>
      <c r="K19" s="1748"/>
      <c r="L19" s="1749"/>
    </row>
    <row r="20" spans="2:14" s="1" customFormat="1" hidden="1" x14ac:dyDescent="0.3">
      <c r="B20" s="6" t="s">
        <v>161</v>
      </c>
      <c r="C20" s="36"/>
    </row>
    <row r="21" spans="2:14" s="1" customFormat="1" hidden="1" x14ac:dyDescent="0.3">
      <c r="B21" s="5">
        <v>1</v>
      </c>
      <c r="C21" s="7" t="s">
        <v>705</v>
      </c>
    </row>
    <row r="22" spans="2:14" s="1" customFormat="1" hidden="1" x14ac:dyDescent="0.3">
      <c r="B22" s="5">
        <v>2</v>
      </c>
      <c r="C22" s="7" t="s">
        <v>452</v>
      </c>
    </row>
    <row r="23" spans="2:14" s="1" customFormat="1" hidden="1" x14ac:dyDescent="0.3">
      <c r="B23" s="5">
        <v>3</v>
      </c>
      <c r="C23" s="47" t="s">
        <v>160</v>
      </c>
    </row>
    <row r="24" spans="2:14" s="1" customFormat="1" x14ac:dyDescent="0.3">
      <c r="B24" s="5"/>
      <c r="C24" s="47"/>
    </row>
    <row r="25" spans="2:14" x14ac:dyDescent="0.3">
      <c r="B25" s="6" t="s">
        <v>1008</v>
      </c>
    </row>
    <row r="26" spans="2:14" x14ac:dyDescent="0.3">
      <c r="B26" s="53"/>
      <c r="C26" s="17"/>
      <c r="D26" s="18"/>
      <c r="E26" s="18"/>
      <c r="F26" s="18"/>
      <c r="G26" s="18"/>
      <c r="H26" s="18"/>
    </row>
    <row r="27" spans="2:14" s="35" customFormat="1" ht="15.75" customHeight="1" x14ac:dyDescent="0.3">
      <c r="B27" s="1705" t="s">
        <v>340</v>
      </c>
      <c r="C27" s="1707" t="s">
        <v>37</v>
      </c>
      <c r="D27" s="1659" t="s">
        <v>380</v>
      </c>
      <c r="E27" s="1654" t="s">
        <v>969</v>
      </c>
      <c r="F27" s="1655"/>
      <c r="G27" s="1654" t="s">
        <v>970</v>
      </c>
      <c r="H27" s="1655"/>
      <c r="I27" s="1654" t="s">
        <v>971</v>
      </c>
      <c r="J27" s="1655"/>
      <c r="K27" s="1654" t="s">
        <v>972</v>
      </c>
      <c r="L27" s="1655"/>
      <c r="M27" s="1654" t="s">
        <v>973</v>
      </c>
      <c r="N27" s="1655"/>
    </row>
    <row r="28" spans="2:14" s="6" customFormat="1" ht="35" customHeight="1" x14ac:dyDescent="0.3">
      <c r="B28" s="1706"/>
      <c r="C28" s="1708"/>
      <c r="D28" s="1702"/>
      <c r="E28" s="369" t="s">
        <v>813</v>
      </c>
      <c r="F28" s="369" t="s">
        <v>814</v>
      </c>
      <c r="G28" s="369" t="s">
        <v>813</v>
      </c>
      <c r="H28" s="369" t="s">
        <v>814</v>
      </c>
      <c r="I28" s="369" t="s">
        <v>813</v>
      </c>
      <c r="J28" s="369" t="s">
        <v>814</v>
      </c>
      <c r="K28" s="369" t="s">
        <v>813</v>
      </c>
      <c r="L28" s="369" t="s">
        <v>814</v>
      </c>
      <c r="M28" s="369" t="s">
        <v>813</v>
      </c>
      <c r="N28" s="369" t="s">
        <v>814</v>
      </c>
    </row>
    <row r="29" spans="2:14" s="6" customFormat="1" x14ac:dyDescent="0.3">
      <c r="B29" s="137">
        <v>1</v>
      </c>
      <c r="C29" s="60" t="s">
        <v>379</v>
      </c>
      <c r="D29" s="138"/>
      <c r="E29" s="1732" t="s">
        <v>769</v>
      </c>
      <c r="F29" s="1733"/>
      <c r="G29" s="1733"/>
      <c r="H29" s="1733"/>
      <c r="I29" s="1733"/>
      <c r="J29" s="1733"/>
      <c r="K29" s="1733"/>
      <c r="L29" s="1733"/>
      <c r="M29" s="1733"/>
      <c r="N29" s="1734"/>
    </row>
    <row r="30" spans="2:14" s="6" customFormat="1" x14ac:dyDescent="0.3">
      <c r="B30" s="137">
        <v>2</v>
      </c>
      <c r="C30" s="60" t="s">
        <v>149</v>
      </c>
      <c r="D30" s="138"/>
      <c r="E30" s="1735"/>
      <c r="F30" s="1736"/>
      <c r="G30" s="1736"/>
      <c r="H30" s="1736"/>
      <c r="I30" s="1736"/>
      <c r="J30" s="1736"/>
      <c r="K30" s="1736"/>
      <c r="L30" s="1736"/>
      <c r="M30" s="1736"/>
      <c r="N30" s="1737"/>
    </row>
    <row r="31" spans="2:14" x14ac:dyDescent="0.3">
      <c r="B31" s="137">
        <v>3</v>
      </c>
      <c r="C31" s="60" t="s">
        <v>706</v>
      </c>
      <c r="D31" s="138"/>
      <c r="E31" s="1735"/>
      <c r="F31" s="1736"/>
      <c r="G31" s="1736"/>
      <c r="H31" s="1736"/>
      <c r="I31" s="1736"/>
      <c r="J31" s="1736"/>
      <c r="K31" s="1736"/>
      <c r="L31" s="1736"/>
      <c r="M31" s="1736"/>
      <c r="N31" s="1737"/>
    </row>
    <row r="32" spans="2:14" x14ac:dyDescent="0.3">
      <c r="B32" s="137">
        <v>4</v>
      </c>
      <c r="C32" s="139" t="s">
        <v>151</v>
      </c>
      <c r="D32" s="138"/>
      <c r="E32" s="1735"/>
      <c r="F32" s="1736"/>
      <c r="G32" s="1736"/>
      <c r="H32" s="1736"/>
      <c r="I32" s="1736"/>
      <c r="J32" s="1736"/>
      <c r="K32" s="1736"/>
      <c r="L32" s="1736"/>
      <c r="M32" s="1736"/>
      <c r="N32" s="1737"/>
    </row>
    <row r="33" spans="2:14" ht="14" customHeight="1" x14ac:dyDescent="0.3">
      <c r="B33" s="10"/>
      <c r="C33" s="9"/>
      <c r="D33" s="138"/>
      <c r="E33" s="1735"/>
      <c r="F33" s="1736"/>
      <c r="G33" s="1736"/>
      <c r="H33" s="1736"/>
      <c r="I33" s="1736"/>
      <c r="J33" s="1736"/>
      <c r="K33" s="1736"/>
      <c r="L33" s="1736"/>
      <c r="M33" s="1736"/>
      <c r="N33" s="1737"/>
    </row>
    <row r="34" spans="2:14" s="1" customFormat="1" x14ac:dyDescent="0.3">
      <c r="B34" s="140">
        <v>5</v>
      </c>
      <c r="C34" s="61" t="s">
        <v>152</v>
      </c>
      <c r="D34" s="138"/>
      <c r="E34" s="1735"/>
      <c r="F34" s="1736"/>
      <c r="G34" s="1736"/>
      <c r="H34" s="1736"/>
      <c r="I34" s="1736"/>
      <c r="J34" s="1736"/>
      <c r="K34" s="1736"/>
      <c r="L34" s="1736"/>
      <c r="M34" s="1736"/>
      <c r="N34" s="1737"/>
    </row>
    <row r="35" spans="2:14" s="1" customFormat="1" x14ac:dyDescent="0.3">
      <c r="B35" s="150">
        <v>6</v>
      </c>
      <c r="C35" s="60" t="s">
        <v>381</v>
      </c>
      <c r="D35" s="138"/>
      <c r="E35" s="1735"/>
      <c r="F35" s="1736"/>
      <c r="G35" s="1736"/>
      <c r="H35" s="1736"/>
      <c r="I35" s="1736"/>
      <c r="J35" s="1736"/>
      <c r="K35" s="1736"/>
      <c r="L35" s="1736"/>
      <c r="M35" s="1736"/>
      <c r="N35" s="1737"/>
    </row>
    <row r="36" spans="2:14" s="1" customFormat="1" x14ac:dyDescent="0.3">
      <c r="B36" s="137">
        <v>7</v>
      </c>
      <c r="C36" s="61" t="s">
        <v>87</v>
      </c>
      <c r="D36" s="9"/>
      <c r="E36" s="1738"/>
      <c r="F36" s="1739"/>
      <c r="G36" s="1739"/>
      <c r="H36" s="1739"/>
      <c r="I36" s="1739"/>
      <c r="J36" s="1739"/>
      <c r="K36" s="1739"/>
      <c r="L36" s="1739"/>
      <c r="M36" s="1739"/>
      <c r="N36" s="1740"/>
    </row>
    <row r="37" spans="2:14" s="1" customFormat="1" x14ac:dyDescent="0.3">
      <c r="B37" s="5"/>
      <c r="C37" s="36"/>
    </row>
    <row r="38" spans="2:14" s="1" customFormat="1" x14ac:dyDescent="0.3">
      <c r="B38" s="54"/>
      <c r="C38" s="7"/>
      <c r="D38" s="48"/>
      <c r="E38" s="48"/>
      <c r="F38" s="48"/>
      <c r="G38" s="11"/>
      <c r="H38" s="11"/>
      <c r="I38" s="7"/>
    </row>
    <row r="39" spans="2:14" s="1" customFormat="1" ht="18" customHeight="1" x14ac:dyDescent="0.3">
      <c r="B39" s="47"/>
      <c r="C39" s="45"/>
      <c r="D39" s="47"/>
      <c r="E39" s="47"/>
      <c r="F39" s="47"/>
      <c r="G39" s="47"/>
      <c r="H39" s="47"/>
      <c r="I39" s="7"/>
    </row>
    <row r="40" spans="2:14" s="1" customFormat="1" ht="13.5" customHeight="1" x14ac:dyDescent="0.3">
      <c r="B40" s="47"/>
      <c r="C40" s="45"/>
      <c r="D40" s="47"/>
      <c r="E40" s="47"/>
      <c r="F40" s="47"/>
      <c r="G40" s="47"/>
      <c r="H40" s="47"/>
      <c r="I40" s="7"/>
    </row>
    <row r="41" spans="2:14" x14ac:dyDescent="0.3">
      <c r="B41" s="47"/>
      <c r="C41" s="47"/>
      <c r="D41" s="7"/>
      <c r="E41" s="7"/>
      <c r="F41" s="7"/>
      <c r="G41" s="7"/>
      <c r="H41" s="7"/>
      <c r="I41" s="7"/>
    </row>
    <row r="42" spans="2:14" x14ac:dyDescent="0.3">
      <c r="B42" s="7"/>
      <c r="C42" s="7"/>
      <c r="D42" s="7"/>
      <c r="E42" s="7"/>
      <c r="F42" s="7"/>
      <c r="G42" s="7"/>
      <c r="H42" s="7"/>
      <c r="I42" s="7"/>
    </row>
    <row r="43" spans="2:14" x14ac:dyDescent="0.3">
      <c r="B43" s="7"/>
      <c r="C43" s="7"/>
      <c r="D43" s="7"/>
      <c r="E43" s="7"/>
      <c r="F43" s="7"/>
      <c r="G43" s="7"/>
      <c r="H43" s="56"/>
      <c r="I43" s="7"/>
    </row>
    <row r="44" spans="2:14" x14ac:dyDescent="0.3">
      <c r="B44" s="7"/>
      <c r="C44" s="7"/>
      <c r="D44" s="7"/>
      <c r="E44" s="7"/>
      <c r="F44" s="7"/>
      <c r="G44" s="7"/>
      <c r="H44" s="7"/>
      <c r="I44" s="7"/>
    </row>
    <row r="45" spans="2:14" x14ac:dyDescent="0.3">
      <c r="B45" s="7"/>
      <c r="C45" s="7"/>
    </row>
  </sheetData>
  <mergeCells count="23">
    <mergeCell ref="B27:B28"/>
    <mergeCell ref="B2:M2"/>
    <mergeCell ref="B3:M3"/>
    <mergeCell ref="B4:M4"/>
    <mergeCell ref="D8:D9"/>
    <mergeCell ref="E8:F8"/>
    <mergeCell ref="C8:C9"/>
    <mergeCell ref="B8:B9"/>
    <mergeCell ref="D27:D28"/>
    <mergeCell ref="C27:C28"/>
    <mergeCell ref="E27:F27"/>
    <mergeCell ref="G27:H27"/>
    <mergeCell ref="I27:J27"/>
    <mergeCell ref="D10:F19"/>
    <mergeCell ref="E29:N36"/>
    <mergeCell ref="G8:G9"/>
    <mergeCell ref="H8:I8"/>
    <mergeCell ref="G10:I19"/>
    <mergeCell ref="J8:J9"/>
    <mergeCell ref="K8:L8"/>
    <mergeCell ref="J10:L19"/>
    <mergeCell ref="K27:L27"/>
    <mergeCell ref="M27:N27"/>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x14ac:dyDescent="0.3"/>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x14ac:dyDescent="0.3">
      <c r="B2" s="1657" t="str">
        <f>Index!B2</f>
        <v xml:space="preserve">      Maharashtra State Power Generation Company Ltd.</v>
      </c>
      <c r="C2" s="1718"/>
      <c r="D2" s="1718"/>
      <c r="E2" s="1718"/>
      <c r="F2" s="1718"/>
      <c r="G2" s="1718"/>
      <c r="H2" s="1718"/>
      <c r="I2" s="1718"/>
      <c r="J2" s="1718"/>
      <c r="K2" s="1718"/>
      <c r="L2" s="1718"/>
      <c r="M2" s="1718"/>
      <c r="N2" s="1718"/>
      <c r="O2" s="1718"/>
      <c r="P2" s="1718"/>
    </row>
    <row r="3" spans="2:16" x14ac:dyDescent="0.3">
      <c r="B3" s="1657" t="str">
        <f>Index!B3</f>
        <v>MYT Petition Formats for Chandrapur Unit 3-7</v>
      </c>
      <c r="C3" s="1718"/>
      <c r="D3" s="1718"/>
      <c r="E3" s="1718"/>
      <c r="F3" s="1718"/>
      <c r="G3" s="1718"/>
      <c r="H3" s="1718"/>
      <c r="I3" s="1718"/>
      <c r="J3" s="1718"/>
      <c r="K3" s="1718"/>
      <c r="L3" s="1718"/>
      <c r="M3" s="1718"/>
      <c r="N3" s="1718"/>
      <c r="O3" s="1718"/>
      <c r="P3" s="1718"/>
    </row>
    <row r="4" spans="2:16" x14ac:dyDescent="0.3">
      <c r="B4" s="1658" t="s">
        <v>387</v>
      </c>
      <c r="C4" s="1718"/>
      <c r="D4" s="1718"/>
      <c r="E4" s="1718"/>
      <c r="F4" s="1718"/>
      <c r="G4" s="1718"/>
      <c r="H4" s="1718"/>
      <c r="I4" s="1718"/>
      <c r="J4" s="1718"/>
      <c r="K4" s="1718"/>
      <c r="L4" s="1718"/>
      <c r="M4" s="1718"/>
      <c r="N4" s="1718"/>
      <c r="O4" s="1718"/>
      <c r="P4" s="1718"/>
    </row>
    <row r="5" spans="2:16" x14ac:dyDescent="0.3">
      <c r="C5" s="19"/>
      <c r="D5" s="19"/>
      <c r="E5" s="19"/>
      <c r="F5" s="19"/>
      <c r="G5" s="19"/>
    </row>
    <row r="6" spans="2:16" x14ac:dyDescent="0.3">
      <c r="B6" s="53"/>
      <c r="C6" s="17"/>
      <c r="D6" s="17"/>
      <c r="E6" s="17"/>
      <c r="F6" s="17"/>
      <c r="G6" s="17"/>
      <c r="H6" s="18"/>
      <c r="I6" s="18"/>
      <c r="J6" s="18"/>
    </row>
    <row r="7" spans="2:16" s="35" customFormat="1" x14ac:dyDescent="0.3">
      <c r="B7" s="1699" t="s">
        <v>6</v>
      </c>
      <c r="C7" s="1701" t="s">
        <v>37</v>
      </c>
      <c r="D7" s="1759" t="s">
        <v>506</v>
      </c>
      <c r="E7" s="1760"/>
      <c r="F7" s="1759" t="s">
        <v>507</v>
      </c>
      <c r="G7" s="1760"/>
      <c r="H7" s="1654" t="s">
        <v>508</v>
      </c>
      <c r="I7" s="1655"/>
      <c r="J7" s="1655"/>
      <c r="K7" s="1655"/>
      <c r="L7" s="1654" t="s">
        <v>507</v>
      </c>
      <c r="M7" s="1656"/>
      <c r="N7" s="1654" t="s">
        <v>508</v>
      </c>
      <c r="O7" s="1656"/>
      <c r="P7" s="1659" t="s">
        <v>27</v>
      </c>
    </row>
    <row r="8" spans="2:16" s="36" customFormat="1" ht="28" x14ac:dyDescent="0.25">
      <c r="B8" s="1699"/>
      <c r="C8" s="1701"/>
      <c r="D8" s="230" t="s">
        <v>703</v>
      </c>
      <c r="E8" s="230" t="s">
        <v>79</v>
      </c>
      <c r="F8" s="292" t="s">
        <v>448</v>
      </c>
      <c r="G8" s="292" t="s">
        <v>79</v>
      </c>
      <c r="H8" s="292" t="s">
        <v>448</v>
      </c>
      <c r="I8" s="210" t="s">
        <v>443</v>
      </c>
      <c r="J8" s="210" t="s">
        <v>447</v>
      </c>
      <c r="K8" s="210" t="s">
        <v>80</v>
      </c>
      <c r="L8" s="292" t="s">
        <v>448</v>
      </c>
      <c r="M8" s="292" t="s">
        <v>672</v>
      </c>
      <c r="N8" s="292" t="s">
        <v>448</v>
      </c>
      <c r="O8" s="292" t="s">
        <v>672</v>
      </c>
      <c r="P8" s="1660"/>
    </row>
    <row r="9" spans="2:16" s="36" customFormat="1" ht="24.75" customHeight="1" x14ac:dyDescent="0.25">
      <c r="B9" s="1700"/>
      <c r="C9" s="1663"/>
      <c r="D9" s="230" t="s">
        <v>81</v>
      </c>
      <c r="E9" s="230" t="s">
        <v>82</v>
      </c>
      <c r="F9" s="292" t="s">
        <v>459</v>
      </c>
      <c r="G9" s="292" t="s">
        <v>391</v>
      </c>
      <c r="H9" s="210" t="s">
        <v>410</v>
      </c>
      <c r="I9" s="210" t="s">
        <v>411</v>
      </c>
      <c r="J9" s="210" t="s">
        <v>501</v>
      </c>
      <c r="K9" s="210" t="s">
        <v>502</v>
      </c>
      <c r="L9" s="230" t="s">
        <v>590</v>
      </c>
      <c r="M9" s="230" t="s">
        <v>591</v>
      </c>
      <c r="N9" s="230" t="s">
        <v>592</v>
      </c>
      <c r="O9" s="230" t="s">
        <v>593</v>
      </c>
      <c r="P9" s="1702"/>
    </row>
    <row r="10" spans="2:16" s="36" customFormat="1" ht="28.25" customHeight="1" x14ac:dyDescent="0.25">
      <c r="B10" s="154">
        <v>1</v>
      </c>
      <c r="C10" s="62" t="s">
        <v>334</v>
      </c>
      <c r="D10" s="1750" t="s">
        <v>770</v>
      </c>
      <c r="E10" s="1751"/>
      <c r="F10" s="1751"/>
      <c r="G10" s="1751"/>
      <c r="H10" s="1751"/>
      <c r="I10" s="1751"/>
      <c r="J10" s="1751"/>
      <c r="K10" s="1751"/>
      <c r="L10" s="1751"/>
      <c r="M10" s="1751"/>
      <c r="N10" s="1751"/>
      <c r="O10" s="1751"/>
      <c r="P10" s="1752"/>
    </row>
    <row r="11" spans="2:16" s="6" customFormat="1" x14ac:dyDescent="0.3">
      <c r="B11" s="151" t="s">
        <v>162</v>
      </c>
      <c r="C11" s="58" t="s">
        <v>163</v>
      </c>
      <c r="D11" s="1753"/>
      <c r="E11" s="1754"/>
      <c r="F11" s="1754"/>
      <c r="G11" s="1754"/>
      <c r="H11" s="1754"/>
      <c r="I11" s="1754"/>
      <c r="J11" s="1754"/>
      <c r="K11" s="1754"/>
      <c r="L11" s="1754"/>
      <c r="M11" s="1754"/>
      <c r="N11" s="1754"/>
      <c r="O11" s="1754"/>
      <c r="P11" s="1755"/>
    </row>
    <row r="12" spans="2:16" s="6" customFormat="1" x14ac:dyDescent="0.3">
      <c r="B12" s="137"/>
      <c r="C12" s="59" t="s">
        <v>164</v>
      </c>
      <c r="D12" s="1753"/>
      <c r="E12" s="1754"/>
      <c r="F12" s="1754"/>
      <c r="G12" s="1754"/>
      <c r="H12" s="1754"/>
      <c r="I12" s="1754"/>
      <c r="J12" s="1754"/>
      <c r="K12" s="1754"/>
      <c r="L12" s="1754"/>
      <c r="M12" s="1754"/>
      <c r="N12" s="1754"/>
      <c r="O12" s="1754"/>
      <c r="P12" s="1755"/>
    </row>
    <row r="13" spans="2:16" s="6" customFormat="1" x14ac:dyDescent="0.3">
      <c r="B13" s="137"/>
      <c r="C13" s="59" t="s">
        <v>165</v>
      </c>
      <c r="D13" s="1753"/>
      <c r="E13" s="1754"/>
      <c r="F13" s="1754"/>
      <c r="G13" s="1754"/>
      <c r="H13" s="1754"/>
      <c r="I13" s="1754"/>
      <c r="J13" s="1754"/>
      <c r="K13" s="1754"/>
      <c r="L13" s="1754"/>
      <c r="M13" s="1754"/>
      <c r="N13" s="1754"/>
      <c r="O13" s="1754"/>
      <c r="P13" s="1755"/>
    </row>
    <row r="14" spans="2:16" s="6" customFormat="1" x14ac:dyDescent="0.3">
      <c r="B14" s="137"/>
      <c r="C14" s="59" t="s">
        <v>166</v>
      </c>
      <c r="D14" s="1753"/>
      <c r="E14" s="1754"/>
      <c r="F14" s="1754"/>
      <c r="G14" s="1754"/>
      <c r="H14" s="1754"/>
      <c r="I14" s="1754"/>
      <c r="J14" s="1754"/>
      <c r="K14" s="1754"/>
      <c r="L14" s="1754"/>
      <c r="M14" s="1754"/>
      <c r="N14" s="1754"/>
      <c r="O14" s="1754"/>
      <c r="P14" s="1755"/>
    </row>
    <row r="15" spans="2:16" s="6" customFormat="1" x14ac:dyDescent="0.3">
      <c r="B15" s="137"/>
      <c r="C15" s="60"/>
      <c r="D15" s="1753"/>
      <c r="E15" s="1754"/>
      <c r="F15" s="1754"/>
      <c r="G15" s="1754"/>
      <c r="H15" s="1754"/>
      <c r="I15" s="1754"/>
      <c r="J15" s="1754"/>
      <c r="K15" s="1754"/>
      <c r="L15" s="1754"/>
      <c r="M15" s="1754"/>
      <c r="N15" s="1754"/>
      <c r="O15" s="1754"/>
      <c r="P15" s="1755"/>
    </row>
    <row r="16" spans="2:16" s="6" customFormat="1" x14ac:dyDescent="0.3">
      <c r="B16" s="151" t="s">
        <v>167</v>
      </c>
      <c r="C16" s="61" t="s">
        <v>168</v>
      </c>
      <c r="D16" s="1753"/>
      <c r="E16" s="1754"/>
      <c r="F16" s="1754"/>
      <c r="G16" s="1754"/>
      <c r="H16" s="1754"/>
      <c r="I16" s="1754"/>
      <c r="J16" s="1754"/>
      <c r="K16" s="1754"/>
      <c r="L16" s="1754"/>
      <c r="M16" s="1754"/>
      <c r="N16" s="1754"/>
      <c r="O16" s="1754"/>
      <c r="P16" s="1755"/>
    </row>
    <row r="17" spans="2:16" s="6" customFormat="1" x14ac:dyDescent="0.3">
      <c r="B17" s="137"/>
      <c r="C17" s="59" t="s">
        <v>164</v>
      </c>
      <c r="D17" s="1753"/>
      <c r="E17" s="1754"/>
      <c r="F17" s="1754"/>
      <c r="G17" s="1754"/>
      <c r="H17" s="1754"/>
      <c r="I17" s="1754"/>
      <c r="J17" s="1754"/>
      <c r="K17" s="1754"/>
      <c r="L17" s="1754"/>
      <c r="M17" s="1754"/>
      <c r="N17" s="1754"/>
      <c r="O17" s="1754"/>
      <c r="P17" s="1755"/>
    </row>
    <row r="18" spans="2:16" x14ac:dyDescent="0.3">
      <c r="B18" s="137"/>
      <c r="C18" s="59" t="s">
        <v>165</v>
      </c>
      <c r="D18" s="1753"/>
      <c r="E18" s="1754"/>
      <c r="F18" s="1754"/>
      <c r="G18" s="1754"/>
      <c r="H18" s="1754"/>
      <c r="I18" s="1754"/>
      <c r="J18" s="1754"/>
      <c r="K18" s="1754"/>
      <c r="L18" s="1754"/>
      <c r="M18" s="1754"/>
      <c r="N18" s="1754"/>
      <c r="O18" s="1754"/>
      <c r="P18" s="1755"/>
    </row>
    <row r="19" spans="2:16" x14ac:dyDescent="0.3">
      <c r="B19" s="10"/>
      <c r="C19" s="59" t="s">
        <v>169</v>
      </c>
      <c r="D19" s="1753"/>
      <c r="E19" s="1754"/>
      <c r="F19" s="1754"/>
      <c r="G19" s="1754"/>
      <c r="H19" s="1754"/>
      <c r="I19" s="1754"/>
      <c r="J19" s="1754"/>
      <c r="K19" s="1754"/>
      <c r="L19" s="1754"/>
      <c r="M19" s="1754"/>
      <c r="N19" s="1754"/>
      <c r="O19" s="1754"/>
      <c r="P19" s="1755"/>
    </row>
    <row r="20" spans="2:16" x14ac:dyDescent="0.3">
      <c r="B20" s="10"/>
      <c r="C20" s="61"/>
      <c r="D20" s="1753"/>
      <c r="E20" s="1754"/>
      <c r="F20" s="1754"/>
      <c r="G20" s="1754"/>
      <c r="H20" s="1754"/>
      <c r="I20" s="1754"/>
      <c r="J20" s="1754"/>
      <c r="K20" s="1754"/>
      <c r="L20" s="1754"/>
      <c r="M20" s="1754"/>
      <c r="N20" s="1754"/>
      <c r="O20" s="1754"/>
      <c r="P20" s="1755"/>
    </row>
    <row r="21" spans="2:16" s="1" customFormat="1" ht="17.25" customHeight="1" x14ac:dyDescent="0.3">
      <c r="B21" s="141">
        <v>2</v>
      </c>
      <c r="C21" s="62" t="s">
        <v>335</v>
      </c>
      <c r="D21" s="1753"/>
      <c r="E21" s="1754"/>
      <c r="F21" s="1754"/>
      <c r="G21" s="1754"/>
      <c r="H21" s="1754"/>
      <c r="I21" s="1754"/>
      <c r="J21" s="1754"/>
      <c r="K21" s="1754"/>
      <c r="L21" s="1754"/>
      <c r="M21" s="1754"/>
      <c r="N21" s="1754"/>
      <c r="O21" s="1754"/>
      <c r="P21" s="1755"/>
    </row>
    <row r="22" spans="2:16" s="1" customFormat="1" ht="17.25" customHeight="1" x14ac:dyDescent="0.3">
      <c r="B22" s="141"/>
      <c r="C22" s="62" t="s">
        <v>170</v>
      </c>
      <c r="D22" s="1753"/>
      <c r="E22" s="1754"/>
      <c r="F22" s="1754"/>
      <c r="G22" s="1754"/>
      <c r="H22" s="1754"/>
      <c r="I22" s="1754"/>
      <c r="J22" s="1754"/>
      <c r="K22" s="1754"/>
      <c r="L22" s="1754"/>
      <c r="M22" s="1754"/>
      <c r="N22" s="1754"/>
      <c r="O22" s="1754"/>
      <c r="P22" s="1755"/>
    </row>
    <row r="23" spans="2:16" s="1" customFormat="1" ht="17.25" customHeight="1" x14ac:dyDescent="0.3">
      <c r="B23" s="141"/>
      <c r="C23" s="62" t="s">
        <v>170</v>
      </c>
      <c r="D23" s="1753"/>
      <c r="E23" s="1754"/>
      <c r="F23" s="1754"/>
      <c r="G23" s="1754"/>
      <c r="H23" s="1754"/>
      <c r="I23" s="1754"/>
      <c r="J23" s="1754"/>
      <c r="K23" s="1754"/>
      <c r="L23" s="1754"/>
      <c r="M23" s="1754"/>
      <c r="N23" s="1754"/>
      <c r="O23" s="1754"/>
      <c r="P23" s="1755"/>
    </row>
    <row r="24" spans="2:16" s="1" customFormat="1" x14ac:dyDescent="0.3">
      <c r="B24" s="137"/>
      <c r="C24" s="61" t="s">
        <v>171</v>
      </c>
      <c r="D24" s="1756"/>
      <c r="E24" s="1757"/>
      <c r="F24" s="1757"/>
      <c r="G24" s="1757"/>
      <c r="H24" s="1757"/>
      <c r="I24" s="1757"/>
      <c r="J24" s="1757"/>
      <c r="K24" s="1757"/>
      <c r="L24" s="1757"/>
      <c r="M24" s="1757"/>
      <c r="N24" s="1757"/>
      <c r="O24" s="1757"/>
      <c r="P24" s="1758"/>
    </row>
    <row r="25" spans="2:16" s="1" customFormat="1" x14ac:dyDescent="0.3">
      <c r="B25" s="5"/>
      <c r="C25" s="36"/>
      <c r="D25" s="36"/>
      <c r="E25" s="36"/>
      <c r="F25" s="36"/>
      <c r="G25" s="36"/>
    </row>
    <row r="26" spans="2:16" s="1" customFormat="1" x14ac:dyDescent="0.3">
      <c r="B26" s="54"/>
      <c r="C26" s="7"/>
      <c r="D26" s="7"/>
      <c r="E26" s="7"/>
      <c r="F26" s="7"/>
      <c r="G26" s="7"/>
      <c r="H26" s="7"/>
      <c r="I26" s="7"/>
      <c r="J26" s="7"/>
      <c r="K26" s="7"/>
    </row>
    <row r="27" spans="2:16" s="1" customFormat="1" x14ac:dyDescent="0.3">
      <c r="B27" s="42"/>
      <c r="C27" s="42"/>
      <c r="D27" s="42"/>
      <c r="E27" s="42"/>
      <c r="F27" s="42"/>
      <c r="G27" s="42"/>
      <c r="H27" s="48"/>
      <c r="I27" s="11"/>
      <c r="J27" s="11"/>
      <c r="K27" s="7"/>
    </row>
    <row r="28" spans="2:16" s="1" customFormat="1" x14ac:dyDescent="0.3">
      <c r="B28" s="7"/>
      <c r="C28" s="42"/>
      <c r="D28" s="42"/>
      <c r="E28" s="42"/>
      <c r="F28" s="42"/>
      <c r="G28" s="42"/>
      <c r="H28" s="42"/>
      <c r="I28" s="42"/>
      <c r="J28" s="42"/>
      <c r="K28" s="7"/>
    </row>
    <row r="29" spans="2:16" x14ac:dyDescent="0.3">
      <c r="B29" s="7"/>
      <c r="C29" s="7"/>
      <c r="D29" s="7"/>
      <c r="E29" s="7"/>
      <c r="F29" s="7"/>
      <c r="G29" s="7"/>
      <c r="H29" s="7"/>
      <c r="I29" s="7"/>
      <c r="J29" s="7"/>
      <c r="K29" s="7"/>
    </row>
    <row r="30" spans="2:16" x14ac:dyDescent="0.3">
      <c r="B30" s="7"/>
      <c r="C30" s="7"/>
      <c r="D30" s="7"/>
      <c r="E30" s="7"/>
      <c r="F30" s="7"/>
      <c r="G30" s="7"/>
      <c r="H30" s="7"/>
      <c r="I30" s="7"/>
      <c r="J30" s="7"/>
      <c r="K30" s="7"/>
    </row>
    <row r="31" spans="2:16" x14ac:dyDescent="0.3">
      <c r="B31" s="7"/>
      <c r="C31" s="7"/>
      <c r="D31" s="7"/>
      <c r="E31" s="7"/>
      <c r="F31" s="7"/>
      <c r="G31" s="7"/>
      <c r="H31" s="7"/>
      <c r="I31" s="7"/>
      <c r="J31" s="56"/>
      <c r="K31" s="7"/>
    </row>
    <row r="32" spans="2:16" x14ac:dyDescent="0.3">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7"/>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E21" sqref="E21"/>
    </sheetView>
  </sheetViews>
  <sheetFormatPr defaultColWidth="9.36328125" defaultRowHeight="14" x14ac:dyDescent="0.3"/>
  <cols>
    <col min="1" max="1" width="6" style="5" bestFit="1"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x14ac:dyDescent="0.3">
      <c r="B1" s="53"/>
    </row>
    <row r="2" spans="2:27" x14ac:dyDescent="0.3">
      <c r="B2" s="1728" t="str">
        <f>Index!B2</f>
        <v xml:space="preserve">      Maharashtra State Power Generation Company Ltd.</v>
      </c>
      <c r="C2" s="1728"/>
      <c r="D2" s="1728"/>
      <c r="E2" s="1728"/>
      <c r="F2" s="1728"/>
      <c r="G2" s="1728"/>
      <c r="H2" s="1728"/>
      <c r="I2" s="1728"/>
      <c r="J2" s="1728"/>
      <c r="K2" s="1728"/>
      <c r="L2" s="1728"/>
      <c r="M2" s="628"/>
      <c r="N2" s="1728" t="s">
        <v>776</v>
      </c>
      <c r="O2" s="1728"/>
      <c r="P2" s="1728"/>
      <c r="Q2" s="1728"/>
      <c r="R2" s="1728"/>
      <c r="S2" s="1728"/>
      <c r="T2" s="1728"/>
      <c r="U2" s="1728"/>
      <c r="V2" s="1728"/>
      <c r="W2" s="1728"/>
      <c r="X2" s="1728"/>
      <c r="Y2" s="558"/>
      <c r="Z2" s="558"/>
      <c r="AA2" s="558"/>
    </row>
    <row r="3" spans="2:27" x14ac:dyDescent="0.3">
      <c r="B3" s="1728" t="str">
        <f>Index!B3</f>
        <v>MYT Petition Formats for Chandrapur Unit 3-7</v>
      </c>
      <c r="C3" s="1728"/>
      <c r="D3" s="1728"/>
      <c r="E3" s="1728"/>
      <c r="F3" s="1728"/>
      <c r="G3" s="1728"/>
      <c r="H3" s="1728"/>
      <c r="I3" s="1728"/>
      <c r="J3" s="1728"/>
      <c r="K3" s="1728"/>
      <c r="L3" s="1728"/>
      <c r="M3" s="628"/>
      <c r="N3" s="1728" t="s">
        <v>777</v>
      </c>
      <c r="O3" s="1728"/>
      <c r="P3" s="1728"/>
      <c r="Q3" s="1728"/>
      <c r="R3" s="1728"/>
      <c r="S3" s="1728"/>
      <c r="T3" s="1728"/>
      <c r="U3" s="1728"/>
      <c r="V3" s="1728"/>
      <c r="W3" s="1728"/>
      <c r="X3" s="1728"/>
      <c r="Y3" s="558"/>
      <c r="Z3" s="558"/>
      <c r="AA3" s="558"/>
    </row>
    <row r="4" spans="2:27" x14ac:dyDescent="0.3">
      <c r="B4" s="1728" t="s">
        <v>646</v>
      </c>
      <c r="C4" s="1728"/>
      <c r="D4" s="1728"/>
      <c r="E4" s="1728"/>
      <c r="F4" s="1728"/>
      <c r="G4" s="1728"/>
      <c r="H4" s="1728"/>
      <c r="I4" s="1728"/>
      <c r="J4" s="1728"/>
      <c r="K4" s="1728"/>
      <c r="L4" s="1728"/>
      <c r="M4" s="628"/>
      <c r="N4" s="1728" t="s">
        <v>927</v>
      </c>
      <c r="O4" s="1728"/>
      <c r="P4" s="1728"/>
      <c r="Q4" s="1728"/>
      <c r="R4" s="1728"/>
      <c r="S4" s="1728"/>
      <c r="T4" s="1728"/>
      <c r="U4" s="1728"/>
      <c r="V4" s="1728"/>
      <c r="W4" s="1728"/>
      <c r="X4" s="1728"/>
      <c r="Y4" s="558"/>
      <c r="Z4" s="558"/>
      <c r="AA4" s="558"/>
    </row>
    <row r="5" spans="2:27" x14ac:dyDescent="0.3">
      <c r="C5" s="63"/>
      <c r="D5" s="63"/>
      <c r="E5" s="63"/>
      <c r="F5" s="63"/>
      <c r="G5" s="63"/>
      <c r="H5" s="63"/>
      <c r="I5" s="63"/>
      <c r="J5" s="63"/>
      <c r="K5" s="63"/>
      <c r="L5" s="63"/>
      <c r="M5" s="63"/>
      <c r="N5" s="63"/>
      <c r="O5" s="63"/>
      <c r="P5" s="63"/>
      <c r="Q5" s="63"/>
      <c r="R5" s="63"/>
      <c r="S5" s="63"/>
      <c r="T5" s="63"/>
      <c r="U5" s="63"/>
      <c r="V5" s="63"/>
      <c r="W5" s="63"/>
    </row>
    <row r="6" spans="2:27" x14ac:dyDescent="0.3">
      <c r="X6" s="21" t="s">
        <v>10</v>
      </c>
    </row>
    <row r="7" spans="2:27" s="35" customFormat="1" ht="15" customHeight="1" x14ac:dyDescent="0.3">
      <c r="B7" s="1769" t="s">
        <v>340</v>
      </c>
      <c r="C7" s="1770" t="s">
        <v>37</v>
      </c>
      <c r="D7" s="1666" t="s">
        <v>5</v>
      </c>
      <c r="E7" s="1666" t="s">
        <v>506</v>
      </c>
      <c r="F7" s="1666"/>
      <c r="G7" s="1666"/>
      <c r="H7" s="1666"/>
      <c r="I7" s="1666" t="s">
        <v>507</v>
      </c>
      <c r="J7" s="1666"/>
      <c r="K7" s="1666"/>
      <c r="L7" s="1666"/>
      <c r="M7" s="1666" t="s">
        <v>508</v>
      </c>
      <c r="N7" s="1666"/>
      <c r="O7" s="1666"/>
      <c r="P7" s="1666"/>
      <c r="Q7" s="1666"/>
      <c r="R7" s="1666"/>
      <c r="S7" s="1677" t="s">
        <v>968</v>
      </c>
      <c r="T7" s="1677"/>
      <c r="U7" s="1677"/>
      <c r="V7" s="1677"/>
      <c r="W7" s="1677"/>
      <c r="X7" s="1666" t="s">
        <v>27</v>
      </c>
    </row>
    <row r="8" spans="2:27" s="36" customFormat="1" ht="35.4" customHeight="1" x14ac:dyDescent="0.25">
      <c r="B8" s="1769"/>
      <c r="C8" s="1770"/>
      <c r="D8" s="1666"/>
      <c r="E8" s="1325" t="s">
        <v>1577</v>
      </c>
      <c r="F8" s="1325" t="s">
        <v>914</v>
      </c>
      <c r="G8" s="1325" t="s">
        <v>79</v>
      </c>
      <c r="H8" s="1325" t="s">
        <v>449</v>
      </c>
      <c r="I8" s="1325" t="s">
        <v>1577</v>
      </c>
      <c r="J8" s="1325" t="s">
        <v>914</v>
      </c>
      <c r="K8" s="1325" t="s">
        <v>79</v>
      </c>
      <c r="L8" s="1325" t="s">
        <v>449</v>
      </c>
      <c r="M8" s="1325" t="s">
        <v>1577</v>
      </c>
      <c r="N8" s="1325" t="s">
        <v>914</v>
      </c>
      <c r="O8" s="1325" t="s">
        <v>443</v>
      </c>
      <c r="P8" s="1325" t="s">
        <v>447</v>
      </c>
      <c r="Q8" s="1325" t="s">
        <v>80</v>
      </c>
      <c r="R8" s="1325" t="s">
        <v>450</v>
      </c>
      <c r="S8" s="1332" t="s">
        <v>969</v>
      </c>
      <c r="T8" s="1332" t="s">
        <v>970</v>
      </c>
      <c r="U8" s="1332" t="s">
        <v>971</v>
      </c>
      <c r="V8" s="1332" t="s">
        <v>972</v>
      </c>
      <c r="W8" s="1332" t="s">
        <v>973</v>
      </c>
      <c r="X8" s="1666"/>
    </row>
    <row r="9" spans="2:27" s="36" customFormat="1" ht="15.75" customHeight="1" x14ac:dyDescent="0.25">
      <c r="B9" s="1769"/>
      <c r="C9" s="1770"/>
      <c r="D9" s="1666"/>
      <c r="E9" s="1325" t="s">
        <v>81</v>
      </c>
      <c r="F9" s="1325" t="s">
        <v>82</v>
      </c>
      <c r="G9" s="1325" t="s">
        <v>1578</v>
      </c>
      <c r="H9" s="1325" t="s">
        <v>1579</v>
      </c>
      <c r="I9" s="1325" t="s">
        <v>1550</v>
      </c>
      <c r="J9" s="1325" t="s">
        <v>509</v>
      </c>
      <c r="K9" s="1325" t="s">
        <v>410</v>
      </c>
      <c r="L9" s="1325" t="s">
        <v>1580</v>
      </c>
      <c r="M9" s="1325" t="s">
        <v>589</v>
      </c>
      <c r="N9" s="1325" t="s">
        <v>652</v>
      </c>
      <c r="O9" s="1325" t="s">
        <v>590</v>
      </c>
      <c r="P9" s="1325" t="s">
        <v>591</v>
      </c>
      <c r="Q9" s="1325" t="s">
        <v>675</v>
      </c>
      <c r="R9" s="1325" t="s">
        <v>676</v>
      </c>
      <c r="S9" s="1325" t="s">
        <v>21</v>
      </c>
      <c r="T9" s="1325" t="s">
        <v>21</v>
      </c>
      <c r="U9" s="1325" t="s">
        <v>21</v>
      </c>
      <c r="V9" s="1325" t="s">
        <v>21</v>
      </c>
      <c r="W9" s="1325" t="s">
        <v>21</v>
      </c>
      <c r="X9" s="1667"/>
    </row>
    <row r="10" spans="2:27" s="92" customFormat="1" ht="18.649999999999999" customHeight="1" x14ac:dyDescent="0.3">
      <c r="B10" s="177">
        <v>1</v>
      </c>
      <c r="C10" s="491" t="s">
        <v>173</v>
      </c>
      <c r="D10" s="178" t="s">
        <v>66</v>
      </c>
      <c r="E10" s="178"/>
      <c r="F10" s="579">
        <f>SUM(F11:F13)</f>
        <v>632.73565248250213</v>
      </c>
      <c r="G10" s="579">
        <f>SUM(G11:G13)</f>
        <v>712.88032069679684</v>
      </c>
      <c r="H10" s="579">
        <f>G10-F10</f>
        <v>80.144668214294711</v>
      </c>
      <c r="I10" s="579"/>
      <c r="J10" s="579">
        <f>SUM(J11:J13)</f>
        <v>660.30156716534725</v>
      </c>
      <c r="K10" s="1196">
        <f>SUM(K11:K13)</f>
        <v>821.46242455847801</v>
      </c>
      <c r="L10" s="579">
        <f>K10-J10</f>
        <v>161.16085739313075</v>
      </c>
      <c r="M10" s="1195"/>
      <c r="N10" s="579">
        <f>SUM(N11:N13)</f>
        <v>689.06842516365202</v>
      </c>
      <c r="O10" s="579">
        <f>'F3.1'!M10/2</f>
        <v>386.49960417703596</v>
      </c>
      <c r="P10" s="579">
        <f>'F3.1'!M10/2</f>
        <v>386.49960417703596</v>
      </c>
      <c r="Q10" s="492">
        <f>O10+P10</f>
        <v>772.99920835407192</v>
      </c>
      <c r="R10" s="1195">
        <f>Q10-N10</f>
        <v>83.930783190419902</v>
      </c>
      <c r="S10" s="1195">
        <f>S11</f>
        <v>740.72845316130213</v>
      </c>
      <c r="T10" s="1195">
        <f t="shared" ref="T10:W10" si="0">T11</f>
        <v>772.99920835407192</v>
      </c>
      <c r="U10" s="1195">
        <f t="shared" si="0"/>
        <v>806.67587908345592</v>
      </c>
      <c r="V10" s="1195">
        <f t="shared" si="0"/>
        <v>841.8197158062311</v>
      </c>
      <c r="W10" s="1195">
        <f t="shared" si="0"/>
        <v>878.49463743140893</v>
      </c>
      <c r="X10" s="685"/>
    </row>
    <row r="11" spans="2:27" s="92" customFormat="1" ht="18.649999999999999" customHeight="1" x14ac:dyDescent="0.25">
      <c r="B11" s="177">
        <f>B10+1</f>
        <v>2</v>
      </c>
      <c r="C11" s="91" t="s">
        <v>174</v>
      </c>
      <c r="D11" s="178" t="s">
        <v>67</v>
      </c>
      <c r="E11" s="1761">
        <v>627.02759691938184</v>
      </c>
      <c r="F11" s="1764">
        <v>632.73565248250213</v>
      </c>
      <c r="G11" s="843">
        <f>'F3.2'!D36</f>
        <v>323.42381602972466</v>
      </c>
      <c r="H11" s="1764">
        <f>SUM(G11:G13)-F11</f>
        <v>80.144668214294711</v>
      </c>
      <c r="I11" s="1761">
        <v>651.71658654157307</v>
      </c>
      <c r="J11" s="1764">
        <v>660.30156716534725</v>
      </c>
      <c r="K11" s="843">
        <f>'F3.2'!E36</f>
        <v>399.18906815434849</v>
      </c>
      <c r="L11" s="1764">
        <f>SUM(K11:K13)-J11</f>
        <v>161.16085739313075</v>
      </c>
      <c r="M11" s="1761">
        <v>677.37769638871032</v>
      </c>
      <c r="N11" s="1764">
        <v>689.06842516365202</v>
      </c>
      <c r="O11" s="843">
        <f>'F3.2'!F36</f>
        <v>387.03140434295858</v>
      </c>
      <c r="P11" s="843">
        <f>'F3.2'!G36</f>
        <v>105.55401936626143</v>
      </c>
      <c r="Q11" s="843">
        <f>SUM(O11:P11)</f>
        <v>492.58542370921998</v>
      </c>
      <c r="R11" s="1764">
        <f>SUM(Q11:Q13)-N11</f>
        <v>373.95856973427783</v>
      </c>
      <c r="S11" s="1765">
        <f>'F3.1'!$K$10</f>
        <v>740.72845316130213</v>
      </c>
      <c r="T11" s="1765">
        <f>'F3.1'!$M$10</f>
        <v>772.99920835407192</v>
      </c>
      <c r="U11" s="1765">
        <f>'F3.1'!$O$10</f>
        <v>806.67587908345592</v>
      </c>
      <c r="V11" s="1765">
        <f>'F3.1'!$Q$10</f>
        <v>841.8197158062311</v>
      </c>
      <c r="W11" s="1765">
        <f>'F3.1'!$S$10</f>
        <v>878.49463743140893</v>
      </c>
      <c r="X11" s="1768"/>
    </row>
    <row r="12" spans="2:27" s="92" customFormat="1" ht="18.649999999999999" customHeight="1" x14ac:dyDescent="0.25">
      <c r="B12" s="177">
        <f t="shared" ref="B12:B17" si="1">B11+1</f>
        <v>3</v>
      </c>
      <c r="C12" s="91" t="s">
        <v>176</v>
      </c>
      <c r="D12" s="178" t="s">
        <v>68</v>
      </c>
      <c r="E12" s="1762"/>
      <c r="F12" s="1764"/>
      <c r="G12" s="843">
        <f>'F3.3'!D44</f>
        <v>93.230663664005817</v>
      </c>
      <c r="H12" s="1764"/>
      <c r="I12" s="1762"/>
      <c r="J12" s="1764"/>
      <c r="K12" s="843">
        <f>'F3.3'!E44</f>
        <v>120.07397736799869</v>
      </c>
      <c r="L12" s="1764"/>
      <c r="M12" s="1762"/>
      <c r="N12" s="1764"/>
      <c r="O12" s="843">
        <f>'F3.3'!F44</f>
        <v>86.907680618495931</v>
      </c>
      <c r="P12" s="843">
        <f>'F3.3'!G44</f>
        <v>36.111224633724063</v>
      </c>
      <c r="Q12" s="843">
        <f>SUM(O12:P12)</f>
        <v>123.01890525221999</v>
      </c>
      <c r="R12" s="1764"/>
      <c r="S12" s="1766"/>
      <c r="T12" s="1766"/>
      <c r="U12" s="1766"/>
      <c r="V12" s="1766"/>
      <c r="W12" s="1766"/>
      <c r="X12" s="1768"/>
    </row>
    <row r="13" spans="2:27" s="92" customFormat="1" ht="18.649999999999999" customHeight="1" x14ac:dyDescent="0.25">
      <c r="B13" s="177">
        <f t="shared" si="1"/>
        <v>4</v>
      </c>
      <c r="C13" s="91" t="s">
        <v>175</v>
      </c>
      <c r="D13" s="178" t="s">
        <v>69</v>
      </c>
      <c r="E13" s="1763"/>
      <c r="F13" s="1764"/>
      <c r="G13" s="843">
        <f>'F3.4'!D21</f>
        <v>296.22584100306642</v>
      </c>
      <c r="H13" s="1764"/>
      <c r="I13" s="1763"/>
      <c r="J13" s="1764"/>
      <c r="K13" s="843">
        <f>'F3.4'!E21</f>
        <v>302.19937903613078</v>
      </c>
      <c r="L13" s="1764"/>
      <c r="M13" s="1763"/>
      <c r="N13" s="1764"/>
      <c r="O13" s="843">
        <f>'F3.4'!F21</f>
        <v>316.08528846002514</v>
      </c>
      <c r="P13" s="843">
        <f>'F3.4'!G21</f>
        <v>131.33737747646478</v>
      </c>
      <c r="Q13" s="843">
        <f>SUM(O13:P13)</f>
        <v>447.42266593648992</v>
      </c>
      <c r="R13" s="1764"/>
      <c r="S13" s="1767"/>
      <c r="T13" s="1767"/>
      <c r="U13" s="1767"/>
      <c r="V13" s="1767"/>
      <c r="W13" s="1767"/>
      <c r="X13" s="1768"/>
    </row>
    <row r="14" spans="2:27" s="92" customFormat="1" ht="18.649999999999999" customHeight="1" x14ac:dyDescent="0.25">
      <c r="B14" s="177">
        <f t="shared" si="1"/>
        <v>5</v>
      </c>
      <c r="C14" s="557" t="s">
        <v>775</v>
      </c>
      <c r="D14" s="178"/>
      <c r="E14" s="1197"/>
      <c r="F14" s="579"/>
      <c r="G14" s="843"/>
      <c r="H14" s="579"/>
      <c r="I14" s="1197"/>
      <c r="J14" s="579">
        <f>K14</f>
        <v>62.57242993037039</v>
      </c>
      <c r="K14" s="843">
        <v>62.57242993037039</v>
      </c>
      <c r="L14" s="579"/>
      <c r="M14" s="1197"/>
      <c r="N14" s="579">
        <f>Q14</f>
        <v>65.298475567583154</v>
      </c>
      <c r="O14" s="843">
        <v>32.649237783791577</v>
      </c>
      <c r="P14" s="843">
        <f>O14</f>
        <v>32.649237783791577</v>
      </c>
      <c r="Q14" s="843">
        <f>SUM(O14:P14)</f>
        <v>65.298475567583154</v>
      </c>
      <c r="R14" s="579"/>
      <c r="S14" s="579">
        <f>'F3.1'!$K$13</f>
        <v>68.143284769267296</v>
      </c>
      <c r="T14" s="579">
        <f>'F3.1'!$M$13</f>
        <v>71.112031617636788</v>
      </c>
      <c r="U14" s="579">
        <f>'F3.1'!$O$13</f>
        <v>74.210115610224463</v>
      </c>
      <c r="V14" s="579">
        <f>'F3.1'!$Q$13</f>
        <v>77.443171480380428</v>
      </c>
      <c r="W14" s="579">
        <f>'F3.1'!$S$13</f>
        <v>80.817079445612634</v>
      </c>
      <c r="X14" s="1174"/>
    </row>
    <row r="15" spans="2:27" s="92" customFormat="1" ht="18.649999999999999" customHeight="1" x14ac:dyDescent="0.25">
      <c r="B15" s="177">
        <f t="shared" si="1"/>
        <v>6</v>
      </c>
      <c r="C15" s="91" t="s">
        <v>177</v>
      </c>
      <c r="D15" s="178"/>
      <c r="E15" s="1198"/>
      <c r="F15" s="1198"/>
      <c r="G15" s="1198">
        <f>'F3.3'!D45+'F3.2'!D37</f>
        <v>0</v>
      </c>
      <c r="H15" s="1198">
        <f>G15-F15</f>
        <v>0</v>
      </c>
      <c r="I15" s="1198"/>
      <c r="J15" s="1198"/>
      <c r="K15" s="1198">
        <f>'F3.3'!E45+'F3.2'!E37</f>
        <v>0</v>
      </c>
      <c r="L15" s="1198">
        <f>K15-J15</f>
        <v>0</v>
      </c>
      <c r="M15" s="1198"/>
      <c r="N15" s="843"/>
      <c r="O15" s="1198">
        <f>'F3.3'!F45+'F3.2'!F37</f>
        <v>0</v>
      </c>
      <c r="P15" s="1198">
        <f>'F3.3'!G45+'F3.2'!G37</f>
        <v>0</v>
      </c>
      <c r="Q15" s="843">
        <f>O15+P15</f>
        <v>0</v>
      </c>
      <c r="R15" s="843">
        <f>Q15-N15</f>
        <v>0</v>
      </c>
      <c r="S15" s="843"/>
      <c r="T15" s="843"/>
      <c r="U15" s="843"/>
      <c r="V15" s="843"/>
      <c r="W15" s="843"/>
      <c r="X15" s="91"/>
    </row>
    <row r="16" spans="2:27" s="92" customFormat="1" ht="18.649999999999999" customHeight="1" x14ac:dyDescent="0.25">
      <c r="B16" s="177">
        <f t="shared" si="1"/>
        <v>7</v>
      </c>
      <c r="C16" s="91" t="s">
        <v>579</v>
      </c>
      <c r="D16" s="178"/>
      <c r="E16" s="1198"/>
      <c r="F16" s="1198"/>
      <c r="G16" s="1198"/>
      <c r="H16" s="1198">
        <f>G16-F16</f>
        <v>0</v>
      </c>
      <c r="I16" s="1198"/>
      <c r="J16" s="1198"/>
      <c r="K16" s="1198"/>
      <c r="L16" s="1198">
        <f>K16-J16</f>
        <v>0</v>
      </c>
      <c r="M16" s="1198"/>
      <c r="N16" s="843"/>
      <c r="O16" s="843"/>
      <c r="P16" s="843"/>
      <c r="Q16" s="843">
        <f>O16+P16</f>
        <v>0</v>
      </c>
      <c r="R16" s="843">
        <f>Q16-N16</f>
        <v>0</v>
      </c>
      <c r="S16" s="843"/>
      <c r="T16" s="843"/>
      <c r="U16" s="843"/>
      <c r="V16" s="843"/>
      <c r="W16" s="843"/>
      <c r="X16" s="91"/>
    </row>
    <row r="17" spans="1:24" s="558" customFormat="1" ht="33.65" customHeight="1" x14ac:dyDescent="0.25">
      <c r="B17" s="177">
        <f t="shared" si="1"/>
        <v>8</v>
      </c>
      <c r="C17" s="179" t="s">
        <v>390</v>
      </c>
      <c r="D17" s="180"/>
      <c r="E17" s="1199">
        <f>SUM(E11:E14)-E15+E16</f>
        <v>627.02759691938184</v>
      </c>
      <c r="F17" s="1199">
        <f>SUM(F11:F14)-F15+F16</f>
        <v>632.73565248250213</v>
      </c>
      <c r="G17" s="1199">
        <f>SUM(G11:G14)-G15+G16</f>
        <v>712.88032069679684</v>
      </c>
      <c r="H17" s="1199">
        <f t="shared" ref="H17:W17" si="2">SUM(H11:H14)-H15+H16</f>
        <v>80.144668214294711</v>
      </c>
      <c r="I17" s="1199">
        <f t="shared" si="2"/>
        <v>651.71658654157307</v>
      </c>
      <c r="J17" s="1199">
        <f t="shared" si="2"/>
        <v>722.87399709571764</v>
      </c>
      <c r="K17" s="1199">
        <f t="shared" si="2"/>
        <v>884.0348544888484</v>
      </c>
      <c r="L17" s="1199">
        <f t="shared" si="2"/>
        <v>161.16085739313075</v>
      </c>
      <c r="M17" s="1199">
        <f t="shared" si="2"/>
        <v>677.37769638871032</v>
      </c>
      <c r="N17" s="1199">
        <f t="shared" si="2"/>
        <v>754.36690073123521</v>
      </c>
      <c r="O17" s="1199">
        <f>SUM(O11:O14)-O15+O16</f>
        <v>822.67361120527119</v>
      </c>
      <c r="P17" s="1199">
        <f t="shared" si="2"/>
        <v>305.65185926024185</v>
      </c>
      <c r="Q17" s="1199">
        <f t="shared" si="2"/>
        <v>1128.325470465513</v>
      </c>
      <c r="R17" s="1199">
        <f t="shared" si="2"/>
        <v>373.95856973427783</v>
      </c>
      <c r="S17" s="1199">
        <f>SUM(S11:S14)-S15+S16</f>
        <v>808.87173793056945</v>
      </c>
      <c r="T17" s="1199">
        <f t="shared" si="2"/>
        <v>844.11123997170876</v>
      </c>
      <c r="U17" s="1199">
        <f t="shared" si="2"/>
        <v>880.88599469368035</v>
      </c>
      <c r="V17" s="1199">
        <f t="shared" si="2"/>
        <v>919.26288728661154</v>
      </c>
      <c r="W17" s="1199">
        <f t="shared" si="2"/>
        <v>959.31171687702158</v>
      </c>
      <c r="X17" s="181"/>
    </row>
    <row r="18" spans="1:24" s="1" customFormat="1" ht="15.75" customHeight="1" x14ac:dyDescent="0.3">
      <c r="A18" s="5"/>
      <c r="B18" s="5"/>
      <c r="G18" s="1200"/>
      <c r="H18" s="614"/>
      <c r="I18" s="614"/>
      <c r="J18" s="2"/>
      <c r="K18" s="1200"/>
      <c r="L18" s="2"/>
      <c r="X18" s="5"/>
    </row>
    <row r="19" spans="1:24" x14ac:dyDescent="0.3">
      <c r="B19" s="1161"/>
      <c r="C19" s="1161" t="s">
        <v>37</v>
      </c>
      <c r="D19" s="1161" t="s">
        <v>1565</v>
      </c>
      <c r="E19" s="1162" t="str">
        <f>S8</f>
        <v>FY 2025-26</v>
      </c>
      <c r="F19" s="1162" t="str">
        <f>T8</f>
        <v>FY 2026-27</v>
      </c>
      <c r="G19" s="1162" t="str">
        <f>U8</f>
        <v>FY 2027-28</v>
      </c>
      <c r="H19" s="1162" t="str">
        <f>V8</f>
        <v>FY 2028-29</v>
      </c>
      <c r="I19" s="1162" t="str">
        <f>W8</f>
        <v>FY 2029-30</v>
      </c>
      <c r="K19" s="608"/>
    </row>
    <row r="20" spans="1:24" ht="28" x14ac:dyDescent="0.3">
      <c r="B20" s="10"/>
      <c r="C20" s="1163" t="s">
        <v>1544</v>
      </c>
      <c r="D20" s="9"/>
      <c r="E20" s="9"/>
      <c r="F20" s="9"/>
      <c r="G20" s="9"/>
      <c r="H20" s="9"/>
      <c r="I20" s="9"/>
      <c r="K20" s="608"/>
    </row>
    <row r="21" spans="1:24" x14ac:dyDescent="0.3">
      <c r="B21" s="9"/>
      <c r="C21" s="9" t="s">
        <v>1545</v>
      </c>
      <c r="D21" s="9"/>
      <c r="E21" s="899">
        <v>122.97</v>
      </c>
      <c r="F21" s="899">
        <v>0</v>
      </c>
      <c r="G21" s="899">
        <v>1087.8699999999999</v>
      </c>
      <c r="H21" s="899">
        <v>0</v>
      </c>
      <c r="I21" s="899">
        <v>0</v>
      </c>
      <c r="K21" s="608"/>
    </row>
    <row r="22" spans="1:24" x14ac:dyDescent="0.3">
      <c r="B22" s="9"/>
      <c r="C22" s="9" t="s">
        <v>1546</v>
      </c>
      <c r="D22" s="9"/>
      <c r="E22" s="9"/>
      <c r="F22" s="9"/>
      <c r="G22" s="9"/>
      <c r="H22" s="9"/>
      <c r="I22" s="9"/>
      <c r="K22" s="608"/>
    </row>
    <row r="23" spans="1:24" x14ac:dyDescent="0.3">
      <c r="B23" s="40"/>
      <c r="C23" s="40" t="s">
        <v>1547</v>
      </c>
      <c r="D23" s="40"/>
      <c r="E23" s="1164">
        <f>SUM(E21:E22)</f>
        <v>122.97</v>
      </c>
      <c r="F23" s="1164">
        <f>E23+SUM(F21:F22)</f>
        <v>122.97</v>
      </c>
      <c r="G23" s="1164">
        <f>F23+SUM(G21:G22)</f>
        <v>1210.8399999999999</v>
      </c>
      <c r="H23" s="1164">
        <f>G23+SUM(H21:H22)</f>
        <v>1210.8399999999999</v>
      </c>
      <c r="I23" s="1164">
        <f>H23+SUM(I21:I22)</f>
        <v>1210.8399999999999</v>
      </c>
      <c r="K23" s="608"/>
    </row>
    <row r="24" spans="1:24" x14ac:dyDescent="0.3">
      <c r="B24" s="1165">
        <v>0.02</v>
      </c>
      <c r="C24" s="40" t="s">
        <v>1544</v>
      </c>
      <c r="D24" s="1284">
        <v>4.3299999999999998E-2</v>
      </c>
      <c r="E24" s="1164">
        <f>E23*$B$24</f>
        <v>2.4594</v>
      </c>
      <c r="F24" s="1164">
        <f>F23*$B$24*(1+$D$24)</f>
        <v>2.5658920199999997</v>
      </c>
      <c r="G24" s="1164">
        <f>G23*$B$24*(1+$D$24)^2</f>
        <v>26.359378716151994</v>
      </c>
      <c r="H24" s="1164">
        <f>H23*$B$24*(1+$D$24)^3</f>
        <v>27.500739814561371</v>
      </c>
      <c r="I24" s="1164">
        <f>I23*$B$24*(1+$D$24)^4</f>
        <v>28.691521848531885</v>
      </c>
      <c r="K24" s="608"/>
    </row>
    <row r="26" spans="1:24" x14ac:dyDescent="0.3">
      <c r="B26" s="44" t="s">
        <v>161</v>
      </c>
    </row>
    <row r="27" spans="1:24" x14ac:dyDescent="0.3">
      <c r="B27" s="1087" t="s">
        <v>1592</v>
      </c>
    </row>
  </sheetData>
  <mergeCells count="29">
    <mergeCell ref="B7:B9"/>
    <mergeCell ref="E7:H7"/>
    <mergeCell ref="D7:D9"/>
    <mergeCell ref="C7:C9"/>
    <mergeCell ref="E11:E13"/>
    <mergeCell ref="F11:F13"/>
    <mergeCell ref="H11:H13"/>
    <mergeCell ref="B2:L2"/>
    <mergeCell ref="B3:L3"/>
    <mergeCell ref="B4:L4"/>
    <mergeCell ref="N2:X2"/>
    <mergeCell ref="N3:X3"/>
    <mergeCell ref="N4:X4"/>
    <mergeCell ref="X7:X9"/>
    <mergeCell ref="I7:L7"/>
    <mergeCell ref="M7:R7"/>
    <mergeCell ref="S7:W7"/>
    <mergeCell ref="I11:I13"/>
    <mergeCell ref="J11:J13"/>
    <mergeCell ref="L11:L13"/>
    <mergeCell ref="M11:M13"/>
    <mergeCell ref="N11:N13"/>
    <mergeCell ref="R11:R13"/>
    <mergeCell ref="S11:S13"/>
    <mergeCell ref="T11:T13"/>
    <mergeCell ref="U11:U13"/>
    <mergeCell ref="V11:V13"/>
    <mergeCell ref="W11:W13"/>
    <mergeCell ref="X11:X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F67"/>
  <sheetViews>
    <sheetView showGridLines="0" view="pageBreakPreview" zoomScale="80" zoomScaleNormal="80" zoomScaleSheetLayoutView="80" workbookViewId="0">
      <pane xSplit="3" ySplit="9" topLeftCell="D27" activePane="bottomRight" state="frozen"/>
      <selection pane="topRight" activeCell="D1" sqref="D1"/>
      <selection pane="bottomLeft" activeCell="A10" sqref="A10"/>
      <selection pane="bottomRight" activeCell="E27" sqref="E27"/>
    </sheetView>
  </sheetViews>
  <sheetFormatPr defaultColWidth="9.36328125" defaultRowHeight="14" x14ac:dyDescent="0.3"/>
  <cols>
    <col min="1" max="1" width="9.36328125" style="1"/>
    <col min="2" max="2" width="7.36328125" style="1" customWidth="1"/>
    <col min="3" max="3" width="44.6328125" style="1" customWidth="1"/>
    <col min="4" max="8" width="10.90625" style="1" bestFit="1" customWidth="1"/>
    <col min="9" max="10" width="12.08984375" style="1" customWidth="1"/>
    <col min="11" max="11" width="13.08984375" style="1" customWidth="1"/>
    <col min="12" max="13" width="15" style="1" customWidth="1"/>
    <col min="14" max="14" width="16.6328125" style="1" bestFit="1" customWidth="1"/>
    <col min="15" max="15" width="12.36328125" style="1" customWidth="1"/>
    <col min="16" max="24" width="15" style="1" customWidth="1"/>
    <col min="25" max="25" width="17.36328125" style="1" customWidth="1"/>
    <col min="26" max="33" width="15" style="1" customWidth="1"/>
    <col min="34" max="34" width="11.81640625" style="1" customWidth="1"/>
    <col min="35" max="16384" width="9.36328125" style="1"/>
  </cols>
  <sheetData>
    <row r="1" spans="2:30" x14ac:dyDescent="0.3">
      <c r="B1" s="1657" t="str">
        <f>Index!B2</f>
        <v xml:space="preserve">      Maharashtra State Power Generation Company Ltd.</v>
      </c>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227"/>
      <c r="AA1" s="227"/>
      <c r="AB1" s="188"/>
      <c r="AC1" s="211"/>
    </row>
    <row r="2" spans="2:30" x14ac:dyDescent="0.3">
      <c r="B2" s="1657" t="str">
        <f>Index!B3</f>
        <v>MYT Petition Formats for Chandrapur Unit 3-7</v>
      </c>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228"/>
      <c r="AA2" s="228"/>
      <c r="AB2" s="65"/>
      <c r="AC2" s="212"/>
    </row>
    <row r="3" spans="2:30" x14ac:dyDescent="0.3">
      <c r="B3" s="1658" t="s">
        <v>650</v>
      </c>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228"/>
      <c r="AA3" s="228"/>
      <c r="AB3" s="65"/>
      <c r="AC3" s="212"/>
    </row>
    <row r="4" spans="2:30" x14ac:dyDescent="0.3">
      <c r="B4" s="93"/>
      <c r="C4" s="93"/>
      <c r="D4" s="1139"/>
      <c r="E4" s="1139"/>
      <c r="F4" s="1139"/>
      <c r="G4" s="1139"/>
      <c r="H4" s="1139"/>
      <c r="I4" s="1139"/>
      <c r="J4" s="1139"/>
      <c r="K4" s="625"/>
      <c r="L4" s="93"/>
      <c r="M4" s="93"/>
      <c r="N4" s="93"/>
      <c r="O4" s="625"/>
      <c r="P4" s="93"/>
      <c r="Q4" s="93"/>
      <c r="R4" s="289"/>
      <c r="S4" s="625"/>
      <c r="T4" s="289"/>
      <c r="U4" s="289"/>
      <c r="V4" s="289"/>
      <c r="W4" s="625"/>
      <c r="X4" s="93"/>
      <c r="Y4" s="93"/>
      <c r="Z4" s="228"/>
      <c r="AA4" s="228"/>
      <c r="AB4" s="93"/>
      <c r="AC4" s="212"/>
    </row>
    <row r="5" spans="2:30" s="2" customFormat="1" x14ac:dyDescent="0.3">
      <c r="B5" s="1772" t="s">
        <v>178</v>
      </c>
      <c r="C5" s="1772"/>
      <c r="D5" s="1772"/>
      <c r="E5" s="1772"/>
      <c r="F5" s="1772"/>
      <c r="G5" s="1772"/>
      <c r="H5" s="1772"/>
      <c r="I5" s="1772"/>
      <c r="J5" s="1772"/>
      <c r="K5" s="1772"/>
      <c r="L5" s="1772"/>
      <c r="M5" s="1772"/>
      <c r="N5" s="1772"/>
      <c r="O5" s="1772"/>
      <c r="P5" s="1772"/>
      <c r="Q5" s="1772"/>
      <c r="R5" s="1772"/>
      <c r="S5" s="1772"/>
      <c r="T5" s="1772"/>
      <c r="U5" s="1772"/>
      <c r="V5" s="1772"/>
      <c r="W5" s="1772"/>
      <c r="X5" s="1772"/>
      <c r="Y5" s="1772"/>
      <c r="Z5" s="1772"/>
      <c r="AA5" s="1772"/>
      <c r="AB5" s="1772"/>
      <c r="AC5" s="769"/>
    </row>
    <row r="6" spans="2:30" x14ac:dyDescent="0.3">
      <c r="AC6" s="21"/>
      <c r="AD6" s="21" t="s">
        <v>10</v>
      </c>
    </row>
    <row r="7" spans="2:30" s="96" customFormat="1" ht="18" customHeight="1" x14ac:dyDescent="0.25">
      <c r="B7" s="1769" t="s">
        <v>340</v>
      </c>
      <c r="C7" s="1769" t="s">
        <v>37</v>
      </c>
      <c r="D7" s="1773" t="s">
        <v>1548</v>
      </c>
      <c r="E7" s="1774"/>
      <c r="F7" s="1774"/>
      <c r="G7" s="1774"/>
      <c r="H7" s="1775"/>
      <c r="I7" s="1769" t="s">
        <v>1551</v>
      </c>
      <c r="J7" s="1176" t="s">
        <v>1553</v>
      </c>
      <c r="K7" s="1770" t="s">
        <v>968</v>
      </c>
      <c r="L7" s="1770"/>
      <c r="M7" s="1770"/>
      <c r="N7" s="1770"/>
      <c r="O7" s="1770"/>
      <c r="P7" s="1770"/>
      <c r="Q7" s="1770"/>
      <c r="R7" s="1770"/>
      <c r="S7" s="1770"/>
      <c r="T7" s="1770"/>
      <c r="U7" s="1776" t="s">
        <v>27</v>
      </c>
    </row>
    <row r="8" spans="2:30" s="96" customFormat="1" ht="42" customHeight="1" x14ac:dyDescent="0.25">
      <c r="B8" s="1769"/>
      <c r="C8" s="1769"/>
      <c r="D8" s="1176" t="s">
        <v>325</v>
      </c>
      <c r="E8" s="1176" t="s">
        <v>504</v>
      </c>
      <c r="F8" s="1176" t="s">
        <v>505</v>
      </c>
      <c r="G8" s="1176" t="s">
        <v>506</v>
      </c>
      <c r="H8" s="1176" t="s">
        <v>507</v>
      </c>
      <c r="I8" s="1769"/>
      <c r="J8" s="1176" t="s">
        <v>508</v>
      </c>
      <c r="K8" s="1779" t="s">
        <v>969</v>
      </c>
      <c r="L8" s="1780"/>
      <c r="M8" s="1779" t="s">
        <v>970</v>
      </c>
      <c r="N8" s="1780"/>
      <c r="O8" s="1779" t="s">
        <v>971</v>
      </c>
      <c r="P8" s="1780"/>
      <c r="Q8" s="1779" t="s">
        <v>972</v>
      </c>
      <c r="R8" s="1780"/>
      <c r="S8" s="1779" t="s">
        <v>973</v>
      </c>
      <c r="T8" s="1780"/>
      <c r="U8" s="1777"/>
      <c r="V8" s="357"/>
      <c r="W8" s="357"/>
    </row>
    <row r="9" spans="2:30" s="96" customFormat="1" ht="42" x14ac:dyDescent="0.25">
      <c r="B9" s="1769"/>
      <c r="C9" s="1769"/>
      <c r="D9" s="1173" t="s">
        <v>81</v>
      </c>
      <c r="E9" s="1173" t="s">
        <v>82</v>
      </c>
      <c r="F9" s="1173" t="s">
        <v>1549</v>
      </c>
      <c r="G9" s="1173" t="s">
        <v>391</v>
      </c>
      <c r="H9" s="1173" t="s">
        <v>1550</v>
      </c>
      <c r="I9" s="1173" t="s">
        <v>1552</v>
      </c>
      <c r="J9" s="1167" t="s">
        <v>410</v>
      </c>
      <c r="K9" s="1176" t="s">
        <v>988</v>
      </c>
      <c r="L9" s="1173" t="s">
        <v>21</v>
      </c>
      <c r="M9" s="1176" t="s">
        <v>988</v>
      </c>
      <c r="N9" s="1173" t="s">
        <v>21</v>
      </c>
      <c r="O9" s="1176" t="s">
        <v>988</v>
      </c>
      <c r="P9" s="1173" t="s">
        <v>21</v>
      </c>
      <c r="Q9" s="1176" t="s">
        <v>988</v>
      </c>
      <c r="R9" s="1173" t="s">
        <v>21</v>
      </c>
      <c r="S9" s="1176" t="s">
        <v>988</v>
      </c>
      <c r="T9" s="1173" t="s">
        <v>21</v>
      </c>
      <c r="U9" s="1778"/>
      <c r="V9" s="1201" t="s">
        <v>413</v>
      </c>
      <c r="W9" s="493" t="s">
        <v>1019</v>
      </c>
      <c r="X9" s="494"/>
    </row>
    <row r="10" spans="2:30" s="2" customFormat="1" x14ac:dyDescent="0.3">
      <c r="B10" s="424">
        <v>1</v>
      </c>
      <c r="C10" s="91" t="s">
        <v>179</v>
      </c>
      <c r="D10" s="1783">
        <v>541.48848181904941</v>
      </c>
      <c r="E10" s="1786">
        <v>593.72965435358867</v>
      </c>
      <c r="F10" s="1786">
        <v>603.27390067647855</v>
      </c>
      <c r="G10" s="1786">
        <f>SUM('F13'!D11:D12)</f>
        <v>632.73565248250213</v>
      </c>
      <c r="H10" s="1789">
        <f>'F13'!D40</f>
        <v>660.30156716534725</v>
      </c>
      <c r="I10" s="1786">
        <f>AVERAGE(D10:H12)</f>
        <v>606.30585129939323</v>
      </c>
      <c r="J10" s="1792">
        <f>I16*(1+$W$10)*(1+$W$11)*(1+$W$12)</f>
        <v>709.80492009949558</v>
      </c>
      <c r="K10" s="1771">
        <f>J10*(1+$W$13)</f>
        <v>740.72845316130213</v>
      </c>
      <c r="L10" s="1771">
        <f>K10</f>
        <v>740.72845316130213</v>
      </c>
      <c r="M10" s="1771">
        <f>K10*(1+$W$14)</f>
        <v>772.99920835407192</v>
      </c>
      <c r="N10" s="1771">
        <f>M10</f>
        <v>772.99920835407192</v>
      </c>
      <c r="O10" s="1771">
        <f>M10*(1+$W$15)</f>
        <v>806.67587908345592</v>
      </c>
      <c r="P10" s="1771">
        <f>O10</f>
        <v>806.67587908345592</v>
      </c>
      <c r="Q10" s="1771">
        <f>O10*(1+$W$16)</f>
        <v>841.8197158062311</v>
      </c>
      <c r="R10" s="1771">
        <f>Q10</f>
        <v>841.8197158062311</v>
      </c>
      <c r="S10" s="1771">
        <f>Q10*(1+$W$17)</f>
        <v>878.49463743140893</v>
      </c>
      <c r="T10" s="1771">
        <f>S10</f>
        <v>878.49463743140893</v>
      </c>
      <c r="U10" s="3"/>
      <c r="V10" s="1202" t="s">
        <v>506</v>
      </c>
      <c r="W10" s="770">
        <v>4.8836443567319074E-2</v>
      </c>
      <c r="X10" s="573"/>
    </row>
    <row r="11" spans="2:30" s="358" customFormat="1" ht="29" customHeight="1" x14ac:dyDescent="0.3">
      <c r="B11" s="424">
        <f>B10+1</f>
        <v>2</v>
      </c>
      <c r="C11" s="552" t="s">
        <v>394</v>
      </c>
      <c r="D11" s="1784"/>
      <c r="E11" s="1787"/>
      <c r="F11" s="1787"/>
      <c r="G11" s="1787"/>
      <c r="H11" s="1790"/>
      <c r="I11" s="1787"/>
      <c r="J11" s="1792"/>
      <c r="K11" s="1771"/>
      <c r="L11" s="1771"/>
      <c r="M11" s="1771"/>
      <c r="N11" s="1771"/>
      <c r="O11" s="1771"/>
      <c r="P11" s="1771"/>
      <c r="Q11" s="1771"/>
      <c r="R11" s="1771"/>
      <c r="S11" s="1771"/>
      <c r="T11" s="1771"/>
      <c r="U11" s="619"/>
      <c r="V11" s="1202" t="s">
        <v>507</v>
      </c>
      <c r="W11" s="773">
        <v>4.3566242197182838E-2</v>
      </c>
      <c r="X11" s="573"/>
    </row>
    <row r="12" spans="2:30" s="2" customFormat="1" x14ac:dyDescent="0.3">
      <c r="B12" s="424">
        <f t="shared" ref="B12:B16" si="0">B11+1</f>
        <v>3</v>
      </c>
      <c r="C12" s="91" t="s">
        <v>460</v>
      </c>
      <c r="D12" s="1784"/>
      <c r="E12" s="1787"/>
      <c r="F12" s="1787"/>
      <c r="G12" s="1787"/>
      <c r="H12" s="1790"/>
      <c r="I12" s="1787"/>
      <c r="J12" s="1792"/>
      <c r="K12" s="1771"/>
      <c r="L12" s="1771"/>
      <c r="M12" s="1771"/>
      <c r="N12" s="1771"/>
      <c r="O12" s="1771"/>
      <c r="P12" s="1771"/>
      <c r="Q12" s="1771"/>
      <c r="R12" s="1771"/>
      <c r="S12" s="1771"/>
      <c r="T12" s="1771"/>
      <c r="U12" s="619"/>
      <c r="V12" s="1202" t="s">
        <v>508</v>
      </c>
      <c r="W12" s="771">
        <f>W11</f>
        <v>4.3566242197182838E-2</v>
      </c>
      <c r="X12" s="573"/>
    </row>
    <row r="13" spans="2:30" s="2" customFormat="1" x14ac:dyDescent="0.3">
      <c r="B13" s="424">
        <f t="shared" si="0"/>
        <v>4</v>
      </c>
      <c r="C13" s="566" t="s">
        <v>1018</v>
      </c>
      <c r="D13" s="1785"/>
      <c r="E13" s="1788"/>
      <c r="F13" s="1788"/>
      <c r="G13" s="1788"/>
      <c r="H13" s="1791"/>
      <c r="I13" s="1788"/>
      <c r="J13" s="1203">
        <v>65.298475567583154</v>
      </c>
      <c r="K13" s="492">
        <v>68.143284769267296</v>
      </c>
      <c r="L13" s="492">
        <f>K13</f>
        <v>68.143284769267296</v>
      </c>
      <c r="M13" s="492">
        <v>71.112031617636788</v>
      </c>
      <c r="N13" s="492">
        <f>M13</f>
        <v>71.112031617636788</v>
      </c>
      <c r="O13" s="492">
        <v>74.210115610224463</v>
      </c>
      <c r="P13" s="492">
        <f>O13</f>
        <v>74.210115610224463</v>
      </c>
      <c r="Q13" s="492">
        <v>77.443171480380428</v>
      </c>
      <c r="R13" s="492">
        <f>Q13</f>
        <v>77.443171480380428</v>
      </c>
      <c r="S13" s="1170">
        <v>80.817079445612634</v>
      </c>
      <c r="T13" s="492">
        <f>S13</f>
        <v>80.817079445612634</v>
      </c>
      <c r="U13" s="619"/>
      <c r="V13" s="1202" t="s">
        <v>969</v>
      </c>
      <c r="W13" s="1204">
        <f>W12</f>
        <v>4.3566242197182838E-2</v>
      </c>
      <c r="X13" s="573"/>
    </row>
    <row r="14" spans="2:30" s="468" customFormat="1" x14ac:dyDescent="0.3">
      <c r="B14" s="424">
        <f t="shared" si="0"/>
        <v>5</v>
      </c>
      <c r="C14" s="181" t="s">
        <v>180</v>
      </c>
      <c r="D14" s="1168">
        <f>SUM(D10:D13)</f>
        <v>541.48848181904941</v>
      </c>
      <c r="E14" s="1168">
        <f t="shared" ref="E14:T14" si="1">SUM(E10:E13)</f>
        <v>593.72965435358867</v>
      </c>
      <c r="F14" s="1168">
        <f t="shared" si="1"/>
        <v>603.27390067647855</v>
      </c>
      <c r="G14" s="1168">
        <f t="shared" si="1"/>
        <v>632.73565248250213</v>
      </c>
      <c r="H14" s="1168">
        <f t="shared" si="1"/>
        <v>660.30156716534725</v>
      </c>
      <c r="I14" s="1168">
        <f t="shared" si="1"/>
        <v>606.30585129939323</v>
      </c>
      <c r="J14" s="1168">
        <f t="shared" si="1"/>
        <v>775.10339566707876</v>
      </c>
      <c r="K14" s="1168">
        <f t="shared" si="1"/>
        <v>808.87173793056945</v>
      </c>
      <c r="L14" s="1168">
        <f t="shared" si="1"/>
        <v>808.87173793056945</v>
      </c>
      <c r="M14" s="1168">
        <f t="shared" si="1"/>
        <v>844.11123997170876</v>
      </c>
      <c r="N14" s="1168">
        <f>SUM(N10:N13)</f>
        <v>844.11123997170876</v>
      </c>
      <c r="O14" s="1168">
        <f t="shared" si="1"/>
        <v>880.88599469368035</v>
      </c>
      <c r="P14" s="1168">
        <f t="shared" si="1"/>
        <v>880.88599469368035</v>
      </c>
      <c r="Q14" s="1168">
        <f t="shared" si="1"/>
        <v>919.26288728661154</v>
      </c>
      <c r="R14" s="1168">
        <f t="shared" si="1"/>
        <v>919.26288728661154</v>
      </c>
      <c r="S14" s="1168">
        <f t="shared" si="1"/>
        <v>959.31171687702158</v>
      </c>
      <c r="T14" s="1168">
        <f t="shared" si="1"/>
        <v>959.31171687702158</v>
      </c>
      <c r="U14" s="4"/>
      <c r="V14" s="1202" t="s">
        <v>970</v>
      </c>
      <c r="W14" s="1205">
        <f>W12</f>
        <v>4.3566242197182838E-2</v>
      </c>
      <c r="X14" s="1206"/>
    </row>
    <row r="15" spans="2:30" s="2" customFormat="1" x14ac:dyDescent="0.3">
      <c r="B15" s="424">
        <f t="shared" si="0"/>
        <v>6</v>
      </c>
      <c r="C15" s="91" t="s">
        <v>338</v>
      </c>
      <c r="D15" s="843">
        <v>37.611254494135551</v>
      </c>
      <c r="E15" s="843">
        <v>-51.467967314948432</v>
      </c>
      <c r="F15" s="843">
        <v>9.0349626778587808</v>
      </c>
      <c r="G15" s="843">
        <f>'F13'!$H$11</f>
        <v>26.714889404764904</v>
      </c>
      <c r="H15" s="843">
        <f>'F13'!$H$40</f>
        <v>53.720285797710247</v>
      </c>
      <c r="I15" s="1207">
        <f>AVERAGE(D15:H15)</f>
        <v>15.12268501190421</v>
      </c>
      <c r="J15" s="91"/>
      <c r="K15" s="843"/>
      <c r="L15" s="843"/>
      <c r="M15" s="843"/>
      <c r="N15" s="843"/>
      <c r="O15" s="843"/>
      <c r="P15" s="843"/>
      <c r="Q15" s="843"/>
      <c r="R15" s="843"/>
      <c r="S15" s="843"/>
      <c r="T15" s="843"/>
      <c r="U15" s="3"/>
      <c r="V15" s="1202" t="s">
        <v>971</v>
      </c>
      <c r="W15" s="1205">
        <f>W12</f>
        <v>4.3566242197182838E-2</v>
      </c>
      <c r="X15" s="1208"/>
    </row>
    <row r="16" spans="2:30" s="44" customFormat="1" ht="28" x14ac:dyDescent="0.3">
      <c r="B16" s="240">
        <f t="shared" si="0"/>
        <v>7</v>
      </c>
      <c r="C16" s="179" t="s">
        <v>339</v>
      </c>
      <c r="D16" s="1169">
        <f>SUM(D14:D15)</f>
        <v>579.09973631318496</v>
      </c>
      <c r="E16" s="1169">
        <f t="shared" ref="E16:T16" si="2">SUM(E14:E15)</f>
        <v>542.26168703864028</v>
      </c>
      <c r="F16" s="1169">
        <f t="shared" si="2"/>
        <v>612.30886335433729</v>
      </c>
      <c r="G16" s="1169">
        <f t="shared" si="2"/>
        <v>659.45054188726704</v>
      </c>
      <c r="H16" s="1169">
        <f t="shared" si="2"/>
        <v>714.02185296305754</v>
      </c>
      <c r="I16" s="1209">
        <f>AVERAGE(D16:H16)</f>
        <v>621.42853631129742</v>
      </c>
      <c r="J16" s="1169">
        <f t="shared" si="2"/>
        <v>775.10339566707876</v>
      </c>
      <c r="K16" s="1169">
        <f t="shared" si="2"/>
        <v>808.87173793056945</v>
      </c>
      <c r="L16" s="1169">
        <f t="shared" si="2"/>
        <v>808.87173793056945</v>
      </c>
      <c r="M16" s="1169">
        <f t="shared" si="2"/>
        <v>844.11123997170876</v>
      </c>
      <c r="N16" s="1169">
        <f t="shared" si="2"/>
        <v>844.11123997170876</v>
      </c>
      <c r="O16" s="1169">
        <f t="shared" si="2"/>
        <v>880.88599469368035</v>
      </c>
      <c r="P16" s="1169">
        <f t="shared" si="2"/>
        <v>880.88599469368035</v>
      </c>
      <c r="Q16" s="1169">
        <f t="shared" si="2"/>
        <v>919.26288728661154</v>
      </c>
      <c r="R16" s="1169">
        <f t="shared" si="2"/>
        <v>919.26288728661154</v>
      </c>
      <c r="S16" s="1169">
        <f t="shared" si="2"/>
        <v>959.31171687702158</v>
      </c>
      <c r="T16" s="1169">
        <f t="shared" si="2"/>
        <v>959.31171687702158</v>
      </c>
      <c r="U16" s="1"/>
      <c r="V16" s="1202" t="s">
        <v>972</v>
      </c>
      <c r="W16" s="1205">
        <f>W12</f>
        <v>4.3566242197182838E-2</v>
      </c>
      <c r="X16" s="1"/>
      <c r="Y16" s="1"/>
      <c r="Z16" s="1"/>
      <c r="AA16" s="1"/>
      <c r="AB16" s="1"/>
    </row>
    <row r="17" spans="2:31" x14ac:dyDescent="0.3">
      <c r="C17" s="2"/>
      <c r="D17" s="2"/>
      <c r="E17" s="2"/>
      <c r="F17" s="2"/>
      <c r="G17" s="2"/>
      <c r="H17" s="2"/>
      <c r="I17" s="2"/>
      <c r="J17" s="2"/>
      <c r="K17" s="2"/>
      <c r="L17" s="2"/>
      <c r="M17" s="2"/>
      <c r="N17" s="2"/>
      <c r="O17" s="2"/>
      <c r="P17" s="2"/>
      <c r="Q17" s="2"/>
      <c r="R17" s="2"/>
      <c r="S17" s="2"/>
      <c r="V17" s="1202" t="s">
        <v>973</v>
      </c>
      <c r="W17" s="1205">
        <f>W13</f>
        <v>4.3566242197182838E-2</v>
      </c>
      <c r="AC17" s="2"/>
      <c r="AD17" s="2"/>
      <c r="AE17" s="2"/>
    </row>
    <row r="18" spans="2:31" x14ac:dyDescent="0.3">
      <c r="B18" s="44"/>
    </row>
    <row r="23" spans="2:31" x14ac:dyDescent="0.3">
      <c r="K23" s="21"/>
      <c r="S23" s="21" t="s">
        <v>10</v>
      </c>
      <c r="AE23" s="21" t="s">
        <v>10</v>
      </c>
    </row>
    <row r="24" spans="2:31" ht="18" customHeight="1" x14ac:dyDescent="0.3">
      <c r="B24" s="1769" t="s">
        <v>340</v>
      </c>
      <c r="C24" s="1769" t="s">
        <v>37</v>
      </c>
      <c r="D24" s="1210"/>
      <c r="E24" s="1210"/>
      <c r="F24" s="1210"/>
      <c r="G24" s="1210"/>
      <c r="H24" s="1210"/>
      <c r="I24" s="1210"/>
      <c r="J24" s="1773" t="s">
        <v>1561</v>
      </c>
      <c r="K24" s="1774"/>
      <c r="L24" s="1774"/>
      <c r="M24" s="1774"/>
      <c r="N24" s="1775"/>
      <c r="O24" s="1177" t="s">
        <v>27</v>
      </c>
    </row>
    <row r="25" spans="2:31" ht="15" x14ac:dyDescent="0.3">
      <c r="B25" s="1769"/>
      <c r="C25" s="1781"/>
      <c r="D25" s="1781" t="s">
        <v>506</v>
      </c>
      <c r="E25" s="1781"/>
      <c r="F25" s="1781" t="s">
        <v>507</v>
      </c>
      <c r="G25" s="1781"/>
      <c r="H25" s="1781" t="s">
        <v>508</v>
      </c>
      <c r="I25" s="1781"/>
      <c r="J25" s="1180" t="s">
        <v>969</v>
      </c>
      <c r="K25" s="1172" t="s">
        <v>970</v>
      </c>
      <c r="L25" s="1172" t="s">
        <v>971</v>
      </c>
      <c r="M25" s="1172" t="s">
        <v>972</v>
      </c>
      <c r="N25" s="1172" t="s">
        <v>973</v>
      </c>
      <c r="O25" s="1178"/>
    </row>
    <row r="26" spans="2:31" ht="28" x14ac:dyDescent="0.3">
      <c r="B26" s="1769"/>
      <c r="C26" s="1781"/>
      <c r="D26" s="1175" t="s">
        <v>967</v>
      </c>
      <c r="E26" s="1175" t="s">
        <v>7</v>
      </c>
      <c r="F26" s="1175" t="s">
        <v>967</v>
      </c>
      <c r="G26" s="1175" t="s">
        <v>7</v>
      </c>
      <c r="H26" s="1175" t="s">
        <v>967</v>
      </c>
      <c r="I26" s="1171" t="s">
        <v>21</v>
      </c>
      <c r="J26" s="1171" t="s">
        <v>21</v>
      </c>
      <c r="K26" s="1171" t="s">
        <v>21</v>
      </c>
      <c r="L26" s="1171" t="s">
        <v>21</v>
      </c>
      <c r="M26" s="1171" t="s">
        <v>21</v>
      </c>
      <c r="N26" s="1171" t="s">
        <v>21</v>
      </c>
      <c r="O26" s="1179"/>
    </row>
    <row r="27" spans="2:31" s="2" customFormat="1" x14ac:dyDescent="0.3">
      <c r="B27" s="466">
        <v>1</v>
      </c>
      <c r="C27" s="3" t="s">
        <v>573</v>
      </c>
      <c r="D27" s="1211">
        <v>10.969999999999999</v>
      </c>
      <c r="E27" s="1211">
        <v>16.4128319</v>
      </c>
      <c r="F27" s="1211">
        <v>10.969999999999999</v>
      </c>
      <c r="G27" s="1211">
        <v>26.892168524000002</v>
      </c>
      <c r="H27" s="1211">
        <v>10.969999999999999</v>
      </c>
      <c r="I27" s="1211">
        <v>26.892168524000002</v>
      </c>
      <c r="J27" s="842">
        <v>13.572286885245903</v>
      </c>
      <c r="K27" s="842">
        <v>14.929515573770493</v>
      </c>
      <c r="L27" s="842">
        <v>16.422467131147542</v>
      </c>
      <c r="M27" s="842">
        <v>18.064713844262297</v>
      </c>
      <c r="N27" s="842">
        <v>19.871185228688528</v>
      </c>
      <c r="O27" s="3"/>
    </row>
    <row r="28" spans="2:31" x14ac:dyDescent="0.3">
      <c r="I28" s="1301">
        <f>I27/2</f>
        <v>13.446084262000001</v>
      </c>
      <c r="Z28" s="605"/>
      <c r="AA28" s="605"/>
    </row>
    <row r="29" spans="2:31" x14ac:dyDescent="0.3">
      <c r="B29" s="1" t="s">
        <v>708</v>
      </c>
    </row>
    <row r="31" spans="2:31" x14ac:dyDescent="0.3">
      <c r="B31" s="1782" t="s">
        <v>461</v>
      </c>
      <c r="C31" s="1782"/>
      <c r="D31" s="1782"/>
      <c r="E31" s="1782"/>
      <c r="F31" s="1782"/>
      <c r="G31" s="1782"/>
      <c r="H31" s="1782"/>
      <c r="I31" s="1782"/>
      <c r="J31" s="1782"/>
      <c r="K31" s="1782"/>
      <c r="L31" s="1782"/>
      <c r="M31" s="1782"/>
      <c r="N31" s="1782"/>
      <c r="O31" s="1782"/>
      <c r="P31" s="1782"/>
      <c r="Q31" s="1782"/>
      <c r="R31" s="299"/>
      <c r="S31" s="629"/>
      <c r="T31" s="299"/>
      <c r="U31" s="299"/>
      <c r="V31" s="299"/>
      <c r="W31" s="629"/>
      <c r="X31" s="130"/>
    </row>
    <row r="33" spans="2:32" ht="15" customHeight="1" x14ac:dyDescent="0.3">
      <c r="B33" s="1769" t="s">
        <v>340</v>
      </c>
      <c r="C33" s="1769" t="s">
        <v>37</v>
      </c>
      <c r="D33" s="1140"/>
      <c r="E33" s="1140"/>
      <c r="F33" s="1140"/>
      <c r="G33" s="1140"/>
      <c r="H33" s="1140"/>
      <c r="I33" s="1140"/>
      <c r="J33" s="1140"/>
      <c r="K33" s="1769" t="s">
        <v>181</v>
      </c>
      <c r="L33" s="1690" t="s">
        <v>506</v>
      </c>
      <c r="M33" s="1691"/>
      <c r="N33" s="1691"/>
      <c r="O33" s="1692"/>
      <c r="P33" s="1690" t="s">
        <v>507</v>
      </c>
      <c r="Q33" s="1691"/>
      <c r="R33" s="1691"/>
      <c r="S33" s="1692"/>
      <c r="T33" s="1690" t="s">
        <v>508</v>
      </c>
      <c r="U33" s="1691"/>
      <c r="V33" s="1691"/>
      <c r="W33" s="1691"/>
      <c r="X33" s="1692"/>
      <c r="Y33" s="1698" t="s">
        <v>968</v>
      </c>
      <c r="Z33" s="1698"/>
      <c r="AA33" s="1698"/>
      <c r="AB33" s="1698"/>
      <c r="AC33" s="1698"/>
      <c r="AD33" s="1666" t="s">
        <v>27</v>
      </c>
      <c r="AE33" s="57"/>
      <c r="AF33" s="57"/>
    </row>
    <row r="34" spans="2:32" ht="42" x14ac:dyDescent="0.3">
      <c r="B34" s="1769"/>
      <c r="C34" s="1781"/>
      <c r="D34" s="1142"/>
      <c r="E34" s="1142"/>
      <c r="F34" s="1142"/>
      <c r="G34" s="1142"/>
      <c r="H34" s="1142"/>
      <c r="I34" s="1142"/>
      <c r="J34" s="1142"/>
      <c r="K34" s="1781"/>
      <c r="L34" s="689" t="s">
        <v>967</v>
      </c>
      <c r="M34" s="296" t="s">
        <v>79</v>
      </c>
      <c r="N34" s="689"/>
      <c r="O34" s="296" t="s">
        <v>449</v>
      </c>
      <c r="P34" s="689" t="s">
        <v>967</v>
      </c>
      <c r="Q34" s="296" t="s">
        <v>79</v>
      </c>
      <c r="R34" s="689"/>
      <c r="S34" s="296" t="s">
        <v>449</v>
      </c>
      <c r="T34" s="689" t="s">
        <v>967</v>
      </c>
      <c r="U34" s="296" t="s">
        <v>443</v>
      </c>
      <c r="V34" s="296" t="s">
        <v>447</v>
      </c>
      <c r="W34" s="296" t="s">
        <v>80</v>
      </c>
      <c r="X34" s="296" t="s">
        <v>450</v>
      </c>
      <c r="Y34" s="696" t="s">
        <v>969</v>
      </c>
      <c r="Z34" s="696" t="s">
        <v>970</v>
      </c>
      <c r="AA34" s="696" t="s">
        <v>971</v>
      </c>
      <c r="AB34" s="696" t="s">
        <v>972</v>
      </c>
      <c r="AC34" s="696" t="s">
        <v>973</v>
      </c>
      <c r="AD34" s="1666"/>
      <c r="AE34" s="692"/>
      <c r="AF34" s="692"/>
    </row>
    <row r="35" spans="2:32" x14ac:dyDescent="0.3">
      <c r="B35" s="1769"/>
      <c r="C35" s="1781"/>
      <c r="D35" s="1142"/>
      <c r="E35" s="1142"/>
      <c r="F35" s="1142"/>
      <c r="G35" s="1142"/>
      <c r="H35" s="1142"/>
      <c r="I35" s="1142"/>
      <c r="J35" s="1142"/>
      <c r="K35" s="1781"/>
      <c r="L35" s="296" t="s">
        <v>81</v>
      </c>
      <c r="M35" s="296" t="s">
        <v>82</v>
      </c>
      <c r="N35" s="627"/>
      <c r="O35" s="296" t="s">
        <v>673</v>
      </c>
      <c r="P35" s="296" t="s">
        <v>391</v>
      </c>
      <c r="Q35" s="296" t="s">
        <v>409</v>
      </c>
      <c r="R35" s="627"/>
      <c r="S35" s="296" t="s">
        <v>454</v>
      </c>
      <c r="T35" s="689" t="s">
        <v>410</v>
      </c>
      <c r="U35" s="689" t="s">
        <v>411</v>
      </c>
      <c r="V35" s="689" t="s">
        <v>589</v>
      </c>
      <c r="W35" s="689" t="s">
        <v>674</v>
      </c>
      <c r="X35" s="689" t="s">
        <v>503</v>
      </c>
      <c r="Y35" s="688" t="s">
        <v>21</v>
      </c>
      <c r="Z35" s="688" t="s">
        <v>21</v>
      </c>
      <c r="AA35" s="688" t="s">
        <v>21</v>
      </c>
      <c r="AB35" s="688" t="s">
        <v>21</v>
      </c>
      <c r="AC35" s="688" t="s">
        <v>21</v>
      </c>
      <c r="AD35" s="1667"/>
      <c r="AE35" s="692"/>
      <c r="AF35" s="692"/>
    </row>
    <row r="36" spans="2:32" x14ac:dyDescent="0.3">
      <c r="B36" s="131" t="s">
        <v>172</v>
      </c>
      <c r="C36" s="109" t="s">
        <v>182</v>
      </c>
      <c r="D36" s="109"/>
      <c r="E36" s="109"/>
      <c r="F36" s="109"/>
      <c r="G36" s="109"/>
      <c r="H36" s="109"/>
      <c r="I36" s="109"/>
      <c r="J36" s="109"/>
      <c r="K36" s="9"/>
      <c r="L36" s="269"/>
      <c r="M36" s="269"/>
      <c r="N36" s="269"/>
      <c r="O36" s="269"/>
      <c r="P36" s="269"/>
      <c r="Q36" s="269"/>
      <c r="R36" s="269"/>
      <c r="S36" s="269"/>
      <c r="T36" s="269"/>
      <c r="U36" s="269"/>
      <c r="V36" s="269"/>
      <c r="W36" s="269"/>
      <c r="X36" s="269"/>
      <c r="Y36" s="9"/>
      <c r="Z36" s="9"/>
      <c r="AA36" s="9"/>
      <c r="AB36" s="9"/>
      <c r="AC36" s="269"/>
      <c r="AD36" s="269"/>
      <c r="AE36" s="11"/>
      <c r="AF36" s="11"/>
    </row>
    <row r="37" spans="2:32" x14ac:dyDescent="0.3">
      <c r="B37" s="132">
        <v>1</v>
      </c>
      <c r="C37" s="3" t="s">
        <v>183</v>
      </c>
      <c r="D37" s="3"/>
      <c r="E37" s="3"/>
      <c r="F37" s="3"/>
      <c r="G37" s="3"/>
      <c r="H37" s="3"/>
      <c r="I37" s="3"/>
      <c r="J37" s="3"/>
      <c r="K37" s="3" t="s">
        <v>464</v>
      </c>
      <c r="L37" s="444"/>
      <c r="M37" s="444"/>
      <c r="N37" s="444"/>
      <c r="O37" s="444">
        <f>M37-L37</f>
        <v>0</v>
      </c>
      <c r="P37" s="444"/>
      <c r="Q37" s="444"/>
      <c r="R37" s="444"/>
      <c r="S37" s="460">
        <f>Q37-P37</f>
        <v>0</v>
      </c>
      <c r="T37" s="460"/>
      <c r="U37" s="460"/>
      <c r="V37" s="460"/>
      <c r="W37" s="460">
        <f>U37+V37</f>
        <v>0</v>
      </c>
      <c r="X37" s="460">
        <f>W37-T37</f>
        <v>0</v>
      </c>
      <c r="Y37" s="9"/>
      <c r="Z37" s="9"/>
      <c r="AA37" s="9"/>
      <c r="AB37" s="9"/>
      <c r="AC37" s="460"/>
      <c r="AD37" s="269"/>
      <c r="AE37" s="698"/>
      <c r="AF37" s="698"/>
    </row>
    <row r="38" spans="2:32" x14ac:dyDescent="0.3">
      <c r="B38" s="132">
        <v>2</v>
      </c>
      <c r="C38" s="3" t="s">
        <v>326</v>
      </c>
      <c r="D38" s="3"/>
      <c r="E38" s="3"/>
      <c r="F38" s="3"/>
      <c r="G38" s="3"/>
      <c r="H38" s="3"/>
      <c r="I38" s="3"/>
      <c r="J38" s="3"/>
      <c r="K38" s="3" t="s">
        <v>464</v>
      </c>
      <c r="L38" s="444"/>
      <c r="M38" s="444"/>
      <c r="N38" s="444"/>
      <c r="O38" s="444">
        <f>M38-L38</f>
        <v>0</v>
      </c>
      <c r="P38" s="444"/>
      <c r="Q38" s="444"/>
      <c r="R38" s="444"/>
      <c r="S38" s="460">
        <f>Q38-P38</f>
        <v>0</v>
      </c>
      <c r="T38" s="460"/>
      <c r="U38" s="460"/>
      <c r="V38" s="460"/>
      <c r="W38" s="460">
        <f>U38+V38</f>
        <v>0</v>
      </c>
      <c r="X38" s="460">
        <f>W38-T38</f>
        <v>0</v>
      </c>
      <c r="Y38" s="9"/>
      <c r="Z38" s="9"/>
      <c r="AA38" s="9"/>
      <c r="AB38" s="9"/>
      <c r="AC38" s="460"/>
      <c r="AD38" s="269"/>
      <c r="AE38" s="698"/>
      <c r="AF38" s="698"/>
    </row>
    <row r="39" spans="2:32" x14ac:dyDescent="0.3">
      <c r="B39" s="132">
        <v>3</v>
      </c>
      <c r="C39" s="3" t="s">
        <v>184</v>
      </c>
      <c r="D39" s="3"/>
      <c r="E39" s="3"/>
      <c r="F39" s="3"/>
      <c r="G39" s="3"/>
      <c r="H39" s="3"/>
      <c r="I39" s="3"/>
      <c r="J39" s="3"/>
      <c r="K39" s="3" t="s">
        <v>464</v>
      </c>
      <c r="L39" s="444"/>
      <c r="M39" s="444"/>
      <c r="N39" s="444"/>
      <c r="O39" s="444">
        <f>M39-L39</f>
        <v>0</v>
      </c>
      <c r="P39" s="444"/>
      <c r="Q39" s="444"/>
      <c r="R39" s="444"/>
      <c r="S39" s="460">
        <f>Q39-P39</f>
        <v>0</v>
      </c>
      <c r="T39" s="460"/>
      <c r="U39" s="460"/>
      <c r="V39" s="460"/>
      <c r="W39" s="460">
        <f>U39+V39</f>
        <v>0</v>
      </c>
      <c r="X39" s="460">
        <f>W39-T39</f>
        <v>0</v>
      </c>
      <c r="Y39" s="9"/>
      <c r="Z39" s="9"/>
      <c r="AA39" s="9"/>
      <c r="AB39" s="9"/>
      <c r="AC39" s="460"/>
      <c r="AD39" s="269"/>
      <c r="AE39" s="698"/>
      <c r="AF39" s="698"/>
    </row>
    <row r="40" spans="2:32" x14ac:dyDescent="0.3">
      <c r="B40" s="132">
        <v>4</v>
      </c>
      <c r="C40" s="3" t="s">
        <v>580</v>
      </c>
      <c r="D40" s="3"/>
      <c r="E40" s="3"/>
      <c r="F40" s="3"/>
      <c r="G40" s="3"/>
      <c r="H40" s="3"/>
      <c r="I40" s="3"/>
      <c r="J40" s="3"/>
      <c r="K40" s="3" t="s">
        <v>464</v>
      </c>
      <c r="L40" s="444"/>
      <c r="M40" s="444"/>
      <c r="N40" s="444"/>
      <c r="O40" s="444">
        <f>M40-L40</f>
        <v>0</v>
      </c>
      <c r="P40" s="444"/>
      <c r="Q40" s="444"/>
      <c r="R40" s="444"/>
      <c r="S40" s="460">
        <f>Q40-P40</f>
        <v>0</v>
      </c>
      <c r="T40" s="460"/>
      <c r="U40" s="460"/>
      <c r="V40" s="460"/>
      <c r="W40" s="460">
        <f>U40+V40</f>
        <v>0</v>
      </c>
      <c r="X40" s="460">
        <f>W40-T40</f>
        <v>0</v>
      </c>
      <c r="Y40" s="9"/>
      <c r="Z40" s="9"/>
      <c r="AA40" s="9"/>
      <c r="AB40" s="9"/>
      <c r="AC40" s="460"/>
      <c r="AD40" s="269"/>
      <c r="AE40" s="698"/>
      <c r="AF40" s="698"/>
    </row>
    <row r="41" spans="2:32" x14ac:dyDescent="0.3">
      <c r="B41" s="132">
        <v>5</v>
      </c>
      <c r="C41" s="3" t="s">
        <v>581</v>
      </c>
      <c r="D41" s="3"/>
      <c r="E41" s="3"/>
      <c r="F41" s="3"/>
      <c r="G41" s="3"/>
      <c r="H41" s="3"/>
      <c r="I41" s="3"/>
      <c r="J41" s="3"/>
      <c r="K41" s="3" t="s">
        <v>464</v>
      </c>
      <c r="L41" s="444"/>
      <c r="M41" s="444"/>
      <c r="N41" s="444"/>
      <c r="O41" s="444">
        <f>M41-L41</f>
        <v>0</v>
      </c>
      <c r="P41" s="444"/>
      <c r="Q41" s="444"/>
      <c r="R41" s="444"/>
      <c r="S41" s="460">
        <f>Q41-P41</f>
        <v>0</v>
      </c>
      <c r="T41" s="460"/>
      <c r="U41" s="460"/>
      <c r="V41" s="460"/>
      <c r="W41" s="460">
        <f>U41+V41</f>
        <v>0</v>
      </c>
      <c r="X41" s="460">
        <f>W41-T41</f>
        <v>0</v>
      </c>
      <c r="Y41" s="9"/>
      <c r="Z41" s="9"/>
      <c r="AA41" s="9"/>
      <c r="AB41" s="9"/>
      <c r="AC41" s="460"/>
      <c r="AD41" s="269"/>
      <c r="AE41" s="698"/>
      <c r="AF41" s="698"/>
    </row>
    <row r="42" spans="2:32" x14ac:dyDescent="0.3">
      <c r="B42" s="132"/>
      <c r="C42" s="3"/>
      <c r="D42" s="3"/>
      <c r="E42" s="3"/>
      <c r="F42" s="3"/>
      <c r="G42" s="3"/>
      <c r="H42" s="3"/>
      <c r="I42" s="3"/>
      <c r="J42" s="3"/>
      <c r="K42" s="3"/>
      <c r="L42" s="444"/>
      <c r="M42" s="444"/>
      <c r="N42" s="444"/>
      <c r="O42" s="444"/>
      <c r="P42" s="444"/>
      <c r="Q42" s="444"/>
      <c r="R42" s="444"/>
      <c r="S42" s="460"/>
      <c r="T42" s="460"/>
      <c r="U42" s="460"/>
      <c r="V42" s="460"/>
      <c r="W42" s="460"/>
      <c r="X42" s="460"/>
      <c r="Y42" s="9"/>
      <c r="Z42" s="9"/>
      <c r="AA42" s="9"/>
      <c r="AB42" s="9"/>
      <c r="AC42" s="460"/>
      <c r="AD42" s="269"/>
      <c r="AE42" s="698"/>
      <c r="AF42" s="698"/>
    </row>
    <row r="43" spans="2:32" x14ac:dyDescent="0.3">
      <c r="B43" s="131" t="s">
        <v>185</v>
      </c>
      <c r="C43" s="622" t="s">
        <v>462</v>
      </c>
      <c r="D43" s="622"/>
      <c r="E43" s="622"/>
      <c r="F43" s="622"/>
      <c r="G43" s="622"/>
      <c r="H43" s="622"/>
      <c r="I43" s="622"/>
      <c r="J43" s="622"/>
      <c r="K43" s="3"/>
      <c r="L43" s="444"/>
      <c r="M43" s="444"/>
      <c r="N43" s="444"/>
      <c r="O43" s="444"/>
      <c r="P43" s="444"/>
      <c r="Q43" s="444"/>
      <c r="R43" s="444"/>
      <c r="S43" s="460"/>
      <c r="T43" s="460"/>
      <c r="U43" s="460"/>
      <c r="V43" s="460"/>
      <c r="W43" s="460"/>
      <c r="X43" s="460"/>
      <c r="Y43" s="9"/>
      <c r="Z43" s="9"/>
      <c r="AA43" s="9"/>
      <c r="AB43" s="9"/>
      <c r="AC43" s="460"/>
      <c r="AD43" s="269"/>
      <c r="AE43" s="698"/>
      <c r="AF43" s="698"/>
    </row>
    <row r="44" spans="2:32" x14ac:dyDescent="0.3">
      <c r="B44" s="132">
        <v>1</v>
      </c>
      <c r="C44" s="3" t="s">
        <v>183</v>
      </c>
      <c r="D44" s="3"/>
      <c r="E44" s="3"/>
      <c r="F44" s="3"/>
      <c r="G44" s="3"/>
      <c r="H44" s="3"/>
      <c r="I44" s="3"/>
      <c r="J44" s="3"/>
      <c r="K44" s="3" t="s">
        <v>97</v>
      </c>
      <c r="L44" s="444"/>
      <c r="M44" s="444"/>
      <c r="N44" s="444"/>
      <c r="O44" s="444">
        <f>M44-L44</f>
        <v>0</v>
      </c>
      <c r="P44" s="444"/>
      <c r="Q44" s="444"/>
      <c r="R44" s="444"/>
      <c r="S44" s="460">
        <f>Q44-P44</f>
        <v>0</v>
      </c>
      <c r="T44" s="460"/>
      <c r="U44" s="460"/>
      <c r="V44" s="460"/>
      <c r="W44" s="460">
        <f>U44+V44</f>
        <v>0</v>
      </c>
      <c r="X44" s="460">
        <f>W44-T44</f>
        <v>0</v>
      </c>
      <c r="Y44" s="9"/>
      <c r="Z44" s="9"/>
      <c r="AA44" s="9"/>
      <c r="AB44" s="9"/>
      <c r="AC44" s="460"/>
      <c r="AD44" s="269"/>
      <c r="AE44" s="698"/>
      <c r="AF44" s="698"/>
    </row>
    <row r="45" spans="2:32" x14ac:dyDescent="0.3">
      <c r="B45" s="132">
        <v>2</v>
      </c>
      <c r="C45" s="3" t="s">
        <v>326</v>
      </c>
      <c r="D45" s="3"/>
      <c r="E45" s="3"/>
      <c r="F45" s="3"/>
      <c r="G45" s="3"/>
      <c r="H45" s="3"/>
      <c r="I45" s="3"/>
      <c r="J45" s="3"/>
      <c r="K45" s="3" t="s">
        <v>97</v>
      </c>
      <c r="L45" s="444"/>
      <c r="M45" s="444"/>
      <c r="N45" s="444"/>
      <c r="O45" s="444">
        <f>M45-L45</f>
        <v>0</v>
      </c>
      <c r="P45" s="444"/>
      <c r="Q45" s="444"/>
      <c r="R45" s="444"/>
      <c r="S45" s="460">
        <f>Q45-P45</f>
        <v>0</v>
      </c>
      <c r="T45" s="460"/>
      <c r="U45" s="460"/>
      <c r="V45" s="460"/>
      <c r="W45" s="460">
        <f>U45+V45</f>
        <v>0</v>
      </c>
      <c r="X45" s="460">
        <f>W45-T45</f>
        <v>0</v>
      </c>
      <c r="Y45" s="9"/>
      <c r="Z45" s="9"/>
      <c r="AA45" s="9"/>
      <c r="AB45" s="9"/>
      <c r="AC45" s="460"/>
      <c r="AD45" s="269"/>
      <c r="AE45" s="698"/>
      <c r="AF45" s="698"/>
    </row>
    <row r="46" spans="2:32" x14ac:dyDescent="0.3">
      <c r="B46" s="132">
        <v>3</v>
      </c>
      <c r="C46" s="3" t="s">
        <v>184</v>
      </c>
      <c r="D46" s="3"/>
      <c r="E46" s="3"/>
      <c r="F46" s="3"/>
      <c r="G46" s="3"/>
      <c r="H46" s="3"/>
      <c r="I46" s="3"/>
      <c r="J46" s="3"/>
      <c r="K46" s="3" t="s">
        <v>97</v>
      </c>
      <c r="L46" s="444"/>
      <c r="M46" s="444"/>
      <c r="N46" s="444"/>
      <c r="O46" s="444">
        <f>M46-L46</f>
        <v>0</v>
      </c>
      <c r="P46" s="444"/>
      <c r="Q46" s="444"/>
      <c r="R46" s="444"/>
      <c r="S46" s="460">
        <f>Q46-P46</f>
        <v>0</v>
      </c>
      <c r="T46" s="460"/>
      <c r="U46" s="460"/>
      <c r="V46" s="460"/>
      <c r="W46" s="460">
        <f>U46+V46</f>
        <v>0</v>
      </c>
      <c r="X46" s="460">
        <f>W46-T46</f>
        <v>0</v>
      </c>
      <c r="Y46" s="9"/>
      <c r="Z46" s="9"/>
      <c r="AA46" s="9"/>
      <c r="AB46" s="9"/>
      <c r="AC46" s="460"/>
      <c r="AD46" s="269"/>
      <c r="AE46" s="698"/>
      <c r="AF46" s="698"/>
    </row>
    <row r="47" spans="2:32" x14ac:dyDescent="0.3">
      <c r="B47" s="132">
        <v>4</v>
      </c>
      <c r="C47" s="3" t="s">
        <v>582</v>
      </c>
      <c r="D47" s="3"/>
      <c r="E47" s="3"/>
      <c r="F47" s="3"/>
      <c r="G47" s="3"/>
      <c r="H47" s="3"/>
      <c r="I47" s="3"/>
      <c r="J47" s="3"/>
      <c r="K47" s="3" t="s">
        <v>97</v>
      </c>
      <c r="L47" s="444"/>
      <c r="M47" s="444"/>
      <c r="N47" s="444"/>
      <c r="O47" s="444">
        <f>M47-L47</f>
        <v>0</v>
      </c>
      <c r="P47" s="444"/>
      <c r="Q47" s="444"/>
      <c r="R47" s="444"/>
      <c r="S47" s="460">
        <f>Q47-P47</f>
        <v>0</v>
      </c>
      <c r="T47" s="460"/>
      <c r="U47" s="460"/>
      <c r="V47" s="460"/>
      <c r="W47" s="460">
        <f>U47+V47</f>
        <v>0</v>
      </c>
      <c r="X47" s="460">
        <f>W47-T47</f>
        <v>0</v>
      </c>
      <c r="Y47" s="9"/>
      <c r="Z47" s="9"/>
      <c r="AA47" s="9"/>
      <c r="AB47" s="9"/>
      <c r="AC47" s="460"/>
      <c r="AD47" s="269"/>
      <c r="AE47" s="698"/>
      <c r="AF47" s="698"/>
    </row>
    <row r="48" spans="2:32" x14ac:dyDescent="0.3">
      <c r="B48" s="132">
        <v>5</v>
      </c>
      <c r="C48" s="3" t="s">
        <v>581</v>
      </c>
      <c r="D48" s="3"/>
      <c r="E48" s="3"/>
      <c r="F48" s="3"/>
      <c r="G48" s="3"/>
      <c r="H48" s="3"/>
      <c r="I48" s="3"/>
      <c r="J48" s="3"/>
      <c r="K48" s="3" t="s">
        <v>97</v>
      </c>
      <c r="L48" s="444"/>
      <c r="M48" s="444"/>
      <c r="N48" s="444"/>
      <c r="O48" s="444">
        <f>M48-L48</f>
        <v>0</v>
      </c>
      <c r="P48" s="444"/>
      <c r="Q48" s="444"/>
      <c r="R48" s="444"/>
      <c r="S48" s="460">
        <f>Q48-P48</f>
        <v>0</v>
      </c>
      <c r="T48" s="460"/>
      <c r="U48" s="460"/>
      <c r="V48" s="460"/>
      <c r="W48" s="460">
        <f>U48+V48</f>
        <v>0</v>
      </c>
      <c r="X48" s="460">
        <f>W48-T48</f>
        <v>0</v>
      </c>
      <c r="Y48" s="9"/>
      <c r="Z48" s="9"/>
      <c r="AA48" s="9"/>
      <c r="AB48" s="9"/>
      <c r="AC48" s="460"/>
      <c r="AD48" s="269"/>
      <c r="AE48" s="698"/>
      <c r="AF48" s="698"/>
    </row>
    <row r="49" spans="2:32" x14ac:dyDescent="0.3">
      <c r="B49" s="132"/>
      <c r="C49" s="3"/>
      <c r="D49" s="3"/>
      <c r="E49" s="3"/>
      <c r="F49" s="3"/>
      <c r="G49" s="3"/>
      <c r="H49" s="3"/>
      <c r="I49" s="3"/>
      <c r="J49" s="3"/>
      <c r="K49" s="3"/>
      <c r="L49" s="444"/>
      <c r="M49" s="444"/>
      <c r="N49" s="444"/>
      <c r="O49" s="444"/>
      <c r="P49" s="444"/>
      <c r="Q49" s="444"/>
      <c r="R49" s="444"/>
      <c r="S49" s="460"/>
      <c r="T49" s="460"/>
      <c r="U49" s="460"/>
      <c r="V49" s="460"/>
      <c r="W49" s="460"/>
      <c r="X49" s="460"/>
      <c r="Y49" s="9"/>
      <c r="Z49" s="9"/>
      <c r="AA49" s="9"/>
      <c r="AB49" s="9"/>
      <c r="AC49" s="460"/>
      <c r="AD49" s="269"/>
      <c r="AE49" s="698"/>
      <c r="AF49" s="698"/>
    </row>
    <row r="50" spans="2:32" x14ac:dyDescent="0.3">
      <c r="B50" s="131" t="s">
        <v>186</v>
      </c>
      <c r="C50" s="622" t="s">
        <v>463</v>
      </c>
      <c r="D50" s="622"/>
      <c r="E50" s="622"/>
      <c r="F50" s="622"/>
      <c r="G50" s="622"/>
      <c r="H50" s="622"/>
      <c r="I50" s="622"/>
      <c r="J50" s="622"/>
      <c r="K50" s="3"/>
      <c r="L50" s="444"/>
      <c r="M50" s="444"/>
      <c r="N50" s="444"/>
      <c r="O50" s="444"/>
      <c r="P50" s="444"/>
      <c r="Q50" s="444"/>
      <c r="R50" s="444"/>
      <c r="S50" s="460"/>
      <c r="T50" s="460"/>
      <c r="U50" s="460"/>
      <c r="V50" s="460"/>
      <c r="W50" s="460"/>
      <c r="X50" s="460"/>
      <c r="Y50" s="9"/>
      <c r="Z50" s="9"/>
      <c r="AA50" s="9"/>
      <c r="AB50" s="9"/>
      <c r="AC50" s="460"/>
      <c r="AD50" s="269"/>
      <c r="AE50" s="698"/>
      <c r="AF50" s="698"/>
    </row>
    <row r="51" spans="2:32" x14ac:dyDescent="0.3">
      <c r="B51" s="132">
        <v>1</v>
      </c>
      <c r="C51" s="3" t="s">
        <v>183</v>
      </c>
      <c r="D51" s="3"/>
      <c r="E51" s="3"/>
      <c r="F51" s="3"/>
      <c r="G51" s="3"/>
      <c r="H51" s="3"/>
      <c r="I51" s="3"/>
      <c r="J51" s="3"/>
      <c r="K51" s="3" t="s">
        <v>441</v>
      </c>
      <c r="L51" s="444"/>
      <c r="M51" s="444"/>
      <c r="N51" s="444"/>
      <c r="O51" s="444">
        <f>M51-L51</f>
        <v>0</v>
      </c>
      <c r="P51" s="444"/>
      <c r="Q51" s="444"/>
      <c r="R51" s="444"/>
      <c r="S51" s="460">
        <f>Q51-P51</f>
        <v>0</v>
      </c>
      <c r="T51" s="460"/>
      <c r="U51" s="460"/>
      <c r="V51" s="460"/>
      <c r="W51" s="460">
        <f>U51+V51</f>
        <v>0</v>
      </c>
      <c r="X51" s="460">
        <f>W51-T51</f>
        <v>0</v>
      </c>
      <c r="Y51" s="9"/>
      <c r="Z51" s="9"/>
      <c r="AA51" s="9"/>
      <c r="AB51" s="9"/>
      <c r="AC51" s="460"/>
      <c r="AD51" s="269"/>
      <c r="AE51" s="698"/>
      <c r="AF51" s="698"/>
    </row>
    <row r="52" spans="2:32" x14ac:dyDescent="0.3">
      <c r="B52" s="132">
        <v>2</v>
      </c>
      <c r="C52" s="3" t="s">
        <v>326</v>
      </c>
      <c r="D52" s="3"/>
      <c r="E52" s="3"/>
      <c r="F52" s="3"/>
      <c r="G52" s="3"/>
      <c r="H52" s="3"/>
      <c r="I52" s="3"/>
      <c r="J52" s="3"/>
      <c r="K52" s="3" t="s">
        <v>441</v>
      </c>
      <c r="L52" s="444"/>
      <c r="M52" s="444"/>
      <c r="N52" s="444"/>
      <c r="O52" s="444">
        <f>M52-L52</f>
        <v>0</v>
      </c>
      <c r="P52" s="444"/>
      <c r="Q52" s="444"/>
      <c r="R52" s="444"/>
      <c r="S52" s="460">
        <f>Q52-P52</f>
        <v>0</v>
      </c>
      <c r="T52" s="460"/>
      <c r="U52" s="460"/>
      <c r="V52" s="460"/>
      <c r="W52" s="460">
        <f>U52+V52</f>
        <v>0</v>
      </c>
      <c r="X52" s="460">
        <f>W52-T52</f>
        <v>0</v>
      </c>
      <c r="Y52" s="9"/>
      <c r="Z52" s="9"/>
      <c r="AA52" s="9"/>
      <c r="AB52" s="9"/>
      <c r="AC52" s="460"/>
      <c r="AD52" s="269"/>
      <c r="AE52" s="698"/>
      <c r="AF52" s="698"/>
    </row>
    <row r="53" spans="2:32" x14ac:dyDescent="0.3">
      <c r="B53" s="132">
        <v>3</v>
      </c>
      <c r="C53" s="3" t="s">
        <v>184</v>
      </c>
      <c r="D53" s="3"/>
      <c r="E53" s="3"/>
      <c r="F53" s="3"/>
      <c r="G53" s="3"/>
      <c r="H53" s="3"/>
      <c r="I53" s="3"/>
      <c r="J53" s="3"/>
      <c r="K53" s="3" t="s">
        <v>441</v>
      </c>
      <c r="L53" s="444"/>
      <c r="M53" s="444"/>
      <c r="N53" s="444"/>
      <c r="O53" s="444">
        <f>M53-L53</f>
        <v>0</v>
      </c>
      <c r="P53" s="444"/>
      <c r="Q53" s="444"/>
      <c r="R53" s="444"/>
      <c r="S53" s="460">
        <f>Q53-P53</f>
        <v>0</v>
      </c>
      <c r="T53" s="460"/>
      <c r="U53" s="460"/>
      <c r="V53" s="460"/>
      <c r="W53" s="460">
        <f>U53+V53</f>
        <v>0</v>
      </c>
      <c r="X53" s="460">
        <f>W53-T53</f>
        <v>0</v>
      </c>
      <c r="Y53" s="9"/>
      <c r="Z53" s="9"/>
      <c r="AA53" s="9"/>
      <c r="AB53" s="9"/>
      <c r="AC53" s="460"/>
      <c r="AD53" s="269"/>
      <c r="AE53" s="698"/>
      <c r="AF53" s="698"/>
    </row>
    <row r="54" spans="2:32" x14ac:dyDescent="0.3">
      <c r="B54" s="132">
        <v>4</v>
      </c>
      <c r="C54" s="3" t="s">
        <v>582</v>
      </c>
      <c r="D54" s="3"/>
      <c r="E54" s="3"/>
      <c r="F54" s="3"/>
      <c r="G54" s="3"/>
      <c r="H54" s="3"/>
      <c r="I54" s="3"/>
      <c r="J54" s="3"/>
      <c r="K54" s="3" t="s">
        <v>441</v>
      </c>
      <c r="L54" s="444"/>
      <c r="M54" s="444"/>
      <c r="N54" s="444"/>
      <c r="O54" s="444">
        <f>M54-L54</f>
        <v>0</v>
      </c>
      <c r="P54" s="444"/>
      <c r="Q54" s="444"/>
      <c r="R54" s="444"/>
      <c r="S54" s="460">
        <f>Q54-P54</f>
        <v>0</v>
      </c>
      <c r="T54" s="460"/>
      <c r="U54" s="460"/>
      <c r="V54" s="460"/>
      <c r="W54" s="460">
        <f>U54+V54</f>
        <v>0</v>
      </c>
      <c r="X54" s="460">
        <f>W54-T54</f>
        <v>0</v>
      </c>
      <c r="Y54" s="9"/>
      <c r="Z54" s="9"/>
      <c r="AA54" s="9"/>
      <c r="AB54" s="9"/>
      <c r="AC54" s="460"/>
      <c r="AD54" s="269"/>
      <c r="AE54" s="698"/>
      <c r="AF54" s="698"/>
    </row>
    <row r="55" spans="2:32" x14ac:dyDescent="0.3">
      <c r="B55" s="132">
        <v>5</v>
      </c>
      <c r="C55" s="3" t="s">
        <v>581</v>
      </c>
      <c r="D55" s="3"/>
      <c r="E55" s="3"/>
      <c r="F55" s="3"/>
      <c r="G55" s="3"/>
      <c r="H55" s="3"/>
      <c r="I55" s="3"/>
      <c r="J55" s="3"/>
      <c r="K55" s="3" t="s">
        <v>441</v>
      </c>
      <c r="L55" s="444"/>
      <c r="M55" s="444"/>
      <c r="N55" s="444"/>
      <c r="O55" s="444">
        <f>M55-L55</f>
        <v>0</v>
      </c>
      <c r="P55" s="444"/>
      <c r="Q55" s="444"/>
      <c r="R55" s="444"/>
      <c r="S55" s="460">
        <f>Q55-P55</f>
        <v>0</v>
      </c>
      <c r="T55" s="460"/>
      <c r="U55" s="460"/>
      <c r="V55" s="460"/>
      <c r="W55" s="460">
        <f>U55+V55</f>
        <v>0</v>
      </c>
      <c r="X55" s="460">
        <f>W55-T55</f>
        <v>0</v>
      </c>
      <c r="Y55" s="9"/>
      <c r="Z55" s="9"/>
      <c r="AA55" s="9"/>
      <c r="AB55" s="9"/>
      <c r="AC55" s="460"/>
      <c r="AD55" s="269"/>
      <c r="AE55" s="698"/>
      <c r="AF55" s="698"/>
    </row>
    <row r="56" spans="2:32" x14ac:dyDescent="0.3">
      <c r="B56" s="50"/>
      <c r="C56" s="5"/>
      <c r="D56" s="5"/>
      <c r="E56" s="5"/>
      <c r="F56" s="5"/>
      <c r="G56" s="5"/>
      <c r="H56" s="5"/>
      <c r="I56" s="5"/>
      <c r="J56" s="5"/>
      <c r="K56" s="5"/>
      <c r="L56" s="5"/>
      <c r="M56" s="5"/>
      <c r="N56" s="5"/>
      <c r="O56" s="5"/>
      <c r="P56" s="5"/>
      <c r="Q56" s="5"/>
      <c r="R56" s="5"/>
      <c r="S56" s="5"/>
      <c r="T56" s="5"/>
      <c r="U56" s="5"/>
      <c r="V56" s="5"/>
      <c r="W56" s="5"/>
      <c r="X56" s="5"/>
    </row>
    <row r="59" spans="2:32" x14ac:dyDescent="0.3">
      <c r="B59" s="1782" t="s">
        <v>574</v>
      </c>
      <c r="C59" s="1782"/>
      <c r="D59" s="1782"/>
      <c r="E59" s="1782"/>
      <c r="F59" s="1782"/>
      <c r="G59" s="1782"/>
      <c r="H59" s="1782"/>
      <c r="I59" s="1782"/>
      <c r="J59" s="1782"/>
      <c r="K59" s="1782"/>
      <c r="L59" s="1782"/>
      <c r="M59" s="1782"/>
      <c r="N59" s="1782"/>
      <c r="O59" s="1782"/>
      <c r="P59" s="1782"/>
      <c r="Q59" s="1782"/>
      <c r="R59" s="299"/>
      <c r="S59" s="629"/>
      <c r="T59" s="299"/>
      <c r="U59" s="299"/>
      <c r="V59" s="299"/>
      <c r="W59" s="629"/>
    </row>
    <row r="60" spans="2:32" x14ac:dyDescent="0.3">
      <c r="R60" s="21"/>
      <c r="S60" s="21"/>
      <c r="T60" s="21"/>
      <c r="U60" s="21"/>
      <c r="V60" s="21"/>
      <c r="W60" s="21"/>
      <c r="AA60" s="21" t="s">
        <v>10</v>
      </c>
    </row>
    <row r="61" spans="2:32" ht="15" x14ac:dyDescent="0.3">
      <c r="B61" s="1769" t="s">
        <v>340</v>
      </c>
      <c r="C61" s="1769" t="s">
        <v>37</v>
      </c>
      <c r="D61" s="1166"/>
      <c r="E61" s="1166"/>
      <c r="F61" s="1166"/>
      <c r="G61" s="1166"/>
      <c r="H61" s="1166"/>
      <c r="I61" s="1166"/>
      <c r="J61" s="1166"/>
      <c r="K61" s="1690" t="s">
        <v>506</v>
      </c>
      <c r="L61" s="1691"/>
      <c r="M61" s="1692"/>
      <c r="N61" s="1690" t="s">
        <v>507</v>
      </c>
      <c r="O61" s="1691"/>
      <c r="P61" s="1692"/>
      <c r="Q61" s="1690" t="s">
        <v>508</v>
      </c>
      <c r="R61" s="1691"/>
      <c r="S61" s="1691"/>
      <c r="T61" s="1691"/>
      <c r="U61" s="1692"/>
      <c r="V61" s="1698" t="s">
        <v>968</v>
      </c>
      <c r="W61" s="1698"/>
      <c r="X61" s="1698"/>
      <c r="Y61" s="1698"/>
      <c r="Z61" s="1698"/>
      <c r="AA61" s="1666" t="s">
        <v>27</v>
      </c>
    </row>
    <row r="62" spans="2:32" ht="42" x14ac:dyDescent="0.3">
      <c r="B62" s="1769"/>
      <c r="C62" s="1781"/>
      <c r="D62" s="1142"/>
      <c r="E62" s="1142"/>
      <c r="F62" s="1142"/>
      <c r="G62" s="1142"/>
      <c r="H62" s="1142"/>
      <c r="I62" s="1142"/>
      <c r="J62" s="1142"/>
      <c r="K62" s="301" t="s">
        <v>448</v>
      </c>
      <c r="L62" s="296" t="s">
        <v>79</v>
      </c>
      <c r="M62" s="296" t="s">
        <v>449</v>
      </c>
      <c r="N62" s="301" t="s">
        <v>448</v>
      </c>
      <c r="O62" s="296" t="s">
        <v>79</v>
      </c>
      <c r="P62" s="296" t="s">
        <v>449</v>
      </c>
      <c r="Q62" s="296" t="s">
        <v>448</v>
      </c>
      <c r="R62" s="296" t="s">
        <v>443</v>
      </c>
      <c r="S62" s="296" t="s">
        <v>447</v>
      </c>
      <c r="T62" s="296" t="s">
        <v>80</v>
      </c>
      <c r="U62" s="296" t="s">
        <v>450</v>
      </c>
      <c r="V62" s="696" t="s">
        <v>969</v>
      </c>
      <c r="W62" s="696" t="s">
        <v>970</v>
      </c>
      <c r="X62" s="696" t="s">
        <v>971</v>
      </c>
      <c r="Y62" s="696" t="s">
        <v>972</v>
      </c>
      <c r="Z62" s="696" t="s">
        <v>973</v>
      </c>
      <c r="AA62" s="1666"/>
    </row>
    <row r="63" spans="2:32" x14ac:dyDescent="0.3">
      <c r="B63" s="1769"/>
      <c r="C63" s="1781"/>
      <c r="D63" s="1142"/>
      <c r="E63" s="1142"/>
      <c r="F63" s="1142"/>
      <c r="G63" s="1142"/>
      <c r="H63" s="1142"/>
      <c r="I63" s="1142"/>
      <c r="J63" s="1142"/>
      <c r="K63" s="296" t="s">
        <v>81</v>
      </c>
      <c r="L63" s="296" t="s">
        <v>82</v>
      </c>
      <c r="M63" s="296" t="s">
        <v>673</v>
      </c>
      <c r="N63" s="296" t="s">
        <v>391</v>
      </c>
      <c r="O63" s="296" t="s">
        <v>409</v>
      </c>
      <c r="P63" s="296" t="s">
        <v>454</v>
      </c>
      <c r="Q63" s="689" t="s">
        <v>410</v>
      </c>
      <c r="R63" s="689" t="s">
        <v>411</v>
      </c>
      <c r="S63" s="689" t="s">
        <v>589</v>
      </c>
      <c r="T63" s="689" t="s">
        <v>674</v>
      </c>
      <c r="U63" s="689" t="s">
        <v>503</v>
      </c>
      <c r="V63" s="688" t="s">
        <v>21</v>
      </c>
      <c r="W63" s="688" t="s">
        <v>21</v>
      </c>
      <c r="X63" s="688" t="s">
        <v>21</v>
      </c>
      <c r="Y63" s="688" t="s">
        <v>21</v>
      </c>
      <c r="Z63" s="688" t="s">
        <v>21</v>
      </c>
      <c r="AA63" s="1667"/>
    </row>
    <row r="64" spans="2:32" x14ac:dyDescent="0.3">
      <c r="B64" s="166">
        <v>1</v>
      </c>
      <c r="C64" s="38" t="s">
        <v>575</v>
      </c>
      <c r="D64" s="38"/>
      <c r="E64" s="38"/>
      <c r="F64" s="38"/>
      <c r="G64" s="38"/>
      <c r="H64" s="38"/>
      <c r="I64" s="38"/>
      <c r="J64" s="38"/>
      <c r="K64" s="347"/>
      <c r="L64" s="444"/>
      <c r="M64" s="347">
        <f>L64-K64</f>
        <v>0</v>
      </c>
      <c r="N64" s="347"/>
      <c r="O64" s="347"/>
      <c r="P64" s="347">
        <f>O64-N64</f>
        <v>0</v>
      </c>
      <c r="Q64" s="347"/>
      <c r="R64" s="347"/>
      <c r="S64" s="347"/>
      <c r="T64" s="347">
        <f>R64+S64</f>
        <v>0</v>
      </c>
      <c r="U64" s="347">
        <f>T64-Q64</f>
        <v>0</v>
      </c>
      <c r="V64" s="347"/>
      <c r="W64" s="347"/>
      <c r="X64" s="347"/>
      <c r="Y64" s="347"/>
      <c r="Z64" s="9"/>
      <c r="AA64" s="347"/>
    </row>
    <row r="65" spans="2:27" x14ac:dyDescent="0.3">
      <c r="B65" s="132">
        <v>2</v>
      </c>
      <c r="C65" s="9" t="s">
        <v>576</v>
      </c>
      <c r="D65" s="9"/>
      <c r="E65" s="9"/>
      <c r="F65" s="9"/>
      <c r="G65" s="9"/>
      <c r="H65" s="9"/>
      <c r="I65" s="9"/>
      <c r="J65" s="9"/>
      <c r="K65" s="347"/>
      <c r="L65" s="444"/>
      <c r="M65" s="347">
        <f>L65-K65</f>
        <v>0</v>
      </c>
      <c r="N65" s="347"/>
      <c r="O65" s="347"/>
      <c r="P65" s="347">
        <f>O65-N65</f>
        <v>0</v>
      </c>
      <c r="Q65" s="347"/>
      <c r="R65" s="347"/>
      <c r="S65" s="347"/>
      <c r="T65" s="347">
        <f>R65+S65</f>
        <v>0</v>
      </c>
      <c r="U65" s="347">
        <f>T65-Q65</f>
        <v>0</v>
      </c>
      <c r="V65" s="347"/>
      <c r="W65" s="347"/>
      <c r="X65" s="347"/>
      <c r="Y65" s="347"/>
      <c r="Z65" s="9"/>
      <c r="AA65" s="347"/>
    </row>
    <row r="66" spans="2:27" x14ac:dyDescent="0.3">
      <c r="B66" s="132">
        <v>3</v>
      </c>
      <c r="C66" s="9" t="s">
        <v>577</v>
      </c>
      <c r="D66" s="9"/>
      <c r="E66" s="9"/>
      <c r="F66" s="9"/>
      <c r="G66" s="9"/>
      <c r="H66" s="9"/>
      <c r="I66" s="9"/>
      <c r="J66" s="9"/>
      <c r="K66" s="347"/>
      <c r="L66" s="444"/>
      <c r="M66" s="347">
        <f>L66-K66</f>
        <v>0</v>
      </c>
      <c r="N66" s="347"/>
      <c r="O66" s="347"/>
      <c r="P66" s="347">
        <f>O66-N66</f>
        <v>0</v>
      </c>
      <c r="Q66" s="347"/>
      <c r="R66" s="347"/>
      <c r="S66" s="347"/>
      <c r="T66" s="347">
        <f>R66+S66</f>
        <v>0</v>
      </c>
      <c r="U66" s="347">
        <f>T66-Q66</f>
        <v>0</v>
      </c>
      <c r="V66" s="347"/>
      <c r="W66" s="347"/>
      <c r="X66" s="347"/>
      <c r="Y66" s="347"/>
      <c r="Z66" s="9"/>
      <c r="AA66" s="347"/>
    </row>
    <row r="67" spans="2:27" x14ac:dyDescent="0.3">
      <c r="B67" s="132" t="s">
        <v>475</v>
      </c>
      <c r="C67" s="9"/>
      <c r="D67" s="9"/>
      <c r="E67" s="9"/>
      <c r="F67" s="9"/>
      <c r="G67" s="9"/>
      <c r="H67" s="9"/>
      <c r="I67" s="9"/>
      <c r="J67" s="9"/>
      <c r="K67" s="347"/>
      <c r="L67" s="444"/>
      <c r="M67" s="347">
        <f>L67-K67</f>
        <v>0</v>
      </c>
      <c r="N67" s="347"/>
      <c r="O67" s="347"/>
      <c r="P67" s="347">
        <f>O67-N67</f>
        <v>0</v>
      </c>
      <c r="Q67" s="347"/>
      <c r="R67" s="347"/>
      <c r="S67" s="347"/>
      <c r="T67" s="347">
        <f>R67+S67</f>
        <v>0</v>
      </c>
      <c r="U67" s="347">
        <f>T67-Q67</f>
        <v>0</v>
      </c>
      <c r="V67" s="347"/>
      <c r="W67" s="347"/>
      <c r="X67" s="347"/>
      <c r="Y67" s="347"/>
      <c r="Z67" s="9"/>
      <c r="AA67" s="347"/>
    </row>
  </sheetData>
  <mergeCells count="55">
    <mergeCell ref="I10:I13"/>
    <mergeCell ref="J10:J12"/>
    <mergeCell ref="M10:M12"/>
    <mergeCell ref="Q10:Q12"/>
    <mergeCell ref="J24:N24"/>
    <mergeCell ref="K10:K12"/>
    <mergeCell ref="O10:O12"/>
    <mergeCell ref="D10:D13"/>
    <mergeCell ref="E10:E13"/>
    <mergeCell ref="F10:F13"/>
    <mergeCell ref="G10:G13"/>
    <mergeCell ref="H10:H13"/>
    <mergeCell ref="B24:B26"/>
    <mergeCell ref="C24:C26"/>
    <mergeCell ref="B61:B63"/>
    <mergeCell ref="C61:C63"/>
    <mergeCell ref="B59:Q59"/>
    <mergeCell ref="B31:Q31"/>
    <mergeCell ref="B33:B35"/>
    <mergeCell ref="C33:C35"/>
    <mergeCell ref="K33:K35"/>
    <mergeCell ref="D25:E25"/>
    <mergeCell ref="F25:G25"/>
    <mergeCell ref="H25:I25"/>
    <mergeCell ref="B1:Y1"/>
    <mergeCell ref="B2:Y2"/>
    <mergeCell ref="B3:Y3"/>
    <mergeCell ref="B5:AB5"/>
    <mergeCell ref="B7:B9"/>
    <mergeCell ref="C7:C9"/>
    <mergeCell ref="D7:H7"/>
    <mergeCell ref="I7:I8"/>
    <mergeCell ref="U7:U9"/>
    <mergeCell ref="K7:T7"/>
    <mergeCell ref="K8:L8"/>
    <mergeCell ref="M8:N8"/>
    <mergeCell ref="O8:P8"/>
    <mergeCell ref="Q8:R8"/>
    <mergeCell ref="S8:T8"/>
    <mergeCell ref="AD33:AD35"/>
    <mergeCell ref="K61:M61"/>
    <mergeCell ref="N61:P61"/>
    <mergeCell ref="AA61:AA63"/>
    <mergeCell ref="L33:O33"/>
    <mergeCell ref="P33:S33"/>
    <mergeCell ref="T33:X33"/>
    <mergeCell ref="Y33:AC33"/>
    <mergeCell ref="V61:Z61"/>
    <mergeCell ref="Q61:U61"/>
    <mergeCell ref="T10:T12"/>
    <mergeCell ref="S10:S12"/>
    <mergeCell ref="L10:L12"/>
    <mergeCell ref="N10:N12"/>
    <mergeCell ref="P10:P12"/>
    <mergeCell ref="R10:R12"/>
  </mergeCell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79"/>
  <sheetViews>
    <sheetView showGridLines="0" view="pageBreakPreview" zoomScale="75" zoomScaleNormal="75" zoomScaleSheetLayoutView="75" workbookViewId="0">
      <pane xSplit="3" ySplit="10" topLeftCell="D54" activePane="bottomRight" state="frozen"/>
      <selection activeCell="D35" sqref="D35"/>
      <selection pane="topRight" activeCell="D35" sqref="D35"/>
      <selection pane="bottomLeft" activeCell="D35" sqref="D35"/>
      <selection pane="bottomRight" activeCell="J75" sqref="J75"/>
    </sheetView>
  </sheetViews>
  <sheetFormatPr defaultColWidth="9.36328125" defaultRowHeight="14" x14ac:dyDescent="0.25"/>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5" x14ac:dyDescent="0.25">
      <c r="B2" s="1657" t="str">
        <f>Index!B2</f>
        <v xml:space="preserve">      Maharashtra State Power Generation Company Ltd.</v>
      </c>
      <c r="C2" s="1718"/>
      <c r="D2" s="1718"/>
      <c r="E2" s="1718"/>
      <c r="F2" s="1718"/>
      <c r="G2" s="1718"/>
      <c r="H2" s="1718"/>
      <c r="I2" s="691"/>
      <c r="J2" s="691"/>
      <c r="K2" s="691"/>
      <c r="L2" s="691"/>
      <c r="M2" s="691"/>
    </row>
    <row r="3" spans="2:15" s="5" customFormat="1" x14ac:dyDescent="0.3">
      <c r="B3" s="1657" t="str">
        <f>Index!B3</f>
        <v>MYT Petition Formats for Chandrapur Unit 3-7</v>
      </c>
      <c r="C3" s="1718"/>
      <c r="D3" s="1718"/>
      <c r="E3" s="1718"/>
      <c r="F3" s="1718"/>
      <c r="G3" s="1718"/>
      <c r="H3" s="1718"/>
      <c r="I3" s="691"/>
      <c r="J3" s="691"/>
      <c r="K3" s="691"/>
      <c r="L3" s="691"/>
      <c r="M3" s="691"/>
    </row>
    <row r="4" spans="2:15" s="5" customFormat="1" x14ac:dyDescent="0.3">
      <c r="B4" s="1658" t="s">
        <v>187</v>
      </c>
      <c r="C4" s="1718"/>
      <c r="D4" s="1718"/>
      <c r="E4" s="1718"/>
      <c r="F4" s="1718"/>
      <c r="G4" s="1718"/>
      <c r="H4" s="1718"/>
      <c r="I4" s="691"/>
      <c r="J4" s="691"/>
      <c r="K4" s="691"/>
      <c r="L4" s="691"/>
      <c r="M4" s="691"/>
    </row>
    <row r="5" spans="2:15" s="5" customFormat="1" x14ac:dyDescent="0.3">
      <c r="C5" s="19"/>
      <c r="D5" s="19"/>
      <c r="E5" s="19"/>
      <c r="F5" s="18"/>
      <c r="G5" s="18"/>
      <c r="H5" s="18"/>
      <c r="I5" s="18"/>
      <c r="J5" s="18"/>
      <c r="K5" s="18"/>
      <c r="L5" s="18"/>
      <c r="M5" s="18"/>
    </row>
    <row r="6" spans="2:15" x14ac:dyDescent="0.25">
      <c r="B6" s="22" t="s">
        <v>188</v>
      </c>
    </row>
    <row r="7" spans="2:15" x14ac:dyDescent="0.25">
      <c r="H7" s="21" t="s">
        <v>10</v>
      </c>
      <c r="I7" s="21"/>
      <c r="J7" s="21"/>
      <c r="K7" s="21"/>
      <c r="L7" s="21"/>
    </row>
    <row r="8" spans="2:15" ht="12.75" customHeight="1" x14ac:dyDescent="0.25">
      <c r="B8" s="1662" t="s">
        <v>6</v>
      </c>
      <c r="C8" s="1662" t="s">
        <v>37</v>
      </c>
      <c r="D8" s="135" t="s">
        <v>506</v>
      </c>
      <c r="E8" s="292" t="s">
        <v>507</v>
      </c>
      <c r="F8" s="1652" t="s">
        <v>508</v>
      </c>
      <c r="G8" s="1652"/>
      <c r="H8" s="1652"/>
      <c r="I8" s="1795"/>
      <c r="J8" s="1795"/>
      <c r="K8" s="1795"/>
      <c r="L8" s="1795"/>
      <c r="M8" s="1795"/>
      <c r="N8" s="57"/>
      <c r="O8" s="1793"/>
    </row>
    <row r="9" spans="2:15" ht="28" x14ac:dyDescent="0.25">
      <c r="B9" s="1662"/>
      <c r="C9" s="1662"/>
      <c r="D9" s="135" t="s">
        <v>79</v>
      </c>
      <c r="E9" s="292" t="s">
        <v>79</v>
      </c>
      <c r="F9" s="1323" t="s">
        <v>444</v>
      </c>
      <c r="G9" s="1323" t="s">
        <v>447</v>
      </c>
      <c r="H9" s="1323" t="s">
        <v>80</v>
      </c>
      <c r="I9" s="1331"/>
      <c r="J9" s="1331"/>
      <c r="K9" s="1331"/>
      <c r="L9" s="1331"/>
      <c r="M9" s="1331"/>
      <c r="N9" s="12"/>
      <c r="O9" s="1793"/>
    </row>
    <row r="10" spans="2:15" x14ac:dyDescent="0.25">
      <c r="B10" s="1794"/>
      <c r="C10" s="1662"/>
      <c r="D10" s="135" t="s">
        <v>81</v>
      </c>
      <c r="E10" s="292" t="s">
        <v>82</v>
      </c>
      <c r="F10" s="1323" t="s">
        <v>391</v>
      </c>
      <c r="G10" s="1323" t="s">
        <v>392</v>
      </c>
      <c r="H10" s="1323" t="s">
        <v>393</v>
      </c>
      <c r="I10" s="1329"/>
      <c r="J10" s="1329"/>
      <c r="K10" s="1329"/>
      <c r="L10" s="1329"/>
      <c r="M10" s="1329"/>
      <c r="N10" s="12"/>
      <c r="O10" s="1793"/>
    </row>
    <row r="11" spans="2:15" x14ac:dyDescent="0.3">
      <c r="B11" s="99">
        <v>1</v>
      </c>
      <c r="C11" s="9" t="s">
        <v>189</v>
      </c>
      <c r="D11" s="347">
        <v>157.17999999999998</v>
      </c>
      <c r="E11" s="347">
        <v>155.05211703032336</v>
      </c>
      <c r="F11" s="347">
        <v>181.10657559776573</v>
      </c>
      <c r="G11" s="347">
        <v>49.392702435754288</v>
      </c>
      <c r="H11" s="308">
        <f t="shared" ref="H11:H35" si="0">F11+G11</f>
        <v>230.49927803352</v>
      </c>
      <c r="I11" s="325"/>
      <c r="J11" s="325"/>
      <c r="K11" s="325"/>
      <c r="L11" s="325"/>
      <c r="M11" s="325"/>
      <c r="N11" s="64"/>
      <c r="O11" s="64"/>
    </row>
    <row r="12" spans="2:15" x14ac:dyDescent="0.3">
      <c r="B12" s="99">
        <v>2</v>
      </c>
      <c r="C12" s="9" t="s">
        <v>190</v>
      </c>
      <c r="D12" s="347">
        <v>52.65</v>
      </c>
      <c r="E12" s="347">
        <v>54.752713787784437</v>
      </c>
      <c r="F12" s="347">
        <v>75.954173884285723</v>
      </c>
      <c r="G12" s="347">
        <v>20.714774695714286</v>
      </c>
      <c r="H12" s="308">
        <f t="shared" si="0"/>
        <v>96.668948580000006</v>
      </c>
      <c r="I12" s="325"/>
      <c r="J12" s="325"/>
      <c r="K12" s="325"/>
      <c r="L12" s="325"/>
      <c r="M12" s="325"/>
      <c r="N12" s="64"/>
      <c r="O12" s="64"/>
    </row>
    <row r="13" spans="2:15" x14ac:dyDescent="0.25">
      <c r="B13" s="99">
        <v>3</v>
      </c>
      <c r="C13" s="24" t="s">
        <v>826</v>
      </c>
      <c r="D13" s="308">
        <v>18.34</v>
      </c>
      <c r="E13" s="308">
        <v>18.183497276550899</v>
      </c>
      <c r="F13" s="308">
        <v>18.131935302029998</v>
      </c>
      <c r="G13" s="308">
        <v>4.9450732641900004</v>
      </c>
      <c r="H13" s="308">
        <f t="shared" si="0"/>
        <v>23.077008566219998</v>
      </c>
      <c r="I13" s="325"/>
      <c r="J13" s="325"/>
      <c r="K13" s="325"/>
      <c r="L13" s="325"/>
      <c r="M13" s="325"/>
      <c r="N13" s="64"/>
      <c r="O13" s="64"/>
    </row>
    <row r="14" spans="2:15" x14ac:dyDescent="0.3">
      <c r="B14" s="99">
        <v>4</v>
      </c>
      <c r="C14" s="9" t="s">
        <v>191</v>
      </c>
      <c r="D14" s="347"/>
      <c r="E14" s="347"/>
      <c r="F14" s="347"/>
      <c r="G14" s="347"/>
      <c r="H14" s="308">
        <f t="shared" si="0"/>
        <v>0</v>
      </c>
      <c r="I14" s="325"/>
      <c r="J14" s="325"/>
      <c r="K14" s="325"/>
      <c r="L14" s="325"/>
      <c r="M14" s="325"/>
      <c r="N14" s="64"/>
      <c r="O14" s="64"/>
    </row>
    <row r="15" spans="2:15" x14ac:dyDescent="0.3">
      <c r="B15" s="99">
        <v>5</v>
      </c>
      <c r="C15" s="9" t="s">
        <v>192</v>
      </c>
      <c r="D15" s="347"/>
      <c r="E15" s="347"/>
      <c r="F15" s="347"/>
      <c r="G15" s="347"/>
      <c r="H15" s="308">
        <f t="shared" si="0"/>
        <v>0</v>
      </c>
      <c r="I15" s="325"/>
      <c r="J15" s="325"/>
      <c r="K15" s="325"/>
      <c r="L15" s="325"/>
      <c r="M15" s="325"/>
      <c r="N15" s="64"/>
      <c r="O15" s="64"/>
    </row>
    <row r="16" spans="2:15" x14ac:dyDescent="0.25">
      <c r="B16" s="99">
        <v>6</v>
      </c>
      <c r="C16" s="24" t="s">
        <v>193</v>
      </c>
      <c r="D16" s="308">
        <v>24.374603009666544</v>
      </c>
      <c r="E16" s="308">
        <v>55.781958113170312</v>
      </c>
      <c r="F16" s="308">
        <v>25.406442191271434</v>
      </c>
      <c r="G16" s="308">
        <v>6.9290296885285718</v>
      </c>
      <c r="H16" s="308">
        <f t="shared" si="0"/>
        <v>32.335471879800004</v>
      </c>
      <c r="I16" s="325"/>
      <c r="J16" s="325"/>
      <c r="K16" s="325"/>
      <c r="L16" s="325"/>
      <c r="M16" s="325"/>
      <c r="N16" s="64"/>
      <c r="O16" s="64"/>
    </row>
    <row r="17" spans="2:15" x14ac:dyDescent="0.3">
      <c r="B17" s="99">
        <v>7</v>
      </c>
      <c r="C17" s="9" t="s">
        <v>194</v>
      </c>
      <c r="D17" s="347"/>
      <c r="E17" s="347"/>
      <c r="F17" s="347"/>
      <c r="G17" s="347"/>
      <c r="H17" s="308">
        <f t="shared" si="0"/>
        <v>0</v>
      </c>
      <c r="I17" s="325"/>
      <c r="J17" s="325"/>
      <c r="K17" s="325"/>
      <c r="L17" s="325"/>
      <c r="M17" s="325"/>
      <c r="N17" s="64"/>
      <c r="O17" s="64"/>
    </row>
    <row r="18" spans="2:15" x14ac:dyDescent="0.3">
      <c r="B18" s="99">
        <v>8</v>
      </c>
      <c r="C18" s="9" t="s">
        <v>195</v>
      </c>
      <c r="D18" s="347"/>
      <c r="E18" s="347"/>
      <c r="F18" s="347"/>
      <c r="G18" s="347"/>
      <c r="H18" s="308">
        <f t="shared" si="0"/>
        <v>0</v>
      </c>
      <c r="I18" s="325"/>
      <c r="J18" s="325"/>
      <c r="K18" s="325"/>
      <c r="L18" s="325"/>
      <c r="M18" s="325"/>
      <c r="N18" s="64"/>
      <c r="O18" s="64"/>
    </row>
    <row r="19" spans="2:15" x14ac:dyDescent="0.3">
      <c r="B19" s="99">
        <v>9</v>
      </c>
      <c r="C19" s="9" t="s">
        <v>196</v>
      </c>
      <c r="D19" s="347"/>
      <c r="E19" s="347"/>
      <c r="F19" s="347"/>
      <c r="G19" s="347"/>
      <c r="H19" s="308">
        <f t="shared" si="0"/>
        <v>0</v>
      </c>
      <c r="I19" s="325"/>
      <c r="J19" s="325"/>
      <c r="K19" s="325"/>
      <c r="L19" s="325"/>
      <c r="M19" s="325"/>
      <c r="N19" s="64"/>
      <c r="O19" s="64"/>
    </row>
    <row r="20" spans="2:15" x14ac:dyDescent="0.3">
      <c r="B20" s="99">
        <v>10</v>
      </c>
      <c r="C20" s="9" t="s">
        <v>197</v>
      </c>
      <c r="D20" s="347"/>
      <c r="E20" s="347"/>
      <c r="F20" s="347"/>
      <c r="G20" s="347"/>
      <c r="H20" s="308">
        <f t="shared" si="0"/>
        <v>0</v>
      </c>
      <c r="I20" s="325"/>
      <c r="J20" s="325"/>
      <c r="K20" s="325"/>
      <c r="L20" s="325"/>
      <c r="M20" s="325"/>
      <c r="N20" s="64"/>
      <c r="O20" s="64"/>
    </row>
    <row r="21" spans="2:15" x14ac:dyDescent="0.3">
      <c r="B21" s="99">
        <v>11</v>
      </c>
      <c r="C21" s="9" t="s">
        <v>198</v>
      </c>
      <c r="D21" s="347"/>
      <c r="E21" s="347"/>
      <c r="F21" s="347"/>
      <c r="G21" s="347"/>
      <c r="H21" s="308">
        <f t="shared" si="0"/>
        <v>0</v>
      </c>
      <c r="I21" s="325"/>
      <c r="J21" s="325"/>
      <c r="K21" s="325"/>
      <c r="L21" s="325"/>
      <c r="M21" s="325"/>
      <c r="N21" s="64"/>
      <c r="O21" s="64"/>
    </row>
    <row r="22" spans="2:15" x14ac:dyDescent="0.3">
      <c r="B22" s="99">
        <v>12</v>
      </c>
      <c r="C22" s="9" t="s">
        <v>199</v>
      </c>
      <c r="D22" s="347">
        <v>7.0666146999999997</v>
      </c>
      <c r="E22" s="347">
        <v>5.7062911118562871</v>
      </c>
      <c r="F22" s="347">
        <v>2.8920162342499998</v>
      </c>
      <c r="G22" s="347">
        <v>0.78873170024999983</v>
      </c>
      <c r="H22" s="308">
        <f t="shared" si="0"/>
        <v>3.6807479344999994</v>
      </c>
      <c r="I22" s="325"/>
      <c r="J22" s="325"/>
      <c r="K22" s="325"/>
      <c r="L22" s="325"/>
      <c r="M22" s="325"/>
      <c r="N22" s="64"/>
      <c r="O22" s="64"/>
    </row>
    <row r="23" spans="2:15" x14ac:dyDescent="0.3">
      <c r="B23" s="99">
        <v>13</v>
      </c>
      <c r="C23" s="9" t="s">
        <v>200</v>
      </c>
      <c r="D23" s="347"/>
      <c r="E23" s="347"/>
      <c r="F23" s="347"/>
      <c r="G23" s="347"/>
      <c r="H23" s="308">
        <f t="shared" si="0"/>
        <v>0</v>
      </c>
      <c r="I23" s="325"/>
      <c r="J23" s="325"/>
      <c r="K23" s="325"/>
      <c r="L23" s="325"/>
      <c r="M23" s="325"/>
      <c r="N23" s="64"/>
      <c r="O23" s="64"/>
    </row>
    <row r="24" spans="2:15" x14ac:dyDescent="0.3">
      <c r="B24" s="99">
        <v>14</v>
      </c>
      <c r="C24" s="9" t="s">
        <v>201</v>
      </c>
      <c r="D24" s="347"/>
      <c r="E24" s="347"/>
      <c r="F24" s="347"/>
      <c r="G24" s="347"/>
      <c r="H24" s="308">
        <f t="shared" si="0"/>
        <v>0</v>
      </c>
      <c r="I24" s="325"/>
      <c r="J24" s="325"/>
      <c r="K24" s="325"/>
      <c r="L24" s="325"/>
      <c r="M24" s="325"/>
      <c r="N24" s="64"/>
      <c r="O24" s="64"/>
    </row>
    <row r="25" spans="2:15" x14ac:dyDescent="0.3">
      <c r="B25" s="99">
        <v>15</v>
      </c>
      <c r="C25" s="9" t="s">
        <v>202</v>
      </c>
      <c r="D25" s="347"/>
      <c r="E25" s="347"/>
      <c r="F25" s="347"/>
      <c r="G25" s="347"/>
      <c r="H25" s="308">
        <f t="shared" si="0"/>
        <v>0</v>
      </c>
      <c r="I25" s="325"/>
      <c r="J25" s="325"/>
      <c r="K25" s="325"/>
      <c r="L25" s="325"/>
      <c r="M25" s="325"/>
      <c r="N25" s="64"/>
      <c r="O25" s="64"/>
    </row>
    <row r="26" spans="2:15" x14ac:dyDescent="0.3">
      <c r="B26" s="99">
        <v>16</v>
      </c>
      <c r="C26" s="9" t="s">
        <v>203</v>
      </c>
      <c r="D26" s="347"/>
      <c r="E26" s="347"/>
      <c r="F26" s="347"/>
      <c r="G26" s="347"/>
      <c r="H26" s="308">
        <f t="shared" si="0"/>
        <v>0</v>
      </c>
      <c r="I26" s="325"/>
      <c r="J26" s="325"/>
      <c r="K26" s="325"/>
      <c r="L26" s="325"/>
      <c r="M26" s="325"/>
      <c r="N26" s="64"/>
      <c r="O26" s="64"/>
    </row>
    <row r="27" spans="2:15" x14ac:dyDescent="0.3">
      <c r="B27" s="99">
        <v>17</v>
      </c>
      <c r="C27" s="9" t="s">
        <v>204</v>
      </c>
      <c r="D27" s="347"/>
      <c r="E27" s="347"/>
      <c r="F27" s="347"/>
      <c r="G27" s="347"/>
      <c r="H27" s="308">
        <f t="shared" si="0"/>
        <v>0</v>
      </c>
      <c r="I27" s="325"/>
      <c r="J27" s="325"/>
      <c r="K27" s="325"/>
      <c r="L27" s="325"/>
      <c r="M27" s="325"/>
      <c r="N27" s="64"/>
      <c r="O27" s="64"/>
    </row>
    <row r="28" spans="2:15" x14ac:dyDescent="0.3">
      <c r="B28" s="99">
        <v>18</v>
      </c>
      <c r="C28" s="9" t="s">
        <v>205</v>
      </c>
      <c r="D28" s="347"/>
      <c r="E28" s="347"/>
      <c r="F28" s="347"/>
      <c r="G28" s="347"/>
      <c r="H28" s="308">
        <f t="shared" si="0"/>
        <v>0</v>
      </c>
      <c r="I28" s="325"/>
      <c r="J28" s="325"/>
      <c r="K28" s="325"/>
      <c r="L28" s="325"/>
      <c r="M28" s="325"/>
      <c r="N28" s="64"/>
      <c r="O28" s="64"/>
    </row>
    <row r="29" spans="2:15" x14ac:dyDescent="0.3">
      <c r="B29" s="99">
        <f>+B28+0.1</f>
        <v>18.100000000000001</v>
      </c>
      <c r="C29" s="9" t="s">
        <v>206</v>
      </c>
      <c r="D29" s="347">
        <v>21.36</v>
      </c>
      <c r="E29" s="347">
        <v>20.905562596407183</v>
      </c>
      <c r="F29" s="347">
        <v>26.612130232285715</v>
      </c>
      <c r="G29" s="347">
        <v>7.2578536997142846</v>
      </c>
      <c r="H29" s="308">
        <f t="shared" si="0"/>
        <v>33.869983931999997</v>
      </c>
      <c r="I29" s="325"/>
      <c r="J29" s="325"/>
      <c r="K29" s="325"/>
      <c r="L29" s="325"/>
      <c r="M29" s="325"/>
      <c r="N29" s="64"/>
      <c r="O29" s="64"/>
    </row>
    <row r="30" spans="2:15" x14ac:dyDescent="0.3">
      <c r="B30" s="99">
        <f>+B29+0.1</f>
        <v>18.200000000000003</v>
      </c>
      <c r="C30" s="9" t="s">
        <v>207</v>
      </c>
      <c r="D30" s="347"/>
      <c r="E30" s="347"/>
      <c r="F30" s="347"/>
      <c r="G30" s="347"/>
      <c r="H30" s="308">
        <f t="shared" si="0"/>
        <v>0</v>
      </c>
      <c r="I30" s="325"/>
      <c r="J30" s="325"/>
      <c r="K30" s="325"/>
      <c r="L30" s="325"/>
      <c r="M30" s="325"/>
      <c r="N30" s="64"/>
      <c r="O30" s="64"/>
    </row>
    <row r="31" spans="2:15" x14ac:dyDescent="0.3">
      <c r="B31" s="99">
        <f>+B30+0.1</f>
        <v>18.300000000000004</v>
      </c>
      <c r="C31" s="9" t="s">
        <v>208</v>
      </c>
      <c r="D31" s="347"/>
      <c r="E31" s="347"/>
      <c r="F31" s="347"/>
      <c r="G31" s="347"/>
      <c r="H31" s="308">
        <f t="shared" si="0"/>
        <v>0</v>
      </c>
      <c r="I31" s="325"/>
      <c r="J31" s="325"/>
      <c r="K31" s="325"/>
      <c r="L31" s="325"/>
      <c r="M31" s="325"/>
      <c r="N31" s="64"/>
      <c r="O31" s="64"/>
    </row>
    <row r="32" spans="2:15" x14ac:dyDescent="0.3">
      <c r="B32" s="99">
        <f>+B31+0.1</f>
        <v>18.400000000000006</v>
      </c>
      <c r="C32" s="9" t="s">
        <v>209</v>
      </c>
      <c r="D32" s="347">
        <v>19.650932838350077</v>
      </c>
      <c r="E32" s="347">
        <v>48.993222554915903</v>
      </c>
      <c r="F32" s="347">
        <v>53.34735231445714</v>
      </c>
      <c r="G32" s="347">
        <v>14.549277903942858</v>
      </c>
      <c r="H32" s="308">
        <f t="shared" si="0"/>
        <v>67.896630218399991</v>
      </c>
      <c r="I32" s="325"/>
      <c r="J32" s="325"/>
      <c r="K32" s="325"/>
      <c r="L32" s="325"/>
      <c r="M32" s="325"/>
      <c r="N32" s="64"/>
      <c r="O32" s="64"/>
    </row>
    <row r="33" spans="2:15" x14ac:dyDescent="0.3">
      <c r="B33" s="99">
        <v>19</v>
      </c>
      <c r="C33" s="9" t="s">
        <v>210</v>
      </c>
      <c r="D33" s="444">
        <v>0.18856050057607021</v>
      </c>
      <c r="E33" s="444">
        <v>0</v>
      </c>
      <c r="F33" s="444">
        <v>0</v>
      </c>
      <c r="G33" s="444">
        <v>0</v>
      </c>
      <c r="H33" s="308">
        <f t="shared" si="0"/>
        <v>0</v>
      </c>
      <c r="I33" s="325"/>
      <c r="J33" s="325"/>
      <c r="K33" s="325"/>
      <c r="L33" s="325"/>
      <c r="M33" s="325"/>
      <c r="N33" s="64"/>
      <c r="O33" s="64"/>
    </row>
    <row r="34" spans="2:15" s="316" customFormat="1" x14ac:dyDescent="0.3">
      <c r="B34" s="238">
        <v>20</v>
      </c>
      <c r="C34" s="3" t="s">
        <v>801</v>
      </c>
      <c r="D34" s="444">
        <v>6.08</v>
      </c>
      <c r="E34" s="444">
        <v>5.9888173957365272</v>
      </c>
      <c r="F34" s="444">
        <v>3.5807785866128574</v>
      </c>
      <c r="G34" s="444">
        <v>0.97657597816714314</v>
      </c>
      <c r="H34" s="308">
        <f t="shared" si="0"/>
        <v>4.5573545647800007</v>
      </c>
      <c r="I34" s="325"/>
      <c r="J34" s="325"/>
      <c r="K34" s="325"/>
      <c r="L34" s="325"/>
      <c r="M34" s="325"/>
      <c r="N34" s="64"/>
      <c r="O34" s="64"/>
    </row>
    <row r="35" spans="2:15" s="316" customFormat="1" x14ac:dyDescent="0.3">
      <c r="B35" s="238">
        <v>21</v>
      </c>
      <c r="C35" s="3" t="s">
        <v>803</v>
      </c>
      <c r="D35" s="444">
        <v>16.533104981132031</v>
      </c>
      <c r="E35" s="444">
        <v>33.824888287603521</v>
      </c>
      <c r="F35" s="444">
        <v>0</v>
      </c>
      <c r="G35" s="444">
        <v>0</v>
      </c>
      <c r="H35" s="308">
        <f t="shared" si="0"/>
        <v>0</v>
      </c>
      <c r="I35" s="325"/>
      <c r="J35" s="325"/>
      <c r="K35" s="325"/>
      <c r="L35" s="325"/>
      <c r="M35" s="325"/>
      <c r="N35" s="64"/>
      <c r="O35" s="64"/>
    </row>
    <row r="36" spans="2:15" s="316" customFormat="1" x14ac:dyDescent="0.3">
      <c r="B36" s="315">
        <f>B35+1</f>
        <v>22</v>
      </c>
      <c r="C36" s="4" t="s">
        <v>211</v>
      </c>
      <c r="D36" s="445">
        <f>SUM(D11:D35)</f>
        <v>323.42381602972466</v>
      </c>
      <c r="E36" s="445">
        <f t="shared" ref="E36:H36" si="1">SUM(E11:E35)</f>
        <v>399.18906815434849</v>
      </c>
      <c r="F36" s="445">
        <f t="shared" si="1"/>
        <v>387.03140434295858</v>
      </c>
      <c r="G36" s="445">
        <f t="shared" si="1"/>
        <v>105.55401936626143</v>
      </c>
      <c r="H36" s="445">
        <f t="shared" si="1"/>
        <v>492.58542370921998</v>
      </c>
      <c r="I36" s="726"/>
      <c r="J36" s="726"/>
      <c r="K36" s="726"/>
      <c r="L36" s="726"/>
      <c r="M36" s="726"/>
      <c r="N36" s="64"/>
      <c r="O36" s="64"/>
    </row>
    <row r="37" spans="2:15" s="316" customFormat="1" x14ac:dyDescent="0.3">
      <c r="B37" s="315">
        <f>B36+1</f>
        <v>23</v>
      </c>
      <c r="C37" s="3" t="s">
        <v>35</v>
      </c>
      <c r="D37" s="444"/>
      <c r="E37" s="444"/>
      <c r="F37" s="320"/>
      <c r="G37" s="320"/>
      <c r="H37" s="308">
        <f>F37+G37</f>
        <v>0</v>
      </c>
      <c r="I37" s="325"/>
      <c r="J37" s="325"/>
      <c r="K37" s="325"/>
      <c r="L37" s="325"/>
      <c r="M37" s="325"/>
      <c r="N37" s="64"/>
      <c r="O37" s="64"/>
    </row>
    <row r="38" spans="2:15" s="316" customFormat="1" x14ac:dyDescent="0.25">
      <c r="B38" s="315">
        <f>B37+1</f>
        <v>24</v>
      </c>
      <c r="C38" s="523" t="s">
        <v>212</v>
      </c>
      <c r="D38" s="362">
        <f t="shared" ref="D38:G38" si="2">D36-D37</f>
        <v>323.42381602972466</v>
      </c>
      <c r="E38" s="362">
        <f t="shared" si="2"/>
        <v>399.18906815434849</v>
      </c>
      <c r="F38" s="362">
        <f t="shared" si="2"/>
        <v>387.03140434295858</v>
      </c>
      <c r="G38" s="362">
        <f t="shared" si="2"/>
        <v>105.55401936626143</v>
      </c>
      <c r="H38" s="362">
        <f>H36-H37</f>
        <v>492.58542370921998</v>
      </c>
      <c r="I38" s="713"/>
      <c r="J38" s="713"/>
      <c r="K38" s="713"/>
      <c r="L38" s="713"/>
      <c r="M38" s="713"/>
      <c r="N38" s="64"/>
      <c r="O38" s="64"/>
    </row>
    <row r="39" spans="2:15" s="316" customFormat="1" x14ac:dyDescent="0.25">
      <c r="B39" s="615">
        <f>B38+1</f>
        <v>25</v>
      </c>
      <c r="C39" s="316" t="s">
        <v>954</v>
      </c>
      <c r="D39" s="320">
        <f>SUM('F13'!P17:P19)</f>
        <v>0</v>
      </c>
      <c r="E39" s="320">
        <f>SUM('F13'!P46:P47)</f>
        <v>0</v>
      </c>
      <c r="F39" s="320"/>
      <c r="G39" s="320"/>
      <c r="H39" s="320"/>
      <c r="I39" s="325"/>
      <c r="J39" s="325"/>
      <c r="K39" s="325"/>
      <c r="L39" s="325"/>
      <c r="M39" s="325"/>
    </row>
    <row r="40" spans="2:15" s="316" customFormat="1" x14ac:dyDescent="0.25">
      <c r="B40" s="315">
        <f>B39+1</f>
        <v>26</v>
      </c>
      <c r="C40" s="241" t="s">
        <v>926</v>
      </c>
      <c r="D40" s="497">
        <f>SUM(D38:D39)</f>
        <v>323.42381602972466</v>
      </c>
      <c r="E40" s="497">
        <f t="shared" ref="E40:G40" si="3">SUM(E38:E39)</f>
        <v>399.18906815434849</v>
      </c>
      <c r="F40" s="497">
        <f t="shared" si="3"/>
        <v>387.03140434295858</v>
      </c>
      <c r="G40" s="497">
        <f t="shared" si="3"/>
        <v>105.55401936626143</v>
      </c>
      <c r="H40" s="497">
        <f>SUM(H38:H39)</f>
        <v>492.58542370921998</v>
      </c>
      <c r="I40" s="718"/>
      <c r="J40" s="718"/>
      <c r="K40" s="718"/>
      <c r="L40" s="718"/>
      <c r="M40" s="718"/>
    </row>
    <row r="41" spans="2:15" s="316" customFormat="1" x14ac:dyDescent="0.3">
      <c r="B41" s="580"/>
      <c r="D41" s="581"/>
      <c r="E41" s="581"/>
      <c r="H41" s="581"/>
      <c r="I41" s="581"/>
      <c r="J41" s="581"/>
      <c r="K41" s="581"/>
      <c r="L41" s="581"/>
      <c r="M41" s="581"/>
    </row>
    <row r="42" spans="2:15" x14ac:dyDescent="0.25">
      <c r="D42" s="503"/>
      <c r="E42" s="503"/>
    </row>
    <row r="43" spans="2:15" x14ac:dyDescent="0.25">
      <c r="B43" s="22" t="s">
        <v>213</v>
      </c>
    </row>
    <row r="44" spans="2:15" x14ac:dyDescent="0.25">
      <c r="H44" s="22" t="s">
        <v>604</v>
      </c>
      <c r="I44" s="22"/>
      <c r="J44" s="22"/>
      <c r="K44" s="22"/>
      <c r="L44" s="22"/>
      <c r="M44" s="22"/>
    </row>
    <row r="45" spans="2:15" ht="15" customHeight="1" x14ac:dyDescent="0.25">
      <c r="B45" s="1662" t="s">
        <v>340</v>
      </c>
      <c r="C45" s="1662" t="s">
        <v>37</v>
      </c>
      <c r="D45" s="688" t="s">
        <v>506</v>
      </c>
      <c r="E45" s="688" t="s">
        <v>507</v>
      </c>
      <c r="F45" s="1652" t="s">
        <v>508</v>
      </c>
      <c r="G45" s="1652"/>
      <c r="H45" s="1652"/>
      <c r="I45" s="1795"/>
      <c r="J45" s="1795"/>
      <c r="K45" s="1795"/>
      <c r="L45" s="1795"/>
      <c r="M45" s="1795"/>
    </row>
    <row r="46" spans="2:15" ht="28" x14ac:dyDescent="0.25">
      <c r="B46" s="1662"/>
      <c r="C46" s="1662"/>
      <c r="D46" s="292" t="s">
        <v>79</v>
      </c>
      <c r="E46" s="292" t="s">
        <v>79</v>
      </c>
      <c r="F46" s="1318" t="s">
        <v>444</v>
      </c>
      <c r="G46" s="1318" t="s">
        <v>447</v>
      </c>
      <c r="H46" s="1318" t="s">
        <v>80</v>
      </c>
      <c r="I46" s="1321"/>
      <c r="J46" s="1321"/>
      <c r="K46" s="1321"/>
      <c r="L46" s="1321"/>
      <c r="M46" s="1321"/>
    </row>
    <row r="47" spans="2:15" x14ac:dyDescent="0.25">
      <c r="B47" s="1662"/>
      <c r="C47" s="1662"/>
      <c r="D47" s="292" t="s">
        <v>81</v>
      </c>
      <c r="E47" s="292" t="s">
        <v>82</v>
      </c>
      <c r="F47" s="1318" t="s">
        <v>391</v>
      </c>
      <c r="G47" s="1318" t="s">
        <v>392</v>
      </c>
      <c r="H47" s="1318" t="s">
        <v>393</v>
      </c>
      <c r="I47" s="1319"/>
      <c r="J47" s="1319"/>
      <c r="K47" s="1319"/>
      <c r="L47" s="1319"/>
      <c r="M47" s="1319"/>
    </row>
    <row r="48" spans="2:15" x14ac:dyDescent="0.25">
      <c r="B48" s="24"/>
      <c r="C48" s="24"/>
      <c r="D48" s="24"/>
      <c r="E48" s="24"/>
      <c r="F48" s="24"/>
      <c r="G48" s="24"/>
      <c r="H48" s="24"/>
      <c r="I48" s="64"/>
      <c r="J48" s="64"/>
      <c r="K48" s="64"/>
      <c r="L48" s="64"/>
      <c r="M48" s="64"/>
    </row>
    <row r="49" spans="2:13" x14ac:dyDescent="0.25">
      <c r="B49" s="100" t="s">
        <v>172</v>
      </c>
      <c r="C49" s="27" t="s">
        <v>214</v>
      </c>
      <c r="D49" s="326"/>
      <c r="E49" s="326"/>
      <c r="F49" s="308"/>
      <c r="G49" s="308"/>
      <c r="H49" s="308">
        <f>F49+G49</f>
        <v>0</v>
      </c>
      <c r="I49" s="325"/>
      <c r="J49" s="325"/>
      <c r="K49" s="325"/>
      <c r="L49" s="325"/>
      <c r="M49" s="325"/>
    </row>
    <row r="50" spans="2:13" x14ac:dyDescent="0.25">
      <c r="B50" s="95">
        <v>1</v>
      </c>
      <c r="C50" s="182" t="s">
        <v>215</v>
      </c>
      <c r="D50" s="855">
        <v>14</v>
      </c>
      <c r="E50" s="855">
        <v>13</v>
      </c>
      <c r="F50" s="855">
        <f>E50</f>
        <v>13</v>
      </c>
      <c r="G50" s="855">
        <f>E50</f>
        <v>13</v>
      </c>
      <c r="H50" s="1322">
        <f>E50</f>
        <v>13</v>
      </c>
      <c r="I50" s="325"/>
      <c r="J50" s="325"/>
      <c r="K50" s="325"/>
      <c r="L50" s="325"/>
      <c r="M50" s="325"/>
    </row>
    <row r="51" spans="2:13" x14ac:dyDescent="0.25">
      <c r="B51" s="95">
        <v>2</v>
      </c>
      <c r="C51" s="182" t="s">
        <v>216</v>
      </c>
      <c r="D51" s="855">
        <v>0</v>
      </c>
      <c r="E51" s="855">
        <v>0</v>
      </c>
      <c r="F51" s="855">
        <f t="shared" ref="F51:F78" si="4">E51</f>
        <v>0</v>
      </c>
      <c r="G51" s="855">
        <f t="shared" ref="G51:G78" si="5">E51</f>
        <v>0</v>
      </c>
      <c r="H51" s="1322">
        <f t="shared" ref="H51:H78" si="6">E51</f>
        <v>0</v>
      </c>
      <c r="I51" s="325"/>
      <c r="J51" s="325"/>
      <c r="K51" s="325"/>
      <c r="L51" s="325"/>
      <c r="M51" s="325"/>
    </row>
    <row r="52" spans="2:13" x14ac:dyDescent="0.25">
      <c r="B52" s="95">
        <v>3</v>
      </c>
      <c r="C52" s="182" t="s">
        <v>217</v>
      </c>
      <c r="D52" s="855">
        <v>1</v>
      </c>
      <c r="E52" s="855">
        <v>1</v>
      </c>
      <c r="F52" s="855">
        <f t="shared" si="4"/>
        <v>1</v>
      </c>
      <c r="G52" s="855">
        <f t="shared" si="5"/>
        <v>1</v>
      </c>
      <c r="H52" s="1322">
        <f t="shared" si="6"/>
        <v>1</v>
      </c>
      <c r="I52" s="325"/>
      <c r="J52" s="325"/>
      <c r="K52" s="325"/>
      <c r="L52" s="325"/>
      <c r="M52" s="325"/>
    </row>
    <row r="53" spans="2:13" x14ac:dyDescent="0.25">
      <c r="B53" s="95">
        <v>4</v>
      </c>
      <c r="C53" s="182" t="s">
        <v>218</v>
      </c>
      <c r="D53" s="855">
        <v>5</v>
      </c>
      <c r="E53" s="855">
        <v>6</v>
      </c>
      <c r="F53" s="855">
        <f t="shared" si="4"/>
        <v>6</v>
      </c>
      <c r="G53" s="855">
        <f t="shared" si="5"/>
        <v>6</v>
      </c>
      <c r="H53" s="1322">
        <f t="shared" si="6"/>
        <v>6</v>
      </c>
      <c r="I53" s="325"/>
      <c r="J53" s="325"/>
      <c r="K53" s="325"/>
      <c r="L53" s="325"/>
      <c r="M53" s="325"/>
    </row>
    <row r="54" spans="2:13" x14ac:dyDescent="0.25">
      <c r="B54" s="95"/>
      <c r="C54" s="182"/>
      <c r="D54" s="856"/>
      <c r="E54" s="856"/>
      <c r="F54" s="855">
        <f t="shared" si="4"/>
        <v>0</v>
      </c>
      <c r="G54" s="855">
        <f t="shared" si="5"/>
        <v>0</v>
      </c>
      <c r="H54" s="1322">
        <f t="shared" si="6"/>
        <v>0</v>
      </c>
      <c r="I54" s="325"/>
      <c r="J54" s="325"/>
      <c r="K54" s="325"/>
      <c r="L54" s="325"/>
      <c r="M54" s="325"/>
    </row>
    <row r="55" spans="2:13" x14ac:dyDescent="0.25">
      <c r="B55" s="183" t="s">
        <v>185</v>
      </c>
      <c r="C55" s="148" t="s">
        <v>219</v>
      </c>
      <c r="D55" s="857"/>
      <c r="E55" s="857"/>
      <c r="F55" s="855">
        <f t="shared" si="4"/>
        <v>0</v>
      </c>
      <c r="G55" s="855">
        <f t="shared" si="5"/>
        <v>0</v>
      </c>
      <c r="H55" s="1322">
        <f t="shared" si="6"/>
        <v>0</v>
      </c>
      <c r="I55" s="325"/>
      <c r="J55" s="325"/>
      <c r="K55" s="325"/>
      <c r="L55" s="325"/>
      <c r="M55" s="325"/>
    </row>
    <row r="56" spans="2:13" x14ac:dyDescent="0.25">
      <c r="B56" s="95">
        <v>5</v>
      </c>
      <c r="C56" s="148" t="s">
        <v>215</v>
      </c>
      <c r="D56" s="855"/>
      <c r="E56" s="855"/>
      <c r="F56" s="855">
        <f t="shared" si="4"/>
        <v>0</v>
      </c>
      <c r="G56" s="855">
        <f t="shared" si="5"/>
        <v>0</v>
      </c>
      <c r="H56" s="1322">
        <f t="shared" si="6"/>
        <v>0</v>
      </c>
      <c r="I56" s="325"/>
      <c r="J56" s="325"/>
      <c r="K56" s="325"/>
      <c r="L56" s="325"/>
      <c r="M56" s="325"/>
    </row>
    <row r="57" spans="2:13" x14ac:dyDescent="0.25">
      <c r="B57" s="95">
        <f>+B56+0.1</f>
        <v>5.0999999999999996</v>
      </c>
      <c r="C57" s="182" t="s">
        <v>220</v>
      </c>
      <c r="D57" s="855">
        <v>108</v>
      </c>
      <c r="E57" s="855">
        <v>103</v>
      </c>
      <c r="F57" s="855">
        <f t="shared" si="4"/>
        <v>103</v>
      </c>
      <c r="G57" s="855">
        <f t="shared" si="5"/>
        <v>103</v>
      </c>
      <c r="H57" s="1322">
        <f t="shared" si="6"/>
        <v>103</v>
      </c>
      <c r="I57" s="325"/>
      <c r="J57" s="325"/>
      <c r="K57" s="325"/>
      <c r="L57" s="325"/>
      <c r="M57" s="325"/>
    </row>
    <row r="58" spans="2:13" x14ac:dyDescent="0.25">
      <c r="B58" s="95">
        <f>+B57+0.1</f>
        <v>5.1999999999999993</v>
      </c>
      <c r="C58" s="182" t="s">
        <v>221</v>
      </c>
      <c r="D58" s="855">
        <v>284</v>
      </c>
      <c r="E58" s="855">
        <v>280</v>
      </c>
      <c r="F58" s="855">
        <f t="shared" si="4"/>
        <v>280</v>
      </c>
      <c r="G58" s="855">
        <f t="shared" si="5"/>
        <v>280</v>
      </c>
      <c r="H58" s="1322">
        <f t="shared" si="6"/>
        <v>280</v>
      </c>
      <c r="I58" s="325"/>
      <c r="J58" s="325"/>
      <c r="K58" s="325"/>
      <c r="L58" s="325"/>
      <c r="M58" s="325"/>
    </row>
    <row r="59" spans="2:13" x14ac:dyDescent="0.25">
      <c r="B59" s="95">
        <f>+B58+0.1</f>
        <v>5.2999999999999989</v>
      </c>
      <c r="C59" s="182" t="s">
        <v>222</v>
      </c>
      <c r="D59" s="855">
        <v>1030</v>
      </c>
      <c r="E59" s="855">
        <v>927</v>
      </c>
      <c r="F59" s="855">
        <f t="shared" si="4"/>
        <v>927</v>
      </c>
      <c r="G59" s="855">
        <f t="shared" si="5"/>
        <v>927</v>
      </c>
      <c r="H59" s="1322">
        <f t="shared" si="6"/>
        <v>927</v>
      </c>
      <c r="I59" s="325"/>
      <c r="J59" s="325"/>
      <c r="K59" s="325"/>
      <c r="L59" s="325"/>
      <c r="M59" s="325"/>
    </row>
    <row r="60" spans="2:13" x14ac:dyDescent="0.25">
      <c r="B60" s="95">
        <f>+B59+0.1</f>
        <v>5.3999999999999986</v>
      </c>
      <c r="C60" s="182" t="s">
        <v>223</v>
      </c>
      <c r="D60" s="856">
        <v>0</v>
      </c>
      <c r="E60" s="856">
        <v>0</v>
      </c>
      <c r="F60" s="855">
        <f t="shared" si="4"/>
        <v>0</v>
      </c>
      <c r="G60" s="855">
        <f t="shared" si="5"/>
        <v>0</v>
      </c>
      <c r="H60" s="1322">
        <f t="shared" si="6"/>
        <v>0</v>
      </c>
      <c r="I60" s="325"/>
      <c r="J60" s="325"/>
      <c r="K60" s="325"/>
      <c r="L60" s="325"/>
      <c r="M60" s="325"/>
    </row>
    <row r="61" spans="2:13" x14ac:dyDescent="0.25">
      <c r="B61" s="95"/>
      <c r="C61" s="182"/>
      <c r="D61" s="857"/>
      <c r="E61" s="857"/>
      <c r="F61" s="855">
        <f t="shared" si="4"/>
        <v>0</v>
      </c>
      <c r="G61" s="855">
        <f t="shared" si="5"/>
        <v>0</v>
      </c>
      <c r="H61" s="1322">
        <f t="shared" si="6"/>
        <v>0</v>
      </c>
      <c r="I61" s="325"/>
      <c r="J61" s="325"/>
      <c r="K61" s="325"/>
      <c r="L61" s="325"/>
      <c r="M61" s="325"/>
    </row>
    <row r="62" spans="2:13" x14ac:dyDescent="0.25">
      <c r="B62" s="95">
        <v>6</v>
      </c>
      <c r="C62" s="148" t="s">
        <v>216</v>
      </c>
      <c r="D62" s="855"/>
      <c r="E62" s="855"/>
      <c r="F62" s="855">
        <f t="shared" si="4"/>
        <v>0</v>
      </c>
      <c r="G62" s="855">
        <f t="shared" si="5"/>
        <v>0</v>
      </c>
      <c r="H62" s="1322">
        <f t="shared" si="6"/>
        <v>0</v>
      </c>
      <c r="I62" s="325"/>
      <c r="J62" s="325"/>
      <c r="K62" s="325"/>
      <c r="L62" s="325"/>
      <c r="M62" s="325"/>
    </row>
    <row r="63" spans="2:13" x14ac:dyDescent="0.25">
      <c r="B63" s="95">
        <f>+B62+0.1</f>
        <v>6.1</v>
      </c>
      <c r="C63" s="182" t="s">
        <v>220</v>
      </c>
      <c r="D63" s="855">
        <v>4</v>
      </c>
      <c r="E63" s="855">
        <v>3</v>
      </c>
      <c r="F63" s="855">
        <f t="shared" si="4"/>
        <v>3</v>
      </c>
      <c r="G63" s="855">
        <f t="shared" si="5"/>
        <v>3</v>
      </c>
      <c r="H63" s="1322">
        <f t="shared" si="6"/>
        <v>3</v>
      </c>
      <c r="I63" s="325"/>
      <c r="J63" s="325"/>
      <c r="K63" s="325"/>
      <c r="L63" s="325"/>
      <c r="M63" s="325"/>
    </row>
    <row r="64" spans="2:13" x14ac:dyDescent="0.25">
      <c r="B64" s="95">
        <f>+B63+0.1</f>
        <v>6.1999999999999993</v>
      </c>
      <c r="C64" s="182" t="s">
        <v>221</v>
      </c>
      <c r="D64" s="855">
        <v>3</v>
      </c>
      <c r="E64" s="855">
        <v>3</v>
      </c>
      <c r="F64" s="855">
        <f t="shared" si="4"/>
        <v>3</v>
      </c>
      <c r="G64" s="855">
        <f t="shared" si="5"/>
        <v>3</v>
      </c>
      <c r="H64" s="1322">
        <f t="shared" si="6"/>
        <v>3</v>
      </c>
      <c r="I64" s="325"/>
      <c r="J64" s="325"/>
      <c r="K64" s="325"/>
      <c r="L64" s="325"/>
      <c r="M64" s="325"/>
    </row>
    <row r="65" spans="2:13" x14ac:dyDescent="0.25">
      <c r="B65" s="95">
        <f>+B64+0.1</f>
        <v>6.2999999999999989</v>
      </c>
      <c r="C65" s="182" t="s">
        <v>222</v>
      </c>
      <c r="D65" s="855">
        <v>54</v>
      </c>
      <c r="E65" s="855">
        <v>55</v>
      </c>
      <c r="F65" s="855">
        <f t="shared" si="4"/>
        <v>55</v>
      </c>
      <c r="G65" s="855">
        <f t="shared" si="5"/>
        <v>55</v>
      </c>
      <c r="H65" s="1322">
        <f t="shared" si="6"/>
        <v>55</v>
      </c>
      <c r="I65" s="325"/>
      <c r="J65" s="325"/>
      <c r="K65" s="325"/>
      <c r="L65" s="325"/>
      <c r="M65" s="325"/>
    </row>
    <row r="66" spans="2:13" x14ac:dyDescent="0.25">
      <c r="B66" s="95">
        <f>+B65+0.1</f>
        <v>6.3999999999999986</v>
      </c>
      <c r="C66" s="182" t="s">
        <v>223</v>
      </c>
      <c r="D66" s="855">
        <v>32</v>
      </c>
      <c r="E66" s="855">
        <v>30</v>
      </c>
      <c r="F66" s="855">
        <f t="shared" si="4"/>
        <v>30</v>
      </c>
      <c r="G66" s="855">
        <f t="shared" si="5"/>
        <v>30</v>
      </c>
      <c r="H66" s="1322">
        <f t="shared" si="6"/>
        <v>30</v>
      </c>
      <c r="I66" s="325"/>
      <c r="J66" s="325"/>
      <c r="K66" s="325"/>
      <c r="L66" s="325"/>
      <c r="M66" s="325"/>
    </row>
    <row r="67" spans="2:13" x14ac:dyDescent="0.25">
      <c r="B67" s="95"/>
      <c r="C67" s="182"/>
      <c r="D67" s="857"/>
      <c r="E67" s="857"/>
      <c r="F67" s="855">
        <f t="shared" si="4"/>
        <v>0</v>
      </c>
      <c r="G67" s="855">
        <f t="shared" si="5"/>
        <v>0</v>
      </c>
      <c r="H67" s="1322">
        <f t="shared" si="6"/>
        <v>0</v>
      </c>
      <c r="I67" s="325"/>
      <c r="J67" s="325"/>
      <c r="K67" s="325"/>
      <c r="L67" s="325"/>
      <c r="M67" s="325"/>
    </row>
    <row r="68" spans="2:13" x14ac:dyDescent="0.25">
      <c r="B68" s="95">
        <v>7</v>
      </c>
      <c r="C68" s="148" t="s">
        <v>217</v>
      </c>
      <c r="D68" s="855"/>
      <c r="E68" s="855"/>
      <c r="F68" s="855">
        <f t="shared" si="4"/>
        <v>0</v>
      </c>
      <c r="G68" s="855">
        <f t="shared" si="5"/>
        <v>0</v>
      </c>
      <c r="H68" s="1322">
        <f t="shared" si="6"/>
        <v>0</v>
      </c>
      <c r="I68" s="325"/>
      <c r="J68" s="325"/>
      <c r="K68" s="325"/>
      <c r="L68" s="325"/>
      <c r="M68" s="325"/>
    </row>
    <row r="69" spans="2:13" x14ac:dyDescent="0.25">
      <c r="B69" s="95">
        <f>+B68+0.1</f>
        <v>7.1</v>
      </c>
      <c r="C69" s="182" t="s">
        <v>220</v>
      </c>
      <c r="D69" s="855">
        <v>7</v>
      </c>
      <c r="E69" s="855">
        <v>7</v>
      </c>
      <c r="F69" s="855">
        <f t="shared" si="4"/>
        <v>7</v>
      </c>
      <c r="G69" s="855">
        <f t="shared" si="5"/>
        <v>7</v>
      </c>
      <c r="H69" s="1322">
        <f t="shared" si="6"/>
        <v>7</v>
      </c>
      <c r="I69" s="325"/>
      <c r="J69" s="325"/>
      <c r="K69" s="325"/>
      <c r="L69" s="325"/>
      <c r="M69" s="325"/>
    </row>
    <row r="70" spans="2:13" x14ac:dyDescent="0.25">
      <c r="B70" s="95">
        <f>+B69+0.1</f>
        <v>7.1999999999999993</v>
      </c>
      <c r="C70" s="182" t="s">
        <v>221</v>
      </c>
      <c r="D70" s="855">
        <v>2</v>
      </c>
      <c r="E70" s="855">
        <v>5</v>
      </c>
      <c r="F70" s="855">
        <f t="shared" si="4"/>
        <v>5</v>
      </c>
      <c r="G70" s="855">
        <f t="shared" si="5"/>
        <v>5</v>
      </c>
      <c r="H70" s="1322">
        <f t="shared" si="6"/>
        <v>5</v>
      </c>
      <c r="I70" s="325"/>
      <c r="J70" s="325"/>
      <c r="K70" s="325"/>
      <c r="L70" s="325"/>
      <c r="M70" s="325"/>
    </row>
    <row r="71" spans="2:13" x14ac:dyDescent="0.25">
      <c r="B71" s="95">
        <f>+B70+0.1</f>
        <v>7.2999999999999989</v>
      </c>
      <c r="C71" s="182" t="s">
        <v>222</v>
      </c>
      <c r="D71" s="855">
        <v>17</v>
      </c>
      <c r="E71" s="855">
        <v>18</v>
      </c>
      <c r="F71" s="855">
        <f t="shared" si="4"/>
        <v>18</v>
      </c>
      <c r="G71" s="855">
        <f t="shared" si="5"/>
        <v>18</v>
      </c>
      <c r="H71" s="1322">
        <f t="shared" si="6"/>
        <v>18</v>
      </c>
      <c r="I71" s="325"/>
      <c r="J71" s="325"/>
      <c r="K71" s="325"/>
      <c r="L71" s="325"/>
      <c r="M71" s="325"/>
    </row>
    <row r="72" spans="2:13" x14ac:dyDescent="0.25">
      <c r="B72" s="95">
        <f>+B71+0.1</f>
        <v>7.3999999999999986</v>
      </c>
      <c r="C72" s="182" t="s">
        <v>223</v>
      </c>
      <c r="D72" s="855">
        <v>0</v>
      </c>
      <c r="E72" s="855">
        <v>0</v>
      </c>
      <c r="F72" s="855">
        <f t="shared" si="4"/>
        <v>0</v>
      </c>
      <c r="G72" s="855">
        <f t="shared" si="5"/>
        <v>0</v>
      </c>
      <c r="H72" s="1322">
        <f t="shared" si="6"/>
        <v>0</v>
      </c>
      <c r="I72" s="325"/>
      <c r="J72" s="325"/>
      <c r="K72" s="325"/>
      <c r="L72" s="325"/>
      <c r="M72" s="325"/>
    </row>
    <row r="73" spans="2:13" x14ac:dyDescent="0.25">
      <c r="B73" s="95"/>
      <c r="C73" s="182"/>
      <c r="D73" s="856"/>
      <c r="E73" s="856"/>
      <c r="F73" s="855">
        <f t="shared" si="4"/>
        <v>0</v>
      </c>
      <c r="G73" s="855">
        <f t="shared" si="5"/>
        <v>0</v>
      </c>
      <c r="H73" s="1322">
        <f t="shared" si="6"/>
        <v>0</v>
      </c>
      <c r="I73" s="325"/>
      <c r="J73" s="325"/>
      <c r="K73" s="325"/>
      <c r="L73" s="325"/>
      <c r="M73" s="325"/>
    </row>
    <row r="74" spans="2:13" x14ac:dyDescent="0.25">
      <c r="B74" s="95">
        <v>8</v>
      </c>
      <c r="C74" s="148" t="s">
        <v>224</v>
      </c>
      <c r="D74" s="857"/>
      <c r="E74" s="857"/>
      <c r="F74" s="855">
        <f t="shared" si="4"/>
        <v>0</v>
      </c>
      <c r="G74" s="855">
        <f t="shared" si="5"/>
        <v>0</v>
      </c>
      <c r="H74" s="1322">
        <f t="shared" si="6"/>
        <v>0</v>
      </c>
      <c r="I74" s="325"/>
      <c r="J74" s="325"/>
      <c r="K74" s="325"/>
      <c r="L74" s="325"/>
      <c r="M74" s="325"/>
    </row>
    <row r="75" spans="2:13" x14ac:dyDescent="0.25">
      <c r="B75" s="95">
        <f>+B74+0.1</f>
        <v>8.1</v>
      </c>
      <c r="C75" s="182" t="s">
        <v>220</v>
      </c>
      <c r="D75" s="855">
        <v>25</v>
      </c>
      <c r="E75" s="855">
        <v>24</v>
      </c>
      <c r="F75" s="855">
        <f t="shared" si="4"/>
        <v>24</v>
      </c>
      <c r="G75" s="855">
        <f t="shared" si="5"/>
        <v>24</v>
      </c>
      <c r="H75" s="1322">
        <f t="shared" si="6"/>
        <v>24</v>
      </c>
      <c r="I75" s="325"/>
      <c r="J75" s="325"/>
      <c r="K75" s="325"/>
      <c r="L75" s="325"/>
      <c r="M75" s="325"/>
    </row>
    <row r="76" spans="2:13" x14ac:dyDescent="0.25">
      <c r="B76" s="95">
        <f>+B75+0.1</f>
        <v>8.1999999999999993</v>
      </c>
      <c r="C76" s="182" t="s">
        <v>221</v>
      </c>
      <c r="D76" s="855">
        <v>38</v>
      </c>
      <c r="E76" s="855">
        <v>37</v>
      </c>
      <c r="F76" s="855">
        <f t="shared" si="4"/>
        <v>37</v>
      </c>
      <c r="G76" s="855">
        <f t="shared" si="5"/>
        <v>37</v>
      </c>
      <c r="H76" s="1322">
        <f t="shared" si="6"/>
        <v>37</v>
      </c>
      <c r="I76" s="325"/>
      <c r="J76" s="325"/>
      <c r="K76" s="325"/>
      <c r="L76" s="325"/>
      <c r="M76" s="325"/>
    </row>
    <row r="77" spans="2:13" x14ac:dyDescent="0.25">
      <c r="B77" s="95">
        <f>+B76+0.1</f>
        <v>8.2999999999999989</v>
      </c>
      <c r="C77" s="182" t="s">
        <v>222</v>
      </c>
      <c r="D77" s="855">
        <v>49</v>
      </c>
      <c r="E77" s="855">
        <v>58</v>
      </c>
      <c r="F77" s="855">
        <f t="shared" si="4"/>
        <v>58</v>
      </c>
      <c r="G77" s="855">
        <f t="shared" si="5"/>
        <v>58</v>
      </c>
      <c r="H77" s="1322">
        <f t="shared" si="6"/>
        <v>58</v>
      </c>
      <c r="I77" s="325"/>
      <c r="J77" s="325"/>
      <c r="K77" s="325"/>
      <c r="L77" s="325"/>
      <c r="M77" s="325"/>
    </row>
    <row r="78" spans="2:13" x14ac:dyDescent="0.25">
      <c r="B78" s="95">
        <f>+B77+0.1</f>
        <v>8.3999999999999986</v>
      </c>
      <c r="C78" s="182" t="s">
        <v>223</v>
      </c>
      <c r="D78" s="855">
        <v>118</v>
      </c>
      <c r="E78" s="855">
        <v>94</v>
      </c>
      <c r="F78" s="855">
        <f t="shared" si="4"/>
        <v>94</v>
      </c>
      <c r="G78" s="855">
        <f t="shared" si="5"/>
        <v>94</v>
      </c>
      <c r="H78" s="1322">
        <f t="shared" si="6"/>
        <v>94</v>
      </c>
      <c r="I78" s="325"/>
      <c r="J78" s="325"/>
      <c r="K78" s="325"/>
      <c r="L78" s="325"/>
      <c r="M78" s="325"/>
    </row>
    <row r="79" spans="2:13" x14ac:dyDescent="0.3">
      <c r="B79" s="184"/>
      <c r="C79" s="13" t="s">
        <v>225</v>
      </c>
      <c r="D79" s="858">
        <f>SUM(D57:D78)</f>
        <v>1771</v>
      </c>
      <c r="E79" s="858">
        <f>SUM(E50:E78)</f>
        <v>1664</v>
      </c>
      <c r="F79" s="858">
        <f t="shared" ref="F79:H79" si="7">SUM(F50:F78)</f>
        <v>1664</v>
      </c>
      <c r="G79" s="858">
        <f t="shared" si="7"/>
        <v>1664</v>
      </c>
      <c r="H79" s="858">
        <f t="shared" si="7"/>
        <v>1664</v>
      </c>
      <c r="I79" s="325"/>
      <c r="J79" s="325"/>
      <c r="K79" s="325"/>
      <c r="L79" s="325"/>
      <c r="M79" s="325"/>
    </row>
  </sheetData>
  <mergeCells count="12">
    <mergeCell ref="O8:O10"/>
    <mergeCell ref="B45:B47"/>
    <mergeCell ref="C45:C47"/>
    <mergeCell ref="F45:H45"/>
    <mergeCell ref="B2:H2"/>
    <mergeCell ref="B3:H3"/>
    <mergeCell ref="B4:H4"/>
    <mergeCell ref="B8:B10"/>
    <mergeCell ref="C8:C10"/>
    <mergeCell ref="F8:H8"/>
    <mergeCell ref="I8:M8"/>
    <mergeCell ref="I45:M45"/>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25" activePane="bottomRight" state="frozen"/>
      <selection activeCell="D35" sqref="D35"/>
      <selection pane="topRight" activeCell="D35" sqref="D35"/>
      <selection pane="bottomLeft" activeCell="D35" sqref="D35"/>
      <selection pane="bottomRight" activeCell="J27" sqref="J27"/>
    </sheetView>
  </sheetViews>
  <sheetFormatPr defaultColWidth="9.36328125" defaultRowHeight="14" x14ac:dyDescent="0.25"/>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x14ac:dyDescent="0.25">
      <c r="B2" s="1657" t="str">
        <f>Index!B2</f>
        <v xml:space="preserve">      Maharashtra State Power Generation Company Ltd.</v>
      </c>
      <c r="C2" s="1718"/>
      <c r="D2" s="1718"/>
      <c r="E2" s="1718"/>
      <c r="F2" s="1718"/>
      <c r="G2" s="1718"/>
      <c r="H2" s="1718"/>
      <c r="I2" s="1718"/>
      <c r="J2" s="1718"/>
      <c r="K2" s="1718"/>
      <c r="L2" s="1718"/>
      <c r="M2" s="1718"/>
    </row>
    <row r="3" spans="2:13" s="5" customFormat="1" x14ac:dyDescent="0.3">
      <c r="B3" s="1657" t="str">
        <f>Index!B3</f>
        <v>MYT Petition Formats for Chandrapur Unit 3-7</v>
      </c>
      <c r="C3" s="1718"/>
      <c r="D3" s="1718"/>
      <c r="E3" s="1718"/>
      <c r="F3" s="1718"/>
      <c r="G3" s="1718"/>
      <c r="H3" s="1718"/>
      <c r="I3" s="1718"/>
      <c r="J3" s="1718"/>
      <c r="K3" s="1718"/>
      <c r="L3" s="1718"/>
      <c r="M3" s="1718"/>
    </row>
    <row r="4" spans="2:13" s="5" customFormat="1" x14ac:dyDescent="0.3">
      <c r="B4" s="1658" t="s">
        <v>226</v>
      </c>
      <c r="C4" s="1718"/>
      <c r="D4" s="1718"/>
      <c r="E4" s="1718"/>
      <c r="F4" s="1718"/>
      <c r="G4" s="1718"/>
      <c r="H4" s="1718"/>
      <c r="I4" s="1718"/>
      <c r="J4" s="1718"/>
      <c r="K4" s="1718"/>
      <c r="L4" s="1718"/>
      <c r="M4" s="1718"/>
    </row>
    <row r="6" spans="2:13" x14ac:dyDescent="0.25">
      <c r="H6" s="21" t="s">
        <v>10</v>
      </c>
    </row>
    <row r="7" spans="2:13" ht="12.75" customHeight="1" x14ac:dyDescent="0.25">
      <c r="B7" s="1652" t="s">
        <v>340</v>
      </c>
      <c r="C7" s="1662" t="s">
        <v>37</v>
      </c>
      <c r="D7" s="292" t="s">
        <v>506</v>
      </c>
      <c r="E7" s="292" t="s">
        <v>507</v>
      </c>
      <c r="F7" s="1652" t="s">
        <v>508</v>
      </c>
      <c r="G7" s="1652"/>
      <c r="H7" s="1652"/>
      <c r="I7" s="1795"/>
      <c r="J7" s="1795"/>
      <c r="K7" s="1795"/>
      <c r="L7" s="1795"/>
      <c r="M7" s="1795"/>
    </row>
    <row r="8" spans="2:13" ht="28" x14ac:dyDescent="0.25">
      <c r="B8" s="1652"/>
      <c r="C8" s="1662"/>
      <c r="D8" s="450" t="s">
        <v>976</v>
      </c>
      <c r="E8" s="292" t="s">
        <v>79</v>
      </c>
      <c r="F8" s="1323" t="s">
        <v>444</v>
      </c>
      <c r="G8" s="1323" t="s">
        <v>447</v>
      </c>
      <c r="H8" s="1323" t="s">
        <v>80</v>
      </c>
      <c r="I8" s="1331"/>
      <c r="J8" s="1331"/>
      <c r="K8" s="1331"/>
      <c r="L8" s="1331"/>
      <c r="M8" s="1331"/>
    </row>
    <row r="9" spans="2:13" x14ac:dyDescent="0.25">
      <c r="B9" s="1652"/>
      <c r="C9" s="1662"/>
      <c r="D9" s="292" t="s">
        <v>81</v>
      </c>
      <c r="E9" s="292" t="s">
        <v>82</v>
      </c>
      <c r="F9" s="1323" t="s">
        <v>391</v>
      </c>
      <c r="G9" s="1323" t="s">
        <v>392</v>
      </c>
      <c r="H9" s="1323" t="s">
        <v>393</v>
      </c>
      <c r="I9" s="1329"/>
      <c r="J9" s="1329"/>
      <c r="K9" s="1329"/>
      <c r="L9" s="1329"/>
      <c r="M9" s="1329"/>
    </row>
    <row r="10" spans="2:13" x14ac:dyDescent="0.25">
      <c r="B10" s="99"/>
      <c r="C10" s="24"/>
      <c r="D10" s="24"/>
      <c r="E10" s="24"/>
      <c r="F10" s="24"/>
      <c r="G10" s="24"/>
      <c r="H10" s="24"/>
      <c r="I10" s="64"/>
      <c r="J10" s="64"/>
      <c r="K10" s="64"/>
      <c r="L10" s="64"/>
      <c r="M10" s="64"/>
    </row>
    <row r="11" spans="2:13" x14ac:dyDescent="0.25">
      <c r="B11" s="99">
        <v>1</v>
      </c>
      <c r="C11" s="24" t="s">
        <v>829</v>
      </c>
      <c r="D11" s="308">
        <v>0</v>
      </c>
      <c r="E11" s="308">
        <v>8.0585945322987662</v>
      </c>
      <c r="F11" s="308">
        <v>0</v>
      </c>
      <c r="G11" s="308">
        <v>0</v>
      </c>
      <c r="H11" s="308">
        <f>F11+G11</f>
        <v>0</v>
      </c>
      <c r="I11" s="325"/>
      <c r="J11" s="325"/>
      <c r="K11" s="325"/>
      <c r="L11" s="325"/>
      <c r="M11" s="325"/>
    </row>
    <row r="12" spans="2:13" x14ac:dyDescent="0.25">
      <c r="B12" s="99">
        <f>B11+1</f>
        <v>2</v>
      </c>
      <c r="C12" s="28" t="s">
        <v>227</v>
      </c>
      <c r="D12" s="308">
        <v>4.34</v>
      </c>
      <c r="E12" s="308">
        <v>8.640892273972602</v>
      </c>
      <c r="F12" s="308">
        <v>8.8390595350176113</v>
      </c>
      <c r="G12" s="308">
        <v>3.6727394189823865</v>
      </c>
      <c r="H12" s="308">
        <f>F12+G12</f>
        <v>12.511798953999998</v>
      </c>
      <c r="I12" s="325"/>
      <c r="J12" s="325"/>
      <c r="K12" s="325"/>
      <c r="L12" s="325"/>
      <c r="M12" s="325"/>
    </row>
    <row r="13" spans="2:13" x14ac:dyDescent="0.3">
      <c r="B13" s="99">
        <f t="shared" ref="B13:B46" si="0">B12+1</f>
        <v>3</v>
      </c>
      <c r="C13" s="26" t="s">
        <v>228</v>
      </c>
      <c r="D13" s="308">
        <v>4.05</v>
      </c>
      <c r="E13" s="308">
        <v>3.6012695894794522</v>
      </c>
      <c r="F13" s="308">
        <v>4.0933577935459891</v>
      </c>
      <c r="G13" s="308">
        <v>1.700841188454012</v>
      </c>
      <c r="H13" s="308">
        <f>F13+G13</f>
        <v>5.7941989820000011</v>
      </c>
      <c r="I13" s="325"/>
      <c r="J13" s="325"/>
      <c r="K13" s="325"/>
      <c r="L13" s="325"/>
      <c r="M13" s="325"/>
    </row>
    <row r="14" spans="2:13" x14ac:dyDescent="0.3">
      <c r="B14" s="99">
        <f t="shared" si="0"/>
        <v>4</v>
      </c>
      <c r="C14" s="26" t="s">
        <v>229</v>
      </c>
      <c r="D14" s="308">
        <v>0.29000000000000004</v>
      </c>
      <c r="E14" s="308">
        <v>0.46100742246575344</v>
      </c>
      <c r="F14" s="308">
        <v>8.5281955216203506E-2</v>
      </c>
      <c r="G14" s="308">
        <v>3.543571546379648E-2</v>
      </c>
      <c r="H14" s="308">
        <f t="shared" ref="H14:H43" si="1">F14+G14</f>
        <v>0.12071767067999999</v>
      </c>
      <c r="I14" s="325"/>
      <c r="J14" s="325"/>
      <c r="K14" s="325"/>
      <c r="L14" s="325"/>
      <c r="M14" s="325"/>
    </row>
    <row r="15" spans="2:13" s="316" customFormat="1" x14ac:dyDescent="0.3">
      <c r="B15" s="238">
        <f t="shared" si="0"/>
        <v>5</v>
      </c>
      <c r="C15" s="59" t="s">
        <v>230</v>
      </c>
      <c r="D15" s="320">
        <v>0.09</v>
      </c>
      <c r="E15" s="320">
        <v>2.7997007342465751E-2</v>
      </c>
      <c r="F15" s="320">
        <v>3.0145972602739724E-3</v>
      </c>
      <c r="G15" s="320">
        <v>1.2526027397260274E-3</v>
      </c>
      <c r="H15" s="320">
        <f t="shared" si="1"/>
        <v>4.2671999999999996E-3</v>
      </c>
      <c r="I15" s="325"/>
      <c r="J15" s="325"/>
      <c r="K15" s="325"/>
      <c r="L15" s="325"/>
      <c r="M15" s="325"/>
    </row>
    <row r="16" spans="2:13" s="316" customFormat="1" x14ac:dyDescent="0.3">
      <c r="B16" s="238">
        <f t="shared" si="0"/>
        <v>6</v>
      </c>
      <c r="C16" s="59" t="s">
        <v>231</v>
      </c>
      <c r="D16" s="320">
        <v>2.58</v>
      </c>
      <c r="E16" s="320">
        <v>2.8645619447671229</v>
      </c>
      <c r="F16" s="320">
        <v>3.4219502909289625</v>
      </c>
      <c r="G16" s="320">
        <v>1.4218630017710372</v>
      </c>
      <c r="H16" s="320">
        <f t="shared" si="1"/>
        <v>4.8438132927000002</v>
      </c>
      <c r="I16" s="325"/>
      <c r="J16" s="325"/>
      <c r="K16" s="325"/>
      <c r="L16" s="325"/>
      <c r="M16" s="325"/>
    </row>
    <row r="17" spans="2:13" x14ac:dyDescent="0.3">
      <c r="B17" s="99">
        <f t="shared" si="0"/>
        <v>7</v>
      </c>
      <c r="C17" s="26" t="s">
        <v>232</v>
      </c>
      <c r="D17" s="308">
        <v>6.01</v>
      </c>
      <c r="E17" s="308">
        <v>6.3048698459178079</v>
      </c>
      <c r="F17" s="308">
        <v>7.2710751942130711</v>
      </c>
      <c r="G17" s="308">
        <v>3.0212223798669271</v>
      </c>
      <c r="H17" s="308">
        <f t="shared" si="1"/>
        <v>10.292297574079999</v>
      </c>
      <c r="I17" s="325"/>
      <c r="J17" s="325"/>
      <c r="K17" s="325"/>
      <c r="L17" s="325"/>
      <c r="M17" s="325"/>
    </row>
    <row r="18" spans="2:13" x14ac:dyDescent="0.3">
      <c r="B18" s="99">
        <f t="shared" si="0"/>
        <v>8</v>
      </c>
      <c r="C18" s="26" t="s">
        <v>233</v>
      </c>
      <c r="D18" s="308"/>
      <c r="E18" s="308"/>
      <c r="F18" s="308"/>
      <c r="G18" s="308"/>
      <c r="H18" s="308">
        <f t="shared" si="1"/>
        <v>0</v>
      </c>
      <c r="I18" s="325"/>
      <c r="J18" s="325"/>
      <c r="K18" s="325"/>
      <c r="L18" s="325"/>
      <c r="M18" s="325"/>
    </row>
    <row r="19" spans="2:13" x14ac:dyDescent="0.3">
      <c r="B19" s="99">
        <f t="shared" si="0"/>
        <v>9</v>
      </c>
      <c r="C19" s="185" t="s">
        <v>234</v>
      </c>
      <c r="D19" s="308"/>
      <c r="E19" s="308"/>
      <c r="F19" s="308"/>
      <c r="G19" s="308"/>
      <c r="H19" s="308">
        <f t="shared" si="1"/>
        <v>0</v>
      </c>
      <c r="I19" s="325"/>
      <c r="J19" s="325"/>
      <c r="K19" s="325"/>
      <c r="L19" s="325"/>
      <c r="M19" s="325"/>
    </row>
    <row r="20" spans="2:13" s="316" customFormat="1" x14ac:dyDescent="0.3">
      <c r="B20" s="238">
        <f t="shared" si="0"/>
        <v>10</v>
      </c>
      <c r="C20" s="59" t="s">
        <v>235</v>
      </c>
      <c r="D20" s="320">
        <v>26.78</v>
      </c>
      <c r="E20" s="320">
        <v>34.849012478547948</v>
      </c>
      <c r="F20" s="320">
        <v>38.077929289545565</v>
      </c>
      <c r="G20" s="320">
        <v>15.821854275434443</v>
      </c>
      <c r="H20" s="320">
        <f t="shared" si="1"/>
        <v>53.899783564980012</v>
      </c>
      <c r="I20" s="325"/>
      <c r="J20" s="325"/>
      <c r="K20" s="325"/>
      <c r="L20" s="325"/>
      <c r="M20" s="325"/>
    </row>
    <row r="21" spans="2:13" x14ac:dyDescent="0.3">
      <c r="B21" s="99">
        <f t="shared" si="0"/>
        <v>11</v>
      </c>
      <c r="C21" s="26" t="s">
        <v>236</v>
      </c>
      <c r="D21" s="308"/>
      <c r="E21" s="308"/>
      <c r="F21" s="308"/>
      <c r="G21" s="308"/>
      <c r="H21" s="308">
        <f t="shared" si="1"/>
        <v>0</v>
      </c>
      <c r="I21" s="325"/>
      <c r="J21" s="325"/>
      <c r="K21" s="325"/>
      <c r="L21" s="325"/>
      <c r="M21" s="325"/>
    </row>
    <row r="22" spans="2:13" x14ac:dyDescent="0.3">
      <c r="B22" s="99">
        <f t="shared" si="0"/>
        <v>12</v>
      </c>
      <c r="C22" s="26" t="s">
        <v>237</v>
      </c>
      <c r="D22" s="308">
        <v>0.19</v>
      </c>
      <c r="E22" s="308">
        <v>5.888280197260274E-2</v>
      </c>
      <c r="F22" s="308">
        <v>7.6516579436399224E-2</v>
      </c>
      <c r="G22" s="308">
        <v>3.1793592563600787E-2</v>
      </c>
      <c r="H22" s="308">
        <f t="shared" si="1"/>
        <v>0.10831017200000001</v>
      </c>
      <c r="I22" s="325"/>
      <c r="J22" s="325"/>
      <c r="K22" s="325"/>
      <c r="L22" s="325"/>
      <c r="M22" s="325"/>
    </row>
    <row r="23" spans="2:13" x14ac:dyDescent="0.3">
      <c r="B23" s="99">
        <f t="shared" si="0"/>
        <v>13</v>
      </c>
      <c r="C23" s="26" t="s">
        <v>238</v>
      </c>
      <c r="D23" s="308"/>
      <c r="E23" s="308"/>
      <c r="F23" s="308"/>
      <c r="G23" s="308"/>
      <c r="H23" s="308">
        <f t="shared" si="1"/>
        <v>0</v>
      </c>
      <c r="I23" s="325"/>
      <c r="J23" s="325"/>
      <c r="K23" s="325"/>
      <c r="L23" s="325"/>
      <c r="M23" s="325"/>
    </row>
    <row r="24" spans="2:13" x14ac:dyDescent="0.3">
      <c r="B24" s="99">
        <f t="shared" si="0"/>
        <v>14</v>
      </c>
      <c r="C24" s="26" t="s">
        <v>239</v>
      </c>
      <c r="D24" s="308">
        <v>1</v>
      </c>
      <c r="E24" s="308">
        <v>0.75505589391780825</v>
      </c>
      <c r="F24" s="308">
        <v>0.86822923715851252</v>
      </c>
      <c r="G24" s="308">
        <v>0.3607600708414872</v>
      </c>
      <c r="H24" s="308">
        <f t="shared" si="1"/>
        <v>1.2289893079999996</v>
      </c>
      <c r="I24" s="325"/>
      <c r="J24" s="325"/>
      <c r="K24" s="325"/>
      <c r="L24" s="325"/>
      <c r="M24" s="325"/>
    </row>
    <row r="25" spans="2:13" x14ac:dyDescent="0.3">
      <c r="B25" s="99">
        <f t="shared" si="0"/>
        <v>15</v>
      </c>
      <c r="C25" s="26" t="s">
        <v>240</v>
      </c>
      <c r="D25" s="308"/>
      <c r="E25" s="308"/>
      <c r="F25" s="308"/>
      <c r="G25" s="308"/>
      <c r="H25" s="308">
        <f t="shared" si="1"/>
        <v>0</v>
      </c>
      <c r="I25" s="325"/>
      <c r="J25" s="325"/>
      <c r="K25" s="325"/>
      <c r="L25" s="325"/>
      <c r="M25" s="325"/>
    </row>
    <row r="26" spans="2:13" x14ac:dyDescent="0.3">
      <c r="B26" s="99">
        <f t="shared" si="0"/>
        <v>16</v>
      </c>
      <c r="C26" s="26" t="s">
        <v>241</v>
      </c>
      <c r="D26" s="308"/>
      <c r="E26" s="308"/>
      <c r="F26" s="308"/>
      <c r="G26" s="308"/>
      <c r="H26" s="308">
        <f t="shared" si="1"/>
        <v>0</v>
      </c>
      <c r="I26" s="325"/>
      <c r="J26" s="325"/>
      <c r="K26" s="325"/>
      <c r="L26" s="325"/>
      <c r="M26" s="325"/>
    </row>
    <row r="27" spans="2:13" x14ac:dyDescent="0.25">
      <c r="B27" s="99">
        <f t="shared" si="0"/>
        <v>17</v>
      </c>
      <c r="C27" s="28" t="s">
        <v>242</v>
      </c>
      <c r="D27" s="308"/>
      <c r="E27" s="308"/>
      <c r="F27" s="308"/>
      <c r="G27" s="308"/>
      <c r="H27" s="308">
        <f t="shared" si="1"/>
        <v>0</v>
      </c>
      <c r="I27" s="325"/>
      <c r="J27" s="325"/>
      <c r="K27" s="325"/>
      <c r="L27" s="325"/>
      <c r="M27" s="325"/>
    </row>
    <row r="28" spans="2:13" x14ac:dyDescent="0.25">
      <c r="B28" s="99">
        <f t="shared" si="0"/>
        <v>18</v>
      </c>
      <c r="C28" s="28" t="s">
        <v>243</v>
      </c>
      <c r="D28" s="308"/>
      <c r="E28" s="308"/>
      <c r="F28" s="308"/>
      <c r="G28" s="308"/>
      <c r="H28" s="308">
        <f t="shared" si="1"/>
        <v>0</v>
      </c>
      <c r="I28" s="325"/>
      <c r="J28" s="325"/>
      <c r="K28" s="325"/>
      <c r="L28" s="325"/>
      <c r="M28" s="325"/>
    </row>
    <row r="29" spans="2:13" x14ac:dyDescent="0.3">
      <c r="B29" s="99">
        <f t="shared" si="0"/>
        <v>19</v>
      </c>
      <c r="C29" s="26" t="s">
        <v>244</v>
      </c>
      <c r="D29" s="308"/>
      <c r="E29" s="308"/>
      <c r="F29" s="308"/>
      <c r="G29" s="308"/>
      <c r="H29" s="308">
        <f t="shared" si="1"/>
        <v>0</v>
      </c>
      <c r="I29" s="325"/>
      <c r="J29" s="325"/>
      <c r="K29" s="325"/>
      <c r="L29" s="325"/>
      <c r="M29" s="325"/>
    </row>
    <row r="30" spans="2:13" x14ac:dyDescent="0.3">
      <c r="B30" s="99">
        <f t="shared" si="0"/>
        <v>20</v>
      </c>
      <c r="C30" s="26" t="s">
        <v>245</v>
      </c>
      <c r="D30" s="308"/>
      <c r="E30" s="308"/>
      <c r="F30" s="308"/>
      <c r="G30" s="308"/>
      <c r="H30" s="308">
        <f t="shared" si="1"/>
        <v>0</v>
      </c>
      <c r="I30" s="325"/>
      <c r="J30" s="325"/>
      <c r="K30" s="325"/>
      <c r="L30" s="325"/>
      <c r="M30" s="325"/>
    </row>
    <row r="31" spans="2:13" x14ac:dyDescent="0.3">
      <c r="B31" s="99">
        <f t="shared" si="0"/>
        <v>21</v>
      </c>
      <c r="C31" s="448" t="s">
        <v>1479</v>
      </c>
      <c r="D31" s="308">
        <v>6.0225807493824846</v>
      </c>
      <c r="E31" s="308">
        <v>34.410420107616432</v>
      </c>
      <c r="F31" s="308"/>
      <c r="G31" s="308"/>
      <c r="H31" s="308">
        <f t="shared" si="1"/>
        <v>0</v>
      </c>
      <c r="I31" s="325"/>
      <c r="J31" s="325"/>
      <c r="K31" s="325"/>
      <c r="L31" s="325"/>
      <c r="M31" s="325"/>
    </row>
    <row r="32" spans="2:13" x14ac:dyDescent="0.3">
      <c r="B32" s="99">
        <f t="shared" si="0"/>
        <v>22</v>
      </c>
      <c r="C32" s="26" t="s">
        <v>246</v>
      </c>
      <c r="D32" s="308"/>
      <c r="E32" s="308"/>
      <c r="F32" s="308"/>
      <c r="G32" s="308"/>
      <c r="H32" s="308">
        <f t="shared" si="1"/>
        <v>0</v>
      </c>
      <c r="I32" s="325"/>
      <c r="J32" s="325"/>
      <c r="K32" s="325"/>
      <c r="L32" s="325"/>
      <c r="M32" s="325"/>
    </row>
    <row r="33" spans="2:13" x14ac:dyDescent="0.3">
      <c r="B33" s="99">
        <f t="shared" si="0"/>
        <v>23</v>
      </c>
      <c r="C33" s="26" t="s">
        <v>247</v>
      </c>
      <c r="D33" s="308"/>
      <c r="E33" s="308"/>
      <c r="F33" s="308"/>
      <c r="G33" s="308"/>
      <c r="H33" s="308">
        <f t="shared" si="1"/>
        <v>0</v>
      </c>
      <c r="I33" s="325"/>
      <c r="J33" s="325"/>
      <c r="K33" s="325"/>
      <c r="L33" s="325"/>
      <c r="M33" s="325"/>
    </row>
    <row r="34" spans="2:13" x14ac:dyDescent="0.3">
      <c r="B34" s="99">
        <f t="shared" si="0"/>
        <v>24</v>
      </c>
      <c r="C34" s="26" t="s">
        <v>248</v>
      </c>
      <c r="D34" s="308"/>
      <c r="E34" s="308"/>
      <c r="F34" s="308"/>
      <c r="G34" s="308"/>
      <c r="H34" s="308">
        <f t="shared" si="1"/>
        <v>0</v>
      </c>
      <c r="I34" s="325"/>
      <c r="J34" s="325"/>
      <c r="K34" s="325"/>
      <c r="L34" s="325"/>
      <c r="M34" s="325"/>
    </row>
    <row r="35" spans="2:13" x14ac:dyDescent="0.3">
      <c r="B35" s="99">
        <f t="shared" si="0"/>
        <v>25</v>
      </c>
      <c r="C35" s="26" t="s">
        <v>249</v>
      </c>
      <c r="D35" s="308"/>
      <c r="E35" s="308"/>
      <c r="F35" s="308"/>
      <c r="G35" s="308"/>
      <c r="H35" s="308">
        <f t="shared" si="1"/>
        <v>0</v>
      </c>
      <c r="I35" s="325"/>
      <c r="J35" s="325"/>
      <c r="K35" s="325"/>
      <c r="L35" s="325"/>
      <c r="M35" s="325"/>
    </row>
    <row r="36" spans="2:13" x14ac:dyDescent="0.3">
      <c r="B36" s="99">
        <f t="shared" si="0"/>
        <v>26</v>
      </c>
      <c r="C36" s="26" t="s">
        <v>250</v>
      </c>
      <c r="D36" s="308"/>
      <c r="E36" s="308"/>
      <c r="F36" s="308"/>
      <c r="G36" s="308"/>
      <c r="H36" s="308">
        <f t="shared" si="1"/>
        <v>0</v>
      </c>
      <c r="I36" s="325"/>
      <c r="J36" s="325"/>
      <c r="K36" s="325"/>
      <c r="L36" s="325"/>
      <c r="M36" s="325"/>
    </row>
    <row r="37" spans="2:13" x14ac:dyDescent="0.3">
      <c r="B37" s="99">
        <f t="shared" si="0"/>
        <v>27</v>
      </c>
      <c r="C37" s="26" t="s">
        <v>251</v>
      </c>
      <c r="D37" s="308">
        <v>31.270000000000003</v>
      </c>
      <c r="E37" s="308">
        <v>0</v>
      </c>
      <c r="F37" s="308">
        <v>19.060007352483673</v>
      </c>
      <c r="G37" s="308">
        <v>7.9196706450763195</v>
      </c>
      <c r="H37" s="308">
        <f t="shared" si="1"/>
        <v>26.979677997559993</v>
      </c>
      <c r="I37" s="325"/>
      <c r="J37" s="325"/>
      <c r="K37" s="325"/>
      <c r="L37" s="325"/>
      <c r="M37" s="325"/>
    </row>
    <row r="38" spans="2:13" x14ac:dyDescent="0.3">
      <c r="B38" s="99">
        <f t="shared" si="0"/>
        <v>28</v>
      </c>
      <c r="C38" s="26" t="s">
        <v>252</v>
      </c>
      <c r="D38" s="308"/>
      <c r="E38" s="308"/>
      <c r="F38" s="308"/>
      <c r="G38" s="308"/>
      <c r="H38" s="308">
        <f t="shared" si="1"/>
        <v>0</v>
      </c>
      <c r="I38" s="325"/>
      <c r="J38" s="325"/>
      <c r="K38" s="325"/>
      <c r="L38" s="325"/>
      <c r="M38" s="325"/>
    </row>
    <row r="39" spans="2:13" s="316" customFormat="1" x14ac:dyDescent="0.3">
      <c r="B39" s="238">
        <f t="shared" si="0"/>
        <v>29</v>
      </c>
      <c r="C39" s="59" t="s">
        <v>210</v>
      </c>
      <c r="D39" s="320">
        <v>3.37</v>
      </c>
      <c r="E39" s="320">
        <v>3.6842079353424659</v>
      </c>
      <c r="F39" s="320">
        <v>5.1112587936896672</v>
      </c>
      <c r="G39" s="320">
        <v>2.123791742530333</v>
      </c>
      <c r="H39" s="320">
        <f t="shared" si="1"/>
        <v>7.2350505362200002</v>
      </c>
      <c r="I39" s="325"/>
      <c r="J39" s="325"/>
      <c r="K39" s="325"/>
      <c r="L39" s="325"/>
      <c r="M39" s="325"/>
    </row>
    <row r="40" spans="2:13" s="316" customFormat="1" x14ac:dyDescent="0.3">
      <c r="B40" s="99">
        <f t="shared" si="0"/>
        <v>30</v>
      </c>
      <c r="C40" s="59" t="s">
        <v>820</v>
      </c>
      <c r="D40" s="320"/>
      <c r="E40" s="320"/>
      <c r="F40" s="320"/>
      <c r="G40" s="320"/>
      <c r="H40" s="308">
        <f t="shared" si="1"/>
        <v>0</v>
      </c>
      <c r="I40" s="325"/>
      <c r="J40" s="325"/>
      <c r="K40" s="325"/>
      <c r="L40" s="325"/>
      <c r="M40" s="325"/>
    </row>
    <row r="41" spans="2:13" s="316" customFormat="1" x14ac:dyDescent="0.3">
      <c r="B41" s="99">
        <f t="shared" si="0"/>
        <v>31</v>
      </c>
      <c r="C41" s="59" t="s">
        <v>807</v>
      </c>
      <c r="D41" s="320"/>
      <c r="E41" s="320"/>
      <c r="F41" s="320"/>
      <c r="G41" s="320"/>
      <c r="H41" s="308">
        <f t="shared" si="1"/>
        <v>0</v>
      </c>
      <c r="I41" s="325"/>
      <c r="J41" s="325"/>
      <c r="K41" s="325"/>
      <c r="L41" s="325"/>
      <c r="M41" s="325"/>
    </row>
    <row r="42" spans="2:13" s="316" customFormat="1" x14ac:dyDescent="0.3">
      <c r="B42" s="99">
        <f t="shared" si="0"/>
        <v>32</v>
      </c>
      <c r="C42" s="59" t="s">
        <v>819</v>
      </c>
      <c r="D42" s="320">
        <v>0</v>
      </c>
      <c r="E42" s="320">
        <v>0</v>
      </c>
      <c r="F42" s="320">
        <v>0</v>
      </c>
      <c r="G42" s="320">
        <v>0</v>
      </c>
      <c r="H42" s="308">
        <f t="shared" si="1"/>
        <v>0</v>
      </c>
      <c r="I42" s="325"/>
      <c r="J42" s="325"/>
      <c r="K42" s="325"/>
      <c r="L42" s="325"/>
      <c r="M42" s="325"/>
    </row>
    <row r="43" spans="2:13" s="316" customFormat="1" x14ac:dyDescent="0.3">
      <c r="B43" s="99">
        <f t="shared" si="0"/>
        <v>33</v>
      </c>
      <c r="C43" s="59" t="s">
        <v>802</v>
      </c>
      <c r="D43" s="320">
        <v>7.2380829146233374</v>
      </c>
      <c r="E43" s="320">
        <v>16.357205534357458</v>
      </c>
      <c r="F43" s="320">
        <v>0</v>
      </c>
      <c r="G43" s="320">
        <v>0</v>
      </c>
      <c r="H43" s="308">
        <f t="shared" si="1"/>
        <v>0</v>
      </c>
      <c r="I43" s="325"/>
      <c r="J43" s="325"/>
      <c r="K43" s="325"/>
      <c r="L43" s="325"/>
      <c r="M43" s="325"/>
    </row>
    <row r="44" spans="2:13" s="316" customFormat="1" x14ac:dyDescent="0.3">
      <c r="B44" s="99">
        <f t="shared" si="0"/>
        <v>34</v>
      </c>
      <c r="C44" s="310" t="s">
        <v>253</v>
      </c>
      <c r="D44" s="362">
        <f>SUM(D11:D43)</f>
        <v>93.230663664005817</v>
      </c>
      <c r="E44" s="362">
        <f t="shared" ref="E44:H44" si="2">SUM(E11:E43)</f>
        <v>120.07397736799869</v>
      </c>
      <c r="F44" s="362">
        <f>SUM(F11:F43)</f>
        <v>86.907680618495931</v>
      </c>
      <c r="G44" s="362">
        <f t="shared" si="2"/>
        <v>36.111224633724063</v>
      </c>
      <c r="H44" s="362">
        <f t="shared" si="2"/>
        <v>123.01890525221999</v>
      </c>
      <c r="I44" s="713"/>
      <c r="J44" s="713"/>
      <c r="K44" s="713"/>
      <c r="L44" s="713"/>
      <c r="M44" s="713"/>
    </row>
    <row r="45" spans="2:13" s="316" customFormat="1" x14ac:dyDescent="0.3">
      <c r="B45" s="99">
        <f t="shared" si="0"/>
        <v>35</v>
      </c>
      <c r="C45" s="3" t="s">
        <v>35</v>
      </c>
      <c r="D45" s="320"/>
      <c r="E45" s="320"/>
      <c r="F45" s="320"/>
      <c r="G45" s="320"/>
      <c r="H45" s="320"/>
      <c r="I45" s="325"/>
      <c r="J45" s="325"/>
      <c r="K45" s="325"/>
      <c r="L45" s="325"/>
      <c r="M45" s="325"/>
    </row>
    <row r="46" spans="2:13" s="316" customFormat="1" x14ac:dyDescent="0.25">
      <c r="B46" s="99">
        <f t="shared" si="0"/>
        <v>36</v>
      </c>
      <c r="C46" s="241" t="s">
        <v>254</v>
      </c>
      <c r="D46" s="320">
        <f t="shared" ref="D46:G46" si="3">D44-D45</f>
        <v>93.230663664005817</v>
      </c>
      <c r="E46" s="320">
        <f t="shared" si="3"/>
        <v>120.07397736799869</v>
      </c>
      <c r="F46" s="320">
        <f t="shared" si="3"/>
        <v>86.907680618495931</v>
      </c>
      <c r="G46" s="320">
        <f t="shared" si="3"/>
        <v>36.111224633724063</v>
      </c>
      <c r="H46" s="320">
        <f>H44-H45</f>
        <v>123.01890525221999</v>
      </c>
      <c r="I46" s="325"/>
      <c r="J46" s="325"/>
      <c r="K46" s="325"/>
      <c r="L46" s="325"/>
      <c r="M46" s="325"/>
    </row>
  </sheetData>
  <mergeCells count="7">
    <mergeCell ref="B2:M2"/>
    <mergeCell ref="B3:M3"/>
    <mergeCell ref="B4:M4"/>
    <mergeCell ref="B7:B9"/>
    <mergeCell ref="C7:C9"/>
    <mergeCell ref="F7:H7"/>
    <mergeCell ref="I7:M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topLeftCell="A4" zoomScale="68" zoomScaleNormal="80" zoomScaleSheetLayoutView="90" workbookViewId="0">
      <selection activeCell="I29" sqref="I29"/>
    </sheetView>
  </sheetViews>
  <sheetFormatPr defaultColWidth="9.36328125" defaultRowHeight="14" x14ac:dyDescent="0.25"/>
  <cols>
    <col min="1" max="1" width="6.6328125" style="14" customWidth="1"/>
    <col min="2" max="2" width="8.6328125" style="98" customWidth="1"/>
    <col min="3" max="3" width="45.6328125" style="14" customWidth="1"/>
    <col min="4" max="13" width="15.6328125" style="14" customWidth="1"/>
    <col min="14" max="16384" width="9.36328125" style="14"/>
  </cols>
  <sheetData>
    <row r="2" spans="2:13" x14ac:dyDescent="0.25">
      <c r="B2" s="1657" t="str">
        <f>Index!B2</f>
        <v xml:space="preserve">      Maharashtra State Power Generation Company Ltd.</v>
      </c>
      <c r="C2" s="1718"/>
      <c r="D2" s="1718"/>
      <c r="E2" s="1718"/>
      <c r="F2" s="1718"/>
      <c r="G2" s="1718"/>
      <c r="H2" s="1718"/>
      <c r="I2" s="1718"/>
      <c r="J2" s="1718"/>
      <c r="K2" s="1718"/>
      <c r="L2" s="1718"/>
      <c r="M2" s="1718"/>
    </row>
    <row r="3" spans="2:13" s="5" customFormat="1" x14ac:dyDescent="0.3">
      <c r="B3" s="1657" t="str">
        <f>Index!B3</f>
        <v>MYT Petition Formats for Chandrapur Unit 3-7</v>
      </c>
      <c r="C3" s="1718"/>
      <c r="D3" s="1718"/>
      <c r="E3" s="1718"/>
      <c r="F3" s="1718"/>
      <c r="G3" s="1718"/>
      <c r="H3" s="1718"/>
      <c r="I3" s="1718"/>
      <c r="J3" s="1718"/>
      <c r="K3" s="1718"/>
      <c r="L3" s="1718"/>
      <c r="M3" s="1718"/>
    </row>
    <row r="4" spans="2:13" s="5" customFormat="1" x14ac:dyDescent="0.3">
      <c r="B4" s="1658" t="s">
        <v>255</v>
      </c>
      <c r="C4" s="1718"/>
      <c r="D4" s="1718"/>
      <c r="E4" s="1718"/>
      <c r="F4" s="1718"/>
      <c r="G4" s="1718"/>
      <c r="H4" s="1718"/>
      <c r="I4" s="1718"/>
      <c r="J4" s="1718"/>
      <c r="K4" s="1718"/>
      <c r="L4" s="1718"/>
      <c r="M4" s="1718"/>
    </row>
    <row r="6" spans="2:13" x14ac:dyDescent="0.25">
      <c r="H6" s="21"/>
      <c r="M6" s="21" t="s">
        <v>10</v>
      </c>
    </row>
    <row r="7" spans="2:13" ht="12.75" customHeight="1" x14ac:dyDescent="0.25">
      <c r="B7" s="1652" t="s">
        <v>340</v>
      </c>
      <c r="C7" s="1662" t="s">
        <v>37</v>
      </c>
      <c r="D7" s="292" t="s">
        <v>506</v>
      </c>
      <c r="E7" s="292" t="s">
        <v>507</v>
      </c>
      <c r="F7" s="1652" t="s">
        <v>508</v>
      </c>
      <c r="G7" s="1652"/>
      <c r="H7" s="1652"/>
      <c r="I7" s="1698" t="s">
        <v>968</v>
      </c>
      <c r="J7" s="1698"/>
      <c r="K7" s="1698"/>
      <c r="L7" s="1698"/>
      <c r="M7" s="1698"/>
    </row>
    <row r="8" spans="2:13" ht="28" x14ac:dyDescent="0.25">
      <c r="B8" s="1652"/>
      <c r="C8" s="1662"/>
      <c r="D8" s="292" t="s">
        <v>79</v>
      </c>
      <c r="E8" s="292" t="s">
        <v>79</v>
      </c>
      <c r="F8" s="292" t="s">
        <v>444</v>
      </c>
      <c r="G8" s="292" t="s">
        <v>447</v>
      </c>
      <c r="H8" s="292" t="s">
        <v>80</v>
      </c>
      <c r="I8" s="696" t="s">
        <v>969</v>
      </c>
      <c r="J8" s="696" t="s">
        <v>970</v>
      </c>
      <c r="K8" s="696" t="s">
        <v>971</v>
      </c>
      <c r="L8" s="696" t="s">
        <v>972</v>
      </c>
      <c r="M8" s="696" t="s">
        <v>973</v>
      </c>
    </row>
    <row r="9" spans="2:13" x14ac:dyDescent="0.25">
      <c r="B9" s="1652"/>
      <c r="C9" s="1662"/>
      <c r="D9" s="292" t="s">
        <v>81</v>
      </c>
      <c r="E9" s="292" t="s">
        <v>82</v>
      </c>
      <c r="F9" s="292" t="s">
        <v>391</v>
      </c>
      <c r="G9" s="292" t="s">
        <v>392</v>
      </c>
      <c r="H9" s="292" t="s">
        <v>393</v>
      </c>
      <c r="I9" s="688" t="s">
        <v>21</v>
      </c>
      <c r="J9" s="688" t="s">
        <v>21</v>
      </c>
      <c r="K9" s="688" t="s">
        <v>21</v>
      </c>
      <c r="L9" s="688" t="s">
        <v>21</v>
      </c>
      <c r="M9" s="688" t="s">
        <v>21</v>
      </c>
    </row>
    <row r="10" spans="2:13" x14ac:dyDescent="0.3">
      <c r="B10" s="99">
        <v>1</v>
      </c>
      <c r="C10" s="26" t="s">
        <v>256</v>
      </c>
      <c r="D10" s="308">
        <v>296.54000000000002</v>
      </c>
      <c r="E10" s="308">
        <v>297.61327648109591</v>
      </c>
      <c r="F10" s="308">
        <v>315.95383574071559</v>
      </c>
      <c r="G10" s="308">
        <v>131.28275723298435</v>
      </c>
      <c r="H10" s="320">
        <f>F10+G10</f>
        <v>447.23659297369994</v>
      </c>
      <c r="I10" s="308"/>
      <c r="J10" s="308"/>
      <c r="K10" s="308"/>
      <c r="L10" s="308"/>
      <c r="M10" s="308"/>
    </row>
    <row r="11" spans="2:13" x14ac:dyDescent="0.3">
      <c r="B11" s="99">
        <v>2</v>
      </c>
      <c r="C11" s="429" t="s">
        <v>827</v>
      </c>
      <c r="D11" s="308">
        <v>0</v>
      </c>
      <c r="E11" s="308">
        <v>0</v>
      </c>
      <c r="F11" s="308">
        <v>0</v>
      </c>
      <c r="G11" s="308">
        <v>0</v>
      </c>
      <c r="H11" s="320">
        <f t="shared" ref="H11:H17" si="0">F11+G11</f>
        <v>0</v>
      </c>
      <c r="I11" s="308"/>
      <c r="J11" s="308"/>
      <c r="K11" s="308"/>
      <c r="L11" s="308"/>
      <c r="M11" s="308"/>
    </row>
    <row r="12" spans="2:13" x14ac:dyDescent="0.3">
      <c r="B12" s="99">
        <v>3</v>
      </c>
      <c r="C12" s="26" t="s">
        <v>828</v>
      </c>
      <c r="D12" s="308">
        <v>0.22</v>
      </c>
      <c r="E12" s="308">
        <v>0</v>
      </c>
      <c r="F12" s="308">
        <v>0</v>
      </c>
      <c r="G12" s="308">
        <v>0</v>
      </c>
      <c r="H12" s="320">
        <f t="shared" si="0"/>
        <v>0</v>
      </c>
      <c r="I12" s="308"/>
      <c r="J12" s="308"/>
      <c r="K12" s="308"/>
      <c r="L12" s="308"/>
      <c r="M12" s="308"/>
    </row>
    <row r="13" spans="2:13" x14ac:dyDescent="0.3">
      <c r="B13" s="99">
        <v>4</v>
      </c>
      <c r="C13" s="26" t="s">
        <v>257</v>
      </c>
      <c r="D13" s="308"/>
      <c r="E13" s="308"/>
      <c r="F13" s="308"/>
      <c r="G13" s="308"/>
      <c r="H13" s="320">
        <f t="shared" si="0"/>
        <v>0</v>
      </c>
      <c r="I13" s="308"/>
      <c r="J13" s="308"/>
      <c r="K13" s="308"/>
      <c r="L13" s="308"/>
      <c r="M13" s="308"/>
    </row>
    <row r="14" spans="2:13" x14ac:dyDescent="0.3">
      <c r="B14" s="99">
        <v>5</v>
      </c>
      <c r="C14" s="26" t="s">
        <v>258</v>
      </c>
      <c r="D14" s="308">
        <v>0.05</v>
      </c>
      <c r="E14" s="308">
        <v>3.2866350904109588E-2</v>
      </c>
      <c r="F14" s="308">
        <v>0.13145271930956948</v>
      </c>
      <c r="G14" s="308">
        <v>5.4620243480430528E-2</v>
      </c>
      <c r="H14" s="320">
        <f t="shared" si="0"/>
        <v>0.18607296279000002</v>
      </c>
      <c r="I14" s="308"/>
      <c r="J14" s="308"/>
      <c r="K14" s="308"/>
      <c r="L14" s="308"/>
      <c r="M14" s="308"/>
    </row>
    <row r="15" spans="2:13" x14ac:dyDescent="0.3">
      <c r="B15" s="99">
        <v>6</v>
      </c>
      <c r="C15" s="26" t="s">
        <v>259</v>
      </c>
      <c r="D15" s="308"/>
      <c r="E15" s="308"/>
      <c r="F15" s="308"/>
      <c r="G15" s="308"/>
      <c r="H15" s="320">
        <f t="shared" si="0"/>
        <v>0</v>
      </c>
      <c r="I15" s="308"/>
      <c r="J15" s="308"/>
      <c r="K15" s="308"/>
      <c r="L15" s="308"/>
      <c r="M15" s="308"/>
    </row>
    <row r="16" spans="2:13" x14ac:dyDescent="0.3">
      <c r="B16" s="99">
        <v>7</v>
      </c>
      <c r="C16" s="26" t="s">
        <v>260</v>
      </c>
      <c r="D16" s="308"/>
      <c r="E16" s="308"/>
      <c r="F16" s="308"/>
      <c r="G16" s="308"/>
      <c r="H16" s="320">
        <f t="shared" si="0"/>
        <v>0</v>
      </c>
      <c r="I16" s="308"/>
      <c r="J16" s="308"/>
      <c r="K16" s="308"/>
      <c r="L16" s="308"/>
      <c r="M16" s="308"/>
    </row>
    <row r="17" spans="2:13" x14ac:dyDescent="0.3">
      <c r="B17" s="99">
        <v>8</v>
      </c>
      <c r="C17" s="26" t="s">
        <v>261</v>
      </c>
      <c r="D17" s="308"/>
      <c r="E17" s="308"/>
      <c r="F17" s="308"/>
      <c r="G17" s="308"/>
      <c r="H17" s="320">
        <f t="shared" si="0"/>
        <v>0</v>
      </c>
      <c r="I17" s="308"/>
      <c r="J17" s="308"/>
      <c r="K17" s="308"/>
      <c r="L17" s="308"/>
      <c r="M17" s="308"/>
    </row>
    <row r="18" spans="2:13" s="316" customFormat="1" x14ac:dyDescent="0.3">
      <c r="B18" s="238">
        <v>9</v>
      </c>
      <c r="C18" s="469" t="s">
        <v>1045</v>
      </c>
      <c r="D18" s="320">
        <v>-3.6324294891196471</v>
      </c>
      <c r="E18" s="320">
        <v>-1.8004174495923246</v>
      </c>
      <c r="F18" s="320">
        <v>0</v>
      </c>
      <c r="G18" s="320">
        <v>0</v>
      </c>
      <c r="H18" s="320"/>
      <c r="I18" s="320"/>
      <c r="J18" s="320"/>
      <c r="K18" s="320"/>
      <c r="L18" s="320"/>
      <c r="M18" s="320"/>
    </row>
    <row r="19" spans="2:13" s="316" customFormat="1" x14ac:dyDescent="0.3">
      <c r="B19" s="238">
        <v>10</v>
      </c>
      <c r="C19" s="469" t="s">
        <v>1044</v>
      </c>
      <c r="D19" s="320">
        <v>-8.073775629448289E-2</v>
      </c>
      <c r="E19" s="320">
        <v>0.26218793454404971</v>
      </c>
      <c r="F19" s="320">
        <v>0</v>
      </c>
      <c r="G19" s="320">
        <v>0</v>
      </c>
      <c r="H19" s="320"/>
      <c r="I19" s="320"/>
      <c r="J19" s="320"/>
      <c r="K19" s="320"/>
      <c r="L19" s="320"/>
      <c r="M19" s="320"/>
    </row>
    <row r="20" spans="2:13" s="316" customFormat="1" x14ac:dyDescent="0.3">
      <c r="B20" s="99">
        <v>11</v>
      </c>
      <c r="C20" s="59" t="s">
        <v>802</v>
      </c>
      <c r="D20" s="320">
        <v>3.1290082484805124</v>
      </c>
      <c r="E20" s="320">
        <v>6.0914657191790642</v>
      </c>
      <c r="F20" s="320">
        <v>0</v>
      </c>
      <c r="G20" s="320">
        <v>0</v>
      </c>
      <c r="H20" s="320"/>
      <c r="I20" s="320"/>
      <c r="J20" s="320"/>
      <c r="K20" s="320"/>
      <c r="L20" s="320"/>
      <c r="M20" s="320"/>
    </row>
    <row r="21" spans="2:13" s="316" customFormat="1" x14ac:dyDescent="0.3">
      <c r="B21" s="99">
        <v>12</v>
      </c>
      <c r="C21" s="310" t="s">
        <v>262</v>
      </c>
      <c r="D21" s="362">
        <f>SUM(D10:D20)</f>
        <v>296.22584100306642</v>
      </c>
      <c r="E21" s="362">
        <f>SUM(E10:E20)</f>
        <v>302.19937903613078</v>
      </c>
      <c r="F21" s="362">
        <f>SUM(F10:F20)</f>
        <v>316.08528846002514</v>
      </c>
      <c r="G21" s="362">
        <f>SUM(G10:G20)</f>
        <v>131.33737747646478</v>
      </c>
      <c r="H21" s="362">
        <f>SUM(H10:H20)</f>
        <v>447.42266593648992</v>
      </c>
      <c r="I21" s="362"/>
      <c r="J21" s="362"/>
      <c r="K21" s="362"/>
      <c r="L21" s="362"/>
      <c r="M21" s="362"/>
    </row>
    <row r="22" spans="2:13" s="316" customFormat="1" x14ac:dyDescent="0.25">
      <c r="B22" s="99"/>
      <c r="C22" s="446"/>
      <c r="D22" s="320"/>
      <c r="E22" s="320"/>
      <c r="F22" s="320"/>
      <c r="G22" s="320"/>
      <c r="H22" s="320"/>
      <c r="I22" s="320"/>
      <c r="J22" s="320"/>
      <c r="K22" s="320"/>
      <c r="L22" s="320"/>
      <c r="M22" s="320"/>
    </row>
    <row r="23" spans="2:13" s="316" customFormat="1" x14ac:dyDescent="0.25">
      <c r="B23" s="99">
        <v>14</v>
      </c>
      <c r="C23" s="447" t="s">
        <v>263</v>
      </c>
      <c r="D23" s="320">
        <f>'F5'!D31</f>
        <v>4211.7595612961686</v>
      </c>
      <c r="E23" s="320">
        <f>'F5'!I31</f>
        <v>4326.4281029061685</v>
      </c>
      <c r="F23" s="320">
        <f>'F5'!N31</f>
        <v>4434.2512365111697</v>
      </c>
      <c r="G23" s="320">
        <f>'F5'!N31</f>
        <v>4434.2512365111697</v>
      </c>
      <c r="H23" s="320">
        <f>AVERAGE(F23:G23)</f>
        <v>4434.2512365111697</v>
      </c>
      <c r="I23" s="320">
        <f>'F5 (T)'!S31</f>
        <v>4873.9212365111698</v>
      </c>
      <c r="J23" s="320">
        <f>'F5 (T)'!$D$57</f>
        <v>5609.9231444005036</v>
      </c>
      <c r="K23" s="320">
        <f>'F5 (T)'!$I$57</f>
        <v>6268.3676375511886</v>
      </c>
      <c r="L23" s="320">
        <f>'F5 (T)'!$N$57</f>
        <v>6663.2744375511884</v>
      </c>
      <c r="M23" s="320">
        <f>'F5 (T)'!$S$57</f>
        <v>7249.381064217856</v>
      </c>
    </row>
    <row r="24" spans="2:13" s="316" customFormat="1" x14ac:dyDescent="0.25">
      <c r="B24" s="99">
        <v>15</v>
      </c>
      <c r="C24" s="447" t="s">
        <v>264</v>
      </c>
      <c r="D24" s="360">
        <f>D21/D23</f>
        <v>7.0333036986542252E-2</v>
      </c>
      <c r="E24" s="360">
        <f t="shared" ref="E24:M24" si="1">E21/E23</f>
        <v>6.9849624643741559E-2</v>
      </c>
      <c r="F24" s="360">
        <f t="shared" si="1"/>
        <v>7.128267470670388E-2</v>
      </c>
      <c r="G24" s="360">
        <f t="shared" si="1"/>
        <v>2.9618839905832643E-2</v>
      </c>
      <c r="H24" s="360">
        <f t="shared" si="1"/>
        <v>0.10090151461253652</v>
      </c>
      <c r="I24" s="360">
        <f t="shared" si="1"/>
        <v>0</v>
      </c>
      <c r="J24" s="360">
        <f t="shared" si="1"/>
        <v>0</v>
      </c>
      <c r="K24" s="360">
        <f t="shared" si="1"/>
        <v>0</v>
      </c>
      <c r="L24" s="360">
        <f t="shared" si="1"/>
        <v>0</v>
      </c>
      <c r="M24" s="360">
        <f t="shared" si="1"/>
        <v>0</v>
      </c>
    </row>
    <row r="25" spans="2:13" x14ac:dyDescent="0.25">
      <c r="B25" s="99"/>
      <c r="C25" s="28"/>
      <c r="D25" s="308"/>
      <c r="E25" s="308"/>
      <c r="F25" s="308"/>
      <c r="G25" s="320"/>
      <c r="H25" s="320"/>
      <c r="I25" s="325"/>
      <c r="J25" s="325"/>
      <c r="K25" s="325"/>
      <c r="L25" s="325"/>
      <c r="M25" s="325"/>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D1" zoomScaleSheetLayoutView="100" workbookViewId="0">
      <selection activeCell="K12" sqref="K12"/>
    </sheetView>
  </sheetViews>
  <sheetFormatPr defaultColWidth="9.36328125" defaultRowHeight="14" x14ac:dyDescent="0.3"/>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x14ac:dyDescent="0.3">
      <c r="B1" s="53"/>
    </row>
    <row r="2" spans="1:21" x14ac:dyDescent="0.3">
      <c r="B2" s="1657" t="str">
        <f>Index!B2</f>
        <v xml:space="preserve">      Maharashtra State Power Generation Company Ltd.</v>
      </c>
      <c r="C2" s="1718"/>
      <c r="D2" s="1718"/>
      <c r="E2" s="1718"/>
      <c r="F2" s="1718"/>
      <c r="G2" s="1718"/>
      <c r="H2" s="1718"/>
      <c r="I2" s="1718"/>
      <c r="J2" s="1718"/>
      <c r="K2" s="1718"/>
      <c r="L2" s="1718"/>
      <c r="M2" s="1718"/>
      <c r="N2" s="1718"/>
      <c r="O2" s="117"/>
    </row>
    <row r="3" spans="1:21" x14ac:dyDescent="0.3">
      <c r="B3" s="1657" t="str">
        <f>Index!B3</f>
        <v>MYT Petition Formats for Chandrapur Unit 3-7</v>
      </c>
      <c r="C3" s="1718"/>
      <c r="D3" s="1718"/>
      <c r="E3" s="1718"/>
      <c r="F3" s="1718"/>
      <c r="G3" s="1718"/>
      <c r="H3" s="1718"/>
      <c r="I3" s="1718"/>
      <c r="J3" s="1718"/>
      <c r="K3" s="1718"/>
      <c r="L3" s="1718"/>
      <c r="M3" s="1718"/>
      <c r="N3" s="1718"/>
      <c r="O3" s="65"/>
    </row>
    <row r="4" spans="1:21" x14ac:dyDescent="0.3">
      <c r="B4" s="1658" t="s">
        <v>480</v>
      </c>
      <c r="C4" s="1718"/>
      <c r="D4" s="1718"/>
      <c r="E4" s="1718"/>
      <c r="F4" s="1718"/>
      <c r="G4" s="1718"/>
      <c r="H4" s="1718"/>
      <c r="I4" s="1718"/>
      <c r="J4" s="1718"/>
      <c r="K4" s="1718"/>
      <c r="L4" s="1718"/>
      <c r="M4" s="1718"/>
      <c r="N4" s="1718"/>
      <c r="O4" s="1718"/>
    </row>
    <row r="5" spans="1:21" x14ac:dyDescent="0.3">
      <c r="B5" s="220"/>
      <c r="C5" s="219"/>
      <c r="D5" s="226"/>
      <c r="E5" s="226"/>
      <c r="F5" s="226"/>
      <c r="G5" s="287"/>
      <c r="H5" s="287"/>
      <c r="I5" s="287"/>
      <c r="J5" s="219"/>
      <c r="K5" s="219"/>
      <c r="L5" s="219"/>
      <c r="M5" s="219"/>
      <c r="N5" s="219"/>
      <c r="O5" s="219"/>
    </row>
    <row r="6" spans="1:21" x14ac:dyDescent="0.3">
      <c r="T6" s="21" t="s">
        <v>10</v>
      </c>
    </row>
    <row r="7" spans="1:21" s="14" customFormat="1" ht="15" customHeight="1" x14ac:dyDescent="0.25">
      <c r="B7" s="1659" t="s">
        <v>340</v>
      </c>
      <c r="C7" s="1662" t="s">
        <v>37</v>
      </c>
      <c r="D7" s="1690" t="s">
        <v>506</v>
      </c>
      <c r="E7" s="1691"/>
      <c r="F7" s="1692"/>
      <c r="G7" s="1690" t="s">
        <v>507</v>
      </c>
      <c r="H7" s="1691"/>
      <c r="I7" s="1692"/>
      <c r="J7" s="1690" t="s">
        <v>508</v>
      </c>
      <c r="K7" s="1691"/>
      <c r="L7" s="1691"/>
      <c r="M7" s="1691"/>
      <c r="N7" s="1692"/>
      <c r="O7" s="1698" t="s">
        <v>968</v>
      </c>
      <c r="P7" s="1698"/>
      <c r="Q7" s="1698"/>
      <c r="R7" s="1698"/>
      <c r="S7" s="1698"/>
      <c r="T7" s="1652" t="s">
        <v>27</v>
      </c>
    </row>
    <row r="8" spans="1:21" s="14" customFormat="1" ht="28" x14ac:dyDescent="0.25">
      <c r="B8" s="1660"/>
      <c r="C8" s="1662"/>
      <c r="D8" s="301" t="s">
        <v>967</v>
      </c>
      <c r="E8" s="296" t="s">
        <v>79</v>
      </c>
      <c r="F8" s="296" t="s">
        <v>449</v>
      </c>
      <c r="G8" s="301" t="s">
        <v>967</v>
      </c>
      <c r="H8" s="296" t="s">
        <v>79</v>
      </c>
      <c r="I8" s="296" t="s">
        <v>449</v>
      </c>
      <c r="J8" s="296" t="s">
        <v>967</v>
      </c>
      <c r="K8" s="296" t="s">
        <v>443</v>
      </c>
      <c r="L8" s="296" t="s">
        <v>447</v>
      </c>
      <c r="M8" s="296" t="s">
        <v>80</v>
      </c>
      <c r="N8" s="296" t="s">
        <v>450</v>
      </c>
      <c r="O8" s="696" t="s">
        <v>969</v>
      </c>
      <c r="P8" s="696" t="s">
        <v>970</v>
      </c>
      <c r="Q8" s="696" t="s">
        <v>971</v>
      </c>
      <c r="R8" s="696" t="s">
        <v>972</v>
      </c>
      <c r="S8" s="696" t="s">
        <v>973</v>
      </c>
      <c r="T8" s="1652"/>
    </row>
    <row r="9" spans="1:21" s="14" customFormat="1" x14ac:dyDescent="0.25">
      <c r="B9" s="1661"/>
      <c r="C9" s="1663"/>
      <c r="D9" s="296" t="s">
        <v>81</v>
      </c>
      <c r="E9" s="296" t="s">
        <v>82</v>
      </c>
      <c r="F9" s="296" t="s">
        <v>673</v>
      </c>
      <c r="G9" s="296" t="s">
        <v>391</v>
      </c>
      <c r="H9" s="296" t="s">
        <v>409</v>
      </c>
      <c r="I9" s="296" t="s">
        <v>454</v>
      </c>
      <c r="J9" s="296" t="s">
        <v>652</v>
      </c>
      <c r="K9" s="296" t="s">
        <v>590</v>
      </c>
      <c r="L9" s="296" t="s">
        <v>591</v>
      </c>
      <c r="M9" s="296" t="s">
        <v>675</v>
      </c>
      <c r="N9" s="296" t="s">
        <v>676</v>
      </c>
      <c r="O9" s="688" t="s">
        <v>21</v>
      </c>
      <c r="P9" s="688" t="s">
        <v>21</v>
      </c>
      <c r="Q9" s="688" t="s">
        <v>21</v>
      </c>
      <c r="R9" s="688" t="s">
        <v>21</v>
      </c>
      <c r="S9" s="688" t="s">
        <v>21</v>
      </c>
      <c r="T9" s="1700"/>
    </row>
    <row r="10" spans="1:21" s="90" customFormat="1" x14ac:dyDescent="0.25">
      <c r="B10" s="177">
        <v>1</v>
      </c>
      <c r="C10" s="161" t="s">
        <v>22</v>
      </c>
      <c r="D10" s="308"/>
      <c r="E10" s="308">
        <f>'F4.2'!$U$672</f>
        <v>131.05613579299998</v>
      </c>
      <c r="F10" s="308"/>
      <c r="G10" s="308"/>
      <c r="H10" s="308">
        <f>'F4.2'!$V$672</f>
        <v>127.60395725800005</v>
      </c>
      <c r="I10" s="308"/>
      <c r="J10" s="320"/>
      <c r="K10" s="308"/>
      <c r="L10" s="308"/>
      <c r="M10" s="308">
        <f>'F4.2'!$W$672</f>
        <v>591.35306475780328</v>
      </c>
      <c r="N10" s="321"/>
      <c r="O10" s="308">
        <f>'F4.2'!X$672</f>
        <v>3042.2371966759997</v>
      </c>
      <c r="P10" s="308">
        <f>'F4.2'!Y$672</f>
        <v>2211.6904794520551</v>
      </c>
      <c r="Q10" s="308">
        <f>'F4.2'!Z$672</f>
        <v>814.96399999999994</v>
      </c>
      <c r="R10" s="308">
        <f>'F4.2'!AA$672</f>
        <v>879.15994000000001</v>
      </c>
      <c r="S10" s="308">
        <f>'F4.2'!AB$672</f>
        <v>211.02</v>
      </c>
      <c r="T10" s="321"/>
      <c r="U10" s="322"/>
    </row>
    <row r="11" spans="1:21" s="90" customFormat="1" x14ac:dyDescent="0.25">
      <c r="B11" s="177"/>
      <c r="C11" s="161"/>
      <c r="D11" s="308"/>
      <c r="E11" s="308"/>
      <c r="F11" s="308"/>
      <c r="G11" s="308"/>
      <c r="H11" s="308"/>
      <c r="I11" s="308"/>
      <c r="J11" s="320"/>
      <c r="K11" s="321"/>
      <c r="L11" s="321"/>
      <c r="M11" s="321"/>
      <c r="N11" s="321"/>
      <c r="O11" s="321"/>
      <c r="P11" s="321"/>
      <c r="Q11" s="321"/>
      <c r="R11" s="321"/>
      <c r="S11" s="321"/>
      <c r="T11" s="321"/>
      <c r="U11" s="322"/>
    </row>
    <row r="12" spans="1:21" s="90" customFormat="1" x14ac:dyDescent="0.25">
      <c r="B12" s="177">
        <f>B10+1</f>
        <v>2</v>
      </c>
      <c r="C12" s="91" t="s">
        <v>18</v>
      </c>
      <c r="D12" s="323">
        <v>199.16859312299999</v>
      </c>
      <c r="E12" s="323">
        <f>'F5 (T)'!E31</f>
        <v>117.32257103399998</v>
      </c>
      <c r="F12" s="308">
        <f>E12-D12</f>
        <v>-81.846022089000016</v>
      </c>
      <c r="G12" s="843">
        <v>149.45147759999998</v>
      </c>
      <c r="H12" s="843">
        <f>'F5 (T)'!$J$31</f>
        <v>110.79418753300003</v>
      </c>
      <c r="I12" s="844">
        <f>H12-G12</f>
        <v>-38.657290066999948</v>
      </c>
      <c r="J12" s="845">
        <v>920.42908907900005</v>
      </c>
      <c r="K12" s="323">
        <v>26.54</v>
      </c>
      <c r="L12" s="323">
        <v>413.13</v>
      </c>
      <c r="M12" s="321">
        <f>K12+L12</f>
        <v>439.67</v>
      </c>
      <c r="N12" s="321">
        <f>M12-J12</f>
        <v>-480.75908907900003</v>
      </c>
      <c r="O12" s="323">
        <f>'F5 (T)'!$T$31</f>
        <v>736.0019078893331</v>
      </c>
      <c r="P12" s="323">
        <f>'F5 (T)'!$E$57</f>
        <v>658.44449315068482</v>
      </c>
      <c r="Q12" s="323">
        <f>'F5 (T)'!$J$57</f>
        <v>394.90680000000003</v>
      </c>
      <c r="R12" s="323">
        <f>'F5 (T)'!$O$57</f>
        <v>586.10662666666667</v>
      </c>
      <c r="S12" s="323">
        <f>'F5 (T)'!$T$57</f>
        <v>211.02</v>
      </c>
      <c r="T12" s="323"/>
      <c r="U12" s="322"/>
    </row>
    <row r="13" spans="1:21" s="90" customFormat="1" x14ac:dyDescent="0.25">
      <c r="B13" s="177">
        <f>B12+1</f>
        <v>3</v>
      </c>
      <c r="C13" s="91" t="s">
        <v>414</v>
      </c>
      <c r="D13" s="323"/>
      <c r="E13" s="323"/>
      <c r="F13" s="308">
        <f>E13-D13</f>
        <v>0</v>
      </c>
      <c r="G13" s="323"/>
      <c r="H13" s="323"/>
      <c r="I13" s="308">
        <f>H13-G13</f>
        <v>0</v>
      </c>
      <c r="J13" s="324"/>
      <c r="K13" s="323"/>
      <c r="L13" s="323"/>
      <c r="M13" s="321">
        <f>K13+L13</f>
        <v>0</v>
      </c>
      <c r="N13" s="321">
        <f>M13-J13</f>
        <v>0</v>
      </c>
      <c r="O13" s="323"/>
      <c r="P13" s="323"/>
      <c r="Q13" s="323"/>
      <c r="R13" s="323"/>
      <c r="S13" s="323"/>
      <c r="T13" s="323"/>
      <c r="U13" s="322"/>
    </row>
    <row r="14" spans="1:21" s="92" customFormat="1" x14ac:dyDescent="0.25">
      <c r="B14" s="177">
        <f>B13+1</f>
        <v>4</v>
      </c>
      <c r="C14" s="91" t="s">
        <v>481</v>
      </c>
      <c r="D14" s="323">
        <f>D12+D13</f>
        <v>199.16859312299999</v>
      </c>
      <c r="E14" s="323">
        <f>E12+E13</f>
        <v>117.32257103399998</v>
      </c>
      <c r="F14" s="323">
        <f t="shared" ref="F14:S14" si="0">F12+F13</f>
        <v>-81.846022089000016</v>
      </c>
      <c r="G14" s="323">
        <f t="shared" si="0"/>
        <v>149.45147759999998</v>
      </c>
      <c r="H14" s="323">
        <f t="shared" si="0"/>
        <v>110.79418753300003</v>
      </c>
      <c r="I14" s="323">
        <f t="shared" si="0"/>
        <v>-38.657290066999948</v>
      </c>
      <c r="J14" s="323">
        <f t="shared" si="0"/>
        <v>920.42908907900005</v>
      </c>
      <c r="K14" s="323">
        <f t="shared" si="0"/>
        <v>26.54</v>
      </c>
      <c r="L14" s="323">
        <f t="shared" si="0"/>
        <v>413.13</v>
      </c>
      <c r="M14" s="323">
        <f>M12+M13</f>
        <v>439.67</v>
      </c>
      <c r="N14" s="323">
        <f t="shared" si="0"/>
        <v>-480.75908907900003</v>
      </c>
      <c r="O14" s="323">
        <f t="shared" si="0"/>
        <v>736.0019078893331</v>
      </c>
      <c r="P14" s="323">
        <f t="shared" si="0"/>
        <v>658.44449315068482</v>
      </c>
      <c r="Q14" s="323">
        <f t="shared" si="0"/>
        <v>394.90680000000003</v>
      </c>
      <c r="R14" s="323">
        <f t="shared" si="0"/>
        <v>586.10662666666667</v>
      </c>
      <c r="S14" s="323">
        <f t="shared" si="0"/>
        <v>211.02</v>
      </c>
      <c r="T14" s="323"/>
      <c r="U14" s="325"/>
    </row>
    <row r="15" spans="1:21" s="902" customFormat="1" x14ac:dyDescent="0.25">
      <c r="B15" s="1453"/>
      <c r="C15" s="1454"/>
      <c r="D15" s="1454"/>
      <c r="E15" s="1455">
        <f>'F5 (T)'!E31-E14</f>
        <v>0</v>
      </c>
      <c r="F15" s="1454"/>
      <c r="G15" s="1454"/>
      <c r="H15" s="1455">
        <f>'F5 (T)'!J31-H14</f>
        <v>0</v>
      </c>
      <c r="I15" s="1454"/>
      <c r="J15" s="1456"/>
      <c r="K15" s="1456"/>
      <c r="L15" s="1456"/>
      <c r="M15" s="1457">
        <f>'F5 (T)'!O31-M14</f>
        <v>0</v>
      </c>
      <c r="N15" s="1456"/>
      <c r="O15" s="1457">
        <f>'F5 (T)'!$T$31-O14</f>
        <v>0</v>
      </c>
      <c r="P15" s="1458">
        <f>'F5 (T)'!$E$57-P14</f>
        <v>0</v>
      </c>
      <c r="Q15" s="1458">
        <f>'F5 (T)'!$J$57-Q14</f>
        <v>0</v>
      </c>
      <c r="R15" s="1458">
        <f>'F5 (T)'!$O$57-R14</f>
        <v>0</v>
      </c>
      <c r="S15" s="1458">
        <f>'F5 (T)'!$T$57-S14</f>
        <v>0</v>
      </c>
    </row>
    <row r="16" spans="1:21" s="1" customFormat="1" x14ac:dyDescent="0.3">
      <c r="A16" s="5"/>
      <c r="B16" s="14" t="s">
        <v>977</v>
      </c>
      <c r="K16" s="5"/>
      <c r="L16" s="5"/>
      <c r="M16" s="5"/>
      <c r="N16" s="5"/>
      <c r="O16" s="5"/>
    </row>
    <row r="17" spans="1:15" s="1" customFormat="1" x14ac:dyDescent="0.3">
      <c r="A17" s="5"/>
      <c r="B17" s="14"/>
      <c r="C17" s="1" t="s">
        <v>634</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309"/>
  <sheetViews>
    <sheetView view="pageBreakPreview" zoomScale="70" zoomScaleNormal="70" zoomScaleSheetLayoutView="70" workbookViewId="0">
      <pane xSplit="2" ySplit="6" topLeftCell="C7" activePane="bottomRight" state="frozen"/>
      <selection activeCell="N10" sqref="N10"/>
      <selection pane="topRight" activeCell="N10" sqref="N10"/>
      <selection pane="bottomLeft" activeCell="N10" sqref="N10"/>
      <selection pane="bottomRight" sqref="A1:XFD1048576"/>
    </sheetView>
  </sheetViews>
  <sheetFormatPr defaultColWidth="9.1796875" defaultRowHeight="14" x14ac:dyDescent="0.3"/>
  <cols>
    <col min="1" max="1" width="8.26953125" style="1619" customWidth="1"/>
    <col min="2" max="2" width="69.453125" style="1620" customWidth="1"/>
    <col min="3" max="3" width="12.7265625" style="1621" customWidth="1"/>
    <col min="4" max="4" width="31.1796875" style="1621" customWidth="1"/>
    <col min="5" max="5" width="12.453125" style="1622" customWidth="1"/>
    <col min="6" max="6" width="11.7265625" style="1" customWidth="1"/>
    <col min="7" max="12" width="11" style="1583" customWidth="1"/>
    <col min="13" max="13" width="12.1796875" style="1" customWidth="1"/>
    <col min="14" max="14" width="13" style="1" customWidth="1"/>
    <col min="15" max="16" width="13.1796875" style="1" customWidth="1"/>
    <col min="17" max="17" width="8.26953125" style="1" customWidth="1"/>
    <col min="18" max="18" width="8.81640625" style="1" customWidth="1"/>
    <col min="19" max="19" width="13.1796875" style="162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28" x14ac:dyDescent="0.3">
      <c r="D1" s="561" t="s">
        <v>2270</v>
      </c>
    </row>
    <row r="2" spans="1:28" x14ac:dyDescent="0.3">
      <c r="D2" s="1640" t="s">
        <v>2271</v>
      </c>
    </row>
    <row r="3" spans="1:28" ht="17.5" x14ac:dyDescent="0.35">
      <c r="B3" s="1623" t="s">
        <v>0</v>
      </c>
      <c r="D3" s="1624" t="s">
        <v>500</v>
      </c>
      <c r="F3" s="901"/>
      <c r="G3" s="1625"/>
      <c r="H3" s="1625"/>
      <c r="I3" s="1625"/>
      <c r="J3" s="1625"/>
      <c r="K3" s="1625"/>
      <c r="L3" s="1625"/>
      <c r="M3" s="901"/>
      <c r="N3" s="901"/>
      <c r="O3" s="901"/>
      <c r="P3" s="901"/>
      <c r="Q3" s="901"/>
      <c r="R3" s="901"/>
      <c r="S3" s="1626" t="s">
        <v>10</v>
      </c>
      <c r="T3" s="901"/>
      <c r="U3" s="901"/>
      <c r="V3" s="901"/>
      <c r="W3" s="901"/>
      <c r="X3" s="901"/>
      <c r="Y3" s="901"/>
      <c r="Z3" s="901"/>
      <c r="AA3" s="901"/>
      <c r="AB3" s="901"/>
    </row>
    <row r="4" spans="1:28" s="96" customFormat="1" x14ac:dyDescent="0.25">
      <c r="A4" s="1802" t="s">
        <v>340</v>
      </c>
      <c r="B4" s="1803" t="s">
        <v>16</v>
      </c>
      <c r="C4" s="1803" t="s">
        <v>1</v>
      </c>
      <c r="D4" s="1803" t="s">
        <v>488</v>
      </c>
      <c r="E4" s="1804" t="s">
        <v>489</v>
      </c>
      <c r="F4" s="1699" t="s">
        <v>4</v>
      </c>
      <c r="G4" s="1797" t="s">
        <v>2</v>
      </c>
      <c r="H4" s="1798"/>
      <c r="I4" s="1799"/>
      <c r="J4" s="1797" t="s">
        <v>8</v>
      </c>
      <c r="K4" s="1798"/>
      <c r="L4" s="1799"/>
      <c r="M4" s="1699" t="s">
        <v>490</v>
      </c>
      <c r="N4" s="1699"/>
      <c r="O4" s="1699"/>
      <c r="P4" s="1699"/>
      <c r="Q4" s="1699"/>
      <c r="R4" s="1699"/>
      <c r="S4" s="1699"/>
    </row>
    <row r="5" spans="1:28" s="96" customFormat="1" x14ac:dyDescent="0.25">
      <c r="A5" s="1802"/>
      <c r="B5" s="1803"/>
      <c r="C5" s="1803"/>
      <c r="D5" s="1803"/>
      <c r="E5" s="1804"/>
      <c r="F5" s="1699"/>
      <c r="G5" s="1800" t="s">
        <v>11</v>
      </c>
      <c r="H5" s="1800" t="s">
        <v>9</v>
      </c>
      <c r="I5" s="1800" t="s">
        <v>491</v>
      </c>
      <c r="J5" s="1800" t="s">
        <v>11</v>
      </c>
      <c r="K5" s="1800" t="s">
        <v>9</v>
      </c>
      <c r="L5" s="1800" t="s">
        <v>7</v>
      </c>
      <c r="M5" s="1701" t="s">
        <v>25</v>
      </c>
      <c r="N5" s="1699" t="s">
        <v>492</v>
      </c>
      <c r="O5" s="1796" t="s">
        <v>665</v>
      </c>
      <c r="P5" s="1796"/>
      <c r="Q5" s="1796"/>
      <c r="R5" s="1796"/>
      <c r="S5" s="1796"/>
    </row>
    <row r="6" spans="1:28" ht="42" x14ac:dyDescent="0.3">
      <c r="A6" s="1802"/>
      <c r="B6" s="1803"/>
      <c r="C6" s="1803"/>
      <c r="D6" s="1803"/>
      <c r="E6" s="1804"/>
      <c r="F6" s="1699"/>
      <c r="G6" s="1801"/>
      <c r="H6" s="1801"/>
      <c r="I6" s="1801"/>
      <c r="J6" s="1801"/>
      <c r="K6" s="1801"/>
      <c r="L6" s="1801"/>
      <c r="M6" s="1701"/>
      <c r="N6" s="1699"/>
      <c r="O6" s="1638" t="s">
        <v>670</v>
      </c>
      <c r="P6" s="1638" t="s">
        <v>666</v>
      </c>
      <c r="Q6" s="1638" t="s">
        <v>667</v>
      </c>
      <c r="R6" s="1638" t="s">
        <v>668</v>
      </c>
      <c r="S6" s="1627" t="s">
        <v>669</v>
      </c>
    </row>
    <row r="7" spans="1:28" x14ac:dyDescent="0.3">
      <c r="A7" s="1628"/>
      <c r="B7" s="1629"/>
      <c r="C7" s="1629"/>
      <c r="D7" s="1629"/>
      <c r="E7" s="1630"/>
      <c r="F7" s="1376"/>
      <c r="G7" s="1377"/>
      <c r="H7" s="1377"/>
      <c r="I7" s="1377"/>
      <c r="J7" s="1377"/>
      <c r="K7" s="1377"/>
      <c r="L7" s="1377"/>
      <c r="M7" s="1378"/>
      <c r="N7" s="1376"/>
      <c r="O7" s="1376"/>
      <c r="P7" s="1376"/>
      <c r="Q7" s="1376"/>
      <c r="R7" s="1376"/>
      <c r="S7" s="1629"/>
    </row>
    <row r="8" spans="1:28" x14ac:dyDescent="0.3">
      <c r="A8" s="1631"/>
      <c r="B8" s="1379" t="s">
        <v>935</v>
      </c>
      <c r="C8" s="9"/>
      <c r="D8" s="9"/>
      <c r="E8" s="1561"/>
      <c r="F8" s="9"/>
      <c r="G8" s="1561"/>
      <c r="H8" s="1561"/>
      <c r="I8" s="1561"/>
      <c r="J8" s="1561"/>
      <c r="K8" s="1561"/>
      <c r="L8" s="1561"/>
      <c r="M8" s="9"/>
      <c r="N8" s="9"/>
      <c r="O8" s="9"/>
      <c r="P8" s="9"/>
      <c r="Q8" s="9"/>
      <c r="R8" s="9"/>
      <c r="S8" s="1632"/>
    </row>
    <row r="9" spans="1:28" x14ac:dyDescent="0.3">
      <c r="A9" s="1631"/>
      <c r="B9" s="1633" t="s">
        <v>1595</v>
      </c>
      <c r="C9" s="9"/>
      <c r="D9" s="9"/>
      <c r="E9" s="1561"/>
      <c r="F9" s="9"/>
      <c r="G9" s="1561"/>
      <c r="H9" s="1561"/>
      <c r="I9" s="1561"/>
      <c r="J9" s="1561"/>
      <c r="K9" s="1561"/>
      <c r="L9" s="1561"/>
      <c r="M9" s="9"/>
      <c r="N9" s="9"/>
      <c r="O9" s="9"/>
      <c r="P9" s="9"/>
      <c r="Q9" s="9"/>
      <c r="R9" s="9"/>
      <c r="S9" s="1632"/>
    </row>
    <row r="10" spans="1:28" ht="15.5" x14ac:dyDescent="0.3">
      <c r="A10" s="1477">
        <v>1</v>
      </c>
      <c r="B10" s="1478" t="s">
        <v>1596</v>
      </c>
      <c r="C10" s="1477" t="s">
        <v>928</v>
      </c>
      <c r="D10" s="1477" t="s">
        <v>1597</v>
      </c>
      <c r="E10" s="1479">
        <v>40507</v>
      </c>
      <c r="F10" s="564"/>
      <c r="G10" s="1479">
        <f>E10</f>
        <v>40507</v>
      </c>
      <c r="H10" s="1479"/>
      <c r="I10" s="1479" t="s">
        <v>1873</v>
      </c>
      <c r="J10" s="1479" t="s">
        <v>1873</v>
      </c>
      <c r="K10" s="1479"/>
      <c r="L10" s="1479" t="s">
        <v>1873</v>
      </c>
      <c r="M10" s="1380">
        <v>0</v>
      </c>
      <c r="N10" s="1380">
        <v>0</v>
      </c>
      <c r="O10" s="564"/>
      <c r="P10" s="564"/>
      <c r="Q10" s="564"/>
      <c r="R10" s="564"/>
      <c r="S10" s="1380">
        <f>IF(SUM(O10:R10)=0,M10-N10,SUM(O10:R10))</f>
        <v>0</v>
      </c>
    </row>
    <row r="11" spans="1:28" ht="31" x14ac:dyDescent="0.3">
      <c r="A11" s="1482">
        <v>1.1000000000000001</v>
      </c>
      <c r="B11" s="1483" t="s">
        <v>1598</v>
      </c>
      <c r="C11" s="1531" t="s">
        <v>936</v>
      </c>
      <c r="D11" s="1482" t="s">
        <v>1597</v>
      </c>
      <c r="E11" s="1532">
        <v>40507</v>
      </c>
      <c r="F11" s="564"/>
      <c r="G11" s="1532">
        <f t="shared" ref="G11:G74" si="0">E11</f>
        <v>40507</v>
      </c>
      <c r="H11" s="1532"/>
      <c r="I11" s="1532" t="s">
        <v>1873</v>
      </c>
      <c r="J11" s="1532" t="s">
        <v>1873</v>
      </c>
      <c r="K11" s="1532"/>
      <c r="L11" s="1532" t="s">
        <v>1873</v>
      </c>
      <c r="M11" s="565">
        <v>1.06</v>
      </c>
      <c r="N11" s="565">
        <v>0.44763439999999999</v>
      </c>
      <c r="O11" s="564"/>
      <c r="P11" s="1381">
        <f>M11-N11</f>
        <v>0.61236560000000007</v>
      </c>
      <c r="Q11" s="564"/>
      <c r="R11" s="564"/>
      <c r="S11" s="565">
        <f t="shared" ref="S11:S74" si="1">IF(SUM(O11:R11)=0,M11-N11,SUM(O11:R11))</f>
        <v>0.61236560000000007</v>
      </c>
    </row>
    <row r="12" spans="1:28" ht="46.5" x14ac:dyDescent="0.3">
      <c r="A12" s="1482">
        <v>1.2</v>
      </c>
      <c r="B12" s="1483" t="s">
        <v>1599</v>
      </c>
      <c r="C12" s="1531" t="s">
        <v>936</v>
      </c>
      <c r="D12" s="1482" t="s">
        <v>1597</v>
      </c>
      <c r="E12" s="1532">
        <v>40507</v>
      </c>
      <c r="F12" s="564"/>
      <c r="G12" s="1532">
        <f t="shared" si="0"/>
        <v>40507</v>
      </c>
      <c r="H12" s="1532"/>
      <c r="I12" s="1532" t="s">
        <v>1873</v>
      </c>
      <c r="J12" s="1532" t="s">
        <v>1873</v>
      </c>
      <c r="K12" s="1532"/>
      <c r="L12" s="1532" t="s">
        <v>1873</v>
      </c>
      <c r="M12" s="565">
        <v>11.8</v>
      </c>
      <c r="N12" s="565">
        <v>0</v>
      </c>
      <c r="O12" s="564"/>
      <c r="P12" s="1381">
        <f t="shared" ref="P12:P75" si="2">M12-N12</f>
        <v>11.8</v>
      </c>
      <c r="Q12" s="564"/>
      <c r="R12" s="564"/>
      <c r="S12" s="565">
        <f t="shared" si="1"/>
        <v>11.8</v>
      </c>
    </row>
    <row r="13" spans="1:28" ht="46.5" x14ac:dyDescent="0.3">
      <c r="A13" s="1482">
        <v>1.3</v>
      </c>
      <c r="B13" s="1483" t="s">
        <v>2424</v>
      </c>
      <c r="C13" s="1531" t="s">
        <v>936</v>
      </c>
      <c r="D13" s="1482" t="s">
        <v>1597</v>
      </c>
      <c r="E13" s="1532">
        <v>40507</v>
      </c>
      <c r="F13" s="564"/>
      <c r="G13" s="1532">
        <f t="shared" si="0"/>
        <v>40507</v>
      </c>
      <c r="H13" s="1532"/>
      <c r="I13" s="1532" t="s">
        <v>1873</v>
      </c>
      <c r="J13" s="1532" t="s">
        <v>1873</v>
      </c>
      <c r="K13" s="1532"/>
      <c r="L13" s="1532" t="s">
        <v>1873</v>
      </c>
      <c r="M13" s="565">
        <v>12.3</v>
      </c>
      <c r="N13" s="565">
        <v>10.016599048</v>
      </c>
      <c r="O13" s="564"/>
      <c r="P13" s="1381">
        <f t="shared" si="2"/>
        <v>2.2834009520000009</v>
      </c>
      <c r="Q13" s="564"/>
      <c r="R13" s="564"/>
      <c r="S13" s="565">
        <f t="shared" si="1"/>
        <v>2.2834009520000009</v>
      </c>
    </row>
    <row r="14" spans="1:28" ht="77.5" x14ac:dyDescent="0.3">
      <c r="A14" s="1482">
        <v>1.4</v>
      </c>
      <c r="B14" s="1483" t="s">
        <v>1601</v>
      </c>
      <c r="C14" s="1531" t="s">
        <v>936</v>
      </c>
      <c r="D14" s="1482" t="s">
        <v>1597</v>
      </c>
      <c r="E14" s="1532">
        <v>40507</v>
      </c>
      <c r="F14" s="564"/>
      <c r="G14" s="1532">
        <f t="shared" si="0"/>
        <v>40507</v>
      </c>
      <c r="H14" s="1532"/>
      <c r="I14" s="1532" t="s">
        <v>1873</v>
      </c>
      <c r="J14" s="1532" t="s">
        <v>1873</v>
      </c>
      <c r="K14" s="1532"/>
      <c r="L14" s="1532" t="s">
        <v>1873</v>
      </c>
      <c r="M14" s="565">
        <v>7.52</v>
      </c>
      <c r="N14" s="565">
        <v>3.8601695880000002</v>
      </c>
      <c r="O14" s="564"/>
      <c r="P14" s="1381">
        <f t="shared" si="2"/>
        <v>3.6598304119999994</v>
      </c>
      <c r="Q14" s="564"/>
      <c r="R14" s="564"/>
      <c r="S14" s="565">
        <f t="shared" si="1"/>
        <v>3.6598304119999994</v>
      </c>
    </row>
    <row r="15" spans="1:28" ht="46.5" x14ac:dyDescent="0.3">
      <c r="A15" s="1482">
        <v>1.5</v>
      </c>
      <c r="B15" s="1483" t="s">
        <v>1602</v>
      </c>
      <c r="C15" s="1531" t="s">
        <v>936</v>
      </c>
      <c r="D15" s="1482" t="s">
        <v>1597</v>
      </c>
      <c r="E15" s="1532">
        <v>40507</v>
      </c>
      <c r="F15" s="564"/>
      <c r="G15" s="1532">
        <f t="shared" si="0"/>
        <v>40507</v>
      </c>
      <c r="H15" s="1532"/>
      <c r="I15" s="1532" t="s">
        <v>1873</v>
      </c>
      <c r="J15" s="1532" t="s">
        <v>1873</v>
      </c>
      <c r="K15" s="1532"/>
      <c r="L15" s="1532" t="s">
        <v>1873</v>
      </c>
      <c r="M15" s="565">
        <v>43.2</v>
      </c>
      <c r="N15" s="565">
        <v>56.159367274552196</v>
      </c>
      <c r="O15" s="564"/>
      <c r="P15" s="1381">
        <f t="shared" si="2"/>
        <v>-12.959367274552193</v>
      </c>
      <c r="Q15" s="564"/>
      <c r="R15" s="564"/>
      <c r="S15" s="565">
        <f t="shared" si="1"/>
        <v>-12.959367274552193</v>
      </c>
    </row>
    <row r="16" spans="1:28" ht="46.5" x14ac:dyDescent="0.3">
      <c r="A16" s="1482">
        <v>1.6</v>
      </c>
      <c r="B16" s="1483" t="s">
        <v>1603</v>
      </c>
      <c r="C16" s="1531" t="s">
        <v>936</v>
      </c>
      <c r="D16" s="1482" t="s">
        <v>1597</v>
      </c>
      <c r="E16" s="1532">
        <v>40507</v>
      </c>
      <c r="F16" s="564"/>
      <c r="G16" s="1532">
        <f t="shared" si="0"/>
        <v>40507</v>
      </c>
      <c r="H16" s="1532"/>
      <c r="I16" s="1532" t="s">
        <v>1873</v>
      </c>
      <c r="J16" s="1532" t="s">
        <v>1873</v>
      </c>
      <c r="K16" s="1532"/>
      <c r="L16" s="1532" t="s">
        <v>1873</v>
      </c>
      <c r="M16" s="565">
        <v>23.4</v>
      </c>
      <c r="N16" s="565">
        <v>12.917271588999998</v>
      </c>
      <c r="O16" s="564"/>
      <c r="P16" s="1381">
        <f t="shared" si="2"/>
        <v>10.482728411</v>
      </c>
      <c r="Q16" s="564"/>
      <c r="R16" s="564"/>
      <c r="S16" s="565">
        <f t="shared" si="1"/>
        <v>10.482728411</v>
      </c>
    </row>
    <row r="17" spans="1:19" ht="31" x14ac:dyDescent="0.3">
      <c r="A17" s="1482">
        <v>1.7</v>
      </c>
      <c r="B17" s="1483" t="s">
        <v>1604</v>
      </c>
      <c r="C17" s="1531" t="s">
        <v>936</v>
      </c>
      <c r="D17" s="1482" t="s">
        <v>1597</v>
      </c>
      <c r="E17" s="1532">
        <v>40507</v>
      </c>
      <c r="F17" s="564"/>
      <c r="G17" s="1532">
        <f t="shared" si="0"/>
        <v>40507</v>
      </c>
      <c r="H17" s="1532"/>
      <c r="I17" s="1532" t="s">
        <v>1873</v>
      </c>
      <c r="J17" s="1532" t="s">
        <v>1873</v>
      </c>
      <c r="K17" s="1532"/>
      <c r="L17" s="1532" t="s">
        <v>1873</v>
      </c>
      <c r="M17" s="565">
        <v>27.6</v>
      </c>
      <c r="N17" s="565">
        <v>11.3681175</v>
      </c>
      <c r="O17" s="564"/>
      <c r="P17" s="1381">
        <f t="shared" si="2"/>
        <v>16.231882500000001</v>
      </c>
      <c r="Q17" s="564"/>
      <c r="R17" s="564"/>
      <c r="S17" s="565">
        <f t="shared" si="1"/>
        <v>16.231882500000001</v>
      </c>
    </row>
    <row r="18" spans="1:19" ht="46.5" x14ac:dyDescent="0.3">
      <c r="A18" s="1482">
        <v>1.8</v>
      </c>
      <c r="B18" s="1483" t="s">
        <v>1605</v>
      </c>
      <c r="C18" s="1531" t="s">
        <v>936</v>
      </c>
      <c r="D18" s="1482" t="s">
        <v>1597</v>
      </c>
      <c r="E18" s="1532">
        <v>40507</v>
      </c>
      <c r="F18" s="564"/>
      <c r="G18" s="1532">
        <f t="shared" si="0"/>
        <v>40507</v>
      </c>
      <c r="H18" s="1532"/>
      <c r="I18" s="1532" t="s">
        <v>1873</v>
      </c>
      <c r="J18" s="1532" t="s">
        <v>1873</v>
      </c>
      <c r="K18" s="1532"/>
      <c r="L18" s="1532" t="s">
        <v>1873</v>
      </c>
      <c r="M18" s="565">
        <v>1.43</v>
      </c>
      <c r="N18" s="565">
        <v>1.8769309999999999</v>
      </c>
      <c r="O18" s="564"/>
      <c r="P18" s="1381">
        <f t="shared" si="2"/>
        <v>-0.44693099999999997</v>
      </c>
      <c r="Q18" s="564"/>
      <c r="R18" s="564"/>
      <c r="S18" s="565">
        <f t="shared" si="1"/>
        <v>-0.44693099999999997</v>
      </c>
    </row>
    <row r="19" spans="1:19" ht="77.5" x14ac:dyDescent="0.3">
      <c r="A19" s="1484">
        <v>1.9</v>
      </c>
      <c r="B19" s="1485" t="s">
        <v>2425</v>
      </c>
      <c r="C19" s="1554" t="s">
        <v>936</v>
      </c>
      <c r="D19" s="1488" t="s">
        <v>1597</v>
      </c>
      <c r="E19" s="1495">
        <v>40507</v>
      </c>
      <c r="F19" s="559"/>
      <c r="G19" s="1495">
        <f t="shared" si="0"/>
        <v>40507</v>
      </c>
      <c r="H19" s="1634"/>
      <c r="I19" s="1495" t="s">
        <v>1873</v>
      </c>
      <c r="J19" s="1495" t="s">
        <v>1873</v>
      </c>
      <c r="K19" s="1634"/>
      <c r="L19" s="1495" t="s">
        <v>1873</v>
      </c>
      <c r="M19" s="560">
        <v>3.5</v>
      </c>
      <c r="N19" s="560">
        <v>4.2488259999999993</v>
      </c>
      <c r="O19" s="559"/>
      <c r="P19" s="1382">
        <f t="shared" si="2"/>
        <v>-0.74882599999999933</v>
      </c>
      <c r="Q19" s="559"/>
      <c r="R19" s="559"/>
      <c r="S19" s="560">
        <f t="shared" si="1"/>
        <v>-0.74882599999999933</v>
      </c>
    </row>
    <row r="20" spans="1:19" ht="46.5" x14ac:dyDescent="0.3">
      <c r="A20" s="1482" t="s">
        <v>1607</v>
      </c>
      <c r="B20" s="1483" t="s">
        <v>2426</v>
      </c>
      <c r="C20" s="1531" t="s">
        <v>936</v>
      </c>
      <c r="D20" s="1482" t="s">
        <v>1597</v>
      </c>
      <c r="E20" s="1532">
        <v>40507</v>
      </c>
      <c r="F20" s="564"/>
      <c r="G20" s="1532">
        <f t="shared" si="0"/>
        <v>40507</v>
      </c>
      <c r="H20" s="1532"/>
      <c r="I20" s="1532" t="s">
        <v>1873</v>
      </c>
      <c r="J20" s="1532" t="s">
        <v>1873</v>
      </c>
      <c r="K20" s="1532"/>
      <c r="L20" s="1532" t="s">
        <v>1873</v>
      </c>
      <c r="M20" s="565">
        <v>2</v>
      </c>
      <c r="N20" s="565">
        <v>2.0468280000000001</v>
      </c>
      <c r="O20" s="564"/>
      <c r="P20" s="1381">
        <f t="shared" si="2"/>
        <v>-4.6828000000000092E-2</v>
      </c>
      <c r="Q20" s="564"/>
      <c r="R20" s="564"/>
      <c r="S20" s="565">
        <f t="shared" si="1"/>
        <v>-4.6828000000000092E-2</v>
      </c>
    </row>
    <row r="21" spans="1:19" ht="15.5" x14ac:dyDescent="0.3">
      <c r="A21" s="1482">
        <v>1.1100000000000001</v>
      </c>
      <c r="B21" s="1483" t="s">
        <v>1609</v>
      </c>
      <c r="C21" s="1531" t="s">
        <v>936</v>
      </c>
      <c r="D21" s="1482" t="s">
        <v>1597</v>
      </c>
      <c r="E21" s="1532">
        <v>40507</v>
      </c>
      <c r="F21" s="564"/>
      <c r="G21" s="1532">
        <f t="shared" si="0"/>
        <v>40507</v>
      </c>
      <c r="H21" s="1532"/>
      <c r="I21" s="1532" t="s">
        <v>1873</v>
      </c>
      <c r="J21" s="1532" t="s">
        <v>1873</v>
      </c>
      <c r="K21" s="1532"/>
      <c r="L21" s="1532" t="s">
        <v>1873</v>
      </c>
      <c r="M21" s="565">
        <v>0</v>
      </c>
      <c r="N21" s="565">
        <v>0</v>
      </c>
      <c r="O21" s="564"/>
      <c r="P21" s="1381">
        <f t="shared" si="2"/>
        <v>0</v>
      </c>
      <c r="Q21" s="564"/>
      <c r="R21" s="564"/>
      <c r="S21" s="565">
        <f t="shared" si="1"/>
        <v>0</v>
      </c>
    </row>
    <row r="22" spans="1:19" ht="31" x14ac:dyDescent="0.3">
      <c r="A22" s="1482">
        <v>1.1200000000000001</v>
      </c>
      <c r="B22" s="1483" t="s">
        <v>1610</v>
      </c>
      <c r="C22" s="1531" t="s">
        <v>936</v>
      </c>
      <c r="D22" s="1482" t="s">
        <v>1597</v>
      </c>
      <c r="E22" s="1532">
        <v>40507</v>
      </c>
      <c r="F22" s="564"/>
      <c r="G22" s="1532">
        <f t="shared" si="0"/>
        <v>40507</v>
      </c>
      <c r="H22" s="1532"/>
      <c r="I22" s="1532" t="s">
        <v>1873</v>
      </c>
      <c r="J22" s="1532" t="s">
        <v>1873</v>
      </c>
      <c r="K22" s="1532"/>
      <c r="L22" s="1532" t="s">
        <v>1873</v>
      </c>
      <c r="M22" s="565">
        <v>2.9129999999999998</v>
      </c>
      <c r="N22" s="565">
        <v>1.6187437680000003</v>
      </c>
      <c r="O22" s="564"/>
      <c r="P22" s="1381">
        <f t="shared" si="2"/>
        <v>1.2942562319999995</v>
      </c>
      <c r="Q22" s="564"/>
      <c r="R22" s="564"/>
      <c r="S22" s="565">
        <f t="shared" si="1"/>
        <v>1.2942562319999995</v>
      </c>
    </row>
    <row r="23" spans="1:19" ht="31" x14ac:dyDescent="0.3">
      <c r="A23" s="1482">
        <v>1.1299999999999999</v>
      </c>
      <c r="B23" s="1483" t="s">
        <v>1611</v>
      </c>
      <c r="C23" s="1531" t="s">
        <v>936</v>
      </c>
      <c r="D23" s="1482" t="s">
        <v>1597</v>
      </c>
      <c r="E23" s="1532">
        <v>40507</v>
      </c>
      <c r="F23" s="564"/>
      <c r="G23" s="1532">
        <f t="shared" si="0"/>
        <v>40507</v>
      </c>
      <c r="H23" s="1532"/>
      <c r="I23" s="1532" t="s">
        <v>1873</v>
      </c>
      <c r="J23" s="1532" t="s">
        <v>1873</v>
      </c>
      <c r="K23" s="1532"/>
      <c r="L23" s="1532" t="s">
        <v>1873</v>
      </c>
      <c r="M23" s="565">
        <v>15</v>
      </c>
      <c r="N23" s="565">
        <v>14.851620102999998</v>
      </c>
      <c r="O23" s="564"/>
      <c r="P23" s="1381">
        <f t="shared" si="2"/>
        <v>0.14837989700000165</v>
      </c>
      <c r="Q23" s="564"/>
      <c r="R23" s="564"/>
      <c r="S23" s="565">
        <f t="shared" si="1"/>
        <v>0.14837989700000165</v>
      </c>
    </row>
    <row r="24" spans="1:19" ht="31" x14ac:dyDescent="0.3">
      <c r="A24" s="1482">
        <v>1.1399999999999999</v>
      </c>
      <c r="B24" s="1483" t="s">
        <v>1612</v>
      </c>
      <c r="C24" s="1531" t="s">
        <v>936</v>
      </c>
      <c r="D24" s="1482" t="s">
        <v>1597</v>
      </c>
      <c r="E24" s="1532">
        <v>40507</v>
      </c>
      <c r="F24" s="564"/>
      <c r="G24" s="1532">
        <f t="shared" si="0"/>
        <v>40507</v>
      </c>
      <c r="H24" s="1532"/>
      <c r="I24" s="1532" t="s">
        <v>1873</v>
      </c>
      <c r="J24" s="1532" t="s">
        <v>1873</v>
      </c>
      <c r="K24" s="1532"/>
      <c r="L24" s="1532" t="s">
        <v>1873</v>
      </c>
      <c r="M24" s="565">
        <v>4.6040000000000001</v>
      </c>
      <c r="N24" s="565">
        <v>8.9775599999999997E-2</v>
      </c>
      <c r="O24" s="564"/>
      <c r="P24" s="1381">
        <f t="shared" si="2"/>
        <v>4.5142243999999998</v>
      </c>
      <c r="Q24" s="564"/>
      <c r="R24" s="564"/>
      <c r="S24" s="565">
        <f t="shared" si="1"/>
        <v>4.5142243999999998</v>
      </c>
    </row>
    <row r="25" spans="1:19" ht="31" x14ac:dyDescent="0.3">
      <c r="A25" s="1482">
        <v>1.1499999999999999</v>
      </c>
      <c r="B25" s="1483" t="s">
        <v>1613</v>
      </c>
      <c r="C25" s="1531" t="s">
        <v>936</v>
      </c>
      <c r="D25" s="1482" t="s">
        <v>1597</v>
      </c>
      <c r="E25" s="1532">
        <v>40507</v>
      </c>
      <c r="F25" s="564"/>
      <c r="G25" s="1532">
        <f t="shared" si="0"/>
        <v>40507</v>
      </c>
      <c r="H25" s="1532"/>
      <c r="I25" s="1532" t="s">
        <v>1873</v>
      </c>
      <c r="J25" s="1532" t="s">
        <v>1873</v>
      </c>
      <c r="K25" s="1532"/>
      <c r="L25" s="1532" t="s">
        <v>1873</v>
      </c>
      <c r="M25" s="565">
        <v>10.5</v>
      </c>
      <c r="N25" s="565">
        <v>0</v>
      </c>
      <c r="O25" s="564"/>
      <c r="P25" s="1381">
        <f t="shared" si="2"/>
        <v>10.5</v>
      </c>
      <c r="Q25" s="564"/>
      <c r="R25" s="564"/>
      <c r="S25" s="565">
        <f t="shared" si="1"/>
        <v>10.5</v>
      </c>
    </row>
    <row r="26" spans="1:19" ht="31" x14ac:dyDescent="0.3">
      <c r="A26" s="1482">
        <v>1.1599999999999999</v>
      </c>
      <c r="B26" s="1483" t="s">
        <v>1614</v>
      </c>
      <c r="C26" s="1531" t="s">
        <v>936</v>
      </c>
      <c r="D26" s="1482" t="s">
        <v>1597</v>
      </c>
      <c r="E26" s="1532">
        <v>40507</v>
      </c>
      <c r="F26" s="564"/>
      <c r="G26" s="1532">
        <f t="shared" si="0"/>
        <v>40507</v>
      </c>
      <c r="H26" s="1532"/>
      <c r="I26" s="1532" t="s">
        <v>1873</v>
      </c>
      <c r="J26" s="1532" t="s">
        <v>1873</v>
      </c>
      <c r="K26" s="1532"/>
      <c r="L26" s="1532" t="s">
        <v>1873</v>
      </c>
      <c r="M26" s="565">
        <v>4.91</v>
      </c>
      <c r="N26" s="565">
        <v>3.543640452</v>
      </c>
      <c r="O26" s="564"/>
      <c r="P26" s="1381">
        <f t="shared" si="2"/>
        <v>1.3663595480000001</v>
      </c>
      <c r="Q26" s="564"/>
      <c r="R26" s="564"/>
      <c r="S26" s="565">
        <f t="shared" si="1"/>
        <v>1.3663595480000001</v>
      </c>
    </row>
    <row r="27" spans="1:19" ht="15.5" x14ac:dyDescent="0.3">
      <c r="A27" s="1482">
        <v>0</v>
      </c>
      <c r="B27" s="1483" t="s">
        <v>414</v>
      </c>
      <c r="C27" s="1531" t="s">
        <v>414</v>
      </c>
      <c r="D27" s="1482" t="s">
        <v>1597</v>
      </c>
      <c r="E27" s="1532">
        <v>40507</v>
      </c>
      <c r="F27" s="564"/>
      <c r="G27" s="1532">
        <f t="shared" si="0"/>
        <v>40507</v>
      </c>
      <c r="H27" s="1532"/>
      <c r="I27" s="1532" t="s">
        <v>1873</v>
      </c>
      <c r="J27" s="1532" t="s">
        <v>1873</v>
      </c>
      <c r="K27" s="1532"/>
      <c r="L27" s="1532" t="s">
        <v>1873</v>
      </c>
      <c r="M27" s="565">
        <v>10.09</v>
      </c>
      <c r="N27" s="565">
        <v>0</v>
      </c>
      <c r="O27" s="564"/>
      <c r="P27" s="1381">
        <f t="shared" si="2"/>
        <v>10.09</v>
      </c>
      <c r="Q27" s="564"/>
      <c r="R27" s="564"/>
      <c r="S27" s="565">
        <f t="shared" si="1"/>
        <v>10.09</v>
      </c>
    </row>
    <row r="28" spans="1:19" ht="15.5" x14ac:dyDescent="0.3">
      <c r="A28" s="1477">
        <v>2</v>
      </c>
      <c r="B28" s="1478" t="s">
        <v>1615</v>
      </c>
      <c r="C28" s="1477" t="s">
        <v>928</v>
      </c>
      <c r="D28" s="1477" t="s">
        <v>1616</v>
      </c>
      <c r="E28" s="1479">
        <v>40730</v>
      </c>
      <c r="F28" s="564"/>
      <c r="G28" s="1479">
        <f t="shared" si="0"/>
        <v>40730</v>
      </c>
      <c r="H28" s="1479"/>
      <c r="I28" s="1479" t="s">
        <v>1873</v>
      </c>
      <c r="J28" s="1479" t="s">
        <v>1873</v>
      </c>
      <c r="K28" s="1479"/>
      <c r="L28" s="1479" t="s">
        <v>1873</v>
      </c>
      <c r="M28" s="1380">
        <v>0</v>
      </c>
      <c r="N28" s="1380">
        <v>0</v>
      </c>
      <c r="O28" s="564"/>
      <c r="P28" s="1381">
        <f t="shared" si="2"/>
        <v>0</v>
      </c>
      <c r="Q28" s="564"/>
      <c r="R28" s="564"/>
      <c r="S28" s="1380">
        <f t="shared" si="1"/>
        <v>0</v>
      </c>
    </row>
    <row r="29" spans="1:19" ht="31" x14ac:dyDescent="0.3">
      <c r="A29" s="1482">
        <v>2.1</v>
      </c>
      <c r="B29" s="1483" t="s">
        <v>1617</v>
      </c>
      <c r="C29" s="1531" t="s">
        <v>936</v>
      </c>
      <c r="D29" s="1482" t="s">
        <v>1616</v>
      </c>
      <c r="E29" s="1532">
        <v>40730</v>
      </c>
      <c r="F29" s="564"/>
      <c r="G29" s="1532">
        <f t="shared" si="0"/>
        <v>40730</v>
      </c>
      <c r="H29" s="1532"/>
      <c r="I29" s="1532" t="s">
        <v>1873</v>
      </c>
      <c r="J29" s="1532" t="s">
        <v>1873</v>
      </c>
      <c r="K29" s="1532"/>
      <c r="L29" s="1532" t="s">
        <v>1873</v>
      </c>
      <c r="M29" s="565">
        <v>1.0398000000000001</v>
      </c>
      <c r="N29" s="565">
        <v>0.70700000000000007</v>
      </c>
      <c r="O29" s="564"/>
      <c r="P29" s="1381">
        <f t="shared" si="2"/>
        <v>0.33279999999999998</v>
      </c>
      <c r="Q29" s="564"/>
      <c r="R29" s="564"/>
      <c r="S29" s="565">
        <f t="shared" si="1"/>
        <v>0.33279999999999998</v>
      </c>
    </row>
    <row r="30" spans="1:19" ht="31" x14ac:dyDescent="0.3">
      <c r="A30" s="1482">
        <v>2.2000000000000002</v>
      </c>
      <c r="B30" s="1483" t="s">
        <v>1618</v>
      </c>
      <c r="C30" s="1531" t="s">
        <v>936</v>
      </c>
      <c r="D30" s="1482" t="s">
        <v>1616</v>
      </c>
      <c r="E30" s="1532">
        <v>40730</v>
      </c>
      <c r="F30" s="564"/>
      <c r="G30" s="1532">
        <f t="shared" si="0"/>
        <v>40730</v>
      </c>
      <c r="H30" s="1532"/>
      <c r="I30" s="1532" t="s">
        <v>1873</v>
      </c>
      <c r="J30" s="1532" t="s">
        <v>1873</v>
      </c>
      <c r="K30" s="1532"/>
      <c r="L30" s="1532" t="s">
        <v>1873</v>
      </c>
      <c r="M30" s="565">
        <v>3.1379999999999999</v>
      </c>
      <c r="N30" s="565">
        <v>0</v>
      </c>
      <c r="O30" s="564"/>
      <c r="P30" s="1381">
        <f t="shared" si="2"/>
        <v>3.1379999999999999</v>
      </c>
      <c r="Q30" s="564"/>
      <c r="R30" s="564"/>
      <c r="S30" s="565">
        <f t="shared" si="1"/>
        <v>3.1379999999999999</v>
      </c>
    </row>
    <row r="31" spans="1:19" ht="31" x14ac:dyDescent="0.3">
      <c r="A31" s="1482">
        <v>2.2999999999999998</v>
      </c>
      <c r="B31" s="1483" t="s">
        <v>1619</v>
      </c>
      <c r="C31" s="1531" t="s">
        <v>936</v>
      </c>
      <c r="D31" s="1482" t="s">
        <v>1616</v>
      </c>
      <c r="E31" s="1532">
        <v>40730</v>
      </c>
      <c r="F31" s="564"/>
      <c r="G31" s="1532">
        <f t="shared" si="0"/>
        <v>40730</v>
      </c>
      <c r="H31" s="1532"/>
      <c r="I31" s="1532" t="s">
        <v>1873</v>
      </c>
      <c r="J31" s="1532" t="s">
        <v>1873</v>
      </c>
      <c r="K31" s="1532"/>
      <c r="L31" s="1532" t="s">
        <v>1873</v>
      </c>
      <c r="M31" s="565">
        <v>3.0657000000000001</v>
      </c>
      <c r="N31" s="565">
        <v>1.7642598999999999</v>
      </c>
      <c r="O31" s="564"/>
      <c r="P31" s="1381">
        <f t="shared" si="2"/>
        <v>1.3014401000000002</v>
      </c>
      <c r="Q31" s="564"/>
      <c r="R31" s="564"/>
      <c r="S31" s="565">
        <f t="shared" si="1"/>
        <v>1.3014401000000002</v>
      </c>
    </row>
    <row r="32" spans="1:19" ht="15.5" x14ac:dyDescent="0.3">
      <c r="A32" s="1482">
        <v>2.4</v>
      </c>
      <c r="B32" s="1483" t="s">
        <v>1620</v>
      </c>
      <c r="C32" s="1531" t="s">
        <v>936</v>
      </c>
      <c r="D32" s="1482" t="s">
        <v>1616</v>
      </c>
      <c r="E32" s="1532">
        <v>40730</v>
      </c>
      <c r="F32" s="564"/>
      <c r="G32" s="1532">
        <f t="shared" si="0"/>
        <v>40730</v>
      </c>
      <c r="H32" s="1532"/>
      <c r="I32" s="1532" t="s">
        <v>1873</v>
      </c>
      <c r="J32" s="1532" t="s">
        <v>1873</v>
      </c>
      <c r="K32" s="1532"/>
      <c r="L32" s="1532" t="s">
        <v>1873</v>
      </c>
      <c r="M32" s="565">
        <v>2.1100000000000001E-2</v>
      </c>
      <c r="N32" s="565">
        <v>0</v>
      </c>
      <c r="O32" s="564"/>
      <c r="P32" s="1381">
        <f t="shared" si="2"/>
        <v>2.1100000000000001E-2</v>
      </c>
      <c r="Q32" s="564"/>
      <c r="R32" s="564"/>
      <c r="S32" s="565">
        <f t="shared" si="1"/>
        <v>2.1100000000000001E-2</v>
      </c>
    </row>
    <row r="33" spans="1:19" ht="31" x14ac:dyDescent="0.3">
      <c r="A33" s="1482">
        <v>2.5</v>
      </c>
      <c r="B33" s="1483" t="s">
        <v>1621</v>
      </c>
      <c r="C33" s="1531" t="s">
        <v>936</v>
      </c>
      <c r="D33" s="1482" t="s">
        <v>1616</v>
      </c>
      <c r="E33" s="1532">
        <v>40730</v>
      </c>
      <c r="F33" s="564"/>
      <c r="G33" s="1532">
        <f t="shared" si="0"/>
        <v>40730</v>
      </c>
      <c r="H33" s="1532"/>
      <c r="I33" s="1532" t="s">
        <v>1873</v>
      </c>
      <c r="J33" s="1532" t="s">
        <v>1873</v>
      </c>
      <c r="K33" s="1532"/>
      <c r="L33" s="1532" t="s">
        <v>1873</v>
      </c>
      <c r="M33" s="565">
        <v>0.49540000000000001</v>
      </c>
      <c r="N33" s="565">
        <v>0.29783999999999999</v>
      </c>
      <c r="O33" s="564"/>
      <c r="P33" s="1381">
        <f t="shared" si="2"/>
        <v>0.19756000000000001</v>
      </c>
      <c r="Q33" s="564"/>
      <c r="R33" s="564"/>
      <c r="S33" s="565">
        <f t="shared" si="1"/>
        <v>0.19756000000000001</v>
      </c>
    </row>
    <row r="34" spans="1:19" ht="15.5" x14ac:dyDescent="0.3">
      <c r="A34" s="1482">
        <v>2.6</v>
      </c>
      <c r="B34" s="1483" t="s">
        <v>1622</v>
      </c>
      <c r="C34" s="1531" t="s">
        <v>936</v>
      </c>
      <c r="D34" s="1482" t="s">
        <v>1616</v>
      </c>
      <c r="E34" s="1532">
        <v>40730</v>
      </c>
      <c r="F34" s="564"/>
      <c r="G34" s="1532">
        <f t="shared" si="0"/>
        <v>40730</v>
      </c>
      <c r="H34" s="1532"/>
      <c r="I34" s="1532" t="s">
        <v>1873</v>
      </c>
      <c r="J34" s="1532" t="s">
        <v>1873</v>
      </c>
      <c r="K34" s="1532"/>
      <c r="L34" s="1532" t="s">
        <v>1873</v>
      </c>
      <c r="M34" s="565">
        <v>3.3195999999999999</v>
      </c>
      <c r="N34" s="565">
        <v>0</v>
      </c>
      <c r="O34" s="564"/>
      <c r="P34" s="1381">
        <f t="shared" si="2"/>
        <v>3.3195999999999999</v>
      </c>
      <c r="Q34" s="564"/>
      <c r="R34" s="564"/>
      <c r="S34" s="565">
        <f t="shared" si="1"/>
        <v>3.3195999999999999</v>
      </c>
    </row>
    <row r="35" spans="1:19" ht="15.5" x14ac:dyDescent="0.3">
      <c r="A35" s="1482">
        <v>2.7</v>
      </c>
      <c r="B35" s="1483" t="s">
        <v>1623</v>
      </c>
      <c r="C35" s="1531" t="s">
        <v>936</v>
      </c>
      <c r="D35" s="1482" t="s">
        <v>1616</v>
      </c>
      <c r="E35" s="1532">
        <v>40730</v>
      </c>
      <c r="F35" s="564"/>
      <c r="G35" s="1532">
        <f t="shared" si="0"/>
        <v>40730</v>
      </c>
      <c r="H35" s="1532"/>
      <c r="I35" s="1532" t="s">
        <v>1873</v>
      </c>
      <c r="J35" s="1532" t="s">
        <v>1873</v>
      </c>
      <c r="K35" s="1532"/>
      <c r="L35" s="1532" t="s">
        <v>1873</v>
      </c>
      <c r="M35" s="565">
        <v>4.5396000000000001</v>
      </c>
      <c r="N35" s="565">
        <v>0.19084200000000001</v>
      </c>
      <c r="O35" s="564"/>
      <c r="P35" s="1381">
        <f t="shared" si="2"/>
        <v>4.3487580000000001</v>
      </c>
      <c r="Q35" s="564"/>
      <c r="R35" s="564"/>
      <c r="S35" s="565">
        <f t="shared" si="1"/>
        <v>4.3487580000000001</v>
      </c>
    </row>
    <row r="36" spans="1:19" ht="15.5" x14ac:dyDescent="0.3">
      <c r="A36" s="1482">
        <v>2.8</v>
      </c>
      <c r="B36" s="1483" t="s">
        <v>1624</v>
      </c>
      <c r="C36" s="1531" t="s">
        <v>936</v>
      </c>
      <c r="D36" s="1482" t="s">
        <v>1616</v>
      </c>
      <c r="E36" s="1532">
        <v>40730</v>
      </c>
      <c r="F36" s="564"/>
      <c r="G36" s="1532">
        <f t="shared" si="0"/>
        <v>40730</v>
      </c>
      <c r="H36" s="1532"/>
      <c r="I36" s="1532" t="s">
        <v>1873</v>
      </c>
      <c r="J36" s="1532" t="s">
        <v>1873</v>
      </c>
      <c r="K36" s="1532"/>
      <c r="L36" s="1532" t="s">
        <v>1873</v>
      </c>
      <c r="M36" s="565">
        <v>2.5285000000000002</v>
      </c>
      <c r="N36" s="565">
        <v>0</v>
      </c>
      <c r="O36" s="564"/>
      <c r="P36" s="1381">
        <f t="shared" si="2"/>
        <v>2.5285000000000002</v>
      </c>
      <c r="Q36" s="564"/>
      <c r="R36" s="564"/>
      <c r="S36" s="565">
        <f t="shared" si="1"/>
        <v>2.5285000000000002</v>
      </c>
    </row>
    <row r="37" spans="1:19" ht="15.5" x14ac:dyDescent="0.3">
      <c r="A37" s="1482">
        <v>2.9</v>
      </c>
      <c r="B37" s="1483" t="s">
        <v>1625</v>
      </c>
      <c r="C37" s="1531" t="s">
        <v>936</v>
      </c>
      <c r="D37" s="1482" t="s">
        <v>1616</v>
      </c>
      <c r="E37" s="1532">
        <v>40730</v>
      </c>
      <c r="F37" s="564"/>
      <c r="G37" s="1532">
        <f t="shared" si="0"/>
        <v>40730</v>
      </c>
      <c r="H37" s="1532"/>
      <c r="I37" s="1532" t="s">
        <v>1873</v>
      </c>
      <c r="J37" s="1532" t="s">
        <v>1873</v>
      </c>
      <c r="K37" s="1532"/>
      <c r="L37" s="1532" t="s">
        <v>1873</v>
      </c>
      <c r="M37" s="565">
        <v>0.1225</v>
      </c>
      <c r="N37" s="565">
        <v>0</v>
      </c>
      <c r="O37" s="564"/>
      <c r="P37" s="1381">
        <f t="shared" si="2"/>
        <v>0.1225</v>
      </c>
      <c r="Q37" s="564"/>
      <c r="R37" s="564"/>
      <c r="S37" s="565">
        <f t="shared" si="1"/>
        <v>0.1225</v>
      </c>
    </row>
    <row r="38" spans="1:19" ht="15.5" x14ac:dyDescent="0.3">
      <c r="A38" s="1482" t="s">
        <v>1626</v>
      </c>
      <c r="B38" s="1483" t="s">
        <v>1627</v>
      </c>
      <c r="C38" s="1531" t="s">
        <v>936</v>
      </c>
      <c r="D38" s="1482" t="s">
        <v>1616</v>
      </c>
      <c r="E38" s="1532">
        <v>40730</v>
      </c>
      <c r="F38" s="564"/>
      <c r="G38" s="1532">
        <f t="shared" si="0"/>
        <v>40730</v>
      </c>
      <c r="H38" s="1532"/>
      <c r="I38" s="1532" t="s">
        <v>1873</v>
      </c>
      <c r="J38" s="1532" t="s">
        <v>1873</v>
      </c>
      <c r="K38" s="1532"/>
      <c r="L38" s="1532" t="s">
        <v>1873</v>
      </c>
      <c r="M38" s="565">
        <v>0.5333</v>
      </c>
      <c r="N38" s="565">
        <v>0</v>
      </c>
      <c r="O38" s="564"/>
      <c r="P38" s="1381">
        <f t="shared" si="2"/>
        <v>0.5333</v>
      </c>
      <c r="Q38" s="564"/>
      <c r="R38" s="564"/>
      <c r="S38" s="565">
        <f t="shared" si="1"/>
        <v>0.5333</v>
      </c>
    </row>
    <row r="39" spans="1:19" ht="15.5" x14ac:dyDescent="0.3">
      <c r="A39" s="1482">
        <v>2.11</v>
      </c>
      <c r="B39" s="1483" t="s">
        <v>1628</v>
      </c>
      <c r="C39" s="1531" t="s">
        <v>936</v>
      </c>
      <c r="D39" s="1482" t="s">
        <v>1616</v>
      </c>
      <c r="E39" s="1532">
        <v>40730</v>
      </c>
      <c r="F39" s="564"/>
      <c r="G39" s="1532">
        <f t="shared" si="0"/>
        <v>40730</v>
      </c>
      <c r="H39" s="1532"/>
      <c r="I39" s="1532" t="s">
        <v>1873</v>
      </c>
      <c r="J39" s="1532" t="s">
        <v>1873</v>
      </c>
      <c r="K39" s="1532"/>
      <c r="L39" s="1532" t="s">
        <v>1873</v>
      </c>
      <c r="M39" s="565">
        <v>1.0216000000000001</v>
      </c>
      <c r="N39" s="565">
        <v>0</v>
      </c>
      <c r="O39" s="564"/>
      <c r="P39" s="1381">
        <f t="shared" si="2"/>
        <v>1.0216000000000001</v>
      </c>
      <c r="Q39" s="564"/>
      <c r="R39" s="564"/>
      <c r="S39" s="565">
        <f t="shared" si="1"/>
        <v>1.0216000000000001</v>
      </c>
    </row>
    <row r="40" spans="1:19" ht="15.5" x14ac:dyDescent="0.3">
      <c r="A40" s="1482">
        <v>0</v>
      </c>
      <c r="B40" s="1483" t="s">
        <v>414</v>
      </c>
      <c r="C40" s="1531" t="s">
        <v>414</v>
      </c>
      <c r="D40" s="1482" t="s">
        <v>1616</v>
      </c>
      <c r="E40" s="1532">
        <v>40730</v>
      </c>
      <c r="F40" s="564"/>
      <c r="G40" s="1532">
        <f t="shared" si="0"/>
        <v>40730</v>
      </c>
      <c r="H40" s="1532"/>
      <c r="I40" s="1532" t="s">
        <v>1873</v>
      </c>
      <c r="J40" s="1532" t="s">
        <v>1873</v>
      </c>
      <c r="K40" s="1532"/>
      <c r="L40" s="1532" t="s">
        <v>1873</v>
      </c>
      <c r="M40" s="565">
        <v>1.165</v>
      </c>
      <c r="N40" s="565">
        <v>0</v>
      </c>
      <c r="O40" s="564"/>
      <c r="P40" s="1381">
        <f t="shared" si="2"/>
        <v>1.165</v>
      </c>
      <c r="Q40" s="564"/>
      <c r="R40" s="564"/>
      <c r="S40" s="565">
        <f t="shared" si="1"/>
        <v>1.165</v>
      </c>
    </row>
    <row r="41" spans="1:19" ht="15.5" x14ac:dyDescent="0.3">
      <c r="A41" s="1489">
        <v>3</v>
      </c>
      <c r="B41" s="1490" t="s">
        <v>1629</v>
      </c>
      <c r="C41" s="1486" t="s">
        <v>928</v>
      </c>
      <c r="D41" s="1486" t="s">
        <v>1630</v>
      </c>
      <c r="E41" s="1487">
        <v>40731</v>
      </c>
      <c r="F41" s="559"/>
      <c r="G41" s="1487">
        <f t="shared" si="0"/>
        <v>40731</v>
      </c>
      <c r="H41" s="1635"/>
      <c r="I41" s="1487" t="s">
        <v>1873</v>
      </c>
      <c r="J41" s="1487" t="s">
        <v>1873</v>
      </c>
      <c r="K41" s="1635"/>
      <c r="L41" s="1487" t="s">
        <v>1873</v>
      </c>
      <c r="M41" s="1383">
        <v>0</v>
      </c>
      <c r="N41" s="1383">
        <v>0</v>
      </c>
      <c r="O41" s="559"/>
      <c r="P41" s="1382">
        <f t="shared" si="2"/>
        <v>0</v>
      </c>
      <c r="Q41" s="559"/>
      <c r="R41" s="559"/>
      <c r="S41" s="1383">
        <f t="shared" si="1"/>
        <v>0</v>
      </c>
    </row>
    <row r="42" spans="1:19" ht="31" x14ac:dyDescent="0.3">
      <c r="A42" s="1484">
        <v>3.1</v>
      </c>
      <c r="B42" s="1485" t="s">
        <v>2427</v>
      </c>
      <c r="C42" s="1554" t="s">
        <v>936</v>
      </c>
      <c r="D42" s="1488" t="s">
        <v>1630</v>
      </c>
      <c r="E42" s="1495">
        <v>40731</v>
      </c>
      <c r="F42" s="559"/>
      <c r="G42" s="1495">
        <f t="shared" si="0"/>
        <v>40731</v>
      </c>
      <c r="H42" s="1634"/>
      <c r="I42" s="1495" t="s">
        <v>1873</v>
      </c>
      <c r="J42" s="1495" t="s">
        <v>1873</v>
      </c>
      <c r="K42" s="1634"/>
      <c r="L42" s="1495" t="s">
        <v>1873</v>
      </c>
      <c r="M42" s="560">
        <v>11.7</v>
      </c>
      <c r="N42" s="560">
        <v>8.6202149769999998</v>
      </c>
      <c r="O42" s="559"/>
      <c r="P42" s="1382">
        <f t="shared" si="2"/>
        <v>3.0797850229999995</v>
      </c>
      <c r="Q42" s="559"/>
      <c r="R42" s="559"/>
      <c r="S42" s="560">
        <f t="shared" si="1"/>
        <v>3.0797850229999995</v>
      </c>
    </row>
    <row r="43" spans="1:19" ht="31" x14ac:dyDescent="0.3">
      <c r="A43" s="1484">
        <v>3.2</v>
      </c>
      <c r="B43" s="1485" t="s">
        <v>1632</v>
      </c>
      <c r="C43" s="1554" t="s">
        <v>936</v>
      </c>
      <c r="D43" s="1488" t="s">
        <v>1630</v>
      </c>
      <c r="E43" s="1495">
        <v>40731</v>
      </c>
      <c r="F43" s="559"/>
      <c r="G43" s="1495">
        <f t="shared" si="0"/>
        <v>40731</v>
      </c>
      <c r="H43" s="1634"/>
      <c r="I43" s="1495" t="s">
        <v>1873</v>
      </c>
      <c r="J43" s="1495" t="s">
        <v>1873</v>
      </c>
      <c r="K43" s="1634"/>
      <c r="L43" s="1495" t="s">
        <v>1873</v>
      </c>
      <c r="M43" s="560">
        <v>15.6</v>
      </c>
      <c r="N43" s="560">
        <v>6.5552518650000007</v>
      </c>
      <c r="O43" s="559"/>
      <c r="P43" s="1382">
        <f t="shared" si="2"/>
        <v>9.044748134999999</v>
      </c>
      <c r="Q43" s="559"/>
      <c r="R43" s="559"/>
      <c r="S43" s="560">
        <f t="shared" si="1"/>
        <v>9.044748134999999</v>
      </c>
    </row>
    <row r="44" spans="1:19" ht="31" x14ac:dyDescent="0.3">
      <c r="A44" s="1484">
        <v>3.3</v>
      </c>
      <c r="B44" s="1485" t="s">
        <v>1633</v>
      </c>
      <c r="C44" s="1554" t="s">
        <v>936</v>
      </c>
      <c r="D44" s="1488" t="s">
        <v>1630</v>
      </c>
      <c r="E44" s="1495">
        <v>40731</v>
      </c>
      <c r="F44" s="559"/>
      <c r="G44" s="1495">
        <f t="shared" si="0"/>
        <v>40731</v>
      </c>
      <c r="H44" s="1634"/>
      <c r="I44" s="1495" t="s">
        <v>1873</v>
      </c>
      <c r="J44" s="1495" t="s">
        <v>1873</v>
      </c>
      <c r="K44" s="1634"/>
      <c r="L44" s="1495" t="s">
        <v>1873</v>
      </c>
      <c r="M44" s="560">
        <v>16.02</v>
      </c>
      <c r="N44" s="560">
        <v>5.1898557250000001</v>
      </c>
      <c r="O44" s="559"/>
      <c r="P44" s="1382">
        <f t="shared" si="2"/>
        <v>10.830144274999999</v>
      </c>
      <c r="Q44" s="559"/>
      <c r="R44" s="559"/>
      <c r="S44" s="560">
        <f t="shared" si="1"/>
        <v>10.830144274999999</v>
      </c>
    </row>
    <row r="45" spans="1:19" ht="31" x14ac:dyDescent="0.3">
      <c r="A45" s="1484">
        <v>3.4</v>
      </c>
      <c r="B45" s="1485" t="s">
        <v>1634</v>
      </c>
      <c r="C45" s="1554" t="s">
        <v>936</v>
      </c>
      <c r="D45" s="1488" t="s">
        <v>1630</v>
      </c>
      <c r="E45" s="1495">
        <v>40731</v>
      </c>
      <c r="F45" s="559"/>
      <c r="G45" s="1495">
        <f t="shared" si="0"/>
        <v>40731</v>
      </c>
      <c r="H45" s="1634"/>
      <c r="I45" s="1495" t="s">
        <v>1873</v>
      </c>
      <c r="J45" s="1495" t="s">
        <v>1873</v>
      </c>
      <c r="K45" s="1634"/>
      <c r="L45" s="1495" t="s">
        <v>1873</v>
      </c>
      <c r="M45" s="560">
        <v>0.95</v>
      </c>
      <c r="N45" s="560">
        <v>0.92199359999999997</v>
      </c>
      <c r="O45" s="559"/>
      <c r="P45" s="1382">
        <f t="shared" si="2"/>
        <v>2.8006399999999987E-2</v>
      </c>
      <c r="Q45" s="559"/>
      <c r="R45" s="559"/>
      <c r="S45" s="560">
        <f t="shared" si="1"/>
        <v>2.8006399999999987E-2</v>
      </c>
    </row>
    <row r="46" spans="1:19" ht="15.5" x14ac:dyDescent="0.3">
      <c r="A46" s="1484">
        <v>0</v>
      </c>
      <c r="B46" s="1485" t="s">
        <v>414</v>
      </c>
      <c r="C46" s="1554" t="s">
        <v>414</v>
      </c>
      <c r="D46" s="1488" t="s">
        <v>1630</v>
      </c>
      <c r="E46" s="1495">
        <v>40731</v>
      </c>
      <c r="F46" s="559"/>
      <c r="G46" s="1495">
        <f t="shared" si="0"/>
        <v>40731</v>
      </c>
      <c r="H46" s="1634"/>
      <c r="I46" s="1495" t="s">
        <v>1873</v>
      </c>
      <c r="J46" s="1495" t="s">
        <v>1873</v>
      </c>
      <c r="K46" s="1634"/>
      <c r="L46" s="1495" t="s">
        <v>1873</v>
      </c>
      <c r="M46" s="560">
        <v>9.7200000000000006</v>
      </c>
      <c r="N46" s="560">
        <v>3.8649799999999998E-2</v>
      </c>
      <c r="O46" s="559"/>
      <c r="P46" s="1382">
        <f t="shared" si="2"/>
        <v>9.6813502000000007</v>
      </c>
      <c r="Q46" s="559"/>
      <c r="R46" s="559"/>
      <c r="S46" s="560">
        <f t="shared" si="1"/>
        <v>9.6813502000000007</v>
      </c>
    </row>
    <row r="47" spans="1:19" ht="15.5" x14ac:dyDescent="0.3">
      <c r="A47" s="1486">
        <v>4</v>
      </c>
      <c r="B47" s="1491" t="s">
        <v>1635</v>
      </c>
      <c r="C47" s="1486" t="s">
        <v>928</v>
      </c>
      <c r="D47" s="1486" t="s">
        <v>1636</v>
      </c>
      <c r="E47" s="1487">
        <v>40850</v>
      </c>
      <c r="F47" s="559"/>
      <c r="G47" s="1487">
        <f t="shared" si="0"/>
        <v>40850</v>
      </c>
      <c r="H47" s="1635"/>
      <c r="I47" s="1487" t="s">
        <v>1873</v>
      </c>
      <c r="J47" s="1487" t="s">
        <v>1873</v>
      </c>
      <c r="K47" s="1635"/>
      <c r="L47" s="1487" t="s">
        <v>1873</v>
      </c>
      <c r="M47" s="1383">
        <v>0</v>
      </c>
      <c r="N47" s="1383">
        <v>0</v>
      </c>
      <c r="O47" s="559"/>
      <c r="P47" s="1382">
        <f t="shared" si="2"/>
        <v>0</v>
      </c>
      <c r="Q47" s="559"/>
      <c r="R47" s="559"/>
      <c r="S47" s="1383">
        <f t="shared" si="1"/>
        <v>0</v>
      </c>
    </row>
    <row r="48" spans="1:19" ht="15.5" x14ac:dyDescent="0.3">
      <c r="A48" s="1488">
        <v>4.0999999999999996</v>
      </c>
      <c r="B48" s="1492" t="s">
        <v>1637</v>
      </c>
      <c r="C48" s="1554" t="s">
        <v>936</v>
      </c>
      <c r="D48" s="1488" t="s">
        <v>1636</v>
      </c>
      <c r="E48" s="1495">
        <v>40850</v>
      </c>
      <c r="F48" s="559"/>
      <c r="G48" s="1495">
        <f t="shared" si="0"/>
        <v>40850</v>
      </c>
      <c r="H48" s="1634"/>
      <c r="I48" s="1495" t="s">
        <v>1873</v>
      </c>
      <c r="J48" s="1495" t="s">
        <v>1873</v>
      </c>
      <c r="K48" s="1634"/>
      <c r="L48" s="1495" t="s">
        <v>1873</v>
      </c>
      <c r="M48" s="560">
        <v>26.1</v>
      </c>
      <c r="N48" s="560">
        <v>0</v>
      </c>
      <c r="O48" s="559"/>
      <c r="P48" s="1382">
        <f t="shared" si="2"/>
        <v>26.1</v>
      </c>
      <c r="Q48" s="559"/>
      <c r="R48" s="559"/>
      <c r="S48" s="560">
        <f t="shared" si="1"/>
        <v>26.1</v>
      </c>
    </row>
    <row r="49" spans="1:19" ht="15.5" x14ac:dyDescent="0.3">
      <c r="A49" s="1488">
        <v>4.2</v>
      </c>
      <c r="B49" s="1492" t="s">
        <v>1638</v>
      </c>
      <c r="C49" s="1554" t="s">
        <v>936</v>
      </c>
      <c r="D49" s="1488" t="s">
        <v>1636</v>
      </c>
      <c r="E49" s="1495">
        <v>40850</v>
      </c>
      <c r="F49" s="559"/>
      <c r="G49" s="1495">
        <f t="shared" si="0"/>
        <v>40850</v>
      </c>
      <c r="H49" s="1634"/>
      <c r="I49" s="1495" t="s">
        <v>1873</v>
      </c>
      <c r="J49" s="1495" t="s">
        <v>1873</v>
      </c>
      <c r="K49" s="1634"/>
      <c r="L49" s="1495" t="s">
        <v>1873</v>
      </c>
      <c r="M49" s="560">
        <v>26.1</v>
      </c>
      <c r="N49" s="560">
        <v>0</v>
      </c>
      <c r="O49" s="559"/>
      <c r="P49" s="1382">
        <f t="shared" si="2"/>
        <v>26.1</v>
      </c>
      <c r="Q49" s="559"/>
      <c r="R49" s="559"/>
      <c r="S49" s="560">
        <f t="shared" si="1"/>
        <v>26.1</v>
      </c>
    </row>
    <row r="50" spans="1:19" ht="15.5" x14ac:dyDescent="0.3">
      <c r="A50" s="1484">
        <v>0</v>
      </c>
      <c r="B50" s="1485" t="s">
        <v>414</v>
      </c>
      <c r="C50" s="1554" t="s">
        <v>414</v>
      </c>
      <c r="D50" s="1488" t="s">
        <v>1636</v>
      </c>
      <c r="E50" s="1495">
        <v>40850</v>
      </c>
      <c r="F50" s="559"/>
      <c r="G50" s="1495">
        <f t="shared" si="0"/>
        <v>40850</v>
      </c>
      <c r="H50" s="1634"/>
      <c r="I50" s="1495" t="s">
        <v>1873</v>
      </c>
      <c r="J50" s="1495" t="s">
        <v>1873</v>
      </c>
      <c r="K50" s="1634"/>
      <c r="L50" s="1495" t="s">
        <v>1873</v>
      </c>
      <c r="M50" s="560">
        <v>5.5</v>
      </c>
      <c r="N50" s="560">
        <v>0</v>
      </c>
      <c r="O50" s="559"/>
      <c r="P50" s="1382">
        <f t="shared" si="2"/>
        <v>5.5</v>
      </c>
      <c r="Q50" s="559"/>
      <c r="R50" s="559"/>
      <c r="S50" s="560">
        <f t="shared" si="1"/>
        <v>5.5</v>
      </c>
    </row>
    <row r="51" spans="1:19" ht="31" x14ac:dyDescent="0.3">
      <c r="A51" s="1477">
        <v>5</v>
      </c>
      <c r="B51" s="1478" t="s">
        <v>1639</v>
      </c>
      <c r="C51" s="1477" t="s">
        <v>928</v>
      </c>
      <c r="D51" s="1477" t="s">
        <v>1640</v>
      </c>
      <c r="E51" s="1479">
        <v>40911</v>
      </c>
      <c r="F51" s="564"/>
      <c r="G51" s="1479">
        <f t="shared" si="0"/>
        <v>40911</v>
      </c>
      <c r="H51" s="1479"/>
      <c r="I51" s="1479" t="s">
        <v>1873</v>
      </c>
      <c r="J51" s="1479" t="s">
        <v>1873</v>
      </c>
      <c r="K51" s="1479"/>
      <c r="L51" s="1479" t="s">
        <v>1873</v>
      </c>
      <c r="M51" s="1380">
        <v>0</v>
      </c>
      <c r="N51" s="1380">
        <v>0</v>
      </c>
      <c r="O51" s="564"/>
      <c r="P51" s="1381">
        <f t="shared" si="2"/>
        <v>0</v>
      </c>
      <c r="Q51" s="564"/>
      <c r="R51" s="564"/>
      <c r="S51" s="1380">
        <f t="shared" si="1"/>
        <v>0</v>
      </c>
    </row>
    <row r="52" spans="1:19" ht="31" x14ac:dyDescent="0.3">
      <c r="A52" s="1482">
        <v>5.0999999999999996</v>
      </c>
      <c r="B52" s="1483" t="s">
        <v>1639</v>
      </c>
      <c r="C52" s="1531" t="s">
        <v>936</v>
      </c>
      <c r="D52" s="1482" t="s">
        <v>1640</v>
      </c>
      <c r="E52" s="1532">
        <v>40911</v>
      </c>
      <c r="F52" s="564"/>
      <c r="G52" s="1532">
        <f t="shared" si="0"/>
        <v>40911</v>
      </c>
      <c r="H52" s="1532"/>
      <c r="I52" s="1532" t="s">
        <v>1873</v>
      </c>
      <c r="J52" s="1532" t="s">
        <v>1873</v>
      </c>
      <c r="K52" s="1532"/>
      <c r="L52" s="1532" t="s">
        <v>1873</v>
      </c>
      <c r="M52" s="565">
        <v>229.4</v>
      </c>
      <c r="N52" s="565">
        <v>0</v>
      </c>
      <c r="O52" s="564"/>
      <c r="P52" s="1381">
        <f t="shared" si="2"/>
        <v>229.4</v>
      </c>
      <c r="Q52" s="564"/>
      <c r="R52" s="564"/>
      <c r="S52" s="565">
        <f t="shared" si="1"/>
        <v>229.4</v>
      </c>
    </row>
    <row r="53" spans="1:19" ht="46.5" x14ac:dyDescent="0.3">
      <c r="A53" s="1486">
        <v>6</v>
      </c>
      <c r="B53" s="1491" t="s">
        <v>1641</v>
      </c>
      <c r="C53" s="1486" t="s">
        <v>928</v>
      </c>
      <c r="D53" s="1486" t="s">
        <v>1642</v>
      </c>
      <c r="E53" s="1487">
        <v>41100</v>
      </c>
      <c r="F53" s="559"/>
      <c r="G53" s="1487">
        <f t="shared" si="0"/>
        <v>41100</v>
      </c>
      <c r="H53" s="1635"/>
      <c r="I53" s="1487" t="s">
        <v>1873</v>
      </c>
      <c r="J53" s="1487" t="s">
        <v>1873</v>
      </c>
      <c r="K53" s="1635"/>
      <c r="L53" s="1487" t="s">
        <v>1873</v>
      </c>
      <c r="M53" s="1383">
        <v>0</v>
      </c>
      <c r="N53" s="1383">
        <v>0</v>
      </c>
      <c r="O53" s="559"/>
      <c r="P53" s="1382">
        <f t="shared" si="2"/>
        <v>0</v>
      </c>
      <c r="Q53" s="559"/>
      <c r="R53" s="559"/>
      <c r="S53" s="1383">
        <f t="shared" si="1"/>
        <v>0</v>
      </c>
    </row>
    <row r="54" spans="1:19" ht="46.5" x14ac:dyDescent="0.3">
      <c r="A54" s="1488">
        <v>6.1</v>
      </c>
      <c r="B54" s="1492" t="s">
        <v>1641</v>
      </c>
      <c r="C54" s="1554" t="s">
        <v>936</v>
      </c>
      <c r="D54" s="1488" t="s">
        <v>1642</v>
      </c>
      <c r="E54" s="1495">
        <v>41100</v>
      </c>
      <c r="F54" s="559"/>
      <c r="G54" s="1495">
        <f t="shared" si="0"/>
        <v>41100</v>
      </c>
      <c r="H54" s="1634"/>
      <c r="I54" s="1495" t="s">
        <v>1873</v>
      </c>
      <c r="J54" s="1495" t="s">
        <v>1873</v>
      </c>
      <c r="K54" s="1634"/>
      <c r="L54" s="1495" t="s">
        <v>1873</v>
      </c>
      <c r="M54" s="560">
        <v>16.77</v>
      </c>
      <c r="N54" s="560">
        <v>5.4266784059999997</v>
      </c>
      <c r="O54" s="559"/>
      <c r="P54" s="1382">
        <f t="shared" si="2"/>
        <v>11.343321593999999</v>
      </c>
      <c r="Q54" s="559"/>
      <c r="R54" s="559"/>
      <c r="S54" s="560">
        <f t="shared" si="1"/>
        <v>11.343321593999999</v>
      </c>
    </row>
    <row r="55" spans="1:19" ht="31" x14ac:dyDescent="0.3">
      <c r="A55" s="1477">
        <v>7</v>
      </c>
      <c r="B55" s="1478" t="s">
        <v>1643</v>
      </c>
      <c r="C55" s="1477" t="s">
        <v>928</v>
      </c>
      <c r="D55" s="1477" t="s">
        <v>1644</v>
      </c>
      <c r="E55" s="1479">
        <v>41100</v>
      </c>
      <c r="F55" s="564"/>
      <c r="G55" s="1479">
        <f t="shared" si="0"/>
        <v>41100</v>
      </c>
      <c r="H55" s="1479"/>
      <c r="I55" s="1479" t="s">
        <v>1873</v>
      </c>
      <c r="J55" s="1479" t="s">
        <v>1873</v>
      </c>
      <c r="K55" s="1479"/>
      <c r="L55" s="1479" t="s">
        <v>1873</v>
      </c>
      <c r="M55" s="1380">
        <v>0</v>
      </c>
      <c r="N55" s="1380">
        <v>0</v>
      </c>
      <c r="O55" s="564"/>
      <c r="P55" s="1381">
        <f t="shared" si="2"/>
        <v>0</v>
      </c>
      <c r="Q55" s="564"/>
      <c r="R55" s="564"/>
      <c r="S55" s="1380">
        <f t="shared" si="1"/>
        <v>0</v>
      </c>
    </row>
    <row r="56" spans="1:19" ht="15.5" x14ac:dyDescent="0.3">
      <c r="A56" s="1482">
        <v>7.1</v>
      </c>
      <c r="B56" s="1483" t="s">
        <v>1645</v>
      </c>
      <c r="C56" s="1531" t="s">
        <v>936</v>
      </c>
      <c r="D56" s="1482" t="s">
        <v>1644</v>
      </c>
      <c r="E56" s="1532">
        <v>41100</v>
      </c>
      <c r="F56" s="564"/>
      <c r="G56" s="1532">
        <f t="shared" si="0"/>
        <v>41100</v>
      </c>
      <c r="H56" s="1532"/>
      <c r="I56" s="1532" t="s">
        <v>1873</v>
      </c>
      <c r="J56" s="1532" t="s">
        <v>1873</v>
      </c>
      <c r="K56" s="1532"/>
      <c r="L56" s="1532" t="s">
        <v>1873</v>
      </c>
      <c r="M56" s="565">
        <v>11.2318</v>
      </c>
      <c r="N56" s="565">
        <v>19.378237200000001</v>
      </c>
      <c r="O56" s="564"/>
      <c r="P56" s="1381">
        <f t="shared" si="2"/>
        <v>-8.1464372000000012</v>
      </c>
      <c r="Q56" s="564"/>
      <c r="R56" s="564"/>
      <c r="S56" s="565">
        <f t="shared" si="1"/>
        <v>-8.1464372000000012</v>
      </c>
    </row>
    <row r="57" spans="1:19" ht="15.5" x14ac:dyDescent="0.3">
      <c r="A57" s="1482">
        <v>7.2</v>
      </c>
      <c r="B57" s="1483" t="s">
        <v>1647</v>
      </c>
      <c r="C57" s="1531" t="s">
        <v>936</v>
      </c>
      <c r="D57" s="1482" t="s">
        <v>1644</v>
      </c>
      <c r="E57" s="1532">
        <v>41100</v>
      </c>
      <c r="F57" s="564"/>
      <c r="G57" s="1532">
        <f t="shared" si="0"/>
        <v>41100</v>
      </c>
      <c r="H57" s="1532"/>
      <c r="I57" s="1532" t="s">
        <v>1873</v>
      </c>
      <c r="J57" s="1532" t="s">
        <v>1873</v>
      </c>
      <c r="K57" s="1532"/>
      <c r="L57" s="1532" t="s">
        <v>1873</v>
      </c>
      <c r="M57" s="565">
        <v>14.968</v>
      </c>
      <c r="N57" s="565">
        <v>23.1898537</v>
      </c>
      <c r="O57" s="564"/>
      <c r="P57" s="1381">
        <f t="shared" si="2"/>
        <v>-8.2218537000000005</v>
      </c>
      <c r="Q57" s="564"/>
      <c r="R57" s="564"/>
      <c r="S57" s="565">
        <f t="shared" si="1"/>
        <v>-8.2218537000000005</v>
      </c>
    </row>
    <row r="58" spans="1:19" ht="15.5" x14ac:dyDescent="0.3">
      <c r="A58" s="1482">
        <v>0</v>
      </c>
      <c r="B58" s="1483" t="s">
        <v>414</v>
      </c>
      <c r="C58" s="1531" t="s">
        <v>414</v>
      </c>
      <c r="D58" s="1482" t="s">
        <v>1644</v>
      </c>
      <c r="E58" s="1532">
        <v>41100</v>
      </c>
      <c r="F58" s="564"/>
      <c r="G58" s="1532">
        <f t="shared" si="0"/>
        <v>41100</v>
      </c>
      <c r="H58" s="1532"/>
      <c r="I58" s="1532" t="s">
        <v>1873</v>
      </c>
      <c r="J58" s="1532" t="s">
        <v>1873</v>
      </c>
      <c r="K58" s="1532"/>
      <c r="L58" s="1532" t="s">
        <v>1873</v>
      </c>
      <c r="M58" s="565">
        <v>3.0802000000000014</v>
      </c>
      <c r="N58" s="565">
        <v>0</v>
      </c>
      <c r="O58" s="564"/>
      <c r="P58" s="1381">
        <f t="shared" si="2"/>
        <v>3.0802000000000014</v>
      </c>
      <c r="Q58" s="564"/>
      <c r="R58" s="564"/>
      <c r="S58" s="565">
        <f t="shared" si="1"/>
        <v>3.0802000000000014</v>
      </c>
    </row>
    <row r="59" spans="1:19" ht="15.5" x14ac:dyDescent="0.3">
      <c r="A59" s="1477">
        <v>8</v>
      </c>
      <c r="B59" s="1478" t="s">
        <v>1649</v>
      </c>
      <c r="C59" s="1477" t="s">
        <v>928</v>
      </c>
      <c r="D59" s="1477" t="s">
        <v>1650</v>
      </c>
      <c r="E59" s="1479">
        <v>41108</v>
      </c>
      <c r="F59" s="564"/>
      <c r="G59" s="1479">
        <f t="shared" si="0"/>
        <v>41108</v>
      </c>
      <c r="H59" s="1479"/>
      <c r="I59" s="1479" t="s">
        <v>1873</v>
      </c>
      <c r="J59" s="1479" t="s">
        <v>1873</v>
      </c>
      <c r="K59" s="1479"/>
      <c r="L59" s="1479" t="s">
        <v>1873</v>
      </c>
      <c r="M59" s="1380">
        <v>0</v>
      </c>
      <c r="N59" s="1380">
        <v>0</v>
      </c>
      <c r="O59" s="564"/>
      <c r="P59" s="1381">
        <f t="shared" si="2"/>
        <v>0</v>
      </c>
      <c r="Q59" s="564"/>
      <c r="R59" s="564"/>
      <c r="S59" s="1380">
        <f t="shared" si="1"/>
        <v>0</v>
      </c>
    </row>
    <row r="60" spans="1:19" ht="15.5" x14ac:dyDescent="0.3">
      <c r="A60" s="1482">
        <v>8.1</v>
      </c>
      <c r="B60" s="1483" t="s">
        <v>1651</v>
      </c>
      <c r="C60" s="1531" t="s">
        <v>936</v>
      </c>
      <c r="D60" s="1482" t="s">
        <v>1650</v>
      </c>
      <c r="E60" s="1532">
        <v>41108</v>
      </c>
      <c r="F60" s="564"/>
      <c r="G60" s="1532">
        <f t="shared" si="0"/>
        <v>41108</v>
      </c>
      <c r="H60" s="1532"/>
      <c r="I60" s="1532" t="s">
        <v>1873</v>
      </c>
      <c r="J60" s="1532" t="s">
        <v>1873</v>
      </c>
      <c r="K60" s="1532"/>
      <c r="L60" s="1532" t="s">
        <v>1873</v>
      </c>
      <c r="M60" s="565">
        <v>8.5</v>
      </c>
      <c r="N60" s="565">
        <v>0</v>
      </c>
      <c r="O60" s="564"/>
      <c r="P60" s="1381">
        <f t="shared" si="2"/>
        <v>8.5</v>
      </c>
      <c r="Q60" s="564"/>
      <c r="R60" s="564"/>
      <c r="S60" s="565">
        <f t="shared" si="1"/>
        <v>8.5</v>
      </c>
    </row>
    <row r="61" spans="1:19" ht="15.5" x14ac:dyDescent="0.3">
      <c r="A61" s="1482">
        <v>8.1999999999999993</v>
      </c>
      <c r="B61" s="1483" t="s">
        <v>1652</v>
      </c>
      <c r="C61" s="1531" t="s">
        <v>936</v>
      </c>
      <c r="D61" s="1482" t="s">
        <v>1650</v>
      </c>
      <c r="E61" s="1532">
        <v>41108</v>
      </c>
      <c r="F61" s="564"/>
      <c r="G61" s="1532">
        <f t="shared" si="0"/>
        <v>41108</v>
      </c>
      <c r="H61" s="1532"/>
      <c r="I61" s="1532" t="s">
        <v>1873</v>
      </c>
      <c r="J61" s="1532" t="s">
        <v>1873</v>
      </c>
      <c r="K61" s="1532"/>
      <c r="L61" s="1532" t="s">
        <v>1873</v>
      </c>
      <c r="M61" s="565">
        <v>8.5</v>
      </c>
      <c r="N61" s="565">
        <v>0</v>
      </c>
      <c r="O61" s="564"/>
      <c r="P61" s="1381">
        <f t="shared" si="2"/>
        <v>8.5</v>
      </c>
      <c r="Q61" s="564"/>
      <c r="R61" s="564"/>
      <c r="S61" s="565">
        <f t="shared" si="1"/>
        <v>8.5</v>
      </c>
    </row>
    <row r="62" spans="1:19" ht="15.5" x14ac:dyDescent="0.3">
      <c r="A62" s="1482">
        <v>0</v>
      </c>
      <c r="B62" s="1483" t="s">
        <v>414</v>
      </c>
      <c r="C62" s="1531" t="s">
        <v>414</v>
      </c>
      <c r="D62" s="1482" t="s">
        <v>1650</v>
      </c>
      <c r="E62" s="1532">
        <v>41108</v>
      </c>
      <c r="F62" s="564"/>
      <c r="G62" s="1532">
        <f t="shared" si="0"/>
        <v>41108</v>
      </c>
      <c r="H62" s="1532"/>
      <c r="I62" s="1532" t="s">
        <v>1873</v>
      </c>
      <c r="J62" s="1532" t="s">
        <v>1873</v>
      </c>
      <c r="K62" s="1532"/>
      <c r="L62" s="1532" t="s">
        <v>1873</v>
      </c>
      <c r="M62" s="565">
        <v>1.2</v>
      </c>
      <c r="N62" s="565">
        <v>0</v>
      </c>
      <c r="O62" s="564"/>
      <c r="P62" s="1381">
        <f t="shared" si="2"/>
        <v>1.2</v>
      </c>
      <c r="Q62" s="564"/>
      <c r="R62" s="564"/>
      <c r="S62" s="565">
        <f t="shared" si="1"/>
        <v>1.2</v>
      </c>
    </row>
    <row r="63" spans="1:19" ht="31" x14ac:dyDescent="0.3">
      <c r="A63" s="1477">
        <v>9</v>
      </c>
      <c r="B63" s="1478" t="s">
        <v>1653</v>
      </c>
      <c r="C63" s="1477" t="s">
        <v>928</v>
      </c>
      <c r="D63" s="1477" t="s">
        <v>1654</v>
      </c>
      <c r="E63" s="1479">
        <v>41464</v>
      </c>
      <c r="F63" s="564"/>
      <c r="G63" s="1479">
        <f t="shared" si="0"/>
        <v>41464</v>
      </c>
      <c r="H63" s="1479"/>
      <c r="I63" s="1479" t="s">
        <v>1873</v>
      </c>
      <c r="J63" s="1479" t="s">
        <v>1873</v>
      </c>
      <c r="K63" s="1479"/>
      <c r="L63" s="1479" t="s">
        <v>1873</v>
      </c>
      <c r="M63" s="1380">
        <v>0</v>
      </c>
      <c r="N63" s="1380">
        <v>0</v>
      </c>
      <c r="O63" s="564"/>
      <c r="P63" s="1381">
        <f t="shared" si="2"/>
        <v>0</v>
      </c>
      <c r="Q63" s="564"/>
      <c r="R63" s="564"/>
      <c r="S63" s="1380">
        <f t="shared" si="1"/>
        <v>0</v>
      </c>
    </row>
    <row r="64" spans="1:19" ht="46.5" x14ac:dyDescent="0.3">
      <c r="A64" s="1482">
        <v>9.1</v>
      </c>
      <c r="B64" s="1483" t="s">
        <v>1655</v>
      </c>
      <c r="C64" s="1531" t="s">
        <v>936</v>
      </c>
      <c r="D64" s="1482" t="s">
        <v>1654</v>
      </c>
      <c r="E64" s="1532">
        <v>41464</v>
      </c>
      <c r="F64" s="564"/>
      <c r="G64" s="1532">
        <f t="shared" si="0"/>
        <v>41464</v>
      </c>
      <c r="H64" s="1532"/>
      <c r="I64" s="1532" t="s">
        <v>1873</v>
      </c>
      <c r="J64" s="1532" t="s">
        <v>1873</v>
      </c>
      <c r="K64" s="1532"/>
      <c r="L64" s="1532" t="s">
        <v>1873</v>
      </c>
      <c r="M64" s="565">
        <v>101.8526</v>
      </c>
      <c r="N64" s="565">
        <v>0</v>
      </c>
      <c r="O64" s="564"/>
      <c r="P64" s="1381">
        <f t="shared" si="2"/>
        <v>101.8526</v>
      </c>
      <c r="Q64" s="564"/>
      <c r="R64" s="564"/>
      <c r="S64" s="565">
        <f t="shared" si="1"/>
        <v>101.8526</v>
      </c>
    </row>
    <row r="65" spans="1:19" ht="31" x14ac:dyDescent="0.3">
      <c r="A65" s="1482">
        <v>0</v>
      </c>
      <c r="B65" s="1483" t="s">
        <v>414</v>
      </c>
      <c r="C65" s="1531" t="s">
        <v>414</v>
      </c>
      <c r="D65" s="1482" t="s">
        <v>1654</v>
      </c>
      <c r="E65" s="1532">
        <v>41464</v>
      </c>
      <c r="F65" s="564"/>
      <c r="G65" s="1532">
        <f t="shared" si="0"/>
        <v>41464</v>
      </c>
      <c r="H65" s="1532"/>
      <c r="I65" s="1532" t="s">
        <v>1873</v>
      </c>
      <c r="J65" s="1532" t="s">
        <v>1873</v>
      </c>
      <c r="K65" s="1532"/>
      <c r="L65" s="1532" t="s">
        <v>1873</v>
      </c>
      <c r="M65" s="565">
        <v>5.9837999999999996</v>
      </c>
      <c r="N65" s="565">
        <v>0</v>
      </c>
      <c r="O65" s="564"/>
      <c r="P65" s="1381">
        <f t="shared" si="2"/>
        <v>5.9837999999999996</v>
      </c>
      <c r="Q65" s="564"/>
      <c r="R65" s="564"/>
      <c r="S65" s="565">
        <f t="shared" si="1"/>
        <v>5.9837999999999996</v>
      </c>
    </row>
    <row r="66" spans="1:19" ht="15.5" x14ac:dyDescent="0.3">
      <c r="A66" s="1489">
        <v>10</v>
      </c>
      <c r="B66" s="1490" t="s">
        <v>1656</v>
      </c>
      <c r="C66" s="1486" t="s">
        <v>928</v>
      </c>
      <c r="D66" s="1486" t="s">
        <v>1657</v>
      </c>
      <c r="E66" s="1487">
        <v>41281</v>
      </c>
      <c r="F66" s="559"/>
      <c r="G66" s="1487">
        <f t="shared" si="0"/>
        <v>41281</v>
      </c>
      <c r="H66" s="1635"/>
      <c r="I66" s="1487" t="s">
        <v>1873</v>
      </c>
      <c r="J66" s="1487" t="s">
        <v>1873</v>
      </c>
      <c r="K66" s="1635"/>
      <c r="L66" s="1487" t="s">
        <v>1873</v>
      </c>
      <c r="M66" s="1383">
        <v>0</v>
      </c>
      <c r="N66" s="1383">
        <v>0</v>
      </c>
      <c r="O66" s="559"/>
      <c r="P66" s="1382">
        <f t="shared" si="2"/>
        <v>0</v>
      </c>
      <c r="Q66" s="559"/>
      <c r="R66" s="559"/>
      <c r="S66" s="1383">
        <f t="shared" si="1"/>
        <v>0</v>
      </c>
    </row>
    <row r="67" spans="1:19" ht="15.5" x14ac:dyDescent="0.3">
      <c r="A67" s="1484">
        <v>10.1</v>
      </c>
      <c r="B67" s="1485" t="s">
        <v>1658</v>
      </c>
      <c r="C67" s="1554" t="s">
        <v>936</v>
      </c>
      <c r="D67" s="1488" t="s">
        <v>1657</v>
      </c>
      <c r="E67" s="1495">
        <v>41281</v>
      </c>
      <c r="F67" s="559"/>
      <c r="G67" s="1495">
        <f t="shared" si="0"/>
        <v>41281</v>
      </c>
      <c r="H67" s="1634"/>
      <c r="I67" s="1495" t="s">
        <v>1873</v>
      </c>
      <c r="J67" s="1495" t="s">
        <v>1873</v>
      </c>
      <c r="K67" s="1634"/>
      <c r="L67" s="1495" t="s">
        <v>1873</v>
      </c>
      <c r="M67" s="560">
        <v>7.12</v>
      </c>
      <c r="N67" s="560">
        <v>1.4079700719999999</v>
      </c>
      <c r="O67" s="559"/>
      <c r="P67" s="1382">
        <f t="shared" si="2"/>
        <v>5.7120299279999998</v>
      </c>
      <c r="Q67" s="559"/>
      <c r="R67" s="559"/>
      <c r="S67" s="560">
        <f t="shared" si="1"/>
        <v>5.7120299279999998</v>
      </c>
    </row>
    <row r="68" spans="1:19" ht="15.5" x14ac:dyDescent="0.3">
      <c r="A68" s="1484">
        <v>10.199999999999999</v>
      </c>
      <c r="B68" s="1485" t="s">
        <v>1659</v>
      </c>
      <c r="C68" s="1554" t="s">
        <v>936</v>
      </c>
      <c r="D68" s="1488" t="s">
        <v>1657</v>
      </c>
      <c r="E68" s="1495">
        <v>41281</v>
      </c>
      <c r="F68" s="559"/>
      <c r="G68" s="1495">
        <f t="shared" si="0"/>
        <v>41281</v>
      </c>
      <c r="H68" s="1634"/>
      <c r="I68" s="1495" t="s">
        <v>1873</v>
      </c>
      <c r="J68" s="1495" t="s">
        <v>1873</v>
      </c>
      <c r="K68" s="1634"/>
      <c r="L68" s="1495" t="s">
        <v>1873</v>
      </c>
      <c r="M68" s="560">
        <v>3.03</v>
      </c>
      <c r="N68" s="560">
        <v>2.4823816700000001</v>
      </c>
      <c r="O68" s="559"/>
      <c r="P68" s="1382">
        <f t="shared" si="2"/>
        <v>0.54761832999999971</v>
      </c>
      <c r="Q68" s="559"/>
      <c r="R68" s="559"/>
      <c r="S68" s="560">
        <f t="shared" si="1"/>
        <v>0.54761832999999971</v>
      </c>
    </row>
    <row r="69" spans="1:19" ht="15.5" x14ac:dyDescent="0.3">
      <c r="A69" s="1484">
        <v>10.3</v>
      </c>
      <c r="B69" s="1485" t="s">
        <v>1660</v>
      </c>
      <c r="C69" s="1554" t="s">
        <v>936</v>
      </c>
      <c r="D69" s="1488" t="s">
        <v>1657</v>
      </c>
      <c r="E69" s="1495">
        <v>41281</v>
      </c>
      <c r="F69" s="559"/>
      <c r="G69" s="1495">
        <f t="shared" si="0"/>
        <v>41281</v>
      </c>
      <c r="H69" s="1634"/>
      <c r="I69" s="1495" t="s">
        <v>1873</v>
      </c>
      <c r="J69" s="1495" t="s">
        <v>1873</v>
      </c>
      <c r="K69" s="1634"/>
      <c r="L69" s="1495" t="s">
        <v>1873</v>
      </c>
      <c r="M69" s="560">
        <v>3.6</v>
      </c>
      <c r="N69" s="560">
        <v>4.4210943270000005</v>
      </c>
      <c r="O69" s="559"/>
      <c r="P69" s="1382">
        <f t="shared" si="2"/>
        <v>-0.8210943270000004</v>
      </c>
      <c r="Q69" s="559"/>
      <c r="R69" s="559"/>
      <c r="S69" s="560">
        <f t="shared" si="1"/>
        <v>-0.8210943270000004</v>
      </c>
    </row>
    <row r="70" spans="1:19" ht="15.5" x14ac:dyDescent="0.3">
      <c r="A70" s="1484">
        <v>0</v>
      </c>
      <c r="B70" s="1485" t="s">
        <v>414</v>
      </c>
      <c r="C70" s="1554" t="s">
        <v>414</v>
      </c>
      <c r="D70" s="1488" t="s">
        <v>1657</v>
      </c>
      <c r="E70" s="1495">
        <v>41281</v>
      </c>
      <c r="F70" s="559"/>
      <c r="G70" s="1495">
        <f t="shared" si="0"/>
        <v>41281</v>
      </c>
      <c r="H70" s="1634"/>
      <c r="I70" s="1495" t="s">
        <v>1873</v>
      </c>
      <c r="J70" s="1495" t="s">
        <v>1873</v>
      </c>
      <c r="K70" s="1634"/>
      <c r="L70" s="1495" t="s">
        <v>1873</v>
      </c>
      <c r="M70" s="560">
        <v>1.5</v>
      </c>
      <c r="N70" s="560">
        <v>0</v>
      </c>
      <c r="O70" s="559"/>
      <c r="P70" s="1382">
        <f t="shared" si="2"/>
        <v>1.5</v>
      </c>
      <c r="Q70" s="559"/>
      <c r="R70" s="559"/>
      <c r="S70" s="560">
        <f t="shared" si="1"/>
        <v>1.5</v>
      </c>
    </row>
    <row r="71" spans="1:19" ht="31" x14ac:dyDescent="0.3">
      <c r="A71" s="1477">
        <v>11</v>
      </c>
      <c r="B71" s="1478" t="s">
        <v>1661</v>
      </c>
      <c r="C71" s="1477" t="s">
        <v>928</v>
      </c>
      <c r="D71" s="1477" t="s">
        <v>1662</v>
      </c>
      <c r="E71" s="1479">
        <v>41382</v>
      </c>
      <c r="F71" s="564"/>
      <c r="G71" s="1479">
        <f t="shared" si="0"/>
        <v>41382</v>
      </c>
      <c r="H71" s="1479"/>
      <c r="I71" s="1479" t="s">
        <v>1873</v>
      </c>
      <c r="J71" s="1479" t="s">
        <v>1873</v>
      </c>
      <c r="K71" s="1479"/>
      <c r="L71" s="1479" t="s">
        <v>1873</v>
      </c>
      <c r="M71" s="1380">
        <v>0</v>
      </c>
      <c r="N71" s="1380">
        <v>0</v>
      </c>
      <c r="O71" s="564"/>
      <c r="P71" s="1381">
        <f t="shared" si="2"/>
        <v>0</v>
      </c>
      <c r="Q71" s="564"/>
      <c r="R71" s="564"/>
      <c r="S71" s="1380">
        <f t="shared" si="1"/>
        <v>0</v>
      </c>
    </row>
    <row r="72" spans="1:19" ht="31" x14ac:dyDescent="0.3">
      <c r="A72" s="1482">
        <v>11.1</v>
      </c>
      <c r="B72" s="1483" t="s">
        <v>1663</v>
      </c>
      <c r="C72" s="1531" t="s">
        <v>936</v>
      </c>
      <c r="D72" s="1482" t="s">
        <v>1662</v>
      </c>
      <c r="E72" s="1532">
        <v>41382</v>
      </c>
      <c r="F72" s="564"/>
      <c r="G72" s="1532">
        <f t="shared" si="0"/>
        <v>41382</v>
      </c>
      <c r="H72" s="1532"/>
      <c r="I72" s="1532" t="s">
        <v>1873</v>
      </c>
      <c r="J72" s="1532" t="s">
        <v>1873</v>
      </c>
      <c r="K72" s="1532"/>
      <c r="L72" s="1532" t="s">
        <v>1873</v>
      </c>
      <c r="M72" s="565">
        <v>12.3</v>
      </c>
      <c r="N72" s="565">
        <v>0</v>
      </c>
      <c r="O72" s="564"/>
      <c r="P72" s="1381">
        <f t="shared" si="2"/>
        <v>12.3</v>
      </c>
      <c r="Q72" s="564"/>
      <c r="R72" s="564"/>
      <c r="S72" s="565">
        <f t="shared" si="1"/>
        <v>12.3</v>
      </c>
    </row>
    <row r="73" spans="1:19" ht="31" x14ac:dyDescent="0.3">
      <c r="A73" s="1482">
        <v>11.2</v>
      </c>
      <c r="B73" s="1483" t="s">
        <v>1664</v>
      </c>
      <c r="C73" s="1531" t="s">
        <v>936</v>
      </c>
      <c r="D73" s="1482" t="s">
        <v>1662</v>
      </c>
      <c r="E73" s="1532">
        <v>41382</v>
      </c>
      <c r="F73" s="564"/>
      <c r="G73" s="1532">
        <f t="shared" si="0"/>
        <v>41382</v>
      </c>
      <c r="H73" s="1532"/>
      <c r="I73" s="1532" t="s">
        <v>1873</v>
      </c>
      <c r="J73" s="1532" t="s">
        <v>1873</v>
      </c>
      <c r="K73" s="1532"/>
      <c r="L73" s="1532" t="s">
        <v>1873</v>
      </c>
      <c r="M73" s="565">
        <v>6.1</v>
      </c>
      <c r="N73" s="565">
        <v>0</v>
      </c>
      <c r="O73" s="564"/>
      <c r="P73" s="1381">
        <f t="shared" si="2"/>
        <v>6.1</v>
      </c>
      <c r="Q73" s="564"/>
      <c r="R73" s="564"/>
      <c r="S73" s="565">
        <f t="shared" si="1"/>
        <v>6.1</v>
      </c>
    </row>
    <row r="74" spans="1:19" ht="31" x14ac:dyDescent="0.3">
      <c r="A74" s="1482">
        <v>11.3</v>
      </c>
      <c r="B74" s="1483" t="s">
        <v>1665</v>
      </c>
      <c r="C74" s="1531" t="s">
        <v>936</v>
      </c>
      <c r="D74" s="1482" t="s">
        <v>1662</v>
      </c>
      <c r="E74" s="1532">
        <v>41382</v>
      </c>
      <c r="F74" s="564"/>
      <c r="G74" s="1532">
        <f t="shared" si="0"/>
        <v>41382</v>
      </c>
      <c r="H74" s="1532"/>
      <c r="I74" s="1532" t="s">
        <v>1873</v>
      </c>
      <c r="J74" s="1532" t="s">
        <v>1873</v>
      </c>
      <c r="K74" s="1532"/>
      <c r="L74" s="1532" t="s">
        <v>1873</v>
      </c>
      <c r="M74" s="565">
        <v>8.0749999999999993</v>
      </c>
      <c r="N74" s="565">
        <v>0</v>
      </c>
      <c r="O74" s="564"/>
      <c r="P74" s="1381">
        <f t="shared" si="2"/>
        <v>8.0749999999999993</v>
      </c>
      <c r="Q74" s="564"/>
      <c r="R74" s="564"/>
      <c r="S74" s="565">
        <f t="shared" si="1"/>
        <v>8.0749999999999993</v>
      </c>
    </row>
    <row r="75" spans="1:19" ht="31" x14ac:dyDescent="0.3">
      <c r="A75" s="1482">
        <v>11.4</v>
      </c>
      <c r="B75" s="1483" t="s">
        <v>1666</v>
      </c>
      <c r="C75" s="1531" t="s">
        <v>936</v>
      </c>
      <c r="D75" s="1482" t="s">
        <v>1662</v>
      </c>
      <c r="E75" s="1532">
        <v>41382</v>
      </c>
      <c r="F75" s="564"/>
      <c r="G75" s="1532">
        <f t="shared" ref="G75:G138" si="3">E75</f>
        <v>41382</v>
      </c>
      <c r="H75" s="1532"/>
      <c r="I75" s="1532" t="s">
        <v>1873</v>
      </c>
      <c r="J75" s="1532" t="s">
        <v>1873</v>
      </c>
      <c r="K75" s="1532"/>
      <c r="L75" s="1532" t="s">
        <v>1873</v>
      </c>
      <c r="M75" s="565">
        <v>16</v>
      </c>
      <c r="N75" s="565">
        <v>0</v>
      </c>
      <c r="O75" s="564"/>
      <c r="P75" s="1381">
        <f t="shared" si="2"/>
        <v>16</v>
      </c>
      <c r="Q75" s="564"/>
      <c r="R75" s="564"/>
      <c r="S75" s="565">
        <f t="shared" ref="S75:S138" si="4">IF(SUM(O75:R75)=0,M75-N75,SUM(O75:R75))</f>
        <v>16</v>
      </c>
    </row>
    <row r="76" spans="1:19" ht="31" x14ac:dyDescent="0.3">
      <c r="A76" s="1482">
        <v>11.5</v>
      </c>
      <c r="B76" s="1483" t="s">
        <v>1667</v>
      </c>
      <c r="C76" s="1531" t="s">
        <v>936</v>
      </c>
      <c r="D76" s="1482" t="s">
        <v>1662</v>
      </c>
      <c r="E76" s="1532">
        <v>41382</v>
      </c>
      <c r="F76" s="564"/>
      <c r="G76" s="1532">
        <f t="shared" si="3"/>
        <v>41382</v>
      </c>
      <c r="H76" s="1532"/>
      <c r="I76" s="1532" t="s">
        <v>1873</v>
      </c>
      <c r="J76" s="1532" t="s">
        <v>1873</v>
      </c>
      <c r="K76" s="1532"/>
      <c r="L76" s="1532" t="s">
        <v>1873</v>
      </c>
      <c r="M76" s="565">
        <v>0.45950000000000002</v>
      </c>
      <c r="N76" s="565">
        <v>0</v>
      </c>
      <c r="O76" s="564"/>
      <c r="P76" s="1381">
        <f t="shared" ref="P76:P139" si="5">M76-N76</f>
        <v>0.45950000000000002</v>
      </c>
      <c r="Q76" s="564"/>
      <c r="R76" s="564"/>
      <c r="S76" s="565">
        <f t="shared" si="4"/>
        <v>0.45950000000000002</v>
      </c>
    </row>
    <row r="77" spans="1:19" ht="31" x14ac:dyDescent="0.3">
      <c r="A77" s="1482">
        <v>11.6</v>
      </c>
      <c r="B77" s="1483" t="s">
        <v>1668</v>
      </c>
      <c r="C77" s="1531" t="s">
        <v>936</v>
      </c>
      <c r="D77" s="1482" t="s">
        <v>1662</v>
      </c>
      <c r="E77" s="1532">
        <v>41382</v>
      </c>
      <c r="F77" s="564"/>
      <c r="G77" s="1532">
        <f t="shared" si="3"/>
        <v>41382</v>
      </c>
      <c r="H77" s="1532"/>
      <c r="I77" s="1532" t="s">
        <v>1873</v>
      </c>
      <c r="J77" s="1532" t="s">
        <v>1873</v>
      </c>
      <c r="K77" s="1532"/>
      <c r="L77" s="1532" t="s">
        <v>1873</v>
      </c>
      <c r="M77" s="565">
        <v>0.83</v>
      </c>
      <c r="N77" s="565">
        <v>0</v>
      </c>
      <c r="O77" s="564"/>
      <c r="P77" s="1381">
        <f t="shared" si="5"/>
        <v>0.83</v>
      </c>
      <c r="Q77" s="564"/>
      <c r="R77" s="564"/>
      <c r="S77" s="565">
        <f t="shared" si="4"/>
        <v>0.83</v>
      </c>
    </row>
    <row r="78" spans="1:19" ht="31" x14ac:dyDescent="0.3">
      <c r="A78" s="1482">
        <v>11.7</v>
      </c>
      <c r="B78" s="1483" t="s">
        <v>1669</v>
      </c>
      <c r="C78" s="1531" t="s">
        <v>936</v>
      </c>
      <c r="D78" s="1482" t="s">
        <v>1662</v>
      </c>
      <c r="E78" s="1532">
        <v>41382</v>
      </c>
      <c r="F78" s="564"/>
      <c r="G78" s="1532">
        <f t="shared" si="3"/>
        <v>41382</v>
      </c>
      <c r="H78" s="1532"/>
      <c r="I78" s="1532" t="s">
        <v>1873</v>
      </c>
      <c r="J78" s="1532" t="s">
        <v>1873</v>
      </c>
      <c r="K78" s="1532"/>
      <c r="L78" s="1532" t="s">
        <v>1873</v>
      </c>
      <c r="M78" s="565">
        <v>0.6</v>
      </c>
      <c r="N78" s="565">
        <v>0</v>
      </c>
      <c r="O78" s="564"/>
      <c r="P78" s="1381">
        <f t="shared" si="5"/>
        <v>0.6</v>
      </c>
      <c r="Q78" s="564"/>
      <c r="R78" s="564"/>
      <c r="S78" s="565">
        <f t="shared" si="4"/>
        <v>0.6</v>
      </c>
    </row>
    <row r="79" spans="1:19" ht="31" x14ac:dyDescent="0.3">
      <c r="A79" s="1482">
        <v>11.8</v>
      </c>
      <c r="B79" s="1483" t="s">
        <v>1670</v>
      </c>
      <c r="C79" s="1531" t="s">
        <v>936</v>
      </c>
      <c r="D79" s="1482" t="s">
        <v>1662</v>
      </c>
      <c r="E79" s="1532">
        <v>41382</v>
      </c>
      <c r="F79" s="564"/>
      <c r="G79" s="1532">
        <f t="shared" si="3"/>
        <v>41382</v>
      </c>
      <c r="H79" s="1532"/>
      <c r="I79" s="1532" t="s">
        <v>1873</v>
      </c>
      <c r="J79" s="1532" t="s">
        <v>1873</v>
      </c>
      <c r="K79" s="1532"/>
      <c r="L79" s="1532" t="s">
        <v>1873</v>
      </c>
      <c r="M79" s="565">
        <v>2.8674249999999999</v>
      </c>
      <c r="N79" s="565">
        <v>0</v>
      </c>
      <c r="O79" s="564"/>
      <c r="P79" s="1381">
        <f t="shared" si="5"/>
        <v>2.8674249999999999</v>
      </c>
      <c r="Q79" s="564"/>
      <c r="R79" s="564"/>
      <c r="S79" s="565">
        <f t="shared" si="4"/>
        <v>2.8674249999999999</v>
      </c>
    </row>
    <row r="80" spans="1:19" ht="31" x14ac:dyDescent="0.3">
      <c r="A80" s="1482">
        <v>11.9</v>
      </c>
      <c r="B80" s="1483" t="s">
        <v>1671</v>
      </c>
      <c r="C80" s="1531" t="s">
        <v>936</v>
      </c>
      <c r="D80" s="1482" t="s">
        <v>1662</v>
      </c>
      <c r="E80" s="1532">
        <v>41382</v>
      </c>
      <c r="F80" s="564"/>
      <c r="G80" s="1532">
        <f t="shared" si="3"/>
        <v>41382</v>
      </c>
      <c r="H80" s="1532"/>
      <c r="I80" s="1532" t="s">
        <v>1873</v>
      </c>
      <c r="J80" s="1532" t="s">
        <v>1873</v>
      </c>
      <c r="K80" s="1532"/>
      <c r="L80" s="1532" t="s">
        <v>1873</v>
      </c>
      <c r="M80" s="565">
        <v>3.8959999999999999</v>
      </c>
      <c r="N80" s="565">
        <v>0</v>
      </c>
      <c r="O80" s="564"/>
      <c r="P80" s="1381">
        <f t="shared" si="5"/>
        <v>3.8959999999999999</v>
      </c>
      <c r="Q80" s="564"/>
      <c r="R80" s="564"/>
      <c r="S80" s="565">
        <f t="shared" si="4"/>
        <v>3.8959999999999999</v>
      </c>
    </row>
    <row r="81" spans="1:19" ht="31" x14ac:dyDescent="0.3">
      <c r="A81" s="1482">
        <v>0</v>
      </c>
      <c r="B81" s="1483" t="s">
        <v>414</v>
      </c>
      <c r="C81" s="1531" t="s">
        <v>414</v>
      </c>
      <c r="D81" s="1482" t="s">
        <v>1662</v>
      </c>
      <c r="E81" s="1532">
        <v>41382</v>
      </c>
      <c r="F81" s="564"/>
      <c r="G81" s="1532">
        <f t="shared" si="3"/>
        <v>41382</v>
      </c>
      <c r="H81" s="1532"/>
      <c r="I81" s="1532" t="s">
        <v>1873</v>
      </c>
      <c r="J81" s="1532" t="s">
        <v>1873</v>
      </c>
      <c r="K81" s="1532"/>
      <c r="L81" s="1532" t="s">
        <v>1873</v>
      </c>
      <c r="M81" s="565">
        <v>3.07</v>
      </c>
      <c r="N81" s="565">
        <v>0</v>
      </c>
      <c r="O81" s="564"/>
      <c r="P81" s="1381">
        <f t="shared" si="5"/>
        <v>3.07</v>
      </c>
      <c r="Q81" s="564"/>
      <c r="R81" s="564"/>
      <c r="S81" s="565">
        <f t="shared" si="4"/>
        <v>3.07</v>
      </c>
    </row>
    <row r="82" spans="1:19" ht="31" x14ac:dyDescent="0.3">
      <c r="A82" s="1489">
        <v>12</v>
      </c>
      <c r="B82" s="1490" t="s">
        <v>1672</v>
      </c>
      <c r="C82" s="1486" t="s">
        <v>928</v>
      </c>
      <c r="D82" s="1486" t="s">
        <v>1673</v>
      </c>
      <c r="E82" s="1487">
        <v>41551</v>
      </c>
      <c r="F82" s="559"/>
      <c r="G82" s="1487">
        <f t="shared" si="3"/>
        <v>41551</v>
      </c>
      <c r="H82" s="1635"/>
      <c r="I82" s="1487" t="s">
        <v>1873</v>
      </c>
      <c r="J82" s="1487" t="s">
        <v>1873</v>
      </c>
      <c r="K82" s="1635"/>
      <c r="L82" s="1487" t="s">
        <v>1873</v>
      </c>
      <c r="M82" s="1383">
        <v>0</v>
      </c>
      <c r="N82" s="1383">
        <v>0</v>
      </c>
      <c r="O82" s="559"/>
      <c r="P82" s="1382">
        <f t="shared" si="5"/>
        <v>0</v>
      </c>
      <c r="Q82" s="559"/>
      <c r="R82" s="559"/>
      <c r="S82" s="1383">
        <f t="shared" si="4"/>
        <v>0</v>
      </c>
    </row>
    <row r="83" spans="1:19" ht="31" x14ac:dyDescent="0.3">
      <c r="A83" s="1484">
        <v>12.1</v>
      </c>
      <c r="B83" s="1485" t="s">
        <v>1674</v>
      </c>
      <c r="C83" s="1554" t="s">
        <v>936</v>
      </c>
      <c r="D83" s="1488" t="s">
        <v>1673</v>
      </c>
      <c r="E83" s="1495">
        <v>41551</v>
      </c>
      <c r="F83" s="559"/>
      <c r="G83" s="1495">
        <f t="shared" si="3"/>
        <v>41551</v>
      </c>
      <c r="H83" s="1634"/>
      <c r="I83" s="1495" t="s">
        <v>1873</v>
      </c>
      <c r="J83" s="1495" t="s">
        <v>1873</v>
      </c>
      <c r="K83" s="1634"/>
      <c r="L83" s="1495" t="s">
        <v>1873</v>
      </c>
      <c r="M83" s="560">
        <v>2.08</v>
      </c>
      <c r="N83" s="560">
        <v>2.0369565389999997</v>
      </c>
      <c r="O83" s="559"/>
      <c r="P83" s="1382">
        <f t="shared" si="5"/>
        <v>4.3043461000000338E-2</v>
      </c>
      <c r="Q83" s="559"/>
      <c r="R83" s="559"/>
      <c r="S83" s="560">
        <f t="shared" si="4"/>
        <v>4.3043461000000338E-2</v>
      </c>
    </row>
    <row r="84" spans="1:19" ht="31" x14ac:dyDescent="0.3">
      <c r="A84" s="1484">
        <v>12.2</v>
      </c>
      <c r="B84" s="1485" t="s">
        <v>2428</v>
      </c>
      <c r="C84" s="1554" t="s">
        <v>936</v>
      </c>
      <c r="D84" s="1488" t="s">
        <v>1673</v>
      </c>
      <c r="E84" s="1495">
        <v>41551</v>
      </c>
      <c r="F84" s="559"/>
      <c r="G84" s="1495">
        <f t="shared" si="3"/>
        <v>41551</v>
      </c>
      <c r="H84" s="1634"/>
      <c r="I84" s="1495" t="s">
        <v>1873</v>
      </c>
      <c r="J84" s="1495" t="s">
        <v>1873</v>
      </c>
      <c r="K84" s="1634"/>
      <c r="L84" s="1495" t="s">
        <v>1873</v>
      </c>
      <c r="M84" s="560">
        <v>7.1338559999999998</v>
      </c>
      <c r="N84" s="560">
        <v>0</v>
      </c>
      <c r="O84" s="559"/>
      <c r="P84" s="1382">
        <f t="shared" si="5"/>
        <v>7.1338559999999998</v>
      </c>
      <c r="Q84" s="559"/>
      <c r="R84" s="559"/>
      <c r="S84" s="560">
        <f t="shared" si="4"/>
        <v>7.1338559999999998</v>
      </c>
    </row>
    <row r="85" spans="1:19" ht="31" x14ac:dyDescent="0.3">
      <c r="A85" s="1484">
        <v>0</v>
      </c>
      <c r="B85" s="1485" t="s">
        <v>414</v>
      </c>
      <c r="C85" s="1554" t="s">
        <v>414</v>
      </c>
      <c r="D85" s="1488" t="s">
        <v>1673</v>
      </c>
      <c r="E85" s="1495">
        <v>41551</v>
      </c>
      <c r="F85" s="559"/>
      <c r="G85" s="1495">
        <f t="shared" si="3"/>
        <v>41551</v>
      </c>
      <c r="H85" s="1634"/>
      <c r="I85" s="1495" t="s">
        <v>1873</v>
      </c>
      <c r="J85" s="1495" t="s">
        <v>1873</v>
      </c>
      <c r="K85" s="1634"/>
      <c r="L85" s="1495" t="s">
        <v>1873</v>
      </c>
      <c r="M85" s="560">
        <v>0.87</v>
      </c>
      <c r="N85" s="560">
        <v>0</v>
      </c>
      <c r="O85" s="559"/>
      <c r="P85" s="1382">
        <f t="shared" si="5"/>
        <v>0.87</v>
      </c>
      <c r="Q85" s="559"/>
      <c r="R85" s="559"/>
      <c r="S85" s="560">
        <f t="shared" si="4"/>
        <v>0.87</v>
      </c>
    </row>
    <row r="86" spans="1:19" ht="31" x14ac:dyDescent="0.3">
      <c r="A86" s="1477">
        <v>13</v>
      </c>
      <c r="B86" s="1478" t="s">
        <v>1676</v>
      </c>
      <c r="C86" s="1477" t="s">
        <v>928</v>
      </c>
      <c r="D86" s="1477" t="s">
        <v>1677</v>
      </c>
      <c r="E86" s="1479">
        <v>41647</v>
      </c>
      <c r="F86" s="564"/>
      <c r="G86" s="1479">
        <f t="shared" si="3"/>
        <v>41647</v>
      </c>
      <c r="H86" s="1479"/>
      <c r="I86" s="1479" t="s">
        <v>1873</v>
      </c>
      <c r="J86" s="1479" t="s">
        <v>1873</v>
      </c>
      <c r="K86" s="1479"/>
      <c r="L86" s="1479" t="s">
        <v>1873</v>
      </c>
      <c r="M86" s="1380">
        <v>0</v>
      </c>
      <c r="N86" s="1380">
        <v>0</v>
      </c>
      <c r="O86" s="564"/>
      <c r="P86" s="1381">
        <f t="shared" si="5"/>
        <v>0</v>
      </c>
      <c r="Q86" s="564"/>
      <c r="R86" s="564"/>
      <c r="S86" s="1380">
        <f t="shared" si="4"/>
        <v>0</v>
      </c>
    </row>
    <row r="87" spans="1:19" ht="31" x14ac:dyDescent="0.3">
      <c r="A87" s="1482">
        <v>13.1</v>
      </c>
      <c r="B87" s="1483" t="s">
        <v>1678</v>
      </c>
      <c r="C87" s="1531" t="s">
        <v>936</v>
      </c>
      <c r="D87" s="1482" t="s">
        <v>1677</v>
      </c>
      <c r="E87" s="1532">
        <v>41647</v>
      </c>
      <c r="F87" s="564"/>
      <c r="G87" s="1532">
        <f t="shared" si="3"/>
        <v>41647</v>
      </c>
      <c r="H87" s="1532"/>
      <c r="I87" s="1532" t="s">
        <v>1873</v>
      </c>
      <c r="J87" s="1532" t="s">
        <v>1873</v>
      </c>
      <c r="K87" s="1532"/>
      <c r="L87" s="1532" t="s">
        <v>1873</v>
      </c>
      <c r="M87" s="565">
        <v>32.76</v>
      </c>
      <c r="N87" s="565">
        <v>11.660929755000002</v>
      </c>
      <c r="O87" s="564"/>
      <c r="P87" s="1381">
        <f t="shared" si="5"/>
        <v>21.099070244999997</v>
      </c>
      <c r="Q87" s="564"/>
      <c r="R87" s="564"/>
      <c r="S87" s="565">
        <f t="shared" si="4"/>
        <v>21.099070244999997</v>
      </c>
    </row>
    <row r="88" spans="1:19" ht="31" x14ac:dyDescent="0.3">
      <c r="A88" s="1482">
        <v>13.2</v>
      </c>
      <c r="B88" s="1483" t="s">
        <v>1679</v>
      </c>
      <c r="C88" s="1531" t="s">
        <v>936</v>
      </c>
      <c r="D88" s="1482" t="s">
        <v>1677</v>
      </c>
      <c r="E88" s="1532">
        <v>41647</v>
      </c>
      <c r="F88" s="564"/>
      <c r="G88" s="1532">
        <f t="shared" si="3"/>
        <v>41647</v>
      </c>
      <c r="H88" s="1532"/>
      <c r="I88" s="1532" t="s">
        <v>1873</v>
      </c>
      <c r="J88" s="1532" t="s">
        <v>1873</v>
      </c>
      <c r="K88" s="1532"/>
      <c r="L88" s="1532" t="s">
        <v>1873</v>
      </c>
      <c r="M88" s="565">
        <v>3.88</v>
      </c>
      <c r="N88" s="565">
        <v>3.5012203659999996</v>
      </c>
      <c r="O88" s="564"/>
      <c r="P88" s="1381">
        <f t="shared" si="5"/>
        <v>0.37877963400000025</v>
      </c>
      <c r="Q88" s="564"/>
      <c r="R88" s="564"/>
      <c r="S88" s="565">
        <f t="shared" si="4"/>
        <v>0.37877963400000025</v>
      </c>
    </row>
    <row r="89" spans="1:19" ht="31" x14ac:dyDescent="0.3">
      <c r="A89" s="1482">
        <v>13.3</v>
      </c>
      <c r="B89" s="1483" t="s">
        <v>1680</v>
      </c>
      <c r="C89" s="1531" t="s">
        <v>936</v>
      </c>
      <c r="D89" s="1482" t="s">
        <v>1677</v>
      </c>
      <c r="E89" s="1532">
        <v>41647</v>
      </c>
      <c r="F89" s="564"/>
      <c r="G89" s="1532">
        <f t="shared" si="3"/>
        <v>41647</v>
      </c>
      <c r="H89" s="1532"/>
      <c r="I89" s="1532" t="s">
        <v>1873</v>
      </c>
      <c r="J89" s="1532" t="s">
        <v>1873</v>
      </c>
      <c r="K89" s="1532"/>
      <c r="L89" s="1532" t="s">
        <v>1873</v>
      </c>
      <c r="M89" s="565">
        <v>9.81</v>
      </c>
      <c r="N89" s="565">
        <v>4.9252947999999996</v>
      </c>
      <c r="O89" s="564"/>
      <c r="P89" s="1381">
        <f t="shared" si="5"/>
        <v>4.8847052000000009</v>
      </c>
      <c r="Q89" s="564"/>
      <c r="R89" s="564"/>
      <c r="S89" s="565">
        <f t="shared" si="4"/>
        <v>4.8847052000000009</v>
      </c>
    </row>
    <row r="90" spans="1:19" ht="31" x14ac:dyDescent="0.3">
      <c r="A90" s="1482">
        <v>13.4</v>
      </c>
      <c r="B90" s="1483" t="s">
        <v>1681</v>
      </c>
      <c r="C90" s="1531" t="s">
        <v>936</v>
      </c>
      <c r="D90" s="1482" t="s">
        <v>1677</v>
      </c>
      <c r="E90" s="1532">
        <v>41647</v>
      </c>
      <c r="F90" s="564"/>
      <c r="G90" s="1532">
        <f t="shared" si="3"/>
        <v>41647</v>
      </c>
      <c r="H90" s="1532"/>
      <c r="I90" s="1532" t="s">
        <v>1873</v>
      </c>
      <c r="J90" s="1532" t="s">
        <v>1873</v>
      </c>
      <c r="K90" s="1532"/>
      <c r="L90" s="1532" t="s">
        <v>1873</v>
      </c>
      <c r="M90" s="565">
        <v>4.76</v>
      </c>
      <c r="N90" s="565">
        <v>2.7667891</v>
      </c>
      <c r="O90" s="564"/>
      <c r="P90" s="1381">
        <f t="shared" si="5"/>
        <v>1.9932108999999998</v>
      </c>
      <c r="Q90" s="564"/>
      <c r="R90" s="564"/>
      <c r="S90" s="565">
        <f t="shared" si="4"/>
        <v>1.9932108999999998</v>
      </c>
    </row>
    <row r="91" spans="1:19" ht="31" x14ac:dyDescent="0.3">
      <c r="A91" s="1482">
        <v>13.5</v>
      </c>
      <c r="B91" s="1483" t="s">
        <v>1682</v>
      </c>
      <c r="C91" s="1531" t="s">
        <v>936</v>
      </c>
      <c r="D91" s="1482" t="s">
        <v>1677</v>
      </c>
      <c r="E91" s="1532">
        <v>41647</v>
      </c>
      <c r="F91" s="564"/>
      <c r="G91" s="1532">
        <f t="shared" si="3"/>
        <v>41647</v>
      </c>
      <c r="H91" s="1532"/>
      <c r="I91" s="1532" t="s">
        <v>1873</v>
      </c>
      <c r="J91" s="1532" t="s">
        <v>1873</v>
      </c>
      <c r="K91" s="1532"/>
      <c r="L91" s="1532" t="s">
        <v>1873</v>
      </c>
      <c r="M91" s="565">
        <v>13.41</v>
      </c>
      <c r="N91" s="565">
        <v>6.3205716000000001</v>
      </c>
      <c r="O91" s="564"/>
      <c r="P91" s="1381">
        <f t="shared" si="5"/>
        <v>7.0894284000000001</v>
      </c>
      <c r="Q91" s="564"/>
      <c r="R91" s="564"/>
      <c r="S91" s="565">
        <f t="shared" si="4"/>
        <v>7.0894284000000001</v>
      </c>
    </row>
    <row r="92" spans="1:19" ht="31" x14ac:dyDescent="0.3">
      <c r="A92" s="1482">
        <v>13.6</v>
      </c>
      <c r="B92" s="1483" t="s">
        <v>1683</v>
      </c>
      <c r="C92" s="1531" t="s">
        <v>936</v>
      </c>
      <c r="D92" s="1482" t="s">
        <v>1677</v>
      </c>
      <c r="E92" s="1532">
        <v>41647</v>
      </c>
      <c r="F92" s="564"/>
      <c r="G92" s="1532">
        <f t="shared" si="3"/>
        <v>41647</v>
      </c>
      <c r="H92" s="1532"/>
      <c r="I92" s="1532" t="s">
        <v>1873</v>
      </c>
      <c r="J92" s="1532" t="s">
        <v>1873</v>
      </c>
      <c r="K92" s="1532"/>
      <c r="L92" s="1532" t="s">
        <v>1873</v>
      </c>
      <c r="M92" s="565">
        <v>5.05</v>
      </c>
      <c r="N92" s="565">
        <v>0</v>
      </c>
      <c r="O92" s="564"/>
      <c r="P92" s="1381">
        <f t="shared" si="5"/>
        <v>5.05</v>
      </c>
      <c r="Q92" s="564"/>
      <c r="R92" s="564"/>
      <c r="S92" s="565">
        <f t="shared" si="4"/>
        <v>5.05</v>
      </c>
    </row>
    <row r="93" spans="1:19" ht="31" x14ac:dyDescent="0.3">
      <c r="A93" s="1482">
        <v>0</v>
      </c>
      <c r="B93" s="1483" t="s">
        <v>414</v>
      </c>
      <c r="C93" s="1531" t="s">
        <v>414</v>
      </c>
      <c r="D93" s="1482" t="s">
        <v>1677</v>
      </c>
      <c r="E93" s="1532">
        <v>41647</v>
      </c>
      <c r="F93" s="564"/>
      <c r="G93" s="1532">
        <f t="shared" si="3"/>
        <v>41647</v>
      </c>
      <c r="H93" s="1532"/>
      <c r="I93" s="1532" t="s">
        <v>1873</v>
      </c>
      <c r="J93" s="1532" t="s">
        <v>1873</v>
      </c>
      <c r="K93" s="1532"/>
      <c r="L93" s="1532" t="s">
        <v>1873</v>
      </c>
      <c r="M93" s="565">
        <v>6.9</v>
      </c>
      <c r="N93" s="565">
        <v>0</v>
      </c>
      <c r="O93" s="564"/>
      <c r="P93" s="1381">
        <f t="shared" si="5"/>
        <v>6.9</v>
      </c>
      <c r="Q93" s="564"/>
      <c r="R93" s="564"/>
      <c r="S93" s="565">
        <f t="shared" si="4"/>
        <v>6.9</v>
      </c>
    </row>
    <row r="94" spans="1:19" ht="31" x14ac:dyDescent="0.3">
      <c r="A94" s="1477">
        <v>14</v>
      </c>
      <c r="B94" s="1478" t="s">
        <v>1684</v>
      </c>
      <c r="C94" s="1477" t="s">
        <v>928</v>
      </c>
      <c r="D94" s="1477" t="s">
        <v>1685</v>
      </c>
      <c r="E94" s="1479">
        <v>41548</v>
      </c>
      <c r="F94" s="564"/>
      <c r="G94" s="1479">
        <f t="shared" si="3"/>
        <v>41548</v>
      </c>
      <c r="H94" s="1479"/>
      <c r="I94" s="1479" t="s">
        <v>1873</v>
      </c>
      <c r="J94" s="1479" t="s">
        <v>1873</v>
      </c>
      <c r="K94" s="1479"/>
      <c r="L94" s="1479" t="s">
        <v>1873</v>
      </c>
      <c r="M94" s="1380">
        <v>0</v>
      </c>
      <c r="N94" s="1380">
        <v>0</v>
      </c>
      <c r="O94" s="564"/>
      <c r="P94" s="1381">
        <f t="shared" si="5"/>
        <v>0</v>
      </c>
      <c r="Q94" s="564"/>
      <c r="R94" s="564"/>
      <c r="S94" s="1380">
        <f t="shared" si="4"/>
        <v>0</v>
      </c>
    </row>
    <row r="95" spans="1:19" ht="31" x14ac:dyDescent="0.3">
      <c r="A95" s="1482">
        <v>14.1</v>
      </c>
      <c r="B95" s="1483" t="s">
        <v>1686</v>
      </c>
      <c r="C95" s="1531" t="s">
        <v>936</v>
      </c>
      <c r="D95" s="1482" t="s">
        <v>1685</v>
      </c>
      <c r="E95" s="1532">
        <v>41548</v>
      </c>
      <c r="F95" s="564"/>
      <c r="G95" s="1532">
        <f t="shared" si="3"/>
        <v>41548</v>
      </c>
      <c r="H95" s="1532"/>
      <c r="I95" s="1532" t="s">
        <v>1873</v>
      </c>
      <c r="J95" s="1532" t="s">
        <v>1873</v>
      </c>
      <c r="K95" s="1532"/>
      <c r="L95" s="1532" t="s">
        <v>1873</v>
      </c>
      <c r="M95" s="565">
        <v>48.039384900000002</v>
      </c>
      <c r="N95" s="565">
        <v>48.039384900000002</v>
      </c>
      <c r="O95" s="564"/>
      <c r="P95" s="1381">
        <f t="shared" si="5"/>
        <v>0</v>
      </c>
      <c r="Q95" s="564"/>
      <c r="R95" s="564"/>
      <c r="S95" s="565">
        <f t="shared" si="4"/>
        <v>0</v>
      </c>
    </row>
    <row r="96" spans="1:19" ht="31" x14ac:dyDescent="0.3">
      <c r="A96" s="1482">
        <v>14.2</v>
      </c>
      <c r="B96" s="1483" t="s">
        <v>1687</v>
      </c>
      <c r="C96" s="1531" t="s">
        <v>936</v>
      </c>
      <c r="D96" s="1482" t="s">
        <v>1685</v>
      </c>
      <c r="E96" s="1532">
        <v>41548</v>
      </c>
      <c r="F96" s="564"/>
      <c r="G96" s="1532">
        <f t="shared" si="3"/>
        <v>41548</v>
      </c>
      <c r="H96" s="1532"/>
      <c r="I96" s="1532" t="s">
        <v>1873</v>
      </c>
      <c r="J96" s="1532" t="s">
        <v>1873</v>
      </c>
      <c r="K96" s="1532"/>
      <c r="L96" s="1532" t="s">
        <v>1873</v>
      </c>
      <c r="M96" s="565">
        <v>35.784269799999997</v>
      </c>
      <c r="N96" s="565">
        <v>35.784269799999997</v>
      </c>
      <c r="O96" s="564"/>
      <c r="P96" s="1381">
        <f t="shared" si="5"/>
        <v>0</v>
      </c>
      <c r="Q96" s="564"/>
      <c r="R96" s="564"/>
      <c r="S96" s="565">
        <f t="shared" si="4"/>
        <v>0</v>
      </c>
    </row>
    <row r="97" spans="1:19" ht="31" x14ac:dyDescent="0.3">
      <c r="A97" s="1477">
        <v>15</v>
      </c>
      <c r="B97" s="1478" t="s">
        <v>1688</v>
      </c>
      <c r="C97" s="1477" t="s">
        <v>928</v>
      </c>
      <c r="D97" s="1477" t="s">
        <v>1689</v>
      </c>
      <c r="E97" s="1479">
        <v>41565</v>
      </c>
      <c r="F97" s="564"/>
      <c r="G97" s="1479">
        <f t="shared" si="3"/>
        <v>41565</v>
      </c>
      <c r="H97" s="1479"/>
      <c r="I97" s="1479" t="s">
        <v>1873</v>
      </c>
      <c r="J97" s="1479" t="s">
        <v>1873</v>
      </c>
      <c r="K97" s="1479"/>
      <c r="L97" s="1479" t="s">
        <v>1873</v>
      </c>
      <c r="M97" s="1380">
        <v>0</v>
      </c>
      <c r="N97" s="1380">
        <v>0</v>
      </c>
      <c r="O97" s="564"/>
      <c r="P97" s="1381">
        <f t="shared" si="5"/>
        <v>0</v>
      </c>
      <c r="Q97" s="564"/>
      <c r="R97" s="564"/>
      <c r="S97" s="1380">
        <f t="shared" si="4"/>
        <v>0</v>
      </c>
    </row>
    <row r="98" spans="1:19" ht="31" x14ac:dyDescent="0.3">
      <c r="A98" s="1482">
        <v>15.1</v>
      </c>
      <c r="B98" s="1483" t="s">
        <v>1690</v>
      </c>
      <c r="C98" s="1531" t="s">
        <v>936</v>
      </c>
      <c r="D98" s="1482" t="s">
        <v>1689</v>
      </c>
      <c r="E98" s="1532">
        <v>41565</v>
      </c>
      <c r="F98" s="564"/>
      <c r="G98" s="1532">
        <f t="shared" si="3"/>
        <v>41565</v>
      </c>
      <c r="H98" s="1532"/>
      <c r="I98" s="1532" t="s">
        <v>1873</v>
      </c>
      <c r="J98" s="1532" t="s">
        <v>1873</v>
      </c>
      <c r="K98" s="1532"/>
      <c r="L98" s="1532" t="s">
        <v>1873</v>
      </c>
      <c r="M98" s="565">
        <v>8.8553540000000002</v>
      </c>
      <c r="N98" s="565">
        <v>0</v>
      </c>
      <c r="O98" s="564"/>
      <c r="P98" s="1381">
        <f t="shared" si="5"/>
        <v>8.8553540000000002</v>
      </c>
      <c r="Q98" s="564"/>
      <c r="R98" s="564"/>
      <c r="S98" s="565">
        <f t="shared" si="4"/>
        <v>8.8553540000000002</v>
      </c>
    </row>
    <row r="99" spans="1:19" ht="31" x14ac:dyDescent="0.3">
      <c r="A99" s="1482">
        <v>15.2</v>
      </c>
      <c r="B99" s="1483" t="s">
        <v>2429</v>
      </c>
      <c r="C99" s="1531" t="s">
        <v>936</v>
      </c>
      <c r="D99" s="1482" t="s">
        <v>1689</v>
      </c>
      <c r="E99" s="1532">
        <v>41565</v>
      </c>
      <c r="F99" s="564"/>
      <c r="G99" s="1532">
        <f t="shared" si="3"/>
        <v>41565</v>
      </c>
      <c r="H99" s="1532"/>
      <c r="I99" s="1532" t="s">
        <v>1873</v>
      </c>
      <c r="J99" s="1532" t="s">
        <v>1873</v>
      </c>
      <c r="K99" s="1532"/>
      <c r="L99" s="1532" t="s">
        <v>1873</v>
      </c>
      <c r="M99" s="565">
        <v>2.14452</v>
      </c>
      <c r="N99" s="565">
        <v>0</v>
      </c>
      <c r="O99" s="564"/>
      <c r="P99" s="1381">
        <f t="shared" si="5"/>
        <v>2.14452</v>
      </c>
      <c r="Q99" s="564"/>
      <c r="R99" s="564"/>
      <c r="S99" s="565">
        <f t="shared" si="4"/>
        <v>2.14452</v>
      </c>
    </row>
    <row r="100" spans="1:19" ht="31" x14ac:dyDescent="0.3">
      <c r="A100" s="1482">
        <v>0</v>
      </c>
      <c r="B100" s="1483" t="s">
        <v>414</v>
      </c>
      <c r="C100" s="1531" t="s">
        <v>414</v>
      </c>
      <c r="D100" s="1482" t="s">
        <v>1689</v>
      </c>
      <c r="E100" s="1532">
        <v>41565</v>
      </c>
      <c r="F100" s="564"/>
      <c r="G100" s="1532">
        <f t="shared" si="3"/>
        <v>41565</v>
      </c>
      <c r="H100" s="1532"/>
      <c r="I100" s="1532" t="s">
        <v>1873</v>
      </c>
      <c r="J100" s="1532" t="s">
        <v>1873</v>
      </c>
      <c r="K100" s="1532"/>
      <c r="L100" s="1532" t="s">
        <v>1873</v>
      </c>
      <c r="M100" s="565">
        <v>0.17010110000000001</v>
      </c>
      <c r="N100" s="565">
        <v>0</v>
      </c>
      <c r="O100" s="564"/>
      <c r="P100" s="1381">
        <f t="shared" si="5"/>
        <v>0.17010110000000001</v>
      </c>
      <c r="Q100" s="564"/>
      <c r="R100" s="564"/>
      <c r="S100" s="565">
        <f t="shared" si="4"/>
        <v>0.17010110000000001</v>
      </c>
    </row>
    <row r="101" spans="1:19" ht="31" x14ac:dyDescent="0.3">
      <c r="A101" s="1477">
        <v>16</v>
      </c>
      <c r="B101" s="1478" t="s">
        <v>1692</v>
      </c>
      <c r="C101" s="1477" t="s">
        <v>928</v>
      </c>
      <c r="D101" s="1477" t="s">
        <v>1693</v>
      </c>
      <c r="E101" s="1479">
        <v>41792</v>
      </c>
      <c r="F101" s="564"/>
      <c r="G101" s="1479">
        <f t="shared" si="3"/>
        <v>41792</v>
      </c>
      <c r="H101" s="1479"/>
      <c r="I101" s="1479" t="s">
        <v>1873</v>
      </c>
      <c r="J101" s="1479" t="s">
        <v>1873</v>
      </c>
      <c r="K101" s="1479"/>
      <c r="L101" s="1479" t="s">
        <v>1873</v>
      </c>
      <c r="M101" s="1380">
        <v>0</v>
      </c>
      <c r="N101" s="1380">
        <v>0</v>
      </c>
      <c r="O101" s="564"/>
      <c r="P101" s="1381">
        <f t="shared" si="5"/>
        <v>0</v>
      </c>
      <c r="Q101" s="564"/>
      <c r="R101" s="564"/>
      <c r="S101" s="1380">
        <f t="shared" si="4"/>
        <v>0</v>
      </c>
    </row>
    <row r="102" spans="1:19" ht="31" x14ac:dyDescent="0.3">
      <c r="A102" s="1482">
        <v>16.100000000000001</v>
      </c>
      <c r="B102" s="1483" t="s">
        <v>1694</v>
      </c>
      <c r="C102" s="1531" t="s">
        <v>936</v>
      </c>
      <c r="D102" s="1482" t="s">
        <v>1693</v>
      </c>
      <c r="E102" s="1532">
        <v>41792</v>
      </c>
      <c r="F102" s="564"/>
      <c r="G102" s="1532">
        <f t="shared" si="3"/>
        <v>41792</v>
      </c>
      <c r="H102" s="1532"/>
      <c r="I102" s="1532" t="s">
        <v>1873</v>
      </c>
      <c r="J102" s="1532" t="s">
        <v>1873</v>
      </c>
      <c r="K102" s="1532"/>
      <c r="L102" s="1532" t="s">
        <v>1873</v>
      </c>
      <c r="M102" s="565">
        <v>5.5023</v>
      </c>
      <c r="N102" s="565">
        <v>4.2318929900000004</v>
      </c>
      <c r="O102" s="564"/>
      <c r="P102" s="1381">
        <f t="shared" si="5"/>
        <v>1.2704070099999996</v>
      </c>
      <c r="Q102" s="564"/>
      <c r="R102" s="564"/>
      <c r="S102" s="565">
        <f t="shared" si="4"/>
        <v>1.2704070099999996</v>
      </c>
    </row>
    <row r="103" spans="1:19" ht="31" x14ac:dyDescent="0.3">
      <c r="A103" s="1482">
        <v>16.2</v>
      </c>
      <c r="B103" s="1483" t="s">
        <v>1695</v>
      </c>
      <c r="C103" s="1531" t="s">
        <v>936</v>
      </c>
      <c r="D103" s="1482" t="s">
        <v>1693</v>
      </c>
      <c r="E103" s="1532">
        <v>41792</v>
      </c>
      <c r="F103" s="564"/>
      <c r="G103" s="1532">
        <f t="shared" si="3"/>
        <v>41792</v>
      </c>
      <c r="H103" s="1532"/>
      <c r="I103" s="1532" t="s">
        <v>1873</v>
      </c>
      <c r="J103" s="1532" t="s">
        <v>1873</v>
      </c>
      <c r="K103" s="1532"/>
      <c r="L103" s="1532" t="s">
        <v>1873</v>
      </c>
      <c r="M103" s="565">
        <v>5.5023</v>
      </c>
      <c r="N103" s="565">
        <v>4.5024009140000008</v>
      </c>
      <c r="O103" s="564"/>
      <c r="P103" s="1381">
        <f t="shared" si="5"/>
        <v>0.99989908599999922</v>
      </c>
      <c r="Q103" s="564"/>
      <c r="R103" s="564"/>
      <c r="S103" s="565">
        <f t="shared" si="4"/>
        <v>0.99989908599999922</v>
      </c>
    </row>
    <row r="104" spans="1:19" ht="31" x14ac:dyDescent="0.3">
      <c r="A104" s="1482">
        <v>0</v>
      </c>
      <c r="B104" s="1483" t="s">
        <v>414</v>
      </c>
      <c r="C104" s="1531" t="s">
        <v>414</v>
      </c>
      <c r="D104" s="1482" t="s">
        <v>1693</v>
      </c>
      <c r="E104" s="1532">
        <v>41792</v>
      </c>
      <c r="F104" s="564"/>
      <c r="G104" s="1532">
        <f t="shared" si="3"/>
        <v>41792</v>
      </c>
      <c r="H104" s="1532"/>
      <c r="I104" s="1532" t="s">
        <v>1873</v>
      </c>
      <c r="J104" s="1532" t="s">
        <v>1873</v>
      </c>
      <c r="K104" s="1532"/>
      <c r="L104" s="1532" t="s">
        <v>1873</v>
      </c>
      <c r="M104" s="565">
        <v>0.74</v>
      </c>
      <c r="N104" s="565">
        <v>0</v>
      </c>
      <c r="O104" s="564"/>
      <c r="P104" s="1381">
        <f t="shared" si="5"/>
        <v>0.74</v>
      </c>
      <c r="Q104" s="564"/>
      <c r="R104" s="564"/>
      <c r="S104" s="565">
        <f t="shared" si="4"/>
        <v>0.74</v>
      </c>
    </row>
    <row r="105" spans="1:19" ht="31" x14ac:dyDescent="0.3">
      <c r="A105" s="1486">
        <v>17</v>
      </c>
      <c r="B105" s="1491" t="s">
        <v>1696</v>
      </c>
      <c r="C105" s="1486" t="s">
        <v>928</v>
      </c>
      <c r="D105" s="1486" t="s">
        <v>1697</v>
      </c>
      <c r="E105" s="1487">
        <v>41928</v>
      </c>
      <c r="F105" s="559"/>
      <c r="G105" s="1487">
        <f t="shared" si="3"/>
        <v>41928</v>
      </c>
      <c r="H105" s="1635"/>
      <c r="I105" s="1487" t="s">
        <v>1873</v>
      </c>
      <c r="J105" s="1487" t="s">
        <v>1873</v>
      </c>
      <c r="K105" s="1635"/>
      <c r="L105" s="1487" t="s">
        <v>1873</v>
      </c>
      <c r="M105" s="1383">
        <v>0</v>
      </c>
      <c r="N105" s="1383">
        <v>0</v>
      </c>
      <c r="O105" s="559"/>
      <c r="P105" s="1382">
        <f t="shared" si="5"/>
        <v>0</v>
      </c>
      <c r="Q105" s="559"/>
      <c r="R105" s="559"/>
      <c r="S105" s="1383">
        <f t="shared" si="4"/>
        <v>0</v>
      </c>
    </row>
    <row r="106" spans="1:19" ht="62" x14ac:dyDescent="0.3">
      <c r="A106" s="1488">
        <v>17.100000000000001</v>
      </c>
      <c r="B106" s="1492" t="s">
        <v>1698</v>
      </c>
      <c r="C106" s="1554" t="s">
        <v>936</v>
      </c>
      <c r="D106" s="1488" t="s">
        <v>1697</v>
      </c>
      <c r="E106" s="1495">
        <v>41928</v>
      </c>
      <c r="F106" s="559"/>
      <c r="G106" s="1495">
        <f t="shared" si="3"/>
        <v>41928</v>
      </c>
      <c r="H106" s="1634"/>
      <c r="I106" s="1495" t="s">
        <v>1873</v>
      </c>
      <c r="J106" s="1495" t="s">
        <v>1873</v>
      </c>
      <c r="K106" s="1634"/>
      <c r="L106" s="1495" t="s">
        <v>1873</v>
      </c>
      <c r="M106" s="560">
        <v>13.5092</v>
      </c>
      <c r="N106" s="560">
        <v>5.3885199799999999</v>
      </c>
      <c r="O106" s="559"/>
      <c r="P106" s="1382">
        <f t="shared" si="5"/>
        <v>8.12068002</v>
      </c>
      <c r="Q106" s="559"/>
      <c r="R106" s="559"/>
      <c r="S106" s="560">
        <f t="shared" si="4"/>
        <v>8.12068002</v>
      </c>
    </row>
    <row r="107" spans="1:19" ht="93" x14ac:dyDescent="0.3">
      <c r="A107" s="1488">
        <v>17.2</v>
      </c>
      <c r="B107" s="1492" t="s">
        <v>1699</v>
      </c>
      <c r="C107" s="1554" t="s">
        <v>936</v>
      </c>
      <c r="D107" s="1488" t="s">
        <v>1697</v>
      </c>
      <c r="E107" s="1495">
        <v>41928</v>
      </c>
      <c r="F107" s="559"/>
      <c r="G107" s="1495">
        <f t="shared" si="3"/>
        <v>41928</v>
      </c>
      <c r="H107" s="1634"/>
      <c r="I107" s="1495" t="s">
        <v>1873</v>
      </c>
      <c r="J107" s="1495" t="s">
        <v>1873</v>
      </c>
      <c r="K107" s="1634"/>
      <c r="L107" s="1495" t="s">
        <v>1873</v>
      </c>
      <c r="M107" s="560">
        <v>4.5510447000000003</v>
      </c>
      <c r="N107" s="560">
        <v>2.3470200000000001</v>
      </c>
      <c r="O107" s="559"/>
      <c r="P107" s="1382">
        <f t="shared" si="5"/>
        <v>2.2040247000000002</v>
      </c>
      <c r="Q107" s="559"/>
      <c r="R107" s="559"/>
      <c r="S107" s="560">
        <f t="shared" si="4"/>
        <v>2.2040247000000002</v>
      </c>
    </row>
    <row r="108" spans="1:19" ht="31" x14ac:dyDescent="0.3">
      <c r="A108" s="1482">
        <v>0</v>
      </c>
      <c r="B108" s="1483" t="s">
        <v>414</v>
      </c>
      <c r="C108" s="1531" t="s">
        <v>414</v>
      </c>
      <c r="D108" s="1482" t="s">
        <v>1697</v>
      </c>
      <c r="E108" s="1532">
        <v>41928</v>
      </c>
      <c r="F108" s="564"/>
      <c r="G108" s="1532">
        <f t="shared" si="3"/>
        <v>41928</v>
      </c>
      <c r="H108" s="1532"/>
      <c r="I108" s="1532" t="s">
        <v>1873</v>
      </c>
      <c r="J108" s="1532" t="s">
        <v>1873</v>
      </c>
      <c r="K108" s="1532"/>
      <c r="L108" s="1532" t="s">
        <v>1873</v>
      </c>
      <c r="M108" s="565">
        <v>1.25</v>
      </c>
      <c r="N108" s="565">
        <v>0</v>
      </c>
      <c r="O108" s="564"/>
      <c r="P108" s="1381">
        <f t="shared" si="5"/>
        <v>1.25</v>
      </c>
      <c r="Q108" s="564"/>
      <c r="R108" s="564"/>
      <c r="S108" s="565">
        <f t="shared" si="4"/>
        <v>1.25</v>
      </c>
    </row>
    <row r="109" spans="1:19" ht="31" x14ac:dyDescent="0.3">
      <c r="A109" s="1477">
        <v>18</v>
      </c>
      <c r="B109" s="1478" t="s">
        <v>1700</v>
      </c>
      <c r="C109" s="1477" t="s">
        <v>928</v>
      </c>
      <c r="D109" s="1477" t="s">
        <v>1701</v>
      </c>
      <c r="E109" s="1479">
        <v>41968</v>
      </c>
      <c r="F109" s="564"/>
      <c r="G109" s="1479">
        <f t="shared" si="3"/>
        <v>41968</v>
      </c>
      <c r="H109" s="1479"/>
      <c r="I109" s="1479" t="s">
        <v>1873</v>
      </c>
      <c r="J109" s="1479" t="s">
        <v>1873</v>
      </c>
      <c r="K109" s="1479"/>
      <c r="L109" s="1479" t="s">
        <v>1873</v>
      </c>
      <c r="M109" s="1380">
        <v>0</v>
      </c>
      <c r="N109" s="1380">
        <v>0</v>
      </c>
      <c r="O109" s="564"/>
      <c r="P109" s="1381">
        <f t="shared" si="5"/>
        <v>0</v>
      </c>
      <c r="Q109" s="564"/>
      <c r="R109" s="564"/>
      <c r="S109" s="1380">
        <f t="shared" si="4"/>
        <v>0</v>
      </c>
    </row>
    <row r="110" spans="1:19" ht="62" x14ac:dyDescent="0.3">
      <c r="A110" s="1482">
        <v>18.100000000000001</v>
      </c>
      <c r="B110" s="1483" t="s">
        <v>1702</v>
      </c>
      <c r="C110" s="1531" t="s">
        <v>936</v>
      </c>
      <c r="D110" s="1482" t="s">
        <v>1701</v>
      </c>
      <c r="E110" s="1532">
        <v>41968</v>
      </c>
      <c r="F110" s="564"/>
      <c r="G110" s="1532">
        <f t="shared" si="3"/>
        <v>41968</v>
      </c>
      <c r="H110" s="1532"/>
      <c r="I110" s="1532" t="s">
        <v>1873</v>
      </c>
      <c r="J110" s="1532" t="s">
        <v>1873</v>
      </c>
      <c r="K110" s="1532"/>
      <c r="L110" s="1532" t="s">
        <v>1873</v>
      </c>
      <c r="M110" s="565">
        <v>4.4387999999999996</v>
      </c>
      <c r="N110" s="565">
        <v>1.621920096</v>
      </c>
      <c r="O110" s="564"/>
      <c r="P110" s="1381">
        <f t="shared" si="5"/>
        <v>2.8168799039999994</v>
      </c>
      <c r="Q110" s="564"/>
      <c r="R110" s="564"/>
      <c r="S110" s="565">
        <f t="shared" si="4"/>
        <v>2.8168799039999994</v>
      </c>
    </row>
    <row r="111" spans="1:19" ht="31" x14ac:dyDescent="0.3">
      <c r="A111" s="1482">
        <v>18.2</v>
      </c>
      <c r="B111" s="1483" t="s">
        <v>1703</v>
      </c>
      <c r="C111" s="1531" t="s">
        <v>936</v>
      </c>
      <c r="D111" s="1482" t="s">
        <v>1701</v>
      </c>
      <c r="E111" s="1532">
        <v>41968</v>
      </c>
      <c r="F111" s="564"/>
      <c r="G111" s="1532">
        <f t="shared" si="3"/>
        <v>41968</v>
      </c>
      <c r="H111" s="1532"/>
      <c r="I111" s="1532" t="s">
        <v>1873</v>
      </c>
      <c r="J111" s="1532" t="s">
        <v>1873</v>
      </c>
      <c r="K111" s="1532"/>
      <c r="L111" s="1532" t="s">
        <v>1873</v>
      </c>
      <c r="M111" s="565">
        <v>2.2756532600000003</v>
      </c>
      <c r="N111" s="565">
        <v>2.2756532600000003</v>
      </c>
      <c r="O111" s="564"/>
      <c r="P111" s="1381">
        <f t="shared" si="5"/>
        <v>0</v>
      </c>
      <c r="Q111" s="564"/>
      <c r="R111" s="564"/>
      <c r="S111" s="565">
        <f t="shared" si="4"/>
        <v>0</v>
      </c>
    </row>
    <row r="112" spans="1:19" ht="46.5" x14ac:dyDescent="0.3">
      <c r="A112" s="1482">
        <v>18.3</v>
      </c>
      <c r="B112" s="1483" t="s">
        <v>1704</v>
      </c>
      <c r="C112" s="1531" t="s">
        <v>936</v>
      </c>
      <c r="D112" s="1482" t="s">
        <v>1701</v>
      </c>
      <c r="E112" s="1532">
        <v>41968</v>
      </c>
      <c r="F112" s="564"/>
      <c r="G112" s="1532">
        <f t="shared" si="3"/>
        <v>41968</v>
      </c>
      <c r="H112" s="1532"/>
      <c r="I112" s="1532" t="s">
        <v>1873</v>
      </c>
      <c r="J112" s="1532" t="s">
        <v>1873</v>
      </c>
      <c r="K112" s="1532"/>
      <c r="L112" s="1532" t="s">
        <v>1873</v>
      </c>
      <c r="M112" s="565">
        <v>4.4664999999999999</v>
      </c>
      <c r="N112" s="565">
        <v>2.2257651389999999</v>
      </c>
      <c r="O112" s="564"/>
      <c r="P112" s="1381">
        <f t="shared" si="5"/>
        <v>2.240734861</v>
      </c>
      <c r="Q112" s="564"/>
      <c r="R112" s="564"/>
      <c r="S112" s="565">
        <f t="shared" si="4"/>
        <v>2.240734861</v>
      </c>
    </row>
    <row r="113" spans="1:19" ht="31" x14ac:dyDescent="0.3">
      <c r="A113" s="1482">
        <v>0</v>
      </c>
      <c r="B113" s="1483" t="s">
        <v>414</v>
      </c>
      <c r="C113" s="1531" t="s">
        <v>414</v>
      </c>
      <c r="D113" s="1482" t="s">
        <v>1701</v>
      </c>
      <c r="E113" s="1532">
        <v>41968</v>
      </c>
      <c r="F113" s="564"/>
      <c r="G113" s="1532">
        <f t="shared" si="3"/>
        <v>41968</v>
      </c>
      <c r="H113" s="1532"/>
      <c r="I113" s="1532" t="s">
        <v>1873</v>
      </c>
      <c r="J113" s="1532" t="s">
        <v>1873</v>
      </c>
      <c r="K113" s="1532"/>
      <c r="L113" s="1532" t="s">
        <v>1873</v>
      </c>
      <c r="M113" s="565">
        <v>0.73350000000000004</v>
      </c>
      <c r="N113" s="565">
        <v>0</v>
      </c>
      <c r="O113" s="564"/>
      <c r="P113" s="1381">
        <f t="shared" si="5"/>
        <v>0.73350000000000004</v>
      </c>
      <c r="Q113" s="564"/>
      <c r="R113" s="564"/>
      <c r="S113" s="565">
        <f t="shared" si="4"/>
        <v>0.73350000000000004</v>
      </c>
    </row>
    <row r="114" spans="1:19" ht="31" x14ac:dyDescent="0.3">
      <c r="A114" s="1477">
        <v>19</v>
      </c>
      <c r="B114" s="1478" t="s">
        <v>1705</v>
      </c>
      <c r="C114" s="1477" t="s">
        <v>928</v>
      </c>
      <c r="D114" s="1477" t="s">
        <v>1706</v>
      </c>
      <c r="E114" s="1479">
        <v>41893</v>
      </c>
      <c r="F114" s="564"/>
      <c r="G114" s="1479">
        <f t="shared" si="3"/>
        <v>41893</v>
      </c>
      <c r="H114" s="1479"/>
      <c r="I114" s="1479" t="s">
        <v>1873</v>
      </c>
      <c r="J114" s="1479" t="s">
        <v>1873</v>
      </c>
      <c r="K114" s="1479"/>
      <c r="L114" s="1479" t="s">
        <v>1873</v>
      </c>
      <c r="M114" s="1380">
        <v>0</v>
      </c>
      <c r="N114" s="1380">
        <v>0</v>
      </c>
      <c r="O114" s="564"/>
      <c r="P114" s="1381">
        <f t="shared" si="5"/>
        <v>0</v>
      </c>
      <c r="Q114" s="564"/>
      <c r="R114" s="564"/>
      <c r="S114" s="1380">
        <f t="shared" si="4"/>
        <v>0</v>
      </c>
    </row>
    <row r="115" spans="1:19" ht="31" x14ac:dyDescent="0.3">
      <c r="A115" s="1482">
        <v>19.100000000000001</v>
      </c>
      <c r="B115" s="1483" t="s">
        <v>1707</v>
      </c>
      <c r="C115" s="1531" t="s">
        <v>936</v>
      </c>
      <c r="D115" s="1482" t="s">
        <v>1706</v>
      </c>
      <c r="E115" s="1532">
        <v>41893</v>
      </c>
      <c r="F115" s="564"/>
      <c r="G115" s="1532">
        <f t="shared" si="3"/>
        <v>41893</v>
      </c>
      <c r="H115" s="1532"/>
      <c r="I115" s="1532" t="s">
        <v>1873</v>
      </c>
      <c r="J115" s="1532" t="s">
        <v>1873</v>
      </c>
      <c r="K115" s="1532"/>
      <c r="L115" s="1532" t="s">
        <v>1873</v>
      </c>
      <c r="M115" s="565">
        <v>4.87</v>
      </c>
      <c r="N115" s="565">
        <v>2.8937499999999998</v>
      </c>
      <c r="O115" s="564"/>
      <c r="P115" s="1381">
        <f t="shared" si="5"/>
        <v>1.9762500000000003</v>
      </c>
      <c r="Q115" s="564"/>
      <c r="R115" s="564"/>
      <c r="S115" s="565">
        <f t="shared" si="4"/>
        <v>1.9762500000000003</v>
      </c>
    </row>
    <row r="116" spans="1:19" ht="31" x14ac:dyDescent="0.3">
      <c r="A116" s="1482">
        <v>19.2</v>
      </c>
      <c r="B116" s="1483" t="s">
        <v>1708</v>
      </c>
      <c r="C116" s="1531" t="s">
        <v>936</v>
      </c>
      <c r="D116" s="1482" t="s">
        <v>1706</v>
      </c>
      <c r="E116" s="1532">
        <v>41893</v>
      </c>
      <c r="F116" s="564"/>
      <c r="G116" s="1532">
        <f t="shared" si="3"/>
        <v>41893</v>
      </c>
      <c r="H116" s="1532"/>
      <c r="I116" s="1532" t="s">
        <v>1873</v>
      </c>
      <c r="J116" s="1532" t="s">
        <v>1873</v>
      </c>
      <c r="K116" s="1532"/>
      <c r="L116" s="1532" t="s">
        <v>1873</v>
      </c>
      <c r="M116" s="565">
        <v>7.0937340000000004</v>
      </c>
      <c r="N116" s="565">
        <v>6.1698368290000003</v>
      </c>
      <c r="O116" s="564"/>
      <c r="P116" s="1381">
        <f t="shared" si="5"/>
        <v>0.92389717100000013</v>
      </c>
      <c r="Q116" s="564"/>
      <c r="R116" s="564"/>
      <c r="S116" s="565">
        <f t="shared" si="4"/>
        <v>0.92389717100000013</v>
      </c>
    </row>
    <row r="117" spans="1:19" ht="31" x14ac:dyDescent="0.3">
      <c r="A117" s="1482">
        <v>0</v>
      </c>
      <c r="B117" s="1483" t="s">
        <v>414</v>
      </c>
      <c r="C117" s="1531" t="s">
        <v>414</v>
      </c>
      <c r="D117" s="1482" t="s">
        <v>1706</v>
      </c>
      <c r="E117" s="1532">
        <v>41893</v>
      </c>
      <c r="F117" s="564"/>
      <c r="G117" s="1532">
        <f t="shared" si="3"/>
        <v>41893</v>
      </c>
      <c r="H117" s="1532"/>
      <c r="I117" s="1532" t="s">
        <v>1873</v>
      </c>
      <c r="J117" s="1532" t="s">
        <v>1873</v>
      </c>
      <c r="K117" s="1532"/>
      <c r="L117" s="1532" t="s">
        <v>1873</v>
      </c>
      <c r="M117" s="565">
        <v>1.2</v>
      </c>
      <c r="N117" s="565">
        <v>0</v>
      </c>
      <c r="O117" s="564"/>
      <c r="P117" s="1381">
        <f t="shared" si="5"/>
        <v>1.2</v>
      </c>
      <c r="Q117" s="564"/>
      <c r="R117" s="564"/>
      <c r="S117" s="565">
        <f t="shared" si="4"/>
        <v>1.2</v>
      </c>
    </row>
    <row r="118" spans="1:19" ht="31" x14ac:dyDescent="0.3">
      <c r="A118" s="1477">
        <v>20</v>
      </c>
      <c r="B118" s="1478" t="s">
        <v>1709</v>
      </c>
      <c r="C118" s="1477" t="s">
        <v>928</v>
      </c>
      <c r="D118" s="1477" t="s">
        <v>1710</v>
      </c>
      <c r="E118" s="1479">
        <v>42256</v>
      </c>
      <c r="F118" s="564"/>
      <c r="G118" s="1479">
        <f t="shared" si="3"/>
        <v>42256</v>
      </c>
      <c r="H118" s="1479"/>
      <c r="I118" s="1479" t="s">
        <v>1873</v>
      </c>
      <c r="J118" s="1479" t="s">
        <v>1873</v>
      </c>
      <c r="K118" s="1479"/>
      <c r="L118" s="1479" t="s">
        <v>1873</v>
      </c>
      <c r="M118" s="1380">
        <v>0</v>
      </c>
      <c r="N118" s="1380">
        <v>0</v>
      </c>
      <c r="O118" s="564"/>
      <c r="P118" s="1381">
        <f t="shared" si="5"/>
        <v>0</v>
      </c>
      <c r="Q118" s="564"/>
      <c r="R118" s="564"/>
      <c r="S118" s="1380">
        <f t="shared" si="4"/>
        <v>0</v>
      </c>
    </row>
    <row r="119" spans="1:19" ht="31" x14ac:dyDescent="0.3">
      <c r="A119" s="1482">
        <v>20.100000000000001</v>
      </c>
      <c r="B119" s="1483" t="s">
        <v>1711</v>
      </c>
      <c r="C119" s="1531" t="s">
        <v>936</v>
      </c>
      <c r="D119" s="1482" t="s">
        <v>1710</v>
      </c>
      <c r="E119" s="1532">
        <v>42256</v>
      </c>
      <c r="F119" s="564"/>
      <c r="G119" s="1532">
        <f t="shared" si="3"/>
        <v>42256</v>
      </c>
      <c r="H119" s="1532"/>
      <c r="I119" s="1532" t="s">
        <v>1873</v>
      </c>
      <c r="J119" s="1532" t="s">
        <v>1873</v>
      </c>
      <c r="K119" s="1532"/>
      <c r="L119" s="1532" t="s">
        <v>1873</v>
      </c>
      <c r="M119" s="565">
        <v>1.077</v>
      </c>
      <c r="N119" s="565">
        <v>0.90834481999999994</v>
      </c>
      <c r="O119" s="564"/>
      <c r="P119" s="1381">
        <f t="shared" si="5"/>
        <v>0.16865518000000002</v>
      </c>
      <c r="Q119" s="564"/>
      <c r="R119" s="564"/>
      <c r="S119" s="565">
        <f t="shared" si="4"/>
        <v>0.16865518000000002</v>
      </c>
    </row>
    <row r="120" spans="1:19" ht="46.5" x14ac:dyDescent="0.3">
      <c r="A120" s="1482">
        <v>20.2</v>
      </c>
      <c r="B120" s="1483" t="s">
        <v>1712</v>
      </c>
      <c r="C120" s="1531" t="s">
        <v>936</v>
      </c>
      <c r="D120" s="1482" t="s">
        <v>1710</v>
      </c>
      <c r="E120" s="1532">
        <v>42256</v>
      </c>
      <c r="F120" s="564"/>
      <c r="G120" s="1532">
        <f t="shared" si="3"/>
        <v>42256</v>
      </c>
      <c r="H120" s="1532"/>
      <c r="I120" s="1532" t="s">
        <v>1873</v>
      </c>
      <c r="J120" s="1532" t="s">
        <v>1873</v>
      </c>
      <c r="K120" s="1532"/>
      <c r="L120" s="1532" t="s">
        <v>1873</v>
      </c>
      <c r="M120" s="565">
        <v>5.7590000000000003</v>
      </c>
      <c r="N120" s="565">
        <v>2.894304</v>
      </c>
      <c r="O120" s="564"/>
      <c r="P120" s="1381">
        <f t="shared" si="5"/>
        <v>2.8646960000000004</v>
      </c>
      <c r="Q120" s="564"/>
      <c r="R120" s="564"/>
      <c r="S120" s="565">
        <f t="shared" si="4"/>
        <v>2.8646960000000004</v>
      </c>
    </row>
    <row r="121" spans="1:19" ht="31" x14ac:dyDescent="0.3">
      <c r="A121" s="1482">
        <v>20.3</v>
      </c>
      <c r="B121" s="1483" t="s">
        <v>1713</v>
      </c>
      <c r="C121" s="1531" t="s">
        <v>936</v>
      </c>
      <c r="D121" s="1482" t="s">
        <v>1710</v>
      </c>
      <c r="E121" s="1532">
        <v>42256</v>
      </c>
      <c r="F121" s="564"/>
      <c r="G121" s="1532">
        <f t="shared" si="3"/>
        <v>42256</v>
      </c>
      <c r="H121" s="1532"/>
      <c r="I121" s="1532" t="s">
        <v>1873</v>
      </c>
      <c r="J121" s="1532" t="s">
        <v>1873</v>
      </c>
      <c r="K121" s="1532"/>
      <c r="L121" s="1532" t="s">
        <v>1873</v>
      </c>
      <c r="M121" s="565">
        <v>5.12</v>
      </c>
      <c r="N121" s="565">
        <v>7.9707386820000004</v>
      </c>
      <c r="O121" s="564"/>
      <c r="P121" s="1381">
        <f t="shared" si="5"/>
        <v>-2.8507386820000002</v>
      </c>
      <c r="Q121" s="564"/>
      <c r="R121" s="564"/>
      <c r="S121" s="565">
        <f t="shared" si="4"/>
        <v>-2.8507386820000002</v>
      </c>
    </row>
    <row r="122" spans="1:19" ht="31" x14ac:dyDescent="0.3">
      <c r="A122" s="1482">
        <v>20.399999999999999</v>
      </c>
      <c r="B122" s="1483" t="s">
        <v>1714</v>
      </c>
      <c r="C122" s="1531" t="s">
        <v>936</v>
      </c>
      <c r="D122" s="1482" t="s">
        <v>1710</v>
      </c>
      <c r="E122" s="1532">
        <v>42256</v>
      </c>
      <c r="F122" s="564"/>
      <c r="G122" s="1532">
        <f t="shared" si="3"/>
        <v>42256</v>
      </c>
      <c r="H122" s="1532"/>
      <c r="I122" s="1532" t="s">
        <v>1873</v>
      </c>
      <c r="J122" s="1532" t="s">
        <v>1873</v>
      </c>
      <c r="K122" s="1532"/>
      <c r="L122" s="1532" t="s">
        <v>1873</v>
      </c>
      <c r="M122" s="565">
        <v>3.8969999999999998</v>
      </c>
      <c r="N122" s="565">
        <v>4.488435977</v>
      </c>
      <c r="O122" s="564"/>
      <c r="P122" s="1381">
        <f t="shared" si="5"/>
        <v>-0.59143597700000017</v>
      </c>
      <c r="Q122" s="564"/>
      <c r="R122" s="564"/>
      <c r="S122" s="565">
        <f t="shared" si="4"/>
        <v>-0.59143597700000017</v>
      </c>
    </row>
    <row r="123" spans="1:19" ht="31" x14ac:dyDescent="0.3">
      <c r="A123" s="1482">
        <v>0</v>
      </c>
      <c r="B123" s="1483" t="s">
        <v>414</v>
      </c>
      <c r="C123" s="1531" t="s">
        <v>414</v>
      </c>
      <c r="D123" s="1482" t="s">
        <v>1710</v>
      </c>
      <c r="E123" s="1532">
        <v>42256</v>
      </c>
      <c r="F123" s="564"/>
      <c r="G123" s="1532">
        <f t="shared" si="3"/>
        <v>42256</v>
      </c>
      <c r="H123" s="1532"/>
      <c r="I123" s="1532" t="s">
        <v>1873</v>
      </c>
      <c r="J123" s="1532" t="s">
        <v>1873</v>
      </c>
      <c r="K123" s="1532"/>
      <c r="L123" s="1532" t="s">
        <v>1873</v>
      </c>
      <c r="M123" s="565">
        <v>0.45</v>
      </c>
      <c r="N123" s="565">
        <v>0</v>
      </c>
      <c r="O123" s="564"/>
      <c r="P123" s="1381">
        <f t="shared" si="5"/>
        <v>0.45</v>
      </c>
      <c r="Q123" s="564"/>
      <c r="R123" s="564"/>
      <c r="S123" s="565">
        <f t="shared" si="4"/>
        <v>0.45</v>
      </c>
    </row>
    <row r="124" spans="1:19" ht="15.5" x14ac:dyDescent="0.3">
      <c r="A124" s="1489">
        <v>21</v>
      </c>
      <c r="B124" s="1490" t="s">
        <v>1715</v>
      </c>
      <c r="C124" s="1486" t="s">
        <v>928</v>
      </c>
      <c r="D124" s="1486" t="s">
        <v>1716</v>
      </c>
      <c r="E124" s="1487">
        <v>42500</v>
      </c>
      <c r="F124" s="559"/>
      <c r="G124" s="1487">
        <f t="shared" si="3"/>
        <v>42500</v>
      </c>
      <c r="H124" s="1635"/>
      <c r="I124" s="1487" t="s">
        <v>1873</v>
      </c>
      <c r="J124" s="1487" t="s">
        <v>1873</v>
      </c>
      <c r="K124" s="1635"/>
      <c r="L124" s="1487" t="s">
        <v>1873</v>
      </c>
      <c r="M124" s="1383">
        <v>0</v>
      </c>
      <c r="N124" s="1383">
        <v>0</v>
      </c>
      <c r="O124" s="559"/>
      <c r="P124" s="1382">
        <f t="shared" si="5"/>
        <v>0</v>
      </c>
      <c r="Q124" s="559"/>
      <c r="R124" s="559"/>
      <c r="S124" s="1383">
        <f t="shared" si="4"/>
        <v>0</v>
      </c>
    </row>
    <row r="125" spans="1:19" ht="31" x14ac:dyDescent="0.3">
      <c r="A125" s="1484">
        <v>21.1</v>
      </c>
      <c r="B125" s="1485" t="s">
        <v>1717</v>
      </c>
      <c r="C125" s="1554" t="s">
        <v>936</v>
      </c>
      <c r="D125" s="1488" t="s">
        <v>1716</v>
      </c>
      <c r="E125" s="1495">
        <v>42500</v>
      </c>
      <c r="F125" s="559"/>
      <c r="G125" s="1495">
        <f t="shared" si="3"/>
        <v>42500</v>
      </c>
      <c r="H125" s="1634"/>
      <c r="I125" s="1495" t="s">
        <v>1873</v>
      </c>
      <c r="J125" s="1495" t="s">
        <v>1873</v>
      </c>
      <c r="K125" s="1634"/>
      <c r="L125" s="1495" t="s">
        <v>1873</v>
      </c>
      <c r="M125" s="560">
        <v>2.71</v>
      </c>
      <c r="N125" s="560">
        <v>3.7130741999999999</v>
      </c>
      <c r="O125" s="559"/>
      <c r="P125" s="1382">
        <f t="shared" si="5"/>
        <v>-1.0030741999999999</v>
      </c>
      <c r="Q125" s="559"/>
      <c r="R125" s="559"/>
      <c r="S125" s="560">
        <f t="shared" si="4"/>
        <v>-1.0030741999999999</v>
      </c>
    </row>
    <row r="126" spans="1:19" ht="31" x14ac:dyDescent="0.3">
      <c r="A126" s="1484">
        <v>21.2</v>
      </c>
      <c r="B126" s="1485" t="s">
        <v>2430</v>
      </c>
      <c r="C126" s="1554" t="s">
        <v>936</v>
      </c>
      <c r="D126" s="1488" t="s">
        <v>1716</v>
      </c>
      <c r="E126" s="1495">
        <v>42500</v>
      </c>
      <c r="F126" s="559"/>
      <c r="G126" s="1495">
        <f t="shared" si="3"/>
        <v>42500</v>
      </c>
      <c r="H126" s="1634"/>
      <c r="I126" s="1495" t="s">
        <v>1873</v>
      </c>
      <c r="J126" s="1495" t="s">
        <v>1873</v>
      </c>
      <c r="K126" s="1634"/>
      <c r="L126" s="1495" t="s">
        <v>1873</v>
      </c>
      <c r="M126" s="560">
        <v>0.55000000000000004</v>
      </c>
      <c r="N126" s="560">
        <v>0.53016459999999999</v>
      </c>
      <c r="O126" s="559"/>
      <c r="P126" s="1382">
        <f t="shared" si="5"/>
        <v>1.9835400000000059E-2</v>
      </c>
      <c r="Q126" s="559"/>
      <c r="R126" s="559"/>
      <c r="S126" s="560">
        <f t="shared" si="4"/>
        <v>1.9835400000000059E-2</v>
      </c>
    </row>
    <row r="127" spans="1:19" ht="31" x14ac:dyDescent="0.3">
      <c r="A127" s="1484">
        <v>21.3</v>
      </c>
      <c r="B127" s="1485" t="s">
        <v>1719</v>
      </c>
      <c r="C127" s="1554" t="s">
        <v>936</v>
      </c>
      <c r="D127" s="1488" t="s">
        <v>1716</v>
      </c>
      <c r="E127" s="1495">
        <v>42500</v>
      </c>
      <c r="F127" s="559"/>
      <c r="G127" s="1495">
        <f t="shared" si="3"/>
        <v>42500</v>
      </c>
      <c r="H127" s="1634"/>
      <c r="I127" s="1495" t="s">
        <v>1873</v>
      </c>
      <c r="J127" s="1495" t="s">
        <v>1873</v>
      </c>
      <c r="K127" s="1634"/>
      <c r="L127" s="1495" t="s">
        <v>1873</v>
      </c>
      <c r="M127" s="560">
        <v>3.12</v>
      </c>
      <c r="N127" s="560">
        <v>3.5539240080000001</v>
      </c>
      <c r="O127" s="559"/>
      <c r="P127" s="1382">
        <f t="shared" si="5"/>
        <v>-0.43392400799999997</v>
      </c>
      <c r="Q127" s="559"/>
      <c r="R127" s="559"/>
      <c r="S127" s="560">
        <f t="shared" si="4"/>
        <v>-0.43392400799999997</v>
      </c>
    </row>
    <row r="128" spans="1:19" ht="15.5" x14ac:dyDescent="0.3">
      <c r="A128" s="1484">
        <v>21.4</v>
      </c>
      <c r="B128" s="1485" t="s">
        <v>1720</v>
      </c>
      <c r="C128" s="1554" t="s">
        <v>936</v>
      </c>
      <c r="D128" s="1488" t="s">
        <v>1716</v>
      </c>
      <c r="E128" s="1495">
        <v>42500</v>
      </c>
      <c r="F128" s="559"/>
      <c r="G128" s="1495">
        <f t="shared" si="3"/>
        <v>42500</v>
      </c>
      <c r="H128" s="1634"/>
      <c r="I128" s="1495" t="s">
        <v>1873</v>
      </c>
      <c r="J128" s="1495" t="s">
        <v>1873</v>
      </c>
      <c r="K128" s="1634"/>
      <c r="L128" s="1495" t="s">
        <v>1873</v>
      </c>
      <c r="M128" s="560">
        <v>2.34</v>
      </c>
      <c r="N128" s="560">
        <v>3.3241367359999998</v>
      </c>
      <c r="O128" s="559"/>
      <c r="P128" s="1382">
        <f t="shared" si="5"/>
        <v>-0.98413673599999996</v>
      </c>
      <c r="Q128" s="559"/>
      <c r="R128" s="559"/>
      <c r="S128" s="560">
        <f t="shared" si="4"/>
        <v>-0.98413673599999996</v>
      </c>
    </row>
    <row r="129" spans="1:19" ht="31" x14ac:dyDescent="0.3">
      <c r="A129" s="1484">
        <v>21.5</v>
      </c>
      <c r="B129" s="1485" t="s">
        <v>1721</v>
      </c>
      <c r="C129" s="1554" t="s">
        <v>936</v>
      </c>
      <c r="D129" s="1488" t="s">
        <v>1716</v>
      </c>
      <c r="E129" s="1495">
        <v>42500</v>
      </c>
      <c r="F129" s="559"/>
      <c r="G129" s="1495">
        <f t="shared" si="3"/>
        <v>42500</v>
      </c>
      <c r="H129" s="1634"/>
      <c r="I129" s="1495" t="s">
        <v>1873</v>
      </c>
      <c r="J129" s="1495" t="s">
        <v>1873</v>
      </c>
      <c r="K129" s="1634"/>
      <c r="L129" s="1495" t="s">
        <v>1873</v>
      </c>
      <c r="M129" s="560">
        <v>1.03</v>
      </c>
      <c r="N129" s="560">
        <v>1.1915800000000001</v>
      </c>
      <c r="O129" s="559"/>
      <c r="P129" s="1382">
        <f t="shared" si="5"/>
        <v>-0.16158000000000006</v>
      </c>
      <c r="Q129" s="559"/>
      <c r="R129" s="559"/>
      <c r="S129" s="560">
        <f t="shared" si="4"/>
        <v>-0.16158000000000006</v>
      </c>
    </row>
    <row r="130" spans="1:19" ht="15.5" x14ac:dyDescent="0.3">
      <c r="A130" s="1484">
        <v>0</v>
      </c>
      <c r="B130" s="1485" t="s">
        <v>414</v>
      </c>
      <c r="C130" s="1554" t="s">
        <v>414</v>
      </c>
      <c r="D130" s="1488" t="s">
        <v>1716</v>
      </c>
      <c r="E130" s="1495">
        <v>42500</v>
      </c>
      <c r="F130" s="559"/>
      <c r="G130" s="1495">
        <f t="shared" si="3"/>
        <v>42500</v>
      </c>
      <c r="H130" s="1634"/>
      <c r="I130" s="1495" t="s">
        <v>1873</v>
      </c>
      <c r="J130" s="1495" t="s">
        <v>1873</v>
      </c>
      <c r="K130" s="1634"/>
      <c r="L130" s="1495" t="s">
        <v>1873</v>
      </c>
      <c r="M130" s="560">
        <v>0.75</v>
      </c>
      <c r="N130" s="560">
        <v>0</v>
      </c>
      <c r="O130" s="559"/>
      <c r="P130" s="1382">
        <f t="shared" si="5"/>
        <v>0.75</v>
      </c>
      <c r="Q130" s="559"/>
      <c r="R130" s="559"/>
      <c r="S130" s="560">
        <f t="shared" si="4"/>
        <v>0.75</v>
      </c>
    </row>
    <row r="131" spans="1:19" ht="31" x14ac:dyDescent="0.3">
      <c r="A131" s="1489">
        <v>22</v>
      </c>
      <c r="B131" s="1490" t="s">
        <v>1722</v>
      </c>
      <c r="C131" s="1486" t="s">
        <v>928</v>
      </c>
      <c r="D131" s="1486" t="s">
        <v>1723</v>
      </c>
      <c r="E131" s="1487">
        <v>42584</v>
      </c>
      <c r="F131" s="559"/>
      <c r="G131" s="1487">
        <f t="shared" si="3"/>
        <v>42584</v>
      </c>
      <c r="H131" s="1635"/>
      <c r="I131" s="1487" t="s">
        <v>1873</v>
      </c>
      <c r="J131" s="1487" t="s">
        <v>1873</v>
      </c>
      <c r="K131" s="1635"/>
      <c r="L131" s="1487" t="s">
        <v>1873</v>
      </c>
      <c r="M131" s="1383">
        <v>0</v>
      </c>
      <c r="N131" s="1383">
        <v>0</v>
      </c>
      <c r="O131" s="559"/>
      <c r="P131" s="1382">
        <f t="shared" si="5"/>
        <v>0</v>
      </c>
      <c r="Q131" s="559"/>
      <c r="R131" s="559"/>
      <c r="S131" s="1383">
        <f t="shared" si="4"/>
        <v>0</v>
      </c>
    </row>
    <row r="132" spans="1:19" ht="31" x14ac:dyDescent="0.3">
      <c r="A132" s="1484">
        <v>22.1</v>
      </c>
      <c r="B132" s="1485" t="s">
        <v>1724</v>
      </c>
      <c r="C132" s="1554" t="s">
        <v>936</v>
      </c>
      <c r="D132" s="1488" t="s">
        <v>1723</v>
      </c>
      <c r="E132" s="1495">
        <v>42584</v>
      </c>
      <c r="F132" s="559"/>
      <c r="G132" s="1495">
        <f t="shared" si="3"/>
        <v>42584</v>
      </c>
      <c r="H132" s="1634"/>
      <c r="I132" s="1495" t="s">
        <v>1873</v>
      </c>
      <c r="J132" s="1495" t="s">
        <v>1873</v>
      </c>
      <c r="K132" s="1634"/>
      <c r="L132" s="1495" t="s">
        <v>1873</v>
      </c>
      <c r="M132" s="560">
        <v>4.6100000000000003</v>
      </c>
      <c r="N132" s="560">
        <v>3.9121787139999999</v>
      </c>
      <c r="O132" s="559"/>
      <c r="P132" s="1382">
        <f t="shared" si="5"/>
        <v>0.69782128600000037</v>
      </c>
      <c r="Q132" s="559"/>
      <c r="R132" s="559"/>
      <c r="S132" s="560">
        <f t="shared" si="4"/>
        <v>0.69782128600000037</v>
      </c>
    </row>
    <row r="133" spans="1:19" ht="31" x14ac:dyDescent="0.3">
      <c r="A133" s="1484">
        <v>22.2</v>
      </c>
      <c r="B133" s="1485" t="s">
        <v>1725</v>
      </c>
      <c r="C133" s="1554" t="s">
        <v>936</v>
      </c>
      <c r="D133" s="1488" t="s">
        <v>1723</v>
      </c>
      <c r="E133" s="1495">
        <v>42584</v>
      </c>
      <c r="F133" s="559"/>
      <c r="G133" s="1495">
        <f t="shared" si="3"/>
        <v>42584</v>
      </c>
      <c r="H133" s="1634"/>
      <c r="I133" s="1495" t="s">
        <v>1873</v>
      </c>
      <c r="J133" s="1495" t="s">
        <v>1873</v>
      </c>
      <c r="K133" s="1634"/>
      <c r="L133" s="1495" t="s">
        <v>1873</v>
      </c>
      <c r="M133" s="560">
        <v>4.6100000000000003</v>
      </c>
      <c r="N133" s="560">
        <v>0</v>
      </c>
      <c r="O133" s="559"/>
      <c r="P133" s="1382">
        <f t="shared" si="5"/>
        <v>4.6100000000000003</v>
      </c>
      <c r="Q133" s="559"/>
      <c r="R133" s="559"/>
      <c r="S133" s="560">
        <f t="shared" si="4"/>
        <v>4.6100000000000003</v>
      </c>
    </row>
    <row r="134" spans="1:19" ht="31" x14ac:dyDescent="0.3">
      <c r="A134" s="1484">
        <v>22.3</v>
      </c>
      <c r="B134" s="1485" t="s">
        <v>1726</v>
      </c>
      <c r="C134" s="1554" t="s">
        <v>936</v>
      </c>
      <c r="D134" s="1488" t="s">
        <v>1723</v>
      </c>
      <c r="E134" s="1495">
        <v>42584</v>
      </c>
      <c r="F134" s="559"/>
      <c r="G134" s="1495">
        <f t="shared" si="3"/>
        <v>42584</v>
      </c>
      <c r="H134" s="1634"/>
      <c r="I134" s="1495" t="s">
        <v>1873</v>
      </c>
      <c r="J134" s="1495" t="s">
        <v>1873</v>
      </c>
      <c r="K134" s="1634"/>
      <c r="L134" s="1495" t="s">
        <v>1873</v>
      </c>
      <c r="M134" s="560">
        <v>2.98</v>
      </c>
      <c r="N134" s="560">
        <v>1.37732225</v>
      </c>
      <c r="O134" s="559"/>
      <c r="P134" s="1382">
        <f t="shared" si="5"/>
        <v>1.60267775</v>
      </c>
      <c r="Q134" s="559"/>
      <c r="R134" s="559"/>
      <c r="S134" s="560">
        <f t="shared" si="4"/>
        <v>1.60267775</v>
      </c>
    </row>
    <row r="135" spans="1:19" ht="46.5" x14ac:dyDescent="0.3">
      <c r="A135" s="1484">
        <v>22.4</v>
      </c>
      <c r="B135" s="1485" t="s">
        <v>1727</v>
      </c>
      <c r="C135" s="1554" t="s">
        <v>936</v>
      </c>
      <c r="D135" s="1488" t="s">
        <v>1723</v>
      </c>
      <c r="E135" s="1495">
        <v>42584</v>
      </c>
      <c r="F135" s="559"/>
      <c r="G135" s="1495">
        <f t="shared" si="3"/>
        <v>42584</v>
      </c>
      <c r="H135" s="1634"/>
      <c r="I135" s="1495" t="s">
        <v>1873</v>
      </c>
      <c r="J135" s="1495" t="s">
        <v>1873</v>
      </c>
      <c r="K135" s="1634"/>
      <c r="L135" s="1495" t="s">
        <v>1873</v>
      </c>
      <c r="M135" s="560">
        <v>5.37</v>
      </c>
      <c r="N135" s="560">
        <v>4.5728099999999996</v>
      </c>
      <c r="O135" s="559"/>
      <c r="P135" s="1382">
        <f t="shared" si="5"/>
        <v>0.79719000000000051</v>
      </c>
      <c r="Q135" s="559"/>
      <c r="R135" s="559"/>
      <c r="S135" s="560">
        <f t="shared" si="4"/>
        <v>0.79719000000000051</v>
      </c>
    </row>
    <row r="136" spans="1:19" ht="15.5" x14ac:dyDescent="0.3">
      <c r="A136" s="1484">
        <v>0</v>
      </c>
      <c r="B136" s="1485" t="s">
        <v>414</v>
      </c>
      <c r="C136" s="1554" t="s">
        <v>414</v>
      </c>
      <c r="D136" s="1488" t="s">
        <v>1723</v>
      </c>
      <c r="E136" s="1495">
        <v>42584</v>
      </c>
      <c r="F136" s="559"/>
      <c r="G136" s="1495">
        <f t="shared" si="3"/>
        <v>42584</v>
      </c>
      <c r="H136" s="1634"/>
      <c r="I136" s="1495" t="s">
        <v>1873</v>
      </c>
      <c r="J136" s="1495" t="s">
        <v>1873</v>
      </c>
      <c r="K136" s="1634"/>
      <c r="L136" s="1495" t="s">
        <v>1873</v>
      </c>
      <c r="M136" s="560">
        <v>0.6</v>
      </c>
      <c r="N136" s="560">
        <v>0</v>
      </c>
      <c r="O136" s="559"/>
      <c r="P136" s="1382">
        <f t="shared" si="5"/>
        <v>0.6</v>
      </c>
      <c r="Q136" s="559"/>
      <c r="R136" s="559"/>
      <c r="S136" s="560">
        <f t="shared" si="4"/>
        <v>0.6</v>
      </c>
    </row>
    <row r="137" spans="1:19" ht="15.5" x14ac:dyDescent="0.3">
      <c r="A137" s="1477">
        <v>23</v>
      </c>
      <c r="B137" s="1478" t="s">
        <v>1728</v>
      </c>
      <c r="C137" s="1477" t="s">
        <v>928</v>
      </c>
      <c r="D137" s="1477" t="s">
        <v>1729</v>
      </c>
      <c r="E137" s="1479">
        <v>42702</v>
      </c>
      <c r="F137" s="564"/>
      <c r="G137" s="1479">
        <f t="shared" si="3"/>
        <v>42702</v>
      </c>
      <c r="H137" s="1479"/>
      <c r="I137" s="1479" t="s">
        <v>1873</v>
      </c>
      <c r="J137" s="1479" t="s">
        <v>1873</v>
      </c>
      <c r="K137" s="1479"/>
      <c r="L137" s="1479" t="s">
        <v>1873</v>
      </c>
      <c r="M137" s="1380">
        <v>0</v>
      </c>
      <c r="N137" s="1380">
        <v>0</v>
      </c>
      <c r="O137" s="564"/>
      <c r="P137" s="1381">
        <f t="shared" si="5"/>
        <v>0</v>
      </c>
      <c r="Q137" s="564"/>
      <c r="R137" s="564"/>
      <c r="S137" s="1380">
        <f t="shared" si="4"/>
        <v>0</v>
      </c>
    </row>
    <row r="138" spans="1:19" ht="15.5" x14ac:dyDescent="0.3">
      <c r="A138" s="1482">
        <v>23.1</v>
      </c>
      <c r="B138" s="1483" t="s">
        <v>1730</v>
      </c>
      <c r="C138" s="1531" t="s">
        <v>936</v>
      </c>
      <c r="D138" s="1482" t="s">
        <v>1729</v>
      </c>
      <c r="E138" s="1532">
        <v>42702</v>
      </c>
      <c r="F138" s="564"/>
      <c r="G138" s="1532">
        <f t="shared" si="3"/>
        <v>42702</v>
      </c>
      <c r="H138" s="1532"/>
      <c r="I138" s="1532" t="s">
        <v>1873</v>
      </c>
      <c r="J138" s="1532" t="s">
        <v>1873</v>
      </c>
      <c r="K138" s="1532"/>
      <c r="L138" s="1532" t="s">
        <v>1873</v>
      </c>
      <c r="M138" s="565">
        <v>5.76</v>
      </c>
      <c r="N138" s="565">
        <v>5.2949505139999999</v>
      </c>
      <c r="O138" s="564"/>
      <c r="P138" s="1381">
        <f t="shared" si="5"/>
        <v>0.46504948599999985</v>
      </c>
      <c r="Q138" s="564"/>
      <c r="R138" s="564"/>
      <c r="S138" s="565">
        <f t="shared" si="4"/>
        <v>0.46504948599999985</v>
      </c>
    </row>
    <row r="139" spans="1:19" ht="31" x14ac:dyDescent="0.3">
      <c r="A139" s="1482">
        <v>23.2</v>
      </c>
      <c r="B139" s="1483" t="s">
        <v>1731</v>
      </c>
      <c r="C139" s="1531" t="s">
        <v>936</v>
      </c>
      <c r="D139" s="1482" t="s">
        <v>1729</v>
      </c>
      <c r="E139" s="1532">
        <v>42702</v>
      </c>
      <c r="F139" s="564"/>
      <c r="G139" s="1532">
        <f t="shared" ref="G139:G202" si="6">E139</f>
        <v>42702</v>
      </c>
      <c r="H139" s="1532"/>
      <c r="I139" s="1532" t="s">
        <v>1873</v>
      </c>
      <c r="J139" s="1532" t="s">
        <v>1873</v>
      </c>
      <c r="K139" s="1532"/>
      <c r="L139" s="1532" t="s">
        <v>1873</v>
      </c>
      <c r="M139" s="565">
        <v>2.19</v>
      </c>
      <c r="N139" s="565">
        <v>2.3147547999999998</v>
      </c>
      <c r="O139" s="564"/>
      <c r="P139" s="1381">
        <f t="shared" si="5"/>
        <v>-0.12475479999999983</v>
      </c>
      <c r="Q139" s="564"/>
      <c r="R139" s="564"/>
      <c r="S139" s="565">
        <f t="shared" ref="S139:S202" si="7">IF(SUM(O139:R139)=0,M139-N139,SUM(O139:R139))</f>
        <v>-0.12475479999999983</v>
      </c>
    </row>
    <row r="140" spans="1:19" ht="31" x14ac:dyDescent="0.3">
      <c r="A140" s="1482">
        <v>23.3</v>
      </c>
      <c r="B140" s="1483" t="s">
        <v>1732</v>
      </c>
      <c r="C140" s="1531" t="s">
        <v>936</v>
      </c>
      <c r="D140" s="1482" t="s">
        <v>1729</v>
      </c>
      <c r="E140" s="1532">
        <v>42702</v>
      </c>
      <c r="F140" s="564"/>
      <c r="G140" s="1532">
        <f t="shared" si="6"/>
        <v>42702</v>
      </c>
      <c r="H140" s="1532"/>
      <c r="I140" s="1532" t="s">
        <v>1873</v>
      </c>
      <c r="J140" s="1532" t="s">
        <v>1873</v>
      </c>
      <c r="K140" s="1532"/>
      <c r="L140" s="1532" t="s">
        <v>1873</v>
      </c>
      <c r="M140" s="565">
        <v>10.33</v>
      </c>
      <c r="N140" s="565">
        <v>11.7941</v>
      </c>
      <c r="O140" s="564"/>
      <c r="P140" s="1381">
        <f t="shared" ref="P140:P202" si="8">M140-N140</f>
        <v>-1.4641000000000002</v>
      </c>
      <c r="Q140" s="564"/>
      <c r="R140" s="564"/>
      <c r="S140" s="565">
        <f t="shared" si="7"/>
        <v>-1.4641000000000002</v>
      </c>
    </row>
    <row r="141" spans="1:19" ht="15.5" x14ac:dyDescent="0.3">
      <c r="A141" s="1482">
        <v>0</v>
      </c>
      <c r="B141" s="1483" t="s">
        <v>414</v>
      </c>
      <c r="C141" s="1531" t="s">
        <v>414</v>
      </c>
      <c r="D141" s="1482" t="s">
        <v>1729</v>
      </c>
      <c r="E141" s="1532">
        <v>42702</v>
      </c>
      <c r="F141" s="564"/>
      <c r="G141" s="1532">
        <f t="shared" si="6"/>
        <v>42702</v>
      </c>
      <c r="H141" s="1532"/>
      <c r="I141" s="1532" t="s">
        <v>1873</v>
      </c>
      <c r="J141" s="1532" t="s">
        <v>1873</v>
      </c>
      <c r="K141" s="1532"/>
      <c r="L141" s="1532" t="s">
        <v>1873</v>
      </c>
      <c r="M141" s="565">
        <v>0.5</v>
      </c>
      <c r="N141" s="565">
        <v>0</v>
      </c>
      <c r="O141" s="564"/>
      <c r="P141" s="1381">
        <f t="shared" si="8"/>
        <v>0.5</v>
      </c>
      <c r="Q141" s="564"/>
      <c r="R141" s="564"/>
      <c r="S141" s="565">
        <f t="shared" si="7"/>
        <v>0.5</v>
      </c>
    </row>
    <row r="142" spans="1:19" ht="31" x14ac:dyDescent="0.3">
      <c r="A142" s="1477">
        <v>24</v>
      </c>
      <c r="B142" s="1478" t="s">
        <v>1733</v>
      </c>
      <c r="C142" s="1477" t="s">
        <v>928</v>
      </c>
      <c r="D142" s="1477" t="s">
        <v>1734</v>
      </c>
      <c r="E142" s="1479">
        <v>42772</v>
      </c>
      <c r="F142" s="564"/>
      <c r="G142" s="1479">
        <f t="shared" si="6"/>
        <v>42772</v>
      </c>
      <c r="H142" s="1479"/>
      <c r="I142" s="1479" t="s">
        <v>1873</v>
      </c>
      <c r="J142" s="1479" t="s">
        <v>1873</v>
      </c>
      <c r="K142" s="1479"/>
      <c r="L142" s="1479" t="s">
        <v>1873</v>
      </c>
      <c r="M142" s="1380">
        <v>0</v>
      </c>
      <c r="N142" s="1380">
        <v>0</v>
      </c>
      <c r="O142" s="564"/>
      <c r="P142" s="1381">
        <f t="shared" si="8"/>
        <v>0</v>
      </c>
      <c r="Q142" s="564"/>
      <c r="R142" s="564"/>
      <c r="S142" s="1380">
        <f t="shared" si="7"/>
        <v>0</v>
      </c>
    </row>
    <row r="143" spans="1:19" ht="31" x14ac:dyDescent="0.3">
      <c r="A143" s="1482">
        <v>24.1</v>
      </c>
      <c r="B143" s="1483" t="s">
        <v>1735</v>
      </c>
      <c r="C143" s="1531" t="s">
        <v>936</v>
      </c>
      <c r="D143" s="1482" t="s">
        <v>1734</v>
      </c>
      <c r="E143" s="1532">
        <v>42772</v>
      </c>
      <c r="F143" s="564"/>
      <c r="G143" s="1532">
        <f t="shared" si="6"/>
        <v>42772</v>
      </c>
      <c r="H143" s="1532"/>
      <c r="I143" s="1532" t="s">
        <v>1873</v>
      </c>
      <c r="J143" s="1532" t="s">
        <v>1873</v>
      </c>
      <c r="K143" s="1532"/>
      <c r="L143" s="1532" t="s">
        <v>1873</v>
      </c>
      <c r="M143" s="565">
        <v>3.25</v>
      </c>
      <c r="N143" s="565">
        <v>3.8744195499999998</v>
      </c>
      <c r="O143" s="564"/>
      <c r="P143" s="1381">
        <f t="shared" si="8"/>
        <v>-0.62441954999999982</v>
      </c>
      <c r="Q143" s="564"/>
      <c r="R143" s="564"/>
      <c r="S143" s="565">
        <f t="shared" si="7"/>
        <v>-0.62441954999999982</v>
      </c>
    </row>
    <row r="144" spans="1:19" ht="31" x14ac:dyDescent="0.3">
      <c r="A144" s="1482">
        <v>24.2</v>
      </c>
      <c r="B144" s="1483" t="s">
        <v>1736</v>
      </c>
      <c r="C144" s="1531" t="s">
        <v>936</v>
      </c>
      <c r="D144" s="1482" t="s">
        <v>1734</v>
      </c>
      <c r="E144" s="1532">
        <v>42772</v>
      </c>
      <c r="F144" s="564"/>
      <c r="G144" s="1532">
        <f t="shared" si="6"/>
        <v>42772</v>
      </c>
      <c r="H144" s="1532"/>
      <c r="I144" s="1532" t="s">
        <v>1873</v>
      </c>
      <c r="J144" s="1532" t="s">
        <v>1873</v>
      </c>
      <c r="K144" s="1532"/>
      <c r="L144" s="1532" t="s">
        <v>1873</v>
      </c>
      <c r="M144" s="565">
        <v>3.46</v>
      </c>
      <c r="N144" s="565">
        <v>3.5522795499999997</v>
      </c>
      <c r="O144" s="564"/>
      <c r="P144" s="1381">
        <f t="shared" si="8"/>
        <v>-9.2279549999999766E-2</v>
      </c>
      <c r="Q144" s="564"/>
      <c r="R144" s="564"/>
      <c r="S144" s="565">
        <f t="shared" si="7"/>
        <v>-9.2279549999999766E-2</v>
      </c>
    </row>
    <row r="145" spans="1:19" ht="31" x14ac:dyDescent="0.3">
      <c r="A145" s="1482">
        <v>24.3</v>
      </c>
      <c r="B145" s="1483" t="s">
        <v>1737</v>
      </c>
      <c r="C145" s="1531" t="s">
        <v>936</v>
      </c>
      <c r="D145" s="1482" t="s">
        <v>1734</v>
      </c>
      <c r="E145" s="1532">
        <v>42772</v>
      </c>
      <c r="F145" s="564"/>
      <c r="G145" s="1532">
        <f t="shared" si="6"/>
        <v>42772</v>
      </c>
      <c r="H145" s="1532"/>
      <c r="I145" s="1532" t="s">
        <v>1873</v>
      </c>
      <c r="J145" s="1532" t="s">
        <v>1873</v>
      </c>
      <c r="K145" s="1532"/>
      <c r="L145" s="1532" t="s">
        <v>1873</v>
      </c>
      <c r="M145" s="565">
        <v>6.19</v>
      </c>
      <c r="N145" s="565">
        <v>4.5767479</v>
      </c>
      <c r="O145" s="564"/>
      <c r="P145" s="1381">
        <f t="shared" si="8"/>
        <v>1.6132521000000004</v>
      </c>
      <c r="Q145" s="564"/>
      <c r="R145" s="564"/>
      <c r="S145" s="565">
        <f t="shared" si="7"/>
        <v>1.6132521000000004</v>
      </c>
    </row>
    <row r="146" spans="1:19" ht="15.5" x14ac:dyDescent="0.3">
      <c r="A146" s="1482">
        <v>0</v>
      </c>
      <c r="B146" s="1483" t="s">
        <v>414</v>
      </c>
      <c r="C146" s="1531" t="s">
        <v>414</v>
      </c>
      <c r="D146" s="1482" t="s">
        <v>1734</v>
      </c>
      <c r="E146" s="1532">
        <v>42772</v>
      </c>
      <c r="F146" s="564"/>
      <c r="G146" s="1532">
        <f t="shared" si="6"/>
        <v>42772</v>
      </c>
      <c r="H146" s="1532"/>
      <c r="I146" s="1532" t="s">
        <v>1873</v>
      </c>
      <c r="J146" s="1532" t="s">
        <v>1873</v>
      </c>
      <c r="K146" s="1532"/>
      <c r="L146" s="1532" t="s">
        <v>1873</v>
      </c>
      <c r="M146" s="565">
        <v>0.8</v>
      </c>
      <c r="N146" s="565">
        <v>0</v>
      </c>
      <c r="O146" s="564"/>
      <c r="P146" s="1381">
        <f t="shared" si="8"/>
        <v>0.8</v>
      </c>
      <c r="Q146" s="564"/>
      <c r="R146" s="564"/>
      <c r="S146" s="565">
        <f t="shared" si="7"/>
        <v>0.8</v>
      </c>
    </row>
    <row r="147" spans="1:19" ht="31" x14ac:dyDescent="0.3">
      <c r="A147" s="1489">
        <v>25</v>
      </c>
      <c r="B147" s="1490" t="s">
        <v>1738</v>
      </c>
      <c r="C147" s="1486" t="s">
        <v>928</v>
      </c>
      <c r="D147" s="1486" t="s">
        <v>1739</v>
      </c>
      <c r="E147" s="1487">
        <v>42737</v>
      </c>
      <c r="F147" s="559"/>
      <c r="G147" s="1487">
        <f t="shared" si="6"/>
        <v>42737</v>
      </c>
      <c r="H147" s="1635"/>
      <c r="I147" s="1487" t="s">
        <v>1873</v>
      </c>
      <c r="J147" s="1487" t="s">
        <v>1873</v>
      </c>
      <c r="K147" s="1635"/>
      <c r="L147" s="1487" t="s">
        <v>1873</v>
      </c>
      <c r="M147" s="1383">
        <v>0</v>
      </c>
      <c r="N147" s="1383">
        <v>0</v>
      </c>
      <c r="O147" s="559"/>
      <c r="P147" s="1382">
        <f t="shared" si="8"/>
        <v>0</v>
      </c>
      <c r="Q147" s="559"/>
      <c r="R147" s="559"/>
      <c r="S147" s="1383">
        <f t="shared" si="7"/>
        <v>0</v>
      </c>
    </row>
    <row r="148" spans="1:19" ht="31" x14ac:dyDescent="0.3">
      <c r="A148" s="1484">
        <v>25.1</v>
      </c>
      <c r="B148" s="1485" t="s">
        <v>1738</v>
      </c>
      <c r="C148" s="1554" t="s">
        <v>936</v>
      </c>
      <c r="D148" s="1488" t="s">
        <v>1739</v>
      </c>
      <c r="E148" s="1495">
        <v>42737</v>
      </c>
      <c r="F148" s="559"/>
      <c r="G148" s="1495">
        <f t="shared" si="6"/>
        <v>42737</v>
      </c>
      <c r="H148" s="1634"/>
      <c r="I148" s="1495" t="s">
        <v>1873</v>
      </c>
      <c r="J148" s="1495" t="s">
        <v>1873</v>
      </c>
      <c r="K148" s="1634"/>
      <c r="L148" s="1495" t="s">
        <v>1873</v>
      </c>
      <c r="M148" s="560">
        <v>14.686</v>
      </c>
      <c r="N148" s="560">
        <v>12.400374417000002</v>
      </c>
      <c r="O148" s="559"/>
      <c r="P148" s="1382">
        <f t="shared" si="8"/>
        <v>2.2856255829999981</v>
      </c>
      <c r="Q148" s="559"/>
      <c r="R148" s="559"/>
      <c r="S148" s="560">
        <f t="shared" si="7"/>
        <v>2.2856255829999981</v>
      </c>
    </row>
    <row r="149" spans="1:19" ht="31" x14ac:dyDescent="0.3">
      <c r="A149" s="1489">
        <v>26</v>
      </c>
      <c r="B149" s="1490" t="s">
        <v>1740</v>
      </c>
      <c r="C149" s="1486" t="s">
        <v>928</v>
      </c>
      <c r="D149" s="1486" t="s">
        <v>1741</v>
      </c>
      <c r="E149" s="1487">
        <v>42986</v>
      </c>
      <c r="F149" s="559"/>
      <c r="G149" s="1487">
        <f t="shared" si="6"/>
        <v>42986</v>
      </c>
      <c r="H149" s="1635"/>
      <c r="I149" s="1487" t="s">
        <v>1873</v>
      </c>
      <c r="J149" s="1487" t="s">
        <v>1873</v>
      </c>
      <c r="K149" s="1635"/>
      <c r="L149" s="1487" t="s">
        <v>1873</v>
      </c>
      <c r="M149" s="1383">
        <v>0</v>
      </c>
      <c r="N149" s="1383">
        <v>0</v>
      </c>
      <c r="O149" s="559"/>
      <c r="P149" s="1382">
        <f t="shared" si="8"/>
        <v>0</v>
      </c>
      <c r="Q149" s="559"/>
      <c r="R149" s="559"/>
      <c r="S149" s="1383">
        <f t="shared" si="7"/>
        <v>0</v>
      </c>
    </row>
    <row r="150" spans="1:19" ht="31" x14ac:dyDescent="0.3">
      <c r="A150" s="1484">
        <v>26.1</v>
      </c>
      <c r="B150" s="1485" t="s">
        <v>1740</v>
      </c>
      <c r="C150" s="1554" t="s">
        <v>936</v>
      </c>
      <c r="D150" s="1488" t="s">
        <v>1741</v>
      </c>
      <c r="E150" s="1495">
        <v>42986</v>
      </c>
      <c r="F150" s="559"/>
      <c r="G150" s="1495">
        <f t="shared" si="6"/>
        <v>42986</v>
      </c>
      <c r="H150" s="1634"/>
      <c r="I150" s="1495" t="s">
        <v>1873</v>
      </c>
      <c r="J150" s="1495" t="s">
        <v>1873</v>
      </c>
      <c r="K150" s="1634"/>
      <c r="L150" s="1495" t="s">
        <v>1873</v>
      </c>
      <c r="M150" s="560">
        <v>196.26</v>
      </c>
      <c r="N150" s="560">
        <v>256.81526693500001</v>
      </c>
      <c r="O150" s="559"/>
      <c r="P150" s="1382">
        <f t="shared" si="8"/>
        <v>-60.55526693500002</v>
      </c>
      <c r="Q150" s="559"/>
      <c r="R150" s="559"/>
      <c r="S150" s="560">
        <f t="shared" si="7"/>
        <v>-60.55526693500002</v>
      </c>
    </row>
    <row r="151" spans="1:19" ht="31" x14ac:dyDescent="0.3">
      <c r="A151" s="1477">
        <v>27</v>
      </c>
      <c r="B151" s="1478" t="s">
        <v>1742</v>
      </c>
      <c r="C151" s="1477" t="s">
        <v>928</v>
      </c>
      <c r="D151" s="1477" t="s">
        <v>1743</v>
      </c>
      <c r="E151" s="1479">
        <v>42965</v>
      </c>
      <c r="F151" s="564"/>
      <c r="G151" s="1479">
        <f t="shared" si="6"/>
        <v>42965</v>
      </c>
      <c r="H151" s="1479"/>
      <c r="I151" s="1479" t="s">
        <v>1873</v>
      </c>
      <c r="J151" s="1479" t="s">
        <v>1873</v>
      </c>
      <c r="K151" s="1479"/>
      <c r="L151" s="1479" t="s">
        <v>1873</v>
      </c>
      <c r="M151" s="1380">
        <v>0</v>
      </c>
      <c r="N151" s="1380">
        <v>0</v>
      </c>
      <c r="O151" s="564"/>
      <c r="P151" s="1381">
        <f t="shared" si="8"/>
        <v>0</v>
      </c>
      <c r="Q151" s="564"/>
      <c r="R151" s="564"/>
      <c r="S151" s="1380">
        <f t="shared" si="7"/>
        <v>0</v>
      </c>
    </row>
    <row r="152" spans="1:19" ht="15.5" x14ac:dyDescent="0.3">
      <c r="A152" s="1482">
        <v>27.1</v>
      </c>
      <c r="B152" s="1483" t="s">
        <v>1744</v>
      </c>
      <c r="C152" s="1531" t="s">
        <v>936</v>
      </c>
      <c r="D152" s="1482" t="s">
        <v>1743</v>
      </c>
      <c r="E152" s="1532">
        <v>42965</v>
      </c>
      <c r="F152" s="564"/>
      <c r="G152" s="1532">
        <f t="shared" si="6"/>
        <v>42965</v>
      </c>
      <c r="H152" s="1532"/>
      <c r="I152" s="1532" t="s">
        <v>1873</v>
      </c>
      <c r="J152" s="1532" t="s">
        <v>1873</v>
      </c>
      <c r="K152" s="1532"/>
      <c r="L152" s="1532" t="s">
        <v>1873</v>
      </c>
      <c r="M152" s="565">
        <v>18.25</v>
      </c>
      <c r="N152" s="565">
        <v>8.2829930689999998</v>
      </c>
      <c r="O152" s="564"/>
      <c r="P152" s="1381">
        <f t="shared" si="8"/>
        <v>9.9670069310000002</v>
      </c>
      <c r="Q152" s="564"/>
      <c r="R152" s="564"/>
      <c r="S152" s="565">
        <f t="shared" si="7"/>
        <v>9.9670069310000002</v>
      </c>
    </row>
    <row r="153" spans="1:19" ht="15.5" x14ac:dyDescent="0.3">
      <c r="A153" s="1482">
        <v>27.2</v>
      </c>
      <c r="B153" s="1483" t="s">
        <v>1745</v>
      </c>
      <c r="C153" s="1531" t="s">
        <v>936</v>
      </c>
      <c r="D153" s="1482" t="s">
        <v>1743</v>
      </c>
      <c r="E153" s="1532">
        <v>42965</v>
      </c>
      <c r="F153" s="564"/>
      <c r="G153" s="1532">
        <f t="shared" si="6"/>
        <v>42965</v>
      </c>
      <c r="H153" s="1532"/>
      <c r="I153" s="1532" t="s">
        <v>1873</v>
      </c>
      <c r="J153" s="1532" t="s">
        <v>1873</v>
      </c>
      <c r="K153" s="1532"/>
      <c r="L153" s="1532" t="s">
        <v>1873</v>
      </c>
      <c r="M153" s="565">
        <v>6.72</v>
      </c>
      <c r="N153" s="565">
        <v>6.0757019999999997</v>
      </c>
      <c r="O153" s="564"/>
      <c r="P153" s="1381">
        <f t="shared" si="8"/>
        <v>0.64429800000000004</v>
      </c>
      <c r="Q153" s="564"/>
      <c r="R153" s="564"/>
      <c r="S153" s="565">
        <f t="shared" si="7"/>
        <v>0.64429800000000004</v>
      </c>
    </row>
    <row r="154" spans="1:19" ht="15.5" x14ac:dyDescent="0.3">
      <c r="A154" s="1482">
        <v>0</v>
      </c>
      <c r="B154" s="1483" t="s">
        <v>414</v>
      </c>
      <c r="C154" s="1531" t="s">
        <v>414</v>
      </c>
      <c r="D154" s="1482" t="s">
        <v>1743</v>
      </c>
      <c r="E154" s="1532">
        <v>42965</v>
      </c>
      <c r="F154" s="564"/>
      <c r="G154" s="1532">
        <f t="shared" si="6"/>
        <v>42965</v>
      </c>
      <c r="H154" s="1532"/>
      <c r="I154" s="1532" t="s">
        <v>1873</v>
      </c>
      <c r="J154" s="1532" t="s">
        <v>1873</v>
      </c>
      <c r="K154" s="1532"/>
      <c r="L154" s="1532" t="s">
        <v>1873</v>
      </c>
      <c r="M154" s="565">
        <v>0.3</v>
      </c>
      <c r="N154" s="565">
        <v>0</v>
      </c>
      <c r="O154" s="564"/>
      <c r="P154" s="1381">
        <f t="shared" si="8"/>
        <v>0.3</v>
      </c>
      <c r="Q154" s="564"/>
      <c r="R154" s="564"/>
      <c r="S154" s="565">
        <f t="shared" si="7"/>
        <v>0.3</v>
      </c>
    </row>
    <row r="155" spans="1:19" ht="46.5" x14ac:dyDescent="0.3">
      <c r="A155" s="1477">
        <v>28</v>
      </c>
      <c r="B155" s="1478" t="s">
        <v>1746</v>
      </c>
      <c r="C155" s="1477" t="s">
        <v>928</v>
      </c>
      <c r="D155" s="1477" t="s">
        <v>1747</v>
      </c>
      <c r="E155" s="1479">
        <v>43054</v>
      </c>
      <c r="F155" s="564"/>
      <c r="G155" s="1479">
        <f t="shared" si="6"/>
        <v>43054</v>
      </c>
      <c r="H155" s="1479"/>
      <c r="I155" s="1479" t="s">
        <v>1873</v>
      </c>
      <c r="J155" s="1479" t="s">
        <v>1873</v>
      </c>
      <c r="K155" s="1479"/>
      <c r="L155" s="1479" t="s">
        <v>1873</v>
      </c>
      <c r="M155" s="1380">
        <v>0</v>
      </c>
      <c r="N155" s="1380">
        <v>0</v>
      </c>
      <c r="O155" s="564"/>
      <c r="P155" s="1381">
        <f t="shared" si="8"/>
        <v>0</v>
      </c>
      <c r="Q155" s="564"/>
      <c r="R155" s="564"/>
      <c r="S155" s="1380">
        <f t="shared" si="7"/>
        <v>0</v>
      </c>
    </row>
    <row r="156" spans="1:19" ht="31" x14ac:dyDescent="0.3">
      <c r="A156" s="1482">
        <v>28.1</v>
      </c>
      <c r="B156" s="1483" t="s">
        <v>1748</v>
      </c>
      <c r="C156" s="1531" t="s">
        <v>936</v>
      </c>
      <c r="D156" s="1482" t="s">
        <v>1747</v>
      </c>
      <c r="E156" s="1532">
        <v>43054</v>
      </c>
      <c r="F156" s="564"/>
      <c r="G156" s="1532">
        <f t="shared" si="6"/>
        <v>43054</v>
      </c>
      <c r="H156" s="1532"/>
      <c r="I156" s="1532" t="s">
        <v>1873</v>
      </c>
      <c r="J156" s="1532" t="s">
        <v>1873</v>
      </c>
      <c r="K156" s="1532"/>
      <c r="L156" s="1532" t="s">
        <v>1873</v>
      </c>
      <c r="M156" s="565">
        <v>10.36</v>
      </c>
      <c r="N156" s="565">
        <v>11.5757999</v>
      </c>
      <c r="O156" s="564"/>
      <c r="P156" s="1381">
        <f t="shared" si="8"/>
        <v>-1.2157999000000004</v>
      </c>
      <c r="Q156" s="564"/>
      <c r="R156" s="564"/>
      <c r="S156" s="565">
        <f t="shared" si="7"/>
        <v>-1.2157999000000004</v>
      </c>
    </row>
    <row r="157" spans="1:19" ht="31" x14ac:dyDescent="0.3">
      <c r="A157" s="1482">
        <v>28.2</v>
      </c>
      <c r="B157" s="1483" t="s">
        <v>1749</v>
      </c>
      <c r="C157" s="1531" t="s">
        <v>936</v>
      </c>
      <c r="D157" s="1482" t="s">
        <v>1747</v>
      </c>
      <c r="E157" s="1532">
        <v>43054</v>
      </c>
      <c r="F157" s="564"/>
      <c r="G157" s="1532">
        <f t="shared" si="6"/>
        <v>43054</v>
      </c>
      <c r="H157" s="1532"/>
      <c r="I157" s="1532" t="s">
        <v>1873</v>
      </c>
      <c r="J157" s="1532" t="s">
        <v>1873</v>
      </c>
      <c r="K157" s="1532"/>
      <c r="L157" s="1532" t="s">
        <v>1873</v>
      </c>
      <c r="M157" s="565">
        <v>0.63</v>
      </c>
      <c r="N157" s="565">
        <v>0</v>
      </c>
      <c r="O157" s="564"/>
      <c r="P157" s="1381">
        <f t="shared" si="8"/>
        <v>0.63</v>
      </c>
      <c r="Q157" s="564"/>
      <c r="R157" s="564"/>
      <c r="S157" s="565">
        <f t="shared" si="7"/>
        <v>0.63</v>
      </c>
    </row>
    <row r="158" spans="1:19" ht="31" x14ac:dyDescent="0.3">
      <c r="A158" s="1482">
        <v>28.3</v>
      </c>
      <c r="B158" s="1483" t="s">
        <v>1750</v>
      </c>
      <c r="C158" s="1531" t="s">
        <v>936</v>
      </c>
      <c r="D158" s="1482" t="s">
        <v>1747</v>
      </c>
      <c r="E158" s="1532">
        <v>43054</v>
      </c>
      <c r="F158" s="564"/>
      <c r="G158" s="1532">
        <f t="shared" si="6"/>
        <v>43054</v>
      </c>
      <c r="H158" s="1532"/>
      <c r="I158" s="1532" t="s">
        <v>1873</v>
      </c>
      <c r="J158" s="1532" t="s">
        <v>1873</v>
      </c>
      <c r="K158" s="1532"/>
      <c r="L158" s="1532" t="s">
        <v>1873</v>
      </c>
      <c r="M158" s="565">
        <v>0.53600000000000003</v>
      </c>
      <c r="N158" s="565">
        <v>0.51656219999999997</v>
      </c>
      <c r="O158" s="564"/>
      <c r="P158" s="1381">
        <f t="shared" si="8"/>
        <v>1.9437800000000061E-2</v>
      </c>
      <c r="Q158" s="564"/>
      <c r="R158" s="564"/>
      <c r="S158" s="565">
        <f t="shared" si="7"/>
        <v>1.9437800000000061E-2</v>
      </c>
    </row>
    <row r="159" spans="1:19" ht="15.5" x14ac:dyDescent="0.3">
      <c r="A159" s="1482">
        <v>0</v>
      </c>
      <c r="B159" s="1483" t="s">
        <v>414</v>
      </c>
      <c r="C159" s="1531" t="s">
        <v>414</v>
      </c>
      <c r="D159" s="1482" t="s">
        <v>1747</v>
      </c>
      <c r="E159" s="1532">
        <v>43054</v>
      </c>
      <c r="F159" s="564"/>
      <c r="G159" s="1532">
        <f t="shared" si="6"/>
        <v>43054</v>
      </c>
      <c r="H159" s="1532"/>
      <c r="I159" s="1532" t="s">
        <v>1873</v>
      </c>
      <c r="J159" s="1532" t="s">
        <v>1873</v>
      </c>
      <c r="K159" s="1532"/>
      <c r="L159" s="1532" t="s">
        <v>1873</v>
      </c>
      <c r="M159" s="565">
        <v>0.93</v>
      </c>
      <c r="N159" s="565">
        <v>0</v>
      </c>
      <c r="O159" s="564"/>
      <c r="P159" s="1381">
        <f t="shared" si="8"/>
        <v>0.93</v>
      </c>
      <c r="Q159" s="564"/>
      <c r="R159" s="564"/>
      <c r="S159" s="565">
        <f t="shared" si="7"/>
        <v>0.93</v>
      </c>
    </row>
    <row r="160" spans="1:19" ht="46.5" x14ac:dyDescent="0.3">
      <c r="A160" s="1477">
        <v>29</v>
      </c>
      <c r="B160" s="1478" t="s">
        <v>2431</v>
      </c>
      <c r="C160" s="1477" t="s">
        <v>928</v>
      </c>
      <c r="D160" s="1477" t="s">
        <v>1752</v>
      </c>
      <c r="E160" s="1479">
        <v>43154</v>
      </c>
      <c r="F160" s="564"/>
      <c r="G160" s="1479">
        <f t="shared" si="6"/>
        <v>43154</v>
      </c>
      <c r="H160" s="1479"/>
      <c r="I160" s="1479" t="s">
        <v>1873</v>
      </c>
      <c r="J160" s="1479" t="s">
        <v>1873</v>
      </c>
      <c r="K160" s="1479"/>
      <c r="L160" s="1479" t="s">
        <v>1873</v>
      </c>
      <c r="M160" s="1380">
        <v>0</v>
      </c>
      <c r="N160" s="1380">
        <v>0</v>
      </c>
      <c r="O160" s="564"/>
      <c r="P160" s="1381">
        <f t="shared" si="8"/>
        <v>0</v>
      </c>
      <c r="Q160" s="564"/>
      <c r="R160" s="564"/>
      <c r="S160" s="1380">
        <f t="shared" si="7"/>
        <v>0</v>
      </c>
    </row>
    <row r="161" spans="1:19" ht="46.5" x14ac:dyDescent="0.3">
      <c r="A161" s="1482">
        <v>29.1</v>
      </c>
      <c r="B161" s="1483" t="s">
        <v>1753</v>
      </c>
      <c r="C161" s="1531" t="s">
        <v>936</v>
      </c>
      <c r="D161" s="1482" t="s">
        <v>1752</v>
      </c>
      <c r="E161" s="1532">
        <v>43154</v>
      </c>
      <c r="F161" s="564"/>
      <c r="G161" s="1532">
        <f t="shared" si="6"/>
        <v>43154</v>
      </c>
      <c r="H161" s="1532"/>
      <c r="I161" s="1532" t="s">
        <v>1873</v>
      </c>
      <c r="J161" s="1532" t="s">
        <v>1873</v>
      </c>
      <c r="K161" s="1532"/>
      <c r="L161" s="1532" t="s">
        <v>1873</v>
      </c>
      <c r="M161" s="565">
        <v>2.0099999999999998</v>
      </c>
      <c r="N161" s="565">
        <v>2.1150194</v>
      </c>
      <c r="O161" s="564"/>
      <c r="P161" s="1381">
        <f t="shared" si="8"/>
        <v>-0.10501940000000021</v>
      </c>
      <c r="Q161" s="564"/>
      <c r="R161" s="564"/>
      <c r="S161" s="565">
        <f t="shared" si="7"/>
        <v>-0.10501940000000021</v>
      </c>
    </row>
    <row r="162" spans="1:19" ht="31" x14ac:dyDescent="0.3">
      <c r="A162" s="1482">
        <v>29.2</v>
      </c>
      <c r="B162" s="1483" t="s">
        <v>1754</v>
      </c>
      <c r="C162" s="1531" t="s">
        <v>936</v>
      </c>
      <c r="D162" s="1482" t="s">
        <v>1752</v>
      </c>
      <c r="E162" s="1532">
        <v>43154</v>
      </c>
      <c r="F162" s="564"/>
      <c r="G162" s="1532">
        <f t="shared" si="6"/>
        <v>43154</v>
      </c>
      <c r="H162" s="1532"/>
      <c r="I162" s="1532" t="s">
        <v>1873</v>
      </c>
      <c r="J162" s="1532" t="s">
        <v>1873</v>
      </c>
      <c r="K162" s="1532"/>
      <c r="L162" s="1532" t="s">
        <v>1873</v>
      </c>
      <c r="M162" s="565">
        <v>3.34</v>
      </c>
      <c r="N162" s="565">
        <v>1.9274450000000001</v>
      </c>
      <c r="O162" s="564"/>
      <c r="P162" s="1381">
        <f t="shared" si="8"/>
        <v>1.4125549999999998</v>
      </c>
      <c r="Q162" s="564"/>
      <c r="R162" s="564"/>
      <c r="S162" s="565">
        <f t="shared" si="7"/>
        <v>1.4125549999999998</v>
      </c>
    </row>
    <row r="163" spans="1:19" ht="31" x14ac:dyDescent="0.3">
      <c r="A163" s="1482">
        <v>29.3</v>
      </c>
      <c r="B163" s="1483" t="s">
        <v>1755</v>
      </c>
      <c r="C163" s="1531" t="s">
        <v>936</v>
      </c>
      <c r="D163" s="1482" t="s">
        <v>1752</v>
      </c>
      <c r="E163" s="1532">
        <v>43154</v>
      </c>
      <c r="F163" s="564"/>
      <c r="G163" s="1532">
        <f t="shared" si="6"/>
        <v>43154</v>
      </c>
      <c r="H163" s="1532"/>
      <c r="I163" s="1532" t="s">
        <v>1873</v>
      </c>
      <c r="J163" s="1532" t="s">
        <v>1873</v>
      </c>
      <c r="K163" s="1532"/>
      <c r="L163" s="1532" t="s">
        <v>1873</v>
      </c>
      <c r="M163" s="565">
        <v>9.02</v>
      </c>
      <c r="N163" s="565">
        <v>8.8301990999999997</v>
      </c>
      <c r="O163" s="564"/>
      <c r="P163" s="1381">
        <f t="shared" si="8"/>
        <v>0.18980089999999983</v>
      </c>
      <c r="Q163" s="564"/>
      <c r="R163" s="564"/>
      <c r="S163" s="565">
        <f t="shared" si="7"/>
        <v>0.18980089999999983</v>
      </c>
    </row>
    <row r="164" spans="1:19" ht="15.5" x14ac:dyDescent="0.3">
      <c r="A164" s="1482">
        <v>0</v>
      </c>
      <c r="B164" s="1483" t="s">
        <v>414</v>
      </c>
      <c r="C164" s="1531" t="s">
        <v>414</v>
      </c>
      <c r="D164" s="1482" t="s">
        <v>1752</v>
      </c>
      <c r="E164" s="1532">
        <v>43154</v>
      </c>
      <c r="F164" s="564"/>
      <c r="G164" s="1532">
        <f t="shared" si="6"/>
        <v>43154</v>
      </c>
      <c r="H164" s="1532"/>
      <c r="I164" s="1532" t="s">
        <v>1873</v>
      </c>
      <c r="J164" s="1532" t="s">
        <v>1873</v>
      </c>
      <c r="K164" s="1532"/>
      <c r="L164" s="1532" t="s">
        <v>1873</v>
      </c>
      <c r="M164" s="565">
        <v>1.1200000000000001</v>
      </c>
      <c r="N164" s="565">
        <v>0</v>
      </c>
      <c r="O164" s="564"/>
      <c r="P164" s="1381">
        <f t="shared" si="8"/>
        <v>1.1200000000000001</v>
      </c>
      <c r="Q164" s="564"/>
      <c r="R164" s="564"/>
      <c r="S164" s="565">
        <f t="shared" si="7"/>
        <v>1.1200000000000001</v>
      </c>
    </row>
    <row r="165" spans="1:19" ht="15.5" x14ac:dyDescent="0.3">
      <c r="A165" s="1489">
        <v>30</v>
      </c>
      <c r="B165" s="1490" t="s">
        <v>2432</v>
      </c>
      <c r="C165" s="1486" t="s">
        <v>928</v>
      </c>
      <c r="D165" s="1486" t="s">
        <v>1757</v>
      </c>
      <c r="E165" s="1487">
        <v>43238</v>
      </c>
      <c r="F165" s="559"/>
      <c r="G165" s="1487">
        <f t="shared" si="6"/>
        <v>43238</v>
      </c>
      <c r="H165" s="1635"/>
      <c r="I165" s="1487" t="s">
        <v>1873</v>
      </c>
      <c r="J165" s="1487" t="s">
        <v>1873</v>
      </c>
      <c r="K165" s="1635"/>
      <c r="L165" s="1487" t="s">
        <v>1873</v>
      </c>
      <c r="M165" s="1383">
        <v>0</v>
      </c>
      <c r="N165" s="1383">
        <v>0</v>
      </c>
      <c r="O165" s="559"/>
      <c r="P165" s="1382">
        <f t="shared" si="8"/>
        <v>0</v>
      </c>
      <c r="Q165" s="559"/>
      <c r="R165" s="559"/>
      <c r="S165" s="1383">
        <f t="shared" si="7"/>
        <v>0</v>
      </c>
    </row>
    <row r="166" spans="1:19" ht="31" x14ac:dyDescent="0.3">
      <c r="A166" s="1484">
        <v>30.1</v>
      </c>
      <c r="B166" s="1485" t="s">
        <v>1758</v>
      </c>
      <c r="C166" s="1554" t="s">
        <v>936</v>
      </c>
      <c r="D166" s="1488" t="s">
        <v>1757</v>
      </c>
      <c r="E166" s="1495">
        <v>43238</v>
      </c>
      <c r="F166" s="559"/>
      <c r="G166" s="1495">
        <f t="shared" si="6"/>
        <v>43238</v>
      </c>
      <c r="H166" s="1634"/>
      <c r="I166" s="1495" t="s">
        <v>1873</v>
      </c>
      <c r="J166" s="1495" t="s">
        <v>1873</v>
      </c>
      <c r="K166" s="1634"/>
      <c r="L166" s="1495" t="s">
        <v>1873</v>
      </c>
      <c r="M166" s="560">
        <v>82.6</v>
      </c>
      <c r="N166" s="560">
        <v>82.25</v>
      </c>
      <c r="O166" s="559"/>
      <c r="P166" s="1382">
        <f t="shared" si="8"/>
        <v>0.34999999999999432</v>
      </c>
      <c r="Q166" s="559"/>
      <c r="R166" s="559"/>
      <c r="S166" s="560">
        <f t="shared" si="7"/>
        <v>0.34999999999999432</v>
      </c>
    </row>
    <row r="167" spans="1:19" ht="15.5" x14ac:dyDescent="0.3">
      <c r="A167" s="1484">
        <v>30.2</v>
      </c>
      <c r="B167" s="1485" t="s">
        <v>1759</v>
      </c>
      <c r="C167" s="1554" t="s">
        <v>936</v>
      </c>
      <c r="D167" s="1488" t="s">
        <v>1757</v>
      </c>
      <c r="E167" s="1495">
        <v>43238</v>
      </c>
      <c r="F167" s="559"/>
      <c r="G167" s="1495">
        <f t="shared" si="6"/>
        <v>43238</v>
      </c>
      <c r="H167" s="1634"/>
      <c r="I167" s="1495" t="s">
        <v>1873</v>
      </c>
      <c r="J167" s="1495" t="s">
        <v>1873</v>
      </c>
      <c r="K167" s="1634"/>
      <c r="L167" s="1495" t="s">
        <v>1873</v>
      </c>
      <c r="M167" s="560">
        <v>7.08</v>
      </c>
      <c r="N167" s="560">
        <v>6.3802027680000002</v>
      </c>
      <c r="O167" s="559"/>
      <c r="P167" s="1382">
        <f t="shared" si="8"/>
        <v>0.69979723199999988</v>
      </c>
      <c r="Q167" s="559"/>
      <c r="R167" s="559"/>
      <c r="S167" s="560">
        <f t="shared" si="7"/>
        <v>0.69979723199999988</v>
      </c>
    </row>
    <row r="168" spans="1:19" ht="31" x14ac:dyDescent="0.3">
      <c r="A168" s="1484">
        <v>30.3</v>
      </c>
      <c r="B168" s="1485" t="s">
        <v>1760</v>
      </c>
      <c r="C168" s="1554" t="s">
        <v>936</v>
      </c>
      <c r="D168" s="1488" t="s">
        <v>1757</v>
      </c>
      <c r="E168" s="1495">
        <v>43238</v>
      </c>
      <c r="F168" s="559"/>
      <c r="G168" s="1495">
        <f t="shared" si="6"/>
        <v>43238</v>
      </c>
      <c r="H168" s="1634"/>
      <c r="I168" s="1495" t="s">
        <v>1873</v>
      </c>
      <c r="J168" s="1495" t="s">
        <v>1873</v>
      </c>
      <c r="K168" s="1634"/>
      <c r="L168" s="1495" t="s">
        <v>1873</v>
      </c>
      <c r="M168" s="560">
        <v>4.72</v>
      </c>
      <c r="N168" s="560">
        <v>4.1940667999999999</v>
      </c>
      <c r="O168" s="559"/>
      <c r="P168" s="1382">
        <f t="shared" si="8"/>
        <v>0.52593319999999988</v>
      </c>
      <c r="Q168" s="559"/>
      <c r="R168" s="559"/>
      <c r="S168" s="560">
        <f t="shared" si="7"/>
        <v>0.52593319999999988</v>
      </c>
    </row>
    <row r="169" spans="1:19" ht="46.5" x14ac:dyDescent="0.3">
      <c r="A169" s="1484">
        <v>30.4</v>
      </c>
      <c r="B169" s="1485" t="s">
        <v>1761</v>
      </c>
      <c r="C169" s="1554" t="s">
        <v>936</v>
      </c>
      <c r="D169" s="1488" t="s">
        <v>1757</v>
      </c>
      <c r="E169" s="1495">
        <v>43238</v>
      </c>
      <c r="F169" s="559"/>
      <c r="G169" s="1495">
        <f t="shared" si="6"/>
        <v>43238</v>
      </c>
      <c r="H169" s="1634"/>
      <c r="I169" s="1495" t="s">
        <v>1873</v>
      </c>
      <c r="J169" s="1495" t="s">
        <v>1873</v>
      </c>
      <c r="K169" s="1634"/>
      <c r="L169" s="1495" t="s">
        <v>1873</v>
      </c>
      <c r="M169" s="560">
        <v>15.34</v>
      </c>
      <c r="N169" s="560">
        <v>5.2469927180000102</v>
      </c>
      <c r="O169" s="559"/>
      <c r="P169" s="1382">
        <f t="shared" si="8"/>
        <v>10.09300728199999</v>
      </c>
      <c r="Q169" s="559"/>
      <c r="R169" s="559"/>
      <c r="S169" s="560">
        <f t="shared" si="7"/>
        <v>10.09300728199999</v>
      </c>
    </row>
    <row r="170" spans="1:19" ht="15.5" x14ac:dyDescent="0.3">
      <c r="A170" s="1484">
        <v>0</v>
      </c>
      <c r="B170" s="1485" t="s">
        <v>414</v>
      </c>
      <c r="C170" s="1554" t="s">
        <v>414</v>
      </c>
      <c r="D170" s="1488" t="s">
        <v>1757</v>
      </c>
      <c r="E170" s="1495">
        <v>43238</v>
      </c>
      <c r="F170" s="559"/>
      <c r="G170" s="1495">
        <f t="shared" si="6"/>
        <v>43238</v>
      </c>
      <c r="H170" s="1634"/>
      <c r="I170" s="1495" t="s">
        <v>1873</v>
      </c>
      <c r="J170" s="1495" t="s">
        <v>1873</v>
      </c>
      <c r="K170" s="1634"/>
      <c r="L170" s="1495" t="s">
        <v>1873</v>
      </c>
      <c r="M170" s="560">
        <v>7.83</v>
      </c>
      <c r="N170" s="560">
        <v>10.9403115</v>
      </c>
      <c r="O170" s="559"/>
      <c r="P170" s="1382">
        <f t="shared" si="8"/>
        <v>-3.1103114999999999</v>
      </c>
      <c r="Q170" s="559"/>
      <c r="R170" s="559"/>
      <c r="S170" s="560">
        <f t="shared" si="7"/>
        <v>-3.1103114999999999</v>
      </c>
    </row>
    <row r="171" spans="1:19" ht="15.5" x14ac:dyDescent="0.3">
      <c r="A171" s="1486">
        <v>31</v>
      </c>
      <c r="B171" s="1491" t="s">
        <v>1661</v>
      </c>
      <c r="C171" s="1486" t="s">
        <v>928</v>
      </c>
      <c r="D171" s="1486" t="s">
        <v>1762</v>
      </c>
      <c r="E171" s="1487">
        <v>43529</v>
      </c>
      <c r="F171" s="559"/>
      <c r="G171" s="1487">
        <f t="shared" si="6"/>
        <v>43529</v>
      </c>
      <c r="H171" s="1635"/>
      <c r="I171" s="1487" t="s">
        <v>1873</v>
      </c>
      <c r="J171" s="1487" t="s">
        <v>1873</v>
      </c>
      <c r="K171" s="1635"/>
      <c r="L171" s="1487" t="s">
        <v>1873</v>
      </c>
      <c r="M171" s="1383">
        <v>0</v>
      </c>
      <c r="N171" s="1383">
        <v>0</v>
      </c>
      <c r="O171" s="559"/>
      <c r="P171" s="1382">
        <f t="shared" si="8"/>
        <v>0</v>
      </c>
      <c r="Q171" s="559"/>
      <c r="R171" s="559"/>
      <c r="S171" s="1383">
        <f t="shared" si="7"/>
        <v>0</v>
      </c>
    </row>
    <row r="172" spans="1:19" ht="15.5" x14ac:dyDescent="0.3">
      <c r="A172" s="1488">
        <v>31.1</v>
      </c>
      <c r="B172" s="1492" t="s">
        <v>1763</v>
      </c>
      <c r="C172" s="1554" t="s">
        <v>936</v>
      </c>
      <c r="D172" s="1488" t="s">
        <v>1762</v>
      </c>
      <c r="E172" s="1495">
        <v>43529</v>
      </c>
      <c r="F172" s="559"/>
      <c r="G172" s="1495">
        <f t="shared" si="6"/>
        <v>43529</v>
      </c>
      <c r="H172" s="1634"/>
      <c r="I172" s="1495" t="s">
        <v>1873</v>
      </c>
      <c r="J172" s="1495" t="s">
        <v>1873</v>
      </c>
      <c r="K172" s="1634"/>
      <c r="L172" s="1495" t="s">
        <v>1873</v>
      </c>
      <c r="M172" s="560">
        <v>24.03</v>
      </c>
      <c r="N172" s="560">
        <v>0</v>
      </c>
      <c r="O172" s="559"/>
      <c r="P172" s="1382">
        <f t="shared" si="8"/>
        <v>24.03</v>
      </c>
      <c r="Q172" s="559"/>
      <c r="R172" s="559"/>
      <c r="S172" s="560">
        <f t="shared" si="7"/>
        <v>24.03</v>
      </c>
    </row>
    <row r="173" spans="1:19" ht="15.5" x14ac:dyDescent="0.3">
      <c r="A173" s="1488">
        <v>31.2</v>
      </c>
      <c r="B173" s="1492" t="s">
        <v>1764</v>
      </c>
      <c r="C173" s="1554" t="s">
        <v>936</v>
      </c>
      <c r="D173" s="1488" t="s">
        <v>1762</v>
      </c>
      <c r="E173" s="1495">
        <v>43529</v>
      </c>
      <c r="F173" s="559"/>
      <c r="G173" s="1495">
        <f t="shared" si="6"/>
        <v>43529</v>
      </c>
      <c r="H173" s="1634"/>
      <c r="I173" s="1495" t="s">
        <v>1873</v>
      </c>
      <c r="J173" s="1495" t="s">
        <v>1873</v>
      </c>
      <c r="K173" s="1634"/>
      <c r="L173" s="1495" t="s">
        <v>1873</v>
      </c>
      <c r="M173" s="560">
        <v>4.33</v>
      </c>
      <c r="N173" s="560">
        <v>0</v>
      </c>
      <c r="O173" s="559"/>
      <c r="P173" s="1382">
        <f t="shared" si="8"/>
        <v>4.33</v>
      </c>
      <c r="Q173" s="559"/>
      <c r="R173" s="559"/>
      <c r="S173" s="560">
        <f t="shared" si="7"/>
        <v>4.33</v>
      </c>
    </row>
    <row r="174" spans="1:19" ht="15.5" x14ac:dyDescent="0.3">
      <c r="A174" s="1488">
        <v>31.3</v>
      </c>
      <c r="B174" s="1492" t="s">
        <v>1765</v>
      </c>
      <c r="C174" s="1554" t="s">
        <v>936</v>
      </c>
      <c r="D174" s="1488" t="s">
        <v>1762</v>
      </c>
      <c r="E174" s="1495">
        <v>43529</v>
      </c>
      <c r="F174" s="559"/>
      <c r="G174" s="1495">
        <f t="shared" si="6"/>
        <v>43529</v>
      </c>
      <c r="H174" s="1634"/>
      <c r="I174" s="1495" t="s">
        <v>1873</v>
      </c>
      <c r="J174" s="1495" t="s">
        <v>1873</v>
      </c>
      <c r="K174" s="1634"/>
      <c r="L174" s="1495" t="s">
        <v>1873</v>
      </c>
      <c r="M174" s="560">
        <v>0.48</v>
      </c>
      <c r="N174" s="560">
        <v>0</v>
      </c>
      <c r="O174" s="559"/>
      <c r="P174" s="1382">
        <f t="shared" si="8"/>
        <v>0.48</v>
      </c>
      <c r="Q174" s="559"/>
      <c r="R174" s="559"/>
      <c r="S174" s="560">
        <f t="shared" si="7"/>
        <v>0.48</v>
      </c>
    </row>
    <row r="175" spans="1:19" ht="15.5" x14ac:dyDescent="0.3">
      <c r="A175" s="1488">
        <v>31.4</v>
      </c>
      <c r="B175" s="1492" t="s">
        <v>1766</v>
      </c>
      <c r="C175" s="1554" t="s">
        <v>936</v>
      </c>
      <c r="D175" s="1488" t="s">
        <v>1762</v>
      </c>
      <c r="E175" s="1495">
        <v>43529</v>
      </c>
      <c r="F175" s="559"/>
      <c r="G175" s="1495">
        <f t="shared" si="6"/>
        <v>43529</v>
      </c>
      <c r="H175" s="1634"/>
      <c r="I175" s="1495" t="s">
        <v>1873</v>
      </c>
      <c r="J175" s="1495" t="s">
        <v>1873</v>
      </c>
      <c r="K175" s="1634"/>
      <c r="L175" s="1495" t="s">
        <v>1873</v>
      </c>
      <c r="M175" s="560">
        <v>1.93</v>
      </c>
      <c r="N175" s="560">
        <v>0</v>
      </c>
      <c r="O175" s="559"/>
      <c r="P175" s="1382">
        <f t="shared" si="8"/>
        <v>1.93</v>
      </c>
      <c r="Q175" s="559"/>
      <c r="R175" s="559"/>
      <c r="S175" s="560">
        <f t="shared" si="7"/>
        <v>1.93</v>
      </c>
    </row>
    <row r="176" spans="1:19" ht="15.5" x14ac:dyDescent="0.3">
      <c r="A176" s="1488">
        <v>31.5</v>
      </c>
      <c r="B176" s="1492" t="s">
        <v>1767</v>
      </c>
      <c r="C176" s="1554" t="s">
        <v>936</v>
      </c>
      <c r="D176" s="1488" t="s">
        <v>1762</v>
      </c>
      <c r="E176" s="1495">
        <v>43529</v>
      </c>
      <c r="F176" s="559"/>
      <c r="G176" s="1495">
        <f t="shared" si="6"/>
        <v>43529</v>
      </c>
      <c r="H176" s="1634"/>
      <c r="I176" s="1495" t="s">
        <v>1873</v>
      </c>
      <c r="J176" s="1495" t="s">
        <v>1873</v>
      </c>
      <c r="K176" s="1634"/>
      <c r="L176" s="1495" t="s">
        <v>1873</v>
      </c>
      <c r="M176" s="560">
        <v>1.76</v>
      </c>
      <c r="N176" s="560">
        <v>0</v>
      </c>
      <c r="O176" s="559"/>
      <c r="P176" s="1382">
        <f t="shared" si="8"/>
        <v>1.76</v>
      </c>
      <c r="Q176" s="559"/>
      <c r="R176" s="559"/>
      <c r="S176" s="560">
        <f t="shared" si="7"/>
        <v>1.76</v>
      </c>
    </row>
    <row r="177" spans="1:19" ht="15.5" x14ac:dyDescent="0.3">
      <c r="A177" s="1488">
        <v>31.6</v>
      </c>
      <c r="B177" s="1492" t="s">
        <v>1768</v>
      </c>
      <c r="C177" s="1554" t="s">
        <v>936</v>
      </c>
      <c r="D177" s="1488" t="s">
        <v>1762</v>
      </c>
      <c r="E177" s="1495">
        <v>43529</v>
      </c>
      <c r="F177" s="559"/>
      <c r="G177" s="1495">
        <f t="shared" si="6"/>
        <v>43529</v>
      </c>
      <c r="H177" s="1634"/>
      <c r="I177" s="1495" t="s">
        <v>1873</v>
      </c>
      <c r="J177" s="1495" t="s">
        <v>1873</v>
      </c>
      <c r="K177" s="1634"/>
      <c r="L177" s="1495" t="s">
        <v>1873</v>
      </c>
      <c r="M177" s="560">
        <v>1.25</v>
      </c>
      <c r="N177" s="560">
        <v>0</v>
      </c>
      <c r="O177" s="559"/>
      <c r="P177" s="1382">
        <f t="shared" si="8"/>
        <v>1.25</v>
      </c>
      <c r="Q177" s="559"/>
      <c r="R177" s="559"/>
      <c r="S177" s="560">
        <f t="shared" si="7"/>
        <v>1.25</v>
      </c>
    </row>
    <row r="178" spans="1:19" ht="15.5" x14ac:dyDescent="0.3">
      <c r="A178" s="1488">
        <v>31.7</v>
      </c>
      <c r="B178" s="1492" t="s">
        <v>1769</v>
      </c>
      <c r="C178" s="1554" t="s">
        <v>936</v>
      </c>
      <c r="D178" s="1488" t="s">
        <v>1762</v>
      </c>
      <c r="E178" s="1495">
        <v>43529</v>
      </c>
      <c r="F178" s="559"/>
      <c r="G178" s="1495">
        <f t="shared" si="6"/>
        <v>43529</v>
      </c>
      <c r="H178" s="1634"/>
      <c r="I178" s="1495" t="s">
        <v>1873</v>
      </c>
      <c r="J178" s="1495" t="s">
        <v>1873</v>
      </c>
      <c r="K178" s="1634"/>
      <c r="L178" s="1495" t="s">
        <v>1873</v>
      </c>
      <c r="M178" s="560">
        <v>9.35</v>
      </c>
      <c r="N178" s="560">
        <v>0</v>
      </c>
      <c r="O178" s="559"/>
      <c r="P178" s="1382">
        <f t="shared" si="8"/>
        <v>9.35</v>
      </c>
      <c r="Q178" s="559"/>
      <c r="R178" s="559"/>
      <c r="S178" s="560">
        <f t="shared" si="7"/>
        <v>9.35</v>
      </c>
    </row>
    <row r="179" spans="1:19" ht="15.5" x14ac:dyDescent="0.3">
      <c r="A179" s="1488">
        <v>31.8</v>
      </c>
      <c r="B179" s="1492" t="s">
        <v>1770</v>
      </c>
      <c r="C179" s="1554" t="s">
        <v>936</v>
      </c>
      <c r="D179" s="1488" t="s">
        <v>1762</v>
      </c>
      <c r="E179" s="1495">
        <v>43529</v>
      </c>
      <c r="F179" s="559"/>
      <c r="G179" s="1495">
        <f t="shared" si="6"/>
        <v>43529</v>
      </c>
      <c r="H179" s="1634"/>
      <c r="I179" s="1495" t="s">
        <v>1873</v>
      </c>
      <c r="J179" s="1495" t="s">
        <v>1873</v>
      </c>
      <c r="K179" s="1634"/>
      <c r="L179" s="1495" t="s">
        <v>1873</v>
      </c>
      <c r="M179" s="560">
        <v>0.31</v>
      </c>
      <c r="N179" s="560">
        <v>0</v>
      </c>
      <c r="O179" s="559"/>
      <c r="P179" s="1382">
        <f t="shared" si="8"/>
        <v>0.31</v>
      </c>
      <c r="Q179" s="559"/>
      <c r="R179" s="559"/>
      <c r="S179" s="560">
        <f t="shared" si="7"/>
        <v>0.31</v>
      </c>
    </row>
    <row r="180" spans="1:19" ht="15.5" x14ac:dyDescent="0.3">
      <c r="A180" s="1488">
        <v>31.9</v>
      </c>
      <c r="B180" s="1492" t="s">
        <v>1771</v>
      </c>
      <c r="C180" s="1554" t="s">
        <v>936</v>
      </c>
      <c r="D180" s="1488" t="s">
        <v>1762</v>
      </c>
      <c r="E180" s="1495">
        <v>43529</v>
      </c>
      <c r="F180" s="559"/>
      <c r="G180" s="1495">
        <f t="shared" si="6"/>
        <v>43529</v>
      </c>
      <c r="H180" s="1634"/>
      <c r="I180" s="1495" t="s">
        <v>1873</v>
      </c>
      <c r="J180" s="1495" t="s">
        <v>1873</v>
      </c>
      <c r="K180" s="1634"/>
      <c r="L180" s="1495" t="s">
        <v>1873</v>
      </c>
      <c r="M180" s="560">
        <v>2.74</v>
      </c>
      <c r="N180" s="560">
        <v>0</v>
      </c>
      <c r="O180" s="559"/>
      <c r="P180" s="1382">
        <f t="shared" si="8"/>
        <v>2.74</v>
      </c>
      <c r="Q180" s="559"/>
      <c r="R180" s="559"/>
      <c r="S180" s="560">
        <f t="shared" si="7"/>
        <v>2.74</v>
      </c>
    </row>
    <row r="181" spans="1:19" ht="15.5" x14ac:dyDescent="0.3">
      <c r="A181" s="1488" t="s">
        <v>1772</v>
      </c>
      <c r="B181" s="1492" t="s">
        <v>1773</v>
      </c>
      <c r="C181" s="1554" t="s">
        <v>936</v>
      </c>
      <c r="D181" s="1488" t="s">
        <v>1762</v>
      </c>
      <c r="E181" s="1495">
        <v>43529</v>
      </c>
      <c r="F181" s="559"/>
      <c r="G181" s="1495">
        <f t="shared" si="6"/>
        <v>43529</v>
      </c>
      <c r="H181" s="1634"/>
      <c r="I181" s="1495" t="s">
        <v>1873</v>
      </c>
      <c r="J181" s="1495" t="s">
        <v>1873</v>
      </c>
      <c r="K181" s="1634"/>
      <c r="L181" s="1495" t="s">
        <v>1873</v>
      </c>
      <c r="M181" s="560">
        <v>7.63</v>
      </c>
      <c r="N181" s="560">
        <v>0</v>
      </c>
      <c r="O181" s="559"/>
      <c r="P181" s="1382">
        <f t="shared" si="8"/>
        <v>7.63</v>
      </c>
      <c r="Q181" s="559"/>
      <c r="R181" s="559"/>
      <c r="S181" s="560">
        <f t="shared" si="7"/>
        <v>7.63</v>
      </c>
    </row>
    <row r="182" spans="1:19" ht="31" x14ac:dyDescent="0.3">
      <c r="A182" s="1488">
        <v>31.11</v>
      </c>
      <c r="B182" s="1492" t="s">
        <v>1774</v>
      </c>
      <c r="C182" s="1554" t="s">
        <v>936</v>
      </c>
      <c r="D182" s="1488" t="s">
        <v>1762</v>
      </c>
      <c r="E182" s="1495">
        <v>43529</v>
      </c>
      <c r="F182" s="559"/>
      <c r="G182" s="1495">
        <f t="shared" si="6"/>
        <v>43529</v>
      </c>
      <c r="H182" s="1634"/>
      <c r="I182" s="1495" t="s">
        <v>1873</v>
      </c>
      <c r="J182" s="1495" t="s">
        <v>1873</v>
      </c>
      <c r="K182" s="1634"/>
      <c r="L182" s="1495" t="s">
        <v>1873</v>
      </c>
      <c r="M182" s="560">
        <v>18.670000000000002</v>
      </c>
      <c r="N182" s="560">
        <v>0</v>
      </c>
      <c r="O182" s="559"/>
      <c r="P182" s="1382">
        <f t="shared" si="8"/>
        <v>18.670000000000002</v>
      </c>
      <c r="Q182" s="559"/>
      <c r="R182" s="559"/>
      <c r="S182" s="560">
        <f t="shared" si="7"/>
        <v>18.670000000000002</v>
      </c>
    </row>
    <row r="183" spans="1:19" ht="15.5" x14ac:dyDescent="0.3">
      <c r="A183" s="1488">
        <v>31.12</v>
      </c>
      <c r="B183" s="1492" t="s">
        <v>1775</v>
      </c>
      <c r="C183" s="1554" t="s">
        <v>936</v>
      </c>
      <c r="D183" s="1488" t="s">
        <v>1762</v>
      </c>
      <c r="E183" s="1495">
        <v>43529</v>
      </c>
      <c r="F183" s="559"/>
      <c r="G183" s="1495">
        <f t="shared" si="6"/>
        <v>43529</v>
      </c>
      <c r="H183" s="1634"/>
      <c r="I183" s="1495" t="s">
        <v>1873</v>
      </c>
      <c r="J183" s="1495" t="s">
        <v>1873</v>
      </c>
      <c r="K183" s="1634"/>
      <c r="L183" s="1495" t="s">
        <v>1873</v>
      </c>
      <c r="M183" s="560">
        <v>3.93</v>
      </c>
      <c r="N183" s="560">
        <v>0</v>
      </c>
      <c r="O183" s="559"/>
      <c r="P183" s="1382">
        <f t="shared" si="8"/>
        <v>3.93</v>
      </c>
      <c r="Q183" s="559"/>
      <c r="R183" s="559"/>
      <c r="S183" s="560">
        <f t="shared" si="7"/>
        <v>3.93</v>
      </c>
    </row>
    <row r="184" spans="1:19" ht="31" x14ac:dyDescent="0.3">
      <c r="A184" s="1486">
        <v>32</v>
      </c>
      <c r="B184" s="1491" t="s">
        <v>1776</v>
      </c>
      <c r="C184" s="1486" t="s">
        <v>928</v>
      </c>
      <c r="D184" s="1486" t="s">
        <v>1777</v>
      </c>
      <c r="E184" s="1487">
        <v>43363</v>
      </c>
      <c r="F184" s="559"/>
      <c r="G184" s="1487">
        <f t="shared" si="6"/>
        <v>43363</v>
      </c>
      <c r="H184" s="1635"/>
      <c r="I184" s="1487" t="s">
        <v>1873</v>
      </c>
      <c r="J184" s="1487" t="s">
        <v>1873</v>
      </c>
      <c r="K184" s="1635"/>
      <c r="L184" s="1487" t="s">
        <v>1873</v>
      </c>
      <c r="M184" s="1383">
        <v>0</v>
      </c>
      <c r="N184" s="1383">
        <v>0</v>
      </c>
      <c r="O184" s="559"/>
      <c r="P184" s="1382">
        <f t="shared" si="8"/>
        <v>0</v>
      </c>
      <c r="Q184" s="559"/>
      <c r="R184" s="559"/>
      <c r="S184" s="1383">
        <f t="shared" si="7"/>
        <v>0</v>
      </c>
    </row>
    <row r="185" spans="1:19" ht="31" x14ac:dyDescent="0.3">
      <c r="A185" s="1488">
        <v>32.1</v>
      </c>
      <c r="B185" s="1492" t="s">
        <v>1778</v>
      </c>
      <c r="C185" s="1554" t="s">
        <v>936</v>
      </c>
      <c r="D185" s="1488" t="s">
        <v>1777</v>
      </c>
      <c r="E185" s="1495">
        <v>43363</v>
      </c>
      <c r="F185" s="559"/>
      <c r="G185" s="1495">
        <f t="shared" si="6"/>
        <v>43363</v>
      </c>
      <c r="H185" s="1634"/>
      <c r="I185" s="1495" t="s">
        <v>1873</v>
      </c>
      <c r="J185" s="1495" t="s">
        <v>1873</v>
      </c>
      <c r="K185" s="1634"/>
      <c r="L185" s="1495" t="s">
        <v>1873</v>
      </c>
      <c r="M185" s="560">
        <v>32.56</v>
      </c>
      <c r="N185" s="560">
        <v>29.203240699999998</v>
      </c>
      <c r="O185" s="559"/>
      <c r="P185" s="1382">
        <f t="shared" si="8"/>
        <v>3.3567593000000038</v>
      </c>
      <c r="Q185" s="559"/>
      <c r="R185" s="559"/>
      <c r="S185" s="560">
        <f t="shared" si="7"/>
        <v>3.3567593000000038</v>
      </c>
    </row>
    <row r="186" spans="1:19" ht="15.5" x14ac:dyDescent="0.3">
      <c r="A186" s="1488">
        <v>32.200000000000003</v>
      </c>
      <c r="B186" s="1492" t="s">
        <v>1779</v>
      </c>
      <c r="C186" s="1554" t="s">
        <v>936</v>
      </c>
      <c r="D186" s="1488" t="s">
        <v>1777</v>
      </c>
      <c r="E186" s="1495">
        <v>43363</v>
      </c>
      <c r="F186" s="559"/>
      <c r="G186" s="1495">
        <f t="shared" si="6"/>
        <v>43363</v>
      </c>
      <c r="H186" s="1634"/>
      <c r="I186" s="1495" t="s">
        <v>1873</v>
      </c>
      <c r="J186" s="1495" t="s">
        <v>1873</v>
      </c>
      <c r="K186" s="1634"/>
      <c r="L186" s="1495" t="s">
        <v>1873</v>
      </c>
      <c r="M186" s="560">
        <v>4.91</v>
      </c>
      <c r="N186" s="560">
        <v>0</v>
      </c>
      <c r="O186" s="559"/>
      <c r="P186" s="1382">
        <f t="shared" si="8"/>
        <v>4.91</v>
      </c>
      <c r="Q186" s="559"/>
      <c r="R186" s="559"/>
      <c r="S186" s="560">
        <f t="shared" si="7"/>
        <v>4.91</v>
      </c>
    </row>
    <row r="187" spans="1:19" ht="15.5" x14ac:dyDescent="0.3">
      <c r="A187" s="1482">
        <v>0</v>
      </c>
      <c r="B187" s="1483" t="s">
        <v>414</v>
      </c>
      <c r="C187" s="1531" t="s">
        <v>414</v>
      </c>
      <c r="D187" s="1482" t="s">
        <v>1777</v>
      </c>
      <c r="E187" s="1532">
        <v>43363</v>
      </c>
      <c r="F187" s="564"/>
      <c r="G187" s="1532">
        <f t="shared" si="6"/>
        <v>43363</v>
      </c>
      <c r="H187" s="1532"/>
      <c r="I187" s="1532" t="s">
        <v>1873</v>
      </c>
      <c r="J187" s="1532" t="s">
        <v>1873</v>
      </c>
      <c r="K187" s="1532"/>
      <c r="L187" s="1532" t="s">
        <v>1873</v>
      </c>
      <c r="M187" s="565">
        <v>1.1599999999999999</v>
      </c>
      <c r="N187" s="565">
        <v>0</v>
      </c>
      <c r="O187" s="564"/>
      <c r="P187" s="1381">
        <f t="shared" si="8"/>
        <v>1.1599999999999999</v>
      </c>
      <c r="Q187" s="564"/>
      <c r="R187" s="564"/>
      <c r="S187" s="565">
        <f t="shared" si="7"/>
        <v>1.1599999999999999</v>
      </c>
    </row>
    <row r="188" spans="1:19" ht="31" x14ac:dyDescent="0.3">
      <c r="A188" s="1486">
        <v>33</v>
      </c>
      <c r="B188" s="1491" t="s">
        <v>1780</v>
      </c>
      <c r="C188" s="1486" t="s">
        <v>928</v>
      </c>
      <c r="D188" s="1486" t="s">
        <v>1781</v>
      </c>
      <c r="E188" s="1487">
        <v>43657</v>
      </c>
      <c r="F188" s="559"/>
      <c r="G188" s="1487">
        <f t="shared" si="6"/>
        <v>43657</v>
      </c>
      <c r="H188" s="1635"/>
      <c r="I188" s="1487" t="s">
        <v>1873</v>
      </c>
      <c r="J188" s="1487" t="s">
        <v>1873</v>
      </c>
      <c r="K188" s="1635"/>
      <c r="L188" s="1487" t="s">
        <v>1873</v>
      </c>
      <c r="M188" s="1383">
        <v>0</v>
      </c>
      <c r="N188" s="1383">
        <v>0</v>
      </c>
      <c r="O188" s="559"/>
      <c r="P188" s="1382">
        <f t="shared" si="8"/>
        <v>0</v>
      </c>
      <c r="Q188" s="559"/>
      <c r="R188" s="559"/>
      <c r="S188" s="1383">
        <f t="shared" si="7"/>
        <v>0</v>
      </c>
    </row>
    <row r="189" spans="1:19" ht="31" x14ac:dyDescent="0.3">
      <c r="A189" s="1488">
        <v>33.1</v>
      </c>
      <c r="B189" s="1492" t="s">
        <v>1780</v>
      </c>
      <c r="C189" s="1554" t="s">
        <v>936</v>
      </c>
      <c r="D189" s="1488" t="s">
        <v>1781</v>
      </c>
      <c r="E189" s="1495">
        <v>43657</v>
      </c>
      <c r="F189" s="559"/>
      <c r="G189" s="1495">
        <f t="shared" si="6"/>
        <v>43657</v>
      </c>
      <c r="H189" s="1634"/>
      <c r="I189" s="1495" t="s">
        <v>1873</v>
      </c>
      <c r="J189" s="1495" t="s">
        <v>1873</v>
      </c>
      <c r="K189" s="1634"/>
      <c r="L189" s="1495" t="s">
        <v>1873</v>
      </c>
      <c r="M189" s="560">
        <v>14.20025</v>
      </c>
      <c r="N189" s="560">
        <v>1.464883969</v>
      </c>
      <c r="O189" s="559"/>
      <c r="P189" s="1382">
        <f t="shared" si="8"/>
        <v>12.735366031</v>
      </c>
      <c r="Q189" s="559"/>
      <c r="R189" s="559"/>
      <c r="S189" s="560">
        <f t="shared" si="7"/>
        <v>12.735366031</v>
      </c>
    </row>
    <row r="190" spans="1:19" ht="15.5" x14ac:dyDescent="0.3">
      <c r="A190" s="1482">
        <v>0</v>
      </c>
      <c r="B190" s="1483" t="s">
        <v>414</v>
      </c>
      <c r="C190" s="1531" t="s">
        <v>414</v>
      </c>
      <c r="D190" s="1482" t="s">
        <v>1781</v>
      </c>
      <c r="E190" s="1532">
        <v>43657</v>
      </c>
      <c r="F190" s="564"/>
      <c r="G190" s="1532">
        <f t="shared" si="6"/>
        <v>43657</v>
      </c>
      <c r="H190" s="1532"/>
      <c r="I190" s="1532" t="s">
        <v>1873</v>
      </c>
      <c r="J190" s="1532" t="s">
        <v>1873</v>
      </c>
      <c r="K190" s="1532"/>
      <c r="L190" s="1532" t="s">
        <v>1873</v>
      </c>
      <c r="M190" s="565">
        <v>1.02</v>
      </c>
      <c r="N190" s="565">
        <v>0</v>
      </c>
      <c r="O190" s="564"/>
      <c r="P190" s="1381">
        <f t="shared" si="8"/>
        <v>1.02</v>
      </c>
      <c r="Q190" s="564"/>
      <c r="R190" s="564"/>
      <c r="S190" s="565">
        <f t="shared" si="7"/>
        <v>1.02</v>
      </c>
    </row>
    <row r="191" spans="1:19" ht="31" x14ac:dyDescent="0.3">
      <c r="A191" s="1486">
        <v>34</v>
      </c>
      <c r="B191" s="1491" t="s">
        <v>1782</v>
      </c>
      <c r="C191" s="1486" t="s">
        <v>928</v>
      </c>
      <c r="D191" s="1486" t="s">
        <v>1783</v>
      </c>
      <c r="E191" s="1487">
        <v>43588</v>
      </c>
      <c r="F191" s="559"/>
      <c r="G191" s="1487">
        <f t="shared" si="6"/>
        <v>43588</v>
      </c>
      <c r="H191" s="1635"/>
      <c r="I191" s="1487" t="s">
        <v>1873</v>
      </c>
      <c r="J191" s="1487" t="s">
        <v>1873</v>
      </c>
      <c r="K191" s="1635"/>
      <c r="L191" s="1487" t="s">
        <v>1873</v>
      </c>
      <c r="M191" s="1383">
        <v>0</v>
      </c>
      <c r="N191" s="1383">
        <v>0</v>
      </c>
      <c r="O191" s="559"/>
      <c r="P191" s="1382">
        <f t="shared" si="8"/>
        <v>0</v>
      </c>
      <c r="Q191" s="559"/>
      <c r="R191" s="559"/>
      <c r="S191" s="1383">
        <f t="shared" si="7"/>
        <v>0</v>
      </c>
    </row>
    <row r="192" spans="1:19" ht="46.5" x14ac:dyDescent="0.3">
      <c r="A192" s="1488">
        <v>34.1</v>
      </c>
      <c r="B192" s="1492" t="s">
        <v>1784</v>
      </c>
      <c r="C192" s="1554" t="s">
        <v>936</v>
      </c>
      <c r="D192" s="1488" t="s">
        <v>1783</v>
      </c>
      <c r="E192" s="1495">
        <v>43588</v>
      </c>
      <c r="F192" s="559"/>
      <c r="G192" s="1495">
        <f t="shared" si="6"/>
        <v>43588</v>
      </c>
      <c r="H192" s="1634"/>
      <c r="I192" s="1495" t="s">
        <v>1873</v>
      </c>
      <c r="J192" s="1495" t="s">
        <v>1873</v>
      </c>
      <c r="K192" s="1634"/>
      <c r="L192" s="1495" t="s">
        <v>1873</v>
      </c>
      <c r="M192" s="560">
        <v>40.359115199999998</v>
      </c>
      <c r="N192" s="560">
        <v>42.189589900000001</v>
      </c>
      <c r="O192" s="559"/>
      <c r="P192" s="1382">
        <f t="shared" si="8"/>
        <v>-1.8304747000000035</v>
      </c>
      <c r="Q192" s="559"/>
      <c r="R192" s="559"/>
      <c r="S192" s="560">
        <f t="shared" si="7"/>
        <v>-1.8304747000000035</v>
      </c>
    </row>
    <row r="193" spans="1:19" ht="15.5" x14ac:dyDescent="0.3">
      <c r="A193" s="1482">
        <v>0</v>
      </c>
      <c r="B193" s="1483" t="s">
        <v>414</v>
      </c>
      <c r="C193" s="1531" t="s">
        <v>414</v>
      </c>
      <c r="D193" s="1482" t="s">
        <v>1783</v>
      </c>
      <c r="E193" s="1532">
        <v>43588</v>
      </c>
      <c r="F193" s="564"/>
      <c r="G193" s="1532">
        <f t="shared" si="6"/>
        <v>43588</v>
      </c>
      <c r="H193" s="1532"/>
      <c r="I193" s="1532" t="s">
        <v>1873</v>
      </c>
      <c r="J193" s="1532" t="s">
        <v>1873</v>
      </c>
      <c r="K193" s="1532"/>
      <c r="L193" s="1532" t="s">
        <v>1873</v>
      </c>
      <c r="M193" s="565">
        <v>1.1100000000000001</v>
      </c>
      <c r="N193" s="565">
        <v>0</v>
      </c>
      <c r="O193" s="564"/>
      <c r="P193" s="1381">
        <f t="shared" si="8"/>
        <v>1.1100000000000001</v>
      </c>
      <c r="Q193" s="564"/>
      <c r="R193" s="564"/>
      <c r="S193" s="565">
        <f t="shared" si="7"/>
        <v>1.1100000000000001</v>
      </c>
    </row>
    <row r="194" spans="1:19" ht="31" x14ac:dyDescent="0.3">
      <c r="A194" s="1477">
        <v>35</v>
      </c>
      <c r="B194" s="1478" t="s">
        <v>1785</v>
      </c>
      <c r="C194" s="1477" t="s">
        <v>928</v>
      </c>
      <c r="D194" s="1477" t="s">
        <v>1786</v>
      </c>
      <c r="E194" s="1479">
        <v>43822</v>
      </c>
      <c r="F194" s="564"/>
      <c r="G194" s="1479">
        <f t="shared" si="6"/>
        <v>43822</v>
      </c>
      <c r="H194" s="1479"/>
      <c r="I194" s="1479" t="s">
        <v>1873</v>
      </c>
      <c r="J194" s="1479" t="s">
        <v>1873</v>
      </c>
      <c r="K194" s="1479"/>
      <c r="L194" s="1479" t="s">
        <v>1873</v>
      </c>
      <c r="M194" s="1380">
        <v>0</v>
      </c>
      <c r="N194" s="1380">
        <v>0</v>
      </c>
      <c r="O194" s="564"/>
      <c r="P194" s="1381">
        <f t="shared" si="8"/>
        <v>0</v>
      </c>
      <c r="Q194" s="564"/>
      <c r="R194" s="564"/>
      <c r="S194" s="1380">
        <f t="shared" si="7"/>
        <v>0</v>
      </c>
    </row>
    <row r="195" spans="1:19" ht="31" x14ac:dyDescent="0.3">
      <c r="A195" s="1482">
        <v>35.1</v>
      </c>
      <c r="B195" s="1483" t="s">
        <v>1785</v>
      </c>
      <c r="C195" s="1531" t="s">
        <v>936</v>
      </c>
      <c r="D195" s="1482" t="s">
        <v>1786</v>
      </c>
      <c r="E195" s="1532">
        <v>43822</v>
      </c>
      <c r="F195" s="564"/>
      <c r="G195" s="1532">
        <f t="shared" si="6"/>
        <v>43822</v>
      </c>
      <c r="H195" s="1532"/>
      <c r="I195" s="1532" t="s">
        <v>1873</v>
      </c>
      <c r="J195" s="1532" t="s">
        <v>1873</v>
      </c>
      <c r="K195" s="1532"/>
      <c r="L195" s="1532" t="s">
        <v>1873</v>
      </c>
      <c r="M195" s="565">
        <v>21.66</v>
      </c>
      <c r="N195" s="565">
        <v>22.854784800000001</v>
      </c>
      <c r="O195" s="564"/>
      <c r="P195" s="1381">
        <f t="shared" si="8"/>
        <v>-1.1947848000000008</v>
      </c>
      <c r="Q195" s="564"/>
      <c r="R195" s="564"/>
      <c r="S195" s="565">
        <f t="shared" si="7"/>
        <v>-1.1947848000000008</v>
      </c>
    </row>
    <row r="196" spans="1:19" ht="15.5" x14ac:dyDescent="0.3">
      <c r="A196" s="1482">
        <v>0</v>
      </c>
      <c r="B196" s="1483" t="s">
        <v>414</v>
      </c>
      <c r="C196" s="1531" t="s">
        <v>414</v>
      </c>
      <c r="D196" s="1482" t="s">
        <v>1786</v>
      </c>
      <c r="E196" s="1532">
        <v>43822</v>
      </c>
      <c r="F196" s="564"/>
      <c r="G196" s="1532">
        <f t="shared" si="6"/>
        <v>43822</v>
      </c>
      <c r="H196" s="1532"/>
      <c r="I196" s="1532" t="s">
        <v>1873</v>
      </c>
      <c r="J196" s="1532" t="s">
        <v>1873</v>
      </c>
      <c r="K196" s="1532"/>
      <c r="L196" s="1532" t="s">
        <v>1873</v>
      </c>
      <c r="M196" s="565">
        <v>0.39</v>
      </c>
      <c r="N196" s="565">
        <v>0</v>
      </c>
      <c r="O196" s="564"/>
      <c r="P196" s="1381">
        <f t="shared" si="8"/>
        <v>0.39</v>
      </c>
      <c r="Q196" s="564"/>
      <c r="R196" s="564"/>
      <c r="S196" s="565">
        <f t="shared" si="7"/>
        <v>0.39</v>
      </c>
    </row>
    <row r="197" spans="1:19" ht="31" x14ac:dyDescent="0.3">
      <c r="A197" s="1486">
        <v>36</v>
      </c>
      <c r="B197" s="1491" t="s">
        <v>1787</v>
      </c>
      <c r="C197" s="1486" t="s">
        <v>928</v>
      </c>
      <c r="D197" s="1486" t="s">
        <v>1788</v>
      </c>
      <c r="E197" s="1487">
        <v>44104</v>
      </c>
      <c r="F197" s="559"/>
      <c r="G197" s="1487">
        <f t="shared" si="6"/>
        <v>44104</v>
      </c>
      <c r="H197" s="1635"/>
      <c r="I197" s="1487" t="s">
        <v>1873</v>
      </c>
      <c r="J197" s="1487" t="s">
        <v>1873</v>
      </c>
      <c r="K197" s="1635"/>
      <c r="L197" s="1487" t="s">
        <v>1873</v>
      </c>
      <c r="M197" s="1383">
        <v>0</v>
      </c>
      <c r="N197" s="1383">
        <v>0</v>
      </c>
      <c r="O197" s="559"/>
      <c r="P197" s="1382">
        <f t="shared" si="8"/>
        <v>0</v>
      </c>
      <c r="Q197" s="559"/>
      <c r="R197" s="559"/>
      <c r="S197" s="1383">
        <f t="shared" si="7"/>
        <v>0</v>
      </c>
    </row>
    <row r="198" spans="1:19" ht="46.5" x14ac:dyDescent="0.3">
      <c r="A198" s="1488">
        <v>36.1</v>
      </c>
      <c r="B198" s="1492" t="s">
        <v>1789</v>
      </c>
      <c r="C198" s="1554" t="s">
        <v>936</v>
      </c>
      <c r="D198" s="1488" t="s">
        <v>1788</v>
      </c>
      <c r="E198" s="1495">
        <v>44104</v>
      </c>
      <c r="F198" s="559"/>
      <c r="G198" s="1495">
        <f t="shared" si="6"/>
        <v>44104</v>
      </c>
      <c r="H198" s="1634"/>
      <c r="I198" s="1495" t="s">
        <v>1873</v>
      </c>
      <c r="J198" s="1495" t="s">
        <v>1873</v>
      </c>
      <c r="K198" s="1634"/>
      <c r="L198" s="1495" t="s">
        <v>1873</v>
      </c>
      <c r="M198" s="560">
        <v>18.32</v>
      </c>
      <c r="N198" s="560">
        <v>16.770041472000003</v>
      </c>
      <c r="O198" s="559"/>
      <c r="P198" s="1382">
        <f t="shared" si="8"/>
        <v>1.5499585279999977</v>
      </c>
      <c r="Q198" s="559"/>
      <c r="R198" s="559"/>
      <c r="S198" s="560">
        <f t="shared" si="7"/>
        <v>1.5499585279999977</v>
      </c>
    </row>
    <row r="199" spans="1:19" ht="31" x14ac:dyDescent="0.3">
      <c r="A199" s="1482">
        <v>0</v>
      </c>
      <c r="B199" s="1483" t="s">
        <v>414</v>
      </c>
      <c r="C199" s="1531" t="s">
        <v>414</v>
      </c>
      <c r="D199" s="1482" t="s">
        <v>1788</v>
      </c>
      <c r="E199" s="1532">
        <v>44104</v>
      </c>
      <c r="F199" s="564"/>
      <c r="G199" s="1532">
        <f t="shared" si="6"/>
        <v>44104</v>
      </c>
      <c r="H199" s="1532"/>
      <c r="I199" s="1532" t="s">
        <v>1873</v>
      </c>
      <c r="J199" s="1532" t="s">
        <v>1873</v>
      </c>
      <c r="K199" s="1532"/>
      <c r="L199" s="1532" t="s">
        <v>1873</v>
      </c>
      <c r="M199" s="565">
        <v>0.24</v>
      </c>
      <c r="N199" s="565">
        <v>0</v>
      </c>
      <c r="O199" s="564"/>
      <c r="P199" s="1381">
        <f t="shared" si="8"/>
        <v>0.24</v>
      </c>
      <c r="Q199" s="564"/>
      <c r="R199" s="564"/>
      <c r="S199" s="565">
        <f t="shared" si="7"/>
        <v>0.24</v>
      </c>
    </row>
    <row r="200" spans="1:19" ht="46.5" x14ac:dyDescent="0.3">
      <c r="A200" s="1486">
        <v>37</v>
      </c>
      <c r="B200" s="1491" t="s">
        <v>1790</v>
      </c>
      <c r="C200" s="1486" t="s">
        <v>928</v>
      </c>
      <c r="D200" s="1486" t="s">
        <v>1791</v>
      </c>
      <c r="E200" s="1487">
        <v>44179</v>
      </c>
      <c r="F200" s="559"/>
      <c r="G200" s="1487">
        <f t="shared" si="6"/>
        <v>44179</v>
      </c>
      <c r="H200" s="1635"/>
      <c r="I200" s="1487" t="s">
        <v>1873</v>
      </c>
      <c r="J200" s="1487" t="s">
        <v>1873</v>
      </c>
      <c r="K200" s="1635"/>
      <c r="L200" s="1487" t="s">
        <v>1873</v>
      </c>
      <c r="M200" s="1383">
        <v>0</v>
      </c>
      <c r="N200" s="1383">
        <v>0</v>
      </c>
      <c r="O200" s="559"/>
      <c r="P200" s="1382">
        <f t="shared" si="8"/>
        <v>0</v>
      </c>
      <c r="Q200" s="559"/>
      <c r="R200" s="559"/>
      <c r="S200" s="1383">
        <f t="shared" si="7"/>
        <v>0</v>
      </c>
    </row>
    <row r="201" spans="1:19" ht="46.5" x14ac:dyDescent="0.3">
      <c r="A201" s="1488">
        <v>37.1</v>
      </c>
      <c r="B201" s="1492" t="s">
        <v>1790</v>
      </c>
      <c r="C201" s="1554" t="s">
        <v>936</v>
      </c>
      <c r="D201" s="1488" t="s">
        <v>1791</v>
      </c>
      <c r="E201" s="1495">
        <v>44179</v>
      </c>
      <c r="F201" s="559"/>
      <c r="G201" s="1495">
        <f t="shared" si="6"/>
        <v>44179</v>
      </c>
      <c r="H201" s="1634"/>
      <c r="I201" s="1495" t="s">
        <v>1873</v>
      </c>
      <c r="J201" s="1495" t="s">
        <v>1873</v>
      </c>
      <c r="K201" s="1634"/>
      <c r="L201" s="1495" t="s">
        <v>1873</v>
      </c>
      <c r="M201" s="560">
        <v>602.58000000000004</v>
      </c>
      <c r="N201" s="560">
        <v>0</v>
      </c>
      <c r="O201" s="559"/>
      <c r="P201" s="1382">
        <f t="shared" si="8"/>
        <v>602.58000000000004</v>
      </c>
      <c r="Q201" s="559"/>
      <c r="R201" s="559"/>
      <c r="S201" s="560">
        <f t="shared" si="7"/>
        <v>602.58000000000004</v>
      </c>
    </row>
    <row r="202" spans="1:19" ht="31" x14ac:dyDescent="0.3">
      <c r="A202" s="1488">
        <v>0</v>
      </c>
      <c r="B202" s="1492" t="s">
        <v>414</v>
      </c>
      <c r="C202" s="1554" t="s">
        <v>414</v>
      </c>
      <c r="D202" s="1488" t="s">
        <v>1791</v>
      </c>
      <c r="E202" s="1495">
        <v>44179</v>
      </c>
      <c r="F202" s="559"/>
      <c r="G202" s="1495">
        <f t="shared" si="6"/>
        <v>44179</v>
      </c>
      <c r="H202" s="1634"/>
      <c r="I202" s="1495" t="s">
        <v>1873</v>
      </c>
      <c r="J202" s="1495" t="s">
        <v>1873</v>
      </c>
      <c r="K202" s="1634"/>
      <c r="L202" s="1495" t="s">
        <v>1873</v>
      </c>
      <c r="M202" s="560">
        <v>53.67</v>
      </c>
      <c r="N202" s="560">
        <v>0</v>
      </c>
      <c r="O202" s="559"/>
      <c r="P202" s="1382">
        <f t="shared" si="8"/>
        <v>53.67</v>
      </c>
      <c r="Q202" s="559"/>
      <c r="R202" s="559"/>
      <c r="S202" s="560">
        <f t="shared" si="7"/>
        <v>53.67</v>
      </c>
    </row>
    <row r="203" spans="1:19" ht="31" x14ac:dyDescent="0.3">
      <c r="A203" s="1486">
        <v>38</v>
      </c>
      <c r="B203" s="1491" t="s">
        <v>1792</v>
      </c>
      <c r="C203" s="1486" t="s">
        <v>928</v>
      </c>
      <c r="D203" s="1486" t="s">
        <v>1793</v>
      </c>
      <c r="E203" s="1487">
        <v>42033</v>
      </c>
      <c r="F203" s="559"/>
      <c r="G203" s="1487">
        <f>E203</f>
        <v>42033</v>
      </c>
      <c r="H203" s="1635"/>
      <c r="I203" s="1487" t="s">
        <v>1873</v>
      </c>
      <c r="J203" s="1487" t="s">
        <v>1873</v>
      </c>
      <c r="K203" s="1635"/>
      <c r="L203" s="1487" t="s">
        <v>1873</v>
      </c>
      <c r="M203" s="1383">
        <v>0</v>
      </c>
      <c r="N203" s="1383">
        <v>0</v>
      </c>
      <c r="O203" s="559"/>
      <c r="P203" s="1382">
        <f>M203-N203</f>
        <v>0</v>
      </c>
      <c r="Q203" s="559"/>
      <c r="R203" s="559"/>
      <c r="S203" s="1383">
        <f>IF(SUM(O203:R203)=0,M203-N203,SUM(O203:R203))</f>
        <v>0</v>
      </c>
    </row>
    <row r="204" spans="1:19" ht="31" x14ac:dyDescent="0.3">
      <c r="A204" s="1488">
        <v>0</v>
      </c>
      <c r="B204" s="1492" t="s">
        <v>1794</v>
      </c>
      <c r="C204" s="1554" t="s">
        <v>936</v>
      </c>
      <c r="D204" s="1488" t="s">
        <v>1793</v>
      </c>
      <c r="E204" s="1495">
        <v>42033</v>
      </c>
      <c r="F204" s="559"/>
      <c r="G204" s="1495">
        <f>E204</f>
        <v>42033</v>
      </c>
      <c r="H204" s="1634"/>
      <c r="I204" s="1495" t="s">
        <v>1873</v>
      </c>
      <c r="J204" s="1495" t="s">
        <v>1873</v>
      </c>
      <c r="K204" s="1634"/>
      <c r="L204" s="1495" t="s">
        <v>1873</v>
      </c>
      <c r="M204" s="560">
        <v>9.4</v>
      </c>
      <c r="N204" s="560">
        <v>9.3998608000000008</v>
      </c>
      <c r="O204" s="559"/>
      <c r="P204" s="1382">
        <f>M204-N204</f>
        <v>1.391999999995619E-4</v>
      </c>
      <c r="Q204" s="559"/>
      <c r="R204" s="559"/>
      <c r="S204" s="560">
        <f>IF(SUM(O204:R204)=0,M204-N204,SUM(O204:R204))</f>
        <v>1.391999999995619E-4</v>
      </c>
    </row>
    <row r="205" spans="1:19" ht="31" x14ac:dyDescent="0.3">
      <c r="A205" s="1488">
        <v>0</v>
      </c>
      <c r="B205" s="1492" t="s">
        <v>414</v>
      </c>
      <c r="C205" s="1554" t="s">
        <v>414</v>
      </c>
      <c r="D205" s="1488" t="s">
        <v>1793</v>
      </c>
      <c r="E205" s="1495">
        <v>42033</v>
      </c>
      <c r="F205" s="559"/>
      <c r="G205" s="1495">
        <f>E205</f>
        <v>42033</v>
      </c>
      <c r="H205" s="1634"/>
      <c r="I205" s="1495" t="s">
        <v>1873</v>
      </c>
      <c r="J205" s="1495" t="s">
        <v>1873</v>
      </c>
      <c r="K205" s="1634"/>
      <c r="L205" s="1495" t="s">
        <v>1873</v>
      </c>
      <c r="M205" s="560">
        <v>0.6</v>
      </c>
      <c r="N205" s="560">
        <v>0</v>
      </c>
      <c r="O205" s="559"/>
      <c r="P205" s="1382">
        <f>M205-N205</f>
        <v>0.6</v>
      </c>
      <c r="Q205" s="559"/>
      <c r="R205" s="559"/>
      <c r="S205" s="560">
        <f>IF(SUM(O205:R205)=0,M205-N205,SUM(O205:R205))</f>
        <v>0.6</v>
      </c>
    </row>
    <row r="206" spans="1:19" ht="31" x14ac:dyDescent="0.3">
      <c r="A206" s="1486">
        <v>39</v>
      </c>
      <c r="B206" s="1491" t="s">
        <v>1795</v>
      </c>
      <c r="C206" s="1486" t="s">
        <v>928</v>
      </c>
      <c r="D206" s="1486" t="s">
        <v>1796</v>
      </c>
      <c r="E206" s="1487">
        <v>44335</v>
      </c>
      <c r="F206" s="559"/>
      <c r="G206" s="1487">
        <f t="shared" ref="G206:G251" si="9">E206</f>
        <v>44335</v>
      </c>
      <c r="H206" s="1635"/>
      <c r="I206" s="1487" t="s">
        <v>1873</v>
      </c>
      <c r="J206" s="1487" t="s">
        <v>1873</v>
      </c>
      <c r="K206" s="1635"/>
      <c r="L206" s="1487" t="s">
        <v>1873</v>
      </c>
      <c r="M206" s="1383">
        <v>0</v>
      </c>
      <c r="N206" s="1383">
        <v>0</v>
      </c>
      <c r="O206" s="559"/>
      <c r="P206" s="1382">
        <f t="shared" ref="P206:P253" si="10">M206-N206</f>
        <v>0</v>
      </c>
      <c r="Q206" s="559"/>
      <c r="R206" s="559"/>
      <c r="S206" s="1383">
        <f t="shared" ref="S206:S251" si="11">IF(SUM(O206:R206)=0,M206-N206,SUM(O206:R206))</f>
        <v>0</v>
      </c>
    </row>
    <row r="207" spans="1:19" ht="46.5" x14ac:dyDescent="0.3">
      <c r="A207" s="1488">
        <v>39.1</v>
      </c>
      <c r="B207" s="1492" t="s">
        <v>1797</v>
      </c>
      <c r="C207" s="1554" t="s">
        <v>936</v>
      </c>
      <c r="D207" s="1488" t="s">
        <v>1796</v>
      </c>
      <c r="E207" s="1495">
        <v>44335</v>
      </c>
      <c r="F207" s="559"/>
      <c r="G207" s="1495">
        <f t="shared" si="9"/>
        <v>44335</v>
      </c>
      <c r="H207" s="1634"/>
      <c r="I207" s="1495" t="s">
        <v>1873</v>
      </c>
      <c r="J207" s="1495" t="s">
        <v>1873</v>
      </c>
      <c r="K207" s="1634"/>
      <c r="L207" s="1495" t="s">
        <v>1873</v>
      </c>
      <c r="M207" s="560">
        <v>21.02</v>
      </c>
      <c r="N207" s="560">
        <v>9.9520900000000001</v>
      </c>
      <c r="O207" s="559"/>
      <c r="P207" s="1382">
        <f t="shared" si="10"/>
        <v>11.067909999999999</v>
      </c>
      <c r="Q207" s="559"/>
      <c r="R207" s="559"/>
      <c r="S207" s="560">
        <f t="shared" si="11"/>
        <v>11.067909999999999</v>
      </c>
    </row>
    <row r="208" spans="1:19" ht="31" x14ac:dyDescent="0.3">
      <c r="A208" s="1488">
        <v>0</v>
      </c>
      <c r="B208" s="1492" t="s">
        <v>414</v>
      </c>
      <c r="C208" s="1554" t="s">
        <v>414</v>
      </c>
      <c r="D208" s="1488" t="s">
        <v>1796</v>
      </c>
      <c r="E208" s="1495">
        <v>44335</v>
      </c>
      <c r="F208" s="559"/>
      <c r="G208" s="1495">
        <f t="shared" si="9"/>
        <v>44335</v>
      </c>
      <c r="H208" s="1634"/>
      <c r="I208" s="1495" t="s">
        <v>1873</v>
      </c>
      <c r="J208" s="1495" t="s">
        <v>1873</v>
      </c>
      <c r="K208" s="1634"/>
      <c r="L208" s="1495" t="s">
        <v>1873</v>
      </c>
      <c r="M208" s="560">
        <v>0.51</v>
      </c>
      <c r="N208" s="560">
        <v>0</v>
      </c>
      <c r="O208" s="559"/>
      <c r="P208" s="1382">
        <f t="shared" si="10"/>
        <v>0.51</v>
      </c>
      <c r="Q208" s="559"/>
      <c r="R208" s="559"/>
      <c r="S208" s="560">
        <f t="shared" si="11"/>
        <v>0.51</v>
      </c>
    </row>
    <row r="209" spans="1:19" ht="31" x14ac:dyDescent="0.3">
      <c r="A209" s="1477" t="s">
        <v>1798</v>
      </c>
      <c r="B209" s="1478" t="s">
        <v>1799</v>
      </c>
      <c r="C209" s="1477" t="s">
        <v>928</v>
      </c>
      <c r="D209" s="1477" t="s">
        <v>1800</v>
      </c>
      <c r="E209" s="1479">
        <v>39232</v>
      </c>
      <c r="F209" s="564"/>
      <c r="G209" s="1479">
        <f t="shared" si="9"/>
        <v>39232</v>
      </c>
      <c r="H209" s="1479"/>
      <c r="I209" s="1479" t="s">
        <v>1873</v>
      </c>
      <c r="J209" s="1479" t="s">
        <v>1873</v>
      </c>
      <c r="K209" s="1479"/>
      <c r="L209" s="1479" t="s">
        <v>1873</v>
      </c>
      <c r="M209" s="1380">
        <v>0</v>
      </c>
      <c r="N209" s="1380">
        <v>0</v>
      </c>
      <c r="O209" s="564"/>
      <c r="P209" s="1381">
        <f t="shared" si="10"/>
        <v>0</v>
      </c>
      <c r="Q209" s="564"/>
      <c r="R209" s="564"/>
      <c r="S209" s="1380">
        <f t="shared" si="11"/>
        <v>0</v>
      </c>
    </row>
    <row r="210" spans="1:19" ht="31" x14ac:dyDescent="0.3">
      <c r="A210" s="1482" t="s">
        <v>1801</v>
      </c>
      <c r="B210" s="1483" t="s">
        <v>1802</v>
      </c>
      <c r="C210" s="1531" t="s">
        <v>936</v>
      </c>
      <c r="D210" s="1482" t="s">
        <v>1800</v>
      </c>
      <c r="E210" s="1532">
        <v>39232</v>
      </c>
      <c r="F210" s="564"/>
      <c r="G210" s="1532">
        <f t="shared" si="9"/>
        <v>39232</v>
      </c>
      <c r="H210" s="1532"/>
      <c r="I210" s="1532" t="s">
        <v>1873</v>
      </c>
      <c r="J210" s="1532" t="s">
        <v>1873</v>
      </c>
      <c r="K210" s="1532"/>
      <c r="L210" s="1532" t="s">
        <v>1873</v>
      </c>
      <c r="M210" s="565">
        <v>9.6</v>
      </c>
      <c r="N210" s="565">
        <v>4.9831317769999997</v>
      </c>
      <c r="O210" s="564"/>
      <c r="P210" s="1381">
        <f t="shared" si="10"/>
        <v>4.616868223</v>
      </c>
      <c r="Q210" s="564"/>
      <c r="R210" s="564"/>
      <c r="S210" s="565">
        <f t="shared" si="11"/>
        <v>4.616868223</v>
      </c>
    </row>
    <row r="211" spans="1:19" ht="31" x14ac:dyDescent="0.3">
      <c r="A211" s="1477" t="s">
        <v>1803</v>
      </c>
      <c r="B211" s="1478" t="s">
        <v>1804</v>
      </c>
      <c r="C211" s="1477" t="s">
        <v>928</v>
      </c>
      <c r="D211" s="1477" t="s">
        <v>1805</v>
      </c>
      <c r="E211" s="1479">
        <v>41464</v>
      </c>
      <c r="F211" s="564"/>
      <c r="G211" s="1479">
        <f t="shared" si="9"/>
        <v>41464</v>
      </c>
      <c r="H211" s="1479"/>
      <c r="I211" s="1479" t="s">
        <v>1873</v>
      </c>
      <c r="J211" s="1479" t="s">
        <v>1873</v>
      </c>
      <c r="K211" s="1479"/>
      <c r="L211" s="1479" t="s">
        <v>1873</v>
      </c>
      <c r="M211" s="1380">
        <v>0</v>
      </c>
      <c r="N211" s="1380">
        <v>0</v>
      </c>
      <c r="O211" s="564"/>
      <c r="P211" s="1381">
        <f t="shared" si="10"/>
        <v>0</v>
      </c>
      <c r="Q211" s="564"/>
      <c r="R211" s="564"/>
      <c r="S211" s="1380">
        <f t="shared" si="11"/>
        <v>0</v>
      </c>
    </row>
    <row r="212" spans="1:19" ht="31" x14ac:dyDescent="0.3">
      <c r="A212" s="1482" t="s">
        <v>1806</v>
      </c>
      <c r="B212" s="1483" t="s">
        <v>1807</v>
      </c>
      <c r="C212" s="1531" t="s">
        <v>936</v>
      </c>
      <c r="D212" s="1482" t="s">
        <v>1805</v>
      </c>
      <c r="E212" s="1532">
        <v>41464</v>
      </c>
      <c r="F212" s="564"/>
      <c r="G212" s="1532">
        <f t="shared" si="9"/>
        <v>41464</v>
      </c>
      <c r="H212" s="1532"/>
      <c r="I212" s="1532" t="s">
        <v>1873</v>
      </c>
      <c r="J212" s="1532" t="s">
        <v>1873</v>
      </c>
      <c r="K212" s="1532"/>
      <c r="L212" s="1532" t="s">
        <v>1873</v>
      </c>
      <c r="M212" s="565">
        <v>10.36</v>
      </c>
      <c r="N212" s="565">
        <v>0</v>
      </c>
      <c r="O212" s="564"/>
      <c r="P212" s="1381">
        <f t="shared" si="10"/>
        <v>10.36</v>
      </c>
      <c r="Q212" s="564"/>
      <c r="R212" s="564"/>
      <c r="S212" s="565">
        <f t="shared" si="11"/>
        <v>10.36</v>
      </c>
    </row>
    <row r="213" spans="1:19" ht="31" x14ac:dyDescent="0.3">
      <c r="A213" s="1482">
        <v>0</v>
      </c>
      <c r="B213" s="1483" t="s">
        <v>414</v>
      </c>
      <c r="C213" s="1531" t="s">
        <v>414</v>
      </c>
      <c r="D213" s="1482" t="s">
        <v>1805</v>
      </c>
      <c r="E213" s="1532">
        <v>41464</v>
      </c>
      <c r="F213" s="564"/>
      <c r="G213" s="1532">
        <f t="shared" si="9"/>
        <v>41464</v>
      </c>
      <c r="H213" s="1532"/>
      <c r="I213" s="1532" t="s">
        <v>1873</v>
      </c>
      <c r="J213" s="1532" t="s">
        <v>1873</v>
      </c>
      <c r="K213" s="1532"/>
      <c r="L213" s="1532" t="s">
        <v>1873</v>
      </c>
      <c r="M213" s="565">
        <v>0</v>
      </c>
      <c r="N213" s="565">
        <v>0</v>
      </c>
      <c r="O213" s="564"/>
      <c r="P213" s="1381">
        <f t="shared" si="10"/>
        <v>0</v>
      </c>
      <c r="Q213" s="564"/>
      <c r="R213" s="564"/>
      <c r="S213" s="565">
        <f t="shared" si="11"/>
        <v>0</v>
      </c>
    </row>
    <row r="214" spans="1:19" ht="46.5" x14ac:dyDescent="0.3">
      <c r="A214" s="1477" t="s">
        <v>1808</v>
      </c>
      <c r="B214" s="1478" t="s">
        <v>944</v>
      </c>
      <c r="C214" s="1477" t="s">
        <v>928</v>
      </c>
      <c r="D214" s="1477" t="s">
        <v>945</v>
      </c>
      <c r="E214" s="1479">
        <v>41968</v>
      </c>
      <c r="F214" s="564"/>
      <c r="G214" s="1479">
        <f t="shared" si="9"/>
        <v>41968</v>
      </c>
      <c r="H214" s="1479"/>
      <c r="I214" s="1479" t="s">
        <v>1873</v>
      </c>
      <c r="J214" s="1479" t="s">
        <v>1873</v>
      </c>
      <c r="K214" s="1479"/>
      <c r="L214" s="1479" t="s">
        <v>1873</v>
      </c>
      <c r="M214" s="1380">
        <v>0</v>
      </c>
      <c r="N214" s="1380">
        <v>0</v>
      </c>
      <c r="O214" s="564"/>
      <c r="P214" s="1381">
        <f t="shared" si="10"/>
        <v>0</v>
      </c>
      <c r="Q214" s="564"/>
      <c r="R214" s="564"/>
      <c r="S214" s="1380">
        <f t="shared" si="11"/>
        <v>0</v>
      </c>
    </row>
    <row r="215" spans="1:19" ht="46.5" x14ac:dyDescent="0.3">
      <c r="A215" s="1482" t="s">
        <v>1809</v>
      </c>
      <c r="B215" s="1483" t="s">
        <v>1810</v>
      </c>
      <c r="C215" s="1531" t="s">
        <v>936</v>
      </c>
      <c r="D215" s="1482" t="s">
        <v>945</v>
      </c>
      <c r="E215" s="1532">
        <v>41968</v>
      </c>
      <c r="F215" s="564"/>
      <c r="G215" s="1532">
        <f t="shared" si="9"/>
        <v>41968</v>
      </c>
      <c r="H215" s="1532"/>
      <c r="I215" s="1532" t="s">
        <v>1873</v>
      </c>
      <c r="J215" s="1532" t="s">
        <v>1873</v>
      </c>
      <c r="K215" s="1532"/>
      <c r="L215" s="1532" t="s">
        <v>1873</v>
      </c>
      <c r="M215" s="565">
        <v>5.7060000000000004</v>
      </c>
      <c r="N215" s="565">
        <v>0.90661499000000001</v>
      </c>
      <c r="O215" s="564"/>
      <c r="P215" s="1381">
        <f t="shared" si="10"/>
        <v>4.79938501</v>
      </c>
      <c r="Q215" s="564"/>
      <c r="R215" s="564"/>
      <c r="S215" s="565">
        <f t="shared" si="11"/>
        <v>4.79938501</v>
      </c>
    </row>
    <row r="216" spans="1:19" ht="46.5" x14ac:dyDescent="0.3">
      <c r="A216" s="1482" t="s">
        <v>1811</v>
      </c>
      <c r="B216" s="1483" t="s">
        <v>1812</v>
      </c>
      <c r="C216" s="1531" t="s">
        <v>936</v>
      </c>
      <c r="D216" s="1482" t="s">
        <v>945</v>
      </c>
      <c r="E216" s="1532">
        <v>41968</v>
      </c>
      <c r="F216" s="564"/>
      <c r="G216" s="1532">
        <f t="shared" si="9"/>
        <v>41968</v>
      </c>
      <c r="H216" s="1532"/>
      <c r="I216" s="1532" t="s">
        <v>1873</v>
      </c>
      <c r="J216" s="1532" t="s">
        <v>1873</v>
      </c>
      <c r="K216" s="1532"/>
      <c r="L216" s="1532" t="s">
        <v>1873</v>
      </c>
      <c r="M216" s="565">
        <v>11.25</v>
      </c>
      <c r="N216" s="565">
        <v>5.7542039999999997</v>
      </c>
      <c r="O216" s="564"/>
      <c r="P216" s="1381">
        <f t="shared" si="10"/>
        <v>5.4957960000000003</v>
      </c>
      <c r="Q216" s="564"/>
      <c r="R216" s="564"/>
      <c r="S216" s="565">
        <f t="shared" si="11"/>
        <v>5.4957960000000003</v>
      </c>
    </row>
    <row r="217" spans="1:19" ht="46.5" x14ac:dyDescent="0.3">
      <c r="A217" s="1477" t="s">
        <v>946</v>
      </c>
      <c r="B217" s="1478" t="s">
        <v>947</v>
      </c>
      <c r="C217" s="1477" t="s">
        <v>928</v>
      </c>
      <c r="D217" s="1477" t="s">
        <v>948</v>
      </c>
      <c r="E217" s="1479">
        <v>42585</v>
      </c>
      <c r="F217" s="564"/>
      <c r="G217" s="1479">
        <f t="shared" si="9"/>
        <v>42585</v>
      </c>
      <c r="H217" s="1479"/>
      <c r="I217" s="1479" t="s">
        <v>1873</v>
      </c>
      <c r="J217" s="1479" t="s">
        <v>1873</v>
      </c>
      <c r="K217" s="1479"/>
      <c r="L217" s="1479" t="s">
        <v>1873</v>
      </c>
      <c r="M217" s="1380">
        <v>0</v>
      </c>
      <c r="N217" s="1380">
        <v>0</v>
      </c>
      <c r="O217" s="564"/>
      <c r="P217" s="1381">
        <f t="shared" si="10"/>
        <v>0</v>
      </c>
      <c r="Q217" s="564"/>
      <c r="R217" s="564"/>
      <c r="S217" s="1380">
        <f t="shared" si="11"/>
        <v>0</v>
      </c>
    </row>
    <row r="218" spans="1:19" ht="31" x14ac:dyDescent="0.3">
      <c r="A218" s="1482" t="s">
        <v>1813</v>
      </c>
      <c r="B218" s="1483" t="s">
        <v>1814</v>
      </c>
      <c r="C218" s="1531" t="s">
        <v>936</v>
      </c>
      <c r="D218" s="1482" t="s">
        <v>948</v>
      </c>
      <c r="E218" s="1532">
        <v>42585</v>
      </c>
      <c r="F218" s="564"/>
      <c r="G218" s="1532">
        <f t="shared" si="9"/>
        <v>42585</v>
      </c>
      <c r="H218" s="1532"/>
      <c r="I218" s="1532" t="s">
        <v>1873</v>
      </c>
      <c r="J218" s="1532" t="s">
        <v>1873</v>
      </c>
      <c r="K218" s="1532"/>
      <c r="L218" s="1532" t="s">
        <v>1873</v>
      </c>
      <c r="M218" s="565">
        <v>1.3257526714285714</v>
      </c>
      <c r="N218" s="565">
        <v>0</v>
      </c>
      <c r="O218" s="564"/>
      <c r="P218" s="1381">
        <f t="shared" si="10"/>
        <v>1.3257526714285714</v>
      </c>
      <c r="Q218" s="564"/>
      <c r="R218" s="564"/>
      <c r="S218" s="565">
        <f t="shared" si="11"/>
        <v>1.3257526714285714</v>
      </c>
    </row>
    <row r="219" spans="1:19" ht="31" x14ac:dyDescent="0.3">
      <c r="A219" s="1486" t="s">
        <v>949</v>
      </c>
      <c r="B219" s="1491" t="s">
        <v>950</v>
      </c>
      <c r="C219" s="1486" t="s">
        <v>928</v>
      </c>
      <c r="D219" s="1486" t="s">
        <v>951</v>
      </c>
      <c r="E219" s="1487">
        <v>42643</v>
      </c>
      <c r="F219" s="559"/>
      <c r="G219" s="1487">
        <f t="shared" si="9"/>
        <v>42643</v>
      </c>
      <c r="H219" s="1635"/>
      <c r="I219" s="1487" t="s">
        <v>1873</v>
      </c>
      <c r="J219" s="1487" t="s">
        <v>1873</v>
      </c>
      <c r="K219" s="1635"/>
      <c r="L219" s="1487" t="s">
        <v>1873</v>
      </c>
      <c r="M219" s="1383">
        <v>0</v>
      </c>
      <c r="N219" s="1383">
        <v>0</v>
      </c>
      <c r="O219" s="559"/>
      <c r="P219" s="1382">
        <f t="shared" si="10"/>
        <v>0</v>
      </c>
      <c r="Q219" s="559"/>
      <c r="R219" s="559"/>
      <c r="S219" s="1383">
        <f t="shared" si="11"/>
        <v>0</v>
      </c>
    </row>
    <row r="220" spans="1:19" ht="31" x14ac:dyDescent="0.3">
      <c r="A220" s="1488" t="s">
        <v>1815</v>
      </c>
      <c r="B220" s="1492" t="s">
        <v>1816</v>
      </c>
      <c r="C220" s="1554" t="s">
        <v>936</v>
      </c>
      <c r="D220" s="1488" t="s">
        <v>951</v>
      </c>
      <c r="E220" s="1495">
        <v>42643</v>
      </c>
      <c r="F220" s="559"/>
      <c r="G220" s="1495">
        <f t="shared" si="9"/>
        <v>42643</v>
      </c>
      <c r="H220" s="1634"/>
      <c r="I220" s="1495" t="s">
        <v>1873</v>
      </c>
      <c r="J220" s="1495" t="s">
        <v>1873</v>
      </c>
      <c r="K220" s="1634"/>
      <c r="L220" s="1495" t="s">
        <v>1873</v>
      </c>
      <c r="M220" s="560">
        <v>7.0965999999999996</v>
      </c>
      <c r="N220" s="560">
        <v>0</v>
      </c>
      <c r="O220" s="559"/>
      <c r="P220" s="1382">
        <f t="shared" si="10"/>
        <v>7.0965999999999996</v>
      </c>
      <c r="Q220" s="559"/>
      <c r="R220" s="559"/>
      <c r="S220" s="560">
        <f t="shared" si="11"/>
        <v>7.0965999999999996</v>
      </c>
    </row>
    <row r="221" spans="1:19" ht="31" x14ac:dyDescent="0.3">
      <c r="A221" s="1489" t="s">
        <v>1818</v>
      </c>
      <c r="B221" s="1490" t="s">
        <v>1819</v>
      </c>
      <c r="C221" s="1486" t="s">
        <v>928</v>
      </c>
      <c r="D221" s="1486" t="s">
        <v>1820</v>
      </c>
      <c r="E221" s="1487">
        <v>43052</v>
      </c>
      <c r="F221" s="559"/>
      <c r="G221" s="1487">
        <f t="shared" si="9"/>
        <v>43052</v>
      </c>
      <c r="H221" s="1635"/>
      <c r="I221" s="1487" t="s">
        <v>1873</v>
      </c>
      <c r="J221" s="1487" t="s">
        <v>1873</v>
      </c>
      <c r="K221" s="1635"/>
      <c r="L221" s="1487" t="s">
        <v>1873</v>
      </c>
      <c r="M221" s="1383">
        <v>0</v>
      </c>
      <c r="N221" s="1383">
        <v>0</v>
      </c>
      <c r="O221" s="559"/>
      <c r="P221" s="1382">
        <f t="shared" si="10"/>
        <v>0</v>
      </c>
      <c r="Q221" s="559"/>
      <c r="R221" s="559"/>
      <c r="S221" s="1383">
        <f t="shared" si="11"/>
        <v>0</v>
      </c>
    </row>
    <row r="222" spans="1:19" ht="31" x14ac:dyDescent="0.3">
      <c r="A222" s="1484" t="s">
        <v>1821</v>
      </c>
      <c r="B222" s="1485" t="s">
        <v>1822</v>
      </c>
      <c r="C222" s="1554" t="s">
        <v>936</v>
      </c>
      <c r="D222" s="1488" t="s">
        <v>1820</v>
      </c>
      <c r="E222" s="1495">
        <v>43052</v>
      </c>
      <c r="F222" s="559"/>
      <c r="G222" s="1495">
        <f t="shared" si="9"/>
        <v>43052</v>
      </c>
      <c r="H222" s="1634"/>
      <c r="I222" s="1495" t="s">
        <v>1873</v>
      </c>
      <c r="J222" s="1495" t="s">
        <v>1873</v>
      </c>
      <c r="K222" s="1634"/>
      <c r="L222" s="1495" t="s">
        <v>1873</v>
      </c>
      <c r="M222" s="560">
        <v>2.9</v>
      </c>
      <c r="N222" s="560">
        <v>0.26772339999999994</v>
      </c>
      <c r="O222" s="559"/>
      <c r="P222" s="1382">
        <f t="shared" si="10"/>
        <v>2.6322766</v>
      </c>
      <c r="Q222" s="559"/>
      <c r="R222" s="559"/>
      <c r="S222" s="560">
        <f t="shared" si="11"/>
        <v>2.6322766</v>
      </c>
    </row>
    <row r="223" spans="1:19" ht="31" x14ac:dyDescent="0.3">
      <c r="A223" s="1484" t="s">
        <v>1823</v>
      </c>
      <c r="B223" s="1485" t="s">
        <v>1824</v>
      </c>
      <c r="C223" s="1554" t="s">
        <v>936</v>
      </c>
      <c r="D223" s="1488" t="s">
        <v>1820</v>
      </c>
      <c r="E223" s="1495">
        <v>43052</v>
      </c>
      <c r="F223" s="559"/>
      <c r="G223" s="1495">
        <f t="shared" si="9"/>
        <v>43052</v>
      </c>
      <c r="H223" s="1634"/>
      <c r="I223" s="1495" t="s">
        <v>1873</v>
      </c>
      <c r="J223" s="1495" t="s">
        <v>1873</v>
      </c>
      <c r="K223" s="1634"/>
      <c r="L223" s="1495" t="s">
        <v>1873</v>
      </c>
      <c r="M223" s="560">
        <v>1.25</v>
      </c>
      <c r="N223" s="560">
        <v>2.1846524010000001</v>
      </c>
      <c r="O223" s="559"/>
      <c r="P223" s="1382">
        <f t="shared" si="10"/>
        <v>-0.93465240100000013</v>
      </c>
      <c r="Q223" s="559"/>
      <c r="R223" s="559"/>
      <c r="S223" s="560">
        <f t="shared" si="11"/>
        <v>-0.93465240100000013</v>
      </c>
    </row>
    <row r="224" spans="1:19" ht="15.5" x14ac:dyDescent="0.3">
      <c r="A224" s="1484">
        <v>0</v>
      </c>
      <c r="B224" s="1485" t="s">
        <v>414</v>
      </c>
      <c r="C224" s="1554" t="s">
        <v>414</v>
      </c>
      <c r="D224" s="1488" t="s">
        <v>1820</v>
      </c>
      <c r="E224" s="1495">
        <v>43052</v>
      </c>
      <c r="F224" s="559"/>
      <c r="G224" s="1495">
        <f t="shared" si="9"/>
        <v>43052</v>
      </c>
      <c r="H224" s="1634"/>
      <c r="I224" s="1495" t="s">
        <v>1873</v>
      </c>
      <c r="J224" s="1495" t="s">
        <v>1873</v>
      </c>
      <c r="K224" s="1634"/>
      <c r="L224" s="1495" t="s">
        <v>1873</v>
      </c>
      <c r="M224" s="560">
        <v>0</v>
      </c>
      <c r="N224" s="560">
        <v>0</v>
      </c>
      <c r="O224" s="559"/>
      <c r="P224" s="1382">
        <f t="shared" si="10"/>
        <v>0</v>
      </c>
      <c r="Q224" s="559"/>
      <c r="R224" s="559"/>
      <c r="S224" s="560">
        <f t="shared" si="11"/>
        <v>0</v>
      </c>
    </row>
    <row r="225" spans="1:19" ht="31" x14ac:dyDescent="0.3">
      <c r="A225" s="1489" t="s">
        <v>1825</v>
      </c>
      <c r="B225" s="1490" t="s">
        <v>1826</v>
      </c>
      <c r="C225" s="1486" t="s">
        <v>928</v>
      </c>
      <c r="D225" s="1486" t="s">
        <v>1827</v>
      </c>
      <c r="E225" s="1487">
        <v>43137</v>
      </c>
      <c r="F225" s="559"/>
      <c r="G225" s="1487">
        <f t="shared" si="9"/>
        <v>43137</v>
      </c>
      <c r="H225" s="1635"/>
      <c r="I225" s="1487" t="s">
        <v>1873</v>
      </c>
      <c r="J225" s="1487" t="s">
        <v>1873</v>
      </c>
      <c r="K225" s="1635"/>
      <c r="L225" s="1487" t="s">
        <v>1873</v>
      </c>
      <c r="M225" s="1383">
        <v>0</v>
      </c>
      <c r="N225" s="1383">
        <v>0</v>
      </c>
      <c r="O225" s="559"/>
      <c r="P225" s="1382">
        <f t="shared" si="10"/>
        <v>0</v>
      </c>
      <c r="Q225" s="559"/>
      <c r="R225" s="559"/>
      <c r="S225" s="1383">
        <f t="shared" si="11"/>
        <v>0</v>
      </c>
    </row>
    <row r="226" spans="1:19" ht="46.5" x14ac:dyDescent="0.3">
      <c r="A226" s="1484" t="s">
        <v>1828</v>
      </c>
      <c r="B226" s="1485" t="s">
        <v>1829</v>
      </c>
      <c r="C226" s="1554" t="s">
        <v>936</v>
      </c>
      <c r="D226" s="1488" t="s">
        <v>1827</v>
      </c>
      <c r="E226" s="1495">
        <v>43137</v>
      </c>
      <c r="F226" s="559"/>
      <c r="G226" s="1495">
        <f t="shared" si="9"/>
        <v>43137</v>
      </c>
      <c r="H226" s="1634"/>
      <c r="I226" s="1495" t="s">
        <v>1873</v>
      </c>
      <c r="J226" s="1495" t="s">
        <v>1873</v>
      </c>
      <c r="K226" s="1634"/>
      <c r="L226" s="1495" t="s">
        <v>1873</v>
      </c>
      <c r="M226" s="560">
        <v>9.0741999999999994</v>
      </c>
      <c r="N226" s="560">
        <v>9.6122519690000008</v>
      </c>
      <c r="O226" s="559"/>
      <c r="P226" s="1382">
        <f t="shared" si="10"/>
        <v>-0.53805196900000141</v>
      </c>
      <c r="Q226" s="559"/>
      <c r="R226" s="559"/>
      <c r="S226" s="560">
        <f t="shared" si="11"/>
        <v>-0.53805196900000141</v>
      </c>
    </row>
    <row r="227" spans="1:19" ht="31" x14ac:dyDescent="0.3">
      <c r="A227" s="1489" t="s">
        <v>1830</v>
      </c>
      <c r="B227" s="1490" t="s">
        <v>1831</v>
      </c>
      <c r="C227" s="1486" t="s">
        <v>928</v>
      </c>
      <c r="D227" s="1486" t="s">
        <v>1832</v>
      </c>
      <c r="E227" s="1487">
        <v>43703</v>
      </c>
      <c r="F227" s="559"/>
      <c r="G227" s="1487">
        <f t="shared" si="9"/>
        <v>43703</v>
      </c>
      <c r="H227" s="1635"/>
      <c r="I227" s="1487" t="s">
        <v>1873</v>
      </c>
      <c r="J227" s="1487" t="s">
        <v>1873</v>
      </c>
      <c r="K227" s="1635"/>
      <c r="L227" s="1487" t="s">
        <v>1873</v>
      </c>
      <c r="M227" s="1383">
        <v>0</v>
      </c>
      <c r="N227" s="1383">
        <v>0</v>
      </c>
      <c r="O227" s="559"/>
      <c r="P227" s="1382">
        <f t="shared" si="10"/>
        <v>0</v>
      </c>
      <c r="Q227" s="559"/>
      <c r="R227" s="559"/>
      <c r="S227" s="1383">
        <f t="shared" si="11"/>
        <v>0</v>
      </c>
    </row>
    <row r="228" spans="1:19" ht="46.5" x14ac:dyDescent="0.3">
      <c r="A228" s="1484" t="s">
        <v>1833</v>
      </c>
      <c r="B228" s="1485" t="s">
        <v>1834</v>
      </c>
      <c r="C228" s="1554" t="s">
        <v>936</v>
      </c>
      <c r="D228" s="1488" t="s">
        <v>1832</v>
      </c>
      <c r="E228" s="1495">
        <v>43703</v>
      </c>
      <c r="F228" s="559"/>
      <c r="G228" s="1495">
        <f t="shared" si="9"/>
        <v>43703</v>
      </c>
      <c r="H228" s="1634"/>
      <c r="I228" s="1495" t="s">
        <v>1873</v>
      </c>
      <c r="J228" s="1495" t="s">
        <v>1873</v>
      </c>
      <c r="K228" s="1634"/>
      <c r="L228" s="1495" t="s">
        <v>1873</v>
      </c>
      <c r="M228" s="560">
        <v>1.73</v>
      </c>
      <c r="N228" s="560">
        <v>1.6959658</v>
      </c>
      <c r="O228" s="559"/>
      <c r="P228" s="1382">
        <f t="shared" si="10"/>
        <v>3.4034200000000014E-2</v>
      </c>
      <c r="Q228" s="559"/>
      <c r="R228" s="559"/>
      <c r="S228" s="560">
        <f t="shared" si="11"/>
        <v>3.4034200000000014E-2</v>
      </c>
    </row>
    <row r="229" spans="1:19" ht="46.5" x14ac:dyDescent="0.3">
      <c r="A229" s="1484" t="s">
        <v>1835</v>
      </c>
      <c r="B229" s="1485" t="s">
        <v>1836</v>
      </c>
      <c r="C229" s="1554" t="s">
        <v>936</v>
      </c>
      <c r="D229" s="1488" t="s">
        <v>1832</v>
      </c>
      <c r="E229" s="1495">
        <v>43703</v>
      </c>
      <c r="F229" s="559"/>
      <c r="G229" s="1495">
        <f t="shared" si="9"/>
        <v>43703</v>
      </c>
      <c r="H229" s="1634"/>
      <c r="I229" s="1495" t="s">
        <v>1873</v>
      </c>
      <c r="J229" s="1495" t="s">
        <v>1873</v>
      </c>
      <c r="K229" s="1634"/>
      <c r="L229" s="1495" t="s">
        <v>1873</v>
      </c>
      <c r="M229" s="560">
        <v>9.4</v>
      </c>
      <c r="N229" s="560">
        <v>8.9105042999999995</v>
      </c>
      <c r="O229" s="559"/>
      <c r="P229" s="1382">
        <f t="shared" si="10"/>
        <v>0.48949570000000087</v>
      </c>
      <c r="Q229" s="559"/>
      <c r="R229" s="559"/>
      <c r="S229" s="560">
        <f t="shared" si="11"/>
        <v>0.48949570000000087</v>
      </c>
    </row>
    <row r="230" spans="1:19" ht="15.5" x14ac:dyDescent="0.3">
      <c r="A230" s="1484">
        <v>0</v>
      </c>
      <c r="B230" s="1485" t="s">
        <v>414</v>
      </c>
      <c r="C230" s="1554" t="s">
        <v>414</v>
      </c>
      <c r="D230" s="1488" t="s">
        <v>1832</v>
      </c>
      <c r="E230" s="1495">
        <v>43703</v>
      </c>
      <c r="F230" s="559"/>
      <c r="G230" s="1495">
        <f t="shared" si="9"/>
        <v>43703</v>
      </c>
      <c r="H230" s="1634"/>
      <c r="I230" s="1495" t="s">
        <v>1873</v>
      </c>
      <c r="J230" s="1495" t="s">
        <v>1873</v>
      </c>
      <c r="K230" s="1634"/>
      <c r="L230" s="1495" t="s">
        <v>1873</v>
      </c>
      <c r="M230" s="560">
        <v>0</v>
      </c>
      <c r="N230" s="560">
        <v>0</v>
      </c>
      <c r="O230" s="559"/>
      <c r="P230" s="1382">
        <f t="shared" si="10"/>
        <v>0</v>
      </c>
      <c r="Q230" s="559"/>
      <c r="R230" s="559"/>
      <c r="S230" s="560">
        <f t="shared" si="11"/>
        <v>0</v>
      </c>
    </row>
    <row r="231" spans="1:19" ht="31" x14ac:dyDescent="0.3">
      <c r="A231" s="1489" t="s">
        <v>1837</v>
      </c>
      <c r="B231" s="1490" t="s">
        <v>1838</v>
      </c>
      <c r="C231" s="1486" t="s">
        <v>928</v>
      </c>
      <c r="D231" s="1486" t="s">
        <v>1839</v>
      </c>
      <c r="E231" s="1487">
        <v>44131</v>
      </c>
      <c r="F231" s="559"/>
      <c r="G231" s="1487">
        <f t="shared" si="9"/>
        <v>44131</v>
      </c>
      <c r="H231" s="1635"/>
      <c r="I231" s="1487" t="s">
        <v>1873</v>
      </c>
      <c r="J231" s="1487" t="s">
        <v>1873</v>
      </c>
      <c r="K231" s="1635"/>
      <c r="L231" s="1487" t="s">
        <v>1873</v>
      </c>
      <c r="M231" s="1383">
        <v>0</v>
      </c>
      <c r="N231" s="1383">
        <v>0</v>
      </c>
      <c r="O231" s="559"/>
      <c r="P231" s="1382">
        <f t="shared" si="10"/>
        <v>0</v>
      </c>
      <c r="Q231" s="559"/>
      <c r="R231" s="559"/>
      <c r="S231" s="1383">
        <f t="shared" si="11"/>
        <v>0</v>
      </c>
    </row>
    <row r="232" spans="1:19" ht="46.5" x14ac:dyDescent="0.3">
      <c r="A232" s="1484" t="s">
        <v>1840</v>
      </c>
      <c r="B232" s="1485" t="s">
        <v>1841</v>
      </c>
      <c r="C232" s="1554" t="s">
        <v>936</v>
      </c>
      <c r="D232" s="1488" t="s">
        <v>1839</v>
      </c>
      <c r="E232" s="1495">
        <v>44131</v>
      </c>
      <c r="F232" s="559"/>
      <c r="G232" s="1495">
        <f t="shared" si="9"/>
        <v>44131</v>
      </c>
      <c r="H232" s="1634"/>
      <c r="I232" s="1495" t="s">
        <v>1873</v>
      </c>
      <c r="J232" s="1495" t="s">
        <v>1873</v>
      </c>
      <c r="K232" s="1634"/>
      <c r="L232" s="1495" t="s">
        <v>1873</v>
      </c>
      <c r="M232" s="560">
        <v>2.912712</v>
      </c>
      <c r="N232" s="560">
        <v>2.8883319000000003</v>
      </c>
      <c r="O232" s="559"/>
      <c r="P232" s="1382">
        <f t="shared" si="10"/>
        <v>2.4380099999999683E-2</v>
      </c>
      <c r="Q232" s="559"/>
      <c r="R232" s="559"/>
      <c r="S232" s="560">
        <f t="shared" si="11"/>
        <v>2.4380099999999683E-2</v>
      </c>
    </row>
    <row r="233" spans="1:19" ht="46.5" x14ac:dyDescent="0.3">
      <c r="A233" s="1484" t="s">
        <v>1842</v>
      </c>
      <c r="B233" s="1485" t="s">
        <v>1843</v>
      </c>
      <c r="C233" s="1554" t="s">
        <v>936</v>
      </c>
      <c r="D233" s="1488" t="s">
        <v>1839</v>
      </c>
      <c r="E233" s="1495">
        <v>44131</v>
      </c>
      <c r="F233" s="559"/>
      <c r="G233" s="1495">
        <f t="shared" si="9"/>
        <v>44131</v>
      </c>
      <c r="H233" s="1634"/>
      <c r="I233" s="1495" t="s">
        <v>1873</v>
      </c>
      <c r="J233" s="1495" t="s">
        <v>1873</v>
      </c>
      <c r="K233" s="1634"/>
      <c r="L233" s="1495" t="s">
        <v>1873</v>
      </c>
      <c r="M233" s="560">
        <v>0.84251999999999994</v>
      </c>
      <c r="N233" s="560">
        <v>0.84251999999999994</v>
      </c>
      <c r="O233" s="559"/>
      <c r="P233" s="1382">
        <f t="shared" si="10"/>
        <v>0</v>
      </c>
      <c r="Q233" s="559"/>
      <c r="R233" s="559"/>
      <c r="S233" s="560">
        <f t="shared" si="11"/>
        <v>0</v>
      </c>
    </row>
    <row r="234" spans="1:19" ht="31" x14ac:dyDescent="0.3">
      <c r="A234" s="1484">
        <v>0</v>
      </c>
      <c r="B234" s="1485" t="s">
        <v>414</v>
      </c>
      <c r="C234" s="1554" t="s">
        <v>414</v>
      </c>
      <c r="D234" s="1488" t="s">
        <v>1839</v>
      </c>
      <c r="E234" s="1495">
        <v>44131</v>
      </c>
      <c r="F234" s="559"/>
      <c r="G234" s="1495">
        <f t="shared" si="9"/>
        <v>44131</v>
      </c>
      <c r="H234" s="1634"/>
      <c r="I234" s="1495" t="s">
        <v>1873</v>
      </c>
      <c r="J234" s="1495" t="s">
        <v>1873</v>
      </c>
      <c r="K234" s="1634"/>
      <c r="L234" s="1495" t="s">
        <v>1873</v>
      </c>
      <c r="M234" s="560">
        <v>0</v>
      </c>
      <c r="N234" s="560">
        <v>0</v>
      </c>
      <c r="O234" s="559"/>
      <c r="P234" s="1382">
        <f t="shared" si="10"/>
        <v>0</v>
      </c>
      <c r="Q234" s="559"/>
      <c r="R234" s="559"/>
      <c r="S234" s="560">
        <f t="shared" si="11"/>
        <v>0</v>
      </c>
    </row>
    <row r="235" spans="1:19" ht="46.5" x14ac:dyDescent="0.3">
      <c r="A235" s="1489">
        <v>40</v>
      </c>
      <c r="B235" s="1490" t="s">
        <v>1844</v>
      </c>
      <c r="C235" s="1486" t="s">
        <v>928</v>
      </c>
      <c r="D235" s="1486" t="s">
        <v>1845</v>
      </c>
      <c r="E235" s="1487">
        <v>44357</v>
      </c>
      <c r="F235" s="559"/>
      <c r="G235" s="1487">
        <f t="shared" si="9"/>
        <v>44357</v>
      </c>
      <c r="H235" s="1635"/>
      <c r="I235" s="1487" t="s">
        <v>1873</v>
      </c>
      <c r="J235" s="1487" t="s">
        <v>1873</v>
      </c>
      <c r="K235" s="1635"/>
      <c r="L235" s="1487" t="s">
        <v>1873</v>
      </c>
      <c r="M235" s="1383">
        <v>0</v>
      </c>
      <c r="N235" s="1383">
        <v>0</v>
      </c>
      <c r="O235" s="559"/>
      <c r="P235" s="1382">
        <f t="shared" si="10"/>
        <v>0</v>
      </c>
      <c r="Q235" s="559"/>
      <c r="R235" s="559"/>
      <c r="S235" s="1383">
        <f t="shared" si="11"/>
        <v>0</v>
      </c>
    </row>
    <row r="236" spans="1:19" ht="46.5" x14ac:dyDescent="0.3">
      <c r="A236" s="1484">
        <v>40.1</v>
      </c>
      <c r="B236" s="1485" t="s">
        <v>1846</v>
      </c>
      <c r="C236" s="1554" t="s">
        <v>936</v>
      </c>
      <c r="D236" s="1488" t="s">
        <v>1845</v>
      </c>
      <c r="E236" s="1495">
        <v>44357</v>
      </c>
      <c r="F236" s="559"/>
      <c r="G236" s="1495">
        <f t="shared" si="9"/>
        <v>44357</v>
      </c>
      <c r="H236" s="1634"/>
      <c r="I236" s="1495" t="s">
        <v>1873</v>
      </c>
      <c r="J236" s="1495" t="s">
        <v>1873</v>
      </c>
      <c r="K236" s="1634"/>
      <c r="L236" s="1495" t="s">
        <v>1873</v>
      </c>
      <c r="M236" s="560">
        <v>6.2</v>
      </c>
      <c r="N236" s="560">
        <v>6.0121000000000002</v>
      </c>
      <c r="O236" s="559"/>
      <c r="P236" s="1382">
        <f t="shared" si="10"/>
        <v>0.18789999999999996</v>
      </c>
      <c r="Q236" s="559"/>
      <c r="R236" s="559"/>
      <c r="S236" s="560">
        <f t="shared" si="11"/>
        <v>0.18789999999999996</v>
      </c>
    </row>
    <row r="237" spans="1:19" ht="46.5" x14ac:dyDescent="0.3">
      <c r="A237" s="1484">
        <v>40.200000000000003</v>
      </c>
      <c r="B237" s="1485" t="s">
        <v>1847</v>
      </c>
      <c r="C237" s="1554" t="s">
        <v>936</v>
      </c>
      <c r="D237" s="1488" t="s">
        <v>1845</v>
      </c>
      <c r="E237" s="1495">
        <v>44357</v>
      </c>
      <c r="F237" s="559"/>
      <c r="G237" s="1495">
        <f t="shared" si="9"/>
        <v>44357</v>
      </c>
      <c r="H237" s="1634"/>
      <c r="I237" s="1495" t="s">
        <v>1873</v>
      </c>
      <c r="J237" s="1495" t="s">
        <v>1873</v>
      </c>
      <c r="K237" s="1634"/>
      <c r="L237" s="1495" t="s">
        <v>1873</v>
      </c>
      <c r="M237" s="560">
        <v>4.3899999999999997</v>
      </c>
      <c r="N237" s="560">
        <v>4.3293638999999997</v>
      </c>
      <c r="O237" s="559"/>
      <c r="P237" s="1382">
        <f t="shared" si="10"/>
        <v>6.0636099999999971E-2</v>
      </c>
      <c r="Q237" s="559"/>
      <c r="R237" s="559"/>
      <c r="S237" s="560">
        <f t="shared" si="11"/>
        <v>6.0636099999999971E-2</v>
      </c>
    </row>
    <row r="238" spans="1:19" ht="31" x14ac:dyDescent="0.3">
      <c r="A238" s="1484">
        <v>0</v>
      </c>
      <c r="B238" s="1485" t="s">
        <v>414</v>
      </c>
      <c r="C238" s="1554" t="s">
        <v>414</v>
      </c>
      <c r="D238" s="1488" t="s">
        <v>1845</v>
      </c>
      <c r="E238" s="1495">
        <v>44357</v>
      </c>
      <c r="F238" s="559"/>
      <c r="G238" s="1495">
        <f t="shared" si="9"/>
        <v>44357</v>
      </c>
      <c r="H238" s="1634"/>
      <c r="I238" s="1495" t="s">
        <v>1873</v>
      </c>
      <c r="J238" s="1495" t="s">
        <v>1873</v>
      </c>
      <c r="K238" s="1634"/>
      <c r="L238" s="1495" t="s">
        <v>1873</v>
      </c>
      <c r="M238" s="560">
        <v>0.3</v>
      </c>
      <c r="N238" s="560">
        <v>0</v>
      </c>
      <c r="O238" s="559"/>
      <c r="P238" s="1382">
        <f t="shared" si="10"/>
        <v>0.3</v>
      </c>
      <c r="Q238" s="559"/>
      <c r="R238" s="559"/>
      <c r="S238" s="560">
        <f t="shared" si="11"/>
        <v>0.3</v>
      </c>
    </row>
    <row r="239" spans="1:19" ht="62" x14ac:dyDescent="0.3">
      <c r="A239" s="1489">
        <v>41</v>
      </c>
      <c r="B239" s="1490" t="s">
        <v>1848</v>
      </c>
      <c r="C239" s="1486" t="s">
        <v>928</v>
      </c>
      <c r="D239" s="1486" t="s">
        <v>1849</v>
      </c>
      <c r="E239" s="1487">
        <v>44760</v>
      </c>
      <c r="F239" s="559"/>
      <c r="G239" s="1487">
        <f t="shared" si="9"/>
        <v>44760</v>
      </c>
      <c r="H239" s="1635"/>
      <c r="I239" s="1487" t="s">
        <v>1873</v>
      </c>
      <c r="J239" s="1487" t="s">
        <v>1873</v>
      </c>
      <c r="K239" s="1635"/>
      <c r="L239" s="1487" t="s">
        <v>1873</v>
      </c>
      <c r="M239" s="1383">
        <v>0</v>
      </c>
      <c r="N239" s="1383">
        <v>0</v>
      </c>
      <c r="O239" s="559"/>
      <c r="P239" s="1382">
        <f t="shared" si="10"/>
        <v>0</v>
      </c>
      <c r="Q239" s="559"/>
      <c r="R239" s="559"/>
      <c r="S239" s="1383">
        <f t="shared" si="11"/>
        <v>0</v>
      </c>
    </row>
    <row r="240" spans="1:19" ht="31" x14ac:dyDescent="0.3">
      <c r="A240" s="1484">
        <v>41.1</v>
      </c>
      <c r="B240" s="1485" t="s">
        <v>1850</v>
      </c>
      <c r="C240" s="1554" t="s">
        <v>936</v>
      </c>
      <c r="D240" s="1488" t="s">
        <v>1849</v>
      </c>
      <c r="E240" s="1495">
        <v>44760</v>
      </c>
      <c r="F240" s="559"/>
      <c r="G240" s="1495">
        <f t="shared" si="9"/>
        <v>44760</v>
      </c>
      <c r="H240" s="1634"/>
      <c r="I240" s="1495" t="s">
        <v>1873</v>
      </c>
      <c r="J240" s="1495" t="s">
        <v>1873</v>
      </c>
      <c r="K240" s="1634"/>
      <c r="L240" s="1495" t="s">
        <v>1873</v>
      </c>
      <c r="M240" s="560">
        <v>6.08</v>
      </c>
      <c r="N240" s="560">
        <v>3.607024</v>
      </c>
      <c r="O240" s="559"/>
      <c r="P240" s="1382">
        <f t="shared" si="10"/>
        <v>2.4729760000000001</v>
      </c>
      <c r="Q240" s="559"/>
      <c r="R240" s="559"/>
      <c r="S240" s="560">
        <f t="shared" si="11"/>
        <v>2.4729760000000001</v>
      </c>
    </row>
    <row r="241" spans="1:19" ht="46.5" x14ac:dyDescent="0.3">
      <c r="A241" s="1484">
        <v>41.2</v>
      </c>
      <c r="B241" s="1485" t="s">
        <v>1851</v>
      </c>
      <c r="C241" s="1554" t="s">
        <v>936</v>
      </c>
      <c r="D241" s="1488" t="s">
        <v>1849</v>
      </c>
      <c r="E241" s="1495">
        <v>44760</v>
      </c>
      <c r="F241" s="559"/>
      <c r="G241" s="1495">
        <f t="shared" si="9"/>
        <v>44760</v>
      </c>
      <c r="H241" s="1634"/>
      <c r="I241" s="1495" t="s">
        <v>1873</v>
      </c>
      <c r="J241" s="1495" t="s">
        <v>1873</v>
      </c>
      <c r="K241" s="1634"/>
      <c r="L241" s="1495" t="s">
        <v>1873</v>
      </c>
      <c r="M241" s="560">
        <v>5.28</v>
      </c>
      <c r="N241" s="560">
        <v>2.7090321999999998</v>
      </c>
      <c r="O241" s="559"/>
      <c r="P241" s="1382">
        <f t="shared" si="10"/>
        <v>2.5709678000000005</v>
      </c>
      <c r="Q241" s="559"/>
      <c r="R241" s="559"/>
      <c r="S241" s="560">
        <f t="shared" si="11"/>
        <v>2.5709678000000005</v>
      </c>
    </row>
    <row r="242" spans="1:19" ht="15.5" x14ac:dyDescent="0.3">
      <c r="A242" s="1484">
        <v>41.3</v>
      </c>
      <c r="B242" s="1485" t="s">
        <v>1852</v>
      </c>
      <c r="C242" s="1554" t="s">
        <v>936</v>
      </c>
      <c r="D242" s="1488" t="s">
        <v>1849</v>
      </c>
      <c r="E242" s="1495">
        <v>44760</v>
      </c>
      <c r="F242" s="559"/>
      <c r="G242" s="1495">
        <f t="shared" si="9"/>
        <v>44760</v>
      </c>
      <c r="H242" s="1634"/>
      <c r="I242" s="1495" t="s">
        <v>1873</v>
      </c>
      <c r="J242" s="1495" t="s">
        <v>1873</v>
      </c>
      <c r="K242" s="1634"/>
      <c r="L242" s="1495" t="s">
        <v>1873</v>
      </c>
      <c r="M242" s="560">
        <v>1.98</v>
      </c>
      <c r="N242" s="560">
        <v>1.7286999999999999</v>
      </c>
      <c r="O242" s="559"/>
      <c r="P242" s="1382">
        <f t="shared" si="10"/>
        <v>0.25130000000000008</v>
      </c>
      <c r="Q242" s="559"/>
      <c r="R242" s="559"/>
      <c r="S242" s="560">
        <f t="shared" si="11"/>
        <v>0.25130000000000008</v>
      </c>
    </row>
    <row r="243" spans="1:19" ht="15.5" x14ac:dyDescent="0.3">
      <c r="A243" s="1484">
        <v>0</v>
      </c>
      <c r="B243" s="1485" t="s">
        <v>414</v>
      </c>
      <c r="C243" s="1554" t="s">
        <v>414</v>
      </c>
      <c r="D243" s="1488" t="s">
        <v>1849</v>
      </c>
      <c r="E243" s="1495">
        <v>44760</v>
      </c>
      <c r="F243" s="559"/>
      <c r="G243" s="1495">
        <f t="shared" si="9"/>
        <v>44760</v>
      </c>
      <c r="H243" s="1634"/>
      <c r="I243" s="1495" t="s">
        <v>1873</v>
      </c>
      <c r="J243" s="1495" t="s">
        <v>1873</v>
      </c>
      <c r="K243" s="1634"/>
      <c r="L243" s="1495" t="s">
        <v>1873</v>
      </c>
      <c r="M243" s="560">
        <v>0.72</v>
      </c>
      <c r="N243" s="560">
        <v>0</v>
      </c>
      <c r="O243" s="559"/>
      <c r="P243" s="1382">
        <f t="shared" si="10"/>
        <v>0.72</v>
      </c>
      <c r="Q243" s="559"/>
      <c r="R243" s="559"/>
      <c r="S243" s="560">
        <f t="shared" si="11"/>
        <v>0.72</v>
      </c>
    </row>
    <row r="244" spans="1:19" ht="31" x14ac:dyDescent="0.3">
      <c r="A244" s="1489">
        <v>42</v>
      </c>
      <c r="B244" s="1490" t="s">
        <v>1854</v>
      </c>
      <c r="C244" s="1486" t="s">
        <v>928</v>
      </c>
      <c r="D244" s="1486" t="s">
        <v>1855</v>
      </c>
      <c r="E244" s="1487">
        <v>44833</v>
      </c>
      <c r="F244" s="559"/>
      <c r="G244" s="1487">
        <f t="shared" si="9"/>
        <v>44833</v>
      </c>
      <c r="H244" s="1635"/>
      <c r="I244" s="1487" t="s">
        <v>1873</v>
      </c>
      <c r="J244" s="1487" t="s">
        <v>1873</v>
      </c>
      <c r="K244" s="1635"/>
      <c r="L244" s="1487" t="s">
        <v>1873</v>
      </c>
      <c r="M244" s="1383">
        <v>0</v>
      </c>
      <c r="N244" s="1383">
        <v>0</v>
      </c>
      <c r="O244" s="559"/>
      <c r="P244" s="1382">
        <f t="shared" si="10"/>
        <v>0</v>
      </c>
      <c r="Q244" s="559"/>
      <c r="R244" s="559"/>
      <c r="S244" s="1383">
        <f t="shared" si="11"/>
        <v>0</v>
      </c>
    </row>
    <row r="245" spans="1:19" ht="31" x14ac:dyDescent="0.3">
      <c r="A245" s="1484">
        <v>42.1</v>
      </c>
      <c r="B245" s="1485" t="s">
        <v>1856</v>
      </c>
      <c r="C245" s="1554" t="s">
        <v>936</v>
      </c>
      <c r="D245" s="1488" t="s">
        <v>1855</v>
      </c>
      <c r="E245" s="1495">
        <v>44833</v>
      </c>
      <c r="F245" s="559"/>
      <c r="G245" s="1495">
        <f t="shared" si="9"/>
        <v>44833</v>
      </c>
      <c r="H245" s="1634"/>
      <c r="I245" s="1495" t="s">
        <v>1873</v>
      </c>
      <c r="J245" s="1495" t="s">
        <v>1873</v>
      </c>
      <c r="K245" s="1634"/>
      <c r="L245" s="1495" t="s">
        <v>1873</v>
      </c>
      <c r="M245" s="560">
        <v>207.46</v>
      </c>
      <c r="N245" s="560">
        <v>0</v>
      </c>
      <c r="O245" s="559"/>
      <c r="P245" s="1382">
        <f t="shared" si="10"/>
        <v>207.46</v>
      </c>
      <c r="Q245" s="559"/>
      <c r="R245" s="559"/>
      <c r="S245" s="560">
        <f t="shared" si="11"/>
        <v>207.46</v>
      </c>
    </row>
    <row r="246" spans="1:19" ht="31" x14ac:dyDescent="0.3">
      <c r="A246" s="1484">
        <v>0</v>
      </c>
      <c r="B246" s="1485" t="s">
        <v>414</v>
      </c>
      <c r="C246" s="1554" t="s">
        <v>414</v>
      </c>
      <c r="D246" s="1488" t="s">
        <v>1855</v>
      </c>
      <c r="E246" s="1495">
        <v>44833</v>
      </c>
      <c r="F246" s="559"/>
      <c r="G246" s="1495">
        <f t="shared" si="9"/>
        <v>44833</v>
      </c>
      <c r="H246" s="1634"/>
      <c r="I246" s="1495" t="s">
        <v>1873</v>
      </c>
      <c r="J246" s="1495" t="s">
        <v>1873</v>
      </c>
      <c r="K246" s="1634"/>
      <c r="L246" s="1495" t="s">
        <v>1873</v>
      </c>
      <c r="M246" s="560">
        <v>11.98</v>
      </c>
      <c r="N246" s="560">
        <v>0</v>
      </c>
      <c r="O246" s="559"/>
      <c r="P246" s="1382">
        <f t="shared" si="10"/>
        <v>11.98</v>
      </c>
      <c r="Q246" s="559"/>
      <c r="R246" s="559"/>
      <c r="S246" s="560">
        <f t="shared" si="11"/>
        <v>11.98</v>
      </c>
    </row>
    <row r="247" spans="1:19" ht="31" x14ac:dyDescent="0.3">
      <c r="A247" s="1489">
        <v>43</v>
      </c>
      <c r="B247" s="1490" t="s">
        <v>1858</v>
      </c>
      <c r="C247" s="1486" t="s">
        <v>928</v>
      </c>
      <c r="D247" s="1486" t="s">
        <v>1859</v>
      </c>
      <c r="E247" s="1487">
        <v>45174</v>
      </c>
      <c r="F247" s="559"/>
      <c r="G247" s="1487">
        <f t="shared" si="9"/>
        <v>45174</v>
      </c>
      <c r="H247" s="1635"/>
      <c r="I247" s="1487" t="s">
        <v>1873</v>
      </c>
      <c r="J247" s="1487" t="s">
        <v>1873</v>
      </c>
      <c r="K247" s="1635"/>
      <c r="L247" s="1487" t="s">
        <v>1873</v>
      </c>
      <c r="M247" s="1383">
        <v>0</v>
      </c>
      <c r="N247" s="1383">
        <v>0</v>
      </c>
      <c r="O247" s="559"/>
      <c r="P247" s="1382">
        <f t="shared" si="10"/>
        <v>0</v>
      </c>
      <c r="Q247" s="559"/>
      <c r="R247" s="559"/>
      <c r="S247" s="1383">
        <f t="shared" si="11"/>
        <v>0</v>
      </c>
    </row>
    <row r="248" spans="1:19" ht="31" x14ac:dyDescent="0.3">
      <c r="A248" s="1484">
        <v>43.1</v>
      </c>
      <c r="B248" s="1485" t="s">
        <v>1860</v>
      </c>
      <c r="C248" s="1554" t="s">
        <v>936</v>
      </c>
      <c r="D248" s="1488" t="s">
        <v>1859</v>
      </c>
      <c r="E248" s="1495">
        <v>45174</v>
      </c>
      <c r="F248" s="559"/>
      <c r="G248" s="1495">
        <f t="shared" si="9"/>
        <v>45174</v>
      </c>
      <c r="H248" s="1634"/>
      <c r="I248" s="1495" t="s">
        <v>1873</v>
      </c>
      <c r="J248" s="1495" t="s">
        <v>1873</v>
      </c>
      <c r="K248" s="1634"/>
      <c r="L248" s="1495" t="s">
        <v>1873</v>
      </c>
      <c r="M248" s="560">
        <v>109.4</v>
      </c>
      <c r="N248" s="560">
        <v>0</v>
      </c>
      <c r="O248" s="559"/>
      <c r="P248" s="1382">
        <f t="shared" si="10"/>
        <v>109.4</v>
      </c>
      <c r="Q248" s="559"/>
      <c r="R248" s="559"/>
      <c r="S248" s="560">
        <f t="shared" si="11"/>
        <v>109.4</v>
      </c>
    </row>
    <row r="249" spans="1:19" ht="31" x14ac:dyDescent="0.3">
      <c r="A249" s="1484">
        <v>0</v>
      </c>
      <c r="B249" s="1485" t="s">
        <v>414</v>
      </c>
      <c r="C249" s="1554" t="s">
        <v>414</v>
      </c>
      <c r="D249" s="1488" t="s">
        <v>1859</v>
      </c>
      <c r="E249" s="1495">
        <v>45174</v>
      </c>
      <c r="F249" s="559"/>
      <c r="G249" s="1495">
        <f t="shared" si="9"/>
        <v>45174</v>
      </c>
      <c r="H249" s="1634"/>
      <c r="I249" s="1495" t="s">
        <v>1873</v>
      </c>
      <c r="J249" s="1495" t="s">
        <v>1873</v>
      </c>
      <c r="K249" s="1634"/>
      <c r="L249" s="1495" t="s">
        <v>1873</v>
      </c>
      <c r="M249" s="560">
        <v>5.94</v>
      </c>
      <c r="N249" s="560">
        <v>0</v>
      </c>
      <c r="O249" s="559"/>
      <c r="P249" s="1382">
        <f t="shared" si="10"/>
        <v>5.94</v>
      </c>
      <c r="Q249" s="559"/>
      <c r="R249" s="559"/>
      <c r="S249" s="560">
        <f t="shared" si="11"/>
        <v>5.94</v>
      </c>
    </row>
    <row r="250" spans="1:19" ht="62" x14ac:dyDescent="0.3">
      <c r="A250" s="1489">
        <v>44</v>
      </c>
      <c r="B250" s="1490" t="s">
        <v>1861</v>
      </c>
      <c r="C250" s="1486" t="s">
        <v>928</v>
      </c>
      <c r="D250" s="1486" t="s">
        <v>1862</v>
      </c>
      <c r="E250" s="1487">
        <v>44806</v>
      </c>
      <c r="F250" s="559"/>
      <c r="G250" s="1487">
        <f t="shared" si="9"/>
        <v>44806</v>
      </c>
      <c r="H250" s="1635"/>
      <c r="I250" s="1487" t="s">
        <v>1873</v>
      </c>
      <c r="J250" s="1487" t="s">
        <v>1873</v>
      </c>
      <c r="K250" s="1635"/>
      <c r="L250" s="1487" t="s">
        <v>1873</v>
      </c>
      <c r="M250" s="1383">
        <v>0</v>
      </c>
      <c r="N250" s="1383">
        <v>0</v>
      </c>
      <c r="O250" s="559"/>
      <c r="P250" s="1382">
        <f t="shared" si="10"/>
        <v>0</v>
      </c>
      <c r="Q250" s="559"/>
      <c r="R250" s="559"/>
      <c r="S250" s="1383">
        <f t="shared" si="11"/>
        <v>0</v>
      </c>
    </row>
    <row r="251" spans="1:19" ht="93" x14ac:dyDescent="0.3">
      <c r="A251" s="1484">
        <v>44.1</v>
      </c>
      <c r="B251" s="1485" t="s">
        <v>1863</v>
      </c>
      <c r="C251" s="1554" t="s">
        <v>936</v>
      </c>
      <c r="D251" s="1488" t="s">
        <v>1862</v>
      </c>
      <c r="E251" s="1495">
        <v>44806</v>
      </c>
      <c r="F251" s="559"/>
      <c r="G251" s="1495">
        <f t="shared" si="9"/>
        <v>44806</v>
      </c>
      <c r="H251" s="1634"/>
      <c r="I251" s="1495" t="s">
        <v>1873</v>
      </c>
      <c r="J251" s="1495" t="s">
        <v>1873</v>
      </c>
      <c r="K251" s="1634"/>
      <c r="L251" s="1495" t="s">
        <v>1873</v>
      </c>
      <c r="M251" s="560">
        <v>32.567999999999998</v>
      </c>
      <c r="N251" s="560">
        <v>0</v>
      </c>
      <c r="O251" s="559"/>
      <c r="P251" s="1382">
        <f t="shared" si="10"/>
        <v>32.567999999999998</v>
      </c>
      <c r="Q251" s="559"/>
      <c r="R251" s="559"/>
      <c r="S251" s="560">
        <f t="shared" si="11"/>
        <v>32.567999999999998</v>
      </c>
    </row>
    <row r="252" spans="1:19" ht="15.5" x14ac:dyDescent="0.3">
      <c r="A252" s="1484">
        <v>0</v>
      </c>
      <c r="B252" s="1485" t="s">
        <v>414</v>
      </c>
      <c r="C252" s="1554" t="s">
        <v>414</v>
      </c>
      <c r="D252" s="1488" t="s">
        <v>1862</v>
      </c>
      <c r="E252" s="1495">
        <v>44806</v>
      </c>
      <c r="F252" s="559"/>
      <c r="G252" s="1495">
        <f>E252</f>
        <v>44806</v>
      </c>
      <c r="H252" s="1634"/>
      <c r="I252" s="1495" t="s">
        <v>1873</v>
      </c>
      <c r="J252" s="1495" t="s">
        <v>1873</v>
      </c>
      <c r="K252" s="1634"/>
      <c r="L252" s="1495" t="s">
        <v>1873</v>
      </c>
      <c r="M252" s="560">
        <v>0.7</v>
      </c>
      <c r="N252" s="560">
        <v>0</v>
      </c>
      <c r="O252" s="559"/>
      <c r="P252" s="1382">
        <f>M252-N252</f>
        <v>0.7</v>
      </c>
      <c r="Q252" s="559"/>
      <c r="R252" s="559"/>
      <c r="S252" s="560">
        <f>IF(SUM(O252:R252)=0,M252-N252,SUM(O252:R252))</f>
        <v>0.7</v>
      </c>
    </row>
    <row r="253" spans="1:19" ht="93" x14ac:dyDescent="0.3">
      <c r="A253" s="1489">
        <v>45</v>
      </c>
      <c r="B253" s="1490" t="s">
        <v>1865</v>
      </c>
      <c r="C253" s="1486" t="s">
        <v>928</v>
      </c>
      <c r="D253" s="1486" t="s">
        <v>1866</v>
      </c>
      <c r="E253" s="1487">
        <v>45174</v>
      </c>
      <c r="F253" s="559"/>
      <c r="G253" s="1487">
        <f t="shared" ref="G253:G265" si="12">E253</f>
        <v>45174</v>
      </c>
      <c r="H253" s="1635"/>
      <c r="I253" s="1487" t="s">
        <v>1873</v>
      </c>
      <c r="J253" s="1487" t="s">
        <v>1873</v>
      </c>
      <c r="K253" s="1635"/>
      <c r="L253" s="1487" t="s">
        <v>1873</v>
      </c>
      <c r="M253" s="1383">
        <v>0</v>
      </c>
      <c r="N253" s="1383">
        <v>0</v>
      </c>
      <c r="O253" s="559"/>
      <c r="P253" s="1382">
        <f t="shared" si="10"/>
        <v>0</v>
      </c>
      <c r="Q253" s="559"/>
      <c r="R253" s="559"/>
      <c r="S253" s="1383">
        <f t="shared" ref="S253:S265" si="13">IF(SUM(O253:R253)=0,M253-N253,SUM(O253:R253))</f>
        <v>0</v>
      </c>
    </row>
    <row r="254" spans="1:19" ht="31" x14ac:dyDescent="0.3">
      <c r="A254" s="1484">
        <v>45.1</v>
      </c>
      <c r="B254" s="1485" t="s">
        <v>1867</v>
      </c>
      <c r="C254" s="1554" t="s">
        <v>936</v>
      </c>
      <c r="D254" s="1488" t="s">
        <v>1866</v>
      </c>
      <c r="E254" s="1495">
        <v>45174</v>
      </c>
      <c r="F254" s="559"/>
      <c r="G254" s="1495">
        <f t="shared" si="12"/>
        <v>45174</v>
      </c>
      <c r="H254" s="1634"/>
      <c r="I254" s="1495" t="s">
        <v>1873</v>
      </c>
      <c r="J254" s="1495" t="s">
        <v>1873</v>
      </c>
      <c r="K254" s="1634"/>
      <c r="L254" s="1495" t="s">
        <v>1873</v>
      </c>
      <c r="M254" s="560">
        <v>101.81018586775998</v>
      </c>
      <c r="N254" s="560">
        <v>40.1338133</v>
      </c>
      <c r="O254" s="559"/>
      <c r="P254" s="1382">
        <f>M254-N254</f>
        <v>61.676372567759984</v>
      </c>
      <c r="Q254" s="559"/>
      <c r="R254" s="559"/>
      <c r="S254" s="560">
        <f t="shared" si="13"/>
        <v>61.676372567759984</v>
      </c>
    </row>
    <row r="255" spans="1:19" ht="31" x14ac:dyDescent="0.3">
      <c r="A255" s="1484">
        <v>45.2</v>
      </c>
      <c r="B255" s="1485" t="s">
        <v>1868</v>
      </c>
      <c r="C255" s="1554" t="s">
        <v>936</v>
      </c>
      <c r="D255" s="1488" t="s">
        <v>1866</v>
      </c>
      <c r="E255" s="1495">
        <v>45174</v>
      </c>
      <c r="F255" s="559"/>
      <c r="G255" s="1495">
        <f t="shared" si="12"/>
        <v>45174</v>
      </c>
      <c r="H255" s="1634"/>
      <c r="I255" s="1495" t="s">
        <v>1873</v>
      </c>
      <c r="J255" s="1495" t="s">
        <v>1873</v>
      </c>
      <c r="K255" s="1634"/>
      <c r="L255" s="1495" t="s">
        <v>1873</v>
      </c>
      <c r="M255" s="560">
        <v>1.7079926814999997</v>
      </c>
      <c r="N255" s="560">
        <v>0</v>
      </c>
      <c r="O255" s="559"/>
      <c r="P255" s="1382">
        <f>M255-N255</f>
        <v>1.7079926814999997</v>
      </c>
      <c r="Q255" s="559"/>
      <c r="R255" s="559"/>
      <c r="S255" s="560">
        <f t="shared" si="13"/>
        <v>1.7079926814999997</v>
      </c>
    </row>
    <row r="256" spans="1:19" ht="31" x14ac:dyDescent="0.3">
      <c r="A256" s="1484">
        <v>45.3</v>
      </c>
      <c r="B256" s="1485" t="s">
        <v>1869</v>
      </c>
      <c r="C256" s="1554" t="s">
        <v>936</v>
      </c>
      <c r="D256" s="1488" t="s">
        <v>1866</v>
      </c>
      <c r="E256" s="1495">
        <v>45174</v>
      </c>
      <c r="F256" s="559"/>
      <c r="G256" s="1495">
        <f>E256</f>
        <v>45174</v>
      </c>
      <c r="H256" s="1634"/>
      <c r="I256" s="1495" t="s">
        <v>1873</v>
      </c>
      <c r="J256" s="1495" t="s">
        <v>1873</v>
      </c>
      <c r="K256" s="1634"/>
      <c r="L256" s="1495" t="s">
        <v>1873</v>
      </c>
      <c r="M256" s="560">
        <v>4.2692499462199995</v>
      </c>
      <c r="N256" s="560">
        <v>0</v>
      </c>
      <c r="O256" s="559"/>
      <c r="P256" s="1382">
        <f>M256-N256</f>
        <v>4.2692499462199995</v>
      </c>
      <c r="Q256" s="559"/>
      <c r="R256" s="559"/>
      <c r="S256" s="560">
        <f>IF(SUM(O256:R256)=0,M256-N256,SUM(O256:R256))</f>
        <v>4.2692499462199995</v>
      </c>
    </row>
    <row r="257" spans="1:19" ht="31" x14ac:dyDescent="0.3">
      <c r="A257" s="1484">
        <v>45.4</v>
      </c>
      <c r="B257" s="1485" t="s">
        <v>1870</v>
      </c>
      <c r="C257" s="1554" t="s">
        <v>936</v>
      </c>
      <c r="D257" s="1488" t="s">
        <v>1866</v>
      </c>
      <c r="E257" s="1495">
        <v>45174</v>
      </c>
      <c r="F257" s="559"/>
      <c r="G257" s="1495">
        <f>E257</f>
        <v>45174</v>
      </c>
      <c r="H257" s="1634"/>
      <c r="I257" s="1495" t="s">
        <v>1873</v>
      </c>
      <c r="J257" s="1495" t="s">
        <v>1873</v>
      </c>
      <c r="K257" s="1634"/>
      <c r="L257" s="1495" t="s">
        <v>1873</v>
      </c>
      <c r="M257" s="560">
        <v>25.657525868199997</v>
      </c>
      <c r="N257" s="560">
        <v>0</v>
      </c>
      <c r="O257" s="559"/>
      <c r="P257" s="1382">
        <f>M257-N257</f>
        <v>25.657525868199997</v>
      </c>
      <c r="Q257" s="559"/>
      <c r="R257" s="559"/>
      <c r="S257" s="560">
        <f>IF(SUM(O257:R257)=0,M257-N257,SUM(O257:R257))</f>
        <v>25.657525868199997</v>
      </c>
    </row>
    <row r="258" spans="1:19" ht="31" x14ac:dyDescent="0.3">
      <c r="A258" s="1484">
        <v>0</v>
      </c>
      <c r="B258" s="1485" t="s">
        <v>414</v>
      </c>
      <c r="C258" s="1554" t="s">
        <v>414</v>
      </c>
      <c r="D258" s="1488" t="s">
        <v>1866</v>
      </c>
      <c r="E258" s="1495">
        <v>45174</v>
      </c>
      <c r="F258" s="559"/>
      <c r="G258" s="1495">
        <f t="shared" si="12"/>
        <v>45174</v>
      </c>
      <c r="H258" s="1634"/>
      <c r="I258" s="1495" t="s">
        <v>1873</v>
      </c>
      <c r="J258" s="1495" t="s">
        <v>1873</v>
      </c>
      <c r="K258" s="1634"/>
      <c r="L258" s="1495" t="s">
        <v>1873</v>
      </c>
      <c r="M258" s="560">
        <v>11.61</v>
      </c>
      <c r="N258" s="560">
        <v>0</v>
      </c>
      <c r="O258" s="559"/>
      <c r="P258" s="1382">
        <f>M258-N258</f>
        <v>11.61</v>
      </c>
      <c r="Q258" s="559"/>
      <c r="R258" s="559"/>
      <c r="S258" s="560">
        <f t="shared" si="13"/>
        <v>11.61</v>
      </c>
    </row>
    <row r="259" spans="1:19" ht="46.5" x14ac:dyDescent="0.3">
      <c r="A259" s="1489">
        <v>46</v>
      </c>
      <c r="B259" s="1490" t="s">
        <v>1871</v>
      </c>
      <c r="C259" s="1486" t="s">
        <v>928</v>
      </c>
      <c r="D259" s="1486" t="s">
        <v>1872</v>
      </c>
      <c r="E259" s="1487">
        <v>45429</v>
      </c>
      <c r="F259" s="559"/>
      <c r="G259" s="1487">
        <f t="shared" si="12"/>
        <v>45429</v>
      </c>
      <c r="H259" s="1635"/>
      <c r="I259" s="1487" t="s">
        <v>1873</v>
      </c>
      <c r="J259" s="1487" t="s">
        <v>1873</v>
      </c>
      <c r="K259" s="1635"/>
      <c r="L259" s="1487" t="s">
        <v>1873</v>
      </c>
      <c r="M259" s="1383">
        <v>0</v>
      </c>
      <c r="N259" s="1383">
        <v>0</v>
      </c>
      <c r="O259" s="559"/>
      <c r="P259" s="1382">
        <f t="shared" ref="P259:P265" si="14">M259-N259</f>
        <v>0</v>
      </c>
      <c r="Q259" s="559"/>
      <c r="R259" s="559"/>
      <c r="S259" s="1383">
        <f t="shared" si="13"/>
        <v>0</v>
      </c>
    </row>
    <row r="260" spans="1:19" ht="46.5" x14ac:dyDescent="0.3">
      <c r="A260" s="1484">
        <v>46.1</v>
      </c>
      <c r="B260" s="1485" t="s">
        <v>1871</v>
      </c>
      <c r="C260" s="1554" t="s">
        <v>936</v>
      </c>
      <c r="D260" s="1488" t="s">
        <v>1872</v>
      </c>
      <c r="E260" s="1495">
        <v>45429</v>
      </c>
      <c r="F260" s="559"/>
      <c r="G260" s="1495">
        <f t="shared" si="12"/>
        <v>45429</v>
      </c>
      <c r="H260" s="1634"/>
      <c r="I260" s="1495" t="s">
        <v>1873</v>
      </c>
      <c r="J260" s="1495" t="s">
        <v>1873</v>
      </c>
      <c r="K260" s="1634"/>
      <c r="L260" s="1495" t="s">
        <v>1873</v>
      </c>
      <c r="M260" s="560">
        <v>0</v>
      </c>
      <c r="N260" s="560">
        <v>0</v>
      </c>
      <c r="O260" s="559"/>
      <c r="P260" s="1382">
        <f t="shared" si="14"/>
        <v>0</v>
      </c>
      <c r="Q260" s="559"/>
      <c r="R260" s="559"/>
      <c r="S260" s="560">
        <f t="shared" si="13"/>
        <v>0</v>
      </c>
    </row>
    <row r="261" spans="1:19" ht="31" x14ac:dyDescent="0.3">
      <c r="A261" s="1484">
        <v>0</v>
      </c>
      <c r="B261" s="1485" t="s">
        <v>414</v>
      </c>
      <c r="C261" s="1554" t="s">
        <v>414</v>
      </c>
      <c r="D261" s="1488" t="s">
        <v>1872</v>
      </c>
      <c r="E261" s="1495">
        <v>45429</v>
      </c>
      <c r="F261" s="559"/>
      <c r="G261" s="1495">
        <f t="shared" si="12"/>
        <v>45429</v>
      </c>
      <c r="H261" s="1634"/>
      <c r="I261" s="1495" t="s">
        <v>1873</v>
      </c>
      <c r="J261" s="1495" t="s">
        <v>1873</v>
      </c>
      <c r="K261" s="1634"/>
      <c r="L261" s="1495" t="s">
        <v>1873</v>
      </c>
      <c r="M261" s="560">
        <v>0</v>
      </c>
      <c r="N261" s="560">
        <v>0</v>
      </c>
      <c r="O261" s="559"/>
      <c r="P261" s="1382">
        <f t="shared" si="14"/>
        <v>0</v>
      </c>
      <c r="Q261" s="559"/>
      <c r="R261" s="559"/>
      <c r="S261" s="560">
        <f t="shared" si="13"/>
        <v>0</v>
      </c>
    </row>
    <row r="262" spans="1:19" ht="31" x14ac:dyDescent="0.3">
      <c r="A262" s="1489">
        <v>47</v>
      </c>
      <c r="B262" s="1490" t="s">
        <v>1874</v>
      </c>
      <c r="C262" s="1486" t="s">
        <v>928</v>
      </c>
      <c r="D262" s="1486" t="s">
        <v>1875</v>
      </c>
      <c r="E262" s="1487">
        <v>45230</v>
      </c>
      <c r="F262" s="559"/>
      <c r="G262" s="1487">
        <f t="shared" si="12"/>
        <v>45230</v>
      </c>
      <c r="H262" s="1635"/>
      <c r="I262" s="1487" t="s">
        <v>1873</v>
      </c>
      <c r="J262" s="1487" t="s">
        <v>1873</v>
      </c>
      <c r="K262" s="1635"/>
      <c r="L262" s="1487" t="s">
        <v>1873</v>
      </c>
      <c r="M262" s="1383">
        <v>0</v>
      </c>
      <c r="N262" s="1383">
        <v>0</v>
      </c>
      <c r="O262" s="559"/>
      <c r="P262" s="1382">
        <f t="shared" si="14"/>
        <v>0</v>
      </c>
      <c r="Q262" s="559"/>
      <c r="R262" s="559"/>
      <c r="S262" s="1383">
        <f t="shared" si="13"/>
        <v>0</v>
      </c>
    </row>
    <row r="263" spans="1:19" ht="31" x14ac:dyDescent="0.3">
      <c r="A263" s="1484">
        <v>47.1</v>
      </c>
      <c r="B263" s="1485" t="s">
        <v>1876</v>
      </c>
      <c r="C263" s="1554" t="s">
        <v>936</v>
      </c>
      <c r="D263" s="1488" t="s">
        <v>1875</v>
      </c>
      <c r="E263" s="1495">
        <v>45230</v>
      </c>
      <c r="F263" s="559"/>
      <c r="G263" s="1495">
        <f>E263</f>
        <v>45230</v>
      </c>
      <c r="H263" s="1634"/>
      <c r="I263" s="1495" t="s">
        <v>1873</v>
      </c>
      <c r="J263" s="1495" t="s">
        <v>1873</v>
      </c>
      <c r="K263" s="1634"/>
      <c r="L263" s="1495" t="s">
        <v>1873</v>
      </c>
      <c r="M263" s="560">
        <v>5.66</v>
      </c>
      <c r="N263" s="560">
        <v>0</v>
      </c>
      <c r="O263" s="559"/>
      <c r="P263" s="1382">
        <f>M263-N263</f>
        <v>5.66</v>
      </c>
      <c r="Q263" s="559"/>
      <c r="R263" s="559"/>
      <c r="S263" s="560">
        <f>IF(SUM(O263:R263)=0,M263-N263,SUM(O263:R263))</f>
        <v>5.66</v>
      </c>
    </row>
    <row r="264" spans="1:19" ht="31" x14ac:dyDescent="0.3">
      <c r="A264" s="1484">
        <v>47.2</v>
      </c>
      <c r="B264" s="1485" t="s">
        <v>1877</v>
      </c>
      <c r="C264" s="1554" t="s">
        <v>936</v>
      </c>
      <c r="D264" s="1488" t="s">
        <v>1875</v>
      </c>
      <c r="E264" s="1495">
        <v>45230</v>
      </c>
      <c r="F264" s="559"/>
      <c r="G264" s="1495">
        <f>E264</f>
        <v>45230</v>
      </c>
      <c r="H264" s="1634"/>
      <c r="I264" s="1495" t="s">
        <v>1873</v>
      </c>
      <c r="J264" s="1495" t="s">
        <v>1873</v>
      </c>
      <c r="K264" s="1634"/>
      <c r="L264" s="1495" t="s">
        <v>1873</v>
      </c>
      <c r="M264" s="560">
        <v>8.17</v>
      </c>
      <c r="N264" s="560">
        <v>0</v>
      </c>
      <c r="O264" s="559"/>
      <c r="P264" s="1382">
        <f>M264-N264</f>
        <v>8.17</v>
      </c>
      <c r="Q264" s="559"/>
      <c r="R264" s="559"/>
      <c r="S264" s="560">
        <f>IF(SUM(O264:R264)=0,M264-N264,SUM(O264:R264))</f>
        <v>8.17</v>
      </c>
    </row>
    <row r="265" spans="1:19" ht="31" x14ac:dyDescent="0.3">
      <c r="A265" s="1484">
        <v>47.3</v>
      </c>
      <c r="B265" s="1485" t="s">
        <v>1878</v>
      </c>
      <c r="C265" s="1554" t="s">
        <v>936</v>
      </c>
      <c r="D265" s="1488" t="s">
        <v>1875</v>
      </c>
      <c r="E265" s="1495">
        <v>45230</v>
      </c>
      <c r="F265" s="559"/>
      <c r="G265" s="1495">
        <f t="shared" si="12"/>
        <v>45230</v>
      </c>
      <c r="H265" s="1634"/>
      <c r="I265" s="1495" t="s">
        <v>1873</v>
      </c>
      <c r="J265" s="1495" t="s">
        <v>1873</v>
      </c>
      <c r="K265" s="1634"/>
      <c r="L265" s="1495" t="s">
        <v>1873</v>
      </c>
      <c r="M265" s="560">
        <v>4.12</v>
      </c>
      <c r="N265" s="560">
        <v>0</v>
      </c>
      <c r="O265" s="559"/>
      <c r="P265" s="1382">
        <f t="shared" si="14"/>
        <v>4.12</v>
      </c>
      <c r="Q265" s="559"/>
      <c r="R265" s="559"/>
      <c r="S265" s="560">
        <f t="shared" si="13"/>
        <v>4.12</v>
      </c>
    </row>
    <row r="266" spans="1:19" ht="46.5" x14ac:dyDescent="0.3">
      <c r="A266" s="1484">
        <v>47.4</v>
      </c>
      <c r="B266" s="1485" t="s">
        <v>1879</v>
      </c>
      <c r="C266" s="1554" t="s">
        <v>936</v>
      </c>
      <c r="D266" s="1488" t="s">
        <v>1875</v>
      </c>
      <c r="E266" s="1495">
        <v>45230</v>
      </c>
      <c r="F266" s="559"/>
      <c r="G266" s="1495">
        <f>E266</f>
        <v>45230</v>
      </c>
      <c r="H266" s="1634"/>
      <c r="I266" s="1495" t="s">
        <v>1873</v>
      </c>
      <c r="J266" s="1495" t="s">
        <v>1873</v>
      </c>
      <c r="K266" s="1634"/>
      <c r="L266" s="1495" t="s">
        <v>1873</v>
      </c>
      <c r="M266" s="560">
        <v>3.72</v>
      </c>
      <c r="N266" s="560">
        <v>0</v>
      </c>
      <c r="O266" s="559"/>
      <c r="P266" s="1382">
        <f>M266-N266</f>
        <v>3.72</v>
      </c>
      <c r="Q266" s="559"/>
      <c r="R266" s="559"/>
      <c r="S266" s="560">
        <f>IF(SUM(O266:R266)=0,M266-N266,SUM(O266:R266))</f>
        <v>3.72</v>
      </c>
    </row>
    <row r="267" spans="1:19" ht="46.5" x14ac:dyDescent="0.3">
      <c r="A267" s="1484">
        <v>47.5</v>
      </c>
      <c r="B267" s="1485" t="s">
        <v>1880</v>
      </c>
      <c r="C267" s="1554" t="s">
        <v>936</v>
      </c>
      <c r="D267" s="1488" t="s">
        <v>1875</v>
      </c>
      <c r="E267" s="1495">
        <v>45230</v>
      </c>
      <c r="F267" s="559"/>
      <c r="G267" s="1495">
        <f>E267</f>
        <v>45230</v>
      </c>
      <c r="H267" s="1634"/>
      <c r="I267" s="1495" t="s">
        <v>1873</v>
      </c>
      <c r="J267" s="1495" t="s">
        <v>1873</v>
      </c>
      <c r="K267" s="1634"/>
      <c r="L267" s="1495" t="s">
        <v>1873</v>
      </c>
      <c r="M267" s="560">
        <v>3.45</v>
      </c>
      <c r="N267" s="560">
        <v>0</v>
      </c>
      <c r="O267" s="559"/>
      <c r="P267" s="1382">
        <f>M267-N267</f>
        <v>3.45</v>
      </c>
      <c r="Q267" s="559"/>
      <c r="R267" s="559"/>
      <c r="S267" s="560">
        <f>IF(SUM(O267:R267)=0,M267-N267,SUM(O267:R267))</f>
        <v>3.45</v>
      </c>
    </row>
    <row r="268" spans="1:19" ht="31" x14ac:dyDescent="0.3">
      <c r="A268" s="1484">
        <v>47.6</v>
      </c>
      <c r="B268" s="1485" t="s">
        <v>1881</v>
      </c>
      <c r="C268" s="1554" t="s">
        <v>936</v>
      </c>
      <c r="D268" s="1488" t="s">
        <v>1875</v>
      </c>
      <c r="E268" s="1495">
        <v>45230</v>
      </c>
      <c r="F268" s="559"/>
      <c r="G268" s="1495">
        <f>E268</f>
        <v>45230</v>
      </c>
      <c r="H268" s="1634"/>
      <c r="I268" s="1495" t="s">
        <v>1873</v>
      </c>
      <c r="J268" s="1495" t="s">
        <v>1873</v>
      </c>
      <c r="K268" s="1634"/>
      <c r="L268" s="1495" t="s">
        <v>1873</v>
      </c>
      <c r="M268" s="560">
        <v>4.5999999999999996</v>
      </c>
      <c r="N268" s="560">
        <v>0</v>
      </c>
      <c r="O268" s="559"/>
      <c r="P268" s="1382">
        <f>M268-N268</f>
        <v>4.5999999999999996</v>
      </c>
      <c r="Q268" s="559"/>
      <c r="R268" s="559"/>
      <c r="S268" s="560">
        <f>IF(SUM(O268:R268)=0,M268-N268,SUM(O268:R268))</f>
        <v>4.5999999999999996</v>
      </c>
    </row>
    <row r="269" spans="1:19" ht="31" x14ac:dyDescent="0.3">
      <c r="A269" s="1484">
        <v>47.7</v>
      </c>
      <c r="B269" s="1485" t="s">
        <v>1882</v>
      </c>
      <c r="C269" s="1554" t="s">
        <v>936</v>
      </c>
      <c r="D269" s="1488" t="s">
        <v>1875</v>
      </c>
      <c r="E269" s="1495">
        <v>45230</v>
      </c>
      <c r="F269" s="559"/>
      <c r="G269" s="1495">
        <f>E269</f>
        <v>45230</v>
      </c>
      <c r="H269" s="1634"/>
      <c r="I269" s="1495" t="s">
        <v>1873</v>
      </c>
      <c r="J269" s="1495" t="s">
        <v>1873</v>
      </c>
      <c r="K269" s="1634"/>
      <c r="L269" s="1495" t="s">
        <v>1873</v>
      </c>
      <c r="M269" s="560">
        <v>8.14</v>
      </c>
      <c r="N269" s="560">
        <v>0</v>
      </c>
      <c r="O269" s="559"/>
      <c r="P269" s="1382">
        <f>M269-N269</f>
        <v>8.14</v>
      </c>
      <c r="Q269" s="559"/>
      <c r="R269" s="559"/>
      <c r="S269" s="560">
        <f>IF(SUM(O269:R269)=0,M269-N269,SUM(O269:R269))</f>
        <v>8.14</v>
      </c>
    </row>
    <row r="270" spans="1:19" ht="46.5" x14ac:dyDescent="0.3">
      <c r="A270" s="1484">
        <v>47.8</v>
      </c>
      <c r="B270" s="1485" t="s">
        <v>1883</v>
      </c>
      <c r="C270" s="1554" t="s">
        <v>936</v>
      </c>
      <c r="D270" s="1488" t="s">
        <v>1875</v>
      </c>
      <c r="E270" s="1495">
        <v>45230</v>
      </c>
      <c r="F270" s="559"/>
      <c r="G270" s="1495">
        <f>E270</f>
        <v>45230</v>
      </c>
      <c r="H270" s="1634"/>
      <c r="I270" s="1495" t="s">
        <v>1873</v>
      </c>
      <c r="J270" s="1495" t="s">
        <v>1873</v>
      </c>
      <c r="K270" s="1634"/>
      <c r="L270" s="1495" t="s">
        <v>1873</v>
      </c>
      <c r="M270" s="560">
        <v>4.18</v>
      </c>
      <c r="N270" s="560">
        <v>0</v>
      </c>
      <c r="O270" s="559"/>
      <c r="P270" s="1382">
        <f>M270-N270</f>
        <v>4.18</v>
      </c>
      <c r="Q270" s="559"/>
      <c r="R270" s="559"/>
      <c r="S270" s="560">
        <f>IF(SUM(O270:R270)=0,M270-N270,SUM(O270:R270))</f>
        <v>4.18</v>
      </c>
    </row>
    <row r="271" spans="1:19" ht="31" x14ac:dyDescent="0.3">
      <c r="A271" s="1484">
        <v>0</v>
      </c>
      <c r="B271" s="1485" t="s">
        <v>414</v>
      </c>
      <c r="C271" s="1554" t="s">
        <v>414</v>
      </c>
      <c r="D271" s="1488" t="s">
        <v>1875</v>
      </c>
      <c r="E271" s="1495">
        <v>45230</v>
      </c>
      <c r="F271" s="559"/>
      <c r="G271" s="1495">
        <f t="shared" ref="G271:G309" si="15">E271</f>
        <v>45230</v>
      </c>
      <c r="H271" s="1634"/>
      <c r="I271" s="1495" t="s">
        <v>1873</v>
      </c>
      <c r="J271" s="1495" t="s">
        <v>1873</v>
      </c>
      <c r="K271" s="1634"/>
      <c r="L271" s="1495" t="s">
        <v>1873</v>
      </c>
      <c r="M271" s="560">
        <v>0.97</v>
      </c>
      <c r="N271" s="560">
        <v>0</v>
      </c>
      <c r="O271" s="559"/>
      <c r="P271" s="1382">
        <f t="shared" ref="P271:P309" si="16">M271-N271</f>
        <v>0.97</v>
      </c>
      <c r="Q271" s="559"/>
      <c r="R271" s="559"/>
      <c r="S271" s="560">
        <f t="shared" ref="S271:S309" si="17">IF(SUM(O271:R271)=0,M271-N271,SUM(O271:R271))</f>
        <v>0.97</v>
      </c>
    </row>
    <row r="272" spans="1:19" ht="31" x14ac:dyDescent="0.3">
      <c r="A272" s="1489" t="s">
        <v>1884</v>
      </c>
      <c r="B272" s="1490" t="s">
        <v>1885</v>
      </c>
      <c r="C272" s="1486" t="s">
        <v>928</v>
      </c>
      <c r="D272" s="1486" t="s">
        <v>1886</v>
      </c>
      <c r="E272" s="1487">
        <v>44604</v>
      </c>
      <c r="F272" s="559"/>
      <c r="G272" s="1487">
        <f t="shared" si="15"/>
        <v>44604</v>
      </c>
      <c r="H272" s="1635"/>
      <c r="I272" s="1487" t="s">
        <v>1873</v>
      </c>
      <c r="J272" s="1487" t="s">
        <v>1873</v>
      </c>
      <c r="K272" s="1635"/>
      <c r="L272" s="1487" t="s">
        <v>1873</v>
      </c>
      <c r="M272" s="1383">
        <v>0</v>
      </c>
      <c r="N272" s="1383">
        <v>0</v>
      </c>
      <c r="O272" s="559"/>
      <c r="P272" s="1382">
        <f t="shared" si="16"/>
        <v>0</v>
      </c>
      <c r="Q272" s="559"/>
      <c r="R272" s="559"/>
      <c r="S272" s="1383">
        <f t="shared" si="17"/>
        <v>0</v>
      </c>
    </row>
    <row r="273" spans="1:19" ht="46.5" x14ac:dyDescent="0.3">
      <c r="A273" s="1484" t="s">
        <v>1887</v>
      </c>
      <c r="B273" s="1485" t="s">
        <v>1885</v>
      </c>
      <c r="C273" s="1554" t="s">
        <v>936</v>
      </c>
      <c r="D273" s="1488" t="s">
        <v>1886</v>
      </c>
      <c r="E273" s="1495">
        <v>44604</v>
      </c>
      <c r="F273" s="559"/>
      <c r="G273" s="1495">
        <f t="shared" si="15"/>
        <v>44604</v>
      </c>
      <c r="H273" s="1634"/>
      <c r="I273" s="1495" t="s">
        <v>1873</v>
      </c>
      <c r="J273" s="1495" t="s">
        <v>1873</v>
      </c>
      <c r="K273" s="1634"/>
      <c r="L273" s="1495" t="s">
        <v>1873</v>
      </c>
      <c r="M273" s="560">
        <v>54.24</v>
      </c>
      <c r="N273" s="560">
        <v>0</v>
      </c>
      <c r="O273" s="559"/>
      <c r="P273" s="1382">
        <f t="shared" si="16"/>
        <v>54.24</v>
      </c>
      <c r="Q273" s="559"/>
      <c r="R273" s="559"/>
      <c r="S273" s="560">
        <f t="shared" si="17"/>
        <v>54.24</v>
      </c>
    </row>
    <row r="274" spans="1:19" ht="31" x14ac:dyDescent="0.3">
      <c r="A274" s="1496">
        <v>0</v>
      </c>
      <c r="B274" s="1485" t="s">
        <v>414</v>
      </c>
      <c r="C274" s="1554" t="s">
        <v>414</v>
      </c>
      <c r="D274" s="1488" t="s">
        <v>1886</v>
      </c>
      <c r="E274" s="1495">
        <v>44604</v>
      </c>
      <c r="F274" s="559"/>
      <c r="G274" s="1495">
        <f t="shared" si="15"/>
        <v>44604</v>
      </c>
      <c r="H274" s="1634"/>
      <c r="I274" s="1495" t="s">
        <v>1873</v>
      </c>
      <c r="J274" s="1495" t="s">
        <v>1873</v>
      </c>
      <c r="K274" s="1634"/>
      <c r="L274" s="1495" t="s">
        <v>1873</v>
      </c>
      <c r="M274" s="560">
        <v>2.76</v>
      </c>
      <c r="N274" s="560">
        <v>0</v>
      </c>
      <c r="O274" s="559"/>
      <c r="P274" s="1382">
        <f t="shared" si="16"/>
        <v>2.76</v>
      </c>
      <c r="Q274" s="559"/>
      <c r="R274" s="559"/>
      <c r="S274" s="560">
        <f t="shared" si="17"/>
        <v>2.76</v>
      </c>
    </row>
    <row r="275" spans="1:19" ht="31" x14ac:dyDescent="0.3">
      <c r="A275" s="1489" t="s">
        <v>1888</v>
      </c>
      <c r="B275" s="1490" t="s">
        <v>1889</v>
      </c>
      <c r="C275" s="1486" t="s">
        <v>928</v>
      </c>
      <c r="D275" s="1486" t="s">
        <v>1890</v>
      </c>
      <c r="E275" s="1487">
        <v>45232</v>
      </c>
      <c r="F275" s="559"/>
      <c r="G275" s="1487">
        <f t="shared" si="15"/>
        <v>45232</v>
      </c>
      <c r="H275" s="1635"/>
      <c r="I275" s="1487" t="s">
        <v>1873</v>
      </c>
      <c r="J275" s="1487" t="s">
        <v>1873</v>
      </c>
      <c r="K275" s="1635"/>
      <c r="L275" s="1487" t="s">
        <v>1873</v>
      </c>
      <c r="M275" s="1383">
        <v>0</v>
      </c>
      <c r="N275" s="1383">
        <v>0</v>
      </c>
      <c r="O275" s="559"/>
      <c r="P275" s="1382">
        <f t="shared" si="16"/>
        <v>0</v>
      </c>
      <c r="Q275" s="559"/>
      <c r="R275" s="559"/>
      <c r="S275" s="1383">
        <f t="shared" si="17"/>
        <v>0</v>
      </c>
    </row>
    <row r="276" spans="1:19" ht="46.5" x14ac:dyDescent="0.3">
      <c r="A276" s="1484" t="s">
        <v>1891</v>
      </c>
      <c r="B276" s="1485" t="s">
        <v>1889</v>
      </c>
      <c r="C276" s="1554" t="s">
        <v>936</v>
      </c>
      <c r="D276" s="1488" t="s">
        <v>1890</v>
      </c>
      <c r="E276" s="1495">
        <v>45232</v>
      </c>
      <c r="F276" s="559"/>
      <c r="G276" s="1495">
        <f t="shared" si="15"/>
        <v>45232</v>
      </c>
      <c r="H276" s="1634"/>
      <c r="I276" s="1495" t="s">
        <v>1873</v>
      </c>
      <c r="J276" s="1495" t="s">
        <v>1873</v>
      </c>
      <c r="K276" s="1634"/>
      <c r="L276" s="1495" t="s">
        <v>1873</v>
      </c>
      <c r="M276" s="560">
        <v>66.009</v>
      </c>
      <c r="N276" s="560">
        <v>0</v>
      </c>
      <c r="O276" s="559"/>
      <c r="P276" s="1382">
        <f t="shared" si="16"/>
        <v>66.009</v>
      </c>
      <c r="Q276" s="559"/>
      <c r="R276" s="559"/>
      <c r="S276" s="560">
        <f t="shared" si="17"/>
        <v>66.009</v>
      </c>
    </row>
    <row r="277" spans="1:19" ht="31" x14ac:dyDescent="0.3">
      <c r="A277" s="1496">
        <v>0</v>
      </c>
      <c r="B277" s="1485" t="s">
        <v>414</v>
      </c>
      <c r="C277" s="1554" t="s">
        <v>414</v>
      </c>
      <c r="D277" s="1488" t="s">
        <v>1890</v>
      </c>
      <c r="E277" s="1495">
        <v>45232</v>
      </c>
      <c r="F277" s="559"/>
      <c r="G277" s="1495">
        <f t="shared" si="15"/>
        <v>45232</v>
      </c>
      <c r="H277" s="1634"/>
      <c r="I277" s="1495" t="s">
        <v>1873</v>
      </c>
      <c r="J277" s="1495" t="s">
        <v>1873</v>
      </c>
      <c r="K277" s="1634"/>
      <c r="L277" s="1495" t="s">
        <v>1873</v>
      </c>
      <c r="M277" s="560">
        <v>3.3</v>
      </c>
      <c r="N277" s="560">
        <v>0</v>
      </c>
      <c r="O277" s="559"/>
      <c r="P277" s="1382">
        <f t="shared" si="16"/>
        <v>3.3</v>
      </c>
      <c r="Q277" s="559"/>
      <c r="R277" s="559"/>
      <c r="S277" s="560">
        <f t="shared" si="17"/>
        <v>3.3</v>
      </c>
    </row>
    <row r="278" spans="1:19" ht="46.5" x14ac:dyDescent="0.3">
      <c r="A278" s="1486" t="s">
        <v>1892</v>
      </c>
      <c r="B278" s="1491" t="s">
        <v>1893</v>
      </c>
      <c r="C278" s="1554" t="s">
        <v>928</v>
      </c>
      <c r="D278" s="1488" t="s">
        <v>1894</v>
      </c>
      <c r="E278" s="1495">
        <v>45510</v>
      </c>
      <c r="F278" s="559"/>
      <c r="G278" s="1495">
        <f t="shared" si="15"/>
        <v>45510</v>
      </c>
      <c r="H278" s="1634"/>
      <c r="I278" s="1495" t="s">
        <v>1873</v>
      </c>
      <c r="J278" s="1495" t="s">
        <v>1873</v>
      </c>
      <c r="K278" s="1634"/>
      <c r="L278" s="1495" t="s">
        <v>1873</v>
      </c>
      <c r="M278" s="560">
        <v>0</v>
      </c>
      <c r="N278" s="560">
        <v>0</v>
      </c>
      <c r="O278" s="559"/>
      <c r="P278" s="1382">
        <f t="shared" si="16"/>
        <v>0</v>
      </c>
      <c r="Q278" s="559"/>
      <c r="R278" s="559"/>
      <c r="S278" s="560">
        <f t="shared" si="17"/>
        <v>0</v>
      </c>
    </row>
    <row r="279" spans="1:19" ht="46.5" x14ac:dyDescent="0.3">
      <c r="A279" s="1488">
        <v>2.1</v>
      </c>
      <c r="B279" s="1492" t="s">
        <v>1893</v>
      </c>
      <c r="C279" s="1554" t="s">
        <v>936</v>
      </c>
      <c r="D279" s="1488" t="s">
        <v>1894</v>
      </c>
      <c r="E279" s="1495">
        <v>45510</v>
      </c>
      <c r="F279" s="559"/>
      <c r="G279" s="1495">
        <f t="shared" si="15"/>
        <v>45510</v>
      </c>
      <c r="H279" s="1634"/>
      <c r="I279" s="1495" t="s">
        <v>1873</v>
      </c>
      <c r="J279" s="1495" t="s">
        <v>1873</v>
      </c>
      <c r="K279" s="1634"/>
      <c r="L279" s="1495" t="s">
        <v>1873</v>
      </c>
      <c r="M279" s="560">
        <v>80.150000000000006</v>
      </c>
      <c r="N279" s="560">
        <v>0</v>
      </c>
      <c r="O279" s="559"/>
      <c r="P279" s="1382">
        <f t="shared" si="16"/>
        <v>80.150000000000006</v>
      </c>
      <c r="Q279" s="559"/>
      <c r="R279" s="559"/>
      <c r="S279" s="560">
        <f t="shared" si="17"/>
        <v>80.150000000000006</v>
      </c>
    </row>
    <row r="280" spans="1:19" ht="46.5" x14ac:dyDescent="0.3">
      <c r="A280" s="1488">
        <v>0</v>
      </c>
      <c r="B280" s="1492" t="s">
        <v>414</v>
      </c>
      <c r="C280" s="1554" t="s">
        <v>414</v>
      </c>
      <c r="D280" s="1488" t="s">
        <v>1894</v>
      </c>
      <c r="E280" s="1495">
        <v>45510</v>
      </c>
      <c r="F280" s="559"/>
      <c r="G280" s="1495">
        <f t="shared" si="15"/>
        <v>45510</v>
      </c>
      <c r="H280" s="1634"/>
      <c r="I280" s="1495" t="s">
        <v>1873</v>
      </c>
      <c r="J280" s="1495" t="s">
        <v>1873</v>
      </c>
      <c r="K280" s="1634"/>
      <c r="L280" s="1495" t="s">
        <v>1873</v>
      </c>
      <c r="M280" s="560">
        <v>1.2</v>
      </c>
      <c r="N280" s="560">
        <v>0</v>
      </c>
      <c r="O280" s="559"/>
      <c r="P280" s="1382">
        <f t="shared" si="16"/>
        <v>1.2</v>
      </c>
      <c r="Q280" s="559"/>
      <c r="R280" s="559"/>
      <c r="S280" s="560">
        <f t="shared" si="17"/>
        <v>1.2</v>
      </c>
    </row>
    <row r="281" spans="1:19" ht="62" x14ac:dyDescent="0.3">
      <c r="A281" s="1486" t="s">
        <v>1895</v>
      </c>
      <c r="B281" s="1491" t="s">
        <v>1896</v>
      </c>
      <c r="C281" s="1554" t="s">
        <v>928</v>
      </c>
      <c r="D281" s="1488" t="s">
        <v>1897</v>
      </c>
      <c r="E281" s="1495">
        <v>45510</v>
      </c>
      <c r="F281" s="559"/>
      <c r="G281" s="1495">
        <f t="shared" si="15"/>
        <v>45510</v>
      </c>
      <c r="H281" s="1634"/>
      <c r="I281" s="1495" t="s">
        <v>1873</v>
      </c>
      <c r="J281" s="1495" t="s">
        <v>1873</v>
      </c>
      <c r="K281" s="1634"/>
      <c r="L281" s="1495" t="s">
        <v>1873</v>
      </c>
      <c r="M281" s="560">
        <v>0</v>
      </c>
      <c r="N281" s="560">
        <v>0</v>
      </c>
      <c r="O281" s="559"/>
      <c r="P281" s="1382">
        <f t="shared" si="16"/>
        <v>0</v>
      </c>
      <c r="Q281" s="559"/>
      <c r="R281" s="559"/>
      <c r="S281" s="560">
        <f t="shared" si="17"/>
        <v>0</v>
      </c>
    </row>
    <row r="282" spans="1:19" ht="31" x14ac:dyDescent="0.3">
      <c r="A282" s="1488">
        <v>3.1</v>
      </c>
      <c r="B282" s="1497" t="s">
        <v>2433</v>
      </c>
      <c r="C282" s="1554" t="s">
        <v>936</v>
      </c>
      <c r="D282" s="1488" t="s">
        <v>1897</v>
      </c>
      <c r="E282" s="1495">
        <v>45510</v>
      </c>
      <c r="F282" s="559"/>
      <c r="G282" s="1495">
        <f t="shared" si="15"/>
        <v>45510</v>
      </c>
      <c r="H282" s="1634"/>
      <c r="I282" s="1495" t="s">
        <v>1873</v>
      </c>
      <c r="J282" s="1495" t="s">
        <v>1873</v>
      </c>
      <c r="K282" s="1634"/>
      <c r="L282" s="1495" t="s">
        <v>1873</v>
      </c>
      <c r="M282" s="560">
        <v>7.19</v>
      </c>
      <c r="N282" s="560">
        <v>0</v>
      </c>
      <c r="O282" s="559"/>
      <c r="P282" s="1382">
        <f t="shared" si="16"/>
        <v>7.19</v>
      </c>
      <c r="Q282" s="559"/>
      <c r="R282" s="559"/>
      <c r="S282" s="560">
        <f t="shared" si="17"/>
        <v>7.19</v>
      </c>
    </row>
    <row r="283" spans="1:19" ht="31" x14ac:dyDescent="0.3">
      <c r="A283" s="1488">
        <v>3.1</v>
      </c>
      <c r="B283" s="1497" t="s">
        <v>2434</v>
      </c>
      <c r="C283" s="1554" t="s">
        <v>936</v>
      </c>
      <c r="D283" s="1488" t="s">
        <v>1897</v>
      </c>
      <c r="E283" s="1495">
        <v>45510</v>
      </c>
      <c r="F283" s="559"/>
      <c r="G283" s="1495">
        <f t="shared" si="15"/>
        <v>45510</v>
      </c>
      <c r="H283" s="1634"/>
      <c r="I283" s="1495" t="s">
        <v>1873</v>
      </c>
      <c r="J283" s="1495" t="s">
        <v>1873</v>
      </c>
      <c r="K283" s="1634"/>
      <c r="L283" s="1495" t="s">
        <v>1873</v>
      </c>
      <c r="M283" s="560">
        <v>0.8</v>
      </c>
      <c r="N283" s="560">
        <v>0</v>
      </c>
      <c r="O283" s="559"/>
      <c r="P283" s="1382">
        <f t="shared" si="16"/>
        <v>0.8</v>
      </c>
      <c r="Q283" s="559"/>
      <c r="R283" s="559"/>
      <c r="S283" s="560">
        <f t="shared" si="17"/>
        <v>0.8</v>
      </c>
    </row>
    <row r="284" spans="1:19" ht="31" x14ac:dyDescent="0.3">
      <c r="A284" s="1488">
        <v>3.1</v>
      </c>
      <c r="B284" s="1497" t="s">
        <v>2435</v>
      </c>
      <c r="C284" s="1554" t="s">
        <v>936</v>
      </c>
      <c r="D284" s="1488" t="s">
        <v>1897</v>
      </c>
      <c r="E284" s="1495">
        <v>45510</v>
      </c>
      <c r="F284" s="559"/>
      <c r="G284" s="1495">
        <f t="shared" si="15"/>
        <v>45510</v>
      </c>
      <c r="H284" s="1634"/>
      <c r="I284" s="1495" t="s">
        <v>1873</v>
      </c>
      <c r="J284" s="1495" t="s">
        <v>1873</v>
      </c>
      <c r="K284" s="1634"/>
      <c r="L284" s="1495" t="s">
        <v>1873</v>
      </c>
      <c r="M284" s="560">
        <v>2.97</v>
      </c>
      <c r="N284" s="560">
        <v>2.9193972000000001</v>
      </c>
      <c r="O284" s="559"/>
      <c r="P284" s="1382">
        <f t="shared" si="16"/>
        <v>5.0602800000000059E-2</v>
      </c>
      <c r="Q284" s="559"/>
      <c r="R284" s="559"/>
      <c r="S284" s="560">
        <f t="shared" si="17"/>
        <v>5.0602800000000059E-2</v>
      </c>
    </row>
    <row r="285" spans="1:19" ht="77.5" x14ac:dyDescent="0.3">
      <c r="A285" s="1488">
        <v>3.1</v>
      </c>
      <c r="B285" s="1497" t="s">
        <v>1901</v>
      </c>
      <c r="C285" s="1554" t="s">
        <v>936</v>
      </c>
      <c r="D285" s="1488" t="s">
        <v>1897</v>
      </c>
      <c r="E285" s="1495">
        <v>45510</v>
      </c>
      <c r="F285" s="559"/>
      <c r="G285" s="1495">
        <f t="shared" si="15"/>
        <v>45510</v>
      </c>
      <c r="H285" s="1634"/>
      <c r="I285" s="1495" t="s">
        <v>1873</v>
      </c>
      <c r="J285" s="1495" t="s">
        <v>1873</v>
      </c>
      <c r="K285" s="1634"/>
      <c r="L285" s="1495" t="s">
        <v>1873</v>
      </c>
      <c r="M285" s="560">
        <v>10.48</v>
      </c>
      <c r="N285" s="560">
        <v>0</v>
      </c>
      <c r="O285" s="559"/>
      <c r="P285" s="1382">
        <f t="shared" si="16"/>
        <v>10.48</v>
      </c>
      <c r="Q285" s="559"/>
      <c r="R285" s="559"/>
      <c r="S285" s="560">
        <f t="shared" si="17"/>
        <v>10.48</v>
      </c>
    </row>
    <row r="286" spans="1:19" ht="46.5" x14ac:dyDescent="0.3">
      <c r="A286" s="1488">
        <v>3.1</v>
      </c>
      <c r="B286" s="1497" t="s">
        <v>1902</v>
      </c>
      <c r="C286" s="1554" t="s">
        <v>936</v>
      </c>
      <c r="D286" s="1488" t="s">
        <v>1897</v>
      </c>
      <c r="E286" s="1495">
        <v>45510</v>
      </c>
      <c r="F286" s="559"/>
      <c r="G286" s="1495">
        <f t="shared" si="15"/>
        <v>45510</v>
      </c>
      <c r="H286" s="1634"/>
      <c r="I286" s="1495" t="s">
        <v>1873</v>
      </c>
      <c r="J286" s="1495" t="s">
        <v>1873</v>
      </c>
      <c r="K286" s="1634"/>
      <c r="L286" s="1495" t="s">
        <v>1873</v>
      </c>
      <c r="M286" s="560">
        <v>3.66</v>
      </c>
      <c r="N286" s="560">
        <v>0</v>
      </c>
      <c r="O286" s="559"/>
      <c r="P286" s="1382">
        <f t="shared" si="16"/>
        <v>3.66</v>
      </c>
      <c r="Q286" s="559"/>
      <c r="R286" s="559"/>
      <c r="S286" s="560">
        <f t="shared" si="17"/>
        <v>3.66</v>
      </c>
    </row>
    <row r="287" spans="1:19" ht="31" x14ac:dyDescent="0.3">
      <c r="A287" s="1488">
        <v>0</v>
      </c>
      <c r="B287" s="1497" t="s">
        <v>414</v>
      </c>
      <c r="C287" s="1554" t="s">
        <v>414</v>
      </c>
      <c r="D287" s="1488" t="s">
        <v>1897</v>
      </c>
      <c r="E287" s="1495">
        <v>45510</v>
      </c>
      <c r="F287" s="559"/>
      <c r="G287" s="1495">
        <f t="shared" si="15"/>
        <v>45510</v>
      </c>
      <c r="H287" s="1634"/>
      <c r="I287" s="1495" t="s">
        <v>1873</v>
      </c>
      <c r="J287" s="1495" t="s">
        <v>1873</v>
      </c>
      <c r="K287" s="1634"/>
      <c r="L287" s="1495" t="s">
        <v>1873</v>
      </c>
      <c r="M287" s="560">
        <v>0.68</v>
      </c>
      <c r="N287" s="560">
        <v>0</v>
      </c>
      <c r="O287" s="559"/>
      <c r="P287" s="1382">
        <f t="shared" si="16"/>
        <v>0.68</v>
      </c>
      <c r="Q287" s="559"/>
      <c r="R287" s="559"/>
      <c r="S287" s="560">
        <f t="shared" si="17"/>
        <v>0.68</v>
      </c>
    </row>
    <row r="288" spans="1:19" ht="46.5" x14ac:dyDescent="0.3">
      <c r="A288" s="1486" t="s">
        <v>1903</v>
      </c>
      <c r="B288" s="1491" t="s">
        <v>1904</v>
      </c>
      <c r="C288" s="1554" t="s">
        <v>928</v>
      </c>
      <c r="D288" s="1488" t="s">
        <v>1905</v>
      </c>
      <c r="E288" s="1495">
        <v>45510</v>
      </c>
      <c r="F288" s="559"/>
      <c r="G288" s="1495">
        <f t="shared" si="15"/>
        <v>45510</v>
      </c>
      <c r="H288" s="1634"/>
      <c r="I288" s="1495" t="s">
        <v>1873</v>
      </c>
      <c r="J288" s="1495" t="s">
        <v>1873</v>
      </c>
      <c r="K288" s="1634"/>
      <c r="L288" s="1495" t="s">
        <v>1873</v>
      </c>
      <c r="M288" s="560">
        <v>0</v>
      </c>
      <c r="N288" s="560">
        <v>0</v>
      </c>
      <c r="O288" s="559"/>
      <c r="P288" s="1382">
        <f t="shared" si="16"/>
        <v>0</v>
      </c>
      <c r="Q288" s="559"/>
      <c r="R288" s="559"/>
      <c r="S288" s="560">
        <f t="shared" si="17"/>
        <v>0</v>
      </c>
    </row>
    <row r="289" spans="1:19" ht="46.5" x14ac:dyDescent="0.3">
      <c r="A289" s="1488">
        <v>4.0999999999999996</v>
      </c>
      <c r="B289" s="1492" t="s">
        <v>1904</v>
      </c>
      <c r="C289" s="1554" t="s">
        <v>936</v>
      </c>
      <c r="D289" s="1488" t="s">
        <v>1905</v>
      </c>
      <c r="E289" s="1495">
        <v>45510</v>
      </c>
      <c r="F289" s="559"/>
      <c r="G289" s="1495">
        <f t="shared" si="15"/>
        <v>45510</v>
      </c>
      <c r="H289" s="1634"/>
      <c r="I289" s="1495" t="s">
        <v>1873</v>
      </c>
      <c r="J289" s="1495" t="s">
        <v>1873</v>
      </c>
      <c r="K289" s="1634"/>
      <c r="L289" s="1495" t="s">
        <v>1873</v>
      </c>
      <c r="M289" s="560">
        <v>0</v>
      </c>
      <c r="N289" s="560">
        <v>0</v>
      </c>
      <c r="O289" s="559"/>
      <c r="P289" s="1382">
        <f t="shared" si="16"/>
        <v>0</v>
      </c>
      <c r="Q289" s="559"/>
      <c r="R289" s="559"/>
      <c r="S289" s="560">
        <f t="shared" si="17"/>
        <v>0</v>
      </c>
    </row>
    <row r="290" spans="1:19" ht="46.5" x14ac:dyDescent="0.3">
      <c r="A290" s="1488">
        <v>0</v>
      </c>
      <c r="B290" s="1492" t="s">
        <v>414</v>
      </c>
      <c r="C290" s="1554" t="s">
        <v>414</v>
      </c>
      <c r="D290" s="1488" t="s">
        <v>1905</v>
      </c>
      <c r="E290" s="1495">
        <v>45510</v>
      </c>
      <c r="F290" s="559"/>
      <c r="G290" s="1495">
        <f t="shared" si="15"/>
        <v>45510</v>
      </c>
      <c r="H290" s="1634"/>
      <c r="I290" s="1495" t="s">
        <v>1873</v>
      </c>
      <c r="J290" s="1495" t="s">
        <v>1873</v>
      </c>
      <c r="K290" s="1634"/>
      <c r="L290" s="1495" t="s">
        <v>1873</v>
      </c>
      <c r="M290" s="560">
        <v>0</v>
      </c>
      <c r="N290" s="560">
        <v>0</v>
      </c>
      <c r="O290" s="559"/>
      <c r="P290" s="1382">
        <f t="shared" si="16"/>
        <v>0</v>
      </c>
      <c r="Q290" s="559"/>
      <c r="R290" s="559"/>
      <c r="S290" s="560">
        <f t="shared" si="17"/>
        <v>0</v>
      </c>
    </row>
    <row r="291" spans="1:19" ht="31" x14ac:dyDescent="0.3">
      <c r="A291" s="1486" t="s">
        <v>1906</v>
      </c>
      <c r="B291" s="1491" t="s">
        <v>1907</v>
      </c>
      <c r="C291" s="1554" t="s">
        <v>928</v>
      </c>
      <c r="D291" s="1488" t="s">
        <v>1908</v>
      </c>
      <c r="E291" s="1495">
        <v>45506</v>
      </c>
      <c r="F291" s="559"/>
      <c r="G291" s="1495">
        <f t="shared" si="15"/>
        <v>45506</v>
      </c>
      <c r="H291" s="1634"/>
      <c r="I291" s="1495" t="s">
        <v>1873</v>
      </c>
      <c r="J291" s="1495" t="s">
        <v>1873</v>
      </c>
      <c r="K291" s="1634"/>
      <c r="L291" s="1495" t="s">
        <v>1873</v>
      </c>
      <c r="M291" s="560">
        <v>0</v>
      </c>
      <c r="N291" s="560">
        <v>0</v>
      </c>
      <c r="O291" s="559"/>
      <c r="P291" s="1382">
        <f t="shared" si="16"/>
        <v>0</v>
      </c>
      <c r="Q291" s="559"/>
      <c r="R291" s="559"/>
      <c r="S291" s="560">
        <f t="shared" si="17"/>
        <v>0</v>
      </c>
    </row>
    <row r="292" spans="1:19" ht="31" x14ac:dyDescent="0.3">
      <c r="A292" s="1488">
        <v>5.0999999999999996</v>
      </c>
      <c r="B292" s="1492" t="s">
        <v>2436</v>
      </c>
      <c r="C292" s="1554" t="s">
        <v>936</v>
      </c>
      <c r="D292" s="1488" t="s">
        <v>1908</v>
      </c>
      <c r="E292" s="1495">
        <v>45506</v>
      </c>
      <c r="F292" s="559"/>
      <c r="G292" s="1495">
        <f t="shared" si="15"/>
        <v>45506</v>
      </c>
      <c r="H292" s="1634"/>
      <c r="I292" s="1495" t="s">
        <v>1873</v>
      </c>
      <c r="J292" s="1495" t="s">
        <v>1873</v>
      </c>
      <c r="K292" s="1634"/>
      <c r="L292" s="1495" t="s">
        <v>1873</v>
      </c>
      <c r="M292" s="560">
        <v>0</v>
      </c>
      <c r="N292" s="560">
        <v>0</v>
      </c>
      <c r="O292" s="559"/>
      <c r="P292" s="1382">
        <f t="shared" si="16"/>
        <v>0</v>
      </c>
      <c r="Q292" s="559"/>
      <c r="R292" s="559"/>
      <c r="S292" s="560">
        <f t="shared" si="17"/>
        <v>0</v>
      </c>
    </row>
    <row r="293" spans="1:19" ht="31" x14ac:dyDescent="0.3">
      <c r="A293" s="1488">
        <v>5.2</v>
      </c>
      <c r="B293" s="1492" t="s">
        <v>2437</v>
      </c>
      <c r="C293" s="1554" t="s">
        <v>936</v>
      </c>
      <c r="D293" s="1488" t="s">
        <v>1908</v>
      </c>
      <c r="E293" s="1495">
        <v>45506</v>
      </c>
      <c r="F293" s="559"/>
      <c r="G293" s="1495">
        <f t="shared" si="15"/>
        <v>45506</v>
      </c>
      <c r="H293" s="1634"/>
      <c r="I293" s="1495" t="s">
        <v>1873</v>
      </c>
      <c r="J293" s="1495" t="s">
        <v>1873</v>
      </c>
      <c r="K293" s="1634"/>
      <c r="L293" s="1495" t="s">
        <v>1873</v>
      </c>
      <c r="M293" s="560">
        <v>0</v>
      </c>
      <c r="N293" s="560">
        <v>0</v>
      </c>
      <c r="O293" s="559"/>
      <c r="P293" s="1382">
        <f t="shared" si="16"/>
        <v>0</v>
      </c>
      <c r="Q293" s="559"/>
      <c r="R293" s="559"/>
      <c r="S293" s="560">
        <f t="shared" si="17"/>
        <v>0</v>
      </c>
    </row>
    <row r="294" spans="1:19" ht="31" x14ac:dyDescent="0.3">
      <c r="A294" s="1488">
        <v>5.3</v>
      </c>
      <c r="B294" s="1492" t="s">
        <v>2438</v>
      </c>
      <c r="C294" s="1554" t="s">
        <v>936</v>
      </c>
      <c r="D294" s="1488" t="s">
        <v>1908</v>
      </c>
      <c r="E294" s="1495">
        <v>45506</v>
      </c>
      <c r="F294" s="559"/>
      <c r="G294" s="1495">
        <f t="shared" si="15"/>
        <v>45506</v>
      </c>
      <c r="H294" s="1634"/>
      <c r="I294" s="1495" t="s">
        <v>1873</v>
      </c>
      <c r="J294" s="1495" t="s">
        <v>1873</v>
      </c>
      <c r="K294" s="1634"/>
      <c r="L294" s="1495" t="s">
        <v>1873</v>
      </c>
      <c r="M294" s="560">
        <v>0</v>
      </c>
      <c r="N294" s="560">
        <v>0</v>
      </c>
      <c r="O294" s="559"/>
      <c r="P294" s="1382">
        <f t="shared" si="16"/>
        <v>0</v>
      </c>
      <c r="Q294" s="559"/>
      <c r="R294" s="559"/>
      <c r="S294" s="560">
        <f t="shared" si="17"/>
        <v>0</v>
      </c>
    </row>
    <row r="295" spans="1:19" ht="31" x14ac:dyDescent="0.3">
      <c r="A295" s="1488">
        <v>5.4</v>
      </c>
      <c r="B295" s="1492" t="s">
        <v>2439</v>
      </c>
      <c r="C295" s="1554" t="s">
        <v>936</v>
      </c>
      <c r="D295" s="1488" t="s">
        <v>1908</v>
      </c>
      <c r="E295" s="1495">
        <v>45506</v>
      </c>
      <c r="F295" s="559"/>
      <c r="G295" s="1495">
        <f t="shared" si="15"/>
        <v>45506</v>
      </c>
      <c r="H295" s="1634"/>
      <c r="I295" s="1495" t="s">
        <v>1873</v>
      </c>
      <c r="J295" s="1495" t="s">
        <v>1873</v>
      </c>
      <c r="K295" s="1634"/>
      <c r="L295" s="1495" t="s">
        <v>1873</v>
      </c>
      <c r="M295" s="560">
        <v>0</v>
      </c>
      <c r="N295" s="560">
        <v>0</v>
      </c>
      <c r="O295" s="559"/>
      <c r="P295" s="1382">
        <f t="shared" si="16"/>
        <v>0</v>
      </c>
      <c r="Q295" s="559"/>
      <c r="R295" s="559"/>
      <c r="S295" s="560">
        <f t="shared" si="17"/>
        <v>0</v>
      </c>
    </row>
    <row r="296" spans="1:19" ht="31" x14ac:dyDescent="0.3">
      <c r="A296" s="1488">
        <v>5.5</v>
      </c>
      <c r="B296" s="1492" t="s">
        <v>2440</v>
      </c>
      <c r="C296" s="1554" t="s">
        <v>936</v>
      </c>
      <c r="D296" s="1488" t="s">
        <v>1908</v>
      </c>
      <c r="E296" s="1495">
        <v>45506</v>
      </c>
      <c r="F296" s="559"/>
      <c r="G296" s="1495">
        <f t="shared" si="15"/>
        <v>45506</v>
      </c>
      <c r="H296" s="1634"/>
      <c r="I296" s="1495" t="s">
        <v>1873</v>
      </c>
      <c r="J296" s="1495" t="s">
        <v>1873</v>
      </c>
      <c r="K296" s="1634"/>
      <c r="L296" s="1495" t="s">
        <v>1873</v>
      </c>
      <c r="M296" s="560">
        <v>0</v>
      </c>
      <c r="N296" s="560">
        <v>0</v>
      </c>
      <c r="O296" s="559"/>
      <c r="P296" s="1382">
        <f t="shared" si="16"/>
        <v>0</v>
      </c>
      <c r="Q296" s="559"/>
      <c r="R296" s="559"/>
      <c r="S296" s="560">
        <f t="shared" si="17"/>
        <v>0</v>
      </c>
    </row>
    <row r="297" spans="1:19" ht="31" x14ac:dyDescent="0.3">
      <c r="A297" s="1488">
        <v>5.6</v>
      </c>
      <c r="B297" s="1492" t="s">
        <v>2441</v>
      </c>
      <c r="C297" s="1554" t="s">
        <v>936</v>
      </c>
      <c r="D297" s="1488" t="s">
        <v>1908</v>
      </c>
      <c r="E297" s="1495">
        <v>45506</v>
      </c>
      <c r="F297" s="559"/>
      <c r="G297" s="1495">
        <f t="shared" si="15"/>
        <v>45506</v>
      </c>
      <c r="H297" s="1634"/>
      <c r="I297" s="1495" t="s">
        <v>1873</v>
      </c>
      <c r="J297" s="1495" t="s">
        <v>1873</v>
      </c>
      <c r="K297" s="1634"/>
      <c r="L297" s="1495" t="s">
        <v>1873</v>
      </c>
      <c r="M297" s="560">
        <v>0</v>
      </c>
      <c r="N297" s="560">
        <v>0</v>
      </c>
      <c r="O297" s="559"/>
      <c r="P297" s="1382">
        <f t="shared" si="16"/>
        <v>0</v>
      </c>
      <c r="Q297" s="559"/>
      <c r="R297" s="559"/>
      <c r="S297" s="560">
        <f t="shared" si="17"/>
        <v>0</v>
      </c>
    </row>
    <row r="298" spans="1:19" ht="46.5" x14ac:dyDescent="0.3">
      <c r="A298" s="1488">
        <v>5.7</v>
      </c>
      <c r="B298" s="1492" t="s">
        <v>2442</v>
      </c>
      <c r="C298" s="1554" t="s">
        <v>936</v>
      </c>
      <c r="D298" s="1488" t="s">
        <v>1908</v>
      </c>
      <c r="E298" s="1495">
        <v>45506</v>
      </c>
      <c r="F298" s="559"/>
      <c r="G298" s="1495">
        <f t="shared" si="15"/>
        <v>45506</v>
      </c>
      <c r="H298" s="1634"/>
      <c r="I298" s="1495" t="s">
        <v>1873</v>
      </c>
      <c r="J298" s="1495" t="s">
        <v>1873</v>
      </c>
      <c r="K298" s="1634"/>
      <c r="L298" s="1495" t="s">
        <v>1873</v>
      </c>
      <c r="M298" s="560">
        <v>0</v>
      </c>
      <c r="N298" s="560">
        <v>0</v>
      </c>
      <c r="O298" s="559"/>
      <c r="P298" s="1382">
        <f t="shared" si="16"/>
        <v>0</v>
      </c>
      <c r="Q298" s="559"/>
      <c r="R298" s="559"/>
      <c r="S298" s="560">
        <f t="shared" si="17"/>
        <v>0</v>
      </c>
    </row>
    <row r="299" spans="1:19" ht="31" x14ac:dyDescent="0.3">
      <c r="A299" s="1488">
        <v>0</v>
      </c>
      <c r="B299" s="1492" t="s">
        <v>414</v>
      </c>
      <c r="C299" s="1554" t="s">
        <v>414</v>
      </c>
      <c r="D299" s="1488" t="s">
        <v>1908</v>
      </c>
      <c r="E299" s="1495">
        <v>45506</v>
      </c>
      <c r="F299" s="559"/>
      <c r="G299" s="1495">
        <f t="shared" si="15"/>
        <v>45506</v>
      </c>
      <c r="H299" s="1634"/>
      <c r="I299" s="1495" t="s">
        <v>1873</v>
      </c>
      <c r="J299" s="1495" t="s">
        <v>1873</v>
      </c>
      <c r="K299" s="1634"/>
      <c r="L299" s="1495" t="s">
        <v>1873</v>
      </c>
      <c r="M299" s="560">
        <v>0</v>
      </c>
      <c r="N299" s="560">
        <v>0</v>
      </c>
      <c r="O299" s="559"/>
      <c r="P299" s="1382">
        <f t="shared" si="16"/>
        <v>0</v>
      </c>
      <c r="Q299" s="559"/>
      <c r="R299" s="559"/>
      <c r="S299" s="560">
        <f t="shared" si="17"/>
        <v>0</v>
      </c>
    </row>
    <row r="300" spans="1:19" ht="62" x14ac:dyDescent="0.3">
      <c r="A300" s="1486">
        <v>63</v>
      </c>
      <c r="B300" s="1491" t="s">
        <v>1916</v>
      </c>
      <c r="C300" s="1554" t="s">
        <v>928</v>
      </c>
      <c r="D300" s="1488" t="s">
        <v>1917</v>
      </c>
      <c r="E300" s="1495">
        <v>45512</v>
      </c>
      <c r="F300" s="559"/>
      <c r="G300" s="1495">
        <f t="shared" si="15"/>
        <v>45512</v>
      </c>
      <c r="H300" s="1634"/>
      <c r="I300" s="1495" t="s">
        <v>1873</v>
      </c>
      <c r="J300" s="1495" t="s">
        <v>1873</v>
      </c>
      <c r="K300" s="1634"/>
      <c r="L300" s="1495" t="s">
        <v>1873</v>
      </c>
      <c r="M300" s="560">
        <v>0</v>
      </c>
      <c r="N300" s="560">
        <v>0</v>
      </c>
      <c r="O300" s="559"/>
      <c r="P300" s="1382">
        <f t="shared" si="16"/>
        <v>0</v>
      </c>
      <c r="Q300" s="559"/>
      <c r="R300" s="559"/>
      <c r="S300" s="560">
        <f t="shared" si="17"/>
        <v>0</v>
      </c>
    </row>
    <row r="301" spans="1:19" ht="31" x14ac:dyDescent="0.3">
      <c r="A301" s="1488">
        <v>6.1</v>
      </c>
      <c r="B301" s="1492" t="s">
        <v>1918</v>
      </c>
      <c r="C301" s="1554" t="s">
        <v>936</v>
      </c>
      <c r="D301" s="1488" t="s">
        <v>1917</v>
      </c>
      <c r="E301" s="1495">
        <v>45512</v>
      </c>
      <c r="F301" s="559"/>
      <c r="G301" s="1495">
        <f t="shared" si="15"/>
        <v>45512</v>
      </c>
      <c r="H301" s="1634"/>
      <c r="I301" s="1495" t="s">
        <v>1873</v>
      </c>
      <c r="J301" s="1495" t="s">
        <v>1873</v>
      </c>
      <c r="K301" s="1634"/>
      <c r="L301" s="1495" t="s">
        <v>1873</v>
      </c>
      <c r="M301" s="560">
        <v>9.58</v>
      </c>
      <c r="N301" s="560">
        <v>0</v>
      </c>
      <c r="O301" s="559"/>
      <c r="P301" s="1382">
        <f t="shared" si="16"/>
        <v>9.58</v>
      </c>
      <c r="Q301" s="559"/>
      <c r="R301" s="559"/>
      <c r="S301" s="560">
        <f t="shared" si="17"/>
        <v>9.58</v>
      </c>
    </row>
    <row r="302" spans="1:19" ht="31" x14ac:dyDescent="0.3">
      <c r="A302" s="1488">
        <v>6.2</v>
      </c>
      <c r="B302" s="1492" t="s">
        <v>1919</v>
      </c>
      <c r="C302" s="1554" t="s">
        <v>936</v>
      </c>
      <c r="D302" s="1488" t="s">
        <v>1917</v>
      </c>
      <c r="E302" s="1495">
        <v>45512</v>
      </c>
      <c r="F302" s="559"/>
      <c r="G302" s="1495">
        <f t="shared" si="15"/>
        <v>45512</v>
      </c>
      <c r="H302" s="1634"/>
      <c r="I302" s="1495" t="s">
        <v>1873</v>
      </c>
      <c r="J302" s="1495" t="s">
        <v>1873</v>
      </c>
      <c r="K302" s="1634"/>
      <c r="L302" s="1495" t="s">
        <v>1873</v>
      </c>
      <c r="M302" s="560">
        <v>2.95</v>
      </c>
      <c r="N302" s="560">
        <v>0</v>
      </c>
      <c r="O302" s="559"/>
      <c r="P302" s="1382">
        <f t="shared" si="16"/>
        <v>2.95</v>
      </c>
      <c r="Q302" s="559"/>
      <c r="R302" s="559"/>
      <c r="S302" s="560">
        <f t="shared" si="17"/>
        <v>2.95</v>
      </c>
    </row>
    <row r="303" spans="1:19" ht="31" x14ac:dyDescent="0.3">
      <c r="A303" s="1488">
        <v>6.3</v>
      </c>
      <c r="B303" s="1492" t="s">
        <v>1920</v>
      </c>
      <c r="C303" s="1554" t="s">
        <v>936</v>
      </c>
      <c r="D303" s="1488" t="s">
        <v>1917</v>
      </c>
      <c r="E303" s="1495">
        <v>45512</v>
      </c>
      <c r="F303" s="559"/>
      <c r="G303" s="1495">
        <f t="shared" si="15"/>
        <v>45512</v>
      </c>
      <c r="H303" s="1634"/>
      <c r="I303" s="1495" t="s">
        <v>1873</v>
      </c>
      <c r="J303" s="1495" t="s">
        <v>1873</v>
      </c>
      <c r="K303" s="1634"/>
      <c r="L303" s="1495" t="s">
        <v>1873</v>
      </c>
      <c r="M303" s="560">
        <v>7.95</v>
      </c>
      <c r="N303" s="560">
        <v>0</v>
      </c>
      <c r="O303" s="559"/>
      <c r="P303" s="1382">
        <f t="shared" si="16"/>
        <v>7.95</v>
      </c>
      <c r="Q303" s="559"/>
      <c r="R303" s="559"/>
      <c r="S303" s="560">
        <f t="shared" si="17"/>
        <v>7.95</v>
      </c>
    </row>
    <row r="304" spans="1:19" ht="31" x14ac:dyDescent="0.3">
      <c r="A304" s="1488">
        <v>6.4</v>
      </c>
      <c r="B304" s="1492" t="s">
        <v>1921</v>
      </c>
      <c r="C304" s="1554" t="s">
        <v>936</v>
      </c>
      <c r="D304" s="1488" t="s">
        <v>1917</v>
      </c>
      <c r="E304" s="1495">
        <v>45512</v>
      </c>
      <c r="F304" s="559"/>
      <c r="G304" s="1495">
        <f t="shared" si="15"/>
        <v>45512</v>
      </c>
      <c r="H304" s="1634"/>
      <c r="I304" s="1495" t="s">
        <v>1873</v>
      </c>
      <c r="J304" s="1495" t="s">
        <v>1873</v>
      </c>
      <c r="K304" s="1634"/>
      <c r="L304" s="1495" t="s">
        <v>1873</v>
      </c>
      <c r="M304" s="560">
        <v>17.46</v>
      </c>
      <c r="N304" s="560">
        <v>0</v>
      </c>
      <c r="O304" s="559"/>
      <c r="P304" s="1382">
        <f t="shared" si="16"/>
        <v>17.46</v>
      </c>
      <c r="Q304" s="559"/>
      <c r="R304" s="559"/>
      <c r="S304" s="560">
        <f t="shared" si="17"/>
        <v>17.46</v>
      </c>
    </row>
    <row r="305" spans="1:19" ht="31" x14ac:dyDescent="0.3">
      <c r="A305" s="1488">
        <v>0</v>
      </c>
      <c r="B305" s="1492" t="s">
        <v>414</v>
      </c>
      <c r="C305" s="1554" t="s">
        <v>414</v>
      </c>
      <c r="D305" s="1488" t="s">
        <v>1917</v>
      </c>
      <c r="E305" s="1495">
        <v>45512</v>
      </c>
      <c r="F305" s="559"/>
      <c r="G305" s="1495">
        <f t="shared" si="15"/>
        <v>45512</v>
      </c>
      <c r="H305" s="1634"/>
      <c r="I305" s="1495" t="s">
        <v>1873</v>
      </c>
      <c r="J305" s="1495" t="s">
        <v>1873</v>
      </c>
      <c r="K305" s="1634"/>
      <c r="L305" s="1495" t="s">
        <v>1873</v>
      </c>
      <c r="M305" s="560">
        <v>0.46</v>
      </c>
      <c r="N305" s="560">
        <v>0</v>
      </c>
      <c r="O305" s="559"/>
      <c r="P305" s="1382">
        <f t="shared" si="16"/>
        <v>0.46</v>
      </c>
      <c r="Q305" s="559"/>
      <c r="R305" s="559"/>
      <c r="S305" s="560">
        <f t="shared" si="17"/>
        <v>0.46</v>
      </c>
    </row>
    <row r="306" spans="1:19" ht="46.5" x14ac:dyDescent="0.3">
      <c r="A306" s="1486">
        <v>64</v>
      </c>
      <c r="B306" s="1491" t="s">
        <v>1922</v>
      </c>
      <c r="C306" s="1554" t="s">
        <v>928</v>
      </c>
      <c r="D306" s="1488" t="s">
        <v>1923</v>
      </c>
      <c r="E306" s="1495">
        <v>45544</v>
      </c>
      <c r="F306" s="559"/>
      <c r="G306" s="1495">
        <f t="shared" si="15"/>
        <v>45544</v>
      </c>
      <c r="H306" s="1634"/>
      <c r="I306" s="1495" t="s">
        <v>1873</v>
      </c>
      <c r="J306" s="1495" t="s">
        <v>1873</v>
      </c>
      <c r="K306" s="1634"/>
      <c r="L306" s="1495" t="s">
        <v>1873</v>
      </c>
      <c r="M306" s="560">
        <v>0</v>
      </c>
      <c r="N306" s="560">
        <v>0</v>
      </c>
      <c r="O306" s="559"/>
      <c r="P306" s="1382">
        <f t="shared" si="16"/>
        <v>0</v>
      </c>
      <c r="Q306" s="559"/>
      <c r="R306" s="559"/>
      <c r="S306" s="560">
        <f t="shared" si="17"/>
        <v>0</v>
      </c>
    </row>
    <row r="307" spans="1:19" ht="46.5" x14ac:dyDescent="0.3">
      <c r="A307" s="1488">
        <v>0</v>
      </c>
      <c r="B307" s="1497" t="s">
        <v>1924</v>
      </c>
      <c r="C307" s="1554" t="s">
        <v>936</v>
      </c>
      <c r="D307" s="1488" t="s">
        <v>1923</v>
      </c>
      <c r="E307" s="1495">
        <v>45544</v>
      </c>
      <c r="F307" s="559"/>
      <c r="G307" s="1495">
        <f t="shared" si="15"/>
        <v>45544</v>
      </c>
      <c r="H307" s="1634"/>
      <c r="I307" s="1495" t="s">
        <v>1873</v>
      </c>
      <c r="J307" s="1495" t="s">
        <v>1873</v>
      </c>
      <c r="K307" s="1634"/>
      <c r="L307" s="1495" t="s">
        <v>1873</v>
      </c>
      <c r="M307" s="560">
        <v>17.61</v>
      </c>
      <c r="N307" s="560">
        <v>0</v>
      </c>
      <c r="O307" s="559"/>
      <c r="P307" s="1382">
        <f t="shared" si="16"/>
        <v>17.61</v>
      </c>
      <c r="Q307" s="559"/>
      <c r="R307" s="559"/>
      <c r="S307" s="560">
        <f t="shared" si="17"/>
        <v>17.61</v>
      </c>
    </row>
    <row r="308" spans="1:19" ht="46.5" x14ac:dyDescent="0.3">
      <c r="A308" s="1488">
        <v>0</v>
      </c>
      <c r="B308" s="1497" t="s">
        <v>1925</v>
      </c>
      <c r="C308" s="1554" t="s">
        <v>936</v>
      </c>
      <c r="D308" s="1488" t="s">
        <v>1923</v>
      </c>
      <c r="E308" s="1495">
        <v>45544</v>
      </c>
      <c r="F308" s="559"/>
      <c r="G308" s="1495">
        <f t="shared" si="15"/>
        <v>45544</v>
      </c>
      <c r="H308" s="1634"/>
      <c r="I308" s="1495" t="s">
        <v>1873</v>
      </c>
      <c r="J308" s="1495" t="s">
        <v>1873</v>
      </c>
      <c r="K308" s="1634"/>
      <c r="L308" s="1495" t="s">
        <v>1873</v>
      </c>
      <c r="M308" s="560">
        <v>14.65</v>
      </c>
      <c r="N308" s="560">
        <v>0</v>
      </c>
      <c r="O308" s="559"/>
      <c r="P308" s="1382">
        <f t="shared" si="16"/>
        <v>14.65</v>
      </c>
      <c r="Q308" s="559"/>
      <c r="R308" s="559"/>
      <c r="S308" s="560">
        <f t="shared" si="17"/>
        <v>14.65</v>
      </c>
    </row>
    <row r="309" spans="1:19" ht="46.5" x14ac:dyDescent="0.3">
      <c r="A309" s="1488">
        <v>0</v>
      </c>
      <c r="B309" s="1497" t="s">
        <v>414</v>
      </c>
      <c r="C309" s="1554" t="s">
        <v>414</v>
      </c>
      <c r="D309" s="1488" t="s">
        <v>1923</v>
      </c>
      <c r="E309" s="1495">
        <v>45544</v>
      </c>
      <c r="F309" s="559"/>
      <c r="G309" s="1495">
        <f t="shared" si="15"/>
        <v>45544</v>
      </c>
      <c r="H309" s="1634"/>
      <c r="I309" s="1495" t="s">
        <v>1873</v>
      </c>
      <c r="J309" s="1495" t="s">
        <v>1873</v>
      </c>
      <c r="K309" s="1634"/>
      <c r="L309" s="1495" t="s">
        <v>1873</v>
      </c>
      <c r="M309" s="560">
        <v>0.28999999999999998</v>
      </c>
      <c r="N309" s="560">
        <v>0</v>
      </c>
      <c r="O309" s="559"/>
      <c r="P309" s="1382">
        <f t="shared" si="16"/>
        <v>0.28999999999999998</v>
      </c>
      <c r="Q309" s="559"/>
      <c r="R309" s="559"/>
      <c r="S309" s="560">
        <f t="shared" si="17"/>
        <v>0.28999999999999998</v>
      </c>
    </row>
  </sheetData>
  <autoFilter ref="S1:S299" xr:uid="{00000000-0009-0000-0000-000012000000}"/>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0:D28">
    <cfRule type="containsText" dxfId="2891" priority="116" operator="containsText" text="DPR not submitted">
      <formula>NOT(ISERROR(SEARCH("DPR not submitted",D10)))</formula>
    </cfRule>
    <cfRule type="containsText" dxfId="2890" priority="117" operator="containsText" text="Yet to be approved">
      <formula>NOT(ISERROR(SEARCH("Yet to be approved",D10)))</formula>
    </cfRule>
  </conditionalFormatting>
  <conditionalFormatting sqref="D41">
    <cfRule type="containsText" dxfId="2889" priority="114" operator="containsText" text="DPR not submitted">
      <formula>NOT(ISERROR(SEARCH("DPR not submitted",D41)))</formula>
    </cfRule>
    <cfRule type="containsText" dxfId="2888" priority="115" operator="containsText" text="Yet to be approved">
      <formula>NOT(ISERROR(SEARCH("Yet to be approved",D41)))</formula>
    </cfRule>
  </conditionalFormatting>
  <conditionalFormatting sqref="D47">
    <cfRule type="containsText" dxfId="2887" priority="112" operator="containsText" text="DPR not submitted">
      <formula>NOT(ISERROR(SEARCH("DPR not submitted",D47)))</formula>
    </cfRule>
    <cfRule type="containsText" dxfId="2886" priority="113" operator="containsText" text="Yet to be approved">
      <formula>NOT(ISERROR(SEARCH("Yet to be approved",D47)))</formula>
    </cfRule>
  </conditionalFormatting>
  <conditionalFormatting sqref="D51">
    <cfRule type="containsText" dxfId="2885" priority="110" operator="containsText" text="DPR not submitted">
      <formula>NOT(ISERROR(SEARCH("DPR not submitted",D51)))</formula>
    </cfRule>
    <cfRule type="containsText" dxfId="2884" priority="111" operator="containsText" text="Yet to be approved">
      <formula>NOT(ISERROR(SEARCH("Yet to be approved",D51)))</formula>
    </cfRule>
  </conditionalFormatting>
  <conditionalFormatting sqref="D53">
    <cfRule type="containsText" dxfId="2883" priority="108" operator="containsText" text="DPR not submitted">
      <formula>NOT(ISERROR(SEARCH("DPR not submitted",D53)))</formula>
    </cfRule>
    <cfRule type="containsText" dxfId="2882" priority="109" operator="containsText" text="Yet to be approved">
      <formula>NOT(ISERROR(SEARCH("Yet to be approved",D53)))</formula>
    </cfRule>
  </conditionalFormatting>
  <conditionalFormatting sqref="D55">
    <cfRule type="containsText" dxfId="2881" priority="106" operator="containsText" text="DPR not submitted">
      <formula>NOT(ISERROR(SEARCH("DPR not submitted",D55)))</formula>
    </cfRule>
    <cfRule type="containsText" dxfId="2880" priority="107" operator="containsText" text="Yet to be approved">
      <formula>NOT(ISERROR(SEARCH("Yet to be approved",D55)))</formula>
    </cfRule>
  </conditionalFormatting>
  <conditionalFormatting sqref="D59">
    <cfRule type="containsText" dxfId="2879" priority="104" operator="containsText" text="DPR not submitted">
      <formula>NOT(ISERROR(SEARCH("DPR not submitted",D59)))</formula>
    </cfRule>
    <cfRule type="containsText" dxfId="2878" priority="105" operator="containsText" text="Yet to be approved">
      <formula>NOT(ISERROR(SEARCH("Yet to be approved",D59)))</formula>
    </cfRule>
  </conditionalFormatting>
  <conditionalFormatting sqref="D63">
    <cfRule type="containsText" dxfId="2877" priority="102" operator="containsText" text="DPR not submitted">
      <formula>NOT(ISERROR(SEARCH("DPR not submitted",D63)))</formula>
    </cfRule>
    <cfRule type="containsText" dxfId="2876" priority="103" operator="containsText" text="Yet to be approved">
      <formula>NOT(ISERROR(SEARCH("Yet to be approved",D63)))</formula>
    </cfRule>
  </conditionalFormatting>
  <conditionalFormatting sqref="D66">
    <cfRule type="containsText" dxfId="2875" priority="100" operator="containsText" text="DPR not submitted">
      <formula>NOT(ISERROR(SEARCH("DPR not submitted",D66)))</formula>
    </cfRule>
    <cfRule type="containsText" dxfId="2874" priority="101" operator="containsText" text="Yet to be approved">
      <formula>NOT(ISERROR(SEARCH("Yet to be approved",D66)))</formula>
    </cfRule>
  </conditionalFormatting>
  <conditionalFormatting sqref="D71">
    <cfRule type="containsText" dxfId="2873" priority="98" operator="containsText" text="DPR not submitted">
      <formula>NOT(ISERROR(SEARCH("DPR not submitted",D71)))</formula>
    </cfRule>
    <cfRule type="containsText" dxfId="2872" priority="99" operator="containsText" text="Yet to be approved">
      <formula>NOT(ISERROR(SEARCH("Yet to be approved",D71)))</formula>
    </cfRule>
  </conditionalFormatting>
  <conditionalFormatting sqref="D82">
    <cfRule type="containsText" dxfId="2871" priority="96" operator="containsText" text="DPR not submitted">
      <formula>NOT(ISERROR(SEARCH("DPR not submitted",D82)))</formula>
    </cfRule>
    <cfRule type="containsText" dxfId="2870" priority="97" operator="containsText" text="Yet to be approved">
      <formula>NOT(ISERROR(SEARCH("Yet to be approved",D82)))</formula>
    </cfRule>
  </conditionalFormatting>
  <conditionalFormatting sqref="D86">
    <cfRule type="containsText" dxfId="2869" priority="94" operator="containsText" text="DPR not submitted">
      <formula>NOT(ISERROR(SEARCH("DPR not submitted",D86)))</formula>
    </cfRule>
    <cfRule type="containsText" dxfId="2868" priority="95" operator="containsText" text="Yet to be approved">
      <formula>NOT(ISERROR(SEARCH("Yet to be approved",D86)))</formula>
    </cfRule>
  </conditionalFormatting>
  <conditionalFormatting sqref="D94">
    <cfRule type="containsText" dxfId="2867" priority="92" operator="containsText" text="DPR not submitted">
      <formula>NOT(ISERROR(SEARCH("DPR not submitted",D94)))</formula>
    </cfRule>
    <cfRule type="containsText" dxfId="2866" priority="93" operator="containsText" text="Yet to be approved">
      <formula>NOT(ISERROR(SEARCH("Yet to be approved",D94)))</formula>
    </cfRule>
  </conditionalFormatting>
  <conditionalFormatting sqref="D97">
    <cfRule type="containsText" dxfId="2865" priority="90" operator="containsText" text="DPR not submitted">
      <formula>NOT(ISERROR(SEARCH("DPR not submitted",D97)))</formula>
    </cfRule>
    <cfRule type="containsText" dxfId="2864" priority="91" operator="containsText" text="Yet to be approved">
      <formula>NOT(ISERROR(SEARCH("Yet to be approved",D97)))</formula>
    </cfRule>
  </conditionalFormatting>
  <conditionalFormatting sqref="D101">
    <cfRule type="containsText" dxfId="2863" priority="88" operator="containsText" text="DPR not submitted">
      <formula>NOT(ISERROR(SEARCH("DPR not submitted",D101)))</formula>
    </cfRule>
    <cfRule type="containsText" dxfId="2862" priority="89" operator="containsText" text="Yet to be approved">
      <formula>NOT(ISERROR(SEARCH("Yet to be approved",D101)))</formula>
    </cfRule>
  </conditionalFormatting>
  <conditionalFormatting sqref="D105">
    <cfRule type="containsText" dxfId="2861" priority="86" operator="containsText" text="DPR not submitted">
      <formula>NOT(ISERROR(SEARCH("DPR not submitted",D105)))</formula>
    </cfRule>
    <cfRule type="containsText" dxfId="2860" priority="87" operator="containsText" text="Yet to be approved">
      <formula>NOT(ISERROR(SEARCH("Yet to be approved",D105)))</formula>
    </cfRule>
  </conditionalFormatting>
  <conditionalFormatting sqref="D109">
    <cfRule type="containsText" dxfId="2859" priority="84" operator="containsText" text="DPR not submitted">
      <formula>NOT(ISERROR(SEARCH("DPR not submitted",D109)))</formula>
    </cfRule>
    <cfRule type="containsText" dxfId="2858" priority="85" operator="containsText" text="Yet to be approved">
      <formula>NOT(ISERROR(SEARCH("Yet to be approved",D109)))</formula>
    </cfRule>
  </conditionalFormatting>
  <conditionalFormatting sqref="D114">
    <cfRule type="containsText" dxfId="2857" priority="82" operator="containsText" text="DPR not submitted">
      <formula>NOT(ISERROR(SEARCH("DPR not submitted",D114)))</formula>
    </cfRule>
    <cfRule type="containsText" dxfId="2856" priority="83" operator="containsText" text="Yet to be approved">
      <formula>NOT(ISERROR(SEARCH("Yet to be approved",D114)))</formula>
    </cfRule>
  </conditionalFormatting>
  <conditionalFormatting sqref="D118">
    <cfRule type="containsText" dxfId="2855" priority="80" operator="containsText" text="DPR not submitted">
      <formula>NOT(ISERROR(SEARCH("DPR not submitted",D118)))</formula>
    </cfRule>
    <cfRule type="containsText" dxfId="2854" priority="81" operator="containsText" text="Yet to be approved">
      <formula>NOT(ISERROR(SEARCH("Yet to be approved",D118)))</formula>
    </cfRule>
  </conditionalFormatting>
  <conditionalFormatting sqref="D124">
    <cfRule type="containsText" dxfId="2853" priority="78" operator="containsText" text="DPR not submitted">
      <formula>NOT(ISERROR(SEARCH("DPR not submitted",D124)))</formula>
    </cfRule>
    <cfRule type="containsText" dxfId="2852" priority="79" operator="containsText" text="Yet to be approved">
      <formula>NOT(ISERROR(SEARCH("Yet to be approved",D124)))</formula>
    </cfRule>
  </conditionalFormatting>
  <conditionalFormatting sqref="D131">
    <cfRule type="containsText" dxfId="2851" priority="76" operator="containsText" text="DPR not submitted">
      <formula>NOT(ISERROR(SEARCH("DPR not submitted",D131)))</formula>
    </cfRule>
    <cfRule type="containsText" dxfId="2850" priority="77" operator="containsText" text="Yet to be approved">
      <formula>NOT(ISERROR(SEARCH("Yet to be approved",D131)))</formula>
    </cfRule>
  </conditionalFormatting>
  <conditionalFormatting sqref="D137">
    <cfRule type="containsText" dxfId="2849" priority="74" operator="containsText" text="DPR not submitted">
      <formula>NOT(ISERROR(SEARCH("DPR not submitted",D137)))</formula>
    </cfRule>
    <cfRule type="containsText" dxfId="2848" priority="75" operator="containsText" text="Yet to be approved">
      <formula>NOT(ISERROR(SEARCH("Yet to be approved",D137)))</formula>
    </cfRule>
  </conditionalFormatting>
  <conditionalFormatting sqref="D142">
    <cfRule type="containsText" dxfId="2847" priority="72" operator="containsText" text="DPR not submitted">
      <formula>NOT(ISERROR(SEARCH("DPR not submitted",D142)))</formula>
    </cfRule>
    <cfRule type="containsText" dxfId="2846" priority="73" operator="containsText" text="Yet to be approved">
      <formula>NOT(ISERROR(SEARCH("Yet to be approved",D142)))</formula>
    </cfRule>
  </conditionalFormatting>
  <conditionalFormatting sqref="D147">
    <cfRule type="containsText" dxfId="2845" priority="70" operator="containsText" text="DPR not submitted">
      <formula>NOT(ISERROR(SEARCH("DPR not submitted",D147)))</formula>
    </cfRule>
    <cfRule type="containsText" dxfId="2844" priority="71" operator="containsText" text="Yet to be approved">
      <formula>NOT(ISERROR(SEARCH("Yet to be approved",D147)))</formula>
    </cfRule>
  </conditionalFormatting>
  <conditionalFormatting sqref="D149">
    <cfRule type="containsText" dxfId="2843" priority="68" operator="containsText" text="DPR not submitted">
      <formula>NOT(ISERROR(SEARCH("DPR not submitted",D149)))</formula>
    </cfRule>
    <cfRule type="containsText" dxfId="2842" priority="69" operator="containsText" text="Yet to be approved">
      <formula>NOT(ISERROR(SEARCH("Yet to be approved",D149)))</formula>
    </cfRule>
  </conditionalFormatting>
  <conditionalFormatting sqref="D151">
    <cfRule type="containsText" dxfId="2841" priority="66" operator="containsText" text="DPR not submitted">
      <formula>NOT(ISERROR(SEARCH("DPR not submitted",D151)))</formula>
    </cfRule>
    <cfRule type="containsText" dxfId="2840" priority="67" operator="containsText" text="Yet to be approved">
      <formula>NOT(ISERROR(SEARCH("Yet to be approved",D151)))</formula>
    </cfRule>
  </conditionalFormatting>
  <conditionalFormatting sqref="D155">
    <cfRule type="containsText" dxfId="2839" priority="64" operator="containsText" text="DPR not submitted">
      <formula>NOT(ISERROR(SEARCH("DPR not submitted",D155)))</formula>
    </cfRule>
    <cfRule type="containsText" dxfId="2838" priority="65" operator="containsText" text="Yet to be approved">
      <formula>NOT(ISERROR(SEARCH("Yet to be approved",D155)))</formula>
    </cfRule>
  </conditionalFormatting>
  <conditionalFormatting sqref="D160">
    <cfRule type="containsText" dxfId="2837" priority="62" operator="containsText" text="DPR not submitted">
      <formula>NOT(ISERROR(SEARCH("DPR not submitted",D160)))</formula>
    </cfRule>
    <cfRule type="containsText" dxfId="2836" priority="63" operator="containsText" text="Yet to be approved">
      <formula>NOT(ISERROR(SEARCH("Yet to be approved",D160)))</formula>
    </cfRule>
  </conditionalFormatting>
  <conditionalFormatting sqref="D165">
    <cfRule type="containsText" dxfId="2835" priority="60" operator="containsText" text="DPR not submitted">
      <formula>NOT(ISERROR(SEARCH("DPR not submitted",D165)))</formula>
    </cfRule>
    <cfRule type="containsText" dxfId="2834" priority="61" operator="containsText" text="Yet to be approved">
      <formula>NOT(ISERROR(SEARCH("Yet to be approved",D165)))</formula>
    </cfRule>
  </conditionalFormatting>
  <conditionalFormatting sqref="D171">
    <cfRule type="containsText" dxfId="2833" priority="58" operator="containsText" text="DPR not submitted">
      <formula>NOT(ISERROR(SEARCH("DPR not submitted",D171)))</formula>
    </cfRule>
    <cfRule type="containsText" dxfId="2832" priority="59" operator="containsText" text="Yet to be approved">
      <formula>NOT(ISERROR(SEARCH("Yet to be approved",D171)))</formula>
    </cfRule>
  </conditionalFormatting>
  <conditionalFormatting sqref="D184">
    <cfRule type="containsText" dxfId="2831" priority="56" operator="containsText" text="DPR not submitted">
      <formula>NOT(ISERROR(SEARCH("DPR not submitted",D184)))</formula>
    </cfRule>
    <cfRule type="containsText" dxfId="2830" priority="57" operator="containsText" text="Yet to be approved">
      <formula>NOT(ISERROR(SEARCH("Yet to be approved",D184)))</formula>
    </cfRule>
  </conditionalFormatting>
  <conditionalFormatting sqref="D188">
    <cfRule type="containsText" dxfId="2829" priority="54" operator="containsText" text="DPR not submitted">
      <formula>NOT(ISERROR(SEARCH("DPR not submitted",D188)))</formula>
    </cfRule>
    <cfRule type="containsText" dxfId="2828" priority="55" operator="containsText" text="Yet to be approved">
      <formula>NOT(ISERROR(SEARCH("Yet to be approved",D188)))</formula>
    </cfRule>
  </conditionalFormatting>
  <conditionalFormatting sqref="D191">
    <cfRule type="containsText" dxfId="2827" priority="52" operator="containsText" text="DPR not submitted">
      <formula>NOT(ISERROR(SEARCH("DPR not submitted",D191)))</formula>
    </cfRule>
    <cfRule type="containsText" dxfId="2826" priority="53" operator="containsText" text="Yet to be approved">
      <formula>NOT(ISERROR(SEARCH("Yet to be approved",D191)))</formula>
    </cfRule>
  </conditionalFormatting>
  <conditionalFormatting sqref="D194">
    <cfRule type="containsText" dxfId="2825" priority="50" operator="containsText" text="DPR not submitted">
      <formula>NOT(ISERROR(SEARCH("DPR not submitted",D194)))</formula>
    </cfRule>
    <cfRule type="containsText" dxfId="2824" priority="51" operator="containsText" text="Yet to be approved">
      <formula>NOT(ISERROR(SEARCH("Yet to be approved",D194)))</formula>
    </cfRule>
  </conditionalFormatting>
  <conditionalFormatting sqref="D197">
    <cfRule type="containsText" dxfId="2823" priority="48" operator="containsText" text="DPR not submitted">
      <formula>NOT(ISERROR(SEARCH("DPR not submitted",D197)))</formula>
    </cfRule>
    <cfRule type="containsText" dxfId="2822" priority="49" operator="containsText" text="Yet to be approved">
      <formula>NOT(ISERROR(SEARCH("Yet to be approved",D197)))</formula>
    </cfRule>
  </conditionalFormatting>
  <conditionalFormatting sqref="D200">
    <cfRule type="containsText" dxfId="2821" priority="46" operator="containsText" text="DPR not submitted">
      <formula>NOT(ISERROR(SEARCH("DPR not submitted",D200)))</formula>
    </cfRule>
    <cfRule type="containsText" dxfId="2820" priority="47" operator="containsText" text="Yet to be approved">
      <formula>NOT(ISERROR(SEARCH("Yet to be approved",D200)))</formula>
    </cfRule>
  </conditionalFormatting>
  <conditionalFormatting sqref="D203">
    <cfRule type="containsText" dxfId="2819" priority="2" operator="containsText" text="DPR not submitted">
      <formula>NOT(ISERROR(SEARCH("DPR not submitted",D203)))</formula>
    </cfRule>
    <cfRule type="containsText" dxfId="2818" priority="3" operator="containsText" text="Yet to be approved">
      <formula>NOT(ISERROR(SEARCH("Yet to be approved",D203)))</formula>
    </cfRule>
  </conditionalFormatting>
  <conditionalFormatting sqref="D206">
    <cfRule type="containsText" dxfId="2817" priority="44" operator="containsText" text="DPR not submitted">
      <formula>NOT(ISERROR(SEARCH("DPR not submitted",D206)))</formula>
    </cfRule>
    <cfRule type="containsText" dxfId="2816" priority="45" operator="containsText" text="Yet to be approved">
      <formula>NOT(ISERROR(SEARCH("Yet to be approved",D206)))</formula>
    </cfRule>
  </conditionalFormatting>
  <conditionalFormatting sqref="D209">
    <cfRule type="containsText" dxfId="2815" priority="42" operator="containsText" text="DPR not submitted">
      <formula>NOT(ISERROR(SEARCH("DPR not submitted",D209)))</formula>
    </cfRule>
    <cfRule type="containsText" dxfId="2814" priority="43" operator="containsText" text="Yet to be approved">
      <formula>NOT(ISERROR(SEARCH("Yet to be approved",D209)))</formula>
    </cfRule>
  </conditionalFormatting>
  <conditionalFormatting sqref="D211">
    <cfRule type="containsText" dxfId="2813" priority="40" operator="containsText" text="DPR not submitted">
      <formula>NOT(ISERROR(SEARCH("DPR not submitted",D211)))</formula>
    </cfRule>
    <cfRule type="containsText" dxfId="2812" priority="41" operator="containsText" text="Yet to be approved">
      <formula>NOT(ISERROR(SEARCH("Yet to be approved",D211)))</formula>
    </cfRule>
  </conditionalFormatting>
  <conditionalFormatting sqref="D214">
    <cfRule type="containsText" dxfId="2811" priority="38" operator="containsText" text="DPR not submitted">
      <formula>NOT(ISERROR(SEARCH("DPR not submitted",D214)))</formula>
    </cfRule>
    <cfRule type="containsText" dxfId="2810" priority="39" operator="containsText" text="Yet to be approved">
      <formula>NOT(ISERROR(SEARCH("Yet to be approved",D214)))</formula>
    </cfRule>
  </conditionalFormatting>
  <conditionalFormatting sqref="D217">
    <cfRule type="containsText" dxfId="2809" priority="36" operator="containsText" text="DPR not submitted">
      <formula>NOT(ISERROR(SEARCH("DPR not submitted",D217)))</formula>
    </cfRule>
    <cfRule type="containsText" dxfId="2808" priority="37" operator="containsText" text="Yet to be approved">
      <formula>NOT(ISERROR(SEARCH("Yet to be approved",D217)))</formula>
    </cfRule>
  </conditionalFormatting>
  <conditionalFormatting sqref="D219">
    <cfRule type="containsText" dxfId="2807" priority="34" operator="containsText" text="DPR not submitted">
      <formula>NOT(ISERROR(SEARCH("DPR not submitted",D219)))</formula>
    </cfRule>
    <cfRule type="containsText" dxfId="2806" priority="35" operator="containsText" text="Yet to be approved">
      <formula>NOT(ISERROR(SEARCH("Yet to be approved",D219)))</formula>
    </cfRule>
  </conditionalFormatting>
  <conditionalFormatting sqref="D221">
    <cfRule type="containsText" dxfId="2805" priority="32" operator="containsText" text="DPR not submitted">
      <formula>NOT(ISERROR(SEARCH("DPR not submitted",D221)))</formula>
    </cfRule>
    <cfRule type="containsText" dxfId="2804" priority="33" operator="containsText" text="Yet to be approved">
      <formula>NOT(ISERROR(SEARCH("Yet to be approved",D221)))</formula>
    </cfRule>
  </conditionalFormatting>
  <conditionalFormatting sqref="D225">
    <cfRule type="containsText" dxfId="2803" priority="30" operator="containsText" text="DPR not submitted">
      <formula>NOT(ISERROR(SEARCH("DPR not submitted",D225)))</formula>
    </cfRule>
    <cfRule type="containsText" dxfId="2802" priority="31" operator="containsText" text="Yet to be approved">
      <formula>NOT(ISERROR(SEARCH("Yet to be approved",D225)))</formula>
    </cfRule>
  </conditionalFormatting>
  <conditionalFormatting sqref="D227">
    <cfRule type="containsText" dxfId="2801" priority="28" operator="containsText" text="DPR not submitted">
      <formula>NOT(ISERROR(SEARCH("DPR not submitted",D227)))</formula>
    </cfRule>
    <cfRule type="containsText" dxfId="2800" priority="29" operator="containsText" text="Yet to be approved">
      <formula>NOT(ISERROR(SEARCH("Yet to be approved",D227)))</formula>
    </cfRule>
  </conditionalFormatting>
  <conditionalFormatting sqref="D231">
    <cfRule type="containsText" dxfId="2799" priority="26" operator="containsText" text="DPR not submitted">
      <formula>NOT(ISERROR(SEARCH("DPR not submitted",D231)))</formula>
    </cfRule>
    <cfRule type="containsText" dxfId="2798" priority="27" operator="containsText" text="Yet to be approved">
      <formula>NOT(ISERROR(SEARCH("Yet to be approved",D231)))</formula>
    </cfRule>
  </conditionalFormatting>
  <conditionalFormatting sqref="D235">
    <cfRule type="containsText" dxfId="2797" priority="24" operator="containsText" text="DPR not submitted">
      <formula>NOT(ISERROR(SEARCH("DPR not submitted",D235)))</formula>
    </cfRule>
    <cfRule type="containsText" dxfId="2796" priority="25" operator="containsText" text="Yet to be approved">
      <formula>NOT(ISERROR(SEARCH("Yet to be approved",D235)))</formula>
    </cfRule>
  </conditionalFormatting>
  <conditionalFormatting sqref="D239">
    <cfRule type="containsText" dxfId="2795" priority="22" operator="containsText" text="DPR not submitted">
      <formula>NOT(ISERROR(SEARCH("DPR not submitted",D239)))</formula>
    </cfRule>
    <cfRule type="containsText" dxfId="2794" priority="23" operator="containsText" text="Yet to be approved">
      <formula>NOT(ISERROR(SEARCH("Yet to be approved",D239)))</formula>
    </cfRule>
  </conditionalFormatting>
  <conditionalFormatting sqref="D244">
    <cfRule type="containsText" dxfId="2793" priority="20" operator="containsText" text="DPR not submitted">
      <formula>NOT(ISERROR(SEARCH("DPR not submitted",D244)))</formula>
    </cfRule>
    <cfRule type="containsText" dxfId="2792" priority="21" operator="containsText" text="Yet to be approved">
      <formula>NOT(ISERROR(SEARCH("Yet to be approved",D244)))</formula>
    </cfRule>
  </conditionalFormatting>
  <conditionalFormatting sqref="D247">
    <cfRule type="containsText" dxfId="2791" priority="18" operator="containsText" text="DPR not submitted">
      <formula>NOT(ISERROR(SEARCH("DPR not submitted",D247)))</formula>
    </cfRule>
    <cfRule type="containsText" dxfId="2790" priority="19" operator="containsText" text="Yet to be approved">
      <formula>NOT(ISERROR(SEARCH("Yet to be approved",D247)))</formula>
    </cfRule>
  </conditionalFormatting>
  <conditionalFormatting sqref="D250">
    <cfRule type="containsText" dxfId="2789" priority="16" operator="containsText" text="DPR not submitted">
      <formula>NOT(ISERROR(SEARCH("DPR not submitted",D250)))</formula>
    </cfRule>
    <cfRule type="containsText" dxfId="2788" priority="17" operator="containsText" text="Yet to be approved">
      <formula>NOT(ISERROR(SEARCH("Yet to be approved",D250)))</formula>
    </cfRule>
  </conditionalFormatting>
  <conditionalFormatting sqref="D253">
    <cfRule type="containsText" dxfId="2787" priority="14" operator="containsText" text="DPR not submitted">
      <formula>NOT(ISERROR(SEARCH("DPR not submitted",D253)))</formula>
    </cfRule>
    <cfRule type="containsText" dxfId="2786" priority="15" operator="containsText" text="Yet to be approved">
      <formula>NOT(ISERROR(SEARCH("Yet to be approved",D253)))</formula>
    </cfRule>
  </conditionalFormatting>
  <conditionalFormatting sqref="D259">
    <cfRule type="containsText" dxfId="2785" priority="12" operator="containsText" text="DPR not submitted">
      <formula>NOT(ISERROR(SEARCH("DPR not submitted",D259)))</formula>
    </cfRule>
    <cfRule type="containsText" dxfId="2784" priority="13" operator="containsText" text="Yet to be approved">
      <formula>NOT(ISERROR(SEARCH("Yet to be approved",D259)))</formula>
    </cfRule>
  </conditionalFormatting>
  <conditionalFormatting sqref="D262">
    <cfRule type="containsText" dxfId="2783" priority="10" operator="containsText" text="DPR not submitted">
      <formula>NOT(ISERROR(SEARCH("DPR not submitted",D262)))</formula>
    </cfRule>
    <cfRule type="containsText" dxfId="2782" priority="11" operator="containsText" text="Yet to be approved">
      <formula>NOT(ISERROR(SEARCH("Yet to be approved",D262)))</formula>
    </cfRule>
  </conditionalFormatting>
  <conditionalFormatting sqref="D272">
    <cfRule type="containsText" dxfId="2781" priority="6" operator="containsText" text="DPR not submitted">
      <formula>NOT(ISERROR(SEARCH("DPR not submitted",D272)))</formula>
    </cfRule>
    <cfRule type="containsText" dxfId="2780" priority="7" operator="containsText" text="Yet to be approved">
      <formula>NOT(ISERROR(SEARCH("Yet to be approved",D272)))</formula>
    </cfRule>
  </conditionalFormatting>
  <conditionalFormatting sqref="D275">
    <cfRule type="containsText" dxfId="2779" priority="4" operator="containsText" text="DPR not submitted">
      <formula>NOT(ISERROR(SEARCH("DPR not submitted",D275)))</formula>
    </cfRule>
    <cfRule type="containsText" dxfId="2778" priority="5" operator="containsText" text="Yet to be approved">
      <formula>NOT(ISERROR(SEARCH("Yet to be approved",D275)))</formula>
    </cfRule>
  </conditionalFormatting>
  <conditionalFormatting sqref="D29:E40">
    <cfRule type="containsText" dxfId="2777" priority="326" operator="containsText" text="DPR not submitted">
      <formula>NOT(ISERROR(SEARCH("DPR not submitted",D29)))</formula>
    </cfRule>
    <cfRule type="containsText" dxfId="2776" priority="327" operator="containsText" text="Yet to be approved">
      <formula>NOT(ISERROR(SEARCH("Yet to be approved",D29)))</formula>
    </cfRule>
  </conditionalFormatting>
  <conditionalFormatting sqref="D42:E46">
    <cfRule type="containsText" dxfId="2775" priority="322" operator="containsText" text="DPR not submitted">
      <formula>NOT(ISERROR(SEARCH("DPR not submitted",D42)))</formula>
    </cfRule>
    <cfRule type="containsText" dxfId="2774" priority="323" operator="containsText" text="Yet to be approved">
      <formula>NOT(ISERROR(SEARCH("Yet to be approved",D42)))</formula>
    </cfRule>
  </conditionalFormatting>
  <conditionalFormatting sqref="D48:E50">
    <cfRule type="containsText" dxfId="2773" priority="318" operator="containsText" text="DPR not submitted">
      <formula>NOT(ISERROR(SEARCH("DPR not submitted",D48)))</formula>
    </cfRule>
    <cfRule type="containsText" dxfId="2772" priority="319" operator="containsText" text="Yet to be approved">
      <formula>NOT(ISERROR(SEARCH("Yet to be approved",D48)))</formula>
    </cfRule>
  </conditionalFormatting>
  <conditionalFormatting sqref="D52:E52">
    <cfRule type="containsText" dxfId="2771" priority="314" operator="containsText" text="DPR not submitted">
      <formula>NOT(ISERROR(SEARCH("DPR not submitted",D52)))</formula>
    </cfRule>
    <cfRule type="containsText" dxfId="2770" priority="315" operator="containsText" text="Yet to be approved">
      <formula>NOT(ISERROR(SEARCH("Yet to be approved",D52)))</formula>
    </cfRule>
  </conditionalFormatting>
  <conditionalFormatting sqref="D54:E54">
    <cfRule type="containsText" dxfId="2769" priority="310" operator="containsText" text="DPR not submitted">
      <formula>NOT(ISERROR(SEARCH("DPR not submitted",D54)))</formula>
    </cfRule>
    <cfRule type="containsText" dxfId="2768" priority="311" operator="containsText" text="Yet to be approved">
      <formula>NOT(ISERROR(SEARCH("Yet to be approved",D54)))</formula>
    </cfRule>
  </conditionalFormatting>
  <conditionalFormatting sqref="D56:E58">
    <cfRule type="containsText" dxfId="2767" priority="306" operator="containsText" text="DPR not submitted">
      <formula>NOT(ISERROR(SEARCH("DPR not submitted",D56)))</formula>
    </cfRule>
    <cfRule type="containsText" dxfId="2766" priority="307" operator="containsText" text="Yet to be approved">
      <formula>NOT(ISERROR(SEARCH("Yet to be approved",D56)))</formula>
    </cfRule>
  </conditionalFormatting>
  <conditionalFormatting sqref="D60:E62">
    <cfRule type="containsText" dxfId="2765" priority="302" operator="containsText" text="DPR not submitted">
      <formula>NOT(ISERROR(SEARCH("DPR not submitted",D60)))</formula>
    </cfRule>
    <cfRule type="containsText" dxfId="2764" priority="303" operator="containsText" text="Yet to be approved">
      <formula>NOT(ISERROR(SEARCH("Yet to be approved",D60)))</formula>
    </cfRule>
  </conditionalFormatting>
  <conditionalFormatting sqref="D64:E65">
    <cfRule type="containsText" dxfId="2763" priority="298" operator="containsText" text="DPR not submitted">
      <formula>NOT(ISERROR(SEARCH("DPR not submitted",D64)))</formula>
    </cfRule>
    <cfRule type="containsText" dxfId="2762" priority="299" operator="containsText" text="Yet to be approved">
      <formula>NOT(ISERROR(SEARCH("Yet to be approved",D64)))</formula>
    </cfRule>
  </conditionalFormatting>
  <conditionalFormatting sqref="D67:E70">
    <cfRule type="containsText" dxfId="2761" priority="294" operator="containsText" text="DPR not submitted">
      <formula>NOT(ISERROR(SEARCH("DPR not submitted",D67)))</formula>
    </cfRule>
    <cfRule type="containsText" dxfId="2760" priority="295" operator="containsText" text="Yet to be approved">
      <formula>NOT(ISERROR(SEARCH("Yet to be approved",D67)))</formula>
    </cfRule>
  </conditionalFormatting>
  <conditionalFormatting sqref="D72:E81">
    <cfRule type="containsText" dxfId="2759" priority="290" operator="containsText" text="DPR not submitted">
      <formula>NOT(ISERROR(SEARCH("DPR not submitted",D72)))</formula>
    </cfRule>
    <cfRule type="containsText" dxfId="2758" priority="291" operator="containsText" text="Yet to be approved">
      <formula>NOT(ISERROR(SEARCH("Yet to be approved",D72)))</formula>
    </cfRule>
  </conditionalFormatting>
  <conditionalFormatting sqref="D83:E85">
    <cfRule type="containsText" dxfId="2757" priority="286" operator="containsText" text="DPR not submitted">
      <formula>NOT(ISERROR(SEARCH("DPR not submitted",D83)))</formula>
    </cfRule>
    <cfRule type="containsText" dxfId="2756" priority="287" operator="containsText" text="Yet to be approved">
      <formula>NOT(ISERROR(SEARCH("Yet to be approved",D83)))</formula>
    </cfRule>
  </conditionalFormatting>
  <conditionalFormatting sqref="D87:E93">
    <cfRule type="containsText" dxfId="2755" priority="282" operator="containsText" text="DPR not submitted">
      <formula>NOT(ISERROR(SEARCH("DPR not submitted",D87)))</formula>
    </cfRule>
    <cfRule type="containsText" dxfId="2754" priority="283" operator="containsText" text="Yet to be approved">
      <formula>NOT(ISERROR(SEARCH("Yet to be approved",D87)))</formula>
    </cfRule>
  </conditionalFormatting>
  <conditionalFormatting sqref="D95:E96">
    <cfRule type="containsText" dxfId="2753" priority="278" operator="containsText" text="DPR not submitted">
      <formula>NOT(ISERROR(SEARCH("DPR not submitted",D95)))</formula>
    </cfRule>
    <cfRule type="containsText" dxfId="2752" priority="279" operator="containsText" text="Yet to be approved">
      <formula>NOT(ISERROR(SEARCH("Yet to be approved",D95)))</formula>
    </cfRule>
  </conditionalFormatting>
  <conditionalFormatting sqref="D98:E100">
    <cfRule type="containsText" dxfId="2751" priority="274" operator="containsText" text="DPR not submitted">
      <formula>NOT(ISERROR(SEARCH("DPR not submitted",D98)))</formula>
    </cfRule>
    <cfRule type="containsText" dxfId="2750" priority="275" operator="containsText" text="Yet to be approved">
      <formula>NOT(ISERROR(SEARCH("Yet to be approved",D98)))</formula>
    </cfRule>
  </conditionalFormatting>
  <conditionalFormatting sqref="D102:E104">
    <cfRule type="containsText" dxfId="2749" priority="270" operator="containsText" text="DPR not submitted">
      <formula>NOT(ISERROR(SEARCH("DPR not submitted",D102)))</formula>
    </cfRule>
    <cfRule type="containsText" dxfId="2748" priority="271" operator="containsText" text="Yet to be approved">
      <formula>NOT(ISERROR(SEARCH("Yet to be approved",D102)))</formula>
    </cfRule>
  </conditionalFormatting>
  <conditionalFormatting sqref="D106:E108">
    <cfRule type="containsText" dxfId="2747" priority="266" operator="containsText" text="DPR not submitted">
      <formula>NOT(ISERROR(SEARCH("DPR not submitted",D106)))</formula>
    </cfRule>
    <cfRule type="containsText" dxfId="2746" priority="267" operator="containsText" text="Yet to be approved">
      <formula>NOT(ISERROR(SEARCH("Yet to be approved",D106)))</formula>
    </cfRule>
  </conditionalFormatting>
  <conditionalFormatting sqref="D110:E113">
    <cfRule type="containsText" dxfId="2745" priority="262" operator="containsText" text="DPR not submitted">
      <formula>NOT(ISERROR(SEARCH("DPR not submitted",D110)))</formula>
    </cfRule>
    <cfRule type="containsText" dxfId="2744" priority="263" operator="containsText" text="Yet to be approved">
      <formula>NOT(ISERROR(SEARCH("Yet to be approved",D110)))</formula>
    </cfRule>
  </conditionalFormatting>
  <conditionalFormatting sqref="D115:E117">
    <cfRule type="containsText" dxfId="2743" priority="258" operator="containsText" text="DPR not submitted">
      <formula>NOT(ISERROR(SEARCH("DPR not submitted",D115)))</formula>
    </cfRule>
    <cfRule type="containsText" dxfId="2742" priority="259" operator="containsText" text="Yet to be approved">
      <formula>NOT(ISERROR(SEARCH("Yet to be approved",D115)))</formula>
    </cfRule>
  </conditionalFormatting>
  <conditionalFormatting sqref="D119:E123">
    <cfRule type="containsText" dxfId="2741" priority="254" operator="containsText" text="DPR not submitted">
      <formula>NOT(ISERROR(SEARCH("DPR not submitted",D119)))</formula>
    </cfRule>
    <cfRule type="containsText" dxfId="2740" priority="255" operator="containsText" text="Yet to be approved">
      <formula>NOT(ISERROR(SEARCH("Yet to be approved",D119)))</formula>
    </cfRule>
  </conditionalFormatting>
  <conditionalFormatting sqref="D125:E130">
    <cfRule type="containsText" dxfId="2739" priority="250" operator="containsText" text="DPR not submitted">
      <formula>NOT(ISERROR(SEARCH("DPR not submitted",D125)))</formula>
    </cfRule>
    <cfRule type="containsText" dxfId="2738" priority="251" operator="containsText" text="Yet to be approved">
      <formula>NOT(ISERROR(SEARCH("Yet to be approved",D125)))</formula>
    </cfRule>
  </conditionalFormatting>
  <conditionalFormatting sqref="D132:E136">
    <cfRule type="containsText" dxfId="2737" priority="246" operator="containsText" text="DPR not submitted">
      <formula>NOT(ISERROR(SEARCH("DPR not submitted",D132)))</formula>
    </cfRule>
    <cfRule type="containsText" dxfId="2736" priority="247" operator="containsText" text="Yet to be approved">
      <formula>NOT(ISERROR(SEARCH("Yet to be approved",D132)))</formula>
    </cfRule>
  </conditionalFormatting>
  <conditionalFormatting sqref="D138:E141">
    <cfRule type="containsText" dxfId="2735" priority="242" operator="containsText" text="DPR not submitted">
      <formula>NOT(ISERROR(SEARCH("DPR not submitted",D138)))</formula>
    </cfRule>
    <cfRule type="containsText" dxfId="2734" priority="243" operator="containsText" text="Yet to be approved">
      <formula>NOT(ISERROR(SEARCH("Yet to be approved",D138)))</formula>
    </cfRule>
  </conditionalFormatting>
  <conditionalFormatting sqref="D143:E146">
    <cfRule type="containsText" dxfId="2733" priority="238" operator="containsText" text="DPR not submitted">
      <formula>NOT(ISERROR(SEARCH("DPR not submitted",D143)))</formula>
    </cfRule>
    <cfRule type="containsText" dxfId="2732" priority="239" operator="containsText" text="Yet to be approved">
      <formula>NOT(ISERROR(SEARCH("Yet to be approved",D143)))</formula>
    </cfRule>
  </conditionalFormatting>
  <conditionalFormatting sqref="D148:E148">
    <cfRule type="containsText" dxfId="2731" priority="234" operator="containsText" text="DPR not submitted">
      <formula>NOT(ISERROR(SEARCH("DPR not submitted",D148)))</formula>
    </cfRule>
    <cfRule type="containsText" dxfId="2730" priority="235" operator="containsText" text="Yet to be approved">
      <formula>NOT(ISERROR(SEARCH("Yet to be approved",D148)))</formula>
    </cfRule>
  </conditionalFormatting>
  <conditionalFormatting sqref="D150:E150">
    <cfRule type="containsText" dxfId="2729" priority="230" operator="containsText" text="DPR not submitted">
      <formula>NOT(ISERROR(SEARCH("DPR not submitted",D150)))</formula>
    </cfRule>
    <cfRule type="containsText" dxfId="2728" priority="231" operator="containsText" text="Yet to be approved">
      <formula>NOT(ISERROR(SEARCH("Yet to be approved",D150)))</formula>
    </cfRule>
  </conditionalFormatting>
  <conditionalFormatting sqref="D152:E154">
    <cfRule type="containsText" dxfId="2727" priority="224" operator="containsText" text="DPR not submitted">
      <formula>NOT(ISERROR(SEARCH("DPR not submitted",D152)))</formula>
    </cfRule>
    <cfRule type="containsText" dxfId="2726" priority="225" operator="containsText" text="Yet to be approved">
      <formula>NOT(ISERROR(SEARCH("Yet to be approved",D152)))</formula>
    </cfRule>
  </conditionalFormatting>
  <conditionalFormatting sqref="D156:E159">
    <cfRule type="containsText" dxfId="2725" priority="220" operator="containsText" text="DPR not submitted">
      <formula>NOT(ISERROR(SEARCH("DPR not submitted",D156)))</formula>
    </cfRule>
    <cfRule type="containsText" dxfId="2724" priority="221" operator="containsText" text="Yet to be approved">
      <formula>NOT(ISERROR(SEARCH("Yet to be approved",D156)))</formula>
    </cfRule>
  </conditionalFormatting>
  <conditionalFormatting sqref="D161:E164">
    <cfRule type="containsText" dxfId="2723" priority="216" operator="containsText" text="DPR not submitted">
      <formula>NOT(ISERROR(SEARCH("DPR not submitted",D161)))</formula>
    </cfRule>
    <cfRule type="containsText" dxfId="2722" priority="217" operator="containsText" text="Yet to be approved">
      <formula>NOT(ISERROR(SEARCH("Yet to be approved",D161)))</formula>
    </cfRule>
  </conditionalFormatting>
  <conditionalFormatting sqref="D166:E170">
    <cfRule type="containsText" dxfId="2721" priority="212" operator="containsText" text="DPR not submitted">
      <formula>NOT(ISERROR(SEARCH("DPR not submitted",D166)))</formula>
    </cfRule>
    <cfRule type="containsText" dxfId="2720" priority="213" operator="containsText" text="Yet to be approved">
      <formula>NOT(ISERROR(SEARCH("Yet to be approved",D166)))</formula>
    </cfRule>
  </conditionalFormatting>
  <conditionalFormatting sqref="D172:E183">
    <cfRule type="containsText" dxfId="2719" priority="208" operator="containsText" text="DPR not submitted">
      <formula>NOT(ISERROR(SEARCH("DPR not submitted",D172)))</formula>
    </cfRule>
    <cfRule type="containsText" dxfId="2718" priority="209" operator="containsText" text="Yet to be approved">
      <formula>NOT(ISERROR(SEARCH("Yet to be approved",D172)))</formula>
    </cfRule>
  </conditionalFormatting>
  <conditionalFormatting sqref="D185:E187">
    <cfRule type="containsText" dxfId="2717" priority="204" operator="containsText" text="DPR not submitted">
      <formula>NOT(ISERROR(SEARCH("DPR not submitted",D185)))</formula>
    </cfRule>
    <cfRule type="containsText" dxfId="2716" priority="205" operator="containsText" text="Yet to be approved">
      <formula>NOT(ISERROR(SEARCH("Yet to be approved",D185)))</formula>
    </cfRule>
  </conditionalFormatting>
  <conditionalFormatting sqref="D189:E190">
    <cfRule type="containsText" dxfId="2715" priority="200" operator="containsText" text="DPR not submitted">
      <formula>NOT(ISERROR(SEARCH("DPR not submitted",D189)))</formula>
    </cfRule>
    <cfRule type="containsText" dxfId="2714" priority="201" operator="containsText" text="Yet to be approved">
      <formula>NOT(ISERROR(SEARCH("Yet to be approved",D189)))</formula>
    </cfRule>
  </conditionalFormatting>
  <conditionalFormatting sqref="D192:E193">
    <cfRule type="containsText" dxfId="2713" priority="196" operator="containsText" text="DPR not submitted">
      <formula>NOT(ISERROR(SEARCH("DPR not submitted",D192)))</formula>
    </cfRule>
    <cfRule type="containsText" dxfId="2712" priority="197" operator="containsText" text="Yet to be approved">
      <formula>NOT(ISERROR(SEARCH("Yet to be approved",D192)))</formula>
    </cfRule>
  </conditionalFormatting>
  <conditionalFormatting sqref="D195:E196">
    <cfRule type="containsText" dxfId="2711" priority="192" operator="containsText" text="DPR not submitted">
      <formula>NOT(ISERROR(SEARCH("DPR not submitted",D195)))</formula>
    </cfRule>
    <cfRule type="containsText" dxfId="2710" priority="193" operator="containsText" text="Yet to be approved">
      <formula>NOT(ISERROR(SEARCH("Yet to be approved",D195)))</formula>
    </cfRule>
  </conditionalFormatting>
  <conditionalFormatting sqref="D198:E199">
    <cfRule type="containsText" dxfId="2709" priority="188" operator="containsText" text="DPR not submitted">
      <formula>NOT(ISERROR(SEARCH("DPR not submitted",D198)))</formula>
    </cfRule>
    <cfRule type="containsText" dxfId="2708" priority="189" operator="containsText" text="Yet to be approved">
      <formula>NOT(ISERROR(SEARCH("Yet to be approved",D198)))</formula>
    </cfRule>
  </conditionalFormatting>
  <conditionalFormatting sqref="D201:E202 D204:E205">
    <cfRule type="containsText" dxfId="2707" priority="184" operator="containsText" text="DPR not submitted">
      <formula>NOT(ISERROR(SEARCH("DPR not submitted",D201)))</formula>
    </cfRule>
    <cfRule type="containsText" dxfId="2706" priority="185" operator="containsText" text="Yet to be approved">
      <formula>NOT(ISERROR(SEARCH("Yet to be approved",D201)))</formula>
    </cfRule>
  </conditionalFormatting>
  <conditionalFormatting sqref="D207:E208">
    <cfRule type="containsText" dxfId="2705" priority="180" operator="containsText" text="DPR not submitted">
      <formula>NOT(ISERROR(SEARCH("DPR not submitted",D207)))</formula>
    </cfRule>
    <cfRule type="containsText" dxfId="2704" priority="181" operator="containsText" text="Yet to be approved">
      <formula>NOT(ISERROR(SEARCH("Yet to be approved",D207)))</formula>
    </cfRule>
  </conditionalFormatting>
  <conditionalFormatting sqref="D210:E210">
    <cfRule type="containsText" dxfId="2703" priority="176" operator="containsText" text="DPR not submitted">
      <formula>NOT(ISERROR(SEARCH("DPR not submitted",D210)))</formula>
    </cfRule>
    <cfRule type="containsText" dxfId="2702" priority="177" operator="containsText" text="Yet to be approved">
      <formula>NOT(ISERROR(SEARCH("Yet to be approved",D210)))</formula>
    </cfRule>
  </conditionalFormatting>
  <conditionalFormatting sqref="D212:E213">
    <cfRule type="containsText" dxfId="2701" priority="172" operator="containsText" text="DPR not submitted">
      <formula>NOT(ISERROR(SEARCH("DPR not submitted",D212)))</formula>
    </cfRule>
    <cfRule type="containsText" dxfId="2700" priority="173" operator="containsText" text="Yet to be approved">
      <formula>NOT(ISERROR(SEARCH("Yet to be approved",D212)))</formula>
    </cfRule>
  </conditionalFormatting>
  <conditionalFormatting sqref="D215:E216">
    <cfRule type="containsText" dxfId="2699" priority="168" operator="containsText" text="DPR not submitted">
      <formula>NOT(ISERROR(SEARCH("DPR not submitted",D215)))</formula>
    </cfRule>
    <cfRule type="containsText" dxfId="2698" priority="169" operator="containsText" text="Yet to be approved">
      <formula>NOT(ISERROR(SEARCH("Yet to be approved",D215)))</formula>
    </cfRule>
  </conditionalFormatting>
  <conditionalFormatting sqref="D218:E218">
    <cfRule type="containsText" dxfId="2697" priority="164" operator="containsText" text="DPR not submitted">
      <formula>NOT(ISERROR(SEARCH("DPR not submitted",D218)))</formula>
    </cfRule>
    <cfRule type="containsText" dxfId="2696" priority="165" operator="containsText" text="Yet to be approved">
      <formula>NOT(ISERROR(SEARCH("Yet to be approved",D218)))</formula>
    </cfRule>
  </conditionalFormatting>
  <conditionalFormatting sqref="D220:E220">
    <cfRule type="containsText" dxfId="2695" priority="160" operator="containsText" text="DPR not submitted">
      <formula>NOT(ISERROR(SEARCH("DPR not submitted",D220)))</formula>
    </cfRule>
    <cfRule type="containsText" dxfId="2694" priority="161" operator="containsText" text="Yet to be approved">
      <formula>NOT(ISERROR(SEARCH("Yet to be approved",D220)))</formula>
    </cfRule>
  </conditionalFormatting>
  <conditionalFormatting sqref="D222:E224">
    <cfRule type="containsText" dxfId="2693" priority="156" operator="containsText" text="DPR not submitted">
      <formula>NOT(ISERROR(SEARCH("DPR not submitted",D222)))</formula>
    </cfRule>
    <cfRule type="containsText" dxfId="2692" priority="157" operator="containsText" text="Yet to be approved">
      <formula>NOT(ISERROR(SEARCH("Yet to be approved",D222)))</formula>
    </cfRule>
  </conditionalFormatting>
  <conditionalFormatting sqref="D226:E226">
    <cfRule type="containsText" dxfId="2691" priority="152" operator="containsText" text="DPR not submitted">
      <formula>NOT(ISERROR(SEARCH("DPR not submitted",D226)))</formula>
    </cfRule>
    <cfRule type="containsText" dxfId="2690" priority="153" operator="containsText" text="Yet to be approved">
      <formula>NOT(ISERROR(SEARCH("Yet to be approved",D226)))</formula>
    </cfRule>
  </conditionalFormatting>
  <conditionalFormatting sqref="D228:E230">
    <cfRule type="containsText" dxfId="2689" priority="148" operator="containsText" text="DPR not submitted">
      <formula>NOT(ISERROR(SEARCH("DPR not submitted",D228)))</formula>
    </cfRule>
    <cfRule type="containsText" dxfId="2688" priority="149" operator="containsText" text="Yet to be approved">
      <formula>NOT(ISERROR(SEARCH("Yet to be approved",D228)))</formula>
    </cfRule>
  </conditionalFormatting>
  <conditionalFormatting sqref="D232:E234">
    <cfRule type="containsText" dxfId="2687" priority="144" operator="containsText" text="DPR not submitted">
      <formula>NOT(ISERROR(SEARCH("DPR not submitted",D232)))</formula>
    </cfRule>
    <cfRule type="containsText" dxfId="2686" priority="145" operator="containsText" text="Yet to be approved">
      <formula>NOT(ISERROR(SEARCH("Yet to be approved",D232)))</formula>
    </cfRule>
  </conditionalFormatting>
  <conditionalFormatting sqref="D236:E238">
    <cfRule type="containsText" dxfId="2685" priority="140" operator="containsText" text="DPR not submitted">
      <formula>NOT(ISERROR(SEARCH("DPR not submitted",D236)))</formula>
    </cfRule>
    <cfRule type="containsText" dxfId="2684" priority="141" operator="containsText" text="Yet to be approved">
      <formula>NOT(ISERROR(SEARCH("Yet to be approved",D236)))</formula>
    </cfRule>
  </conditionalFormatting>
  <conditionalFormatting sqref="D240:E243">
    <cfRule type="containsText" dxfId="2683" priority="136" operator="containsText" text="DPR not submitted">
      <formula>NOT(ISERROR(SEARCH("DPR not submitted",D240)))</formula>
    </cfRule>
    <cfRule type="containsText" dxfId="2682" priority="137" operator="containsText" text="Yet to be approved">
      <formula>NOT(ISERROR(SEARCH("Yet to be approved",D240)))</formula>
    </cfRule>
  </conditionalFormatting>
  <conditionalFormatting sqref="D245:E246">
    <cfRule type="containsText" dxfId="2681" priority="132" operator="containsText" text="DPR not submitted">
      <formula>NOT(ISERROR(SEARCH("DPR not submitted",D245)))</formula>
    </cfRule>
    <cfRule type="containsText" dxfId="2680" priority="133" operator="containsText" text="Yet to be approved">
      <formula>NOT(ISERROR(SEARCH("Yet to be approved",D245)))</formula>
    </cfRule>
  </conditionalFormatting>
  <conditionalFormatting sqref="D248:E249">
    <cfRule type="containsText" dxfId="2679" priority="128" operator="containsText" text="DPR not submitted">
      <formula>NOT(ISERROR(SEARCH("DPR not submitted",D248)))</formula>
    </cfRule>
    <cfRule type="containsText" dxfId="2678" priority="129" operator="containsText" text="Yet to be approved">
      <formula>NOT(ISERROR(SEARCH("Yet to be approved",D248)))</formula>
    </cfRule>
  </conditionalFormatting>
  <conditionalFormatting sqref="D251:E252">
    <cfRule type="containsText" dxfId="2677" priority="124" operator="containsText" text="DPR not submitted">
      <formula>NOT(ISERROR(SEARCH("DPR not submitted",D251)))</formula>
    </cfRule>
    <cfRule type="containsText" dxfId="2676" priority="125" operator="containsText" text="Yet to be approved">
      <formula>NOT(ISERROR(SEARCH("Yet to be approved",D251)))</formula>
    </cfRule>
  </conditionalFormatting>
  <conditionalFormatting sqref="D254:E258 G254:L258 D273:E274 G273:L274 D276:E309 G276:L309">
    <cfRule type="containsText" dxfId="2675" priority="228" operator="containsText" text="DPR not submitted">
      <formula>NOT(ISERROR(SEARCH("DPR not submitted",D254)))</formula>
    </cfRule>
    <cfRule type="containsText" dxfId="2674" priority="229" operator="containsText" text="Yet to be approved">
      <formula>NOT(ISERROR(SEARCH("Yet to be approved",D254)))</formula>
    </cfRule>
  </conditionalFormatting>
  <conditionalFormatting sqref="D260:E261">
    <cfRule type="containsText" dxfId="2673" priority="120" operator="containsText" text="DPR not submitted">
      <formula>NOT(ISERROR(SEARCH("DPR not submitted",D260)))</formula>
    </cfRule>
    <cfRule type="containsText" dxfId="2672" priority="121" operator="containsText" text="Yet to be approved">
      <formula>NOT(ISERROR(SEARCH("Yet to be approved",D260)))</formula>
    </cfRule>
  </conditionalFormatting>
  <conditionalFormatting sqref="D263:E271 G263:L271">
    <cfRule type="containsText" dxfId="2671" priority="8" operator="containsText" text="DPR not submitted">
      <formula>NOT(ISERROR(SEARCH("DPR not submitted",D263)))</formula>
    </cfRule>
    <cfRule type="containsText" dxfId="2670" priority="9" operator="containsText" text="Yet to be approved">
      <formula>NOT(ISERROR(SEARCH("Yet to be approved",D263)))</formula>
    </cfRule>
  </conditionalFormatting>
  <conditionalFormatting sqref="E11:E27">
    <cfRule type="containsText" dxfId="2669" priority="330" operator="containsText" text="DPR not submitted">
      <formula>NOT(ISERROR(SEARCH("DPR not submitted",E11)))</formula>
    </cfRule>
    <cfRule type="containsText" dxfId="2668" priority="331" operator="containsText" text="Yet to be approved">
      <formula>NOT(ISERROR(SEARCH("Yet to be approved",E11)))</formula>
    </cfRule>
  </conditionalFormatting>
  <conditionalFormatting sqref="G11:L27">
    <cfRule type="containsText" dxfId="2667" priority="328" operator="containsText" text="DPR not submitted">
      <formula>NOT(ISERROR(SEARCH("DPR not submitted",G11)))</formula>
    </cfRule>
    <cfRule type="containsText" dxfId="2666" priority="329" operator="containsText" text="Yet to be approved">
      <formula>NOT(ISERROR(SEARCH("Yet to be approved",G11)))</formula>
    </cfRule>
  </conditionalFormatting>
  <conditionalFormatting sqref="G29:L40">
    <cfRule type="containsText" dxfId="2665" priority="324" operator="containsText" text="DPR not submitted">
      <formula>NOT(ISERROR(SEARCH("DPR not submitted",G29)))</formula>
    </cfRule>
    <cfRule type="containsText" dxfId="2664" priority="325" operator="containsText" text="Yet to be approved">
      <formula>NOT(ISERROR(SEARCH("Yet to be approved",G29)))</formula>
    </cfRule>
  </conditionalFormatting>
  <conditionalFormatting sqref="G42:L46">
    <cfRule type="containsText" dxfId="2663" priority="320" operator="containsText" text="DPR not submitted">
      <formula>NOT(ISERROR(SEARCH("DPR not submitted",G42)))</formula>
    </cfRule>
    <cfRule type="containsText" dxfId="2662" priority="321" operator="containsText" text="Yet to be approved">
      <formula>NOT(ISERROR(SEARCH("Yet to be approved",G42)))</formula>
    </cfRule>
  </conditionalFormatting>
  <conditionalFormatting sqref="G48:L50">
    <cfRule type="containsText" dxfId="2661" priority="316" operator="containsText" text="DPR not submitted">
      <formula>NOT(ISERROR(SEARCH("DPR not submitted",G48)))</formula>
    </cfRule>
    <cfRule type="containsText" dxfId="2660" priority="317" operator="containsText" text="Yet to be approved">
      <formula>NOT(ISERROR(SEARCH("Yet to be approved",G48)))</formula>
    </cfRule>
  </conditionalFormatting>
  <conditionalFormatting sqref="G52:L52">
    <cfRule type="containsText" dxfId="2659" priority="312" operator="containsText" text="DPR not submitted">
      <formula>NOT(ISERROR(SEARCH("DPR not submitted",G52)))</formula>
    </cfRule>
    <cfRule type="containsText" dxfId="2658" priority="313" operator="containsText" text="Yet to be approved">
      <formula>NOT(ISERROR(SEARCH("Yet to be approved",G52)))</formula>
    </cfRule>
  </conditionalFormatting>
  <conditionalFormatting sqref="G54:L54">
    <cfRule type="containsText" dxfId="2657" priority="308" operator="containsText" text="DPR not submitted">
      <formula>NOT(ISERROR(SEARCH("DPR not submitted",G54)))</formula>
    </cfRule>
    <cfRule type="containsText" dxfId="2656" priority="309" operator="containsText" text="Yet to be approved">
      <formula>NOT(ISERROR(SEARCH("Yet to be approved",G54)))</formula>
    </cfRule>
  </conditionalFormatting>
  <conditionalFormatting sqref="G56:L58">
    <cfRule type="containsText" dxfId="2655" priority="304" operator="containsText" text="DPR not submitted">
      <formula>NOT(ISERROR(SEARCH("DPR not submitted",G56)))</formula>
    </cfRule>
    <cfRule type="containsText" dxfId="2654" priority="305" operator="containsText" text="Yet to be approved">
      <formula>NOT(ISERROR(SEARCH("Yet to be approved",G56)))</formula>
    </cfRule>
  </conditionalFormatting>
  <conditionalFormatting sqref="G60:L62">
    <cfRule type="containsText" dxfId="2653" priority="300" operator="containsText" text="DPR not submitted">
      <formula>NOT(ISERROR(SEARCH("DPR not submitted",G60)))</formula>
    </cfRule>
    <cfRule type="containsText" dxfId="2652" priority="301" operator="containsText" text="Yet to be approved">
      <formula>NOT(ISERROR(SEARCH("Yet to be approved",G60)))</formula>
    </cfRule>
  </conditionalFormatting>
  <conditionalFormatting sqref="G64:L65">
    <cfRule type="containsText" dxfId="2651" priority="296" operator="containsText" text="DPR not submitted">
      <formula>NOT(ISERROR(SEARCH("DPR not submitted",G64)))</formula>
    </cfRule>
    <cfRule type="containsText" dxfId="2650" priority="297" operator="containsText" text="Yet to be approved">
      <formula>NOT(ISERROR(SEARCH("Yet to be approved",G64)))</formula>
    </cfRule>
  </conditionalFormatting>
  <conditionalFormatting sqref="G67:L70">
    <cfRule type="containsText" dxfId="2649" priority="292" operator="containsText" text="DPR not submitted">
      <formula>NOT(ISERROR(SEARCH("DPR not submitted",G67)))</formula>
    </cfRule>
    <cfRule type="containsText" dxfId="2648" priority="293" operator="containsText" text="Yet to be approved">
      <formula>NOT(ISERROR(SEARCH("Yet to be approved",G67)))</formula>
    </cfRule>
  </conditionalFormatting>
  <conditionalFormatting sqref="G72:L81">
    <cfRule type="containsText" dxfId="2647" priority="288" operator="containsText" text="DPR not submitted">
      <formula>NOT(ISERROR(SEARCH("DPR not submitted",G72)))</formula>
    </cfRule>
    <cfRule type="containsText" dxfId="2646" priority="289" operator="containsText" text="Yet to be approved">
      <formula>NOT(ISERROR(SEARCH("Yet to be approved",G72)))</formula>
    </cfRule>
  </conditionalFormatting>
  <conditionalFormatting sqref="G83:L85">
    <cfRule type="containsText" dxfId="2645" priority="284" operator="containsText" text="DPR not submitted">
      <formula>NOT(ISERROR(SEARCH("DPR not submitted",G83)))</formula>
    </cfRule>
    <cfRule type="containsText" dxfId="2644" priority="285" operator="containsText" text="Yet to be approved">
      <formula>NOT(ISERROR(SEARCH("Yet to be approved",G83)))</formula>
    </cfRule>
  </conditionalFormatting>
  <conditionalFormatting sqref="G87:L93">
    <cfRule type="containsText" dxfId="2643" priority="280" operator="containsText" text="DPR not submitted">
      <formula>NOT(ISERROR(SEARCH("DPR not submitted",G87)))</formula>
    </cfRule>
    <cfRule type="containsText" dxfId="2642" priority="281" operator="containsText" text="Yet to be approved">
      <formula>NOT(ISERROR(SEARCH("Yet to be approved",G87)))</formula>
    </cfRule>
  </conditionalFormatting>
  <conditionalFormatting sqref="G95:L96">
    <cfRule type="containsText" dxfId="2641" priority="276" operator="containsText" text="DPR not submitted">
      <formula>NOT(ISERROR(SEARCH("DPR not submitted",G95)))</formula>
    </cfRule>
    <cfRule type="containsText" dxfId="2640" priority="277" operator="containsText" text="Yet to be approved">
      <formula>NOT(ISERROR(SEARCH("Yet to be approved",G95)))</formula>
    </cfRule>
  </conditionalFormatting>
  <conditionalFormatting sqref="G98:L100">
    <cfRule type="containsText" dxfId="2639" priority="272" operator="containsText" text="DPR not submitted">
      <formula>NOT(ISERROR(SEARCH("DPR not submitted",G98)))</formula>
    </cfRule>
    <cfRule type="containsText" dxfId="2638" priority="273" operator="containsText" text="Yet to be approved">
      <formula>NOT(ISERROR(SEARCH("Yet to be approved",G98)))</formula>
    </cfRule>
  </conditionalFormatting>
  <conditionalFormatting sqref="G102:L104">
    <cfRule type="containsText" dxfId="2637" priority="268" operator="containsText" text="DPR not submitted">
      <formula>NOT(ISERROR(SEARCH("DPR not submitted",G102)))</formula>
    </cfRule>
    <cfRule type="containsText" dxfId="2636" priority="269" operator="containsText" text="Yet to be approved">
      <formula>NOT(ISERROR(SEARCH("Yet to be approved",G102)))</formula>
    </cfRule>
  </conditionalFormatting>
  <conditionalFormatting sqref="G106:L108">
    <cfRule type="containsText" dxfId="2635" priority="264" operator="containsText" text="DPR not submitted">
      <formula>NOT(ISERROR(SEARCH("DPR not submitted",G106)))</formula>
    </cfRule>
    <cfRule type="containsText" dxfId="2634" priority="265" operator="containsText" text="Yet to be approved">
      <formula>NOT(ISERROR(SEARCH("Yet to be approved",G106)))</formula>
    </cfRule>
  </conditionalFormatting>
  <conditionalFormatting sqref="G110:L113">
    <cfRule type="containsText" dxfId="2633" priority="260" operator="containsText" text="DPR not submitted">
      <formula>NOT(ISERROR(SEARCH("DPR not submitted",G110)))</formula>
    </cfRule>
    <cfRule type="containsText" dxfId="2632" priority="261" operator="containsText" text="Yet to be approved">
      <formula>NOT(ISERROR(SEARCH("Yet to be approved",G110)))</formula>
    </cfRule>
  </conditionalFormatting>
  <conditionalFormatting sqref="G115:L117">
    <cfRule type="containsText" dxfId="2631" priority="256" operator="containsText" text="DPR not submitted">
      <formula>NOT(ISERROR(SEARCH("DPR not submitted",G115)))</formula>
    </cfRule>
    <cfRule type="containsText" dxfId="2630" priority="257" operator="containsText" text="Yet to be approved">
      <formula>NOT(ISERROR(SEARCH("Yet to be approved",G115)))</formula>
    </cfRule>
  </conditionalFormatting>
  <conditionalFormatting sqref="G119:L123">
    <cfRule type="containsText" dxfId="2629" priority="252" operator="containsText" text="DPR not submitted">
      <formula>NOT(ISERROR(SEARCH("DPR not submitted",G119)))</formula>
    </cfRule>
    <cfRule type="containsText" dxfId="2628" priority="253" operator="containsText" text="Yet to be approved">
      <formula>NOT(ISERROR(SEARCH("Yet to be approved",G119)))</formula>
    </cfRule>
  </conditionalFormatting>
  <conditionalFormatting sqref="G125:L130">
    <cfRule type="containsText" dxfId="2627" priority="248" operator="containsText" text="DPR not submitted">
      <formula>NOT(ISERROR(SEARCH("DPR not submitted",G125)))</formula>
    </cfRule>
    <cfRule type="containsText" dxfId="2626" priority="249" operator="containsText" text="Yet to be approved">
      <formula>NOT(ISERROR(SEARCH("Yet to be approved",G125)))</formula>
    </cfRule>
  </conditionalFormatting>
  <conditionalFormatting sqref="G132:L136">
    <cfRule type="containsText" dxfId="2625" priority="244" operator="containsText" text="DPR not submitted">
      <formula>NOT(ISERROR(SEARCH("DPR not submitted",G132)))</formula>
    </cfRule>
    <cfRule type="containsText" dxfId="2624" priority="245" operator="containsText" text="Yet to be approved">
      <formula>NOT(ISERROR(SEARCH("Yet to be approved",G132)))</formula>
    </cfRule>
  </conditionalFormatting>
  <conditionalFormatting sqref="G138:L141">
    <cfRule type="containsText" dxfId="2623" priority="240" operator="containsText" text="DPR not submitted">
      <formula>NOT(ISERROR(SEARCH("DPR not submitted",G138)))</formula>
    </cfRule>
    <cfRule type="containsText" dxfId="2622" priority="241" operator="containsText" text="Yet to be approved">
      <formula>NOT(ISERROR(SEARCH("Yet to be approved",G138)))</formula>
    </cfRule>
  </conditionalFormatting>
  <conditionalFormatting sqref="G143:L146">
    <cfRule type="containsText" dxfId="2621" priority="236" operator="containsText" text="DPR not submitted">
      <formula>NOT(ISERROR(SEARCH("DPR not submitted",G143)))</formula>
    </cfRule>
    <cfRule type="containsText" dxfId="2620" priority="237" operator="containsText" text="Yet to be approved">
      <formula>NOT(ISERROR(SEARCH("Yet to be approved",G143)))</formula>
    </cfRule>
  </conditionalFormatting>
  <conditionalFormatting sqref="G148:L148">
    <cfRule type="containsText" dxfId="2619" priority="232" operator="containsText" text="DPR not submitted">
      <formula>NOT(ISERROR(SEARCH("DPR not submitted",G148)))</formula>
    </cfRule>
    <cfRule type="containsText" dxfId="2618" priority="233" operator="containsText" text="Yet to be approved">
      <formula>NOT(ISERROR(SEARCH("Yet to be approved",G148)))</formula>
    </cfRule>
  </conditionalFormatting>
  <conditionalFormatting sqref="G150:L150">
    <cfRule type="containsText" dxfId="2617" priority="226" operator="containsText" text="DPR not submitted">
      <formula>NOT(ISERROR(SEARCH("DPR not submitted",G150)))</formula>
    </cfRule>
    <cfRule type="containsText" dxfId="2616" priority="227" operator="containsText" text="Yet to be approved">
      <formula>NOT(ISERROR(SEARCH("Yet to be approved",G150)))</formula>
    </cfRule>
  </conditionalFormatting>
  <conditionalFormatting sqref="G152:L154">
    <cfRule type="containsText" dxfId="2615" priority="222" operator="containsText" text="DPR not submitted">
      <formula>NOT(ISERROR(SEARCH("DPR not submitted",G152)))</formula>
    </cfRule>
    <cfRule type="containsText" dxfId="2614" priority="223" operator="containsText" text="Yet to be approved">
      <formula>NOT(ISERROR(SEARCH("Yet to be approved",G152)))</formula>
    </cfRule>
  </conditionalFormatting>
  <conditionalFormatting sqref="G156:L159">
    <cfRule type="containsText" dxfId="2613" priority="218" operator="containsText" text="DPR not submitted">
      <formula>NOT(ISERROR(SEARCH("DPR not submitted",G156)))</formula>
    </cfRule>
    <cfRule type="containsText" dxfId="2612" priority="219" operator="containsText" text="Yet to be approved">
      <formula>NOT(ISERROR(SEARCH("Yet to be approved",G156)))</formula>
    </cfRule>
  </conditionalFormatting>
  <conditionalFormatting sqref="G161:L164">
    <cfRule type="containsText" dxfId="2611" priority="214" operator="containsText" text="DPR not submitted">
      <formula>NOT(ISERROR(SEARCH("DPR not submitted",G161)))</formula>
    </cfRule>
    <cfRule type="containsText" dxfId="2610" priority="215" operator="containsText" text="Yet to be approved">
      <formula>NOT(ISERROR(SEARCH("Yet to be approved",G161)))</formula>
    </cfRule>
  </conditionalFormatting>
  <conditionalFormatting sqref="G166:L170">
    <cfRule type="containsText" dxfId="2609" priority="210" operator="containsText" text="DPR not submitted">
      <formula>NOT(ISERROR(SEARCH("DPR not submitted",G166)))</formula>
    </cfRule>
    <cfRule type="containsText" dxfId="2608" priority="211" operator="containsText" text="Yet to be approved">
      <formula>NOT(ISERROR(SEARCH("Yet to be approved",G166)))</formula>
    </cfRule>
  </conditionalFormatting>
  <conditionalFormatting sqref="G172:L183">
    <cfRule type="containsText" dxfId="2607" priority="206" operator="containsText" text="DPR not submitted">
      <formula>NOT(ISERROR(SEARCH("DPR not submitted",G172)))</formula>
    </cfRule>
    <cfRule type="containsText" dxfId="2606" priority="207" operator="containsText" text="Yet to be approved">
      <formula>NOT(ISERROR(SEARCH("Yet to be approved",G172)))</formula>
    </cfRule>
  </conditionalFormatting>
  <conditionalFormatting sqref="G185:L187">
    <cfRule type="containsText" dxfId="2605" priority="202" operator="containsText" text="DPR not submitted">
      <formula>NOT(ISERROR(SEARCH("DPR not submitted",G185)))</formula>
    </cfRule>
    <cfRule type="containsText" dxfId="2604" priority="203" operator="containsText" text="Yet to be approved">
      <formula>NOT(ISERROR(SEARCH("Yet to be approved",G185)))</formula>
    </cfRule>
  </conditionalFormatting>
  <conditionalFormatting sqref="G189:L190">
    <cfRule type="containsText" dxfId="2603" priority="198" operator="containsText" text="DPR not submitted">
      <formula>NOT(ISERROR(SEARCH("DPR not submitted",G189)))</formula>
    </cfRule>
    <cfRule type="containsText" dxfId="2602" priority="199" operator="containsText" text="Yet to be approved">
      <formula>NOT(ISERROR(SEARCH("Yet to be approved",G189)))</formula>
    </cfRule>
  </conditionalFormatting>
  <conditionalFormatting sqref="G192:L193">
    <cfRule type="containsText" dxfId="2601" priority="194" operator="containsText" text="DPR not submitted">
      <formula>NOT(ISERROR(SEARCH("DPR not submitted",G192)))</formula>
    </cfRule>
    <cfRule type="containsText" dxfId="2600" priority="195" operator="containsText" text="Yet to be approved">
      <formula>NOT(ISERROR(SEARCH("Yet to be approved",G192)))</formula>
    </cfRule>
  </conditionalFormatting>
  <conditionalFormatting sqref="G195:L196">
    <cfRule type="containsText" dxfId="2599" priority="190" operator="containsText" text="DPR not submitted">
      <formula>NOT(ISERROR(SEARCH("DPR not submitted",G195)))</formula>
    </cfRule>
    <cfRule type="containsText" dxfId="2598" priority="191" operator="containsText" text="Yet to be approved">
      <formula>NOT(ISERROR(SEARCH("Yet to be approved",G195)))</formula>
    </cfRule>
  </conditionalFormatting>
  <conditionalFormatting sqref="G198:L199">
    <cfRule type="containsText" dxfId="2597" priority="186" operator="containsText" text="DPR not submitted">
      <formula>NOT(ISERROR(SEARCH("DPR not submitted",G198)))</formula>
    </cfRule>
    <cfRule type="containsText" dxfId="2596" priority="187" operator="containsText" text="Yet to be approved">
      <formula>NOT(ISERROR(SEARCH("Yet to be approved",G198)))</formula>
    </cfRule>
  </conditionalFormatting>
  <conditionalFormatting sqref="G201:L202 G204:L205">
    <cfRule type="containsText" dxfId="2595" priority="182" operator="containsText" text="DPR not submitted">
      <formula>NOT(ISERROR(SEARCH("DPR not submitted",G201)))</formula>
    </cfRule>
    <cfRule type="containsText" dxfId="2594" priority="183" operator="containsText" text="Yet to be approved">
      <formula>NOT(ISERROR(SEARCH("Yet to be approved",G201)))</formula>
    </cfRule>
  </conditionalFormatting>
  <conditionalFormatting sqref="G207:L208">
    <cfRule type="containsText" dxfId="2593" priority="178" operator="containsText" text="DPR not submitted">
      <formula>NOT(ISERROR(SEARCH("DPR not submitted",G207)))</formula>
    </cfRule>
    <cfRule type="containsText" dxfId="2592" priority="179" operator="containsText" text="Yet to be approved">
      <formula>NOT(ISERROR(SEARCH("Yet to be approved",G207)))</formula>
    </cfRule>
  </conditionalFormatting>
  <conditionalFormatting sqref="G210:L210">
    <cfRule type="containsText" dxfId="2591" priority="174" operator="containsText" text="DPR not submitted">
      <formula>NOT(ISERROR(SEARCH("DPR not submitted",G210)))</formula>
    </cfRule>
    <cfRule type="containsText" dxfId="2590" priority="175" operator="containsText" text="Yet to be approved">
      <formula>NOT(ISERROR(SEARCH("Yet to be approved",G210)))</formula>
    </cfRule>
  </conditionalFormatting>
  <conditionalFormatting sqref="G212:L213">
    <cfRule type="containsText" dxfId="2589" priority="170" operator="containsText" text="DPR not submitted">
      <formula>NOT(ISERROR(SEARCH("DPR not submitted",G212)))</formula>
    </cfRule>
    <cfRule type="containsText" dxfId="2588" priority="171" operator="containsText" text="Yet to be approved">
      <formula>NOT(ISERROR(SEARCH("Yet to be approved",G212)))</formula>
    </cfRule>
  </conditionalFormatting>
  <conditionalFormatting sqref="G215:L216">
    <cfRule type="containsText" dxfId="2587" priority="166" operator="containsText" text="DPR not submitted">
      <formula>NOT(ISERROR(SEARCH("DPR not submitted",G215)))</formula>
    </cfRule>
    <cfRule type="containsText" dxfId="2586" priority="167" operator="containsText" text="Yet to be approved">
      <formula>NOT(ISERROR(SEARCH("Yet to be approved",G215)))</formula>
    </cfRule>
  </conditionalFormatting>
  <conditionalFormatting sqref="G218:L218">
    <cfRule type="containsText" dxfId="2585" priority="162" operator="containsText" text="DPR not submitted">
      <formula>NOT(ISERROR(SEARCH("DPR not submitted",G218)))</formula>
    </cfRule>
    <cfRule type="containsText" dxfId="2584" priority="163" operator="containsText" text="Yet to be approved">
      <formula>NOT(ISERROR(SEARCH("Yet to be approved",G218)))</formula>
    </cfRule>
  </conditionalFormatting>
  <conditionalFormatting sqref="G220:L220">
    <cfRule type="containsText" dxfId="2583" priority="158" operator="containsText" text="DPR not submitted">
      <formula>NOT(ISERROR(SEARCH("DPR not submitted",G220)))</formula>
    </cfRule>
    <cfRule type="containsText" dxfId="2582" priority="159" operator="containsText" text="Yet to be approved">
      <formula>NOT(ISERROR(SEARCH("Yet to be approved",G220)))</formula>
    </cfRule>
  </conditionalFormatting>
  <conditionalFormatting sqref="G222:L224">
    <cfRule type="containsText" dxfId="2581" priority="154" operator="containsText" text="DPR not submitted">
      <formula>NOT(ISERROR(SEARCH("DPR not submitted",G222)))</formula>
    </cfRule>
    <cfRule type="containsText" dxfId="2580" priority="155" operator="containsText" text="Yet to be approved">
      <formula>NOT(ISERROR(SEARCH("Yet to be approved",G222)))</formula>
    </cfRule>
  </conditionalFormatting>
  <conditionalFormatting sqref="G226:L226">
    <cfRule type="containsText" dxfId="2579" priority="150" operator="containsText" text="DPR not submitted">
      <formula>NOT(ISERROR(SEARCH("DPR not submitted",G226)))</formula>
    </cfRule>
    <cfRule type="containsText" dxfId="2578" priority="151" operator="containsText" text="Yet to be approved">
      <formula>NOT(ISERROR(SEARCH("Yet to be approved",G226)))</formula>
    </cfRule>
  </conditionalFormatting>
  <conditionalFormatting sqref="G228:L230">
    <cfRule type="containsText" dxfId="2577" priority="146" operator="containsText" text="DPR not submitted">
      <formula>NOT(ISERROR(SEARCH("DPR not submitted",G228)))</formula>
    </cfRule>
    <cfRule type="containsText" dxfId="2576" priority="147" operator="containsText" text="Yet to be approved">
      <formula>NOT(ISERROR(SEARCH("Yet to be approved",G228)))</formula>
    </cfRule>
  </conditionalFormatting>
  <conditionalFormatting sqref="G232:L234">
    <cfRule type="containsText" dxfId="2575" priority="142" operator="containsText" text="DPR not submitted">
      <formula>NOT(ISERROR(SEARCH("DPR not submitted",G232)))</formula>
    </cfRule>
    <cfRule type="containsText" dxfId="2574" priority="143" operator="containsText" text="Yet to be approved">
      <formula>NOT(ISERROR(SEARCH("Yet to be approved",G232)))</formula>
    </cfRule>
  </conditionalFormatting>
  <conditionalFormatting sqref="G236:L238">
    <cfRule type="containsText" dxfId="2573" priority="138" operator="containsText" text="DPR not submitted">
      <formula>NOT(ISERROR(SEARCH("DPR not submitted",G236)))</formula>
    </cfRule>
    <cfRule type="containsText" dxfId="2572" priority="139" operator="containsText" text="Yet to be approved">
      <formula>NOT(ISERROR(SEARCH("Yet to be approved",G236)))</formula>
    </cfRule>
  </conditionalFormatting>
  <conditionalFormatting sqref="G240:L243">
    <cfRule type="containsText" dxfId="2571" priority="134" operator="containsText" text="DPR not submitted">
      <formula>NOT(ISERROR(SEARCH("DPR not submitted",G240)))</formula>
    </cfRule>
    <cfRule type="containsText" dxfId="2570" priority="135" operator="containsText" text="Yet to be approved">
      <formula>NOT(ISERROR(SEARCH("Yet to be approved",G240)))</formula>
    </cfRule>
  </conditionalFormatting>
  <conditionalFormatting sqref="G245:L246">
    <cfRule type="containsText" dxfId="2569" priority="130" operator="containsText" text="DPR not submitted">
      <formula>NOT(ISERROR(SEARCH("DPR not submitted",G245)))</formula>
    </cfRule>
    <cfRule type="containsText" dxfId="2568" priority="131" operator="containsText" text="Yet to be approved">
      <formula>NOT(ISERROR(SEARCH("Yet to be approved",G245)))</formula>
    </cfRule>
  </conditionalFormatting>
  <conditionalFormatting sqref="G248:L249">
    <cfRule type="containsText" dxfId="2567" priority="126" operator="containsText" text="DPR not submitted">
      <formula>NOT(ISERROR(SEARCH("DPR not submitted",G248)))</formula>
    </cfRule>
    <cfRule type="containsText" dxfId="2566" priority="127" operator="containsText" text="Yet to be approved">
      <formula>NOT(ISERROR(SEARCH("Yet to be approved",G248)))</formula>
    </cfRule>
  </conditionalFormatting>
  <conditionalFormatting sqref="G251:L252">
    <cfRule type="containsText" dxfId="2565" priority="122" operator="containsText" text="DPR not submitted">
      <formula>NOT(ISERROR(SEARCH("DPR not submitted",G251)))</formula>
    </cfRule>
    <cfRule type="containsText" dxfId="2564" priority="123" operator="containsText" text="Yet to be approved">
      <formula>NOT(ISERROR(SEARCH("Yet to be approved",G251)))</formula>
    </cfRule>
  </conditionalFormatting>
  <conditionalFormatting sqref="G260:L261">
    <cfRule type="containsText" dxfId="2563" priority="118" operator="containsText" text="DPR not submitted">
      <formula>NOT(ISERROR(SEARCH("DPR not submitted",G260)))</formula>
    </cfRule>
    <cfRule type="containsText" dxfId="2562" priority="119" operator="containsText" text="Yet to be approved">
      <formula>NOT(ISERROR(SEARCH("Yet to be approved",G260)))</formula>
    </cfRule>
  </conditionalFormatting>
  <conditionalFormatting sqref="S1:S1048576">
    <cfRule type="cellIs" dxfId="2561" priority="1" operator="lessThan">
      <formula>0</formula>
    </cfRule>
  </conditionalFormatting>
  <pageMargins left="0.39370078740157483" right="0.39370078740157483" top="0.39370078740157483" bottom="0.39370078740157483" header="0.23622047244094491" footer="0.23622047244094491"/>
  <pageSetup paperSize="9" scale="48" fitToHeight="10" pageOrder="overThenDown" orientation="landscape" blackAndWhite="1" r:id="rId1"/>
  <headerFooter alignWithMargins="0">
    <oddHeader>&amp;F</oddHeader>
  </headerFooter>
  <rowBreaks count="1" manualBreakCount="1">
    <brk id="130" max="18"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I675"/>
  <sheetViews>
    <sheetView view="pageBreakPreview" zoomScale="80" zoomScaleNormal="80" zoomScaleSheetLayoutView="80" workbookViewId="0">
      <pane xSplit="2" ySplit="8" topLeftCell="I672" activePane="bottomRight" state="frozen"/>
      <selection activeCell="N10" sqref="N10"/>
      <selection pane="topRight" activeCell="N10" sqref="N10"/>
      <selection pane="bottomLeft" activeCell="N10" sqref="N10"/>
      <selection pane="bottomRight" activeCell="U672" sqref="U672"/>
    </sheetView>
  </sheetViews>
  <sheetFormatPr defaultColWidth="9.1796875" defaultRowHeight="14" outlineLevelRow="1" outlineLevelCol="1" x14ac:dyDescent="0.25"/>
  <cols>
    <col min="1" max="1" width="5.81640625" style="1453" customWidth="1"/>
    <col min="2" max="2" width="52.7265625" style="96" customWidth="1"/>
    <col min="3" max="3" width="11" style="1453" customWidth="1" outlineLevel="1"/>
    <col min="4" max="4" width="31" style="1453" customWidth="1" outlineLevel="1"/>
    <col min="5" max="6" width="12.453125" style="1503" customWidth="1" outlineLevel="1"/>
    <col min="7" max="8" width="11" style="96" customWidth="1" outlineLevel="1"/>
    <col min="9" max="10" width="9.453125" style="96" customWidth="1" outlineLevel="1"/>
    <col min="11" max="11" width="12.453125" style="1503" customWidth="1" outlineLevel="1"/>
    <col min="12" max="12" width="8.26953125" style="1590" customWidth="1" outlineLevel="1"/>
    <col min="13" max="14" width="12.453125" style="1590" customWidth="1" outlineLevel="1"/>
    <col min="15" max="15" width="40.81640625" style="96" customWidth="1"/>
    <col min="16" max="16" width="10" style="325" hidden="1" customWidth="1"/>
    <col min="17" max="18" width="10" style="1593" hidden="1" customWidth="1"/>
    <col min="19" max="19" width="20.54296875" style="1593" hidden="1" customWidth="1"/>
    <col min="20" max="20" width="10" style="1593" customWidth="1" outlineLevel="1"/>
    <col min="21" max="21" width="10.54296875" style="1593" customWidth="1" outlineLevel="1"/>
    <col min="22" max="23" width="10" style="1593" customWidth="1" outlineLevel="1"/>
    <col min="24" max="25" width="11.54296875" style="1593" bestFit="1" customWidth="1" outlineLevel="1"/>
    <col min="26" max="27" width="10" style="1593" customWidth="1" outlineLevel="1"/>
    <col min="28" max="28" width="10" style="1593" customWidth="1"/>
    <col min="29" max="29" width="10.7265625" style="1611" customWidth="1" outlineLevel="1"/>
    <col min="30" max="30" width="8.1796875" style="1611" customWidth="1" outlineLevel="1"/>
    <col min="31" max="32" width="8.26953125" style="1611" customWidth="1" outlineLevel="1"/>
    <col min="33" max="33" width="10.7265625" style="1611" customWidth="1" outlineLevel="1"/>
    <col min="34" max="34" width="8.1796875" style="1611" customWidth="1" outlineLevel="1"/>
    <col min="35" max="35" width="8.1796875" style="1611" customWidth="1"/>
    <col min="36" max="36" width="10.81640625" style="322" hidden="1" customWidth="1"/>
    <col min="37" max="39" width="10.81640625" style="96" hidden="1" customWidth="1"/>
    <col min="40" max="48" width="10.81640625" style="96" customWidth="1" outlineLevel="1"/>
    <col min="49" max="49" width="13.1796875" style="96" customWidth="1" outlineLevel="1"/>
    <col min="50" max="50" width="26.26953125" style="96" customWidth="1"/>
    <col min="51" max="51" width="12.453125" style="571" customWidth="1"/>
    <col min="52" max="52" width="15.26953125" style="96" customWidth="1"/>
    <col min="53" max="53" width="12.54296875" style="96" customWidth="1"/>
    <col min="54" max="54" width="13.453125" style="96" customWidth="1"/>
    <col min="55" max="55" width="13.54296875" style="96" customWidth="1"/>
    <col min="56" max="58" width="9.1796875" style="96"/>
    <col min="59" max="59" width="11.26953125" style="96" customWidth="1"/>
    <col min="60" max="16384" width="9.1796875" style="96"/>
  </cols>
  <sheetData>
    <row r="1" spans="1:53" ht="15" customHeight="1" x14ac:dyDescent="0.25">
      <c r="A1" s="1699" t="s">
        <v>340</v>
      </c>
      <c r="B1" s="1699" t="s">
        <v>16</v>
      </c>
      <c r="C1" s="1699" t="s">
        <v>928</v>
      </c>
      <c r="D1" s="1699" t="s">
        <v>488</v>
      </c>
      <c r="E1" s="1833" t="s">
        <v>929</v>
      </c>
      <c r="F1" s="1833" t="s">
        <v>489</v>
      </c>
      <c r="G1" s="1699" t="s">
        <v>930</v>
      </c>
      <c r="H1" s="1699" t="s">
        <v>493</v>
      </c>
      <c r="I1" s="1699" t="s">
        <v>19</v>
      </c>
      <c r="J1" s="1699" t="s">
        <v>586</v>
      </c>
      <c r="K1" s="1833" t="s">
        <v>494</v>
      </c>
      <c r="L1" s="1833" t="s">
        <v>495</v>
      </c>
      <c r="M1" s="1833" t="s">
        <v>496</v>
      </c>
      <c r="N1" s="1833" t="s">
        <v>497</v>
      </c>
      <c r="O1" s="1834" t="s">
        <v>17</v>
      </c>
      <c r="P1" s="1818" t="s">
        <v>22</v>
      </c>
      <c r="Q1" s="1819"/>
      <c r="R1" s="1819"/>
      <c r="S1" s="1819"/>
      <c r="T1" s="1819"/>
      <c r="U1" s="1819"/>
      <c r="V1" s="1819"/>
      <c r="W1" s="1820"/>
      <c r="X1" s="1511"/>
      <c r="Y1" s="1511"/>
      <c r="Z1" s="1511"/>
      <c r="AA1" s="1511"/>
      <c r="AB1" s="1511"/>
      <c r="AC1" s="1821" t="s">
        <v>20</v>
      </c>
      <c r="AD1" s="1822"/>
      <c r="AE1" s="1822"/>
      <c r="AF1" s="1822"/>
      <c r="AG1" s="1822"/>
      <c r="AH1" s="1822"/>
      <c r="AI1" s="1823"/>
      <c r="AJ1" s="1824" t="s">
        <v>18</v>
      </c>
      <c r="AK1" s="1825"/>
      <c r="AL1" s="1825"/>
      <c r="AM1" s="1825"/>
      <c r="AN1" s="1825"/>
      <c r="AO1" s="1825"/>
      <c r="AP1" s="1825"/>
      <c r="AQ1" s="1825"/>
      <c r="AR1" s="1825"/>
      <c r="AS1" s="1825"/>
      <c r="AT1" s="1825"/>
      <c r="AU1" s="1825"/>
      <c r="AV1" s="1826"/>
      <c r="AW1" s="1827" t="s">
        <v>931</v>
      </c>
      <c r="AX1" s="1830" t="s">
        <v>27</v>
      </c>
      <c r="AY1" s="1810" t="s">
        <v>932</v>
      </c>
    </row>
    <row r="2" spans="1:53" ht="15" customHeight="1" x14ac:dyDescent="0.25">
      <c r="A2" s="1699"/>
      <c r="B2" s="1699"/>
      <c r="C2" s="1699"/>
      <c r="D2" s="1699"/>
      <c r="E2" s="1833"/>
      <c r="F2" s="1833"/>
      <c r="G2" s="1699"/>
      <c r="H2" s="1699"/>
      <c r="I2" s="1699"/>
      <c r="J2" s="1699"/>
      <c r="K2" s="1833"/>
      <c r="L2" s="1833"/>
      <c r="M2" s="1833"/>
      <c r="N2" s="1833"/>
      <c r="O2" s="1834"/>
      <c r="P2" s="1811" t="s">
        <v>709</v>
      </c>
      <c r="Q2" s="1512" t="s">
        <v>7</v>
      </c>
      <c r="R2" s="1512" t="s">
        <v>7</v>
      </c>
      <c r="S2" s="1512" t="s">
        <v>7</v>
      </c>
      <c r="T2" s="1811" t="s">
        <v>1593</v>
      </c>
      <c r="U2" s="1639" t="s">
        <v>7</v>
      </c>
      <c r="V2" s="1639" t="s">
        <v>7</v>
      </c>
      <c r="W2" s="1639" t="s">
        <v>710</v>
      </c>
      <c r="X2" s="1813" t="s">
        <v>21</v>
      </c>
      <c r="Y2" s="1814"/>
      <c r="Z2" s="1814"/>
      <c r="AA2" s="1814"/>
      <c r="AB2" s="1815"/>
      <c r="AC2" s="1816" t="s">
        <v>711</v>
      </c>
      <c r="AD2" s="1513" t="s">
        <v>7</v>
      </c>
      <c r="AE2" s="1513" t="s">
        <v>7</v>
      </c>
      <c r="AF2" s="1513" t="s">
        <v>7</v>
      </c>
      <c r="AG2" s="1639" t="s">
        <v>7</v>
      </c>
      <c r="AH2" s="1639" t="s">
        <v>7</v>
      </c>
      <c r="AI2" s="1639" t="s">
        <v>710</v>
      </c>
      <c r="AJ2" s="1811" t="s">
        <v>712</v>
      </c>
      <c r="AK2" s="1637" t="s">
        <v>7</v>
      </c>
      <c r="AL2" s="1637" t="s">
        <v>7</v>
      </c>
      <c r="AM2" s="1637" t="s">
        <v>7</v>
      </c>
      <c r="AN2" s="1811" t="s">
        <v>1594</v>
      </c>
      <c r="AO2" s="1639" t="s">
        <v>7</v>
      </c>
      <c r="AP2" s="1639" t="s">
        <v>7</v>
      </c>
      <c r="AQ2" s="1639" t="s">
        <v>710</v>
      </c>
      <c r="AR2" s="1803" t="s">
        <v>21</v>
      </c>
      <c r="AS2" s="1803"/>
      <c r="AT2" s="1803"/>
      <c r="AU2" s="1803"/>
      <c r="AV2" s="1803"/>
      <c r="AW2" s="1828"/>
      <c r="AX2" s="1831"/>
      <c r="AY2" s="1810"/>
    </row>
    <row r="3" spans="1:53" ht="40.5" customHeight="1" thickBot="1" x14ac:dyDescent="0.3">
      <c r="A3" s="1699"/>
      <c r="B3" s="1699"/>
      <c r="C3" s="1699"/>
      <c r="D3" s="1699"/>
      <c r="E3" s="1833"/>
      <c r="F3" s="1833"/>
      <c r="G3" s="1699"/>
      <c r="H3" s="1699"/>
      <c r="I3" s="1699"/>
      <c r="J3" s="1699"/>
      <c r="K3" s="1833"/>
      <c r="L3" s="1833"/>
      <c r="M3" s="1833"/>
      <c r="N3" s="1833"/>
      <c r="O3" s="1834"/>
      <c r="P3" s="1812"/>
      <c r="Q3" s="1514" t="s">
        <v>325</v>
      </c>
      <c r="R3" s="1514" t="s">
        <v>504</v>
      </c>
      <c r="S3" s="1514" t="s">
        <v>505</v>
      </c>
      <c r="T3" s="1812"/>
      <c r="U3" s="1514" t="s">
        <v>506</v>
      </c>
      <c r="V3" s="1514" t="s">
        <v>507</v>
      </c>
      <c r="W3" s="1515" t="s">
        <v>508</v>
      </c>
      <c r="X3" s="1515" t="s">
        <v>969</v>
      </c>
      <c r="Y3" s="1515" t="s">
        <v>970</v>
      </c>
      <c r="Z3" s="1515" t="s">
        <v>971</v>
      </c>
      <c r="AA3" s="1515" t="s">
        <v>972</v>
      </c>
      <c r="AB3" s="1515" t="s">
        <v>973</v>
      </c>
      <c r="AC3" s="1817"/>
      <c r="AD3" s="1516" t="s">
        <v>325</v>
      </c>
      <c r="AE3" s="1516" t="s">
        <v>504</v>
      </c>
      <c r="AF3" s="1516" t="s">
        <v>505</v>
      </c>
      <c r="AG3" s="1516" t="s">
        <v>506</v>
      </c>
      <c r="AH3" s="1516" t="s">
        <v>507</v>
      </c>
      <c r="AI3" s="1517" t="s">
        <v>508</v>
      </c>
      <c r="AJ3" s="1812"/>
      <c r="AK3" s="1384" t="s">
        <v>325</v>
      </c>
      <c r="AL3" s="1384" t="s">
        <v>504</v>
      </c>
      <c r="AM3" s="1384" t="s">
        <v>505</v>
      </c>
      <c r="AN3" s="1812"/>
      <c r="AO3" s="1384" t="s">
        <v>506</v>
      </c>
      <c r="AP3" s="1384" t="s">
        <v>507</v>
      </c>
      <c r="AQ3" s="1385" t="s">
        <v>508</v>
      </c>
      <c r="AR3" s="1385" t="s">
        <v>969</v>
      </c>
      <c r="AS3" s="1385" t="s">
        <v>970</v>
      </c>
      <c r="AT3" s="1385" t="s">
        <v>971</v>
      </c>
      <c r="AU3" s="1385" t="s">
        <v>972</v>
      </c>
      <c r="AV3" s="1385" t="s">
        <v>973</v>
      </c>
      <c r="AW3" s="1829"/>
      <c r="AX3" s="1832"/>
      <c r="AY3" s="1810"/>
    </row>
    <row r="4" spans="1:53" x14ac:dyDescent="0.25">
      <c r="A4" s="1376"/>
      <c r="B4" s="1376"/>
      <c r="C4" s="1376"/>
      <c r="D4" s="1376"/>
      <c r="E4" s="1386"/>
      <c r="F4" s="1386"/>
      <c r="G4" s="1376"/>
      <c r="H4" s="1376"/>
      <c r="I4" s="1376"/>
      <c r="J4" s="1376"/>
      <c r="K4" s="1386"/>
      <c r="L4" s="1386"/>
      <c r="M4" s="1386"/>
      <c r="N4" s="1386"/>
      <c r="O4" s="1376"/>
      <c r="P4" s="1518"/>
      <c r="Q4" s="1519"/>
      <c r="R4" s="1519"/>
      <c r="S4" s="1519"/>
      <c r="T4" s="1519"/>
      <c r="U4" s="1519"/>
      <c r="V4" s="1519"/>
      <c r="W4" s="1519"/>
      <c r="X4" s="1519"/>
      <c r="Y4" s="1519"/>
      <c r="Z4" s="1519"/>
      <c r="AA4" s="1519"/>
      <c r="AB4" s="1519"/>
      <c r="AC4" s="1520"/>
      <c r="AD4" s="1520"/>
      <c r="AE4" s="1520"/>
      <c r="AF4" s="1520"/>
      <c r="AG4" s="1520"/>
      <c r="AH4" s="1520"/>
      <c r="AI4" s="1520"/>
      <c r="AJ4" s="1518"/>
      <c r="AK4" s="1387"/>
      <c r="AL4" s="1387"/>
      <c r="AM4" s="1387"/>
      <c r="AN4" s="1387"/>
      <c r="AO4" s="1387"/>
      <c r="AP4" s="1387"/>
      <c r="AQ4" s="1387"/>
      <c r="AR4" s="1387"/>
      <c r="AS4" s="1387"/>
      <c r="AT4" s="1387"/>
      <c r="AU4" s="1387"/>
      <c r="AV4" s="1387"/>
      <c r="AW4" s="1387"/>
      <c r="AX4" s="1376"/>
      <c r="AY4" s="1388" t="s">
        <v>933</v>
      </c>
      <c r="AZ4" s="1453" t="s">
        <v>928</v>
      </c>
      <c r="BA4" s="96" t="s">
        <v>934</v>
      </c>
    </row>
    <row r="5" spans="1:53" x14ac:dyDescent="0.25">
      <c r="A5" s="131"/>
      <c r="B5" s="1389" t="s">
        <v>935</v>
      </c>
      <c r="C5" s="166"/>
      <c r="D5" s="166"/>
      <c r="E5" s="1413"/>
      <c r="F5" s="1413"/>
      <c r="G5" s="161"/>
      <c r="H5" s="161"/>
      <c r="I5" s="161"/>
      <c r="J5" s="161"/>
      <c r="K5" s="1413"/>
      <c r="L5" s="1414"/>
      <c r="M5" s="1414"/>
      <c r="N5" s="1414"/>
      <c r="O5" s="161"/>
      <c r="P5" s="320"/>
      <c r="Q5" s="1521"/>
      <c r="R5" s="1521"/>
      <c r="S5" s="1521"/>
      <c r="T5" s="1521"/>
      <c r="U5" s="1521"/>
      <c r="V5" s="1521"/>
      <c r="W5" s="1521"/>
      <c r="X5" s="1521"/>
      <c r="Y5" s="1521"/>
      <c r="Z5" s="1521"/>
      <c r="AA5" s="1521"/>
      <c r="AB5" s="1521"/>
      <c r="AC5" s="1522"/>
      <c r="AD5" s="1522"/>
      <c r="AE5" s="1522"/>
      <c r="AF5" s="1522"/>
      <c r="AG5" s="1522"/>
      <c r="AH5" s="1522"/>
      <c r="AI5" s="1522"/>
      <c r="AJ5" s="320"/>
      <c r="AK5" s="320"/>
      <c r="AL5" s="320"/>
      <c r="AM5" s="320"/>
      <c r="AN5" s="320"/>
      <c r="AO5" s="320"/>
      <c r="AP5" s="320"/>
      <c r="AQ5" s="320"/>
      <c r="AR5" s="320"/>
      <c r="AS5" s="320"/>
      <c r="AT5" s="320"/>
      <c r="AU5" s="320"/>
      <c r="AV5" s="320"/>
      <c r="AW5" s="320"/>
      <c r="AX5" s="161"/>
      <c r="AY5" s="1636" t="s">
        <v>933</v>
      </c>
      <c r="AZ5" s="1453" t="s">
        <v>936</v>
      </c>
      <c r="BA5" s="96" t="s">
        <v>937</v>
      </c>
    </row>
    <row r="6" spans="1:53" x14ac:dyDescent="0.25">
      <c r="A6" s="131"/>
      <c r="B6" s="1476" t="s">
        <v>1595</v>
      </c>
      <c r="C6" s="166"/>
      <c r="D6" s="166"/>
      <c r="E6" s="1413"/>
      <c r="F6" s="1413"/>
      <c r="G6" s="161"/>
      <c r="H6" s="161"/>
      <c r="I6" s="161"/>
      <c r="J6" s="161"/>
      <c r="K6" s="1413"/>
      <c r="L6" s="1414"/>
      <c r="M6" s="1414"/>
      <c r="N6" s="1414"/>
      <c r="O6" s="161"/>
      <c r="P6" s="320"/>
      <c r="Q6" s="1521"/>
      <c r="R6" s="1521"/>
      <c r="S6" s="1521"/>
      <c r="T6" s="1521"/>
      <c r="U6" s="1521"/>
      <c r="V6" s="1521"/>
      <c r="W6" s="1521"/>
      <c r="X6" s="1521"/>
      <c r="Y6" s="1521"/>
      <c r="Z6" s="1521"/>
      <c r="AA6" s="1521"/>
      <c r="AB6" s="1521"/>
      <c r="AC6" s="1522"/>
      <c r="AD6" s="1522"/>
      <c r="AE6" s="1522"/>
      <c r="AF6" s="1522"/>
      <c r="AG6" s="1522"/>
      <c r="AH6" s="1522"/>
      <c r="AI6" s="1522"/>
      <c r="AJ6" s="320"/>
      <c r="AK6" s="320"/>
      <c r="AL6" s="320"/>
      <c r="AM6" s="320"/>
      <c r="AN6" s="320"/>
      <c r="AO6" s="320"/>
      <c r="AP6" s="320"/>
      <c r="AQ6" s="320"/>
      <c r="AR6" s="320"/>
      <c r="AS6" s="320"/>
      <c r="AT6" s="320"/>
      <c r="AU6" s="320"/>
      <c r="AV6" s="320"/>
      <c r="AW6" s="320"/>
      <c r="AX6" s="161"/>
      <c r="AY6" s="1636" t="s">
        <v>933</v>
      </c>
      <c r="AZ6" s="1453" t="s">
        <v>414</v>
      </c>
      <c r="BA6" s="96" t="s">
        <v>938</v>
      </c>
    </row>
    <row r="7" spans="1:53" s="1530" customFormat="1" ht="15.5" outlineLevel="1" x14ac:dyDescent="0.25">
      <c r="A7" s="1477">
        <v>1</v>
      </c>
      <c r="B7" s="1478" t="s">
        <v>1596</v>
      </c>
      <c r="C7" s="1477" t="s">
        <v>928</v>
      </c>
      <c r="D7" s="1477" t="s">
        <v>1597</v>
      </c>
      <c r="E7" s="1479">
        <v>40485</v>
      </c>
      <c r="F7" s="1479">
        <v>40507</v>
      </c>
      <c r="G7" s="1380">
        <f>SUM(G8:G24)</f>
        <v>181.82700000000003</v>
      </c>
      <c r="H7" s="1380">
        <f>SUM(H8:H24)</f>
        <v>181.82700000000003</v>
      </c>
      <c r="I7" s="563"/>
      <c r="J7" s="563"/>
      <c r="K7" s="1390">
        <v>40507</v>
      </c>
      <c r="L7" s="1391"/>
      <c r="M7" s="1391"/>
      <c r="N7" s="1391"/>
      <c r="O7" s="1402"/>
      <c r="P7" s="1523"/>
      <c r="Q7" s="1524"/>
      <c r="R7" s="1524"/>
      <c r="S7" s="1524"/>
      <c r="T7" s="1524">
        <f>SUM(P7:S7)</f>
        <v>0</v>
      </c>
      <c r="U7" s="1525"/>
      <c r="V7" s="1525"/>
      <c r="W7" s="1392"/>
      <c r="X7" s="1392"/>
      <c r="Y7" s="1392"/>
      <c r="Z7" s="1392"/>
      <c r="AA7" s="1392"/>
      <c r="AB7" s="1392"/>
      <c r="AC7" s="1526"/>
      <c r="AD7" s="1526"/>
      <c r="AE7" s="1526"/>
      <c r="AF7" s="1526"/>
      <c r="AG7" s="1526"/>
      <c r="AH7" s="1526"/>
      <c r="AI7" s="1526"/>
      <c r="AJ7" s="1523"/>
      <c r="AK7" s="1523"/>
      <c r="AL7" s="1523"/>
      <c r="AM7" s="1523"/>
      <c r="AN7" s="1523">
        <f>SUM(AJ7:AM7)</f>
        <v>0</v>
      </c>
      <c r="AO7" s="1527"/>
      <c r="AP7" s="1527"/>
      <c r="AQ7" s="1527"/>
      <c r="AR7" s="1527"/>
      <c r="AS7" s="1527"/>
      <c r="AT7" s="1527"/>
      <c r="AU7" s="1527"/>
      <c r="AV7" s="1527"/>
      <c r="AW7" s="1527"/>
      <c r="AX7" s="563"/>
      <c r="AY7" s="1393"/>
      <c r="AZ7" s="1528" t="s">
        <v>939</v>
      </c>
      <c r="BA7" s="1529" t="s">
        <v>940</v>
      </c>
    </row>
    <row r="8" spans="1:53" s="1530" customFormat="1" ht="46.5" outlineLevel="1" x14ac:dyDescent="0.25">
      <c r="A8" s="1482">
        <v>1.1000000000000001</v>
      </c>
      <c r="B8" s="1483" t="s">
        <v>1598</v>
      </c>
      <c r="C8" s="1531" t="s">
        <v>936</v>
      </c>
      <c r="D8" s="1482" t="str">
        <f t="shared" ref="D8:E23" si="0">D7</f>
        <v>MERC/CAPEX/20102011/01755</v>
      </c>
      <c r="E8" s="1532">
        <f t="shared" si="0"/>
        <v>40485</v>
      </c>
      <c r="F8" s="1390">
        <f t="shared" ref="F8:F24" si="1">IF(F7=0,"-",F7)</f>
        <v>40507</v>
      </c>
      <c r="G8" s="565">
        <v>1.06</v>
      </c>
      <c r="H8" s="565">
        <v>1.06</v>
      </c>
      <c r="I8" s="563"/>
      <c r="J8" s="563"/>
      <c r="K8" s="1390">
        <v>40507</v>
      </c>
      <c r="L8" s="1391"/>
      <c r="M8" s="1391"/>
      <c r="N8" s="1391"/>
      <c r="O8" s="1402"/>
      <c r="P8" s="1533">
        <v>0.44763439999999999</v>
      </c>
      <c r="Q8" s="1533">
        <v>0</v>
      </c>
      <c r="R8" s="1533">
        <v>0</v>
      </c>
      <c r="S8" s="1533">
        <v>0</v>
      </c>
      <c r="T8" s="1533">
        <f t="shared" ref="T8:T71" si="2">SUM(P8:S8)</f>
        <v>0.44763439999999999</v>
      </c>
      <c r="U8" s="1533">
        <v>0</v>
      </c>
      <c r="V8" s="1533">
        <v>0</v>
      </c>
      <c r="W8" s="1533">
        <v>0</v>
      </c>
      <c r="X8" s="1533"/>
      <c r="Y8" s="1533"/>
      <c r="Z8" s="1533"/>
      <c r="AA8" s="1533"/>
      <c r="AB8" s="1533"/>
      <c r="AC8" s="1526"/>
      <c r="AD8" s="1526"/>
      <c r="AE8" s="1526"/>
      <c r="AF8" s="1526"/>
      <c r="AG8" s="1526"/>
      <c r="AH8" s="1526"/>
      <c r="AI8" s="1526"/>
      <c r="AJ8" s="1533">
        <v>0.44763439999999999</v>
      </c>
      <c r="AK8" s="1533">
        <v>0</v>
      </c>
      <c r="AL8" s="1533">
        <v>0</v>
      </c>
      <c r="AM8" s="1533">
        <v>0</v>
      </c>
      <c r="AN8" s="1523">
        <f t="shared" ref="AN8:AN71" si="3">SUM(AJ8:AM8)</f>
        <v>0.44763439999999999</v>
      </c>
      <c r="AO8" s="1533">
        <v>0</v>
      </c>
      <c r="AP8" s="1533">
        <v>0</v>
      </c>
      <c r="AQ8" s="1533">
        <v>0</v>
      </c>
      <c r="AR8" s="1533"/>
      <c r="AS8" s="1533"/>
      <c r="AT8" s="1533"/>
      <c r="AU8" s="1533"/>
      <c r="AV8" s="1533"/>
      <c r="AW8" s="1533"/>
      <c r="AX8" s="563"/>
      <c r="AY8" s="1534" t="s">
        <v>941</v>
      </c>
      <c r="BA8" s="1529" t="s">
        <v>941</v>
      </c>
    </row>
    <row r="9" spans="1:53" s="1530" customFormat="1" ht="62" outlineLevel="1" x14ac:dyDescent="0.25">
      <c r="A9" s="1482">
        <v>1.2</v>
      </c>
      <c r="B9" s="1483" t="s">
        <v>1599</v>
      </c>
      <c r="C9" s="1531" t="s">
        <v>936</v>
      </c>
      <c r="D9" s="1482" t="str">
        <f t="shared" si="0"/>
        <v>MERC/CAPEX/20102011/01755</v>
      </c>
      <c r="E9" s="1532">
        <f t="shared" si="0"/>
        <v>40485</v>
      </c>
      <c r="F9" s="1390">
        <f t="shared" si="1"/>
        <v>40507</v>
      </c>
      <c r="G9" s="565">
        <v>11.8</v>
      </c>
      <c r="H9" s="565">
        <v>11.8</v>
      </c>
      <c r="I9" s="563"/>
      <c r="J9" s="563"/>
      <c r="K9" s="1390">
        <v>40507</v>
      </c>
      <c r="L9" s="1391"/>
      <c r="M9" s="1391"/>
      <c r="N9" s="1391"/>
      <c r="O9" s="1402"/>
      <c r="P9" s="1533">
        <v>0</v>
      </c>
      <c r="Q9" s="1533">
        <v>0</v>
      </c>
      <c r="R9" s="1533">
        <v>0</v>
      </c>
      <c r="S9" s="1533">
        <v>0</v>
      </c>
      <c r="T9" s="1533">
        <f t="shared" si="2"/>
        <v>0</v>
      </c>
      <c r="U9" s="1533">
        <v>0</v>
      </c>
      <c r="V9" s="1533">
        <v>0</v>
      </c>
      <c r="W9" s="1533">
        <v>0</v>
      </c>
      <c r="X9" s="1533"/>
      <c r="Y9" s="1533"/>
      <c r="Z9" s="1533"/>
      <c r="AA9" s="1533"/>
      <c r="AB9" s="1533"/>
      <c r="AC9" s="1526"/>
      <c r="AD9" s="1526"/>
      <c r="AE9" s="1526"/>
      <c r="AF9" s="1526"/>
      <c r="AG9" s="1526"/>
      <c r="AH9" s="1526"/>
      <c r="AI9" s="1526"/>
      <c r="AJ9" s="1533">
        <v>0</v>
      </c>
      <c r="AK9" s="1533">
        <v>0</v>
      </c>
      <c r="AL9" s="1533">
        <v>0</v>
      </c>
      <c r="AM9" s="1533">
        <v>0</v>
      </c>
      <c r="AN9" s="1523">
        <f t="shared" si="3"/>
        <v>0</v>
      </c>
      <c r="AO9" s="1533">
        <v>0</v>
      </c>
      <c r="AP9" s="1533">
        <v>0</v>
      </c>
      <c r="AQ9" s="1533">
        <v>0</v>
      </c>
      <c r="AR9" s="1533"/>
      <c r="AS9" s="1533"/>
      <c r="AT9" s="1533"/>
      <c r="AU9" s="1533"/>
      <c r="AV9" s="1533"/>
      <c r="AW9" s="1533"/>
      <c r="AX9" s="563"/>
      <c r="AY9" s="1534" t="s">
        <v>941</v>
      </c>
      <c r="BA9" s="1529" t="s">
        <v>942</v>
      </c>
    </row>
    <row r="10" spans="1:53" s="1530" customFormat="1" ht="64" outlineLevel="1" x14ac:dyDescent="0.25">
      <c r="A10" s="1482">
        <v>1.3</v>
      </c>
      <c r="B10" s="1483" t="s">
        <v>1600</v>
      </c>
      <c r="C10" s="1531" t="s">
        <v>936</v>
      </c>
      <c r="D10" s="1482" t="str">
        <f t="shared" si="0"/>
        <v>MERC/CAPEX/20102011/01755</v>
      </c>
      <c r="E10" s="1532">
        <f t="shared" si="0"/>
        <v>40485</v>
      </c>
      <c r="F10" s="1390">
        <f t="shared" si="1"/>
        <v>40507</v>
      </c>
      <c r="G10" s="565">
        <v>12.3</v>
      </c>
      <c r="H10" s="565">
        <v>12.3</v>
      </c>
      <c r="I10" s="563"/>
      <c r="J10" s="563"/>
      <c r="K10" s="1390">
        <v>40507</v>
      </c>
      <c r="L10" s="1391"/>
      <c r="M10" s="1391"/>
      <c r="N10" s="1391"/>
      <c r="O10" s="1402"/>
      <c r="P10" s="1533">
        <v>2.2429548829999999</v>
      </c>
      <c r="Q10" s="1533">
        <v>1.745253731</v>
      </c>
      <c r="R10" s="1533">
        <v>0.98157059999999996</v>
      </c>
      <c r="S10" s="1533">
        <v>5.0468198339999999</v>
      </c>
      <c r="T10" s="1533">
        <f t="shared" si="2"/>
        <v>10.016599048</v>
      </c>
      <c r="U10" s="1533"/>
      <c r="V10" s="1533">
        <v>0</v>
      </c>
      <c r="W10" s="1533">
        <v>0</v>
      </c>
      <c r="X10" s="1533"/>
      <c r="Y10" s="1533"/>
      <c r="Z10" s="1533"/>
      <c r="AA10" s="1533"/>
      <c r="AB10" s="1533"/>
      <c r="AC10" s="1526"/>
      <c r="AD10" s="1526"/>
      <c r="AE10" s="1526"/>
      <c r="AF10" s="1526"/>
      <c r="AG10" s="1526">
        <v>1</v>
      </c>
      <c r="AH10" s="1526"/>
      <c r="AI10" s="1526"/>
      <c r="AJ10" s="1533">
        <v>0.48000441399999999</v>
      </c>
      <c r="AK10" s="1533">
        <v>3.5082042000000002</v>
      </c>
      <c r="AL10" s="1533">
        <v>0.98157059999999996</v>
      </c>
      <c r="AM10" s="1533">
        <v>5.0468198340000008</v>
      </c>
      <c r="AN10" s="1523">
        <f t="shared" si="3"/>
        <v>10.016599048000002</v>
      </c>
      <c r="AO10" s="1533"/>
      <c r="AP10" s="1533">
        <v>0</v>
      </c>
      <c r="AQ10" s="1533">
        <v>0</v>
      </c>
      <c r="AR10" s="1533"/>
      <c r="AS10" s="1533"/>
      <c r="AT10" s="1533"/>
      <c r="AU10" s="1533"/>
      <c r="AV10" s="1533"/>
      <c r="AW10" s="1533"/>
      <c r="AX10" s="563"/>
      <c r="AY10" s="1534" t="s">
        <v>940</v>
      </c>
      <c r="BA10" s="1530" t="s">
        <v>933</v>
      </c>
    </row>
    <row r="11" spans="1:53" s="1530" customFormat="1" ht="93" outlineLevel="1" x14ac:dyDescent="0.25">
      <c r="A11" s="1482">
        <v>1.4</v>
      </c>
      <c r="B11" s="1483" t="s">
        <v>1601</v>
      </c>
      <c r="C11" s="1531" t="s">
        <v>936</v>
      </c>
      <c r="D11" s="1482" t="str">
        <f t="shared" si="0"/>
        <v>MERC/CAPEX/20102011/01755</v>
      </c>
      <c r="E11" s="1532">
        <f t="shared" si="0"/>
        <v>40485</v>
      </c>
      <c r="F11" s="1390">
        <f t="shared" si="1"/>
        <v>40507</v>
      </c>
      <c r="G11" s="565">
        <v>7.52</v>
      </c>
      <c r="H11" s="565">
        <v>7.52</v>
      </c>
      <c r="I11" s="563"/>
      <c r="J11" s="563"/>
      <c r="K11" s="1390">
        <v>40507</v>
      </c>
      <c r="L11" s="1391"/>
      <c r="M11" s="1391"/>
      <c r="N11" s="1391"/>
      <c r="O11" s="1402"/>
      <c r="P11" s="1533">
        <v>3.8601695880000002</v>
      </c>
      <c r="Q11" s="1533">
        <v>0</v>
      </c>
      <c r="R11" s="1533">
        <v>0</v>
      </c>
      <c r="S11" s="1533">
        <v>0</v>
      </c>
      <c r="T11" s="1533">
        <f t="shared" si="2"/>
        <v>3.8601695880000002</v>
      </c>
      <c r="U11" s="1533">
        <v>0</v>
      </c>
      <c r="V11" s="1533">
        <v>0</v>
      </c>
      <c r="W11" s="1533">
        <v>0</v>
      </c>
      <c r="X11" s="1533"/>
      <c r="Y11" s="1533"/>
      <c r="Z11" s="1533"/>
      <c r="AA11" s="1533"/>
      <c r="AB11" s="1533"/>
      <c r="AC11" s="1526">
        <v>1</v>
      </c>
      <c r="AD11" s="1526"/>
      <c r="AE11" s="1526"/>
      <c r="AF11" s="1526"/>
      <c r="AG11" s="1526"/>
      <c r="AH11" s="1526"/>
      <c r="AI11" s="1526"/>
      <c r="AJ11" s="1533">
        <v>3.8601695880000002</v>
      </c>
      <c r="AK11" s="1533">
        <v>0</v>
      </c>
      <c r="AL11" s="1533">
        <v>0</v>
      </c>
      <c r="AM11" s="1533">
        <v>0</v>
      </c>
      <c r="AN11" s="1523">
        <f t="shared" si="3"/>
        <v>3.8601695880000002</v>
      </c>
      <c r="AO11" s="1533">
        <v>0</v>
      </c>
      <c r="AP11" s="1533">
        <v>0</v>
      </c>
      <c r="AQ11" s="1533">
        <v>0</v>
      </c>
      <c r="AR11" s="1533"/>
      <c r="AS11" s="1533"/>
      <c r="AT11" s="1533"/>
      <c r="AU11" s="1533"/>
      <c r="AV11" s="1533"/>
      <c r="AW11" s="1533"/>
      <c r="AX11" s="563"/>
      <c r="AY11" s="1534" t="s">
        <v>940</v>
      </c>
      <c r="BA11" s="1530" t="s">
        <v>943</v>
      </c>
    </row>
    <row r="12" spans="1:53" s="1530" customFormat="1" ht="62" outlineLevel="1" x14ac:dyDescent="0.25">
      <c r="A12" s="1482">
        <v>1.5</v>
      </c>
      <c r="B12" s="1483" t="s">
        <v>1602</v>
      </c>
      <c r="C12" s="1531" t="s">
        <v>936</v>
      </c>
      <c r="D12" s="1482" t="str">
        <f t="shared" si="0"/>
        <v>MERC/CAPEX/20102011/01755</v>
      </c>
      <c r="E12" s="1532">
        <f t="shared" si="0"/>
        <v>40485</v>
      </c>
      <c r="F12" s="1390">
        <f t="shared" si="1"/>
        <v>40507</v>
      </c>
      <c r="G12" s="565">
        <v>43.2</v>
      </c>
      <c r="H12" s="565">
        <v>43.2</v>
      </c>
      <c r="I12" s="563"/>
      <c r="J12" s="563"/>
      <c r="K12" s="1390">
        <v>40507</v>
      </c>
      <c r="L12" s="1391"/>
      <c r="M12" s="1391"/>
      <c r="N12" s="1391"/>
      <c r="O12" s="1402"/>
      <c r="P12" s="1533">
        <v>56.159367274552196</v>
      </c>
      <c r="Q12" s="1533">
        <v>0</v>
      </c>
      <c r="R12" s="1533">
        <v>0</v>
      </c>
      <c r="S12" s="1533">
        <v>0</v>
      </c>
      <c r="T12" s="1533">
        <f t="shared" si="2"/>
        <v>56.159367274552196</v>
      </c>
      <c r="U12" s="1533">
        <v>0</v>
      </c>
      <c r="V12" s="1533">
        <v>0</v>
      </c>
      <c r="W12" s="1533">
        <v>0</v>
      </c>
      <c r="X12" s="1533"/>
      <c r="Y12" s="1533"/>
      <c r="Z12" s="1533"/>
      <c r="AA12" s="1533"/>
      <c r="AB12" s="1533"/>
      <c r="AC12" s="1526">
        <v>1</v>
      </c>
      <c r="AD12" s="1526"/>
      <c r="AE12" s="1526"/>
      <c r="AF12" s="1526"/>
      <c r="AG12" s="1526"/>
      <c r="AH12" s="1526"/>
      <c r="AI12" s="1526"/>
      <c r="AJ12" s="1533">
        <v>56.159367274552196</v>
      </c>
      <c r="AK12" s="1533">
        <v>0</v>
      </c>
      <c r="AL12" s="1533">
        <v>0</v>
      </c>
      <c r="AM12" s="1533">
        <v>0</v>
      </c>
      <c r="AN12" s="1523">
        <f t="shared" si="3"/>
        <v>56.159367274552196</v>
      </c>
      <c r="AO12" s="1533">
        <v>0</v>
      </c>
      <c r="AP12" s="1533">
        <v>0</v>
      </c>
      <c r="AQ12" s="1533">
        <v>0</v>
      </c>
      <c r="AR12" s="1533"/>
      <c r="AS12" s="1533"/>
      <c r="AT12" s="1533"/>
      <c r="AU12" s="1533"/>
      <c r="AV12" s="1533"/>
      <c r="AW12" s="1533"/>
      <c r="AX12" s="563"/>
      <c r="AY12" s="1534" t="s">
        <v>940</v>
      </c>
    </row>
    <row r="13" spans="1:53" s="1530" customFormat="1" ht="62" outlineLevel="1" x14ac:dyDescent="0.25">
      <c r="A13" s="1482">
        <v>1.6</v>
      </c>
      <c r="B13" s="1483" t="s">
        <v>1603</v>
      </c>
      <c r="C13" s="1531" t="s">
        <v>936</v>
      </c>
      <c r="D13" s="1482" t="str">
        <f t="shared" si="0"/>
        <v>MERC/CAPEX/20102011/01755</v>
      </c>
      <c r="E13" s="1532">
        <f t="shared" si="0"/>
        <v>40485</v>
      </c>
      <c r="F13" s="1390">
        <f t="shared" si="1"/>
        <v>40507</v>
      </c>
      <c r="G13" s="565">
        <v>23.4</v>
      </c>
      <c r="H13" s="565">
        <v>23.4</v>
      </c>
      <c r="I13" s="563"/>
      <c r="J13" s="563"/>
      <c r="K13" s="1390">
        <v>40507</v>
      </c>
      <c r="L13" s="1391"/>
      <c r="M13" s="1391"/>
      <c r="N13" s="1391"/>
      <c r="O13" s="1402"/>
      <c r="P13" s="1533">
        <v>12.917271588999998</v>
      </c>
      <c r="Q13" s="1533">
        <v>0</v>
      </c>
      <c r="R13" s="1533">
        <v>0</v>
      </c>
      <c r="S13" s="1533">
        <v>0</v>
      </c>
      <c r="T13" s="1533">
        <f t="shared" si="2"/>
        <v>12.917271588999998</v>
      </c>
      <c r="U13" s="1533">
        <v>0</v>
      </c>
      <c r="V13" s="1533">
        <v>0</v>
      </c>
      <c r="W13" s="1533">
        <v>0</v>
      </c>
      <c r="X13" s="1533"/>
      <c r="Y13" s="1533"/>
      <c r="Z13" s="1533"/>
      <c r="AA13" s="1533"/>
      <c r="AB13" s="1533"/>
      <c r="AC13" s="1526">
        <v>1</v>
      </c>
      <c r="AD13" s="1526"/>
      <c r="AE13" s="1526"/>
      <c r="AF13" s="1526"/>
      <c r="AG13" s="1526"/>
      <c r="AH13" s="1526"/>
      <c r="AI13" s="1526"/>
      <c r="AJ13" s="1533">
        <v>12.917271589</v>
      </c>
      <c r="AK13" s="1533">
        <v>0</v>
      </c>
      <c r="AL13" s="1533">
        <v>0</v>
      </c>
      <c r="AM13" s="1533">
        <v>0</v>
      </c>
      <c r="AN13" s="1523">
        <f t="shared" si="3"/>
        <v>12.917271589</v>
      </c>
      <c r="AO13" s="1533">
        <v>0</v>
      </c>
      <c r="AP13" s="1533">
        <v>0</v>
      </c>
      <c r="AQ13" s="1533">
        <v>0</v>
      </c>
      <c r="AR13" s="1533"/>
      <c r="AS13" s="1533"/>
      <c r="AT13" s="1533"/>
      <c r="AU13" s="1533"/>
      <c r="AV13" s="1533"/>
      <c r="AW13" s="1533"/>
      <c r="AX13" s="563"/>
      <c r="AY13" s="1534" t="s">
        <v>940</v>
      </c>
    </row>
    <row r="14" spans="1:53" s="1530" customFormat="1" ht="31" outlineLevel="1" x14ac:dyDescent="0.25">
      <c r="A14" s="1482">
        <v>1.7</v>
      </c>
      <c r="B14" s="1483" t="s">
        <v>1604</v>
      </c>
      <c r="C14" s="1531" t="s">
        <v>936</v>
      </c>
      <c r="D14" s="1482" t="str">
        <f t="shared" si="0"/>
        <v>MERC/CAPEX/20102011/01755</v>
      </c>
      <c r="E14" s="1532">
        <f t="shared" si="0"/>
        <v>40485</v>
      </c>
      <c r="F14" s="1390">
        <f t="shared" si="1"/>
        <v>40507</v>
      </c>
      <c r="G14" s="565">
        <v>27.6</v>
      </c>
      <c r="H14" s="565">
        <v>27.6</v>
      </c>
      <c r="I14" s="563"/>
      <c r="J14" s="563"/>
      <c r="K14" s="1390">
        <v>40507</v>
      </c>
      <c r="L14" s="1391"/>
      <c r="M14" s="1391"/>
      <c r="N14" s="1391"/>
      <c r="O14" s="1402"/>
      <c r="P14" s="1533">
        <v>11.3681175</v>
      </c>
      <c r="Q14" s="1533">
        <v>0</v>
      </c>
      <c r="R14" s="1533">
        <v>0</v>
      </c>
      <c r="S14" s="1533">
        <v>0</v>
      </c>
      <c r="T14" s="1533">
        <f t="shared" si="2"/>
        <v>11.3681175</v>
      </c>
      <c r="U14" s="1533">
        <v>0</v>
      </c>
      <c r="V14" s="1533">
        <v>0</v>
      </c>
      <c r="W14" s="1533">
        <v>0</v>
      </c>
      <c r="X14" s="1533"/>
      <c r="Y14" s="1533"/>
      <c r="Z14" s="1533"/>
      <c r="AA14" s="1533"/>
      <c r="AB14" s="1533"/>
      <c r="AC14" s="1526">
        <v>1</v>
      </c>
      <c r="AD14" s="1526"/>
      <c r="AE14" s="1526"/>
      <c r="AF14" s="1526"/>
      <c r="AG14" s="1526"/>
      <c r="AH14" s="1526"/>
      <c r="AI14" s="1526"/>
      <c r="AJ14" s="1533">
        <v>11.3681175</v>
      </c>
      <c r="AK14" s="1533">
        <v>0</v>
      </c>
      <c r="AL14" s="1533">
        <v>0</v>
      </c>
      <c r="AM14" s="1533">
        <v>0</v>
      </c>
      <c r="AN14" s="1523">
        <f t="shared" si="3"/>
        <v>11.3681175</v>
      </c>
      <c r="AO14" s="1533">
        <v>0</v>
      </c>
      <c r="AP14" s="1533">
        <v>0</v>
      </c>
      <c r="AQ14" s="1533">
        <v>0</v>
      </c>
      <c r="AR14" s="1533"/>
      <c r="AS14" s="1533"/>
      <c r="AT14" s="1533"/>
      <c r="AU14" s="1533"/>
      <c r="AV14" s="1533"/>
      <c r="AW14" s="1533"/>
      <c r="AX14" s="563"/>
      <c r="AY14" s="1534" t="s">
        <v>940</v>
      </c>
    </row>
    <row r="15" spans="1:53" s="1530" customFormat="1" ht="46.5" outlineLevel="1" x14ac:dyDescent="0.25">
      <c r="A15" s="1482">
        <v>1.8</v>
      </c>
      <c r="B15" s="1483" t="s">
        <v>1605</v>
      </c>
      <c r="C15" s="1531" t="s">
        <v>936</v>
      </c>
      <c r="D15" s="1482" t="str">
        <f t="shared" si="0"/>
        <v>MERC/CAPEX/20102011/01755</v>
      </c>
      <c r="E15" s="1532">
        <f t="shared" si="0"/>
        <v>40485</v>
      </c>
      <c r="F15" s="1390">
        <f t="shared" si="1"/>
        <v>40507</v>
      </c>
      <c r="G15" s="565">
        <v>1.43</v>
      </c>
      <c r="H15" s="565">
        <v>1.43</v>
      </c>
      <c r="I15" s="563"/>
      <c r="J15" s="563"/>
      <c r="K15" s="1390">
        <v>40507</v>
      </c>
      <c r="L15" s="1391"/>
      <c r="M15" s="1391"/>
      <c r="N15" s="1391"/>
      <c r="O15" s="1402"/>
      <c r="P15" s="1533">
        <v>1.8769309999999999</v>
      </c>
      <c r="Q15" s="1533">
        <v>0</v>
      </c>
      <c r="R15" s="1533">
        <v>0</v>
      </c>
      <c r="S15" s="1533">
        <v>0</v>
      </c>
      <c r="T15" s="1533">
        <f t="shared" si="2"/>
        <v>1.8769309999999999</v>
      </c>
      <c r="U15" s="1533">
        <v>0</v>
      </c>
      <c r="V15" s="1533">
        <v>0</v>
      </c>
      <c r="W15" s="1533">
        <v>0</v>
      </c>
      <c r="X15" s="1533"/>
      <c r="Y15" s="1533"/>
      <c r="Z15" s="1533"/>
      <c r="AA15" s="1533"/>
      <c r="AB15" s="1533"/>
      <c r="AC15" s="1526">
        <v>1</v>
      </c>
      <c r="AD15" s="1526"/>
      <c r="AE15" s="1526"/>
      <c r="AF15" s="1526"/>
      <c r="AG15" s="1526"/>
      <c r="AH15" s="1526"/>
      <c r="AI15" s="1526"/>
      <c r="AJ15" s="1533">
        <v>1.8769309999999999</v>
      </c>
      <c r="AK15" s="1533">
        <v>0</v>
      </c>
      <c r="AL15" s="1533">
        <v>0</v>
      </c>
      <c r="AM15" s="1533">
        <v>0</v>
      </c>
      <c r="AN15" s="1523">
        <f t="shared" si="3"/>
        <v>1.8769309999999999</v>
      </c>
      <c r="AO15" s="1533">
        <v>0</v>
      </c>
      <c r="AP15" s="1533">
        <v>0</v>
      </c>
      <c r="AQ15" s="1533">
        <v>0</v>
      </c>
      <c r="AR15" s="1533"/>
      <c r="AS15" s="1533"/>
      <c r="AT15" s="1533"/>
      <c r="AU15" s="1533"/>
      <c r="AV15" s="1533"/>
      <c r="AW15" s="1533"/>
      <c r="AX15" s="563"/>
      <c r="AY15" s="1534" t="s">
        <v>940</v>
      </c>
    </row>
    <row r="16" spans="1:53" ht="106.5" outlineLevel="1" x14ac:dyDescent="0.25">
      <c r="A16" s="1484">
        <v>1.9</v>
      </c>
      <c r="B16" s="1485" t="s">
        <v>1606</v>
      </c>
      <c r="C16" s="1535" t="s">
        <v>936</v>
      </c>
      <c r="D16" s="1484" t="str">
        <f t="shared" si="0"/>
        <v>MERC/CAPEX/20102011/01755</v>
      </c>
      <c r="E16" s="1536">
        <f t="shared" si="0"/>
        <v>40485</v>
      </c>
      <c r="F16" s="1394">
        <f t="shared" si="1"/>
        <v>40507</v>
      </c>
      <c r="G16" s="1395">
        <v>3.5</v>
      </c>
      <c r="H16" s="1395">
        <v>3.5</v>
      </c>
      <c r="I16" s="1396"/>
      <c r="J16" s="1396"/>
      <c r="K16" s="1394">
        <v>40507</v>
      </c>
      <c r="L16" s="1397"/>
      <c r="M16" s="1397"/>
      <c r="N16" s="1397"/>
      <c r="O16" s="1407"/>
      <c r="P16" s="309">
        <v>0</v>
      </c>
      <c r="Q16" s="309">
        <v>2.3481999999999998</v>
      </c>
      <c r="R16" s="309">
        <v>0</v>
      </c>
      <c r="S16" s="309">
        <v>1.5723499999999999</v>
      </c>
      <c r="T16" s="1533">
        <f t="shared" si="2"/>
        <v>3.9205499999999995</v>
      </c>
      <c r="U16" s="1537">
        <v>0.32827599999999979</v>
      </c>
      <c r="V16" s="309">
        <v>0</v>
      </c>
      <c r="W16" s="309">
        <v>0</v>
      </c>
      <c r="X16" s="309"/>
      <c r="Y16" s="309"/>
      <c r="Z16" s="309"/>
      <c r="AA16" s="309"/>
      <c r="AB16" s="309"/>
      <c r="AC16" s="1526"/>
      <c r="AD16" s="1538"/>
      <c r="AE16" s="1538"/>
      <c r="AF16" s="1539">
        <v>1</v>
      </c>
      <c r="AG16" s="1538"/>
      <c r="AH16" s="1538"/>
      <c r="AI16" s="1538"/>
      <c r="AJ16" s="309">
        <v>0</v>
      </c>
      <c r="AK16" s="309">
        <v>0</v>
      </c>
      <c r="AL16" s="309">
        <v>2.3481999999999998</v>
      </c>
      <c r="AM16" s="309">
        <v>1.5723499999999999</v>
      </c>
      <c r="AN16" s="1523">
        <f t="shared" si="3"/>
        <v>3.9205499999999995</v>
      </c>
      <c r="AO16" s="1537">
        <v>0.32827600000000001</v>
      </c>
      <c r="AP16" s="309">
        <v>0</v>
      </c>
      <c r="AQ16" s="309">
        <v>0</v>
      </c>
      <c r="AR16" s="309"/>
      <c r="AS16" s="309"/>
      <c r="AT16" s="309"/>
      <c r="AU16" s="309"/>
      <c r="AV16" s="309"/>
      <c r="AW16" s="309"/>
      <c r="AX16" s="1396"/>
      <c r="AY16" s="1540" t="s">
        <v>940</v>
      </c>
    </row>
    <row r="17" spans="1:51" s="1530" customFormat="1" ht="62" outlineLevel="1" x14ac:dyDescent="0.25">
      <c r="A17" s="1482" t="s">
        <v>1607</v>
      </c>
      <c r="B17" s="1483" t="s">
        <v>1608</v>
      </c>
      <c r="C17" s="1531" t="s">
        <v>936</v>
      </c>
      <c r="D17" s="1482" t="str">
        <f t="shared" si="0"/>
        <v>MERC/CAPEX/20102011/01755</v>
      </c>
      <c r="E17" s="1532">
        <f t="shared" si="0"/>
        <v>40485</v>
      </c>
      <c r="F17" s="1390">
        <f t="shared" si="1"/>
        <v>40507</v>
      </c>
      <c r="G17" s="565">
        <v>2</v>
      </c>
      <c r="H17" s="565">
        <v>2</v>
      </c>
      <c r="I17" s="563"/>
      <c r="J17" s="563"/>
      <c r="K17" s="1390">
        <v>40507</v>
      </c>
      <c r="L17" s="1391"/>
      <c r="M17" s="1391"/>
      <c r="N17" s="1391"/>
      <c r="O17" s="1402"/>
      <c r="P17" s="1533">
        <v>0</v>
      </c>
      <c r="Q17" s="1533">
        <v>0</v>
      </c>
      <c r="R17" s="1533">
        <v>2.0468280000000001</v>
      </c>
      <c r="S17" s="1533">
        <v>0</v>
      </c>
      <c r="T17" s="1533">
        <f t="shared" si="2"/>
        <v>2.0468280000000001</v>
      </c>
      <c r="U17" s="1533">
        <v>0</v>
      </c>
      <c r="V17" s="1533">
        <v>0</v>
      </c>
      <c r="W17" s="1533">
        <v>0</v>
      </c>
      <c r="X17" s="1533"/>
      <c r="Y17" s="1533"/>
      <c r="Z17" s="1533"/>
      <c r="AA17" s="1533"/>
      <c r="AB17" s="1533"/>
      <c r="AC17" s="1526"/>
      <c r="AD17" s="1526"/>
      <c r="AE17" s="1526">
        <v>1</v>
      </c>
      <c r="AF17" s="1526"/>
      <c r="AG17" s="1526"/>
      <c r="AH17" s="1526"/>
      <c r="AI17" s="1526"/>
      <c r="AJ17" s="1533">
        <v>0</v>
      </c>
      <c r="AK17" s="1533">
        <v>0</v>
      </c>
      <c r="AL17" s="1533">
        <v>2.0468280000000001</v>
      </c>
      <c r="AM17" s="1533">
        <v>0</v>
      </c>
      <c r="AN17" s="1523">
        <f t="shared" si="3"/>
        <v>2.0468280000000001</v>
      </c>
      <c r="AO17" s="1533">
        <v>0</v>
      </c>
      <c r="AP17" s="1533">
        <v>0</v>
      </c>
      <c r="AQ17" s="1533">
        <v>0</v>
      </c>
      <c r="AR17" s="1533"/>
      <c r="AS17" s="1533"/>
      <c r="AT17" s="1533"/>
      <c r="AU17" s="1533"/>
      <c r="AV17" s="1533"/>
      <c r="AW17" s="1533"/>
      <c r="AX17" s="563"/>
      <c r="AY17" s="1534" t="s">
        <v>940</v>
      </c>
    </row>
    <row r="18" spans="1:51" s="1530" customFormat="1" ht="15.5" outlineLevel="1" x14ac:dyDescent="0.25">
      <c r="A18" s="1482">
        <v>1.1100000000000001</v>
      </c>
      <c r="B18" s="1483" t="s">
        <v>1609</v>
      </c>
      <c r="C18" s="1531" t="s">
        <v>936</v>
      </c>
      <c r="D18" s="1482" t="str">
        <f t="shared" si="0"/>
        <v>MERC/CAPEX/20102011/01755</v>
      </c>
      <c r="E18" s="1532">
        <f t="shared" si="0"/>
        <v>40485</v>
      </c>
      <c r="F18" s="1390">
        <f t="shared" si="1"/>
        <v>40507</v>
      </c>
      <c r="G18" s="565">
        <v>0</v>
      </c>
      <c r="H18" s="565">
        <v>0</v>
      </c>
      <c r="I18" s="563"/>
      <c r="J18" s="563"/>
      <c r="K18" s="1390">
        <v>40507</v>
      </c>
      <c r="L18" s="1391"/>
      <c r="M18" s="1391"/>
      <c r="N18" s="1391"/>
      <c r="O18" s="1402"/>
      <c r="P18" s="1533">
        <v>0</v>
      </c>
      <c r="Q18" s="1533">
        <v>0</v>
      </c>
      <c r="R18" s="1533">
        <v>0</v>
      </c>
      <c r="S18" s="1533">
        <v>0</v>
      </c>
      <c r="T18" s="1533">
        <f t="shared" si="2"/>
        <v>0</v>
      </c>
      <c r="U18" s="1533">
        <v>0</v>
      </c>
      <c r="V18" s="1533">
        <v>0</v>
      </c>
      <c r="W18" s="1533">
        <v>0</v>
      </c>
      <c r="X18" s="1533"/>
      <c r="Y18" s="1533"/>
      <c r="Z18" s="1533"/>
      <c r="AA18" s="1533"/>
      <c r="AB18" s="1533"/>
      <c r="AC18" s="1526"/>
      <c r="AD18" s="1526"/>
      <c r="AE18" s="1526"/>
      <c r="AF18" s="1526"/>
      <c r="AG18" s="1526"/>
      <c r="AH18" s="1526"/>
      <c r="AI18" s="1526"/>
      <c r="AJ18" s="1533">
        <v>0</v>
      </c>
      <c r="AK18" s="1533">
        <v>0</v>
      </c>
      <c r="AL18" s="1533">
        <v>0</v>
      </c>
      <c r="AM18" s="1533">
        <v>0</v>
      </c>
      <c r="AN18" s="1523">
        <f t="shared" si="3"/>
        <v>0</v>
      </c>
      <c r="AO18" s="1533">
        <v>0</v>
      </c>
      <c r="AP18" s="1533">
        <v>0</v>
      </c>
      <c r="AQ18" s="1533">
        <v>0</v>
      </c>
      <c r="AR18" s="1533"/>
      <c r="AS18" s="1533"/>
      <c r="AT18" s="1533"/>
      <c r="AU18" s="1533"/>
      <c r="AV18" s="1533"/>
      <c r="AW18" s="1533"/>
      <c r="AX18" s="563"/>
      <c r="AY18" s="1534" t="s">
        <v>941</v>
      </c>
    </row>
    <row r="19" spans="1:51" s="1530" customFormat="1" ht="31" outlineLevel="1" x14ac:dyDescent="0.25">
      <c r="A19" s="1482">
        <v>1.1200000000000001</v>
      </c>
      <c r="B19" s="1483" t="s">
        <v>1610</v>
      </c>
      <c r="C19" s="1531" t="s">
        <v>936</v>
      </c>
      <c r="D19" s="1482" t="str">
        <f t="shared" si="0"/>
        <v>MERC/CAPEX/20102011/01755</v>
      </c>
      <c r="E19" s="1532">
        <f t="shared" si="0"/>
        <v>40485</v>
      </c>
      <c r="F19" s="1390">
        <f t="shared" si="1"/>
        <v>40507</v>
      </c>
      <c r="G19" s="565">
        <v>2.9129999999999998</v>
      </c>
      <c r="H19" s="565">
        <v>2.9129999999999998</v>
      </c>
      <c r="I19" s="563"/>
      <c r="J19" s="563"/>
      <c r="K19" s="1390">
        <v>40507</v>
      </c>
      <c r="L19" s="1391"/>
      <c r="M19" s="1391"/>
      <c r="N19" s="1391"/>
      <c r="O19" s="1402"/>
      <c r="P19" s="1533">
        <v>1.532667268</v>
      </c>
      <c r="Q19" s="1533">
        <v>8.6076500000000222E-2</v>
      </c>
      <c r="R19" s="1533">
        <v>0</v>
      </c>
      <c r="S19" s="1533">
        <v>0</v>
      </c>
      <c r="T19" s="1533">
        <f t="shared" si="2"/>
        <v>1.6187437680000003</v>
      </c>
      <c r="U19" s="1533">
        <v>0</v>
      </c>
      <c r="V19" s="1533">
        <v>0</v>
      </c>
      <c r="W19" s="1533">
        <v>0</v>
      </c>
      <c r="X19" s="1533"/>
      <c r="Y19" s="1533"/>
      <c r="Z19" s="1533"/>
      <c r="AA19" s="1533"/>
      <c r="AB19" s="1533"/>
      <c r="AC19" s="1526">
        <v>0.9</v>
      </c>
      <c r="AD19" s="1526">
        <v>0.95</v>
      </c>
      <c r="AE19" s="1526">
        <v>1</v>
      </c>
      <c r="AF19" s="1526"/>
      <c r="AG19" s="1526"/>
      <c r="AH19" s="1526"/>
      <c r="AI19" s="1526"/>
      <c r="AJ19" s="1533">
        <v>1.0514973679999999</v>
      </c>
      <c r="AK19" s="1533">
        <v>0.48116989999999998</v>
      </c>
      <c r="AL19" s="1533">
        <v>8.60765E-2</v>
      </c>
      <c r="AM19" s="1533">
        <v>0</v>
      </c>
      <c r="AN19" s="1523">
        <f t="shared" si="3"/>
        <v>1.6187437679999999</v>
      </c>
      <c r="AO19" s="1533">
        <v>0</v>
      </c>
      <c r="AP19" s="1533">
        <v>0</v>
      </c>
      <c r="AQ19" s="1533">
        <v>0</v>
      </c>
      <c r="AR19" s="1533"/>
      <c r="AS19" s="1533"/>
      <c r="AT19" s="1533"/>
      <c r="AU19" s="1533"/>
      <c r="AV19" s="1533"/>
      <c r="AW19" s="1533"/>
      <c r="AX19" s="563"/>
      <c r="AY19" s="1534" t="s">
        <v>940</v>
      </c>
    </row>
    <row r="20" spans="1:51" s="1530" customFormat="1" ht="31" outlineLevel="1" x14ac:dyDescent="0.25">
      <c r="A20" s="1482">
        <v>1.1299999999999999</v>
      </c>
      <c r="B20" s="1483" t="s">
        <v>1611</v>
      </c>
      <c r="C20" s="1531" t="s">
        <v>936</v>
      </c>
      <c r="D20" s="1482" t="str">
        <f t="shared" si="0"/>
        <v>MERC/CAPEX/20102011/01755</v>
      </c>
      <c r="E20" s="1532">
        <f t="shared" si="0"/>
        <v>40485</v>
      </c>
      <c r="F20" s="1390">
        <f t="shared" si="1"/>
        <v>40507</v>
      </c>
      <c r="G20" s="565">
        <v>15</v>
      </c>
      <c r="H20" s="565">
        <v>15</v>
      </c>
      <c r="I20" s="563"/>
      <c r="J20" s="563"/>
      <c r="K20" s="1390">
        <v>40507</v>
      </c>
      <c r="L20" s="1391"/>
      <c r="M20" s="1391"/>
      <c r="N20" s="1391"/>
      <c r="O20" s="1402"/>
      <c r="P20" s="1533">
        <v>12.466853663999999</v>
      </c>
      <c r="Q20" s="1533">
        <v>0</v>
      </c>
      <c r="R20" s="1533">
        <v>2.1567664</v>
      </c>
      <c r="S20" s="1533">
        <v>0.22800000000000001</v>
      </c>
      <c r="T20" s="1533">
        <f t="shared" si="2"/>
        <v>14.851620063999999</v>
      </c>
      <c r="U20" s="1541">
        <v>3.899999967416079E-8</v>
      </c>
      <c r="V20" s="1533">
        <v>0</v>
      </c>
      <c r="W20" s="1533">
        <v>0</v>
      </c>
      <c r="X20" s="1533"/>
      <c r="Y20" s="1533"/>
      <c r="Z20" s="1533"/>
      <c r="AA20" s="1533"/>
      <c r="AB20" s="1533"/>
      <c r="AC20" s="1526"/>
      <c r="AD20" s="1526"/>
      <c r="AE20" s="1526">
        <v>1</v>
      </c>
      <c r="AF20" s="1526"/>
      <c r="AG20" s="1526"/>
      <c r="AH20" s="1526"/>
      <c r="AI20" s="1526"/>
      <c r="AJ20" s="1533">
        <v>12.466853663999999</v>
      </c>
      <c r="AK20" s="1533">
        <v>0</v>
      </c>
      <c r="AL20" s="1533">
        <v>0.39451910000000001</v>
      </c>
      <c r="AM20" s="1533">
        <v>1.9902473000000001</v>
      </c>
      <c r="AN20" s="1523">
        <f t="shared" si="3"/>
        <v>14.851620063999999</v>
      </c>
      <c r="AO20" s="1541">
        <v>3.8999999999999998E-8</v>
      </c>
      <c r="AP20" s="1533">
        <v>0</v>
      </c>
      <c r="AQ20" s="1533">
        <v>0</v>
      </c>
      <c r="AR20" s="1533"/>
      <c r="AS20" s="1533"/>
      <c r="AT20" s="1533"/>
      <c r="AU20" s="1533"/>
      <c r="AV20" s="1533"/>
      <c r="AW20" s="1533"/>
      <c r="AX20" s="563"/>
      <c r="AY20" s="1534" t="s">
        <v>940</v>
      </c>
    </row>
    <row r="21" spans="1:51" s="1530" customFormat="1" ht="46.5" outlineLevel="1" x14ac:dyDescent="0.25">
      <c r="A21" s="1482">
        <v>1.1399999999999999</v>
      </c>
      <c r="B21" s="1483" t="s">
        <v>1612</v>
      </c>
      <c r="C21" s="1531" t="s">
        <v>936</v>
      </c>
      <c r="D21" s="1482" t="str">
        <f t="shared" si="0"/>
        <v>MERC/CAPEX/20102011/01755</v>
      </c>
      <c r="E21" s="1532">
        <f t="shared" si="0"/>
        <v>40485</v>
      </c>
      <c r="F21" s="1390">
        <f t="shared" si="1"/>
        <v>40507</v>
      </c>
      <c r="G21" s="565">
        <v>4.6040000000000001</v>
      </c>
      <c r="H21" s="565">
        <v>4.6040000000000001</v>
      </c>
      <c r="I21" s="563"/>
      <c r="J21" s="563"/>
      <c r="K21" s="1390">
        <v>40507</v>
      </c>
      <c r="L21" s="1391"/>
      <c r="M21" s="1391"/>
      <c r="N21" s="1391"/>
      <c r="O21" s="1402"/>
      <c r="P21" s="1533">
        <v>8.9775599999999997E-2</v>
      </c>
      <c r="Q21" s="1533">
        <v>0</v>
      </c>
      <c r="R21" s="1533">
        <v>0</v>
      </c>
      <c r="S21" s="1533">
        <v>0</v>
      </c>
      <c r="T21" s="1533">
        <f t="shared" si="2"/>
        <v>8.9775599999999997E-2</v>
      </c>
      <c r="U21" s="1533">
        <v>0</v>
      </c>
      <c r="V21" s="1533">
        <v>0</v>
      </c>
      <c r="W21" s="1533">
        <v>0</v>
      </c>
      <c r="X21" s="1533"/>
      <c r="Y21" s="1533"/>
      <c r="Z21" s="1533"/>
      <c r="AA21" s="1533"/>
      <c r="AB21" s="1533"/>
      <c r="AC21" s="1526"/>
      <c r="AD21" s="1526"/>
      <c r="AE21" s="1526"/>
      <c r="AF21" s="1526"/>
      <c r="AG21" s="1526"/>
      <c r="AH21" s="1526"/>
      <c r="AI21" s="1526"/>
      <c r="AJ21" s="1533">
        <v>8.9775599999999997E-2</v>
      </c>
      <c r="AK21" s="1533">
        <v>0</v>
      </c>
      <c r="AL21" s="1533">
        <v>0</v>
      </c>
      <c r="AM21" s="1533">
        <v>0</v>
      </c>
      <c r="AN21" s="1523">
        <f t="shared" si="3"/>
        <v>8.9775599999999997E-2</v>
      </c>
      <c r="AO21" s="1533">
        <v>0</v>
      </c>
      <c r="AP21" s="1533">
        <v>0</v>
      </c>
      <c r="AQ21" s="1533">
        <v>0</v>
      </c>
      <c r="AR21" s="1533"/>
      <c r="AS21" s="1533"/>
      <c r="AT21" s="1533"/>
      <c r="AU21" s="1533"/>
      <c r="AV21" s="1533"/>
      <c r="AW21" s="1533"/>
      <c r="AX21" s="563"/>
      <c r="AY21" s="1534" t="s">
        <v>941</v>
      </c>
    </row>
    <row r="22" spans="1:51" s="1530" customFormat="1" ht="31" outlineLevel="1" x14ac:dyDescent="0.25">
      <c r="A22" s="1482">
        <v>1.1499999999999999</v>
      </c>
      <c r="B22" s="1483" t="s">
        <v>1613</v>
      </c>
      <c r="C22" s="1531" t="s">
        <v>936</v>
      </c>
      <c r="D22" s="1482" t="str">
        <f t="shared" si="0"/>
        <v>MERC/CAPEX/20102011/01755</v>
      </c>
      <c r="E22" s="1532">
        <f t="shared" si="0"/>
        <v>40485</v>
      </c>
      <c r="F22" s="1390">
        <f t="shared" si="1"/>
        <v>40507</v>
      </c>
      <c r="G22" s="565">
        <v>10.5</v>
      </c>
      <c r="H22" s="565">
        <v>10.5</v>
      </c>
      <c r="I22" s="563"/>
      <c r="J22" s="563"/>
      <c r="K22" s="1390">
        <v>40507</v>
      </c>
      <c r="L22" s="1391"/>
      <c r="M22" s="1391"/>
      <c r="N22" s="1391"/>
      <c r="O22" s="1402"/>
      <c r="P22" s="1533">
        <v>0</v>
      </c>
      <c r="Q22" s="1533">
        <v>0</v>
      </c>
      <c r="R22" s="1533">
        <v>0</v>
      </c>
      <c r="S22" s="1533">
        <v>0</v>
      </c>
      <c r="T22" s="1533">
        <f t="shared" si="2"/>
        <v>0</v>
      </c>
      <c r="U22" s="1533">
        <v>0</v>
      </c>
      <c r="V22" s="1533">
        <v>0</v>
      </c>
      <c r="W22" s="1533">
        <v>0</v>
      </c>
      <c r="X22" s="1533"/>
      <c r="Y22" s="1533"/>
      <c r="Z22" s="1533"/>
      <c r="AA22" s="1533"/>
      <c r="AB22" s="1533"/>
      <c r="AC22" s="1526"/>
      <c r="AD22" s="1526"/>
      <c r="AE22" s="1526"/>
      <c r="AF22" s="1526"/>
      <c r="AG22" s="1526"/>
      <c r="AH22" s="1526"/>
      <c r="AI22" s="1526"/>
      <c r="AJ22" s="1533">
        <v>0</v>
      </c>
      <c r="AK22" s="1533">
        <v>0</v>
      </c>
      <c r="AL22" s="1533">
        <v>0</v>
      </c>
      <c r="AM22" s="1533">
        <v>0</v>
      </c>
      <c r="AN22" s="1523">
        <f t="shared" si="3"/>
        <v>0</v>
      </c>
      <c r="AO22" s="1533">
        <v>0</v>
      </c>
      <c r="AP22" s="1533">
        <v>0</v>
      </c>
      <c r="AQ22" s="1533">
        <v>0</v>
      </c>
      <c r="AR22" s="1533"/>
      <c r="AS22" s="1533"/>
      <c r="AT22" s="1533"/>
      <c r="AU22" s="1533"/>
      <c r="AV22" s="1533"/>
      <c r="AW22" s="1533"/>
      <c r="AX22" s="563"/>
      <c r="AY22" s="1534" t="s">
        <v>941</v>
      </c>
    </row>
    <row r="23" spans="1:51" s="1530" customFormat="1" ht="31" outlineLevel="1" x14ac:dyDescent="0.25">
      <c r="A23" s="1482">
        <v>1.1599999999999999</v>
      </c>
      <c r="B23" s="1483" t="s">
        <v>1614</v>
      </c>
      <c r="C23" s="1531" t="s">
        <v>936</v>
      </c>
      <c r="D23" s="1482" t="str">
        <f t="shared" si="0"/>
        <v>MERC/CAPEX/20102011/01755</v>
      </c>
      <c r="E23" s="1532">
        <f t="shared" si="0"/>
        <v>40485</v>
      </c>
      <c r="F23" s="1390">
        <f t="shared" si="1"/>
        <v>40507</v>
      </c>
      <c r="G23" s="565">
        <v>4.91</v>
      </c>
      <c r="H23" s="565">
        <v>4.91</v>
      </c>
      <c r="I23" s="563"/>
      <c r="J23" s="563"/>
      <c r="K23" s="1390">
        <v>40507</v>
      </c>
      <c r="L23" s="1391"/>
      <c r="M23" s="1391"/>
      <c r="N23" s="1391"/>
      <c r="O23" s="1402"/>
      <c r="P23" s="1533">
        <v>1.2187733000000001</v>
      </c>
      <c r="Q23" s="1533">
        <v>0</v>
      </c>
      <c r="R23" s="1533">
        <v>0</v>
      </c>
      <c r="S23" s="1533">
        <v>2.3248671519999999</v>
      </c>
      <c r="T23" s="1533">
        <f t="shared" si="2"/>
        <v>3.543640452</v>
      </c>
      <c r="U23" s="1533">
        <v>0</v>
      </c>
      <c r="V23" s="1533">
        <v>0</v>
      </c>
      <c r="W23" s="1533">
        <v>0</v>
      </c>
      <c r="X23" s="1533"/>
      <c r="Y23" s="1533"/>
      <c r="Z23" s="1533"/>
      <c r="AA23" s="1533"/>
      <c r="AB23" s="1533"/>
      <c r="AC23" s="1526">
        <v>0.4</v>
      </c>
      <c r="AD23" s="1526"/>
      <c r="AE23" s="1526"/>
      <c r="AF23" s="1526">
        <v>1</v>
      </c>
      <c r="AG23" s="1526"/>
      <c r="AH23" s="1526"/>
      <c r="AI23" s="1526"/>
      <c r="AJ23" s="1533">
        <v>1.2187733000000001</v>
      </c>
      <c r="AK23" s="1533">
        <v>0</v>
      </c>
      <c r="AL23" s="1533">
        <v>0</v>
      </c>
      <c r="AM23" s="1533">
        <v>2.3248671519999999</v>
      </c>
      <c r="AN23" s="1523">
        <f t="shared" si="3"/>
        <v>3.543640452</v>
      </c>
      <c r="AO23" s="1533">
        <v>0</v>
      </c>
      <c r="AP23" s="1533">
        <v>0</v>
      </c>
      <c r="AQ23" s="1533">
        <v>0</v>
      </c>
      <c r="AR23" s="1533"/>
      <c r="AS23" s="1533"/>
      <c r="AT23" s="1533"/>
      <c r="AU23" s="1533"/>
      <c r="AV23" s="1533"/>
      <c r="AW23" s="1533"/>
      <c r="AX23" s="563"/>
      <c r="AY23" s="1534" t="s">
        <v>940</v>
      </c>
    </row>
    <row r="24" spans="1:51" s="1530" customFormat="1" ht="15.5" outlineLevel="1" x14ac:dyDescent="0.25">
      <c r="A24" s="1482"/>
      <c r="B24" s="1483" t="s">
        <v>414</v>
      </c>
      <c r="C24" s="1531" t="s">
        <v>414</v>
      </c>
      <c r="D24" s="1482" t="str">
        <f t="shared" ref="D24:E24" si="4">D23</f>
        <v>MERC/CAPEX/20102011/01755</v>
      </c>
      <c r="E24" s="1532">
        <f t="shared" si="4"/>
        <v>40485</v>
      </c>
      <c r="F24" s="1390">
        <f t="shared" si="1"/>
        <v>40507</v>
      </c>
      <c r="G24" s="565">
        <v>10.09</v>
      </c>
      <c r="H24" s="565">
        <v>10.09</v>
      </c>
      <c r="I24" s="563"/>
      <c r="J24" s="563"/>
      <c r="K24" s="1390">
        <v>40507</v>
      </c>
      <c r="L24" s="1391"/>
      <c r="M24" s="1391"/>
      <c r="N24" s="1391"/>
      <c r="O24" s="1402"/>
      <c r="P24" s="1533"/>
      <c r="Q24" s="1533">
        <v>0</v>
      </c>
      <c r="R24" s="1533">
        <v>0</v>
      </c>
      <c r="S24" s="1533">
        <v>0</v>
      </c>
      <c r="T24" s="1533">
        <f t="shared" si="2"/>
        <v>0</v>
      </c>
      <c r="U24" s="1533">
        <v>0</v>
      </c>
      <c r="V24" s="1533">
        <v>0</v>
      </c>
      <c r="W24" s="1533">
        <v>0</v>
      </c>
      <c r="X24" s="1533"/>
      <c r="Y24" s="1533"/>
      <c r="Z24" s="1533"/>
      <c r="AA24" s="1533"/>
      <c r="AB24" s="1533"/>
      <c r="AC24" s="1526"/>
      <c r="AD24" s="1526"/>
      <c r="AE24" s="1526"/>
      <c r="AF24" s="1526"/>
      <c r="AG24" s="1526"/>
      <c r="AH24" s="1526"/>
      <c r="AI24" s="1526"/>
      <c r="AJ24" s="1533"/>
      <c r="AK24" s="1533">
        <v>0</v>
      </c>
      <c r="AL24" s="1533">
        <v>0</v>
      </c>
      <c r="AM24" s="1533">
        <v>0</v>
      </c>
      <c r="AN24" s="1523">
        <f t="shared" si="3"/>
        <v>0</v>
      </c>
      <c r="AO24" s="1533">
        <v>0</v>
      </c>
      <c r="AP24" s="1533">
        <v>0</v>
      </c>
      <c r="AQ24" s="1533">
        <v>0</v>
      </c>
      <c r="AR24" s="1533"/>
      <c r="AS24" s="1533"/>
      <c r="AT24" s="1533"/>
      <c r="AU24" s="1533"/>
      <c r="AV24" s="1533"/>
      <c r="AW24" s="1533"/>
      <c r="AX24" s="563"/>
      <c r="AY24" s="1534"/>
    </row>
    <row r="25" spans="1:51" s="1530" customFormat="1" ht="15.5" outlineLevel="1" x14ac:dyDescent="0.25">
      <c r="A25" s="1477">
        <v>2</v>
      </c>
      <c r="B25" s="1478" t="s">
        <v>1615</v>
      </c>
      <c r="C25" s="1477" t="s">
        <v>928</v>
      </c>
      <c r="D25" s="1477" t="s">
        <v>1616</v>
      </c>
      <c r="E25" s="1479">
        <v>40659</v>
      </c>
      <c r="F25" s="1479">
        <v>40730</v>
      </c>
      <c r="G25" s="1380">
        <f>SUM(G26:G37)</f>
        <v>20.990099999999998</v>
      </c>
      <c r="H25" s="1380">
        <f>SUM(H26:H37)</f>
        <v>20.990099999999998</v>
      </c>
      <c r="I25" s="563"/>
      <c r="J25" s="563"/>
      <c r="K25" s="1390">
        <v>40730</v>
      </c>
      <c r="L25" s="1391"/>
      <c r="M25" s="1391"/>
      <c r="N25" s="1391"/>
      <c r="O25" s="1402"/>
      <c r="P25" s="1523"/>
      <c r="Q25" s="1524"/>
      <c r="R25" s="1524"/>
      <c r="S25" s="1524"/>
      <c r="T25" s="1524">
        <f t="shared" si="2"/>
        <v>0</v>
      </c>
      <c r="U25" s="1525"/>
      <c r="V25" s="1525"/>
      <c r="W25" s="1392"/>
      <c r="X25" s="1392"/>
      <c r="Y25" s="1392"/>
      <c r="Z25" s="1392"/>
      <c r="AA25" s="1392"/>
      <c r="AB25" s="1392"/>
      <c r="AC25" s="1526"/>
      <c r="AD25" s="1526"/>
      <c r="AE25" s="1526"/>
      <c r="AF25" s="1526"/>
      <c r="AG25" s="1526"/>
      <c r="AH25" s="1526"/>
      <c r="AI25" s="1526"/>
      <c r="AJ25" s="1523"/>
      <c r="AK25" s="1523"/>
      <c r="AL25" s="1523"/>
      <c r="AM25" s="1523"/>
      <c r="AN25" s="1523">
        <f t="shared" si="3"/>
        <v>0</v>
      </c>
      <c r="AO25" s="1527"/>
      <c r="AP25" s="1527"/>
      <c r="AQ25" s="1527"/>
      <c r="AR25" s="1527"/>
      <c r="AS25" s="1527"/>
      <c r="AT25" s="1527"/>
      <c r="AU25" s="1527"/>
      <c r="AV25" s="1527"/>
      <c r="AW25" s="1527"/>
      <c r="AX25" s="563"/>
      <c r="AY25" s="1393"/>
    </row>
    <row r="26" spans="1:51" s="1530" customFormat="1" ht="46.5" outlineLevel="1" x14ac:dyDescent="0.25">
      <c r="A26" s="1482">
        <v>2.1</v>
      </c>
      <c r="B26" s="1483" t="s">
        <v>1617</v>
      </c>
      <c r="C26" s="1531" t="s">
        <v>936</v>
      </c>
      <c r="D26" s="1482" t="str">
        <f t="shared" ref="D26:E37" si="5">D25</f>
        <v>MERC/CAPEX/20112012/00925</v>
      </c>
      <c r="E26" s="1532">
        <f t="shared" si="5"/>
        <v>40659</v>
      </c>
      <c r="F26" s="1390">
        <f t="shared" ref="F26:F37" si="6">IF(F25=0,"-",F25)</f>
        <v>40730</v>
      </c>
      <c r="G26" s="565">
        <v>1.0398000000000001</v>
      </c>
      <c r="H26" s="565">
        <v>1.0398000000000001</v>
      </c>
      <c r="I26" s="563"/>
      <c r="J26" s="563"/>
      <c r="K26" s="1390">
        <v>40730</v>
      </c>
      <c r="L26" s="1391"/>
      <c r="M26" s="1391"/>
      <c r="N26" s="1391"/>
      <c r="O26" s="1402"/>
      <c r="P26" s="1533">
        <v>0.70700000000000007</v>
      </c>
      <c r="Q26" s="1542"/>
      <c r="R26" s="1542"/>
      <c r="S26" s="1542"/>
      <c r="T26" s="1542">
        <f t="shared" si="2"/>
        <v>0.70700000000000007</v>
      </c>
      <c r="U26" s="1542"/>
      <c r="V26" s="1542"/>
      <c r="W26" s="1542"/>
      <c r="X26" s="1542"/>
      <c r="Y26" s="1542"/>
      <c r="Z26" s="1542"/>
      <c r="AA26" s="1542"/>
      <c r="AB26" s="1542"/>
      <c r="AC26" s="1526"/>
      <c r="AD26" s="1526"/>
      <c r="AE26" s="1526"/>
      <c r="AF26" s="1526"/>
      <c r="AG26" s="1526"/>
      <c r="AH26" s="1526"/>
      <c r="AI26" s="1526"/>
      <c r="AJ26" s="1533">
        <v>0.70700000000000007</v>
      </c>
      <c r="AK26" s="1533"/>
      <c r="AL26" s="1533"/>
      <c r="AM26" s="1533"/>
      <c r="AN26" s="1523">
        <f t="shared" si="3"/>
        <v>0.70700000000000007</v>
      </c>
      <c r="AO26" s="1533"/>
      <c r="AP26" s="1533"/>
      <c r="AQ26" s="1533"/>
      <c r="AR26" s="1533"/>
      <c r="AS26" s="1533"/>
      <c r="AT26" s="1533"/>
      <c r="AU26" s="1533"/>
      <c r="AV26" s="1533"/>
      <c r="AW26" s="1533"/>
      <c r="AX26" s="563"/>
      <c r="AY26" s="1534" t="s">
        <v>940</v>
      </c>
    </row>
    <row r="27" spans="1:51" s="1530" customFormat="1" ht="46.5" outlineLevel="1" x14ac:dyDescent="0.25">
      <c r="A27" s="1482">
        <v>2.2000000000000002</v>
      </c>
      <c r="B27" s="1483" t="s">
        <v>1618</v>
      </c>
      <c r="C27" s="1531" t="s">
        <v>936</v>
      </c>
      <c r="D27" s="1482" t="str">
        <f t="shared" si="5"/>
        <v>MERC/CAPEX/20112012/00925</v>
      </c>
      <c r="E27" s="1532">
        <f t="shared" si="5"/>
        <v>40659</v>
      </c>
      <c r="F27" s="1390">
        <f t="shared" si="6"/>
        <v>40730</v>
      </c>
      <c r="G27" s="565">
        <v>3.1379999999999999</v>
      </c>
      <c r="H27" s="565">
        <v>3.1379999999999999</v>
      </c>
      <c r="I27" s="563"/>
      <c r="J27" s="563"/>
      <c r="K27" s="1390">
        <v>40730</v>
      </c>
      <c r="L27" s="1391"/>
      <c r="M27" s="1391"/>
      <c r="N27" s="1391"/>
      <c r="O27" s="1402"/>
      <c r="P27" s="1533">
        <v>0</v>
      </c>
      <c r="Q27" s="1542"/>
      <c r="R27" s="1542"/>
      <c r="S27" s="1542"/>
      <c r="T27" s="1542">
        <f t="shared" si="2"/>
        <v>0</v>
      </c>
      <c r="U27" s="1542"/>
      <c r="V27" s="1542"/>
      <c r="W27" s="1542"/>
      <c r="X27" s="1542"/>
      <c r="Y27" s="1542"/>
      <c r="Z27" s="1542"/>
      <c r="AA27" s="1542"/>
      <c r="AB27" s="1542"/>
      <c r="AC27" s="1526"/>
      <c r="AD27" s="1526"/>
      <c r="AE27" s="1526"/>
      <c r="AF27" s="1526"/>
      <c r="AG27" s="1526"/>
      <c r="AH27" s="1526"/>
      <c r="AI27" s="1526"/>
      <c r="AJ27" s="1533">
        <v>0</v>
      </c>
      <c r="AK27" s="1533"/>
      <c r="AL27" s="1533"/>
      <c r="AM27" s="1533"/>
      <c r="AN27" s="1523">
        <f t="shared" si="3"/>
        <v>0</v>
      </c>
      <c r="AO27" s="1533"/>
      <c r="AP27" s="1533"/>
      <c r="AQ27" s="1533"/>
      <c r="AR27" s="1533"/>
      <c r="AS27" s="1533"/>
      <c r="AT27" s="1533"/>
      <c r="AU27" s="1533"/>
      <c r="AV27" s="1533"/>
      <c r="AW27" s="1533"/>
      <c r="AX27" s="563"/>
      <c r="AY27" s="1534" t="s">
        <v>942</v>
      </c>
    </row>
    <row r="28" spans="1:51" s="1530" customFormat="1" ht="46.5" outlineLevel="1" x14ac:dyDescent="0.25">
      <c r="A28" s="1482">
        <v>2.2999999999999998</v>
      </c>
      <c r="B28" s="1483" t="s">
        <v>1619</v>
      </c>
      <c r="C28" s="1531" t="s">
        <v>936</v>
      </c>
      <c r="D28" s="1482" t="str">
        <f t="shared" si="5"/>
        <v>MERC/CAPEX/20112012/00925</v>
      </c>
      <c r="E28" s="1532">
        <f t="shared" si="5"/>
        <v>40659</v>
      </c>
      <c r="F28" s="1390">
        <f t="shared" si="6"/>
        <v>40730</v>
      </c>
      <c r="G28" s="565">
        <v>3.0657000000000001</v>
      </c>
      <c r="H28" s="565">
        <v>3.0657000000000001</v>
      </c>
      <c r="I28" s="563"/>
      <c r="J28" s="563"/>
      <c r="K28" s="1390">
        <v>40730</v>
      </c>
      <c r="L28" s="1391"/>
      <c r="M28" s="1391"/>
      <c r="N28" s="1391"/>
      <c r="O28" s="1402"/>
      <c r="P28" s="1533">
        <v>1.7642598999999999</v>
      </c>
      <c r="Q28" s="1542"/>
      <c r="R28" s="1542"/>
      <c r="S28" s="1542"/>
      <c r="T28" s="1542">
        <f t="shared" si="2"/>
        <v>1.7642598999999999</v>
      </c>
      <c r="U28" s="1542"/>
      <c r="V28" s="1542"/>
      <c r="W28" s="1542"/>
      <c r="X28" s="1542"/>
      <c r="Y28" s="1542"/>
      <c r="Z28" s="1542"/>
      <c r="AA28" s="1542"/>
      <c r="AB28" s="1542"/>
      <c r="AC28" s="1526"/>
      <c r="AD28" s="1526"/>
      <c r="AE28" s="1526"/>
      <c r="AF28" s="1526"/>
      <c r="AG28" s="1526"/>
      <c r="AH28" s="1526"/>
      <c r="AI28" s="1526"/>
      <c r="AJ28" s="1533">
        <v>1.7642598999999999</v>
      </c>
      <c r="AK28" s="1533"/>
      <c r="AL28" s="1533"/>
      <c r="AM28" s="1533"/>
      <c r="AN28" s="1523">
        <f t="shared" si="3"/>
        <v>1.7642598999999999</v>
      </c>
      <c r="AO28" s="1533"/>
      <c r="AP28" s="1533"/>
      <c r="AQ28" s="1533"/>
      <c r="AR28" s="1533"/>
      <c r="AS28" s="1533"/>
      <c r="AT28" s="1533"/>
      <c r="AU28" s="1533"/>
      <c r="AV28" s="1533"/>
      <c r="AW28" s="1533"/>
      <c r="AX28" s="563"/>
      <c r="AY28" s="1534" t="s">
        <v>940</v>
      </c>
    </row>
    <row r="29" spans="1:51" s="1530" customFormat="1" ht="31" outlineLevel="1" x14ac:dyDescent="0.25">
      <c r="A29" s="1482">
        <v>2.4</v>
      </c>
      <c r="B29" s="1483" t="s">
        <v>1620</v>
      </c>
      <c r="C29" s="1531" t="s">
        <v>936</v>
      </c>
      <c r="D29" s="1482" t="str">
        <f t="shared" si="5"/>
        <v>MERC/CAPEX/20112012/00925</v>
      </c>
      <c r="E29" s="1532">
        <f t="shared" si="5"/>
        <v>40659</v>
      </c>
      <c r="F29" s="1390">
        <f t="shared" si="6"/>
        <v>40730</v>
      </c>
      <c r="G29" s="565">
        <v>2.1100000000000001E-2</v>
      </c>
      <c r="H29" s="565">
        <v>2.1100000000000001E-2</v>
      </c>
      <c r="I29" s="563"/>
      <c r="J29" s="563"/>
      <c r="K29" s="1390">
        <v>40730</v>
      </c>
      <c r="L29" s="1391"/>
      <c r="M29" s="1391"/>
      <c r="N29" s="1391"/>
      <c r="O29" s="1402"/>
      <c r="P29" s="1533">
        <v>0</v>
      </c>
      <c r="Q29" s="1542"/>
      <c r="R29" s="1542"/>
      <c r="S29" s="1542"/>
      <c r="T29" s="1542">
        <f t="shared" si="2"/>
        <v>0</v>
      </c>
      <c r="U29" s="1542"/>
      <c r="V29" s="1542"/>
      <c r="W29" s="1542"/>
      <c r="X29" s="1542"/>
      <c r="Y29" s="1542"/>
      <c r="Z29" s="1542"/>
      <c r="AA29" s="1542"/>
      <c r="AB29" s="1542"/>
      <c r="AC29" s="1526"/>
      <c r="AD29" s="1526"/>
      <c r="AE29" s="1526"/>
      <c r="AF29" s="1526"/>
      <c r="AG29" s="1526"/>
      <c r="AH29" s="1526"/>
      <c r="AI29" s="1526"/>
      <c r="AJ29" s="1533">
        <v>0</v>
      </c>
      <c r="AK29" s="1533"/>
      <c r="AL29" s="1533"/>
      <c r="AM29" s="1533"/>
      <c r="AN29" s="1523">
        <f t="shared" si="3"/>
        <v>0</v>
      </c>
      <c r="AO29" s="1533"/>
      <c r="AP29" s="1533"/>
      <c r="AQ29" s="1533"/>
      <c r="AR29" s="1533"/>
      <c r="AS29" s="1533"/>
      <c r="AT29" s="1533"/>
      <c r="AU29" s="1533"/>
      <c r="AV29" s="1533"/>
      <c r="AW29" s="1533"/>
      <c r="AX29" s="563"/>
      <c r="AY29" s="1534" t="s">
        <v>942</v>
      </c>
    </row>
    <row r="30" spans="1:51" s="1530" customFormat="1" ht="46.5" outlineLevel="1" x14ac:dyDescent="0.25">
      <c r="A30" s="1482">
        <v>2.5</v>
      </c>
      <c r="B30" s="1483" t="s">
        <v>1621</v>
      </c>
      <c r="C30" s="1531" t="s">
        <v>936</v>
      </c>
      <c r="D30" s="1482" t="str">
        <f t="shared" si="5"/>
        <v>MERC/CAPEX/20112012/00925</v>
      </c>
      <c r="E30" s="1532">
        <f t="shared" si="5"/>
        <v>40659</v>
      </c>
      <c r="F30" s="1390">
        <f t="shared" si="6"/>
        <v>40730</v>
      </c>
      <c r="G30" s="565">
        <v>0.49540000000000001</v>
      </c>
      <c r="H30" s="565">
        <v>0.49540000000000001</v>
      </c>
      <c r="I30" s="563"/>
      <c r="J30" s="563"/>
      <c r="K30" s="1390">
        <v>40730</v>
      </c>
      <c r="L30" s="1391"/>
      <c r="M30" s="1391"/>
      <c r="N30" s="1391"/>
      <c r="O30" s="1402"/>
      <c r="P30" s="1533">
        <v>0.29783999999999999</v>
      </c>
      <c r="Q30" s="1542"/>
      <c r="R30" s="1542"/>
      <c r="S30" s="1542"/>
      <c r="T30" s="1542">
        <f t="shared" si="2"/>
        <v>0.29783999999999999</v>
      </c>
      <c r="U30" s="1542"/>
      <c r="V30" s="1542"/>
      <c r="W30" s="1542"/>
      <c r="X30" s="1542"/>
      <c r="Y30" s="1542"/>
      <c r="Z30" s="1542"/>
      <c r="AA30" s="1542"/>
      <c r="AB30" s="1542"/>
      <c r="AC30" s="1526"/>
      <c r="AD30" s="1526"/>
      <c r="AE30" s="1526"/>
      <c r="AF30" s="1526"/>
      <c r="AG30" s="1526"/>
      <c r="AH30" s="1526"/>
      <c r="AI30" s="1526"/>
      <c r="AJ30" s="1533">
        <v>0.29783999999999999</v>
      </c>
      <c r="AK30" s="1533"/>
      <c r="AL30" s="1533"/>
      <c r="AM30" s="1533"/>
      <c r="AN30" s="1523">
        <f t="shared" si="3"/>
        <v>0.29783999999999999</v>
      </c>
      <c r="AO30" s="1533"/>
      <c r="AP30" s="1533"/>
      <c r="AQ30" s="1533"/>
      <c r="AR30" s="1533"/>
      <c r="AS30" s="1533"/>
      <c r="AT30" s="1533"/>
      <c r="AU30" s="1533"/>
      <c r="AV30" s="1533"/>
      <c r="AW30" s="1533"/>
      <c r="AX30" s="563"/>
      <c r="AY30" s="1534" t="s">
        <v>940</v>
      </c>
    </row>
    <row r="31" spans="1:51" s="1530" customFormat="1" ht="15.5" outlineLevel="1" x14ac:dyDescent="0.25">
      <c r="A31" s="1482">
        <v>2.6</v>
      </c>
      <c r="B31" s="1483" t="s">
        <v>1622</v>
      </c>
      <c r="C31" s="1531" t="s">
        <v>936</v>
      </c>
      <c r="D31" s="1482" t="str">
        <f t="shared" si="5"/>
        <v>MERC/CAPEX/20112012/00925</v>
      </c>
      <c r="E31" s="1532">
        <f t="shared" si="5"/>
        <v>40659</v>
      </c>
      <c r="F31" s="1390">
        <f t="shared" si="6"/>
        <v>40730</v>
      </c>
      <c r="G31" s="565">
        <v>3.3195999999999999</v>
      </c>
      <c r="H31" s="565">
        <v>3.3195999999999999</v>
      </c>
      <c r="I31" s="563"/>
      <c r="J31" s="563"/>
      <c r="K31" s="1390">
        <v>40730</v>
      </c>
      <c r="L31" s="1391"/>
      <c r="M31" s="1391"/>
      <c r="N31" s="1391"/>
      <c r="O31" s="1402"/>
      <c r="P31" s="1533">
        <v>0</v>
      </c>
      <c r="Q31" s="1542"/>
      <c r="R31" s="1542"/>
      <c r="S31" s="1542"/>
      <c r="T31" s="1542">
        <f t="shared" si="2"/>
        <v>0</v>
      </c>
      <c r="U31" s="1542"/>
      <c r="V31" s="1542"/>
      <c r="W31" s="1542"/>
      <c r="X31" s="1542"/>
      <c r="Y31" s="1542"/>
      <c r="Z31" s="1542"/>
      <c r="AA31" s="1542"/>
      <c r="AB31" s="1542"/>
      <c r="AC31" s="1526"/>
      <c r="AD31" s="1526"/>
      <c r="AE31" s="1526"/>
      <c r="AF31" s="1526"/>
      <c r="AG31" s="1526"/>
      <c r="AH31" s="1526"/>
      <c r="AI31" s="1526"/>
      <c r="AJ31" s="1533">
        <v>0</v>
      </c>
      <c r="AK31" s="1533"/>
      <c r="AL31" s="1533"/>
      <c r="AM31" s="1533"/>
      <c r="AN31" s="1523">
        <f t="shared" si="3"/>
        <v>0</v>
      </c>
      <c r="AO31" s="1533"/>
      <c r="AP31" s="1533"/>
      <c r="AQ31" s="1533"/>
      <c r="AR31" s="1533"/>
      <c r="AS31" s="1533"/>
      <c r="AT31" s="1533"/>
      <c r="AU31" s="1533"/>
      <c r="AV31" s="1533"/>
      <c r="AW31" s="1533"/>
      <c r="AX31" s="563"/>
      <c r="AY31" s="1534" t="s">
        <v>941</v>
      </c>
    </row>
    <row r="32" spans="1:51" s="1530" customFormat="1" ht="15.5" outlineLevel="1" x14ac:dyDescent="0.25">
      <c r="A32" s="1482">
        <v>2.7</v>
      </c>
      <c r="B32" s="1483" t="s">
        <v>1623</v>
      </c>
      <c r="C32" s="1531" t="s">
        <v>936</v>
      </c>
      <c r="D32" s="1482" t="str">
        <f t="shared" si="5"/>
        <v>MERC/CAPEX/20112012/00925</v>
      </c>
      <c r="E32" s="1532">
        <f t="shared" si="5"/>
        <v>40659</v>
      </c>
      <c r="F32" s="1390">
        <f t="shared" si="6"/>
        <v>40730</v>
      </c>
      <c r="G32" s="565">
        <v>4.5396000000000001</v>
      </c>
      <c r="H32" s="565">
        <v>4.5396000000000001</v>
      </c>
      <c r="I32" s="563"/>
      <c r="J32" s="563"/>
      <c r="K32" s="1390">
        <v>40730</v>
      </c>
      <c r="L32" s="1391"/>
      <c r="M32" s="1391"/>
      <c r="N32" s="1391"/>
      <c r="O32" s="1402"/>
      <c r="P32" s="1533">
        <v>0.19084200000000001</v>
      </c>
      <c r="Q32" s="1542"/>
      <c r="R32" s="1542"/>
      <c r="S32" s="1542"/>
      <c r="T32" s="1542">
        <f t="shared" si="2"/>
        <v>0.19084200000000001</v>
      </c>
      <c r="U32" s="1542"/>
      <c r="V32" s="1542"/>
      <c r="W32" s="1542"/>
      <c r="X32" s="1542"/>
      <c r="Y32" s="1542"/>
      <c r="Z32" s="1542"/>
      <c r="AA32" s="1542"/>
      <c r="AB32" s="1542"/>
      <c r="AC32" s="1526"/>
      <c r="AD32" s="1526"/>
      <c r="AE32" s="1526"/>
      <c r="AF32" s="1526"/>
      <c r="AG32" s="1526"/>
      <c r="AH32" s="1526"/>
      <c r="AI32" s="1526"/>
      <c r="AJ32" s="1533">
        <v>0.19084200000000001</v>
      </c>
      <c r="AK32" s="1533"/>
      <c r="AL32" s="1533"/>
      <c r="AM32" s="1533"/>
      <c r="AN32" s="1523">
        <f t="shared" si="3"/>
        <v>0.19084200000000001</v>
      </c>
      <c r="AO32" s="1533"/>
      <c r="AP32" s="1533"/>
      <c r="AQ32" s="1533"/>
      <c r="AR32" s="1533"/>
      <c r="AS32" s="1533"/>
      <c r="AT32" s="1533"/>
      <c r="AU32" s="1533"/>
      <c r="AV32" s="1533"/>
      <c r="AW32" s="1533"/>
      <c r="AX32" s="563"/>
      <c r="AY32" s="1534" t="s">
        <v>941</v>
      </c>
    </row>
    <row r="33" spans="1:51" s="1530" customFormat="1" ht="15.5" outlineLevel="1" x14ac:dyDescent="0.25">
      <c r="A33" s="1482">
        <v>2.8</v>
      </c>
      <c r="B33" s="1483" t="s">
        <v>1624</v>
      </c>
      <c r="C33" s="1531" t="s">
        <v>936</v>
      </c>
      <c r="D33" s="1482" t="str">
        <f t="shared" si="5"/>
        <v>MERC/CAPEX/20112012/00925</v>
      </c>
      <c r="E33" s="1532">
        <f t="shared" si="5"/>
        <v>40659</v>
      </c>
      <c r="F33" s="1390">
        <f t="shared" si="6"/>
        <v>40730</v>
      </c>
      <c r="G33" s="565">
        <v>2.5285000000000002</v>
      </c>
      <c r="H33" s="565">
        <v>2.5285000000000002</v>
      </c>
      <c r="I33" s="563"/>
      <c r="J33" s="563"/>
      <c r="K33" s="1390">
        <v>40730</v>
      </c>
      <c r="L33" s="1391"/>
      <c r="M33" s="1391"/>
      <c r="N33" s="1391"/>
      <c r="O33" s="1402"/>
      <c r="P33" s="1533">
        <v>0</v>
      </c>
      <c r="Q33" s="1542"/>
      <c r="R33" s="1542"/>
      <c r="S33" s="1542"/>
      <c r="T33" s="1542">
        <f t="shared" si="2"/>
        <v>0</v>
      </c>
      <c r="U33" s="1542"/>
      <c r="V33" s="1542"/>
      <c r="W33" s="1542"/>
      <c r="X33" s="1542"/>
      <c r="Y33" s="1542"/>
      <c r="Z33" s="1542"/>
      <c r="AA33" s="1542"/>
      <c r="AB33" s="1542"/>
      <c r="AC33" s="1526"/>
      <c r="AD33" s="1526"/>
      <c r="AE33" s="1526"/>
      <c r="AF33" s="1526"/>
      <c r="AG33" s="1526"/>
      <c r="AH33" s="1526"/>
      <c r="AI33" s="1526"/>
      <c r="AJ33" s="1533">
        <v>0</v>
      </c>
      <c r="AK33" s="1533"/>
      <c r="AL33" s="1533"/>
      <c r="AM33" s="1533"/>
      <c r="AN33" s="1523">
        <f t="shared" si="3"/>
        <v>0</v>
      </c>
      <c r="AO33" s="1533"/>
      <c r="AP33" s="1533"/>
      <c r="AQ33" s="1533"/>
      <c r="AR33" s="1533"/>
      <c r="AS33" s="1533"/>
      <c r="AT33" s="1533"/>
      <c r="AU33" s="1533"/>
      <c r="AV33" s="1533"/>
      <c r="AW33" s="1533"/>
      <c r="AX33" s="563"/>
      <c r="AY33" s="1534" t="s">
        <v>941</v>
      </c>
    </row>
    <row r="34" spans="1:51" s="1530" customFormat="1" ht="31" outlineLevel="1" x14ac:dyDescent="0.25">
      <c r="A34" s="1482">
        <v>2.9</v>
      </c>
      <c r="B34" s="1483" t="s">
        <v>1625</v>
      </c>
      <c r="C34" s="1531" t="s">
        <v>936</v>
      </c>
      <c r="D34" s="1482" t="str">
        <f t="shared" si="5"/>
        <v>MERC/CAPEX/20112012/00925</v>
      </c>
      <c r="E34" s="1532">
        <f t="shared" si="5"/>
        <v>40659</v>
      </c>
      <c r="F34" s="1390">
        <f t="shared" si="6"/>
        <v>40730</v>
      </c>
      <c r="G34" s="565">
        <v>0.1225</v>
      </c>
      <c r="H34" s="565">
        <v>0.1225</v>
      </c>
      <c r="I34" s="563"/>
      <c r="J34" s="563"/>
      <c r="K34" s="1390">
        <v>40730</v>
      </c>
      <c r="L34" s="1391"/>
      <c r="M34" s="1391"/>
      <c r="N34" s="1391"/>
      <c r="O34" s="1402"/>
      <c r="P34" s="1533">
        <v>0</v>
      </c>
      <c r="Q34" s="1542"/>
      <c r="R34" s="1542"/>
      <c r="S34" s="1542"/>
      <c r="T34" s="1542">
        <f t="shared" si="2"/>
        <v>0</v>
      </c>
      <c r="U34" s="1542"/>
      <c r="V34" s="1542"/>
      <c r="W34" s="1542"/>
      <c r="X34" s="1542"/>
      <c r="Y34" s="1542"/>
      <c r="Z34" s="1542"/>
      <c r="AA34" s="1542"/>
      <c r="AB34" s="1542"/>
      <c r="AC34" s="1526"/>
      <c r="AD34" s="1526"/>
      <c r="AE34" s="1526"/>
      <c r="AF34" s="1526"/>
      <c r="AG34" s="1526"/>
      <c r="AH34" s="1526"/>
      <c r="AI34" s="1526"/>
      <c r="AJ34" s="1533">
        <v>0</v>
      </c>
      <c r="AK34" s="1533"/>
      <c r="AL34" s="1533"/>
      <c r="AM34" s="1533"/>
      <c r="AN34" s="1523">
        <f t="shared" si="3"/>
        <v>0</v>
      </c>
      <c r="AO34" s="1533"/>
      <c r="AP34" s="1533"/>
      <c r="AQ34" s="1533"/>
      <c r="AR34" s="1533"/>
      <c r="AS34" s="1533"/>
      <c r="AT34" s="1533"/>
      <c r="AU34" s="1533"/>
      <c r="AV34" s="1533"/>
      <c r="AW34" s="1533"/>
      <c r="AX34" s="563"/>
      <c r="AY34" s="1534" t="s">
        <v>942</v>
      </c>
    </row>
    <row r="35" spans="1:51" s="1530" customFormat="1" ht="31" outlineLevel="1" x14ac:dyDescent="0.25">
      <c r="A35" s="1482" t="s">
        <v>1626</v>
      </c>
      <c r="B35" s="1483" t="s">
        <v>1627</v>
      </c>
      <c r="C35" s="1531" t="s">
        <v>936</v>
      </c>
      <c r="D35" s="1482" t="str">
        <f t="shared" si="5"/>
        <v>MERC/CAPEX/20112012/00925</v>
      </c>
      <c r="E35" s="1532">
        <f t="shared" si="5"/>
        <v>40659</v>
      </c>
      <c r="F35" s="1390">
        <f t="shared" si="6"/>
        <v>40730</v>
      </c>
      <c r="G35" s="565">
        <v>0.5333</v>
      </c>
      <c r="H35" s="565">
        <v>0.5333</v>
      </c>
      <c r="I35" s="563"/>
      <c r="J35" s="563"/>
      <c r="K35" s="1390">
        <v>40730</v>
      </c>
      <c r="L35" s="1391"/>
      <c r="M35" s="1391"/>
      <c r="N35" s="1391"/>
      <c r="O35" s="1402"/>
      <c r="P35" s="1533">
        <v>0</v>
      </c>
      <c r="Q35" s="1542"/>
      <c r="R35" s="1542"/>
      <c r="S35" s="1542"/>
      <c r="T35" s="1542">
        <f t="shared" si="2"/>
        <v>0</v>
      </c>
      <c r="U35" s="1542"/>
      <c r="V35" s="1542"/>
      <c r="W35" s="1542"/>
      <c r="X35" s="1542"/>
      <c r="Y35" s="1542"/>
      <c r="Z35" s="1542"/>
      <c r="AA35" s="1542"/>
      <c r="AB35" s="1542"/>
      <c r="AC35" s="1526"/>
      <c r="AD35" s="1526"/>
      <c r="AE35" s="1526"/>
      <c r="AF35" s="1526"/>
      <c r="AG35" s="1526"/>
      <c r="AH35" s="1526"/>
      <c r="AI35" s="1526"/>
      <c r="AJ35" s="1533">
        <v>0</v>
      </c>
      <c r="AK35" s="1533"/>
      <c r="AL35" s="1533"/>
      <c r="AM35" s="1533"/>
      <c r="AN35" s="1523">
        <f t="shared" si="3"/>
        <v>0</v>
      </c>
      <c r="AO35" s="1533"/>
      <c r="AP35" s="1533"/>
      <c r="AQ35" s="1533"/>
      <c r="AR35" s="1533"/>
      <c r="AS35" s="1533"/>
      <c r="AT35" s="1533"/>
      <c r="AU35" s="1533"/>
      <c r="AV35" s="1533"/>
      <c r="AW35" s="1533"/>
      <c r="AX35" s="563"/>
      <c r="AY35" s="1534" t="s">
        <v>942</v>
      </c>
    </row>
    <row r="36" spans="1:51" s="1530" customFormat="1" ht="31" outlineLevel="1" x14ac:dyDescent="0.25">
      <c r="A36" s="1482">
        <v>2.11</v>
      </c>
      <c r="B36" s="1483" t="s">
        <v>1628</v>
      </c>
      <c r="C36" s="1531" t="s">
        <v>936</v>
      </c>
      <c r="D36" s="1482" t="str">
        <f t="shared" si="5"/>
        <v>MERC/CAPEX/20112012/00925</v>
      </c>
      <c r="E36" s="1532">
        <f t="shared" si="5"/>
        <v>40659</v>
      </c>
      <c r="F36" s="1390">
        <f t="shared" si="6"/>
        <v>40730</v>
      </c>
      <c r="G36" s="565">
        <v>1.0216000000000001</v>
      </c>
      <c r="H36" s="565">
        <v>1.0216000000000001</v>
      </c>
      <c r="I36" s="563"/>
      <c r="J36" s="563"/>
      <c r="K36" s="1390">
        <v>40730</v>
      </c>
      <c r="L36" s="1391"/>
      <c r="M36" s="1391"/>
      <c r="N36" s="1391"/>
      <c r="O36" s="1402"/>
      <c r="P36" s="1533">
        <v>0</v>
      </c>
      <c r="Q36" s="1542"/>
      <c r="R36" s="1542"/>
      <c r="S36" s="1542"/>
      <c r="T36" s="1542">
        <f t="shared" si="2"/>
        <v>0</v>
      </c>
      <c r="U36" s="1542"/>
      <c r="V36" s="1542"/>
      <c r="W36" s="1542"/>
      <c r="X36" s="1542"/>
      <c r="Y36" s="1542"/>
      <c r="Z36" s="1542"/>
      <c r="AA36" s="1542"/>
      <c r="AB36" s="1542"/>
      <c r="AC36" s="1526"/>
      <c r="AD36" s="1526"/>
      <c r="AE36" s="1526"/>
      <c r="AF36" s="1526"/>
      <c r="AG36" s="1526"/>
      <c r="AH36" s="1526"/>
      <c r="AI36" s="1526"/>
      <c r="AJ36" s="1533">
        <v>0</v>
      </c>
      <c r="AK36" s="1533"/>
      <c r="AL36" s="1533"/>
      <c r="AM36" s="1533"/>
      <c r="AN36" s="1523">
        <f t="shared" si="3"/>
        <v>0</v>
      </c>
      <c r="AO36" s="1533"/>
      <c r="AP36" s="1533"/>
      <c r="AQ36" s="1533"/>
      <c r="AR36" s="1533"/>
      <c r="AS36" s="1533"/>
      <c r="AT36" s="1533"/>
      <c r="AU36" s="1533"/>
      <c r="AV36" s="1533"/>
      <c r="AW36" s="1533"/>
      <c r="AX36" s="563"/>
      <c r="AY36" s="1534" t="s">
        <v>942</v>
      </c>
    </row>
    <row r="37" spans="1:51" s="1530" customFormat="1" ht="15.5" outlineLevel="1" x14ac:dyDescent="0.25">
      <c r="A37" s="1482"/>
      <c r="B37" s="1483" t="s">
        <v>414</v>
      </c>
      <c r="C37" s="1531" t="s">
        <v>414</v>
      </c>
      <c r="D37" s="1482" t="str">
        <f t="shared" si="5"/>
        <v>MERC/CAPEX/20112012/00925</v>
      </c>
      <c r="E37" s="1532">
        <f t="shared" si="5"/>
        <v>40659</v>
      </c>
      <c r="F37" s="1390">
        <f t="shared" si="6"/>
        <v>40730</v>
      </c>
      <c r="G37" s="565">
        <v>1.165</v>
      </c>
      <c r="H37" s="565">
        <v>1.165</v>
      </c>
      <c r="I37" s="563"/>
      <c r="J37" s="563"/>
      <c r="K37" s="1390">
        <v>40730</v>
      </c>
      <c r="L37" s="1391"/>
      <c r="M37" s="1391"/>
      <c r="N37" s="1391"/>
      <c r="O37" s="1402"/>
      <c r="P37" s="1533"/>
      <c r="Q37" s="1542"/>
      <c r="R37" s="1542"/>
      <c r="S37" s="1542"/>
      <c r="T37" s="1542">
        <f t="shared" si="2"/>
        <v>0</v>
      </c>
      <c r="U37" s="1542"/>
      <c r="V37" s="1542"/>
      <c r="W37" s="1542"/>
      <c r="X37" s="1542"/>
      <c r="Y37" s="1542"/>
      <c r="Z37" s="1542"/>
      <c r="AA37" s="1542"/>
      <c r="AB37" s="1542"/>
      <c r="AC37" s="1526"/>
      <c r="AD37" s="1526"/>
      <c r="AE37" s="1526"/>
      <c r="AF37" s="1526"/>
      <c r="AG37" s="1526"/>
      <c r="AH37" s="1526"/>
      <c r="AI37" s="1526"/>
      <c r="AJ37" s="1533"/>
      <c r="AK37" s="1533"/>
      <c r="AL37" s="1533"/>
      <c r="AM37" s="1533"/>
      <c r="AN37" s="1523">
        <f t="shared" si="3"/>
        <v>0</v>
      </c>
      <c r="AO37" s="1533"/>
      <c r="AP37" s="1533"/>
      <c r="AQ37" s="1533"/>
      <c r="AR37" s="1533"/>
      <c r="AS37" s="1533"/>
      <c r="AT37" s="1533"/>
      <c r="AU37" s="1533"/>
      <c r="AV37" s="1533"/>
      <c r="AW37" s="1533"/>
      <c r="AX37" s="563"/>
      <c r="AY37" s="1534"/>
    </row>
    <row r="38" spans="1:51" s="1548" customFormat="1" ht="15.5" outlineLevel="1" x14ac:dyDescent="0.25">
      <c r="A38" s="1489">
        <v>3</v>
      </c>
      <c r="B38" s="1490" t="s">
        <v>1629</v>
      </c>
      <c r="C38" s="1489" t="s">
        <v>928</v>
      </c>
      <c r="D38" s="1489" t="s">
        <v>1630</v>
      </c>
      <c r="E38" s="1543">
        <v>40709</v>
      </c>
      <c r="F38" s="1543">
        <v>40731</v>
      </c>
      <c r="G38" s="1398">
        <f>SUM(G39:G43)</f>
        <v>53.989999999999995</v>
      </c>
      <c r="H38" s="1398">
        <f>SUM(H39:H43)</f>
        <v>53.989999999999995</v>
      </c>
      <c r="I38" s="1396"/>
      <c r="J38" s="1396"/>
      <c r="K38" s="1394">
        <v>40731</v>
      </c>
      <c r="L38" s="1397"/>
      <c r="M38" s="1397"/>
      <c r="N38" s="1397"/>
      <c r="O38" s="1407"/>
      <c r="P38" s="1544"/>
      <c r="Q38" s="1545"/>
      <c r="R38" s="1545"/>
      <c r="S38" s="1545"/>
      <c r="T38" s="1524">
        <f t="shared" si="2"/>
        <v>0</v>
      </c>
      <c r="U38" s="1546"/>
      <c r="V38" s="1546"/>
      <c r="W38" s="1399"/>
      <c r="X38" s="1399"/>
      <c r="Y38" s="1399"/>
      <c r="Z38" s="1399"/>
      <c r="AA38" s="1399"/>
      <c r="AB38" s="1399"/>
      <c r="AC38" s="1538"/>
      <c r="AD38" s="1538"/>
      <c r="AE38" s="1538"/>
      <c r="AF38" s="1538"/>
      <c r="AG38" s="1538"/>
      <c r="AH38" s="1538"/>
      <c r="AI38" s="1538"/>
      <c r="AJ38" s="1544"/>
      <c r="AK38" s="1544"/>
      <c r="AL38" s="1544"/>
      <c r="AM38" s="1544"/>
      <c r="AN38" s="1523">
        <f t="shared" si="3"/>
        <v>0</v>
      </c>
      <c r="AO38" s="1547"/>
      <c r="AP38" s="1547"/>
      <c r="AQ38" s="1547"/>
      <c r="AR38" s="1547"/>
      <c r="AS38" s="1547"/>
      <c r="AT38" s="1547"/>
      <c r="AU38" s="1547"/>
      <c r="AV38" s="1547"/>
      <c r="AW38" s="1547"/>
      <c r="AX38" s="1396"/>
      <c r="AY38" s="1400"/>
    </row>
    <row r="39" spans="1:51" s="1548" customFormat="1" ht="31" outlineLevel="1" x14ac:dyDescent="0.25">
      <c r="A39" s="1484">
        <v>3.1</v>
      </c>
      <c r="B39" s="1485" t="s">
        <v>1631</v>
      </c>
      <c r="C39" s="1535" t="s">
        <v>936</v>
      </c>
      <c r="D39" s="1484" t="str">
        <f t="shared" ref="D39:E43" si="7">D38</f>
        <v>MERC/CAPEX/20112012/00939</v>
      </c>
      <c r="E39" s="1536">
        <f t="shared" si="7"/>
        <v>40709</v>
      </c>
      <c r="F39" s="1394">
        <f>IF(F38=0,"-",F38)</f>
        <v>40731</v>
      </c>
      <c r="G39" s="1395">
        <v>11.7</v>
      </c>
      <c r="H39" s="1395">
        <v>11.7</v>
      </c>
      <c r="I39" s="1396"/>
      <c r="J39" s="1396"/>
      <c r="K39" s="1394">
        <v>40731</v>
      </c>
      <c r="L39" s="1397"/>
      <c r="M39" s="1397"/>
      <c r="N39" s="1397"/>
      <c r="O39" s="1407"/>
      <c r="P39" s="309">
        <v>3.3840648770000001</v>
      </c>
      <c r="Q39" s="309">
        <v>1.7131627</v>
      </c>
      <c r="R39" s="309">
        <v>0</v>
      </c>
      <c r="S39" s="309">
        <v>0</v>
      </c>
      <c r="T39" s="1533">
        <f t="shared" si="2"/>
        <v>5.097227577</v>
      </c>
      <c r="U39" s="1537">
        <v>0.64944440000000014</v>
      </c>
      <c r="V39" s="1537">
        <v>2.8735429999999997</v>
      </c>
      <c r="W39" s="309">
        <v>0</v>
      </c>
      <c r="X39" s="309"/>
      <c r="Y39" s="309"/>
      <c r="Z39" s="309"/>
      <c r="AA39" s="309"/>
      <c r="AB39" s="309"/>
      <c r="AC39" s="1538"/>
      <c r="AD39" s="1538"/>
      <c r="AE39" s="1538"/>
      <c r="AF39" s="1538"/>
      <c r="AG39" s="1538"/>
      <c r="AH39" s="1538"/>
      <c r="AI39" s="1538"/>
      <c r="AJ39" s="309">
        <v>0</v>
      </c>
      <c r="AK39" s="309">
        <v>5.097227577</v>
      </c>
      <c r="AL39" s="309">
        <v>5.3999999999999998E-5</v>
      </c>
      <c r="AM39" s="309">
        <v>0</v>
      </c>
      <c r="AN39" s="1523">
        <f t="shared" si="3"/>
        <v>5.0972815770000004</v>
      </c>
      <c r="AO39" s="1537">
        <v>0.64939039999999992</v>
      </c>
      <c r="AP39" s="1537">
        <v>2.8735430000000002</v>
      </c>
      <c r="AQ39" s="309">
        <v>0</v>
      </c>
      <c r="AR39" s="309"/>
      <c r="AS39" s="309"/>
      <c r="AT39" s="309"/>
      <c r="AU39" s="309"/>
      <c r="AV39" s="309"/>
      <c r="AW39" s="309"/>
      <c r="AX39" s="1396"/>
      <c r="AY39" s="1549" t="s">
        <v>940</v>
      </c>
    </row>
    <row r="40" spans="1:51" s="1548" customFormat="1" ht="31" outlineLevel="1" x14ac:dyDescent="0.25">
      <c r="A40" s="1484">
        <v>3.2</v>
      </c>
      <c r="B40" s="1485" t="s">
        <v>1632</v>
      </c>
      <c r="C40" s="1535" t="s">
        <v>936</v>
      </c>
      <c r="D40" s="1484" t="str">
        <f t="shared" si="7"/>
        <v>MERC/CAPEX/20112012/00939</v>
      </c>
      <c r="E40" s="1536">
        <f t="shared" si="7"/>
        <v>40709</v>
      </c>
      <c r="F40" s="1394">
        <f>IF(F39=0,"-",F39)</f>
        <v>40731</v>
      </c>
      <c r="G40" s="1395">
        <v>15.6</v>
      </c>
      <c r="H40" s="1395">
        <v>15.6</v>
      </c>
      <c r="I40" s="1396"/>
      <c r="J40" s="1396"/>
      <c r="K40" s="1394">
        <v>40731</v>
      </c>
      <c r="L40" s="1397"/>
      <c r="M40" s="1397"/>
      <c r="N40" s="1397"/>
      <c r="O40" s="1407"/>
      <c r="P40" s="309">
        <v>4.5099066890000001</v>
      </c>
      <c r="Q40" s="309">
        <v>0.41801579999999999</v>
      </c>
      <c r="R40" s="309">
        <v>0</v>
      </c>
      <c r="S40" s="309">
        <v>0.121776</v>
      </c>
      <c r="T40" s="1533">
        <f t="shared" si="2"/>
        <v>5.0496984889999998</v>
      </c>
      <c r="U40" s="1537">
        <v>1.1781405760000006</v>
      </c>
      <c r="V40" s="1537">
        <v>0.32741280000000028</v>
      </c>
      <c r="W40" s="309">
        <v>0</v>
      </c>
      <c r="X40" s="1550">
        <v>6</v>
      </c>
      <c r="Y40" s="309"/>
      <c r="Z40" s="309"/>
      <c r="AA40" s="309"/>
      <c r="AB40" s="309"/>
      <c r="AC40" s="1538"/>
      <c r="AD40" s="1538"/>
      <c r="AE40" s="1538"/>
      <c r="AF40" s="1538"/>
      <c r="AG40" s="1538"/>
      <c r="AH40" s="1538"/>
      <c r="AI40" s="1538"/>
      <c r="AJ40" s="309">
        <v>4.5099066890000001</v>
      </c>
      <c r="AK40" s="309">
        <v>0.41801579999999999</v>
      </c>
      <c r="AL40" s="309">
        <v>0</v>
      </c>
      <c r="AM40" s="309">
        <v>0</v>
      </c>
      <c r="AN40" s="1523">
        <f t="shared" si="3"/>
        <v>4.9279224890000002</v>
      </c>
      <c r="AO40" s="1537">
        <v>1.299916576</v>
      </c>
      <c r="AP40" s="1537">
        <v>0.3274128</v>
      </c>
      <c r="AQ40" s="309">
        <v>0</v>
      </c>
      <c r="AR40" s="1550">
        <v>6</v>
      </c>
      <c r="AS40" s="309"/>
      <c r="AT40" s="309"/>
      <c r="AU40" s="309"/>
      <c r="AV40" s="309"/>
      <c r="AW40" s="309"/>
      <c r="AX40" s="1396"/>
      <c r="AY40" s="1549" t="s">
        <v>938</v>
      </c>
    </row>
    <row r="41" spans="1:51" s="1548" customFormat="1" ht="31" outlineLevel="1" x14ac:dyDescent="0.25">
      <c r="A41" s="1484">
        <v>3.3</v>
      </c>
      <c r="B41" s="1485" t="s">
        <v>1633</v>
      </c>
      <c r="C41" s="1535" t="s">
        <v>936</v>
      </c>
      <c r="D41" s="1484" t="str">
        <f t="shared" si="7"/>
        <v>MERC/CAPEX/20112012/00939</v>
      </c>
      <c r="E41" s="1536">
        <f t="shared" si="7"/>
        <v>40709</v>
      </c>
      <c r="F41" s="1394">
        <f>IF(F40=0,"-",F40)</f>
        <v>40731</v>
      </c>
      <c r="G41" s="1395">
        <v>16.02</v>
      </c>
      <c r="H41" s="1395">
        <v>16.02</v>
      </c>
      <c r="I41" s="1396"/>
      <c r="J41" s="1396"/>
      <c r="K41" s="1394">
        <v>40731</v>
      </c>
      <c r="L41" s="1397"/>
      <c r="M41" s="1397"/>
      <c r="N41" s="1397"/>
      <c r="O41" s="1407"/>
      <c r="P41" s="309">
        <v>4.5200877249999998</v>
      </c>
      <c r="Q41" s="309">
        <v>0</v>
      </c>
      <c r="R41" s="309">
        <v>0</v>
      </c>
      <c r="S41" s="309">
        <v>0</v>
      </c>
      <c r="T41" s="1533">
        <f t="shared" si="2"/>
        <v>4.5200877249999998</v>
      </c>
      <c r="U41" s="1537">
        <v>0.66976800000000036</v>
      </c>
      <c r="V41" s="309"/>
      <c r="W41" s="309"/>
      <c r="X41" s="1550">
        <v>8</v>
      </c>
      <c r="Y41" s="309"/>
      <c r="Z41" s="309"/>
      <c r="AA41" s="309"/>
      <c r="AB41" s="309"/>
      <c r="AC41" s="1538"/>
      <c r="AD41" s="1538"/>
      <c r="AE41" s="1538"/>
      <c r="AF41" s="1538"/>
      <c r="AG41" s="1538"/>
      <c r="AH41" s="1538"/>
      <c r="AI41" s="1538"/>
      <c r="AJ41" s="309">
        <v>4.4155109210000001</v>
      </c>
      <c r="AK41" s="309">
        <v>0</v>
      </c>
      <c r="AL41" s="309">
        <v>0</v>
      </c>
      <c r="AM41" s="309">
        <v>0</v>
      </c>
      <c r="AN41" s="1523">
        <f t="shared" si="3"/>
        <v>4.4155109210000001</v>
      </c>
      <c r="AO41" s="1537">
        <v>0.66976800000000003</v>
      </c>
      <c r="AP41" s="309"/>
      <c r="AQ41" s="309"/>
      <c r="AR41" s="1550">
        <v>8</v>
      </c>
      <c r="AS41" s="309"/>
      <c r="AT41" s="309"/>
      <c r="AU41" s="309"/>
      <c r="AV41" s="309"/>
      <c r="AW41" s="309"/>
      <c r="AX41" s="1396"/>
      <c r="AY41" s="1549" t="s">
        <v>938</v>
      </c>
    </row>
    <row r="42" spans="1:51" s="1548" customFormat="1" ht="46.5" outlineLevel="1" x14ac:dyDescent="0.25">
      <c r="A42" s="1484">
        <v>3.4</v>
      </c>
      <c r="B42" s="1485" t="s">
        <v>1634</v>
      </c>
      <c r="C42" s="1535" t="s">
        <v>936</v>
      </c>
      <c r="D42" s="1484" t="str">
        <f t="shared" si="7"/>
        <v>MERC/CAPEX/20112012/00939</v>
      </c>
      <c r="E42" s="1536">
        <f t="shared" si="7"/>
        <v>40709</v>
      </c>
      <c r="F42" s="1394">
        <f>IF(F41=0,"-",F41)</f>
        <v>40731</v>
      </c>
      <c r="G42" s="1395">
        <v>0.95</v>
      </c>
      <c r="H42" s="1395">
        <v>0.95</v>
      </c>
      <c r="I42" s="1396"/>
      <c r="J42" s="1396"/>
      <c r="K42" s="1394">
        <v>40731</v>
      </c>
      <c r="L42" s="1397"/>
      <c r="M42" s="1397"/>
      <c r="N42" s="1397"/>
      <c r="O42" s="1407"/>
      <c r="P42" s="309">
        <v>0.92199359999999997</v>
      </c>
      <c r="Q42" s="309">
        <v>0</v>
      </c>
      <c r="R42" s="309">
        <v>0</v>
      </c>
      <c r="S42" s="309">
        <v>0</v>
      </c>
      <c r="T42" s="1533">
        <f t="shared" si="2"/>
        <v>0.92199359999999997</v>
      </c>
      <c r="U42" s="309">
        <v>0</v>
      </c>
      <c r="V42" s="309">
        <v>0</v>
      </c>
      <c r="W42" s="309">
        <v>0</v>
      </c>
      <c r="X42" s="309"/>
      <c r="Y42" s="309"/>
      <c r="Z42" s="309"/>
      <c r="AA42" s="309"/>
      <c r="AB42" s="309"/>
      <c r="AC42" s="1538"/>
      <c r="AD42" s="1538"/>
      <c r="AE42" s="1538"/>
      <c r="AF42" s="1538"/>
      <c r="AG42" s="1538"/>
      <c r="AH42" s="1538"/>
      <c r="AI42" s="1538"/>
      <c r="AJ42" s="309">
        <v>0.92199359999999997</v>
      </c>
      <c r="AK42" s="309">
        <v>0</v>
      </c>
      <c r="AL42" s="309">
        <v>0</v>
      </c>
      <c r="AM42" s="309">
        <v>0</v>
      </c>
      <c r="AN42" s="1523">
        <f t="shared" si="3"/>
        <v>0.92199359999999997</v>
      </c>
      <c r="AO42" s="309">
        <v>0</v>
      </c>
      <c r="AP42" s="309">
        <v>0</v>
      </c>
      <c r="AQ42" s="309">
        <v>0</v>
      </c>
      <c r="AR42" s="309"/>
      <c r="AS42" s="309"/>
      <c r="AT42" s="309"/>
      <c r="AU42" s="309"/>
      <c r="AV42" s="309"/>
      <c r="AW42" s="309"/>
      <c r="AX42" s="1396"/>
      <c r="AY42" s="1549" t="s">
        <v>940</v>
      </c>
    </row>
    <row r="43" spans="1:51" s="1548" customFormat="1" ht="15.5" outlineLevel="1" x14ac:dyDescent="0.25">
      <c r="A43" s="1484"/>
      <c r="B43" s="1485" t="s">
        <v>414</v>
      </c>
      <c r="C43" s="1535" t="s">
        <v>414</v>
      </c>
      <c r="D43" s="1484" t="str">
        <f t="shared" si="7"/>
        <v>MERC/CAPEX/20112012/00939</v>
      </c>
      <c r="E43" s="1536">
        <f t="shared" si="7"/>
        <v>40709</v>
      </c>
      <c r="F43" s="1394">
        <f>IF(F42=0,"-",F42)</f>
        <v>40731</v>
      </c>
      <c r="G43" s="1395">
        <v>9.7200000000000006</v>
      </c>
      <c r="H43" s="1395">
        <v>9.7200000000000006</v>
      </c>
      <c r="I43" s="1396"/>
      <c r="J43" s="1396"/>
      <c r="K43" s="1394">
        <v>40731</v>
      </c>
      <c r="L43" s="1397"/>
      <c r="M43" s="1397"/>
      <c r="N43" s="1397"/>
      <c r="O43" s="1407"/>
      <c r="P43" s="309"/>
      <c r="Q43" s="309">
        <v>0</v>
      </c>
      <c r="R43" s="309">
        <v>0</v>
      </c>
      <c r="S43" s="309">
        <v>0</v>
      </c>
      <c r="T43" s="1533">
        <f t="shared" si="2"/>
        <v>0</v>
      </c>
      <c r="U43" s="309">
        <v>0</v>
      </c>
      <c r="V43" s="1537">
        <v>3.8649799999999998E-2</v>
      </c>
      <c r="W43" s="309">
        <v>0</v>
      </c>
      <c r="X43" s="309"/>
      <c r="Y43" s="309"/>
      <c r="Z43" s="309"/>
      <c r="AA43" s="309"/>
      <c r="AB43" s="309"/>
      <c r="AC43" s="1538"/>
      <c r="AD43" s="1538"/>
      <c r="AE43" s="1538"/>
      <c r="AF43" s="1538"/>
      <c r="AG43" s="1538"/>
      <c r="AH43" s="1538"/>
      <c r="AI43" s="1538"/>
      <c r="AJ43" s="309"/>
      <c r="AK43" s="309">
        <v>0</v>
      </c>
      <c r="AL43" s="309">
        <v>0</v>
      </c>
      <c r="AM43" s="309">
        <v>0</v>
      </c>
      <c r="AN43" s="1523">
        <f t="shared" si="3"/>
        <v>0</v>
      </c>
      <c r="AO43" s="309">
        <v>0</v>
      </c>
      <c r="AP43" s="1537">
        <v>3.8649799999999998E-2</v>
      </c>
      <c r="AQ43" s="309">
        <v>0</v>
      </c>
      <c r="AR43" s="309"/>
      <c r="AS43" s="309"/>
      <c r="AT43" s="309"/>
      <c r="AU43" s="309"/>
      <c r="AV43" s="309"/>
      <c r="AW43" s="309"/>
      <c r="AX43" s="1396"/>
      <c r="AY43" s="1549"/>
    </row>
    <row r="44" spans="1:51" ht="31" outlineLevel="1" x14ac:dyDescent="0.25">
      <c r="A44" s="1486">
        <v>4</v>
      </c>
      <c r="B44" s="1491" t="s">
        <v>1635</v>
      </c>
      <c r="C44" s="1486" t="s">
        <v>928</v>
      </c>
      <c r="D44" s="1486" t="s">
        <v>1636</v>
      </c>
      <c r="E44" s="1487">
        <v>40758</v>
      </c>
      <c r="F44" s="1487">
        <v>40850</v>
      </c>
      <c r="G44" s="1383">
        <f>SUM(G45:G47)</f>
        <v>57.7</v>
      </c>
      <c r="H44" s="1383">
        <f>SUM(H45:H47)</f>
        <v>57.7</v>
      </c>
      <c r="I44" s="161"/>
      <c r="J44" s="161"/>
      <c r="K44" s="1413">
        <v>40850</v>
      </c>
      <c r="L44" s="1414"/>
      <c r="M44" s="1414"/>
      <c r="N44" s="1414"/>
      <c r="O44" s="1551"/>
      <c r="P44" s="1523"/>
      <c r="Q44" s="1524"/>
      <c r="R44" s="1524"/>
      <c r="S44" s="1524"/>
      <c r="T44" s="1524">
        <f t="shared" si="2"/>
        <v>0</v>
      </c>
      <c r="U44" s="1552"/>
      <c r="V44" s="1552"/>
      <c r="W44" s="1401"/>
      <c r="X44" s="1401"/>
      <c r="Y44" s="1401"/>
      <c r="Z44" s="1401"/>
      <c r="AA44" s="1401"/>
      <c r="AB44" s="1401"/>
      <c r="AC44" s="1522"/>
      <c r="AD44" s="1522"/>
      <c r="AE44" s="1522"/>
      <c r="AF44" s="1522"/>
      <c r="AG44" s="1522"/>
      <c r="AH44" s="1522"/>
      <c r="AI44" s="1522"/>
      <c r="AJ44" s="1523"/>
      <c r="AK44" s="1523"/>
      <c r="AL44" s="1523"/>
      <c r="AM44" s="1523"/>
      <c r="AN44" s="1523">
        <f t="shared" si="3"/>
        <v>0</v>
      </c>
      <c r="AO44" s="1553"/>
      <c r="AP44" s="1553"/>
      <c r="AQ44" s="1553"/>
      <c r="AR44" s="1553"/>
      <c r="AS44" s="1553"/>
      <c r="AT44" s="1553"/>
      <c r="AU44" s="1553"/>
      <c r="AV44" s="1553"/>
      <c r="AW44" s="1553"/>
      <c r="AX44" s="161"/>
      <c r="AY44" s="1636"/>
    </row>
    <row r="45" spans="1:51" ht="31" outlineLevel="1" x14ac:dyDescent="0.25">
      <c r="A45" s="1488">
        <v>4.0999999999999996</v>
      </c>
      <c r="B45" s="1492" t="s">
        <v>1637</v>
      </c>
      <c r="C45" s="1554" t="s">
        <v>936</v>
      </c>
      <c r="D45" s="1488" t="str">
        <f t="shared" ref="D45:E47" si="8">D44</f>
        <v>MERC/CAPEX/20112012/01908</v>
      </c>
      <c r="E45" s="1495">
        <f t="shared" si="8"/>
        <v>40758</v>
      </c>
      <c r="F45" s="1413">
        <f>IF(F44=0,"-",F44)</f>
        <v>40850</v>
      </c>
      <c r="G45" s="560">
        <v>26.1</v>
      </c>
      <c r="H45" s="560">
        <v>26.1</v>
      </c>
      <c r="I45" s="161"/>
      <c r="J45" s="161"/>
      <c r="K45" s="1413">
        <v>40850</v>
      </c>
      <c r="L45" s="1414"/>
      <c r="M45" s="1414"/>
      <c r="N45" s="1414"/>
      <c r="O45" s="1551"/>
      <c r="P45" s="1533">
        <v>0</v>
      </c>
      <c r="Q45" s="1533">
        <v>0</v>
      </c>
      <c r="R45" s="1533">
        <v>0</v>
      </c>
      <c r="S45" s="1533">
        <v>0</v>
      </c>
      <c r="T45" s="1533">
        <f t="shared" si="2"/>
        <v>0</v>
      </c>
      <c r="U45" s="320"/>
      <c r="V45" s="320">
        <v>0</v>
      </c>
      <c r="W45" s="320"/>
      <c r="X45" s="1550">
        <v>26.1</v>
      </c>
      <c r="Y45" s="320"/>
      <c r="Z45" s="320"/>
      <c r="AA45" s="320"/>
      <c r="AB45" s="320"/>
      <c r="AC45" s="1538"/>
      <c r="AD45" s="1538"/>
      <c r="AE45" s="1538"/>
      <c r="AF45" s="1538"/>
      <c r="AG45" s="1522"/>
      <c r="AH45" s="1522"/>
      <c r="AI45" s="1522"/>
      <c r="AJ45" s="1533">
        <v>0</v>
      </c>
      <c r="AK45" s="1533">
        <v>0</v>
      </c>
      <c r="AL45" s="1533">
        <v>0</v>
      </c>
      <c r="AM45" s="1533">
        <v>0</v>
      </c>
      <c r="AN45" s="1523">
        <f t="shared" si="3"/>
        <v>0</v>
      </c>
      <c r="AO45" s="320"/>
      <c r="AP45" s="320">
        <v>0</v>
      </c>
      <c r="AQ45" s="320"/>
      <c r="AR45" s="1550">
        <v>26.1</v>
      </c>
      <c r="AS45" s="320"/>
      <c r="AT45" s="320"/>
      <c r="AU45" s="320"/>
      <c r="AV45" s="320"/>
      <c r="AW45" s="320"/>
      <c r="AX45" s="161"/>
      <c r="AY45" s="1540" t="s">
        <v>937</v>
      </c>
    </row>
    <row r="46" spans="1:51" ht="31" outlineLevel="1" x14ac:dyDescent="0.25">
      <c r="A46" s="1488">
        <v>4.2</v>
      </c>
      <c r="B46" s="1492" t="s">
        <v>1638</v>
      </c>
      <c r="C46" s="1554" t="s">
        <v>936</v>
      </c>
      <c r="D46" s="1488" t="str">
        <f t="shared" si="8"/>
        <v>MERC/CAPEX/20112012/01908</v>
      </c>
      <c r="E46" s="1495">
        <f t="shared" si="8"/>
        <v>40758</v>
      </c>
      <c r="F46" s="1413">
        <f>IF(F45=0,"-",F45)</f>
        <v>40850</v>
      </c>
      <c r="G46" s="560">
        <v>26.1</v>
      </c>
      <c r="H46" s="560">
        <v>26.1</v>
      </c>
      <c r="I46" s="161"/>
      <c r="J46" s="161"/>
      <c r="K46" s="1413">
        <v>40850</v>
      </c>
      <c r="L46" s="1414"/>
      <c r="M46" s="1414"/>
      <c r="N46" s="1414"/>
      <c r="O46" s="1551"/>
      <c r="P46" s="1533">
        <v>0</v>
      </c>
      <c r="Q46" s="1533">
        <v>0</v>
      </c>
      <c r="R46" s="1533">
        <v>0</v>
      </c>
      <c r="S46" s="1533">
        <v>0</v>
      </c>
      <c r="T46" s="1533">
        <f t="shared" si="2"/>
        <v>0</v>
      </c>
      <c r="U46" s="320">
        <v>0</v>
      </c>
      <c r="V46" s="320"/>
      <c r="W46" s="1550">
        <v>26.1</v>
      </c>
      <c r="X46" s="320"/>
      <c r="Y46" s="320"/>
      <c r="Z46" s="320"/>
      <c r="AA46" s="320"/>
      <c r="AB46" s="320"/>
      <c r="AC46" s="1538"/>
      <c r="AD46" s="1538"/>
      <c r="AE46" s="1538"/>
      <c r="AF46" s="1538"/>
      <c r="AG46" s="1522"/>
      <c r="AH46" s="1522"/>
      <c r="AI46" s="1522"/>
      <c r="AJ46" s="1533">
        <v>0</v>
      </c>
      <c r="AK46" s="1533">
        <v>0</v>
      </c>
      <c r="AL46" s="1533">
        <v>0</v>
      </c>
      <c r="AM46" s="1533">
        <v>0</v>
      </c>
      <c r="AN46" s="1523">
        <f t="shared" si="3"/>
        <v>0</v>
      </c>
      <c r="AO46" s="320">
        <v>0</v>
      </c>
      <c r="AP46" s="320"/>
      <c r="AQ46" s="1550">
        <v>26.1</v>
      </c>
      <c r="AR46" s="320"/>
      <c r="AS46" s="320"/>
      <c r="AT46" s="320"/>
      <c r="AU46" s="320"/>
      <c r="AV46" s="320"/>
      <c r="AW46" s="320"/>
      <c r="AX46" s="161"/>
      <c r="AY46" s="1540" t="s">
        <v>937</v>
      </c>
    </row>
    <row r="47" spans="1:51" s="1548" customFormat="1" ht="15.5" outlineLevel="1" x14ac:dyDescent="0.25">
      <c r="A47" s="1484"/>
      <c r="B47" s="1485" t="s">
        <v>414</v>
      </c>
      <c r="C47" s="1535" t="s">
        <v>414</v>
      </c>
      <c r="D47" s="1484" t="str">
        <f t="shared" si="8"/>
        <v>MERC/CAPEX/20112012/01908</v>
      </c>
      <c r="E47" s="1536">
        <f t="shared" si="8"/>
        <v>40758</v>
      </c>
      <c r="F47" s="1394">
        <f>IF(F46=0,"-",F46)</f>
        <v>40850</v>
      </c>
      <c r="G47" s="1395">
        <v>5.5</v>
      </c>
      <c r="H47" s="1395">
        <v>5.5</v>
      </c>
      <c r="I47" s="1396"/>
      <c r="J47" s="1396"/>
      <c r="K47" s="1394">
        <v>40850</v>
      </c>
      <c r="L47" s="1397"/>
      <c r="M47" s="1397"/>
      <c r="N47" s="1397"/>
      <c r="O47" s="1407"/>
      <c r="P47" s="309"/>
      <c r="Q47" s="309">
        <v>0</v>
      </c>
      <c r="R47" s="309">
        <v>0</v>
      </c>
      <c r="S47" s="309">
        <v>0</v>
      </c>
      <c r="T47" s="309">
        <f t="shared" si="2"/>
        <v>0</v>
      </c>
      <c r="U47" s="309">
        <v>0</v>
      </c>
      <c r="V47" s="309">
        <v>0</v>
      </c>
      <c r="W47" s="309">
        <v>0</v>
      </c>
      <c r="X47" s="309"/>
      <c r="Y47" s="309"/>
      <c r="Z47" s="309"/>
      <c r="AA47" s="309"/>
      <c r="AB47" s="309"/>
      <c r="AC47" s="1538"/>
      <c r="AD47" s="1538"/>
      <c r="AE47" s="1538"/>
      <c r="AF47" s="1538"/>
      <c r="AG47" s="1538"/>
      <c r="AH47" s="1538"/>
      <c r="AI47" s="1538"/>
      <c r="AJ47" s="309"/>
      <c r="AK47" s="309">
        <v>0</v>
      </c>
      <c r="AL47" s="309">
        <v>0</v>
      </c>
      <c r="AM47" s="309">
        <v>0</v>
      </c>
      <c r="AN47" s="1544">
        <f t="shared" si="3"/>
        <v>0</v>
      </c>
      <c r="AO47" s="309">
        <v>0</v>
      </c>
      <c r="AP47" s="309">
        <v>0</v>
      </c>
      <c r="AQ47" s="309">
        <v>0</v>
      </c>
      <c r="AR47" s="309"/>
      <c r="AS47" s="309"/>
      <c r="AT47" s="309"/>
      <c r="AU47" s="309"/>
      <c r="AV47" s="309"/>
      <c r="AW47" s="309"/>
      <c r="AX47" s="1396"/>
      <c r="AY47" s="1549"/>
    </row>
    <row r="48" spans="1:51" s="1530" customFormat="1" ht="31" outlineLevel="1" x14ac:dyDescent="0.25">
      <c r="A48" s="1477">
        <v>5</v>
      </c>
      <c r="B48" s="1478" t="s">
        <v>1639</v>
      </c>
      <c r="C48" s="1477" t="s">
        <v>928</v>
      </c>
      <c r="D48" s="1477" t="s">
        <v>1640</v>
      </c>
      <c r="E48" s="1479">
        <v>40778</v>
      </c>
      <c r="F48" s="1479">
        <v>40911</v>
      </c>
      <c r="G48" s="1380">
        <f>SUM(G49)</f>
        <v>229.4</v>
      </c>
      <c r="H48" s="1380">
        <f>SUM(H49)</f>
        <v>229.4</v>
      </c>
      <c r="I48" s="563"/>
      <c r="J48" s="563"/>
      <c r="K48" s="1390">
        <v>40911</v>
      </c>
      <c r="L48" s="1391"/>
      <c r="M48" s="1391"/>
      <c r="N48" s="1391"/>
      <c r="O48" s="1402"/>
      <c r="P48" s="1523"/>
      <c r="Q48" s="1524"/>
      <c r="R48" s="1524"/>
      <c r="S48" s="1524"/>
      <c r="T48" s="1524">
        <f t="shared" si="2"/>
        <v>0</v>
      </c>
      <c r="U48" s="1525"/>
      <c r="V48" s="1525"/>
      <c r="W48" s="1392"/>
      <c r="X48" s="1392"/>
      <c r="Y48" s="1392"/>
      <c r="Z48" s="1392"/>
      <c r="AA48" s="1392"/>
      <c r="AB48" s="1392"/>
      <c r="AC48" s="1526"/>
      <c r="AD48" s="1526"/>
      <c r="AE48" s="1526"/>
      <c r="AF48" s="1526"/>
      <c r="AG48" s="1526"/>
      <c r="AH48" s="1526"/>
      <c r="AI48" s="1526"/>
      <c r="AJ48" s="1523"/>
      <c r="AK48" s="1523"/>
      <c r="AL48" s="1523"/>
      <c r="AM48" s="1523"/>
      <c r="AN48" s="1523">
        <f t="shared" si="3"/>
        <v>0</v>
      </c>
      <c r="AO48" s="1527"/>
      <c r="AP48" s="1527"/>
      <c r="AQ48" s="1527"/>
      <c r="AR48" s="1527"/>
      <c r="AS48" s="1527"/>
      <c r="AT48" s="1527"/>
      <c r="AU48" s="1527"/>
      <c r="AV48" s="1527"/>
      <c r="AW48" s="1527"/>
      <c r="AX48" s="563"/>
      <c r="AY48" s="1393" t="s">
        <v>941</v>
      </c>
    </row>
    <row r="49" spans="1:51" s="1530" customFormat="1" ht="31" outlineLevel="1" x14ac:dyDescent="0.25">
      <c r="A49" s="1482">
        <v>5.0999999999999996</v>
      </c>
      <c r="B49" s="1483" t="s">
        <v>1639</v>
      </c>
      <c r="C49" s="1531" t="s">
        <v>936</v>
      </c>
      <c r="D49" s="1482" t="str">
        <f>D48</f>
        <v>MERC/CAPEX/20112012/02443</v>
      </c>
      <c r="E49" s="1532">
        <f>E48</f>
        <v>40778</v>
      </c>
      <c r="F49" s="1390">
        <f>IF(F48=0,"-",F48)</f>
        <v>40911</v>
      </c>
      <c r="G49" s="565">
        <v>229.4</v>
      </c>
      <c r="H49" s="565">
        <v>229.4</v>
      </c>
      <c r="I49" s="563"/>
      <c r="J49" s="563"/>
      <c r="K49" s="1390">
        <v>40911</v>
      </c>
      <c r="L49" s="1391"/>
      <c r="M49" s="1391"/>
      <c r="N49" s="1391"/>
      <c r="O49" s="1402"/>
      <c r="P49" s="1533">
        <v>0</v>
      </c>
      <c r="Q49" s="1542"/>
      <c r="R49" s="1542"/>
      <c r="S49" s="1542"/>
      <c r="T49" s="1542">
        <f t="shared" si="2"/>
        <v>0</v>
      </c>
      <c r="U49" s="1542"/>
      <c r="V49" s="1542"/>
      <c r="W49" s="1542"/>
      <c r="X49" s="1542"/>
      <c r="Y49" s="1542"/>
      <c r="Z49" s="1542"/>
      <c r="AA49" s="1542"/>
      <c r="AB49" s="1542"/>
      <c r="AC49" s="1526"/>
      <c r="AD49" s="1526"/>
      <c r="AE49" s="1526"/>
      <c r="AF49" s="1526"/>
      <c r="AG49" s="1526"/>
      <c r="AH49" s="1526"/>
      <c r="AI49" s="1526"/>
      <c r="AJ49" s="1533">
        <v>0</v>
      </c>
      <c r="AK49" s="1533"/>
      <c r="AL49" s="1533"/>
      <c r="AM49" s="1533"/>
      <c r="AN49" s="1523">
        <f t="shared" si="3"/>
        <v>0</v>
      </c>
      <c r="AO49" s="1533"/>
      <c r="AP49" s="1533"/>
      <c r="AQ49" s="1533"/>
      <c r="AR49" s="1533"/>
      <c r="AS49" s="1533"/>
      <c r="AT49" s="1533"/>
      <c r="AU49" s="1533"/>
      <c r="AV49" s="1533"/>
      <c r="AW49" s="1533"/>
      <c r="AX49" s="563"/>
      <c r="AY49" s="1534" t="s">
        <v>941</v>
      </c>
    </row>
    <row r="50" spans="1:51" ht="62" outlineLevel="1" x14ac:dyDescent="0.25">
      <c r="A50" s="1486">
        <v>6</v>
      </c>
      <c r="B50" s="1491" t="s">
        <v>1641</v>
      </c>
      <c r="C50" s="1486" t="s">
        <v>928</v>
      </c>
      <c r="D50" s="1486" t="s">
        <v>1642</v>
      </c>
      <c r="E50" s="1487">
        <v>40872</v>
      </c>
      <c r="F50" s="1487">
        <v>41100</v>
      </c>
      <c r="G50" s="1383">
        <f>SUM(G51)</f>
        <v>16.77</v>
      </c>
      <c r="H50" s="1383">
        <f>SUM(H51)</f>
        <v>16.77</v>
      </c>
      <c r="I50" s="161"/>
      <c r="J50" s="161"/>
      <c r="K50" s="1413">
        <v>41100</v>
      </c>
      <c r="L50" s="1414"/>
      <c r="M50" s="1414"/>
      <c r="N50" s="1414"/>
      <c r="O50" s="1551"/>
      <c r="P50" s="1523"/>
      <c r="Q50" s="1524"/>
      <c r="R50" s="1524"/>
      <c r="S50" s="1524"/>
      <c r="T50" s="1524">
        <f t="shared" si="2"/>
        <v>0</v>
      </c>
      <c r="U50" s="1552"/>
      <c r="V50" s="1552"/>
      <c r="W50" s="1401"/>
      <c r="X50" s="1401"/>
      <c r="Y50" s="1401"/>
      <c r="Z50" s="1401"/>
      <c r="AA50" s="1401"/>
      <c r="AB50" s="1401"/>
      <c r="AC50" s="1526"/>
      <c r="AD50" s="1526"/>
      <c r="AE50" s="1526"/>
      <c r="AF50" s="1526"/>
      <c r="AG50" s="1522"/>
      <c r="AH50" s="1522"/>
      <c r="AI50" s="1522"/>
      <c r="AJ50" s="1523"/>
      <c r="AK50" s="1523"/>
      <c r="AL50" s="1523"/>
      <c r="AM50" s="1523"/>
      <c r="AN50" s="1523">
        <f t="shared" si="3"/>
        <v>0</v>
      </c>
      <c r="AO50" s="1553"/>
      <c r="AP50" s="1553"/>
      <c r="AQ50" s="1553"/>
      <c r="AR50" s="1553"/>
      <c r="AS50" s="1553"/>
      <c r="AT50" s="1553"/>
      <c r="AU50" s="1553"/>
      <c r="AV50" s="1553"/>
      <c r="AW50" s="1553"/>
      <c r="AX50" s="161"/>
      <c r="AY50" s="1636"/>
    </row>
    <row r="51" spans="1:51" ht="62" outlineLevel="1" x14ac:dyDescent="0.25">
      <c r="A51" s="1488">
        <v>6.1</v>
      </c>
      <c r="B51" s="1492" t="s">
        <v>1641</v>
      </c>
      <c r="C51" s="1554" t="s">
        <v>936</v>
      </c>
      <c r="D51" s="1488" t="str">
        <f>D50</f>
        <v>MERC/CAPEX/20122013/00818</v>
      </c>
      <c r="E51" s="1495">
        <f>E50</f>
        <v>40872</v>
      </c>
      <c r="F51" s="1413">
        <f>IF(F50=0,"-",F50)</f>
        <v>41100</v>
      </c>
      <c r="G51" s="560">
        <v>16.77</v>
      </c>
      <c r="H51" s="560">
        <v>16.77</v>
      </c>
      <c r="I51" s="161"/>
      <c r="J51" s="161"/>
      <c r="K51" s="1413">
        <v>41100</v>
      </c>
      <c r="L51" s="1414"/>
      <c r="M51" s="1414"/>
      <c r="N51" s="1414"/>
      <c r="O51" s="1551"/>
      <c r="P51" s="1533">
        <v>0</v>
      </c>
      <c r="Q51" s="1533">
        <v>0</v>
      </c>
      <c r="R51" s="1533">
        <v>0</v>
      </c>
      <c r="S51" s="1533">
        <v>5.4266784059999997</v>
      </c>
      <c r="T51" s="1533">
        <f t="shared" si="2"/>
        <v>5.4266784059999997</v>
      </c>
      <c r="U51" s="320"/>
      <c r="V51" s="320">
        <v>0</v>
      </c>
      <c r="W51" s="320">
        <v>0</v>
      </c>
      <c r="X51" s="1550">
        <v>11.343321593999999</v>
      </c>
      <c r="Y51" s="320"/>
      <c r="Z51" s="320"/>
      <c r="AA51" s="320"/>
      <c r="AB51" s="320"/>
      <c r="AC51" s="1526"/>
      <c r="AD51" s="1526"/>
      <c r="AE51" s="1526"/>
      <c r="AF51" s="1526"/>
      <c r="AG51" s="1522"/>
      <c r="AH51" s="1522"/>
      <c r="AI51" s="1522"/>
      <c r="AJ51" s="1533">
        <v>0</v>
      </c>
      <c r="AK51" s="1533">
        <v>0</v>
      </c>
      <c r="AL51" s="1533">
        <v>0</v>
      </c>
      <c r="AM51" s="1533">
        <v>4.0159468</v>
      </c>
      <c r="AN51" s="1523">
        <f t="shared" si="3"/>
        <v>4.0159468</v>
      </c>
      <c r="AO51" s="320"/>
      <c r="AP51" s="320">
        <v>0</v>
      </c>
      <c r="AQ51" s="320">
        <v>0</v>
      </c>
      <c r="AR51" s="1550">
        <v>12.7540532</v>
      </c>
      <c r="AS51" s="320"/>
      <c r="AT51" s="320"/>
      <c r="AU51" s="320"/>
      <c r="AV51" s="320"/>
      <c r="AW51" s="320"/>
      <c r="AX51" s="161"/>
      <c r="AY51" s="1540" t="s">
        <v>938</v>
      </c>
    </row>
    <row r="52" spans="1:51" s="1530" customFormat="1" ht="46.5" outlineLevel="1" x14ac:dyDescent="0.25">
      <c r="A52" s="1477">
        <v>7</v>
      </c>
      <c r="B52" s="1478" t="s">
        <v>1643</v>
      </c>
      <c r="C52" s="1477" t="s">
        <v>928</v>
      </c>
      <c r="D52" s="1477" t="s">
        <v>1644</v>
      </c>
      <c r="E52" s="1479">
        <v>40870</v>
      </c>
      <c r="F52" s="1479">
        <v>41100</v>
      </c>
      <c r="G52" s="1380">
        <f>SUM(G53:G55)</f>
        <v>29.509800000000002</v>
      </c>
      <c r="H52" s="1380">
        <f>SUM(H53:H55)</f>
        <v>29.28</v>
      </c>
      <c r="I52" s="563"/>
      <c r="J52" s="563"/>
      <c r="K52" s="1390">
        <v>41100</v>
      </c>
      <c r="L52" s="1391"/>
      <c r="M52" s="1391"/>
      <c r="N52" s="1391"/>
      <c r="O52" s="1402"/>
      <c r="P52" s="1523"/>
      <c r="Q52" s="1524"/>
      <c r="R52" s="1524"/>
      <c r="S52" s="1524"/>
      <c r="T52" s="1524">
        <f t="shared" si="2"/>
        <v>0</v>
      </c>
      <c r="U52" s="1525"/>
      <c r="V52" s="1525"/>
      <c r="W52" s="1392"/>
      <c r="X52" s="1392"/>
      <c r="Y52" s="1392"/>
      <c r="Z52" s="1392"/>
      <c r="AA52" s="1392"/>
      <c r="AB52" s="1392"/>
      <c r="AC52" s="1526"/>
      <c r="AD52" s="1526"/>
      <c r="AE52" s="1526"/>
      <c r="AF52" s="1526"/>
      <c r="AG52" s="1526"/>
      <c r="AH52" s="1526"/>
      <c r="AI52" s="1526"/>
      <c r="AJ52" s="1523"/>
      <c r="AK52" s="1523"/>
      <c r="AL52" s="1523"/>
      <c r="AM52" s="1523"/>
      <c r="AN52" s="1523">
        <f t="shared" si="3"/>
        <v>0</v>
      </c>
      <c r="AO52" s="1527"/>
      <c r="AP52" s="1527"/>
      <c r="AQ52" s="1527"/>
      <c r="AR52" s="1527"/>
      <c r="AS52" s="1527"/>
      <c r="AT52" s="1527"/>
      <c r="AU52" s="1527"/>
      <c r="AV52" s="1527"/>
      <c r="AW52" s="1527"/>
      <c r="AX52" s="563"/>
      <c r="AY52" s="1393"/>
    </row>
    <row r="53" spans="1:51" s="1530" customFormat="1" ht="15.5" outlineLevel="1" x14ac:dyDescent="0.25">
      <c r="A53" s="1482">
        <v>7.1</v>
      </c>
      <c r="B53" s="1483" t="s">
        <v>1645</v>
      </c>
      <c r="C53" s="1531" t="s">
        <v>936</v>
      </c>
      <c r="D53" s="1482" t="str">
        <f t="shared" ref="D53:E55" si="9">D52</f>
        <v>MERC/CAPEX/20122013/00827</v>
      </c>
      <c r="E53" s="1532">
        <f t="shared" si="9"/>
        <v>40870</v>
      </c>
      <c r="F53" s="1390">
        <f>IF(F52=0,"-",F52)</f>
        <v>41100</v>
      </c>
      <c r="G53" s="565">
        <v>11.2318</v>
      </c>
      <c r="H53" s="565">
        <v>11.2318</v>
      </c>
      <c r="I53" s="563"/>
      <c r="J53" s="563"/>
      <c r="K53" s="1390">
        <v>41100</v>
      </c>
      <c r="L53" s="1391"/>
      <c r="M53" s="1391"/>
      <c r="N53" s="1391"/>
      <c r="O53" s="1402"/>
      <c r="P53" s="1533">
        <v>19.378237200000001</v>
      </c>
      <c r="Q53" s="1533">
        <v>0</v>
      </c>
      <c r="R53" s="1533">
        <v>0</v>
      </c>
      <c r="S53" s="1533">
        <v>0</v>
      </c>
      <c r="T53" s="1533">
        <f t="shared" si="2"/>
        <v>19.378237200000001</v>
      </c>
      <c r="U53" s="1533">
        <v>0</v>
      </c>
      <c r="V53" s="1533">
        <v>0</v>
      </c>
      <c r="W53" s="1533">
        <v>0</v>
      </c>
      <c r="X53" s="1533"/>
      <c r="Y53" s="1533"/>
      <c r="Z53" s="1533"/>
      <c r="AA53" s="1533"/>
      <c r="AB53" s="1533"/>
      <c r="AC53" s="1526"/>
      <c r="AD53" s="1526"/>
      <c r="AE53" s="1526"/>
      <c r="AF53" s="1526"/>
      <c r="AG53" s="1526"/>
      <c r="AH53" s="1526"/>
      <c r="AI53" s="1526"/>
      <c r="AJ53" s="1533">
        <v>19.378237200000001</v>
      </c>
      <c r="AK53" s="1533"/>
      <c r="AL53" s="1533"/>
      <c r="AM53" s="1533"/>
      <c r="AN53" s="1523">
        <f t="shared" si="3"/>
        <v>19.378237200000001</v>
      </c>
      <c r="AO53" s="1533"/>
      <c r="AP53" s="1533"/>
      <c r="AQ53" s="1533"/>
      <c r="AR53" s="1533"/>
      <c r="AS53" s="1533"/>
      <c r="AT53" s="1533"/>
      <c r="AU53" s="1533"/>
      <c r="AV53" s="1533"/>
      <c r="AW53" s="1533"/>
      <c r="AX53" s="563" t="s">
        <v>1646</v>
      </c>
      <c r="AY53" s="1534" t="s">
        <v>940</v>
      </c>
    </row>
    <row r="54" spans="1:51" s="1530" customFormat="1" ht="28" outlineLevel="1" x14ac:dyDescent="0.25">
      <c r="A54" s="1482">
        <v>7.2</v>
      </c>
      <c r="B54" s="1483" t="s">
        <v>1647</v>
      </c>
      <c r="C54" s="1531" t="s">
        <v>936</v>
      </c>
      <c r="D54" s="1482" t="str">
        <f t="shared" si="9"/>
        <v>MERC/CAPEX/20122013/00827</v>
      </c>
      <c r="E54" s="1532">
        <f t="shared" si="9"/>
        <v>40870</v>
      </c>
      <c r="F54" s="1390">
        <f>IF(F53=0,"-",F53)</f>
        <v>41100</v>
      </c>
      <c r="G54" s="565">
        <v>14.968</v>
      </c>
      <c r="H54" s="565">
        <v>14.968</v>
      </c>
      <c r="I54" s="563"/>
      <c r="J54" s="563"/>
      <c r="K54" s="1390">
        <v>41100</v>
      </c>
      <c r="L54" s="1391"/>
      <c r="M54" s="1391"/>
      <c r="N54" s="1391"/>
      <c r="O54" s="1402"/>
      <c r="P54" s="1533">
        <v>19.414876</v>
      </c>
      <c r="Q54" s="1533">
        <v>3.7749777</v>
      </c>
      <c r="R54" s="1533">
        <v>0</v>
      </c>
      <c r="S54" s="1533">
        <v>0</v>
      </c>
      <c r="T54" s="1533">
        <f t="shared" si="2"/>
        <v>23.1898537</v>
      </c>
      <c r="U54" s="1533">
        <v>0</v>
      </c>
      <c r="V54" s="1533">
        <v>0</v>
      </c>
      <c r="W54" s="1533">
        <v>0</v>
      </c>
      <c r="X54" s="1533"/>
      <c r="Y54" s="1533"/>
      <c r="Z54" s="1533"/>
      <c r="AA54" s="1533"/>
      <c r="AB54" s="1533"/>
      <c r="AC54" s="1526"/>
      <c r="AD54" s="1526"/>
      <c r="AE54" s="1526"/>
      <c r="AF54" s="1526"/>
      <c r="AG54" s="1526"/>
      <c r="AH54" s="1526"/>
      <c r="AI54" s="1526"/>
      <c r="AJ54" s="1533">
        <v>19.414876</v>
      </c>
      <c r="AK54" s="1533">
        <v>0</v>
      </c>
      <c r="AL54" s="1533">
        <v>3.7749777</v>
      </c>
      <c r="AM54" s="1533">
        <v>0</v>
      </c>
      <c r="AN54" s="1523">
        <f t="shared" si="3"/>
        <v>23.1898537</v>
      </c>
      <c r="AO54" s="1533">
        <v>0</v>
      </c>
      <c r="AP54" s="1533">
        <v>0</v>
      </c>
      <c r="AQ54" s="1533">
        <v>0</v>
      </c>
      <c r="AR54" s="1533"/>
      <c r="AS54" s="1533"/>
      <c r="AT54" s="1533"/>
      <c r="AU54" s="1533"/>
      <c r="AV54" s="1533"/>
      <c r="AW54" s="1533"/>
      <c r="AX54" s="1402" t="s">
        <v>1648</v>
      </c>
      <c r="AY54" s="1534" t="s">
        <v>940</v>
      </c>
    </row>
    <row r="55" spans="1:51" s="1530" customFormat="1" ht="15.5" outlineLevel="1" x14ac:dyDescent="0.25">
      <c r="A55" s="1482"/>
      <c r="B55" s="1483" t="s">
        <v>414</v>
      </c>
      <c r="C55" s="1531" t="s">
        <v>414</v>
      </c>
      <c r="D55" s="1482" t="str">
        <f t="shared" si="9"/>
        <v>MERC/CAPEX/20122013/00827</v>
      </c>
      <c r="E55" s="1532">
        <f t="shared" si="9"/>
        <v>40870</v>
      </c>
      <c r="F55" s="1390">
        <f>IF(F54=0,"-",F54)</f>
        <v>41100</v>
      </c>
      <c r="G55" s="565">
        <f>29.51-26.2</f>
        <v>3.3100000000000023</v>
      </c>
      <c r="H55" s="565">
        <f>29.28-G53-G54</f>
        <v>3.0802000000000014</v>
      </c>
      <c r="I55" s="563"/>
      <c r="J55" s="563"/>
      <c r="K55" s="1390">
        <v>41100</v>
      </c>
      <c r="L55" s="1391"/>
      <c r="M55" s="1391"/>
      <c r="N55" s="1391"/>
      <c r="O55" s="1402"/>
      <c r="P55" s="1533"/>
      <c r="Q55" s="1533">
        <v>0</v>
      </c>
      <c r="R55" s="1533">
        <v>0</v>
      </c>
      <c r="S55" s="1533">
        <v>0</v>
      </c>
      <c r="T55" s="1533">
        <f t="shared" si="2"/>
        <v>0</v>
      </c>
      <c r="U55" s="1533">
        <v>0</v>
      </c>
      <c r="V55" s="1533">
        <v>0</v>
      </c>
      <c r="W55" s="1533">
        <v>0</v>
      </c>
      <c r="X55" s="1533"/>
      <c r="Y55" s="1533"/>
      <c r="Z55" s="1533"/>
      <c r="AA55" s="1533"/>
      <c r="AB55" s="1533"/>
      <c r="AC55" s="1526"/>
      <c r="AD55" s="1526"/>
      <c r="AE55" s="1526"/>
      <c r="AF55" s="1526"/>
      <c r="AG55" s="1526"/>
      <c r="AH55" s="1526"/>
      <c r="AI55" s="1526"/>
      <c r="AJ55" s="1533"/>
      <c r="AK55" s="1533">
        <v>0</v>
      </c>
      <c r="AL55" s="1533">
        <v>0</v>
      </c>
      <c r="AM55" s="1533">
        <v>0</v>
      </c>
      <c r="AN55" s="1523">
        <f t="shared" si="3"/>
        <v>0</v>
      </c>
      <c r="AO55" s="1533">
        <v>0</v>
      </c>
      <c r="AP55" s="1533">
        <v>0</v>
      </c>
      <c r="AQ55" s="1533">
        <v>0</v>
      </c>
      <c r="AR55" s="1533"/>
      <c r="AS55" s="1533"/>
      <c r="AT55" s="1533"/>
      <c r="AU55" s="1533"/>
      <c r="AV55" s="1533"/>
      <c r="AW55" s="1533"/>
      <c r="AX55" s="563"/>
      <c r="AY55" s="1534"/>
    </row>
    <row r="56" spans="1:51" s="1530" customFormat="1" ht="15.5" outlineLevel="1" x14ac:dyDescent="0.25">
      <c r="A56" s="1477">
        <v>8</v>
      </c>
      <c r="B56" s="1478" t="s">
        <v>1649</v>
      </c>
      <c r="C56" s="1477" t="s">
        <v>928</v>
      </c>
      <c r="D56" s="1477" t="s">
        <v>1650</v>
      </c>
      <c r="E56" s="1479">
        <v>40907</v>
      </c>
      <c r="F56" s="1479">
        <v>41108</v>
      </c>
      <c r="G56" s="1380">
        <f>SUM(G57:G59)</f>
        <v>18.2</v>
      </c>
      <c r="H56" s="1380">
        <f>SUM(H57:H59)</f>
        <v>18.2</v>
      </c>
      <c r="I56" s="563"/>
      <c r="J56" s="563"/>
      <c r="K56" s="1390">
        <v>41108</v>
      </c>
      <c r="L56" s="1391"/>
      <c r="M56" s="1391"/>
      <c r="N56" s="1391"/>
      <c r="O56" s="1402"/>
      <c r="P56" s="1523"/>
      <c r="Q56" s="1524"/>
      <c r="R56" s="1524"/>
      <c r="S56" s="1524"/>
      <c r="T56" s="1524">
        <f t="shared" si="2"/>
        <v>0</v>
      </c>
      <c r="U56" s="1525"/>
      <c r="V56" s="1525"/>
      <c r="W56" s="1392"/>
      <c r="X56" s="1392"/>
      <c r="Y56" s="1392"/>
      <c r="Z56" s="1392"/>
      <c r="AA56" s="1392"/>
      <c r="AB56" s="1392"/>
      <c r="AC56" s="1526"/>
      <c r="AD56" s="1526"/>
      <c r="AE56" s="1526"/>
      <c r="AF56" s="1526"/>
      <c r="AG56" s="1526"/>
      <c r="AH56" s="1526"/>
      <c r="AI56" s="1526"/>
      <c r="AJ56" s="1523"/>
      <c r="AK56" s="1523"/>
      <c r="AL56" s="1523"/>
      <c r="AM56" s="1523"/>
      <c r="AN56" s="1523">
        <f t="shared" si="3"/>
        <v>0</v>
      </c>
      <c r="AO56" s="1527"/>
      <c r="AP56" s="1527"/>
      <c r="AQ56" s="1527"/>
      <c r="AR56" s="1527"/>
      <c r="AS56" s="1527"/>
      <c r="AT56" s="1527"/>
      <c r="AU56" s="1527"/>
      <c r="AV56" s="1527"/>
      <c r="AW56" s="1527"/>
      <c r="AX56" s="563"/>
      <c r="AY56" s="1393"/>
    </row>
    <row r="57" spans="1:51" s="1530" customFormat="1" ht="15.5" outlineLevel="1" x14ac:dyDescent="0.25">
      <c r="A57" s="1482">
        <v>8.1</v>
      </c>
      <c r="B57" s="1483" t="s">
        <v>1651</v>
      </c>
      <c r="C57" s="1531" t="s">
        <v>936</v>
      </c>
      <c r="D57" s="1482" t="str">
        <f t="shared" ref="D57:E59" si="10">D56</f>
        <v>MERC/CAPEX/20122013/00914</v>
      </c>
      <c r="E57" s="1532">
        <f t="shared" si="10"/>
        <v>40907</v>
      </c>
      <c r="F57" s="1390">
        <f>IF(F56=0,"-",F56)</f>
        <v>41108</v>
      </c>
      <c r="G57" s="565">
        <v>8.5</v>
      </c>
      <c r="H57" s="565">
        <v>8.5</v>
      </c>
      <c r="I57" s="563"/>
      <c r="J57" s="563"/>
      <c r="K57" s="1390">
        <v>41108</v>
      </c>
      <c r="L57" s="1391"/>
      <c r="M57" s="1391"/>
      <c r="N57" s="1391"/>
      <c r="O57" s="1402"/>
      <c r="P57" s="1533">
        <v>0</v>
      </c>
      <c r="Q57" s="1542"/>
      <c r="R57" s="1542"/>
      <c r="S57" s="1542"/>
      <c r="T57" s="1542">
        <f t="shared" si="2"/>
        <v>0</v>
      </c>
      <c r="U57" s="1542"/>
      <c r="V57" s="1542"/>
      <c r="W57" s="1542"/>
      <c r="X57" s="1542"/>
      <c r="Y57" s="1542"/>
      <c r="Z57" s="1542"/>
      <c r="AA57" s="1542"/>
      <c r="AB57" s="1542"/>
      <c r="AC57" s="1526"/>
      <c r="AD57" s="1526"/>
      <c r="AE57" s="1526"/>
      <c r="AF57" s="1526"/>
      <c r="AG57" s="1526"/>
      <c r="AH57" s="1526"/>
      <c r="AI57" s="1526"/>
      <c r="AJ57" s="1533">
        <v>0</v>
      </c>
      <c r="AK57" s="1533"/>
      <c r="AL57" s="1533"/>
      <c r="AM57" s="1533"/>
      <c r="AN57" s="1523">
        <f t="shared" si="3"/>
        <v>0</v>
      </c>
      <c r="AO57" s="1533"/>
      <c r="AP57" s="1533"/>
      <c r="AQ57" s="1533"/>
      <c r="AR57" s="1533"/>
      <c r="AS57" s="1533"/>
      <c r="AT57" s="1533"/>
      <c r="AU57" s="1533"/>
      <c r="AV57" s="1533"/>
      <c r="AW57" s="1533"/>
      <c r="AX57" s="563"/>
      <c r="AY57" s="1534" t="s">
        <v>941</v>
      </c>
    </row>
    <row r="58" spans="1:51" s="1530" customFormat="1" ht="15.5" outlineLevel="1" x14ac:dyDescent="0.25">
      <c r="A58" s="1482">
        <v>8.1999999999999993</v>
      </c>
      <c r="B58" s="1483" t="s">
        <v>1652</v>
      </c>
      <c r="C58" s="1531" t="s">
        <v>936</v>
      </c>
      <c r="D58" s="1482" t="str">
        <f t="shared" si="10"/>
        <v>MERC/CAPEX/20122013/00914</v>
      </c>
      <c r="E58" s="1532">
        <f t="shared" si="10"/>
        <v>40907</v>
      </c>
      <c r="F58" s="1390">
        <f>IF(F57=0,"-",F57)</f>
        <v>41108</v>
      </c>
      <c r="G58" s="565">
        <v>8.5</v>
      </c>
      <c r="H58" s="565">
        <v>8.5</v>
      </c>
      <c r="I58" s="563"/>
      <c r="J58" s="563"/>
      <c r="K58" s="1390">
        <v>41108</v>
      </c>
      <c r="L58" s="1391"/>
      <c r="M58" s="1391"/>
      <c r="N58" s="1391"/>
      <c r="O58" s="1402"/>
      <c r="P58" s="1533">
        <v>0</v>
      </c>
      <c r="Q58" s="1542"/>
      <c r="R58" s="1542"/>
      <c r="S58" s="1542"/>
      <c r="T58" s="1542">
        <f t="shared" si="2"/>
        <v>0</v>
      </c>
      <c r="U58" s="1542"/>
      <c r="V58" s="1542"/>
      <c r="W58" s="1542"/>
      <c r="X58" s="1542"/>
      <c r="Y58" s="1542"/>
      <c r="Z58" s="1542"/>
      <c r="AA58" s="1542"/>
      <c r="AB58" s="1542"/>
      <c r="AC58" s="1526"/>
      <c r="AD58" s="1526"/>
      <c r="AE58" s="1526"/>
      <c r="AF58" s="1526"/>
      <c r="AG58" s="1526"/>
      <c r="AH58" s="1526"/>
      <c r="AI58" s="1526"/>
      <c r="AJ58" s="1533">
        <v>0</v>
      </c>
      <c r="AK58" s="1533"/>
      <c r="AL58" s="1533"/>
      <c r="AM58" s="1533"/>
      <c r="AN58" s="1523">
        <f t="shared" si="3"/>
        <v>0</v>
      </c>
      <c r="AO58" s="1533"/>
      <c r="AP58" s="1533"/>
      <c r="AQ58" s="1533"/>
      <c r="AR58" s="1533"/>
      <c r="AS58" s="1533"/>
      <c r="AT58" s="1533"/>
      <c r="AU58" s="1533"/>
      <c r="AV58" s="1533"/>
      <c r="AW58" s="1533"/>
      <c r="AX58" s="563"/>
      <c r="AY58" s="1534" t="s">
        <v>941</v>
      </c>
    </row>
    <row r="59" spans="1:51" s="1530" customFormat="1" ht="15.5" outlineLevel="1" x14ac:dyDescent="0.25">
      <c r="A59" s="1482"/>
      <c r="B59" s="1483" t="s">
        <v>414</v>
      </c>
      <c r="C59" s="1531" t="s">
        <v>414</v>
      </c>
      <c r="D59" s="1482" t="str">
        <f t="shared" si="10"/>
        <v>MERC/CAPEX/20122013/00914</v>
      </c>
      <c r="E59" s="1532">
        <f t="shared" si="10"/>
        <v>40907</v>
      </c>
      <c r="F59" s="1390">
        <f>IF(F58=0,"-",F58)</f>
        <v>41108</v>
      </c>
      <c r="G59" s="565">
        <v>1.2</v>
      </c>
      <c r="H59" s="565">
        <v>1.2</v>
      </c>
      <c r="I59" s="563"/>
      <c r="J59" s="563"/>
      <c r="K59" s="1390">
        <v>41108</v>
      </c>
      <c r="L59" s="1391"/>
      <c r="M59" s="1391"/>
      <c r="N59" s="1391"/>
      <c r="O59" s="1402"/>
      <c r="P59" s="1533"/>
      <c r="Q59" s="1542"/>
      <c r="R59" s="1542"/>
      <c r="S59" s="1542"/>
      <c r="T59" s="1542">
        <f t="shared" si="2"/>
        <v>0</v>
      </c>
      <c r="U59" s="1542"/>
      <c r="V59" s="1542"/>
      <c r="W59" s="1542"/>
      <c r="X59" s="1542"/>
      <c r="Y59" s="1542"/>
      <c r="Z59" s="1542"/>
      <c r="AA59" s="1542"/>
      <c r="AB59" s="1542"/>
      <c r="AC59" s="1526"/>
      <c r="AD59" s="1526"/>
      <c r="AE59" s="1526"/>
      <c r="AF59" s="1526"/>
      <c r="AG59" s="1526"/>
      <c r="AH59" s="1526"/>
      <c r="AI59" s="1526"/>
      <c r="AJ59" s="1533"/>
      <c r="AK59" s="1533"/>
      <c r="AL59" s="1533"/>
      <c r="AM59" s="1533"/>
      <c r="AN59" s="1523">
        <f t="shared" si="3"/>
        <v>0</v>
      </c>
      <c r="AO59" s="1533"/>
      <c r="AP59" s="1533"/>
      <c r="AQ59" s="1533"/>
      <c r="AR59" s="1533"/>
      <c r="AS59" s="1533"/>
      <c r="AT59" s="1533"/>
      <c r="AU59" s="1533"/>
      <c r="AV59" s="1533"/>
      <c r="AW59" s="1533"/>
      <c r="AX59" s="563"/>
      <c r="AY59" s="1534" t="s">
        <v>941</v>
      </c>
    </row>
    <row r="60" spans="1:51" s="1530" customFormat="1" ht="31" outlineLevel="1" x14ac:dyDescent="0.25">
      <c r="A60" s="1477">
        <v>9</v>
      </c>
      <c r="B60" s="1478" t="s">
        <v>1653</v>
      </c>
      <c r="C60" s="1477" t="s">
        <v>928</v>
      </c>
      <c r="D60" s="1477" t="s">
        <v>1654</v>
      </c>
      <c r="E60" s="1479">
        <v>41074</v>
      </c>
      <c r="F60" s="1479">
        <v>41464</v>
      </c>
      <c r="G60" s="1380">
        <f>SUM(G61:G62)</f>
        <v>107.8364</v>
      </c>
      <c r="H60" s="1380">
        <f>SUM(H61:H62)</f>
        <v>107.8364</v>
      </c>
      <c r="I60" s="563"/>
      <c r="J60" s="563"/>
      <c r="K60" s="1390">
        <v>41464</v>
      </c>
      <c r="L60" s="1391"/>
      <c r="M60" s="1391"/>
      <c r="N60" s="1391"/>
      <c r="O60" s="1402"/>
      <c r="P60" s="1523"/>
      <c r="Q60" s="1524"/>
      <c r="R60" s="1524"/>
      <c r="S60" s="1524"/>
      <c r="T60" s="1524">
        <f t="shared" si="2"/>
        <v>0</v>
      </c>
      <c r="U60" s="1525"/>
      <c r="V60" s="1525"/>
      <c r="W60" s="1392"/>
      <c r="X60" s="1392"/>
      <c r="Y60" s="1392"/>
      <c r="Z60" s="1392"/>
      <c r="AA60" s="1392"/>
      <c r="AB60" s="1392"/>
      <c r="AC60" s="1526"/>
      <c r="AD60" s="1526"/>
      <c r="AE60" s="1526"/>
      <c r="AF60" s="1526"/>
      <c r="AG60" s="1526"/>
      <c r="AH60" s="1526"/>
      <c r="AI60" s="1526"/>
      <c r="AJ60" s="1523"/>
      <c r="AK60" s="1523"/>
      <c r="AL60" s="1523"/>
      <c r="AM60" s="1523"/>
      <c r="AN60" s="1523">
        <f t="shared" si="3"/>
        <v>0</v>
      </c>
      <c r="AO60" s="1527"/>
      <c r="AP60" s="1527"/>
      <c r="AQ60" s="1527"/>
      <c r="AR60" s="1527"/>
      <c r="AS60" s="1527"/>
      <c r="AT60" s="1527"/>
      <c r="AU60" s="1527"/>
      <c r="AV60" s="1527"/>
      <c r="AW60" s="1527"/>
      <c r="AX60" s="563"/>
      <c r="AY60" s="1393" t="s">
        <v>941</v>
      </c>
    </row>
    <row r="61" spans="1:51" s="1530" customFormat="1" ht="62" outlineLevel="1" x14ac:dyDescent="0.25">
      <c r="A61" s="1482">
        <v>9.1</v>
      </c>
      <c r="B61" s="1483" t="s">
        <v>1655</v>
      </c>
      <c r="C61" s="1531" t="s">
        <v>936</v>
      </c>
      <c r="D61" s="1482" t="str">
        <f>D60</f>
        <v>MERC/TECH 1/CAPEX/20132014/00823</v>
      </c>
      <c r="E61" s="1532">
        <f>E60</f>
        <v>41074</v>
      </c>
      <c r="F61" s="1390">
        <f>IF(F60=0,"-",F60)</f>
        <v>41464</v>
      </c>
      <c r="G61" s="565">
        <v>101.8526</v>
      </c>
      <c r="H61" s="565">
        <v>101.8526</v>
      </c>
      <c r="I61" s="563"/>
      <c r="J61" s="563"/>
      <c r="K61" s="1390">
        <v>41464</v>
      </c>
      <c r="L61" s="1391"/>
      <c r="M61" s="1391"/>
      <c r="N61" s="1391"/>
      <c r="O61" s="1402"/>
      <c r="P61" s="1533">
        <v>0</v>
      </c>
      <c r="Q61" s="1542"/>
      <c r="R61" s="1542"/>
      <c r="S61" s="1542"/>
      <c r="T61" s="1542">
        <f t="shared" si="2"/>
        <v>0</v>
      </c>
      <c r="U61" s="1542"/>
      <c r="V61" s="1542"/>
      <c r="W61" s="1542"/>
      <c r="X61" s="1542"/>
      <c r="Y61" s="1542"/>
      <c r="Z61" s="1542"/>
      <c r="AA61" s="1542"/>
      <c r="AB61" s="1542"/>
      <c r="AC61" s="1526"/>
      <c r="AD61" s="1526"/>
      <c r="AE61" s="1526"/>
      <c r="AF61" s="1526"/>
      <c r="AG61" s="1526"/>
      <c r="AH61" s="1526"/>
      <c r="AI61" s="1526"/>
      <c r="AJ61" s="1533">
        <v>0</v>
      </c>
      <c r="AK61" s="1533"/>
      <c r="AL61" s="1533"/>
      <c r="AM61" s="1533"/>
      <c r="AN61" s="1523">
        <f t="shared" si="3"/>
        <v>0</v>
      </c>
      <c r="AO61" s="1533"/>
      <c r="AP61" s="1533"/>
      <c r="AQ61" s="1533"/>
      <c r="AR61" s="1533"/>
      <c r="AS61" s="1533"/>
      <c r="AT61" s="1533"/>
      <c r="AU61" s="1533"/>
      <c r="AV61" s="1533"/>
      <c r="AW61" s="1533"/>
      <c r="AX61" s="563"/>
      <c r="AY61" s="1534" t="s">
        <v>941</v>
      </c>
    </row>
    <row r="62" spans="1:51" s="1530" customFormat="1" ht="31" outlineLevel="1" x14ac:dyDescent="0.25">
      <c r="A62" s="1482"/>
      <c r="B62" s="1483" t="s">
        <v>414</v>
      </c>
      <c r="C62" s="1531" t="s">
        <v>414</v>
      </c>
      <c r="D62" s="1482" t="str">
        <f>D61</f>
        <v>MERC/TECH 1/CAPEX/20132014/00823</v>
      </c>
      <c r="E62" s="1532">
        <f>E61</f>
        <v>41074</v>
      </c>
      <c r="F62" s="1390">
        <f>IF(F61=0,"-",F61)</f>
        <v>41464</v>
      </c>
      <c r="G62" s="565">
        <v>5.9837999999999996</v>
      </c>
      <c r="H62" s="565">
        <v>5.9837999999999996</v>
      </c>
      <c r="I62" s="563"/>
      <c r="J62" s="563"/>
      <c r="K62" s="1390">
        <v>41464</v>
      </c>
      <c r="L62" s="1391"/>
      <c r="M62" s="1391"/>
      <c r="N62" s="1391"/>
      <c r="O62" s="1402"/>
      <c r="P62" s="1533"/>
      <c r="Q62" s="1542"/>
      <c r="R62" s="1542"/>
      <c r="S62" s="1542"/>
      <c r="T62" s="1542">
        <f t="shared" si="2"/>
        <v>0</v>
      </c>
      <c r="U62" s="1542"/>
      <c r="V62" s="1542"/>
      <c r="W62" s="1542"/>
      <c r="X62" s="1542"/>
      <c r="Y62" s="1542"/>
      <c r="Z62" s="1542"/>
      <c r="AA62" s="1542"/>
      <c r="AB62" s="1542"/>
      <c r="AC62" s="1526"/>
      <c r="AD62" s="1526"/>
      <c r="AE62" s="1526"/>
      <c r="AF62" s="1526"/>
      <c r="AG62" s="1526"/>
      <c r="AH62" s="1526"/>
      <c r="AI62" s="1526"/>
      <c r="AJ62" s="1533"/>
      <c r="AK62" s="1533"/>
      <c r="AL62" s="1533"/>
      <c r="AM62" s="1533"/>
      <c r="AN62" s="1523">
        <f t="shared" si="3"/>
        <v>0</v>
      </c>
      <c r="AO62" s="1533"/>
      <c r="AP62" s="1533"/>
      <c r="AQ62" s="1533"/>
      <c r="AR62" s="1533"/>
      <c r="AS62" s="1533"/>
      <c r="AT62" s="1533"/>
      <c r="AU62" s="1533"/>
      <c r="AV62" s="1533"/>
      <c r="AW62" s="1533"/>
      <c r="AX62" s="563"/>
      <c r="AY62" s="1534"/>
    </row>
    <row r="63" spans="1:51" s="1530" customFormat="1" ht="31" outlineLevel="1" x14ac:dyDescent="0.25">
      <c r="A63" s="1489">
        <v>10</v>
      </c>
      <c r="B63" s="1490" t="s">
        <v>1656</v>
      </c>
      <c r="C63" s="1489" t="s">
        <v>928</v>
      </c>
      <c r="D63" s="1489" t="s">
        <v>1657</v>
      </c>
      <c r="E63" s="1543">
        <v>41169</v>
      </c>
      <c r="F63" s="1543">
        <v>41281</v>
      </c>
      <c r="G63" s="1398">
        <f>SUM(G64:G67)</f>
        <v>15.25</v>
      </c>
      <c r="H63" s="1398">
        <f>SUM(H64:H67)</f>
        <v>15.25</v>
      </c>
      <c r="I63" s="1396"/>
      <c r="J63" s="1396"/>
      <c r="K63" s="1394">
        <v>41281</v>
      </c>
      <c r="L63" s="1397"/>
      <c r="M63" s="1397"/>
      <c r="N63" s="1397"/>
      <c r="O63" s="1407"/>
      <c r="P63" s="1523"/>
      <c r="Q63" s="1524"/>
      <c r="R63" s="1524"/>
      <c r="S63" s="1524"/>
      <c r="T63" s="1524">
        <f t="shared" si="2"/>
        <v>0</v>
      </c>
      <c r="U63" s="1546"/>
      <c r="V63" s="1546"/>
      <c r="W63" s="1399"/>
      <c r="X63" s="1399"/>
      <c r="Y63" s="1399"/>
      <c r="Z63" s="1399"/>
      <c r="AA63" s="1399"/>
      <c r="AB63" s="1399"/>
      <c r="AC63" s="1538"/>
      <c r="AD63" s="1538"/>
      <c r="AE63" s="1538"/>
      <c r="AF63" s="1538"/>
      <c r="AG63" s="1538"/>
      <c r="AH63" s="1538"/>
      <c r="AI63" s="1538"/>
      <c r="AJ63" s="1523"/>
      <c r="AK63" s="1523"/>
      <c r="AL63" s="1523"/>
      <c r="AM63" s="1523"/>
      <c r="AN63" s="1523">
        <f t="shared" si="3"/>
        <v>0</v>
      </c>
      <c r="AO63" s="1547"/>
      <c r="AP63" s="1547"/>
      <c r="AQ63" s="1547"/>
      <c r="AR63" s="1547"/>
      <c r="AS63" s="1547"/>
      <c r="AT63" s="1547"/>
      <c r="AU63" s="1547"/>
      <c r="AV63" s="1547"/>
      <c r="AW63" s="1547"/>
      <c r="AX63" s="1396"/>
      <c r="AY63" s="1400"/>
    </row>
    <row r="64" spans="1:51" ht="15.5" outlineLevel="1" x14ac:dyDescent="0.25">
      <c r="A64" s="1484">
        <v>10.1</v>
      </c>
      <c r="B64" s="1485" t="s">
        <v>1658</v>
      </c>
      <c r="C64" s="1535" t="s">
        <v>936</v>
      </c>
      <c r="D64" s="1484" t="str">
        <f t="shared" ref="D64:E67" si="11">D63</f>
        <v>MERC/CAPEX/20122013/02104</v>
      </c>
      <c r="E64" s="1536">
        <f t="shared" si="11"/>
        <v>41169</v>
      </c>
      <c r="F64" s="1394">
        <f>IF(F63=0,"-",F63)</f>
        <v>41281</v>
      </c>
      <c r="G64" s="1395">
        <v>7.12</v>
      </c>
      <c r="H64" s="1395">
        <v>7.12</v>
      </c>
      <c r="I64" s="1396"/>
      <c r="J64" s="1396"/>
      <c r="K64" s="1394">
        <v>41281</v>
      </c>
      <c r="L64" s="1397"/>
      <c r="M64" s="1397"/>
      <c r="N64" s="1397"/>
      <c r="O64" s="1407"/>
      <c r="P64" s="1533">
        <v>1.4079700719999999</v>
      </c>
      <c r="Q64" s="1542"/>
      <c r="R64" s="1542"/>
      <c r="S64" s="1542"/>
      <c r="T64" s="1542">
        <f t="shared" si="2"/>
        <v>1.4079700719999999</v>
      </c>
      <c r="U64" s="1555"/>
      <c r="V64" s="1555"/>
      <c r="W64" s="1555"/>
      <c r="X64" s="1555"/>
      <c r="Y64" s="1555"/>
      <c r="Z64" s="1555"/>
      <c r="AA64" s="1555"/>
      <c r="AB64" s="1555"/>
      <c r="AC64" s="1538"/>
      <c r="AD64" s="1538"/>
      <c r="AE64" s="1538"/>
      <c r="AF64" s="1538"/>
      <c r="AG64" s="1538"/>
      <c r="AH64" s="1538"/>
      <c r="AI64" s="1538"/>
      <c r="AJ64" s="1533">
        <v>1.4079700719999999</v>
      </c>
      <c r="AK64" s="1533"/>
      <c r="AL64" s="1533"/>
      <c r="AM64" s="1533"/>
      <c r="AN64" s="1523">
        <f t="shared" si="3"/>
        <v>1.4079700719999999</v>
      </c>
      <c r="AO64" s="320"/>
      <c r="AP64" s="320"/>
      <c r="AQ64" s="320"/>
      <c r="AR64" s="320"/>
      <c r="AS64" s="320"/>
      <c r="AT64" s="320"/>
      <c r="AU64" s="320"/>
      <c r="AV64" s="320"/>
      <c r="AW64" s="320"/>
      <c r="AX64" s="161"/>
      <c r="AY64" s="1540" t="s">
        <v>941</v>
      </c>
    </row>
    <row r="65" spans="1:51" ht="15.5" outlineLevel="1" x14ac:dyDescent="0.25">
      <c r="A65" s="1484">
        <v>10.199999999999999</v>
      </c>
      <c r="B65" s="1485" t="s">
        <v>1659</v>
      </c>
      <c r="C65" s="1535" t="s">
        <v>936</v>
      </c>
      <c r="D65" s="1484" t="str">
        <f t="shared" si="11"/>
        <v>MERC/CAPEX/20122013/02104</v>
      </c>
      <c r="E65" s="1536">
        <f t="shared" si="11"/>
        <v>41169</v>
      </c>
      <c r="F65" s="1394">
        <f>IF(F64=0,"-",F64)</f>
        <v>41281</v>
      </c>
      <c r="G65" s="1395">
        <v>3.03</v>
      </c>
      <c r="H65" s="1395">
        <v>3.03</v>
      </c>
      <c r="I65" s="1396"/>
      <c r="J65" s="1396"/>
      <c r="K65" s="1394">
        <v>41281</v>
      </c>
      <c r="L65" s="1397"/>
      <c r="M65" s="1397"/>
      <c r="N65" s="1397"/>
      <c r="O65" s="1407"/>
      <c r="P65" s="1533">
        <v>2.1444315660000002</v>
      </c>
      <c r="Q65" s="1542"/>
      <c r="R65" s="1542"/>
      <c r="S65" s="1542"/>
      <c r="T65" s="1542">
        <f t="shared" si="2"/>
        <v>2.1444315660000002</v>
      </c>
      <c r="U65" s="1556">
        <v>0.16887620400000003</v>
      </c>
      <c r="V65" s="1556">
        <v>0.16907389999999989</v>
      </c>
      <c r="W65" s="1555"/>
      <c r="X65" s="1555"/>
      <c r="Y65" s="1555"/>
      <c r="Z65" s="1555"/>
      <c r="AA65" s="1555"/>
      <c r="AB65" s="1555"/>
      <c r="AC65" s="1538"/>
      <c r="AD65" s="1538"/>
      <c r="AE65" s="1538"/>
      <c r="AF65" s="1538"/>
      <c r="AG65" s="1538"/>
      <c r="AH65" s="1538"/>
      <c r="AI65" s="1538"/>
      <c r="AJ65" s="1533">
        <v>2.1444315660000002</v>
      </c>
      <c r="AK65" s="1533"/>
      <c r="AL65" s="1533"/>
      <c r="AM65" s="1533"/>
      <c r="AN65" s="1523">
        <f t="shared" si="3"/>
        <v>2.1444315660000002</v>
      </c>
      <c r="AO65" s="1537">
        <v>0.168876204</v>
      </c>
      <c r="AP65" s="1537">
        <v>0.1690739</v>
      </c>
      <c r="AQ65" s="320"/>
      <c r="AR65" s="320"/>
      <c r="AS65" s="320"/>
      <c r="AT65" s="320"/>
      <c r="AU65" s="320"/>
      <c r="AV65" s="320"/>
      <c r="AW65" s="320"/>
      <c r="AX65" s="161"/>
      <c r="AY65" s="1540" t="s">
        <v>940</v>
      </c>
    </row>
    <row r="66" spans="1:51" ht="15.5" outlineLevel="1" x14ac:dyDescent="0.25">
      <c r="A66" s="1484">
        <v>10.3</v>
      </c>
      <c r="B66" s="1485" t="s">
        <v>1660</v>
      </c>
      <c r="C66" s="1535" t="s">
        <v>936</v>
      </c>
      <c r="D66" s="1484" t="str">
        <f t="shared" si="11"/>
        <v>MERC/CAPEX/20122013/02104</v>
      </c>
      <c r="E66" s="1536">
        <f t="shared" si="11"/>
        <v>41169</v>
      </c>
      <c r="F66" s="1394">
        <f>IF(F65=0,"-",F65)</f>
        <v>41281</v>
      </c>
      <c r="G66" s="1395">
        <v>3.6</v>
      </c>
      <c r="H66" s="1395">
        <v>3.6</v>
      </c>
      <c r="I66" s="1396"/>
      <c r="J66" s="1396"/>
      <c r="K66" s="1394">
        <v>41281</v>
      </c>
      <c r="L66" s="1397"/>
      <c r="M66" s="1397"/>
      <c r="N66" s="1397"/>
      <c r="O66" s="1407"/>
      <c r="P66" s="1533">
        <v>4.4210943270000005</v>
      </c>
      <c r="Q66" s="1542"/>
      <c r="R66" s="1542"/>
      <c r="S66" s="1542"/>
      <c r="T66" s="1542">
        <f t="shared" si="2"/>
        <v>4.4210943270000005</v>
      </c>
      <c r="U66" s="1555"/>
      <c r="V66" s="1555"/>
      <c r="W66" s="1555"/>
      <c r="X66" s="1555"/>
      <c r="Y66" s="1555"/>
      <c r="Z66" s="1555"/>
      <c r="AA66" s="1555"/>
      <c r="AB66" s="1555"/>
      <c r="AC66" s="1538"/>
      <c r="AD66" s="1538"/>
      <c r="AE66" s="1538"/>
      <c r="AF66" s="1538"/>
      <c r="AG66" s="1538"/>
      <c r="AH66" s="1538"/>
      <c r="AI66" s="1538"/>
      <c r="AJ66" s="1533">
        <v>4.4210943270000005</v>
      </c>
      <c r="AK66" s="1533"/>
      <c r="AL66" s="1533"/>
      <c r="AM66" s="1533"/>
      <c r="AN66" s="1523">
        <f t="shared" si="3"/>
        <v>4.4210943270000005</v>
      </c>
      <c r="AO66" s="320"/>
      <c r="AP66" s="320"/>
      <c r="AQ66" s="320"/>
      <c r="AR66" s="320"/>
      <c r="AS66" s="320"/>
      <c r="AT66" s="320"/>
      <c r="AU66" s="320"/>
      <c r="AV66" s="320"/>
      <c r="AW66" s="320"/>
      <c r="AX66" s="161"/>
      <c r="AY66" s="1540" t="s">
        <v>940</v>
      </c>
    </row>
    <row r="67" spans="1:51" ht="15.5" outlineLevel="1" x14ac:dyDescent="0.25">
      <c r="A67" s="1484"/>
      <c r="B67" s="1485" t="s">
        <v>414</v>
      </c>
      <c r="C67" s="1535" t="s">
        <v>414</v>
      </c>
      <c r="D67" s="1484" t="str">
        <f t="shared" si="11"/>
        <v>MERC/CAPEX/20122013/02104</v>
      </c>
      <c r="E67" s="1536">
        <f t="shared" si="11"/>
        <v>41169</v>
      </c>
      <c r="F67" s="1394">
        <f>IF(F66=0,"-",F66)</f>
        <v>41281</v>
      </c>
      <c r="G67" s="1395">
        <v>1.5</v>
      </c>
      <c r="H67" s="1395">
        <v>1.5</v>
      </c>
      <c r="I67" s="1396"/>
      <c r="J67" s="1396"/>
      <c r="K67" s="1394">
        <v>41281</v>
      </c>
      <c r="L67" s="1397"/>
      <c r="M67" s="1397"/>
      <c r="N67" s="1397"/>
      <c r="O67" s="1407"/>
      <c r="P67" s="1533"/>
      <c r="Q67" s="1542"/>
      <c r="R67" s="1542"/>
      <c r="S67" s="1542"/>
      <c r="T67" s="1542">
        <f t="shared" si="2"/>
        <v>0</v>
      </c>
      <c r="U67" s="1555"/>
      <c r="V67" s="1555"/>
      <c r="W67" s="1555"/>
      <c r="X67" s="1555"/>
      <c r="Y67" s="1555"/>
      <c r="Z67" s="1555"/>
      <c r="AA67" s="1555"/>
      <c r="AB67" s="1555"/>
      <c r="AC67" s="1538"/>
      <c r="AD67" s="1538"/>
      <c r="AE67" s="1538"/>
      <c r="AF67" s="1538"/>
      <c r="AG67" s="1538"/>
      <c r="AH67" s="1538"/>
      <c r="AI67" s="1538"/>
      <c r="AJ67" s="1533"/>
      <c r="AK67" s="1533"/>
      <c r="AL67" s="1533"/>
      <c r="AM67" s="1533"/>
      <c r="AN67" s="1523">
        <f t="shared" si="3"/>
        <v>0</v>
      </c>
      <c r="AO67" s="320"/>
      <c r="AP67" s="320"/>
      <c r="AQ67" s="320"/>
      <c r="AR67" s="320"/>
      <c r="AS67" s="320"/>
      <c r="AT67" s="320"/>
      <c r="AU67" s="320"/>
      <c r="AV67" s="320"/>
      <c r="AW67" s="320"/>
      <c r="AX67" s="161"/>
      <c r="AY67" s="1540"/>
    </row>
    <row r="68" spans="1:51" s="1530" customFormat="1" ht="31" outlineLevel="1" x14ac:dyDescent="0.25">
      <c r="A68" s="1477">
        <v>11</v>
      </c>
      <c r="B68" s="1478" t="s">
        <v>1661</v>
      </c>
      <c r="C68" s="1477" t="s">
        <v>928</v>
      </c>
      <c r="D68" s="1477" t="s">
        <v>1662</v>
      </c>
      <c r="E68" s="1479">
        <v>41178</v>
      </c>
      <c r="F68" s="1479">
        <v>41382</v>
      </c>
      <c r="G68" s="1380">
        <f>SUM(G69:G78)</f>
        <v>54.197924999999991</v>
      </c>
      <c r="H68" s="1380">
        <f>SUM(H69:H78)</f>
        <v>54.197924999999991</v>
      </c>
      <c r="I68" s="563"/>
      <c r="J68" s="563"/>
      <c r="K68" s="1390">
        <v>41382</v>
      </c>
      <c r="L68" s="1391"/>
      <c r="M68" s="1391"/>
      <c r="N68" s="1391"/>
      <c r="O68" s="1402"/>
      <c r="P68" s="1523"/>
      <c r="Q68" s="1524"/>
      <c r="R68" s="1524"/>
      <c r="S68" s="1524"/>
      <c r="T68" s="1524">
        <f t="shared" si="2"/>
        <v>0</v>
      </c>
      <c r="U68" s="1525"/>
      <c r="V68" s="1525"/>
      <c r="W68" s="1392"/>
      <c r="X68" s="1392"/>
      <c r="Y68" s="1392"/>
      <c r="Z68" s="1392"/>
      <c r="AA68" s="1392"/>
      <c r="AB68" s="1392"/>
      <c r="AC68" s="1526"/>
      <c r="AD68" s="1526"/>
      <c r="AE68" s="1526"/>
      <c r="AF68" s="1526"/>
      <c r="AG68" s="1526"/>
      <c r="AH68" s="1526"/>
      <c r="AI68" s="1526"/>
      <c r="AJ68" s="1523"/>
      <c r="AK68" s="1523"/>
      <c r="AL68" s="1523"/>
      <c r="AM68" s="1523"/>
      <c r="AN68" s="1523">
        <f t="shared" si="3"/>
        <v>0</v>
      </c>
      <c r="AO68" s="1527"/>
      <c r="AP68" s="1527"/>
      <c r="AQ68" s="1527"/>
      <c r="AR68" s="1527"/>
      <c r="AS68" s="1527"/>
      <c r="AT68" s="1527"/>
      <c r="AU68" s="1527"/>
      <c r="AV68" s="1527"/>
      <c r="AW68" s="1527"/>
      <c r="AX68" s="563"/>
      <c r="AY68" s="1393" t="s">
        <v>941</v>
      </c>
    </row>
    <row r="69" spans="1:51" s="1530" customFormat="1" ht="31" outlineLevel="1" x14ac:dyDescent="0.25">
      <c r="A69" s="1482">
        <v>11.1</v>
      </c>
      <c r="B69" s="1483" t="s">
        <v>1663</v>
      </c>
      <c r="C69" s="1531" t="s">
        <v>936</v>
      </c>
      <c r="D69" s="1482" t="str">
        <f t="shared" ref="D69:E78" si="12">D68</f>
        <v>MERC/TECH 1/CAPEX/20122013/00190</v>
      </c>
      <c r="E69" s="1532">
        <f t="shared" si="12"/>
        <v>41178</v>
      </c>
      <c r="F69" s="1390">
        <f t="shared" ref="F69:F78" si="13">IF(F68=0,"-",F68)</f>
        <v>41382</v>
      </c>
      <c r="G69" s="565">
        <v>12.3</v>
      </c>
      <c r="H69" s="565">
        <v>12.3</v>
      </c>
      <c r="I69" s="563"/>
      <c r="J69" s="563"/>
      <c r="K69" s="1390">
        <v>41382</v>
      </c>
      <c r="L69" s="1391"/>
      <c r="M69" s="1391"/>
      <c r="N69" s="1391"/>
      <c r="O69" s="1402"/>
      <c r="P69" s="1533">
        <v>0</v>
      </c>
      <c r="Q69" s="1542"/>
      <c r="R69" s="1542"/>
      <c r="S69" s="1542"/>
      <c r="T69" s="1542">
        <f t="shared" si="2"/>
        <v>0</v>
      </c>
      <c r="U69" s="1542"/>
      <c r="V69" s="1542"/>
      <c r="W69" s="1542"/>
      <c r="X69" s="1542"/>
      <c r="Y69" s="1542"/>
      <c r="Z69" s="1542"/>
      <c r="AA69" s="1542"/>
      <c r="AB69" s="1542"/>
      <c r="AC69" s="1526"/>
      <c r="AD69" s="1526"/>
      <c r="AE69" s="1526"/>
      <c r="AF69" s="1526"/>
      <c r="AG69" s="1526"/>
      <c r="AH69" s="1526"/>
      <c r="AI69" s="1526"/>
      <c r="AJ69" s="1533">
        <v>0</v>
      </c>
      <c r="AK69" s="1533"/>
      <c r="AL69" s="1533"/>
      <c r="AM69" s="1533"/>
      <c r="AN69" s="1523">
        <f t="shared" si="3"/>
        <v>0</v>
      </c>
      <c r="AO69" s="1533"/>
      <c r="AP69" s="1533"/>
      <c r="AQ69" s="1533"/>
      <c r="AR69" s="1533"/>
      <c r="AS69" s="1533"/>
      <c r="AT69" s="1533"/>
      <c r="AU69" s="1533"/>
      <c r="AV69" s="1533"/>
      <c r="AW69" s="1533"/>
      <c r="AX69" s="563"/>
      <c r="AY69" s="1534" t="s">
        <v>941</v>
      </c>
    </row>
    <row r="70" spans="1:51" s="1530" customFormat="1" ht="31" outlineLevel="1" x14ac:dyDescent="0.25">
      <c r="A70" s="1482">
        <v>11.2</v>
      </c>
      <c r="B70" s="1483" t="s">
        <v>1664</v>
      </c>
      <c r="C70" s="1531" t="s">
        <v>936</v>
      </c>
      <c r="D70" s="1482" t="str">
        <f t="shared" si="12"/>
        <v>MERC/TECH 1/CAPEX/20122013/00190</v>
      </c>
      <c r="E70" s="1532">
        <f t="shared" si="12"/>
        <v>41178</v>
      </c>
      <c r="F70" s="1390">
        <f t="shared" si="13"/>
        <v>41382</v>
      </c>
      <c r="G70" s="565">
        <v>6.1</v>
      </c>
      <c r="H70" s="565">
        <v>6.1</v>
      </c>
      <c r="I70" s="563"/>
      <c r="J70" s="563"/>
      <c r="K70" s="1390">
        <v>41382</v>
      </c>
      <c r="L70" s="1391"/>
      <c r="M70" s="1391"/>
      <c r="N70" s="1391"/>
      <c r="O70" s="1402"/>
      <c r="P70" s="1533">
        <v>0</v>
      </c>
      <c r="Q70" s="1542"/>
      <c r="R70" s="1542"/>
      <c r="S70" s="1542"/>
      <c r="T70" s="1542">
        <f t="shared" si="2"/>
        <v>0</v>
      </c>
      <c r="U70" s="1542"/>
      <c r="V70" s="1542"/>
      <c r="W70" s="1542"/>
      <c r="X70" s="1542"/>
      <c r="Y70" s="1542"/>
      <c r="Z70" s="1542"/>
      <c r="AA70" s="1542"/>
      <c r="AB70" s="1542"/>
      <c r="AC70" s="1526"/>
      <c r="AD70" s="1526"/>
      <c r="AE70" s="1526"/>
      <c r="AF70" s="1526"/>
      <c r="AG70" s="1526"/>
      <c r="AH70" s="1526"/>
      <c r="AI70" s="1526"/>
      <c r="AJ70" s="1533">
        <v>0</v>
      </c>
      <c r="AK70" s="1533"/>
      <c r="AL70" s="1533"/>
      <c r="AM70" s="1533"/>
      <c r="AN70" s="1523">
        <f t="shared" si="3"/>
        <v>0</v>
      </c>
      <c r="AO70" s="1533"/>
      <c r="AP70" s="1533"/>
      <c r="AQ70" s="1533"/>
      <c r="AR70" s="1533"/>
      <c r="AS70" s="1533"/>
      <c r="AT70" s="1533"/>
      <c r="AU70" s="1533"/>
      <c r="AV70" s="1533"/>
      <c r="AW70" s="1533"/>
      <c r="AX70" s="563"/>
      <c r="AY70" s="1534" t="s">
        <v>941</v>
      </c>
    </row>
    <row r="71" spans="1:51" s="1530" customFormat="1" ht="31" outlineLevel="1" x14ac:dyDescent="0.25">
      <c r="A71" s="1482">
        <v>11.3</v>
      </c>
      <c r="B71" s="1483" t="s">
        <v>1665</v>
      </c>
      <c r="C71" s="1531" t="s">
        <v>936</v>
      </c>
      <c r="D71" s="1482" t="str">
        <f t="shared" si="12"/>
        <v>MERC/TECH 1/CAPEX/20122013/00190</v>
      </c>
      <c r="E71" s="1532">
        <f t="shared" si="12"/>
        <v>41178</v>
      </c>
      <c r="F71" s="1390">
        <f t="shared" si="13"/>
        <v>41382</v>
      </c>
      <c r="G71" s="565">
        <v>8.0749999999999993</v>
      </c>
      <c r="H71" s="565">
        <v>8.0749999999999993</v>
      </c>
      <c r="I71" s="563"/>
      <c r="J71" s="563"/>
      <c r="K71" s="1390">
        <v>41382</v>
      </c>
      <c r="L71" s="1391"/>
      <c r="M71" s="1391"/>
      <c r="N71" s="1391"/>
      <c r="O71" s="1402"/>
      <c r="P71" s="1533">
        <v>0</v>
      </c>
      <c r="Q71" s="1542"/>
      <c r="R71" s="1542"/>
      <c r="S71" s="1542"/>
      <c r="T71" s="1542">
        <f t="shared" si="2"/>
        <v>0</v>
      </c>
      <c r="U71" s="1542"/>
      <c r="V71" s="1542"/>
      <c r="W71" s="1542"/>
      <c r="X71" s="1542"/>
      <c r="Y71" s="1542"/>
      <c r="Z71" s="1542"/>
      <c r="AA71" s="1542"/>
      <c r="AB71" s="1542"/>
      <c r="AC71" s="1526"/>
      <c r="AD71" s="1526"/>
      <c r="AE71" s="1526"/>
      <c r="AF71" s="1526"/>
      <c r="AG71" s="1526"/>
      <c r="AH71" s="1526"/>
      <c r="AI71" s="1526"/>
      <c r="AJ71" s="1533">
        <v>0</v>
      </c>
      <c r="AK71" s="1533"/>
      <c r="AL71" s="1533"/>
      <c r="AM71" s="1533"/>
      <c r="AN71" s="1523">
        <f t="shared" si="3"/>
        <v>0</v>
      </c>
      <c r="AO71" s="1533"/>
      <c r="AP71" s="1533"/>
      <c r="AQ71" s="1533"/>
      <c r="AR71" s="1533"/>
      <c r="AS71" s="1533"/>
      <c r="AT71" s="1533"/>
      <c r="AU71" s="1533"/>
      <c r="AV71" s="1533"/>
      <c r="AW71" s="1533"/>
      <c r="AX71" s="563"/>
      <c r="AY71" s="1534" t="s">
        <v>941</v>
      </c>
    </row>
    <row r="72" spans="1:51" s="1530" customFormat="1" ht="31" outlineLevel="1" x14ac:dyDescent="0.25">
      <c r="A72" s="1482">
        <v>11.4</v>
      </c>
      <c r="B72" s="1483" t="s">
        <v>1666</v>
      </c>
      <c r="C72" s="1531" t="s">
        <v>936</v>
      </c>
      <c r="D72" s="1482" t="str">
        <f t="shared" si="12"/>
        <v>MERC/TECH 1/CAPEX/20122013/00190</v>
      </c>
      <c r="E72" s="1532">
        <f t="shared" si="12"/>
        <v>41178</v>
      </c>
      <c r="F72" s="1390">
        <f t="shared" si="13"/>
        <v>41382</v>
      </c>
      <c r="G72" s="565">
        <v>16</v>
      </c>
      <c r="H72" s="565">
        <v>16</v>
      </c>
      <c r="I72" s="563"/>
      <c r="J72" s="563"/>
      <c r="K72" s="1390">
        <v>41382</v>
      </c>
      <c r="L72" s="1391"/>
      <c r="M72" s="1391"/>
      <c r="N72" s="1391"/>
      <c r="O72" s="1402"/>
      <c r="P72" s="1533">
        <v>0</v>
      </c>
      <c r="Q72" s="1542"/>
      <c r="R72" s="1542"/>
      <c r="S72" s="1542"/>
      <c r="T72" s="1542">
        <f t="shared" ref="T72:T135" si="14">SUM(P72:S72)</f>
        <v>0</v>
      </c>
      <c r="U72" s="1542"/>
      <c r="V72" s="1542"/>
      <c r="W72" s="1542"/>
      <c r="X72" s="1542"/>
      <c r="Y72" s="1542"/>
      <c r="Z72" s="1542"/>
      <c r="AA72" s="1542"/>
      <c r="AB72" s="1542"/>
      <c r="AC72" s="1526"/>
      <c r="AD72" s="1526"/>
      <c r="AE72" s="1526"/>
      <c r="AF72" s="1526"/>
      <c r="AG72" s="1526"/>
      <c r="AH72" s="1526"/>
      <c r="AI72" s="1526"/>
      <c r="AJ72" s="1533">
        <v>0</v>
      </c>
      <c r="AK72" s="1533"/>
      <c r="AL72" s="1533"/>
      <c r="AM72" s="1533"/>
      <c r="AN72" s="1523">
        <f t="shared" ref="AN72:AN135" si="15">SUM(AJ72:AM72)</f>
        <v>0</v>
      </c>
      <c r="AO72" s="1533"/>
      <c r="AP72" s="1533"/>
      <c r="AQ72" s="1533"/>
      <c r="AR72" s="1533"/>
      <c r="AS72" s="1533"/>
      <c r="AT72" s="1533"/>
      <c r="AU72" s="1533"/>
      <c r="AV72" s="1533"/>
      <c r="AW72" s="1533"/>
      <c r="AX72" s="563"/>
      <c r="AY72" s="1534" t="s">
        <v>941</v>
      </c>
    </row>
    <row r="73" spans="1:51" s="1530" customFormat="1" ht="31" outlineLevel="1" x14ac:dyDescent="0.25">
      <c r="A73" s="1482">
        <v>11.5</v>
      </c>
      <c r="B73" s="1483" t="s">
        <v>1667</v>
      </c>
      <c r="C73" s="1531" t="s">
        <v>936</v>
      </c>
      <c r="D73" s="1482" t="str">
        <f t="shared" si="12"/>
        <v>MERC/TECH 1/CAPEX/20122013/00190</v>
      </c>
      <c r="E73" s="1532">
        <f t="shared" si="12"/>
        <v>41178</v>
      </c>
      <c r="F73" s="1390">
        <f t="shared" si="13"/>
        <v>41382</v>
      </c>
      <c r="G73" s="565">
        <v>0.45950000000000002</v>
      </c>
      <c r="H73" s="565">
        <v>0.45950000000000002</v>
      </c>
      <c r="I73" s="563"/>
      <c r="J73" s="563"/>
      <c r="K73" s="1390">
        <v>41382</v>
      </c>
      <c r="L73" s="1391"/>
      <c r="M73" s="1391"/>
      <c r="N73" s="1391"/>
      <c r="O73" s="1402"/>
      <c r="P73" s="1533">
        <v>0</v>
      </c>
      <c r="Q73" s="1542"/>
      <c r="R73" s="1542"/>
      <c r="S73" s="1542"/>
      <c r="T73" s="1542">
        <f t="shared" si="14"/>
        <v>0</v>
      </c>
      <c r="U73" s="1542"/>
      <c r="V73" s="1542"/>
      <c r="W73" s="1542"/>
      <c r="X73" s="1542"/>
      <c r="Y73" s="1542"/>
      <c r="Z73" s="1542"/>
      <c r="AA73" s="1542"/>
      <c r="AB73" s="1542"/>
      <c r="AC73" s="1526"/>
      <c r="AD73" s="1526"/>
      <c r="AE73" s="1526"/>
      <c r="AF73" s="1526"/>
      <c r="AG73" s="1526"/>
      <c r="AH73" s="1526"/>
      <c r="AI73" s="1526"/>
      <c r="AJ73" s="1533">
        <v>0</v>
      </c>
      <c r="AK73" s="1533"/>
      <c r="AL73" s="1533"/>
      <c r="AM73" s="1533"/>
      <c r="AN73" s="1523">
        <f t="shared" si="15"/>
        <v>0</v>
      </c>
      <c r="AO73" s="1533"/>
      <c r="AP73" s="1533"/>
      <c r="AQ73" s="1533"/>
      <c r="AR73" s="1533"/>
      <c r="AS73" s="1533"/>
      <c r="AT73" s="1533"/>
      <c r="AU73" s="1533"/>
      <c r="AV73" s="1533"/>
      <c r="AW73" s="1533"/>
      <c r="AX73" s="563"/>
      <c r="AY73" s="1534" t="s">
        <v>941</v>
      </c>
    </row>
    <row r="74" spans="1:51" s="1530" customFormat="1" ht="31" outlineLevel="1" x14ac:dyDescent="0.25">
      <c r="A74" s="1482">
        <v>11.6</v>
      </c>
      <c r="B74" s="1483" t="s">
        <v>1668</v>
      </c>
      <c r="C74" s="1531" t="s">
        <v>936</v>
      </c>
      <c r="D74" s="1482" t="str">
        <f t="shared" si="12"/>
        <v>MERC/TECH 1/CAPEX/20122013/00190</v>
      </c>
      <c r="E74" s="1532">
        <f t="shared" si="12"/>
        <v>41178</v>
      </c>
      <c r="F74" s="1390">
        <f t="shared" si="13"/>
        <v>41382</v>
      </c>
      <c r="G74" s="565">
        <v>0.83</v>
      </c>
      <c r="H74" s="565">
        <v>0.83</v>
      </c>
      <c r="I74" s="563"/>
      <c r="J74" s="563"/>
      <c r="K74" s="1390">
        <v>41382</v>
      </c>
      <c r="L74" s="1391"/>
      <c r="M74" s="1391"/>
      <c r="N74" s="1391"/>
      <c r="O74" s="1402"/>
      <c r="P74" s="1533">
        <v>0</v>
      </c>
      <c r="Q74" s="1542"/>
      <c r="R74" s="1542"/>
      <c r="S74" s="1542"/>
      <c r="T74" s="1542">
        <f t="shared" si="14"/>
        <v>0</v>
      </c>
      <c r="U74" s="1542"/>
      <c r="V74" s="1542"/>
      <c r="W74" s="1542"/>
      <c r="X74" s="1542"/>
      <c r="Y74" s="1542"/>
      <c r="Z74" s="1542"/>
      <c r="AA74" s="1542"/>
      <c r="AB74" s="1542"/>
      <c r="AC74" s="1526"/>
      <c r="AD74" s="1526"/>
      <c r="AE74" s="1526"/>
      <c r="AF74" s="1526"/>
      <c r="AG74" s="1526"/>
      <c r="AH74" s="1526"/>
      <c r="AI74" s="1526"/>
      <c r="AJ74" s="1533">
        <v>0</v>
      </c>
      <c r="AK74" s="1533"/>
      <c r="AL74" s="1533"/>
      <c r="AM74" s="1533"/>
      <c r="AN74" s="1523">
        <f t="shared" si="15"/>
        <v>0</v>
      </c>
      <c r="AO74" s="1533"/>
      <c r="AP74" s="1533"/>
      <c r="AQ74" s="1533"/>
      <c r="AR74" s="1533"/>
      <c r="AS74" s="1533"/>
      <c r="AT74" s="1533"/>
      <c r="AU74" s="1533"/>
      <c r="AV74" s="1533"/>
      <c r="AW74" s="1533"/>
      <c r="AX74" s="563"/>
      <c r="AY74" s="1534" t="s">
        <v>941</v>
      </c>
    </row>
    <row r="75" spans="1:51" s="1530" customFormat="1" ht="31" outlineLevel="1" x14ac:dyDescent="0.25">
      <c r="A75" s="1482">
        <v>11.7</v>
      </c>
      <c r="B75" s="1483" t="s">
        <v>1669</v>
      </c>
      <c r="C75" s="1531" t="s">
        <v>936</v>
      </c>
      <c r="D75" s="1482" t="str">
        <f t="shared" si="12"/>
        <v>MERC/TECH 1/CAPEX/20122013/00190</v>
      </c>
      <c r="E75" s="1532">
        <f t="shared" si="12"/>
        <v>41178</v>
      </c>
      <c r="F75" s="1390">
        <f t="shared" si="13"/>
        <v>41382</v>
      </c>
      <c r="G75" s="565">
        <v>0.6</v>
      </c>
      <c r="H75" s="565">
        <v>0.6</v>
      </c>
      <c r="I75" s="563"/>
      <c r="J75" s="563"/>
      <c r="K75" s="1390">
        <v>41382</v>
      </c>
      <c r="L75" s="1391"/>
      <c r="M75" s="1391"/>
      <c r="N75" s="1391"/>
      <c r="O75" s="1402"/>
      <c r="P75" s="1533">
        <v>0</v>
      </c>
      <c r="Q75" s="1542"/>
      <c r="R75" s="1542"/>
      <c r="S75" s="1542"/>
      <c r="T75" s="1542">
        <f t="shared" si="14"/>
        <v>0</v>
      </c>
      <c r="U75" s="1542"/>
      <c r="V75" s="1542"/>
      <c r="W75" s="1542"/>
      <c r="X75" s="1542"/>
      <c r="Y75" s="1542"/>
      <c r="Z75" s="1542"/>
      <c r="AA75" s="1542"/>
      <c r="AB75" s="1542"/>
      <c r="AC75" s="1526"/>
      <c r="AD75" s="1526"/>
      <c r="AE75" s="1526"/>
      <c r="AF75" s="1526"/>
      <c r="AG75" s="1526"/>
      <c r="AH75" s="1526"/>
      <c r="AI75" s="1526"/>
      <c r="AJ75" s="1533">
        <v>0</v>
      </c>
      <c r="AK75" s="1533"/>
      <c r="AL75" s="1533"/>
      <c r="AM75" s="1533"/>
      <c r="AN75" s="1523">
        <f t="shared" si="15"/>
        <v>0</v>
      </c>
      <c r="AO75" s="1533"/>
      <c r="AP75" s="1533"/>
      <c r="AQ75" s="1533"/>
      <c r="AR75" s="1533"/>
      <c r="AS75" s="1533"/>
      <c r="AT75" s="1533"/>
      <c r="AU75" s="1533"/>
      <c r="AV75" s="1533"/>
      <c r="AW75" s="1533"/>
      <c r="AX75" s="563"/>
      <c r="AY75" s="1534" t="s">
        <v>941</v>
      </c>
    </row>
    <row r="76" spans="1:51" s="1530" customFormat="1" ht="31" outlineLevel="1" x14ac:dyDescent="0.25">
      <c r="A76" s="1482">
        <v>11.8</v>
      </c>
      <c r="B76" s="1483" t="s">
        <v>1670</v>
      </c>
      <c r="C76" s="1531" t="s">
        <v>936</v>
      </c>
      <c r="D76" s="1482" t="str">
        <f t="shared" si="12"/>
        <v>MERC/TECH 1/CAPEX/20122013/00190</v>
      </c>
      <c r="E76" s="1532">
        <f t="shared" si="12"/>
        <v>41178</v>
      </c>
      <c r="F76" s="1390">
        <f t="shared" si="13"/>
        <v>41382</v>
      </c>
      <c r="G76" s="565">
        <v>2.8674249999999999</v>
      </c>
      <c r="H76" s="565">
        <v>2.8674249999999999</v>
      </c>
      <c r="I76" s="563"/>
      <c r="J76" s="563"/>
      <c r="K76" s="1390">
        <v>41382</v>
      </c>
      <c r="L76" s="1391"/>
      <c r="M76" s="1391"/>
      <c r="N76" s="1391"/>
      <c r="O76" s="1402"/>
      <c r="P76" s="1533">
        <v>0</v>
      </c>
      <c r="Q76" s="1542"/>
      <c r="R76" s="1542"/>
      <c r="S76" s="1542"/>
      <c r="T76" s="1542">
        <f t="shared" si="14"/>
        <v>0</v>
      </c>
      <c r="U76" s="1542"/>
      <c r="V76" s="1542"/>
      <c r="W76" s="1542"/>
      <c r="X76" s="1542"/>
      <c r="Y76" s="1542"/>
      <c r="Z76" s="1542"/>
      <c r="AA76" s="1542"/>
      <c r="AB76" s="1542"/>
      <c r="AC76" s="1526"/>
      <c r="AD76" s="1526"/>
      <c r="AE76" s="1526"/>
      <c r="AF76" s="1526"/>
      <c r="AG76" s="1526"/>
      <c r="AH76" s="1526"/>
      <c r="AI76" s="1526"/>
      <c r="AJ76" s="1533">
        <v>0</v>
      </c>
      <c r="AK76" s="1533"/>
      <c r="AL76" s="1533"/>
      <c r="AM76" s="1533"/>
      <c r="AN76" s="1523">
        <f t="shared" si="15"/>
        <v>0</v>
      </c>
      <c r="AO76" s="1533"/>
      <c r="AP76" s="1533"/>
      <c r="AQ76" s="1533"/>
      <c r="AR76" s="1533"/>
      <c r="AS76" s="1533"/>
      <c r="AT76" s="1533"/>
      <c r="AU76" s="1533"/>
      <c r="AV76" s="1533"/>
      <c r="AW76" s="1533"/>
      <c r="AX76" s="563"/>
      <c r="AY76" s="1534" t="s">
        <v>941</v>
      </c>
    </row>
    <row r="77" spans="1:51" s="1530" customFormat="1" ht="31" outlineLevel="1" x14ac:dyDescent="0.25">
      <c r="A77" s="1482">
        <v>11.9</v>
      </c>
      <c r="B77" s="1483" t="s">
        <v>1671</v>
      </c>
      <c r="C77" s="1531" t="s">
        <v>936</v>
      </c>
      <c r="D77" s="1482" t="str">
        <f t="shared" si="12"/>
        <v>MERC/TECH 1/CAPEX/20122013/00190</v>
      </c>
      <c r="E77" s="1532">
        <f t="shared" si="12"/>
        <v>41178</v>
      </c>
      <c r="F77" s="1390">
        <f t="shared" si="13"/>
        <v>41382</v>
      </c>
      <c r="G77" s="565">
        <v>3.8959999999999999</v>
      </c>
      <c r="H77" s="565">
        <v>3.8959999999999999</v>
      </c>
      <c r="I77" s="563"/>
      <c r="J77" s="563"/>
      <c r="K77" s="1390">
        <v>41382</v>
      </c>
      <c r="L77" s="1391"/>
      <c r="M77" s="1391"/>
      <c r="N77" s="1391"/>
      <c r="O77" s="1402"/>
      <c r="P77" s="1533">
        <v>0</v>
      </c>
      <c r="Q77" s="1542"/>
      <c r="R77" s="1542"/>
      <c r="S77" s="1542"/>
      <c r="T77" s="1542">
        <f t="shared" si="14"/>
        <v>0</v>
      </c>
      <c r="U77" s="1542"/>
      <c r="V77" s="1542"/>
      <c r="W77" s="1542"/>
      <c r="X77" s="1542"/>
      <c r="Y77" s="1542"/>
      <c r="Z77" s="1542"/>
      <c r="AA77" s="1542"/>
      <c r="AB77" s="1542"/>
      <c r="AC77" s="1526"/>
      <c r="AD77" s="1526"/>
      <c r="AE77" s="1526"/>
      <c r="AF77" s="1526"/>
      <c r="AG77" s="1526"/>
      <c r="AH77" s="1526"/>
      <c r="AI77" s="1526"/>
      <c r="AJ77" s="1533">
        <v>0</v>
      </c>
      <c r="AK77" s="1533"/>
      <c r="AL77" s="1533"/>
      <c r="AM77" s="1533"/>
      <c r="AN77" s="1523">
        <f t="shared" si="15"/>
        <v>0</v>
      </c>
      <c r="AO77" s="1533"/>
      <c r="AP77" s="1533"/>
      <c r="AQ77" s="1533"/>
      <c r="AR77" s="1533"/>
      <c r="AS77" s="1533"/>
      <c r="AT77" s="1533"/>
      <c r="AU77" s="1533"/>
      <c r="AV77" s="1533"/>
      <c r="AW77" s="1533"/>
      <c r="AX77" s="563"/>
      <c r="AY77" s="1534" t="s">
        <v>941</v>
      </c>
    </row>
    <row r="78" spans="1:51" s="1530" customFormat="1" ht="31" outlineLevel="1" x14ac:dyDescent="0.25">
      <c r="A78" s="1482"/>
      <c r="B78" s="1483" t="s">
        <v>414</v>
      </c>
      <c r="C78" s="1531" t="s">
        <v>414</v>
      </c>
      <c r="D78" s="1482" t="str">
        <f t="shared" si="12"/>
        <v>MERC/TECH 1/CAPEX/20122013/00190</v>
      </c>
      <c r="E78" s="1532">
        <f t="shared" si="12"/>
        <v>41178</v>
      </c>
      <c r="F78" s="1390">
        <f t="shared" si="13"/>
        <v>41382</v>
      </c>
      <c r="G78" s="565">
        <v>3.07</v>
      </c>
      <c r="H78" s="565">
        <v>3.07</v>
      </c>
      <c r="I78" s="563"/>
      <c r="J78" s="563"/>
      <c r="K78" s="1390">
        <v>41382</v>
      </c>
      <c r="L78" s="1391"/>
      <c r="M78" s="1391"/>
      <c r="N78" s="1391"/>
      <c r="O78" s="1402"/>
      <c r="P78" s="1533"/>
      <c r="Q78" s="1542"/>
      <c r="R78" s="1542"/>
      <c r="S78" s="1542"/>
      <c r="T78" s="1542">
        <f t="shared" si="14"/>
        <v>0</v>
      </c>
      <c r="U78" s="1542"/>
      <c r="V78" s="1542"/>
      <c r="W78" s="1542"/>
      <c r="X78" s="1542"/>
      <c r="Y78" s="1542"/>
      <c r="Z78" s="1542"/>
      <c r="AA78" s="1542"/>
      <c r="AB78" s="1542"/>
      <c r="AC78" s="1526"/>
      <c r="AD78" s="1526"/>
      <c r="AE78" s="1526"/>
      <c r="AF78" s="1526"/>
      <c r="AG78" s="1526"/>
      <c r="AH78" s="1526"/>
      <c r="AI78" s="1526"/>
      <c r="AJ78" s="1533"/>
      <c r="AK78" s="1533"/>
      <c r="AL78" s="1533"/>
      <c r="AM78" s="1533"/>
      <c r="AN78" s="1523">
        <f t="shared" si="15"/>
        <v>0</v>
      </c>
      <c r="AO78" s="1533"/>
      <c r="AP78" s="1533"/>
      <c r="AQ78" s="1533"/>
      <c r="AR78" s="1533"/>
      <c r="AS78" s="1533"/>
      <c r="AT78" s="1533"/>
      <c r="AU78" s="1533"/>
      <c r="AV78" s="1533"/>
      <c r="AW78" s="1533"/>
      <c r="AX78" s="563"/>
      <c r="AY78" s="1534"/>
    </row>
    <row r="79" spans="1:51" ht="31" outlineLevel="1" x14ac:dyDescent="0.25">
      <c r="A79" s="1489">
        <v>12</v>
      </c>
      <c r="B79" s="1490" t="s">
        <v>1672</v>
      </c>
      <c r="C79" s="1489" t="s">
        <v>928</v>
      </c>
      <c r="D79" s="1489" t="s">
        <v>1673</v>
      </c>
      <c r="E79" s="1543">
        <v>41438</v>
      </c>
      <c r="F79" s="1543">
        <v>41551</v>
      </c>
      <c r="G79" s="1398">
        <f>SUM(G80:G82)</f>
        <v>10.083855999999999</v>
      </c>
      <c r="H79" s="1398">
        <f>SUM(H80:H82)</f>
        <v>10.083855999999999</v>
      </c>
      <c r="I79" s="1396"/>
      <c r="J79" s="1396"/>
      <c r="K79" s="1394">
        <v>41551</v>
      </c>
      <c r="L79" s="1397"/>
      <c r="M79" s="1397"/>
      <c r="N79" s="1397"/>
      <c r="O79" s="1407"/>
      <c r="P79" s="1544"/>
      <c r="Q79" s="1545"/>
      <c r="R79" s="1545"/>
      <c r="S79" s="1545"/>
      <c r="T79" s="1524">
        <f t="shared" si="14"/>
        <v>0</v>
      </c>
      <c r="U79" s="1546"/>
      <c r="V79" s="1546"/>
      <c r="W79" s="1399"/>
      <c r="X79" s="1399"/>
      <c r="Y79" s="1399"/>
      <c r="Z79" s="1399"/>
      <c r="AA79" s="1399"/>
      <c r="AB79" s="1399"/>
      <c r="AC79" s="1538"/>
      <c r="AD79" s="1538"/>
      <c r="AE79" s="1538"/>
      <c r="AF79" s="1538"/>
      <c r="AG79" s="1538"/>
      <c r="AH79" s="1538"/>
      <c r="AI79" s="1538"/>
      <c r="AJ79" s="1544"/>
      <c r="AK79" s="1544"/>
      <c r="AL79" s="1544"/>
      <c r="AM79" s="1544"/>
      <c r="AN79" s="1523">
        <f t="shared" si="15"/>
        <v>0</v>
      </c>
      <c r="AO79" s="1547"/>
      <c r="AP79" s="1547"/>
      <c r="AQ79" s="1547"/>
      <c r="AR79" s="1547"/>
      <c r="AS79" s="1547"/>
      <c r="AT79" s="1547"/>
      <c r="AU79" s="1547"/>
      <c r="AV79" s="1547"/>
      <c r="AW79" s="1547"/>
      <c r="AX79" s="1396"/>
      <c r="AY79" s="1400"/>
    </row>
    <row r="80" spans="1:51" ht="31" outlineLevel="1" x14ac:dyDescent="0.25">
      <c r="A80" s="1484">
        <v>12.1</v>
      </c>
      <c r="B80" s="1485" t="s">
        <v>1674</v>
      </c>
      <c r="C80" s="1535" t="s">
        <v>936</v>
      </c>
      <c r="D80" s="1484" t="str">
        <f t="shared" ref="D80:E82" si="16">D79</f>
        <v>MERC/TECH 1/CAPEX/20132014/01366</v>
      </c>
      <c r="E80" s="1536">
        <f t="shared" si="16"/>
        <v>41438</v>
      </c>
      <c r="F80" s="1394">
        <f>IF(F79=0,"-",F79)</f>
        <v>41551</v>
      </c>
      <c r="G80" s="1395">
        <v>2.08</v>
      </c>
      <c r="H80" s="1395">
        <v>2.08</v>
      </c>
      <c r="I80" s="1396"/>
      <c r="J80" s="1396"/>
      <c r="K80" s="1394">
        <v>41551</v>
      </c>
      <c r="L80" s="1397"/>
      <c r="M80" s="1397"/>
      <c r="N80" s="1397"/>
      <c r="O80" s="1407"/>
      <c r="P80" s="309">
        <v>2.0369565389999997</v>
      </c>
      <c r="Q80" s="1555"/>
      <c r="R80" s="1555"/>
      <c r="S80" s="1555"/>
      <c r="T80" s="1542">
        <f t="shared" si="14"/>
        <v>2.0369565389999997</v>
      </c>
      <c r="U80" s="1555"/>
      <c r="V80" s="1555"/>
      <c r="W80" s="1555"/>
      <c r="X80" s="1555"/>
      <c r="Y80" s="1555"/>
      <c r="Z80" s="1555"/>
      <c r="AA80" s="1555"/>
      <c r="AB80" s="1555"/>
      <c r="AC80" s="1538"/>
      <c r="AD80" s="1538"/>
      <c r="AE80" s="1538"/>
      <c r="AF80" s="1538"/>
      <c r="AG80" s="1538"/>
      <c r="AH80" s="1538"/>
      <c r="AI80" s="1538"/>
      <c r="AJ80" s="309">
        <v>2.0369565389999997</v>
      </c>
      <c r="AK80" s="309"/>
      <c r="AL80" s="309"/>
      <c r="AM80" s="309"/>
      <c r="AN80" s="1523">
        <f t="shared" si="15"/>
        <v>2.0369565389999997</v>
      </c>
      <c r="AO80" s="309"/>
      <c r="AP80" s="309"/>
      <c r="AQ80" s="309"/>
      <c r="AR80" s="309"/>
      <c r="AS80" s="309"/>
      <c r="AT80" s="309"/>
      <c r="AU80" s="309"/>
      <c r="AV80" s="309"/>
      <c r="AW80" s="309"/>
      <c r="AX80" s="1396"/>
      <c r="AY80" s="1549" t="s">
        <v>940</v>
      </c>
    </row>
    <row r="81" spans="1:51" ht="31" outlineLevel="1" x14ac:dyDescent="0.25">
      <c r="A81" s="1484">
        <v>12.2</v>
      </c>
      <c r="B81" s="1485" t="s">
        <v>2423</v>
      </c>
      <c r="C81" s="1535" t="s">
        <v>936</v>
      </c>
      <c r="D81" s="1484" t="str">
        <f t="shared" si="16"/>
        <v>MERC/TECH 1/CAPEX/20132014/01366</v>
      </c>
      <c r="E81" s="1536">
        <f t="shared" si="16"/>
        <v>41438</v>
      </c>
      <c r="F81" s="1394">
        <f>IF(F80=0,"-",F80)</f>
        <v>41551</v>
      </c>
      <c r="G81" s="1395">
        <v>7.1338559999999998</v>
      </c>
      <c r="H81" s="1395">
        <v>7.1338559999999998</v>
      </c>
      <c r="I81" s="1396"/>
      <c r="J81" s="1396"/>
      <c r="K81" s="1394">
        <v>41551</v>
      </c>
      <c r="L81" s="1397"/>
      <c r="M81" s="1397"/>
      <c r="N81" s="1397"/>
      <c r="O81" s="1407"/>
      <c r="P81" s="309">
        <v>0</v>
      </c>
      <c r="Q81" s="309">
        <v>0</v>
      </c>
      <c r="R81" s="309">
        <v>0</v>
      </c>
      <c r="S81" s="309">
        <v>0</v>
      </c>
      <c r="T81" s="1533">
        <f t="shared" si="14"/>
        <v>0</v>
      </c>
      <c r="U81" s="309">
        <v>0</v>
      </c>
      <c r="V81" s="309">
        <v>0</v>
      </c>
      <c r="W81" s="309">
        <v>0</v>
      </c>
      <c r="X81" s="1550">
        <v>5</v>
      </c>
      <c r="Y81" s="309"/>
      <c r="Z81" s="309"/>
      <c r="AA81" s="309"/>
      <c r="AB81" s="309"/>
      <c r="AC81" s="1538"/>
      <c r="AD81" s="1538"/>
      <c r="AE81" s="1538"/>
      <c r="AF81" s="1538"/>
      <c r="AG81" s="1538"/>
      <c r="AH81" s="1538"/>
      <c r="AI81" s="1538"/>
      <c r="AJ81" s="309">
        <v>0</v>
      </c>
      <c r="AK81" s="309">
        <v>0</v>
      </c>
      <c r="AL81" s="309">
        <v>0</v>
      </c>
      <c r="AM81" s="309">
        <v>0</v>
      </c>
      <c r="AN81" s="1523">
        <f t="shared" si="15"/>
        <v>0</v>
      </c>
      <c r="AO81" s="309">
        <v>0</v>
      </c>
      <c r="AP81" s="309">
        <v>0</v>
      </c>
      <c r="AQ81" s="309">
        <v>0</v>
      </c>
      <c r="AR81" s="1550">
        <v>5</v>
      </c>
      <c r="AS81" s="309"/>
      <c r="AT81" s="309"/>
      <c r="AU81" s="309"/>
      <c r="AV81" s="309"/>
      <c r="AW81" s="309"/>
      <c r="AX81" s="1396" t="s">
        <v>1675</v>
      </c>
      <c r="AY81" s="1549" t="s">
        <v>934</v>
      </c>
    </row>
    <row r="82" spans="1:51" ht="31" outlineLevel="1" x14ac:dyDescent="0.25">
      <c r="A82" s="1484"/>
      <c r="B82" s="1485" t="s">
        <v>414</v>
      </c>
      <c r="C82" s="1535" t="s">
        <v>414</v>
      </c>
      <c r="D82" s="1484" t="str">
        <f t="shared" si="16"/>
        <v>MERC/TECH 1/CAPEX/20132014/01366</v>
      </c>
      <c r="E82" s="1536">
        <f t="shared" si="16"/>
        <v>41438</v>
      </c>
      <c r="F82" s="1394">
        <f>IF(F81=0,"-",F81)</f>
        <v>41551</v>
      </c>
      <c r="G82" s="1395">
        <v>0.87</v>
      </c>
      <c r="H82" s="1395">
        <v>0.87</v>
      </c>
      <c r="I82" s="1396"/>
      <c r="J82" s="1396"/>
      <c r="K82" s="1394">
        <v>41551</v>
      </c>
      <c r="L82" s="1397"/>
      <c r="M82" s="1397"/>
      <c r="N82" s="1397"/>
      <c r="O82" s="1407"/>
      <c r="P82" s="309"/>
      <c r="Q82" s="1555"/>
      <c r="R82" s="1555"/>
      <c r="S82" s="1555"/>
      <c r="T82" s="1542">
        <f t="shared" si="14"/>
        <v>0</v>
      </c>
      <c r="U82" s="1555"/>
      <c r="V82" s="1555"/>
      <c r="W82" s="1555"/>
      <c r="X82" s="1555"/>
      <c r="Y82" s="1555"/>
      <c r="Z82" s="1555"/>
      <c r="AA82" s="1555"/>
      <c r="AB82" s="1555"/>
      <c r="AC82" s="1538"/>
      <c r="AD82" s="1538"/>
      <c r="AE82" s="1538"/>
      <c r="AF82" s="1538"/>
      <c r="AG82" s="1538"/>
      <c r="AH82" s="1538"/>
      <c r="AI82" s="1538"/>
      <c r="AJ82" s="309"/>
      <c r="AK82" s="309"/>
      <c r="AL82" s="309"/>
      <c r="AM82" s="309"/>
      <c r="AN82" s="1523">
        <f t="shared" si="15"/>
        <v>0</v>
      </c>
      <c r="AO82" s="309"/>
      <c r="AP82" s="309"/>
      <c r="AQ82" s="309"/>
      <c r="AR82" s="309"/>
      <c r="AS82" s="309"/>
      <c r="AT82" s="309"/>
      <c r="AU82" s="309"/>
      <c r="AV82" s="309"/>
      <c r="AW82" s="309"/>
      <c r="AX82" s="1396"/>
      <c r="AY82" s="1549"/>
    </row>
    <row r="83" spans="1:51" s="1530" customFormat="1" ht="46.5" outlineLevel="1" x14ac:dyDescent="0.25">
      <c r="A83" s="1477">
        <v>13</v>
      </c>
      <c r="B83" s="1478" t="s">
        <v>1676</v>
      </c>
      <c r="C83" s="1477" t="s">
        <v>928</v>
      </c>
      <c r="D83" s="1477" t="s">
        <v>1677</v>
      </c>
      <c r="E83" s="1479">
        <v>41459</v>
      </c>
      <c r="F83" s="1479">
        <v>41647</v>
      </c>
      <c r="G83" s="1380">
        <f>SUM(G84:G90)</f>
        <v>76.570000000000007</v>
      </c>
      <c r="H83" s="1380">
        <f>SUM(H84:H90)</f>
        <v>76.570000000000007</v>
      </c>
      <c r="I83" s="563"/>
      <c r="J83" s="563"/>
      <c r="K83" s="1390">
        <v>41647</v>
      </c>
      <c r="L83" s="1391"/>
      <c r="M83" s="1391"/>
      <c r="N83" s="1391"/>
      <c r="O83" s="1402"/>
      <c r="P83" s="1523"/>
      <c r="Q83" s="1524"/>
      <c r="R83" s="1524"/>
      <c r="S83" s="1524"/>
      <c r="T83" s="1524">
        <f t="shared" si="14"/>
        <v>0</v>
      </c>
      <c r="U83" s="1525"/>
      <c r="V83" s="1525"/>
      <c r="W83" s="1392"/>
      <c r="X83" s="1392"/>
      <c r="Y83" s="1392"/>
      <c r="Z83" s="1392"/>
      <c r="AA83" s="1392"/>
      <c r="AB83" s="1392"/>
      <c r="AC83" s="1526"/>
      <c r="AD83" s="1526"/>
      <c r="AE83" s="1526"/>
      <c r="AF83" s="1526"/>
      <c r="AG83" s="1526"/>
      <c r="AH83" s="1526"/>
      <c r="AI83" s="1526"/>
      <c r="AJ83" s="1523"/>
      <c r="AK83" s="1523"/>
      <c r="AL83" s="1523"/>
      <c r="AM83" s="1523"/>
      <c r="AN83" s="1523">
        <f t="shared" si="15"/>
        <v>0</v>
      </c>
      <c r="AO83" s="1527"/>
      <c r="AP83" s="1527"/>
      <c r="AQ83" s="1527"/>
      <c r="AR83" s="1527"/>
      <c r="AS83" s="1527"/>
      <c r="AT83" s="1527"/>
      <c r="AU83" s="1527"/>
      <c r="AV83" s="1527"/>
      <c r="AW83" s="1527"/>
      <c r="AX83" s="563"/>
      <c r="AY83" s="1393"/>
    </row>
    <row r="84" spans="1:51" s="1530" customFormat="1" ht="31" outlineLevel="1" x14ac:dyDescent="0.25">
      <c r="A84" s="1482">
        <v>13.1</v>
      </c>
      <c r="B84" s="1483" t="s">
        <v>1678</v>
      </c>
      <c r="C84" s="1531" t="s">
        <v>936</v>
      </c>
      <c r="D84" s="1482" t="str">
        <f t="shared" ref="D84:E90" si="17">D83</f>
        <v>MERC/TECH 1/CAPEX/20132014/01936</v>
      </c>
      <c r="E84" s="1532">
        <f t="shared" si="17"/>
        <v>41459</v>
      </c>
      <c r="F84" s="1390">
        <f t="shared" ref="F84:F90" si="18">IF(F83=0,"-",F83)</f>
        <v>41647</v>
      </c>
      <c r="G84" s="565">
        <v>32.76</v>
      </c>
      <c r="H84" s="565">
        <v>32.76</v>
      </c>
      <c r="I84" s="563"/>
      <c r="J84" s="563"/>
      <c r="K84" s="1390">
        <v>41647</v>
      </c>
      <c r="L84" s="1391"/>
      <c r="M84" s="1391"/>
      <c r="N84" s="1391"/>
      <c r="O84" s="1402"/>
      <c r="P84" s="1533">
        <v>11.660929755000002</v>
      </c>
      <c r="Q84" s="1533">
        <v>0</v>
      </c>
      <c r="R84" s="1533">
        <v>0</v>
      </c>
      <c r="S84" s="1533">
        <v>0</v>
      </c>
      <c r="T84" s="1533">
        <f t="shared" si="14"/>
        <v>11.660929755000002</v>
      </c>
      <c r="U84" s="1533">
        <v>0</v>
      </c>
      <c r="V84" s="1533">
        <v>0</v>
      </c>
      <c r="W84" s="1533">
        <v>0</v>
      </c>
      <c r="X84" s="1533"/>
      <c r="Y84" s="1533"/>
      <c r="Z84" s="1533"/>
      <c r="AA84" s="1533"/>
      <c r="AB84" s="1533"/>
      <c r="AC84" s="1526"/>
      <c r="AD84" s="1526"/>
      <c r="AE84" s="1526"/>
      <c r="AF84" s="1526"/>
      <c r="AG84" s="1526"/>
      <c r="AH84" s="1526"/>
      <c r="AI84" s="1526"/>
      <c r="AJ84" s="1533">
        <v>11.660929755000002</v>
      </c>
      <c r="AK84" s="1533">
        <v>0</v>
      </c>
      <c r="AL84" s="1533">
        <v>0</v>
      </c>
      <c r="AM84" s="1533">
        <v>0</v>
      </c>
      <c r="AN84" s="1523">
        <f t="shared" si="15"/>
        <v>11.660929755000002</v>
      </c>
      <c r="AO84" s="1533">
        <v>0</v>
      </c>
      <c r="AP84" s="1533">
        <v>0</v>
      </c>
      <c r="AQ84" s="1533">
        <v>0</v>
      </c>
      <c r="AR84" s="1533"/>
      <c r="AS84" s="1533"/>
      <c r="AT84" s="1533"/>
      <c r="AU84" s="1533"/>
      <c r="AV84" s="1533"/>
      <c r="AW84" s="1533"/>
      <c r="AX84" s="563"/>
      <c r="AY84" s="1534" t="s">
        <v>940</v>
      </c>
    </row>
    <row r="85" spans="1:51" s="1530" customFormat="1" ht="31" outlineLevel="1" x14ac:dyDescent="0.25">
      <c r="A85" s="1482">
        <v>13.2</v>
      </c>
      <c r="B85" s="1483" t="s">
        <v>1679</v>
      </c>
      <c r="C85" s="1531" t="s">
        <v>936</v>
      </c>
      <c r="D85" s="1482" t="str">
        <f t="shared" si="17"/>
        <v>MERC/TECH 1/CAPEX/20132014/01936</v>
      </c>
      <c r="E85" s="1532">
        <f t="shared" si="17"/>
        <v>41459</v>
      </c>
      <c r="F85" s="1390">
        <f t="shared" si="18"/>
        <v>41647</v>
      </c>
      <c r="G85" s="565">
        <v>3.88</v>
      </c>
      <c r="H85" s="565">
        <v>3.88</v>
      </c>
      <c r="I85" s="563"/>
      <c r="J85" s="563"/>
      <c r="K85" s="1390">
        <v>41647</v>
      </c>
      <c r="L85" s="1391"/>
      <c r="M85" s="1391"/>
      <c r="N85" s="1391"/>
      <c r="O85" s="1402"/>
      <c r="P85" s="1533">
        <v>3.5012203659999996</v>
      </c>
      <c r="Q85" s="1533">
        <v>0</v>
      </c>
      <c r="R85" s="1533">
        <v>0</v>
      </c>
      <c r="S85" s="1533">
        <v>0</v>
      </c>
      <c r="T85" s="1533">
        <f t="shared" si="14"/>
        <v>3.5012203659999996</v>
      </c>
      <c r="U85" s="1533">
        <v>0</v>
      </c>
      <c r="V85" s="1533">
        <v>0</v>
      </c>
      <c r="W85" s="1533">
        <v>0</v>
      </c>
      <c r="X85" s="1533"/>
      <c r="Y85" s="1533"/>
      <c r="Z85" s="1533"/>
      <c r="AA85" s="1533"/>
      <c r="AB85" s="1533"/>
      <c r="AC85" s="1526"/>
      <c r="AD85" s="1526"/>
      <c r="AE85" s="1526"/>
      <c r="AF85" s="1526"/>
      <c r="AG85" s="1526"/>
      <c r="AH85" s="1526"/>
      <c r="AI85" s="1526"/>
      <c r="AJ85" s="1533">
        <v>3.5012203659999996</v>
      </c>
      <c r="AK85" s="1533">
        <v>0</v>
      </c>
      <c r="AL85" s="1533">
        <v>0</v>
      </c>
      <c r="AM85" s="1533">
        <v>0</v>
      </c>
      <c r="AN85" s="1523">
        <f t="shared" si="15"/>
        <v>3.5012203659999996</v>
      </c>
      <c r="AO85" s="1533">
        <v>0</v>
      </c>
      <c r="AP85" s="1533">
        <v>0</v>
      </c>
      <c r="AQ85" s="1533">
        <v>0</v>
      </c>
      <c r="AR85" s="1533"/>
      <c r="AS85" s="1533"/>
      <c r="AT85" s="1533"/>
      <c r="AU85" s="1533"/>
      <c r="AV85" s="1533"/>
      <c r="AW85" s="1533"/>
      <c r="AX85" s="563"/>
      <c r="AY85" s="1534" t="s">
        <v>940</v>
      </c>
    </row>
    <row r="86" spans="1:51" s="1530" customFormat="1" ht="31" outlineLevel="1" x14ac:dyDescent="0.25">
      <c r="A86" s="1482">
        <v>13.3</v>
      </c>
      <c r="B86" s="1483" t="s">
        <v>1680</v>
      </c>
      <c r="C86" s="1531" t="s">
        <v>936</v>
      </c>
      <c r="D86" s="1482" t="str">
        <f t="shared" si="17"/>
        <v>MERC/TECH 1/CAPEX/20132014/01936</v>
      </c>
      <c r="E86" s="1532">
        <f t="shared" si="17"/>
        <v>41459</v>
      </c>
      <c r="F86" s="1390">
        <f t="shared" si="18"/>
        <v>41647</v>
      </c>
      <c r="G86" s="565">
        <v>9.81</v>
      </c>
      <c r="H86" s="565">
        <v>9.81</v>
      </c>
      <c r="I86" s="563"/>
      <c r="J86" s="563"/>
      <c r="K86" s="1390">
        <v>41647</v>
      </c>
      <c r="L86" s="1391"/>
      <c r="M86" s="1391"/>
      <c r="N86" s="1391"/>
      <c r="O86" s="1402"/>
      <c r="P86" s="1533">
        <v>3.952126834</v>
      </c>
      <c r="Q86" s="1533">
        <v>0.973167966</v>
      </c>
      <c r="R86" s="1533">
        <v>0</v>
      </c>
      <c r="S86" s="1533">
        <v>0</v>
      </c>
      <c r="T86" s="1533">
        <f t="shared" si="14"/>
        <v>4.9252947999999996</v>
      </c>
      <c r="U86" s="1533">
        <v>0</v>
      </c>
      <c r="V86" s="1533">
        <v>0</v>
      </c>
      <c r="W86" s="1533">
        <v>0</v>
      </c>
      <c r="X86" s="1533"/>
      <c r="Y86" s="1533"/>
      <c r="Z86" s="1533"/>
      <c r="AA86" s="1533"/>
      <c r="AB86" s="1533"/>
      <c r="AC86" s="1526"/>
      <c r="AD86" s="1526"/>
      <c r="AE86" s="1526"/>
      <c r="AF86" s="1526"/>
      <c r="AG86" s="1526"/>
      <c r="AH86" s="1526"/>
      <c r="AI86" s="1526"/>
      <c r="AJ86" s="1533">
        <v>0</v>
      </c>
      <c r="AK86" s="1533">
        <v>4.9252947999999996</v>
      </c>
      <c r="AL86" s="1533">
        <v>0</v>
      </c>
      <c r="AM86" s="1533">
        <v>0</v>
      </c>
      <c r="AN86" s="1523">
        <f t="shared" si="15"/>
        <v>4.9252947999999996</v>
      </c>
      <c r="AO86" s="1533">
        <v>0</v>
      </c>
      <c r="AP86" s="1533">
        <v>0</v>
      </c>
      <c r="AQ86" s="1533">
        <v>0</v>
      </c>
      <c r="AR86" s="1533"/>
      <c r="AS86" s="1533"/>
      <c r="AT86" s="1533"/>
      <c r="AU86" s="1533"/>
      <c r="AV86" s="1533"/>
      <c r="AW86" s="1533"/>
      <c r="AX86" s="563"/>
      <c r="AY86" s="1534" t="s">
        <v>940</v>
      </c>
    </row>
    <row r="87" spans="1:51" s="1530" customFormat="1" ht="31" outlineLevel="1" x14ac:dyDescent="0.25">
      <c r="A87" s="1482">
        <v>13.4</v>
      </c>
      <c r="B87" s="1483" t="s">
        <v>1681</v>
      </c>
      <c r="C87" s="1531" t="s">
        <v>936</v>
      </c>
      <c r="D87" s="1482" t="str">
        <f t="shared" si="17"/>
        <v>MERC/TECH 1/CAPEX/20132014/01936</v>
      </c>
      <c r="E87" s="1532">
        <f t="shared" si="17"/>
        <v>41459</v>
      </c>
      <c r="F87" s="1390">
        <f t="shared" si="18"/>
        <v>41647</v>
      </c>
      <c r="G87" s="565">
        <v>4.76</v>
      </c>
      <c r="H87" s="565">
        <v>4.76</v>
      </c>
      <c r="I87" s="563"/>
      <c r="J87" s="563"/>
      <c r="K87" s="1390">
        <v>41647</v>
      </c>
      <c r="L87" s="1391"/>
      <c r="M87" s="1391"/>
      <c r="N87" s="1391"/>
      <c r="O87" s="1402"/>
      <c r="P87" s="1533">
        <v>1.7334297160000001</v>
      </c>
      <c r="Q87" s="1533">
        <v>1.0333593839999999</v>
      </c>
      <c r="R87" s="1533">
        <v>0</v>
      </c>
      <c r="S87" s="1533">
        <v>0</v>
      </c>
      <c r="T87" s="1533">
        <f t="shared" si="14"/>
        <v>2.7667891</v>
      </c>
      <c r="U87" s="1533">
        <v>0</v>
      </c>
      <c r="V87" s="1533">
        <v>0</v>
      </c>
      <c r="W87" s="1533">
        <v>0</v>
      </c>
      <c r="X87" s="1533"/>
      <c r="Y87" s="1533"/>
      <c r="Z87" s="1533"/>
      <c r="AA87" s="1533"/>
      <c r="AB87" s="1533"/>
      <c r="AC87" s="1526"/>
      <c r="AD87" s="1526"/>
      <c r="AE87" s="1526"/>
      <c r="AF87" s="1526"/>
      <c r="AG87" s="1526"/>
      <c r="AH87" s="1526"/>
      <c r="AI87" s="1526"/>
      <c r="AJ87" s="1533">
        <v>0</v>
      </c>
      <c r="AK87" s="1533">
        <v>2.7667891</v>
      </c>
      <c r="AL87" s="1533">
        <v>0</v>
      </c>
      <c r="AM87" s="1533">
        <v>0</v>
      </c>
      <c r="AN87" s="1523">
        <f t="shared" si="15"/>
        <v>2.7667891</v>
      </c>
      <c r="AO87" s="1533">
        <v>0</v>
      </c>
      <c r="AP87" s="1533">
        <v>0</v>
      </c>
      <c r="AQ87" s="1533">
        <v>0</v>
      </c>
      <c r="AR87" s="1533"/>
      <c r="AS87" s="1533"/>
      <c r="AT87" s="1533"/>
      <c r="AU87" s="1533"/>
      <c r="AV87" s="1533"/>
      <c r="AW87" s="1533"/>
      <c r="AX87" s="563"/>
      <c r="AY87" s="1534" t="s">
        <v>940</v>
      </c>
    </row>
    <row r="88" spans="1:51" s="1530" customFormat="1" ht="31" outlineLevel="1" x14ac:dyDescent="0.25">
      <c r="A88" s="1482">
        <v>13.5</v>
      </c>
      <c r="B88" s="1483" t="s">
        <v>1682</v>
      </c>
      <c r="C88" s="1531" t="s">
        <v>936</v>
      </c>
      <c r="D88" s="1482" t="str">
        <f t="shared" si="17"/>
        <v>MERC/TECH 1/CAPEX/20132014/01936</v>
      </c>
      <c r="E88" s="1532">
        <f t="shared" si="17"/>
        <v>41459</v>
      </c>
      <c r="F88" s="1390">
        <f t="shared" si="18"/>
        <v>41647</v>
      </c>
      <c r="G88" s="565">
        <v>13.41</v>
      </c>
      <c r="H88" s="565">
        <v>13.41</v>
      </c>
      <c r="I88" s="563"/>
      <c r="J88" s="563"/>
      <c r="K88" s="1390">
        <v>41647</v>
      </c>
      <c r="L88" s="1391"/>
      <c r="M88" s="1391"/>
      <c r="N88" s="1391"/>
      <c r="O88" s="1402"/>
      <c r="P88" s="1533">
        <v>0</v>
      </c>
      <c r="Q88" s="1533">
        <v>6.3205716000000001</v>
      </c>
      <c r="R88" s="1533">
        <v>0</v>
      </c>
      <c r="S88" s="1533">
        <v>0</v>
      </c>
      <c r="T88" s="1533">
        <f t="shared" si="14"/>
        <v>6.3205716000000001</v>
      </c>
      <c r="U88" s="1533">
        <v>0</v>
      </c>
      <c r="V88" s="1533">
        <v>0</v>
      </c>
      <c r="W88" s="1533">
        <v>0</v>
      </c>
      <c r="X88" s="1533"/>
      <c r="Y88" s="1533"/>
      <c r="Z88" s="1533"/>
      <c r="AA88" s="1533"/>
      <c r="AB88" s="1533"/>
      <c r="AC88" s="1526"/>
      <c r="AD88" s="1526"/>
      <c r="AE88" s="1526"/>
      <c r="AF88" s="1526"/>
      <c r="AG88" s="1526"/>
      <c r="AH88" s="1526"/>
      <c r="AI88" s="1526"/>
      <c r="AJ88" s="1533">
        <v>0</v>
      </c>
      <c r="AK88" s="1533">
        <v>6.3205716000000001</v>
      </c>
      <c r="AL88" s="1533">
        <v>0</v>
      </c>
      <c r="AM88" s="1533">
        <v>0</v>
      </c>
      <c r="AN88" s="1523">
        <f t="shared" si="15"/>
        <v>6.3205716000000001</v>
      </c>
      <c r="AO88" s="1533">
        <v>0</v>
      </c>
      <c r="AP88" s="1533">
        <v>0</v>
      </c>
      <c r="AQ88" s="1533">
        <v>0</v>
      </c>
      <c r="AR88" s="1533"/>
      <c r="AS88" s="1533"/>
      <c r="AT88" s="1533"/>
      <c r="AU88" s="1533"/>
      <c r="AV88" s="1533"/>
      <c r="AW88" s="1533"/>
      <c r="AX88" s="563"/>
      <c r="AY88" s="1534" t="s">
        <v>940</v>
      </c>
    </row>
    <row r="89" spans="1:51" s="1530" customFormat="1" ht="31" outlineLevel="1" x14ac:dyDescent="0.25">
      <c r="A89" s="1482">
        <v>13.6</v>
      </c>
      <c r="B89" s="1483" t="s">
        <v>1683</v>
      </c>
      <c r="C89" s="1531" t="s">
        <v>936</v>
      </c>
      <c r="D89" s="1482" t="str">
        <f t="shared" si="17"/>
        <v>MERC/TECH 1/CAPEX/20132014/01936</v>
      </c>
      <c r="E89" s="1532">
        <f t="shared" si="17"/>
        <v>41459</v>
      </c>
      <c r="F89" s="1390">
        <f t="shared" si="18"/>
        <v>41647</v>
      </c>
      <c r="G89" s="565">
        <v>5.05</v>
      </c>
      <c r="H89" s="565">
        <v>5.05</v>
      </c>
      <c r="I89" s="563"/>
      <c r="J89" s="563"/>
      <c r="K89" s="1390">
        <v>41647</v>
      </c>
      <c r="L89" s="1391"/>
      <c r="M89" s="1391"/>
      <c r="N89" s="1391"/>
      <c r="O89" s="1402"/>
      <c r="P89" s="1533">
        <v>0</v>
      </c>
      <c r="Q89" s="1533">
        <v>0</v>
      </c>
      <c r="R89" s="1533">
        <v>0</v>
      </c>
      <c r="S89" s="1533">
        <v>0</v>
      </c>
      <c r="T89" s="1533">
        <f t="shared" si="14"/>
        <v>0</v>
      </c>
      <c r="U89" s="1533">
        <v>0</v>
      </c>
      <c r="V89" s="1533">
        <v>0</v>
      </c>
      <c r="W89" s="1533">
        <v>0</v>
      </c>
      <c r="X89" s="1533"/>
      <c r="Y89" s="1533"/>
      <c r="Z89" s="1533"/>
      <c r="AA89" s="1533"/>
      <c r="AB89" s="1533"/>
      <c r="AC89" s="1526"/>
      <c r="AD89" s="1526"/>
      <c r="AE89" s="1526"/>
      <c r="AF89" s="1526"/>
      <c r="AG89" s="1526"/>
      <c r="AH89" s="1526"/>
      <c r="AI89" s="1526"/>
      <c r="AJ89" s="1533">
        <v>0</v>
      </c>
      <c r="AK89" s="1533">
        <v>0</v>
      </c>
      <c r="AL89" s="1533">
        <v>0</v>
      </c>
      <c r="AM89" s="1533">
        <v>0</v>
      </c>
      <c r="AN89" s="1523">
        <f t="shared" si="15"/>
        <v>0</v>
      </c>
      <c r="AO89" s="1533">
        <v>0</v>
      </c>
      <c r="AP89" s="1533">
        <v>0</v>
      </c>
      <c r="AQ89" s="1533">
        <v>0</v>
      </c>
      <c r="AR89" s="1533"/>
      <c r="AS89" s="1533"/>
      <c r="AT89" s="1533"/>
      <c r="AU89" s="1533"/>
      <c r="AV89" s="1533"/>
      <c r="AW89" s="1533"/>
      <c r="AX89" s="563"/>
      <c r="AY89" s="1534" t="s">
        <v>940</v>
      </c>
    </row>
    <row r="90" spans="1:51" s="1530" customFormat="1" ht="31" outlineLevel="1" x14ac:dyDescent="0.25">
      <c r="A90" s="1482"/>
      <c r="B90" s="1483" t="s">
        <v>414</v>
      </c>
      <c r="C90" s="1531" t="s">
        <v>414</v>
      </c>
      <c r="D90" s="1482" t="str">
        <f t="shared" si="17"/>
        <v>MERC/TECH 1/CAPEX/20132014/01936</v>
      </c>
      <c r="E90" s="1532">
        <f t="shared" si="17"/>
        <v>41459</v>
      </c>
      <c r="F90" s="1390">
        <f t="shared" si="18"/>
        <v>41647</v>
      </c>
      <c r="G90" s="565">
        <v>6.9</v>
      </c>
      <c r="H90" s="565">
        <v>6.9</v>
      </c>
      <c r="I90" s="563"/>
      <c r="J90" s="563"/>
      <c r="K90" s="1390">
        <v>41647</v>
      </c>
      <c r="L90" s="1391"/>
      <c r="M90" s="1391"/>
      <c r="N90" s="1391"/>
      <c r="O90" s="1402"/>
      <c r="P90" s="1533"/>
      <c r="Q90" s="1533">
        <v>0</v>
      </c>
      <c r="R90" s="1533">
        <v>0</v>
      </c>
      <c r="S90" s="1533">
        <v>0</v>
      </c>
      <c r="T90" s="1533">
        <f t="shared" si="14"/>
        <v>0</v>
      </c>
      <c r="U90" s="1533">
        <v>0</v>
      </c>
      <c r="V90" s="1533">
        <v>0</v>
      </c>
      <c r="W90" s="1533">
        <v>0</v>
      </c>
      <c r="X90" s="1533"/>
      <c r="Y90" s="1533"/>
      <c r="Z90" s="1533"/>
      <c r="AA90" s="1533"/>
      <c r="AB90" s="1533"/>
      <c r="AC90" s="1526"/>
      <c r="AD90" s="1526"/>
      <c r="AE90" s="1526"/>
      <c r="AF90" s="1526"/>
      <c r="AG90" s="1526"/>
      <c r="AH90" s="1526"/>
      <c r="AI90" s="1526"/>
      <c r="AJ90" s="1533"/>
      <c r="AK90" s="1533">
        <v>0</v>
      </c>
      <c r="AL90" s="1533">
        <v>0</v>
      </c>
      <c r="AM90" s="1533">
        <v>0</v>
      </c>
      <c r="AN90" s="1523">
        <f t="shared" si="15"/>
        <v>0</v>
      </c>
      <c r="AO90" s="1533">
        <v>0</v>
      </c>
      <c r="AP90" s="1533">
        <v>0</v>
      </c>
      <c r="AQ90" s="1533">
        <v>0</v>
      </c>
      <c r="AR90" s="1533"/>
      <c r="AS90" s="1533"/>
      <c r="AT90" s="1533"/>
      <c r="AU90" s="1533"/>
      <c r="AV90" s="1533"/>
      <c r="AW90" s="1533"/>
      <c r="AX90" s="563"/>
      <c r="AY90" s="1534"/>
    </row>
    <row r="91" spans="1:51" s="1530" customFormat="1" ht="46.5" outlineLevel="1" x14ac:dyDescent="0.25">
      <c r="A91" s="1477">
        <v>14</v>
      </c>
      <c r="B91" s="1478" t="s">
        <v>1684</v>
      </c>
      <c r="C91" s="1477" t="s">
        <v>928</v>
      </c>
      <c r="D91" s="1477" t="s">
        <v>1685</v>
      </c>
      <c r="E91" s="1479">
        <v>41479</v>
      </c>
      <c r="F91" s="1479">
        <v>41548</v>
      </c>
      <c r="G91" s="1380">
        <f>SUM(G92:G93)</f>
        <v>83.823654699999992</v>
      </c>
      <c r="H91" s="1380">
        <f>SUM(H92:H93)</f>
        <v>83.823654699999992</v>
      </c>
      <c r="I91" s="563"/>
      <c r="J91" s="563"/>
      <c r="K91" s="1390">
        <v>41548</v>
      </c>
      <c r="L91" s="1391"/>
      <c r="M91" s="1391"/>
      <c r="N91" s="1391"/>
      <c r="O91" s="1402"/>
      <c r="P91" s="1523"/>
      <c r="Q91" s="1524"/>
      <c r="R91" s="1524"/>
      <c r="S91" s="1524"/>
      <c r="T91" s="1524">
        <f t="shared" si="14"/>
        <v>0</v>
      </c>
      <c r="U91" s="1525"/>
      <c r="V91" s="1525"/>
      <c r="W91" s="1392"/>
      <c r="X91" s="1392"/>
      <c r="Y91" s="1392"/>
      <c r="Z91" s="1392"/>
      <c r="AA91" s="1392"/>
      <c r="AB91" s="1392"/>
      <c r="AC91" s="1526"/>
      <c r="AD91" s="1526"/>
      <c r="AE91" s="1526"/>
      <c r="AF91" s="1526"/>
      <c r="AG91" s="1526"/>
      <c r="AH91" s="1526"/>
      <c r="AI91" s="1526"/>
      <c r="AJ91" s="1523"/>
      <c r="AK91" s="1523"/>
      <c r="AL91" s="1523"/>
      <c r="AM91" s="1523"/>
      <c r="AN91" s="1523">
        <f t="shared" si="15"/>
        <v>0</v>
      </c>
      <c r="AO91" s="1527"/>
      <c r="AP91" s="1527"/>
      <c r="AQ91" s="1527"/>
      <c r="AR91" s="1527"/>
      <c r="AS91" s="1527"/>
      <c r="AT91" s="1527"/>
      <c r="AU91" s="1527"/>
      <c r="AV91" s="1527"/>
      <c r="AW91" s="1527"/>
      <c r="AX91" s="563"/>
      <c r="AY91" s="1393" t="s">
        <v>940</v>
      </c>
    </row>
    <row r="92" spans="1:51" s="1530" customFormat="1" ht="46.5" outlineLevel="1" x14ac:dyDescent="0.25">
      <c r="A92" s="1482">
        <v>14.1</v>
      </c>
      <c r="B92" s="1483" t="s">
        <v>1686</v>
      </c>
      <c r="C92" s="1531" t="s">
        <v>936</v>
      </c>
      <c r="D92" s="1482" t="str">
        <f>D91</f>
        <v>MERC/TECH 1/CAPEX/20132014/01334</v>
      </c>
      <c r="E92" s="1532">
        <f>E91</f>
        <v>41479</v>
      </c>
      <c r="F92" s="1390">
        <f>IF(F91=0,"-",F91)</f>
        <v>41548</v>
      </c>
      <c r="G92" s="565">
        <v>48.039384900000002</v>
      </c>
      <c r="H92" s="565">
        <v>48.039384900000002</v>
      </c>
      <c r="I92" s="563"/>
      <c r="J92" s="563"/>
      <c r="K92" s="1390">
        <v>41548</v>
      </c>
      <c r="L92" s="1391"/>
      <c r="M92" s="1391"/>
      <c r="N92" s="1391"/>
      <c r="O92" s="1402"/>
      <c r="P92" s="1533">
        <v>48.039384900000002</v>
      </c>
      <c r="Q92" s="1542"/>
      <c r="R92" s="1542"/>
      <c r="S92" s="1542"/>
      <c r="T92" s="1542">
        <f t="shared" si="14"/>
        <v>48.039384900000002</v>
      </c>
      <c r="U92" s="1542"/>
      <c r="V92" s="1542"/>
      <c r="W92" s="1542"/>
      <c r="X92" s="1542"/>
      <c r="Y92" s="1542"/>
      <c r="Z92" s="1542"/>
      <c r="AA92" s="1542"/>
      <c r="AB92" s="1542"/>
      <c r="AC92" s="1526"/>
      <c r="AD92" s="1526"/>
      <c r="AE92" s="1526"/>
      <c r="AF92" s="1526"/>
      <c r="AG92" s="1526"/>
      <c r="AH92" s="1526"/>
      <c r="AI92" s="1526"/>
      <c r="AJ92" s="1533">
        <v>48.039384900000002</v>
      </c>
      <c r="AK92" s="1533"/>
      <c r="AL92" s="1533"/>
      <c r="AM92" s="1533"/>
      <c r="AN92" s="1523">
        <f t="shared" si="15"/>
        <v>48.039384900000002</v>
      </c>
      <c r="AO92" s="1533"/>
      <c r="AP92" s="1533"/>
      <c r="AQ92" s="1533"/>
      <c r="AR92" s="1533"/>
      <c r="AS92" s="1533"/>
      <c r="AT92" s="1533"/>
      <c r="AU92" s="1533"/>
      <c r="AV92" s="1533"/>
      <c r="AW92" s="1533"/>
      <c r="AX92" s="563"/>
      <c r="AY92" s="1534" t="s">
        <v>940</v>
      </c>
    </row>
    <row r="93" spans="1:51" s="1530" customFormat="1" ht="31" outlineLevel="1" x14ac:dyDescent="0.25">
      <c r="A93" s="1482">
        <v>14.2</v>
      </c>
      <c r="B93" s="1483" t="s">
        <v>1687</v>
      </c>
      <c r="C93" s="1531" t="s">
        <v>936</v>
      </c>
      <c r="D93" s="1482" t="str">
        <f>D92</f>
        <v>MERC/TECH 1/CAPEX/20132014/01334</v>
      </c>
      <c r="E93" s="1532">
        <f>E92</f>
        <v>41479</v>
      </c>
      <c r="F93" s="1390">
        <f>IF(F92=0,"-",F92)</f>
        <v>41548</v>
      </c>
      <c r="G93" s="565">
        <v>35.784269799999997</v>
      </c>
      <c r="H93" s="565">
        <v>35.784269799999997</v>
      </c>
      <c r="I93" s="563"/>
      <c r="J93" s="563"/>
      <c r="K93" s="1390">
        <v>41548</v>
      </c>
      <c r="L93" s="1391"/>
      <c r="M93" s="1391"/>
      <c r="N93" s="1391"/>
      <c r="O93" s="1402"/>
      <c r="P93" s="1533">
        <v>35.784269799999997</v>
      </c>
      <c r="Q93" s="1542"/>
      <c r="R93" s="1542"/>
      <c r="S93" s="1542"/>
      <c r="T93" s="1542">
        <f t="shared" si="14"/>
        <v>35.784269799999997</v>
      </c>
      <c r="U93" s="1542"/>
      <c r="V93" s="1542"/>
      <c r="W93" s="1542"/>
      <c r="X93" s="1542"/>
      <c r="Y93" s="1542"/>
      <c r="Z93" s="1542"/>
      <c r="AA93" s="1542"/>
      <c r="AB93" s="1542"/>
      <c r="AC93" s="1526"/>
      <c r="AD93" s="1526"/>
      <c r="AE93" s="1526"/>
      <c r="AF93" s="1526"/>
      <c r="AG93" s="1526"/>
      <c r="AH93" s="1526"/>
      <c r="AI93" s="1526"/>
      <c r="AJ93" s="1533">
        <v>35.784269799999997</v>
      </c>
      <c r="AK93" s="1533"/>
      <c r="AL93" s="1533"/>
      <c r="AM93" s="1533"/>
      <c r="AN93" s="1523">
        <f t="shared" si="15"/>
        <v>35.784269799999997</v>
      </c>
      <c r="AO93" s="1533"/>
      <c r="AP93" s="1533"/>
      <c r="AQ93" s="1533"/>
      <c r="AR93" s="1533"/>
      <c r="AS93" s="1533"/>
      <c r="AT93" s="1533"/>
      <c r="AU93" s="1533"/>
      <c r="AV93" s="1533"/>
      <c r="AW93" s="1533"/>
      <c r="AX93" s="563"/>
      <c r="AY93" s="1534" t="s">
        <v>940</v>
      </c>
    </row>
    <row r="94" spans="1:51" s="1530" customFormat="1" ht="31" outlineLevel="1" x14ac:dyDescent="0.25">
      <c r="A94" s="1477">
        <v>15</v>
      </c>
      <c r="B94" s="1478" t="s">
        <v>1688</v>
      </c>
      <c r="C94" s="1477" t="s">
        <v>928</v>
      </c>
      <c r="D94" s="1477" t="s">
        <v>1689</v>
      </c>
      <c r="E94" s="1479">
        <v>41506</v>
      </c>
      <c r="F94" s="1479">
        <v>41565</v>
      </c>
      <c r="G94" s="1380">
        <f>SUM(G95:G97)</f>
        <v>11.1699751</v>
      </c>
      <c r="H94" s="1380">
        <f>SUM(H95:H97)</f>
        <v>11.1699751</v>
      </c>
      <c r="I94" s="563"/>
      <c r="J94" s="563"/>
      <c r="K94" s="1390">
        <v>41565</v>
      </c>
      <c r="L94" s="1391"/>
      <c r="M94" s="1391"/>
      <c r="N94" s="1391"/>
      <c r="O94" s="1402"/>
      <c r="P94" s="1523"/>
      <c r="Q94" s="1524"/>
      <c r="R94" s="1524"/>
      <c r="S94" s="1524"/>
      <c r="T94" s="1524">
        <f t="shared" si="14"/>
        <v>0</v>
      </c>
      <c r="U94" s="1525"/>
      <c r="V94" s="1525"/>
      <c r="W94" s="1392"/>
      <c r="X94" s="1392"/>
      <c r="Y94" s="1392"/>
      <c r="Z94" s="1392"/>
      <c r="AA94" s="1392"/>
      <c r="AB94" s="1392"/>
      <c r="AC94" s="1526"/>
      <c r="AD94" s="1526"/>
      <c r="AE94" s="1526"/>
      <c r="AF94" s="1526"/>
      <c r="AG94" s="1526"/>
      <c r="AH94" s="1526"/>
      <c r="AI94" s="1526"/>
      <c r="AJ94" s="1523"/>
      <c r="AK94" s="1523"/>
      <c r="AL94" s="1523"/>
      <c r="AM94" s="1523"/>
      <c r="AN94" s="1523">
        <f t="shared" si="15"/>
        <v>0</v>
      </c>
      <c r="AO94" s="1527"/>
      <c r="AP94" s="1527"/>
      <c r="AQ94" s="1527"/>
      <c r="AR94" s="1527"/>
      <c r="AS94" s="1527"/>
      <c r="AT94" s="1527"/>
      <c r="AU94" s="1527"/>
      <c r="AV94" s="1527"/>
      <c r="AW94" s="1527"/>
      <c r="AX94" s="563"/>
      <c r="AY94" s="1393" t="s">
        <v>941</v>
      </c>
    </row>
    <row r="95" spans="1:51" s="1530" customFormat="1" ht="31" outlineLevel="1" x14ac:dyDescent="0.25">
      <c r="A95" s="1482">
        <v>15.1</v>
      </c>
      <c r="B95" s="1483" t="s">
        <v>1690</v>
      </c>
      <c r="C95" s="1531" t="s">
        <v>936</v>
      </c>
      <c r="D95" s="1482" t="str">
        <f t="shared" ref="D95:E97" si="19">D94</f>
        <v>MERC/TECH 1/CAPEX/20132014/01431</v>
      </c>
      <c r="E95" s="1532">
        <f t="shared" si="19"/>
        <v>41506</v>
      </c>
      <c r="F95" s="1390">
        <f>IF(F94=0,"-",F94)</f>
        <v>41565</v>
      </c>
      <c r="G95" s="565">
        <v>8.8553540000000002</v>
      </c>
      <c r="H95" s="565">
        <v>8.8553540000000002</v>
      </c>
      <c r="I95" s="563"/>
      <c r="J95" s="563"/>
      <c r="K95" s="1390">
        <v>41565</v>
      </c>
      <c r="L95" s="1391"/>
      <c r="M95" s="1391"/>
      <c r="N95" s="1391"/>
      <c r="O95" s="1402"/>
      <c r="P95" s="1533">
        <v>0</v>
      </c>
      <c r="Q95" s="1542"/>
      <c r="R95" s="1542"/>
      <c r="S95" s="1542"/>
      <c r="T95" s="1542">
        <f t="shared" si="14"/>
        <v>0</v>
      </c>
      <c r="U95" s="1542"/>
      <c r="V95" s="1542"/>
      <c r="W95" s="1542"/>
      <c r="X95" s="1542"/>
      <c r="Y95" s="1542"/>
      <c r="Z95" s="1542"/>
      <c r="AA95" s="1542"/>
      <c r="AB95" s="1542"/>
      <c r="AC95" s="1526"/>
      <c r="AD95" s="1526"/>
      <c r="AE95" s="1526"/>
      <c r="AF95" s="1526"/>
      <c r="AG95" s="1526"/>
      <c r="AH95" s="1526"/>
      <c r="AI95" s="1526"/>
      <c r="AJ95" s="1533">
        <v>0</v>
      </c>
      <c r="AK95" s="1533"/>
      <c r="AL95" s="1533"/>
      <c r="AM95" s="1533"/>
      <c r="AN95" s="1523">
        <f t="shared" si="15"/>
        <v>0</v>
      </c>
      <c r="AO95" s="1533"/>
      <c r="AP95" s="1533"/>
      <c r="AQ95" s="1533"/>
      <c r="AR95" s="1533"/>
      <c r="AS95" s="1533"/>
      <c r="AT95" s="1533"/>
      <c r="AU95" s="1533"/>
      <c r="AV95" s="1533"/>
      <c r="AW95" s="1533"/>
      <c r="AX95" s="563"/>
      <c r="AY95" s="1534" t="s">
        <v>941</v>
      </c>
    </row>
    <row r="96" spans="1:51" s="1530" customFormat="1" ht="46.5" outlineLevel="1" x14ac:dyDescent="0.25">
      <c r="A96" s="1482">
        <v>15.2</v>
      </c>
      <c r="B96" s="1483" t="s">
        <v>1691</v>
      </c>
      <c r="C96" s="1531" t="s">
        <v>936</v>
      </c>
      <c r="D96" s="1482" t="str">
        <f t="shared" si="19"/>
        <v>MERC/TECH 1/CAPEX/20132014/01431</v>
      </c>
      <c r="E96" s="1532">
        <f t="shared" si="19"/>
        <v>41506</v>
      </c>
      <c r="F96" s="1390">
        <f>IF(F95=0,"-",F95)</f>
        <v>41565</v>
      </c>
      <c r="G96" s="565">
        <v>2.14452</v>
      </c>
      <c r="H96" s="565">
        <v>2.14452</v>
      </c>
      <c r="I96" s="563"/>
      <c r="J96" s="563"/>
      <c r="K96" s="1390">
        <v>41565</v>
      </c>
      <c r="L96" s="1391"/>
      <c r="M96" s="1391"/>
      <c r="N96" s="1391"/>
      <c r="O96" s="1402"/>
      <c r="P96" s="1533">
        <v>0</v>
      </c>
      <c r="Q96" s="1542"/>
      <c r="R96" s="1542"/>
      <c r="S96" s="1542"/>
      <c r="T96" s="1542">
        <f t="shared" si="14"/>
        <v>0</v>
      </c>
      <c r="U96" s="1542"/>
      <c r="V96" s="1542"/>
      <c r="W96" s="1542"/>
      <c r="X96" s="1542"/>
      <c r="Y96" s="1542"/>
      <c r="Z96" s="1542"/>
      <c r="AA96" s="1542"/>
      <c r="AB96" s="1542"/>
      <c r="AC96" s="1526"/>
      <c r="AD96" s="1526"/>
      <c r="AE96" s="1526"/>
      <c r="AF96" s="1526"/>
      <c r="AG96" s="1526"/>
      <c r="AH96" s="1526"/>
      <c r="AI96" s="1526"/>
      <c r="AJ96" s="1533">
        <v>0</v>
      </c>
      <c r="AK96" s="1533"/>
      <c r="AL96" s="1533"/>
      <c r="AM96" s="1533"/>
      <c r="AN96" s="1523">
        <f t="shared" si="15"/>
        <v>0</v>
      </c>
      <c r="AO96" s="1533"/>
      <c r="AP96" s="1533"/>
      <c r="AQ96" s="1533"/>
      <c r="AR96" s="1533"/>
      <c r="AS96" s="1533"/>
      <c r="AT96" s="1533"/>
      <c r="AU96" s="1533"/>
      <c r="AV96" s="1533"/>
      <c r="AW96" s="1533"/>
      <c r="AX96" s="563"/>
      <c r="AY96" s="1534" t="s">
        <v>941</v>
      </c>
    </row>
    <row r="97" spans="1:51" s="1530" customFormat="1" ht="31" outlineLevel="1" x14ac:dyDescent="0.25">
      <c r="A97" s="1482"/>
      <c r="B97" s="1483" t="s">
        <v>414</v>
      </c>
      <c r="C97" s="1531" t="s">
        <v>414</v>
      </c>
      <c r="D97" s="1482" t="str">
        <f t="shared" si="19"/>
        <v>MERC/TECH 1/CAPEX/20132014/01431</v>
      </c>
      <c r="E97" s="1532">
        <f t="shared" si="19"/>
        <v>41506</v>
      </c>
      <c r="F97" s="1390">
        <f>IF(F96=0,"-",F96)</f>
        <v>41565</v>
      </c>
      <c r="G97" s="565">
        <v>0.17010110000000001</v>
      </c>
      <c r="H97" s="565">
        <v>0.17010110000000001</v>
      </c>
      <c r="I97" s="563"/>
      <c r="J97" s="563"/>
      <c r="K97" s="1390">
        <v>41565</v>
      </c>
      <c r="L97" s="1391"/>
      <c r="M97" s="1391"/>
      <c r="N97" s="1391"/>
      <c r="O97" s="1402"/>
      <c r="P97" s="1533"/>
      <c r="Q97" s="1542"/>
      <c r="R97" s="1542"/>
      <c r="S97" s="1542"/>
      <c r="T97" s="1542">
        <f t="shared" si="14"/>
        <v>0</v>
      </c>
      <c r="U97" s="1542"/>
      <c r="V97" s="1542"/>
      <c r="W97" s="1542"/>
      <c r="X97" s="1542"/>
      <c r="Y97" s="1542"/>
      <c r="Z97" s="1542"/>
      <c r="AA97" s="1542"/>
      <c r="AB97" s="1542"/>
      <c r="AC97" s="1526"/>
      <c r="AD97" s="1526"/>
      <c r="AE97" s="1526"/>
      <c r="AF97" s="1526"/>
      <c r="AG97" s="1526"/>
      <c r="AH97" s="1526"/>
      <c r="AI97" s="1526"/>
      <c r="AJ97" s="1533"/>
      <c r="AK97" s="1533"/>
      <c r="AL97" s="1533"/>
      <c r="AM97" s="1533"/>
      <c r="AN97" s="1523">
        <f t="shared" si="15"/>
        <v>0</v>
      </c>
      <c r="AO97" s="1533"/>
      <c r="AP97" s="1533"/>
      <c r="AQ97" s="1533"/>
      <c r="AR97" s="1533"/>
      <c r="AS97" s="1533"/>
      <c r="AT97" s="1533"/>
      <c r="AU97" s="1533"/>
      <c r="AV97" s="1533"/>
      <c r="AW97" s="1533"/>
      <c r="AX97" s="563"/>
      <c r="AY97" s="1534"/>
    </row>
    <row r="98" spans="1:51" s="1530" customFormat="1" ht="46.5" outlineLevel="1" x14ac:dyDescent="0.25">
      <c r="A98" s="1477">
        <v>16</v>
      </c>
      <c r="B98" s="1478" t="s">
        <v>1692</v>
      </c>
      <c r="C98" s="1477" t="s">
        <v>928</v>
      </c>
      <c r="D98" s="1477" t="s">
        <v>1693</v>
      </c>
      <c r="E98" s="1479">
        <v>41748</v>
      </c>
      <c r="F98" s="1479">
        <v>41792</v>
      </c>
      <c r="G98" s="1380">
        <f>SUM(G99:G101)</f>
        <v>11.7446</v>
      </c>
      <c r="H98" s="1380">
        <f>SUM(H99:H101)</f>
        <v>11.7446</v>
      </c>
      <c r="I98" s="563"/>
      <c r="J98" s="563"/>
      <c r="K98" s="1390">
        <v>41792</v>
      </c>
      <c r="L98" s="1391"/>
      <c r="M98" s="1391"/>
      <c r="N98" s="1391"/>
      <c r="O98" s="1402"/>
      <c r="P98" s="1523"/>
      <c r="Q98" s="1524"/>
      <c r="R98" s="1524"/>
      <c r="S98" s="1524"/>
      <c r="T98" s="1524">
        <f t="shared" si="14"/>
        <v>0</v>
      </c>
      <c r="U98" s="1525"/>
      <c r="V98" s="1525"/>
      <c r="W98" s="1392"/>
      <c r="X98" s="1392"/>
      <c r="Y98" s="1392"/>
      <c r="Z98" s="1392"/>
      <c r="AA98" s="1392"/>
      <c r="AB98" s="1392"/>
      <c r="AC98" s="1526"/>
      <c r="AD98" s="1526"/>
      <c r="AE98" s="1526"/>
      <c r="AF98" s="1526"/>
      <c r="AG98" s="1526"/>
      <c r="AH98" s="1526"/>
      <c r="AI98" s="1526"/>
      <c r="AJ98" s="1523"/>
      <c r="AK98" s="1523"/>
      <c r="AL98" s="1523"/>
      <c r="AM98" s="1523"/>
      <c r="AN98" s="1523">
        <f t="shared" si="15"/>
        <v>0</v>
      </c>
      <c r="AO98" s="1527"/>
      <c r="AP98" s="1527"/>
      <c r="AQ98" s="1527"/>
      <c r="AR98" s="1527"/>
      <c r="AS98" s="1527"/>
      <c r="AT98" s="1527"/>
      <c r="AU98" s="1527"/>
      <c r="AV98" s="1527"/>
      <c r="AW98" s="1527"/>
      <c r="AX98" s="563"/>
      <c r="AY98" s="1393" t="s">
        <v>940</v>
      </c>
    </row>
    <row r="99" spans="1:51" s="1530" customFormat="1" ht="46.5" outlineLevel="1" x14ac:dyDescent="0.25">
      <c r="A99" s="1482">
        <v>16.100000000000001</v>
      </c>
      <c r="B99" s="1483" t="s">
        <v>1694</v>
      </c>
      <c r="C99" s="1531" t="s">
        <v>936</v>
      </c>
      <c r="D99" s="1482" t="str">
        <f t="shared" ref="D99:E101" si="20">D98</f>
        <v>MERC/TECH 1/CAPEX/20142015/00432</v>
      </c>
      <c r="E99" s="1532">
        <f t="shared" si="20"/>
        <v>41748</v>
      </c>
      <c r="F99" s="1390">
        <f>IF(F98=0,"-",F98)</f>
        <v>41792</v>
      </c>
      <c r="G99" s="565">
        <v>5.5023</v>
      </c>
      <c r="H99" s="565">
        <v>5.5023</v>
      </c>
      <c r="I99" s="563"/>
      <c r="J99" s="563"/>
      <c r="K99" s="1390">
        <v>41792</v>
      </c>
      <c r="L99" s="1391"/>
      <c r="M99" s="1391"/>
      <c r="N99" s="1391"/>
      <c r="O99" s="1402"/>
      <c r="P99" s="1533">
        <v>4.2318929900000004</v>
      </c>
      <c r="Q99" s="1542"/>
      <c r="R99" s="1542"/>
      <c r="S99" s="1542"/>
      <c r="T99" s="1542">
        <f t="shared" si="14"/>
        <v>4.2318929900000004</v>
      </c>
      <c r="U99" s="1542"/>
      <c r="V99" s="1542"/>
      <c r="W99" s="1542"/>
      <c r="X99" s="1542"/>
      <c r="Y99" s="1542"/>
      <c r="Z99" s="1542"/>
      <c r="AA99" s="1542"/>
      <c r="AB99" s="1542"/>
      <c r="AC99" s="1526"/>
      <c r="AD99" s="1526"/>
      <c r="AE99" s="1526"/>
      <c r="AF99" s="1526"/>
      <c r="AG99" s="1526"/>
      <c r="AH99" s="1526"/>
      <c r="AI99" s="1526"/>
      <c r="AJ99" s="1533">
        <v>4.2318929900000004</v>
      </c>
      <c r="AK99" s="1533"/>
      <c r="AL99" s="1533"/>
      <c r="AM99" s="1533"/>
      <c r="AN99" s="1523">
        <f t="shared" si="15"/>
        <v>4.2318929900000004</v>
      </c>
      <c r="AO99" s="1533"/>
      <c r="AP99" s="1533"/>
      <c r="AQ99" s="1533"/>
      <c r="AR99" s="1533"/>
      <c r="AS99" s="1533"/>
      <c r="AT99" s="1533"/>
      <c r="AU99" s="1533"/>
      <c r="AV99" s="1533"/>
      <c r="AW99" s="1533"/>
      <c r="AX99" s="563"/>
      <c r="AY99" s="1534" t="s">
        <v>940</v>
      </c>
    </row>
    <row r="100" spans="1:51" s="1530" customFormat="1" ht="46.5" outlineLevel="1" x14ac:dyDescent="0.25">
      <c r="A100" s="1482">
        <v>16.2</v>
      </c>
      <c r="B100" s="1483" t="s">
        <v>1695</v>
      </c>
      <c r="C100" s="1531" t="s">
        <v>936</v>
      </c>
      <c r="D100" s="1482" t="str">
        <f t="shared" si="20"/>
        <v>MERC/TECH 1/CAPEX/20142015/00432</v>
      </c>
      <c r="E100" s="1532">
        <f t="shared" si="20"/>
        <v>41748</v>
      </c>
      <c r="F100" s="1390">
        <f>IF(F99=0,"-",F99)</f>
        <v>41792</v>
      </c>
      <c r="G100" s="565">
        <v>5.5023</v>
      </c>
      <c r="H100" s="565">
        <v>5.5023</v>
      </c>
      <c r="I100" s="563"/>
      <c r="J100" s="563"/>
      <c r="K100" s="1390">
        <v>41792</v>
      </c>
      <c r="L100" s="1391"/>
      <c r="M100" s="1391"/>
      <c r="N100" s="1391"/>
      <c r="O100" s="1402"/>
      <c r="P100" s="1533">
        <v>4.5024009140000008</v>
      </c>
      <c r="Q100" s="1542"/>
      <c r="R100" s="1542"/>
      <c r="S100" s="1542"/>
      <c r="T100" s="1542">
        <f t="shared" si="14"/>
        <v>4.5024009140000008</v>
      </c>
      <c r="U100" s="1542"/>
      <c r="V100" s="1542"/>
      <c r="W100" s="1542"/>
      <c r="X100" s="1542"/>
      <c r="Y100" s="1542"/>
      <c r="Z100" s="1542"/>
      <c r="AA100" s="1542"/>
      <c r="AB100" s="1542"/>
      <c r="AC100" s="1526"/>
      <c r="AD100" s="1526"/>
      <c r="AE100" s="1526"/>
      <c r="AF100" s="1526"/>
      <c r="AG100" s="1526"/>
      <c r="AH100" s="1526"/>
      <c r="AI100" s="1526"/>
      <c r="AJ100" s="1533">
        <v>4.5024009140000008</v>
      </c>
      <c r="AK100" s="1533"/>
      <c r="AL100" s="1533"/>
      <c r="AM100" s="1533"/>
      <c r="AN100" s="1523">
        <f t="shared" si="15"/>
        <v>4.5024009140000008</v>
      </c>
      <c r="AO100" s="1533"/>
      <c r="AP100" s="1533"/>
      <c r="AQ100" s="1533"/>
      <c r="AR100" s="1533"/>
      <c r="AS100" s="1533"/>
      <c r="AT100" s="1533"/>
      <c r="AU100" s="1533"/>
      <c r="AV100" s="1533"/>
      <c r="AW100" s="1533"/>
      <c r="AX100" s="563"/>
      <c r="AY100" s="1534" t="s">
        <v>940</v>
      </c>
    </row>
    <row r="101" spans="1:51" s="1530" customFormat="1" ht="31" outlineLevel="1" x14ac:dyDescent="0.25">
      <c r="A101" s="1482"/>
      <c r="B101" s="1483" t="s">
        <v>414</v>
      </c>
      <c r="C101" s="1531" t="s">
        <v>414</v>
      </c>
      <c r="D101" s="1482" t="str">
        <f t="shared" si="20"/>
        <v>MERC/TECH 1/CAPEX/20142015/00432</v>
      </c>
      <c r="E101" s="1532">
        <f t="shared" si="20"/>
        <v>41748</v>
      </c>
      <c r="F101" s="1390">
        <f>IF(F100=0,"-",F100)</f>
        <v>41792</v>
      </c>
      <c r="G101" s="565">
        <v>0.74</v>
      </c>
      <c r="H101" s="565">
        <v>0.74</v>
      </c>
      <c r="I101" s="563"/>
      <c r="J101" s="563"/>
      <c r="K101" s="1390">
        <v>41792</v>
      </c>
      <c r="L101" s="1391"/>
      <c r="M101" s="1391"/>
      <c r="N101" s="1391"/>
      <c r="O101" s="1402"/>
      <c r="P101" s="1533"/>
      <c r="Q101" s="1542"/>
      <c r="R101" s="1542"/>
      <c r="S101" s="1542"/>
      <c r="T101" s="1542">
        <f t="shared" si="14"/>
        <v>0</v>
      </c>
      <c r="U101" s="1542"/>
      <c r="V101" s="1542"/>
      <c r="W101" s="1542"/>
      <c r="X101" s="1542"/>
      <c r="Y101" s="1542"/>
      <c r="Z101" s="1542"/>
      <c r="AA101" s="1542"/>
      <c r="AB101" s="1542"/>
      <c r="AC101" s="1526"/>
      <c r="AD101" s="1526"/>
      <c r="AE101" s="1526"/>
      <c r="AF101" s="1526"/>
      <c r="AG101" s="1526"/>
      <c r="AH101" s="1526"/>
      <c r="AI101" s="1526"/>
      <c r="AJ101" s="1533"/>
      <c r="AK101" s="1533"/>
      <c r="AL101" s="1533"/>
      <c r="AM101" s="1533"/>
      <c r="AN101" s="1523">
        <f t="shared" si="15"/>
        <v>0</v>
      </c>
      <c r="AO101" s="1533"/>
      <c r="AP101" s="1533"/>
      <c r="AQ101" s="1533"/>
      <c r="AR101" s="1533"/>
      <c r="AS101" s="1533"/>
      <c r="AT101" s="1533"/>
      <c r="AU101" s="1533"/>
      <c r="AV101" s="1533"/>
      <c r="AW101" s="1533"/>
      <c r="AX101" s="563"/>
      <c r="AY101" s="1534"/>
    </row>
    <row r="102" spans="1:51" ht="31" outlineLevel="1" x14ac:dyDescent="0.25">
      <c r="A102" s="1486">
        <v>17</v>
      </c>
      <c r="B102" s="1491" t="s">
        <v>1696</v>
      </c>
      <c r="C102" s="1486" t="s">
        <v>928</v>
      </c>
      <c r="D102" s="1486" t="s">
        <v>1697</v>
      </c>
      <c r="E102" s="1487">
        <v>41810</v>
      </c>
      <c r="F102" s="1487">
        <v>41928</v>
      </c>
      <c r="G102" s="1383">
        <f>SUM(G103:G105)</f>
        <v>19.310244699999998</v>
      </c>
      <c r="H102" s="1383">
        <f>SUM(H103:H105)</f>
        <v>19.310244699999998</v>
      </c>
      <c r="I102" s="161"/>
      <c r="J102" s="161"/>
      <c r="K102" s="1413">
        <v>41928</v>
      </c>
      <c r="L102" s="1414"/>
      <c r="M102" s="1414"/>
      <c r="N102" s="1414"/>
      <c r="O102" s="1551"/>
      <c r="P102" s="1523"/>
      <c r="Q102" s="1524"/>
      <c r="R102" s="1524"/>
      <c r="S102" s="1524"/>
      <c r="T102" s="1524">
        <f t="shared" si="14"/>
        <v>0</v>
      </c>
      <c r="U102" s="1552"/>
      <c r="V102" s="1552"/>
      <c r="W102" s="1401"/>
      <c r="X102" s="1401"/>
      <c r="Y102" s="1401"/>
      <c r="Z102" s="1401"/>
      <c r="AA102" s="1401"/>
      <c r="AB102" s="1401"/>
      <c r="AC102" s="1522"/>
      <c r="AD102" s="1522"/>
      <c r="AE102" s="1522"/>
      <c r="AF102" s="1522"/>
      <c r="AG102" s="1522"/>
      <c r="AH102" s="1522"/>
      <c r="AI102" s="1522"/>
      <c r="AJ102" s="1523"/>
      <c r="AK102" s="1523"/>
      <c r="AL102" s="1523"/>
      <c r="AM102" s="1523"/>
      <c r="AN102" s="1523">
        <f t="shared" si="15"/>
        <v>0</v>
      </c>
      <c r="AO102" s="1553"/>
      <c r="AP102" s="1553"/>
      <c r="AQ102" s="1553"/>
      <c r="AR102" s="1553"/>
      <c r="AS102" s="1553"/>
      <c r="AT102" s="1553"/>
      <c r="AU102" s="1553"/>
      <c r="AV102" s="1553"/>
      <c r="AW102" s="1553"/>
      <c r="AX102" s="161"/>
      <c r="AY102" s="1636"/>
    </row>
    <row r="103" spans="1:51" ht="62" outlineLevel="1" x14ac:dyDescent="0.25">
      <c r="A103" s="1488">
        <v>17.100000000000001</v>
      </c>
      <c r="B103" s="1492" t="s">
        <v>1698</v>
      </c>
      <c r="C103" s="1554" t="s">
        <v>936</v>
      </c>
      <c r="D103" s="1488" t="str">
        <f t="shared" ref="D103:E105" si="21">D102</f>
        <v>MERC/TECH 1/CAPEX/20142015/0010</v>
      </c>
      <c r="E103" s="1495">
        <f t="shared" si="21"/>
        <v>41810</v>
      </c>
      <c r="F103" s="1413">
        <f>IF(F102=0,"-",F102)</f>
        <v>41928</v>
      </c>
      <c r="G103" s="560">
        <f>3.3466*2+3.408*2</f>
        <v>13.5092</v>
      </c>
      <c r="H103" s="560">
        <f>3.3466*2+3.408*2</f>
        <v>13.5092</v>
      </c>
      <c r="I103" s="161"/>
      <c r="J103" s="161"/>
      <c r="K103" s="1413">
        <v>41928</v>
      </c>
      <c r="L103" s="1414"/>
      <c r="M103" s="1414"/>
      <c r="N103" s="1414"/>
      <c r="O103" s="1551"/>
      <c r="P103" s="1533">
        <v>0</v>
      </c>
      <c r="Q103" s="1533">
        <v>0</v>
      </c>
      <c r="R103" s="1533">
        <v>0</v>
      </c>
      <c r="S103" s="1533">
        <v>1.3517447</v>
      </c>
      <c r="T103" s="1533">
        <f t="shared" si="14"/>
        <v>1.3517447</v>
      </c>
      <c r="U103" s="1537">
        <v>4.0367752799999996</v>
      </c>
      <c r="V103" s="320">
        <v>0</v>
      </c>
      <c r="W103" s="320">
        <v>0</v>
      </c>
      <c r="X103" s="320"/>
      <c r="Y103" s="320"/>
      <c r="Z103" s="320"/>
      <c r="AA103" s="320"/>
      <c r="AB103" s="320"/>
      <c r="AC103" s="1538"/>
      <c r="AD103" s="1538"/>
      <c r="AE103" s="1538"/>
      <c r="AF103" s="1538"/>
      <c r="AG103" s="1522"/>
      <c r="AH103" s="1522"/>
      <c r="AI103" s="1522"/>
      <c r="AJ103" s="1533">
        <v>0</v>
      </c>
      <c r="AK103" s="1533">
        <v>0</v>
      </c>
      <c r="AL103" s="1533">
        <v>0</v>
      </c>
      <c r="AM103" s="1533">
        <v>1.3517447</v>
      </c>
      <c r="AN103" s="1523">
        <f t="shared" si="15"/>
        <v>1.3517447</v>
      </c>
      <c r="AO103" s="1537">
        <v>4.0367752799999996</v>
      </c>
      <c r="AP103" s="320">
        <v>0</v>
      </c>
      <c r="AQ103" s="320">
        <v>0</v>
      </c>
      <c r="AR103" s="320"/>
      <c r="AS103" s="320"/>
      <c r="AT103" s="320"/>
      <c r="AU103" s="320"/>
      <c r="AV103" s="320"/>
      <c r="AW103" s="320"/>
      <c r="AX103" s="161"/>
      <c r="AY103" s="1540" t="s">
        <v>940</v>
      </c>
    </row>
    <row r="104" spans="1:51" ht="315" customHeight="1" outlineLevel="1" x14ac:dyDescent="0.25">
      <c r="A104" s="1488">
        <v>17.2</v>
      </c>
      <c r="B104" s="1492" t="s">
        <v>1699</v>
      </c>
      <c r="C104" s="1554" t="s">
        <v>936</v>
      </c>
      <c r="D104" s="1488" t="str">
        <f t="shared" si="21"/>
        <v>MERC/TECH 1/CAPEX/20142015/0010</v>
      </c>
      <c r="E104" s="1495">
        <f t="shared" si="21"/>
        <v>41810</v>
      </c>
      <c r="F104" s="1413">
        <f>IF(F103=0,"-",F103)</f>
        <v>41928</v>
      </c>
      <c r="G104" s="560">
        <f>2.205699+1.6180957+0.72725</f>
        <v>4.5510447000000003</v>
      </c>
      <c r="H104" s="560">
        <f>2.205699+1.6180957+0.72725</f>
        <v>4.5510447000000003</v>
      </c>
      <c r="I104" s="161"/>
      <c r="J104" s="161"/>
      <c r="K104" s="1413">
        <v>41928</v>
      </c>
      <c r="L104" s="1414"/>
      <c r="M104" s="1414"/>
      <c r="N104" s="1414"/>
      <c r="O104" s="1551" t="s">
        <v>2272</v>
      </c>
      <c r="P104" s="1533">
        <v>0</v>
      </c>
      <c r="Q104" s="1533">
        <v>0</v>
      </c>
      <c r="R104" s="1533">
        <v>0</v>
      </c>
      <c r="S104" s="1533">
        <v>0</v>
      </c>
      <c r="T104" s="1533">
        <f t="shared" si="14"/>
        <v>0</v>
      </c>
      <c r="U104" s="1537">
        <v>2.3470200000000001</v>
      </c>
      <c r="V104" s="320"/>
      <c r="W104" s="1550">
        <v>3.5</v>
      </c>
      <c r="X104" s="1550">
        <v>1.4</v>
      </c>
      <c r="Y104" s="320"/>
      <c r="Z104" s="320"/>
      <c r="AA104" s="320"/>
      <c r="AB104" s="320"/>
      <c r="AC104" s="1538"/>
      <c r="AD104" s="1538"/>
      <c r="AE104" s="1538"/>
      <c r="AF104" s="1538"/>
      <c r="AG104" s="1522"/>
      <c r="AH104" s="1522"/>
      <c r="AI104" s="1522"/>
      <c r="AJ104" s="1533">
        <v>0</v>
      </c>
      <c r="AK104" s="1533">
        <v>0</v>
      </c>
      <c r="AL104" s="1533">
        <v>0</v>
      </c>
      <c r="AM104" s="1533">
        <v>0</v>
      </c>
      <c r="AN104" s="1523">
        <f t="shared" si="15"/>
        <v>0</v>
      </c>
      <c r="AO104" s="1537">
        <v>2.3470200000000001</v>
      </c>
      <c r="AP104" s="320"/>
      <c r="AQ104" s="1550">
        <v>3.5</v>
      </c>
      <c r="AR104" s="1550">
        <v>1.4</v>
      </c>
      <c r="AS104" s="320"/>
      <c r="AT104" s="320"/>
      <c r="AU104" s="320"/>
      <c r="AV104" s="320"/>
      <c r="AW104" s="320"/>
      <c r="AX104" s="161"/>
      <c r="AY104" s="1540" t="s">
        <v>938</v>
      </c>
    </row>
    <row r="105" spans="1:51" s="1530" customFormat="1" ht="31" outlineLevel="1" x14ac:dyDescent="0.25">
      <c r="A105" s="1482"/>
      <c r="B105" s="1483" t="s">
        <v>414</v>
      </c>
      <c r="C105" s="1531" t="s">
        <v>414</v>
      </c>
      <c r="D105" s="1482" t="str">
        <f t="shared" si="21"/>
        <v>MERC/TECH 1/CAPEX/20142015/0010</v>
      </c>
      <c r="E105" s="1532">
        <f t="shared" si="21"/>
        <v>41810</v>
      </c>
      <c r="F105" s="1390">
        <f>IF(F104=0,"-",F104)</f>
        <v>41928</v>
      </c>
      <c r="G105" s="565">
        <v>1.25</v>
      </c>
      <c r="H105" s="565">
        <v>1.25</v>
      </c>
      <c r="I105" s="563"/>
      <c r="J105" s="563"/>
      <c r="K105" s="1390">
        <v>41928</v>
      </c>
      <c r="L105" s="1391"/>
      <c r="M105" s="1391"/>
      <c r="N105" s="1391"/>
      <c r="O105" s="1402"/>
      <c r="P105" s="1533"/>
      <c r="Q105" s="1533">
        <v>0</v>
      </c>
      <c r="R105" s="1533">
        <v>0</v>
      </c>
      <c r="S105" s="1533">
        <v>0</v>
      </c>
      <c r="T105" s="1533">
        <f t="shared" si="14"/>
        <v>0</v>
      </c>
      <c r="U105" s="1533">
        <v>0</v>
      </c>
      <c r="V105" s="1533">
        <v>0</v>
      </c>
      <c r="W105" s="1533">
        <v>0</v>
      </c>
      <c r="X105" s="1533"/>
      <c r="Y105" s="1533"/>
      <c r="Z105" s="1533"/>
      <c r="AA105" s="1533"/>
      <c r="AB105" s="1533"/>
      <c r="AC105" s="1526"/>
      <c r="AD105" s="1526"/>
      <c r="AE105" s="1526"/>
      <c r="AF105" s="1526"/>
      <c r="AG105" s="1526"/>
      <c r="AH105" s="1526"/>
      <c r="AI105" s="1526"/>
      <c r="AJ105" s="1533"/>
      <c r="AK105" s="1533">
        <v>0</v>
      </c>
      <c r="AL105" s="1533">
        <v>0</v>
      </c>
      <c r="AM105" s="1533">
        <v>0</v>
      </c>
      <c r="AN105" s="1523">
        <f t="shared" si="15"/>
        <v>0</v>
      </c>
      <c r="AO105" s="1533">
        <v>0</v>
      </c>
      <c r="AP105" s="1533">
        <v>0</v>
      </c>
      <c r="AQ105" s="1533">
        <v>0</v>
      </c>
      <c r="AR105" s="1533"/>
      <c r="AS105" s="1533"/>
      <c r="AT105" s="1533"/>
      <c r="AU105" s="1533"/>
      <c r="AV105" s="1533"/>
      <c r="AW105" s="1533"/>
      <c r="AX105" s="563"/>
      <c r="AY105" s="1534"/>
    </row>
    <row r="106" spans="1:51" s="1530" customFormat="1" ht="46.5" outlineLevel="1" x14ac:dyDescent="0.25">
      <c r="A106" s="1477">
        <v>18</v>
      </c>
      <c r="B106" s="1478" t="s">
        <v>1700</v>
      </c>
      <c r="C106" s="1477" t="s">
        <v>928</v>
      </c>
      <c r="D106" s="1477" t="s">
        <v>1701</v>
      </c>
      <c r="E106" s="1479">
        <v>41892</v>
      </c>
      <c r="F106" s="1479">
        <v>41968</v>
      </c>
      <c r="G106" s="1380">
        <f>SUM(G107:G110)</f>
        <v>11.912799999999999</v>
      </c>
      <c r="H106" s="1380">
        <f>SUM(H107:H110)</f>
        <v>11.914453259999998</v>
      </c>
      <c r="I106" s="563"/>
      <c r="J106" s="563"/>
      <c r="K106" s="1390">
        <v>41968</v>
      </c>
      <c r="L106" s="1391"/>
      <c r="M106" s="1391"/>
      <c r="N106" s="1391"/>
      <c r="O106" s="1402"/>
      <c r="P106" s="1523"/>
      <c r="Q106" s="1524"/>
      <c r="R106" s="1524"/>
      <c r="S106" s="1524"/>
      <c r="T106" s="1524">
        <f t="shared" si="14"/>
        <v>0</v>
      </c>
      <c r="U106" s="1525"/>
      <c r="V106" s="1525"/>
      <c r="W106" s="1392"/>
      <c r="X106" s="1392"/>
      <c r="Y106" s="1392"/>
      <c r="Z106" s="1392"/>
      <c r="AA106" s="1392"/>
      <c r="AB106" s="1392"/>
      <c r="AC106" s="1526"/>
      <c r="AD106" s="1526"/>
      <c r="AE106" s="1526"/>
      <c r="AF106" s="1526"/>
      <c r="AG106" s="1526"/>
      <c r="AH106" s="1526"/>
      <c r="AI106" s="1526"/>
      <c r="AJ106" s="1523"/>
      <c r="AK106" s="1523"/>
      <c r="AL106" s="1523"/>
      <c r="AM106" s="1523"/>
      <c r="AN106" s="1523">
        <f t="shared" si="15"/>
        <v>0</v>
      </c>
      <c r="AO106" s="1527"/>
      <c r="AP106" s="1527"/>
      <c r="AQ106" s="1527"/>
      <c r="AR106" s="1527"/>
      <c r="AS106" s="1527"/>
      <c r="AT106" s="1527"/>
      <c r="AU106" s="1527"/>
      <c r="AV106" s="1527"/>
      <c r="AW106" s="1527"/>
      <c r="AX106" s="563"/>
      <c r="AY106" s="1393"/>
    </row>
    <row r="107" spans="1:51" s="1530" customFormat="1" ht="77.5" outlineLevel="1" x14ac:dyDescent="0.25">
      <c r="A107" s="1482">
        <v>18.100000000000001</v>
      </c>
      <c r="B107" s="1483" t="s">
        <v>1702</v>
      </c>
      <c r="C107" s="1531" t="s">
        <v>936</v>
      </c>
      <c r="D107" s="1482" t="str">
        <f t="shared" ref="D107:E110" si="22">D106</f>
        <v>MERC/TECH 1/CAPEX/20142015/01220</v>
      </c>
      <c r="E107" s="1532">
        <f t="shared" si="22"/>
        <v>41892</v>
      </c>
      <c r="F107" s="1390">
        <f>IF(F106=0,"-",F106)</f>
        <v>41968</v>
      </c>
      <c r="G107" s="565">
        <v>4.4387999999999996</v>
      </c>
      <c r="H107" s="565">
        <v>4.4387999999999996</v>
      </c>
      <c r="I107" s="563"/>
      <c r="J107" s="563"/>
      <c r="K107" s="1390">
        <v>41968</v>
      </c>
      <c r="L107" s="1391"/>
      <c r="M107" s="1391"/>
      <c r="N107" s="1391"/>
      <c r="O107" s="1402"/>
      <c r="P107" s="1533">
        <v>1.621920096</v>
      </c>
      <c r="Q107" s="1533">
        <v>0</v>
      </c>
      <c r="R107" s="1533">
        <v>0</v>
      </c>
      <c r="S107" s="1533">
        <v>0</v>
      </c>
      <c r="T107" s="1533">
        <f t="shared" si="14"/>
        <v>1.621920096</v>
      </c>
      <c r="U107" s="1533">
        <v>0</v>
      </c>
      <c r="V107" s="1533">
        <v>0</v>
      </c>
      <c r="W107" s="1533">
        <v>0</v>
      </c>
      <c r="X107" s="1533"/>
      <c r="Y107" s="1533"/>
      <c r="Z107" s="1533"/>
      <c r="AA107" s="1533"/>
      <c r="AB107" s="1533"/>
      <c r="AC107" s="1526"/>
      <c r="AD107" s="1526"/>
      <c r="AE107" s="1526"/>
      <c r="AF107" s="1526"/>
      <c r="AG107" s="1526"/>
      <c r="AH107" s="1526"/>
      <c r="AI107" s="1526"/>
      <c r="AJ107" s="1533">
        <v>1.621920096</v>
      </c>
      <c r="AK107" s="1533">
        <v>0</v>
      </c>
      <c r="AL107" s="1533">
        <v>0</v>
      </c>
      <c r="AM107" s="1533">
        <v>0</v>
      </c>
      <c r="AN107" s="1523">
        <f t="shared" si="15"/>
        <v>1.621920096</v>
      </c>
      <c r="AO107" s="1533">
        <v>0</v>
      </c>
      <c r="AP107" s="1533">
        <v>0</v>
      </c>
      <c r="AQ107" s="1533">
        <v>0</v>
      </c>
      <c r="AR107" s="1533"/>
      <c r="AS107" s="1533"/>
      <c r="AT107" s="1533"/>
      <c r="AU107" s="1533"/>
      <c r="AV107" s="1533"/>
      <c r="AW107" s="1533"/>
      <c r="AX107" s="563"/>
      <c r="AY107" s="1534" t="s">
        <v>940</v>
      </c>
    </row>
    <row r="108" spans="1:51" s="1530" customFormat="1" ht="46.5" outlineLevel="1" x14ac:dyDescent="0.25">
      <c r="A108" s="1482">
        <v>18.2</v>
      </c>
      <c r="B108" s="1483" t="s">
        <v>1703</v>
      </c>
      <c r="C108" s="1531" t="s">
        <v>936</v>
      </c>
      <c r="D108" s="1482" t="str">
        <f t="shared" si="22"/>
        <v>MERC/TECH 1/CAPEX/20142015/01220</v>
      </c>
      <c r="E108" s="1532">
        <f t="shared" si="22"/>
        <v>41892</v>
      </c>
      <c r="F108" s="1390">
        <f>IF(F107=0,"-",F107)</f>
        <v>41968</v>
      </c>
      <c r="G108" s="565">
        <v>2.274</v>
      </c>
      <c r="H108" s="1533">
        <v>2.2756532600000003</v>
      </c>
      <c r="I108" s="563"/>
      <c r="J108" s="563"/>
      <c r="K108" s="1390">
        <v>41968</v>
      </c>
      <c r="L108" s="1391"/>
      <c r="M108" s="1391"/>
      <c r="N108" s="1391"/>
      <c r="O108" s="1402"/>
      <c r="P108" s="1533">
        <v>1.24413536</v>
      </c>
      <c r="Q108" s="1533">
        <v>1.0315179000000001</v>
      </c>
      <c r="R108" s="1533">
        <v>0</v>
      </c>
      <c r="S108" s="1533">
        <v>0</v>
      </c>
      <c r="T108" s="1533">
        <f t="shared" si="14"/>
        <v>2.2756532600000003</v>
      </c>
      <c r="U108" s="1533">
        <v>0</v>
      </c>
      <c r="V108" s="1533">
        <v>0</v>
      </c>
      <c r="W108" s="1533">
        <v>0</v>
      </c>
      <c r="X108" s="1533"/>
      <c r="Y108" s="1533"/>
      <c r="Z108" s="1533"/>
      <c r="AA108" s="1533"/>
      <c r="AB108" s="1533"/>
      <c r="AC108" s="1526"/>
      <c r="AD108" s="1526"/>
      <c r="AE108" s="1526"/>
      <c r="AF108" s="1526"/>
      <c r="AG108" s="1526"/>
      <c r="AH108" s="1526"/>
      <c r="AI108" s="1526"/>
      <c r="AJ108" s="1533">
        <v>1.24413536</v>
      </c>
      <c r="AK108" s="1533">
        <v>0</v>
      </c>
      <c r="AL108" s="1533">
        <v>0</v>
      </c>
      <c r="AM108" s="1533">
        <v>1.0315179000000001</v>
      </c>
      <c r="AN108" s="1523">
        <f t="shared" si="15"/>
        <v>2.2756532600000003</v>
      </c>
      <c r="AO108" s="1533">
        <v>0</v>
      </c>
      <c r="AP108" s="1533">
        <v>0</v>
      </c>
      <c r="AQ108" s="1533">
        <v>0</v>
      </c>
      <c r="AR108" s="1533"/>
      <c r="AS108" s="1533"/>
      <c r="AT108" s="1533"/>
      <c r="AU108" s="1533"/>
      <c r="AV108" s="1533"/>
      <c r="AW108" s="1533"/>
      <c r="AX108" s="563"/>
      <c r="AY108" s="1534" t="s">
        <v>940</v>
      </c>
    </row>
    <row r="109" spans="1:51" s="1530" customFormat="1" ht="77.5" outlineLevel="1" x14ac:dyDescent="0.25">
      <c r="A109" s="1482">
        <v>18.3</v>
      </c>
      <c r="B109" s="1483" t="s">
        <v>1704</v>
      </c>
      <c r="C109" s="1531" t="s">
        <v>936</v>
      </c>
      <c r="D109" s="1482" t="str">
        <f t="shared" si="22"/>
        <v>MERC/TECH 1/CAPEX/20142015/01220</v>
      </c>
      <c r="E109" s="1532">
        <f t="shared" si="22"/>
        <v>41892</v>
      </c>
      <c r="F109" s="1390">
        <f>IF(F108=0,"-",F108)</f>
        <v>41968</v>
      </c>
      <c r="G109" s="565">
        <v>4.4664999999999999</v>
      </c>
      <c r="H109" s="565">
        <v>4.4664999999999999</v>
      </c>
      <c r="I109" s="563"/>
      <c r="J109" s="563"/>
      <c r="K109" s="1390">
        <v>41968</v>
      </c>
      <c r="L109" s="1391"/>
      <c r="M109" s="1391"/>
      <c r="N109" s="1391"/>
      <c r="O109" s="1402"/>
      <c r="P109" s="1533">
        <v>2.2257651389999999</v>
      </c>
      <c r="Q109" s="1533">
        <v>0</v>
      </c>
      <c r="R109" s="1533">
        <v>0</v>
      </c>
      <c r="S109" s="1533">
        <v>0</v>
      </c>
      <c r="T109" s="1533">
        <f t="shared" si="14"/>
        <v>2.2257651389999999</v>
      </c>
      <c r="U109" s="1533">
        <v>0</v>
      </c>
      <c r="V109" s="1533">
        <v>0</v>
      </c>
      <c r="W109" s="1533">
        <v>0</v>
      </c>
      <c r="X109" s="1533"/>
      <c r="Y109" s="1533"/>
      <c r="Z109" s="1533"/>
      <c r="AA109" s="1533"/>
      <c r="AB109" s="1533"/>
      <c r="AC109" s="1526"/>
      <c r="AD109" s="1526"/>
      <c r="AE109" s="1526"/>
      <c r="AF109" s="1526"/>
      <c r="AG109" s="1526"/>
      <c r="AH109" s="1526"/>
      <c r="AI109" s="1526"/>
      <c r="AJ109" s="1533">
        <v>2.2257651389999999</v>
      </c>
      <c r="AK109" s="1533">
        <v>0</v>
      </c>
      <c r="AL109" s="1533">
        <v>0</v>
      </c>
      <c r="AM109" s="1533">
        <v>0</v>
      </c>
      <c r="AN109" s="1523">
        <f t="shared" si="15"/>
        <v>2.2257651389999999</v>
      </c>
      <c r="AO109" s="1533">
        <v>0</v>
      </c>
      <c r="AP109" s="1533">
        <v>0</v>
      </c>
      <c r="AQ109" s="1533">
        <v>0</v>
      </c>
      <c r="AR109" s="1533"/>
      <c r="AS109" s="1533"/>
      <c r="AT109" s="1533"/>
      <c r="AU109" s="1533"/>
      <c r="AV109" s="1533"/>
      <c r="AW109" s="1533"/>
      <c r="AX109" s="563"/>
      <c r="AY109" s="1534" t="s">
        <v>940</v>
      </c>
    </row>
    <row r="110" spans="1:51" s="1530" customFormat="1" ht="31" outlineLevel="1" x14ac:dyDescent="0.25">
      <c r="A110" s="1482"/>
      <c r="B110" s="1483" t="s">
        <v>414</v>
      </c>
      <c r="C110" s="1531" t="s">
        <v>414</v>
      </c>
      <c r="D110" s="1482" t="str">
        <f t="shared" si="22"/>
        <v>MERC/TECH 1/CAPEX/20142015/01220</v>
      </c>
      <c r="E110" s="1532">
        <f t="shared" si="22"/>
        <v>41892</v>
      </c>
      <c r="F110" s="1390">
        <f>IF(F109=0,"-",F109)</f>
        <v>41968</v>
      </c>
      <c r="G110" s="565">
        <v>0.73350000000000004</v>
      </c>
      <c r="H110" s="565">
        <v>0.73350000000000004</v>
      </c>
      <c r="I110" s="563"/>
      <c r="J110" s="563"/>
      <c r="K110" s="1390">
        <v>41968</v>
      </c>
      <c r="L110" s="1391"/>
      <c r="M110" s="1391"/>
      <c r="N110" s="1391"/>
      <c r="O110" s="1402"/>
      <c r="P110" s="1533"/>
      <c r="Q110" s="1533">
        <v>0</v>
      </c>
      <c r="R110" s="1533">
        <v>0</v>
      </c>
      <c r="S110" s="1533">
        <v>0</v>
      </c>
      <c r="T110" s="1533">
        <f t="shared" si="14"/>
        <v>0</v>
      </c>
      <c r="U110" s="1533">
        <v>0</v>
      </c>
      <c r="V110" s="1533">
        <v>0</v>
      </c>
      <c r="W110" s="1533">
        <v>0</v>
      </c>
      <c r="X110" s="1533"/>
      <c r="Y110" s="1533"/>
      <c r="Z110" s="1533"/>
      <c r="AA110" s="1533"/>
      <c r="AB110" s="1533"/>
      <c r="AC110" s="1526"/>
      <c r="AD110" s="1526"/>
      <c r="AE110" s="1526"/>
      <c r="AF110" s="1526"/>
      <c r="AG110" s="1526"/>
      <c r="AH110" s="1526"/>
      <c r="AI110" s="1526"/>
      <c r="AJ110" s="1533"/>
      <c r="AK110" s="1533">
        <v>0</v>
      </c>
      <c r="AL110" s="1533">
        <v>0</v>
      </c>
      <c r="AM110" s="1533">
        <v>0</v>
      </c>
      <c r="AN110" s="1523">
        <f t="shared" si="15"/>
        <v>0</v>
      </c>
      <c r="AO110" s="1533">
        <v>0</v>
      </c>
      <c r="AP110" s="1533">
        <v>0</v>
      </c>
      <c r="AQ110" s="1533">
        <v>0</v>
      </c>
      <c r="AR110" s="1533"/>
      <c r="AS110" s="1533"/>
      <c r="AT110" s="1533"/>
      <c r="AU110" s="1533"/>
      <c r="AV110" s="1533"/>
      <c r="AW110" s="1533"/>
      <c r="AX110" s="563"/>
      <c r="AY110" s="1534"/>
    </row>
    <row r="111" spans="1:51" s="1530" customFormat="1" ht="31" outlineLevel="1" x14ac:dyDescent="0.25">
      <c r="A111" s="1477">
        <v>19</v>
      </c>
      <c r="B111" s="1478" t="s">
        <v>1705</v>
      </c>
      <c r="C111" s="1477" t="s">
        <v>928</v>
      </c>
      <c r="D111" s="1477" t="s">
        <v>1706</v>
      </c>
      <c r="E111" s="1479">
        <v>41851</v>
      </c>
      <c r="F111" s="1479">
        <v>41893</v>
      </c>
      <c r="G111" s="1380">
        <f>SUM(G112:G114)</f>
        <v>13.163734</v>
      </c>
      <c r="H111" s="1380">
        <f>SUM(H112:H114)</f>
        <v>13.163734</v>
      </c>
      <c r="I111" s="563"/>
      <c r="J111" s="563"/>
      <c r="K111" s="1390">
        <v>41893</v>
      </c>
      <c r="L111" s="1391"/>
      <c r="M111" s="1391"/>
      <c r="N111" s="1391"/>
      <c r="O111" s="1402"/>
      <c r="P111" s="1523"/>
      <c r="Q111" s="1524"/>
      <c r="R111" s="1524"/>
      <c r="S111" s="1524"/>
      <c r="T111" s="1524">
        <f t="shared" si="14"/>
        <v>0</v>
      </c>
      <c r="U111" s="1525"/>
      <c r="V111" s="1525"/>
      <c r="W111" s="1392"/>
      <c r="X111" s="1392"/>
      <c r="Y111" s="1392"/>
      <c r="Z111" s="1392"/>
      <c r="AA111" s="1392"/>
      <c r="AB111" s="1392"/>
      <c r="AC111" s="1526"/>
      <c r="AD111" s="1526"/>
      <c r="AE111" s="1526"/>
      <c r="AF111" s="1526"/>
      <c r="AG111" s="1526"/>
      <c r="AH111" s="1526"/>
      <c r="AI111" s="1526"/>
      <c r="AJ111" s="1523"/>
      <c r="AK111" s="1523"/>
      <c r="AL111" s="1523"/>
      <c r="AM111" s="1523"/>
      <c r="AN111" s="1523">
        <f t="shared" si="15"/>
        <v>0</v>
      </c>
      <c r="AO111" s="1527"/>
      <c r="AP111" s="1527"/>
      <c r="AQ111" s="1527"/>
      <c r="AR111" s="1527"/>
      <c r="AS111" s="1527"/>
      <c r="AT111" s="1527"/>
      <c r="AU111" s="1527"/>
      <c r="AV111" s="1527"/>
      <c r="AW111" s="1527"/>
      <c r="AX111" s="563"/>
      <c r="AY111" s="1393"/>
    </row>
    <row r="112" spans="1:51" s="1530" customFormat="1" ht="31" outlineLevel="1" x14ac:dyDescent="0.25">
      <c r="A112" s="1482">
        <v>19.100000000000001</v>
      </c>
      <c r="B112" s="1483" t="s">
        <v>1707</v>
      </c>
      <c r="C112" s="1531" t="s">
        <v>936</v>
      </c>
      <c r="D112" s="1482" t="str">
        <f t="shared" ref="D112:E114" si="23">D111</f>
        <v>MERC/TECH 1/CAPEX/20142015/00950</v>
      </c>
      <c r="E112" s="1532">
        <f t="shared" si="23"/>
        <v>41851</v>
      </c>
      <c r="F112" s="1390">
        <f>IF(F111=0,"-",F111)</f>
        <v>41893</v>
      </c>
      <c r="G112" s="565">
        <v>4.87</v>
      </c>
      <c r="H112" s="565">
        <v>4.87</v>
      </c>
      <c r="I112" s="563"/>
      <c r="J112" s="563"/>
      <c r="K112" s="1390">
        <v>41893</v>
      </c>
      <c r="L112" s="1391"/>
      <c r="M112" s="1391"/>
      <c r="N112" s="1391"/>
      <c r="O112" s="1402"/>
      <c r="P112" s="1533">
        <v>2.8937499999999998</v>
      </c>
      <c r="Q112" s="1542"/>
      <c r="R112" s="1542"/>
      <c r="S112" s="1542"/>
      <c r="T112" s="1542">
        <f t="shared" si="14"/>
        <v>2.8937499999999998</v>
      </c>
      <c r="U112" s="1542"/>
      <c r="V112" s="1542"/>
      <c r="W112" s="1542"/>
      <c r="X112" s="1542"/>
      <c r="Y112" s="1542"/>
      <c r="Z112" s="1542"/>
      <c r="AA112" s="1542"/>
      <c r="AB112" s="1542"/>
      <c r="AC112" s="1526"/>
      <c r="AD112" s="1526"/>
      <c r="AE112" s="1526"/>
      <c r="AF112" s="1526"/>
      <c r="AG112" s="1526"/>
      <c r="AH112" s="1526"/>
      <c r="AI112" s="1526"/>
      <c r="AJ112" s="1533">
        <v>2.8937499999999998</v>
      </c>
      <c r="AK112" s="1533"/>
      <c r="AL112" s="1533"/>
      <c r="AM112" s="1533"/>
      <c r="AN112" s="1523">
        <f t="shared" si="15"/>
        <v>2.8937499999999998</v>
      </c>
      <c r="AO112" s="1533"/>
      <c r="AP112" s="1533"/>
      <c r="AQ112" s="1533"/>
      <c r="AR112" s="1533"/>
      <c r="AS112" s="1533"/>
      <c r="AT112" s="1533"/>
      <c r="AU112" s="1533"/>
      <c r="AV112" s="1533"/>
      <c r="AW112" s="1533"/>
      <c r="AX112" s="563"/>
      <c r="AY112" s="1534" t="s">
        <v>940</v>
      </c>
    </row>
    <row r="113" spans="1:51" s="1530" customFormat="1" ht="31" outlineLevel="1" x14ac:dyDescent="0.25">
      <c r="A113" s="1482">
        <v>19.2</v>
      </c>
      <c r="B113" s="1483" t="s">
        <v>1708</v>
      </c>
      <c r="C113" s="1531" t="s">
        <v>936</v>
      </c>
      <c r="D113" s="1482" t="str">
        <f t="shared" si="23"/>
        <v>MERC/TECH 1/CAPEX/20142015/00950</v>
      </c>
      <c r="E113" s="1532">
        <f t="shared" si="23"/>
        <v>41851</v>
      </c>
      <c r="F113" s="1390">
        <f>IF(F112=0,"-",F112)</f>
        <v>41893</v>
      </c>
      <c r="G113" s="565">
        <f>0.0988596+6.2705764+0.724298</f>
        <v>7.0937340000000004</v>
      </c>
      <c r="H113" s="565">
        <f>0.0988596+6.2705764+0.724298</f>
        <v>7.0937340000000004</v>
      </c>
      <c r="I113" s="563"/>
      <c r="J113" s="563"/>
      <c r="K113" s="1390">
        <v>41893</v>
      </c>
      <c r="L113" s="1391"/>
      <c r="M113" s="1391"/>
      <c r="N113" s="1391"/>
      <c r="O113" s="1402"/>
      <c r="P113" s="1533">
        <v>6.1698368290000003</v>
      </c>
      <c r="Q113" s="1542"/>
      <c r="R113" s="1542"/>
      <c r="S113" s="1542"/>
      <c r="T113" s="1542">
        <f t="shared" si="14"/>
        <v>6.1698368290000003</v>
      </c>
      <c r="U113" s="1542"/>
      <c r="V113" s="1542"/>
      <c r="W113" s="1542"/>
      <c r="X113" s="1542"/>
      <c r="Y113" s="1542"/>
      <c r="Z113" s="1542"/>
      <c r="AA113" s="1542"/>
      <c r="AB113" s="1542"/>
      <c r="AC113" s="1526"/>
      <c r="AD113" s="1526"/>
      <c r="AE113" s="1526"/>
      <c r="AF113" s="1526"/>
      <c r="AG113" s="1526"/>
      <c r="AH113" s="1526"/>
      <c r="AI113" s="1526"/>
      <c r="AJ113" s="1533">
        <v>6.1698368290000003</v>
      </c>
      <c r="AK113" s="1533"/>
      <c r="AL113" s="1533"/>
      <c r="AM113" s="1533"/>
      <c r="AN113" s="1523">
        <f t="shared" si="15"/>
        <v>6.1698368290000003</v>
      </c>
      <c r="AO113" s="1533"/>
      <c r="AP113" s="1533"/>
      <c r="AQ113" s="1533"/>
      <c r="AR113" s="1533"/>
      <c r="AS113" s="1533"/>
      <c r="AT113" s="1533"/>
      <c r="AU113" s="1533"/>
      <c r="AV113" s="1533"/>
      <c r="AW113" s="1533"/>
      <c r="AX113" s="563"/>
      <c r="AY113" s="1534" t="s">
        <v>940</v>
      </c>
    </row>
    <row r="114" spans="1:51" s="1530" customFormat="1" ht="31" outlineLevel="1" x14ac:dyDescent="0.25">
      <c r="A114" s="1482"/>
      <c r="B114" s="1483" t="s">
        <v>414</v>
      </c>
      <c r="C114" s="1531" t="s">
        <v>414</v>
      </c>
      <c r="D114" s="1482" t="str">
        <f t="shared" si="23"/>
        <v>MERC/TECH 1/CAPEX/20142015/00950</v>
      </c>
      <c r="E114" s="1532">
        <f t="shared" si="23"/>
        <v>41851</v>
      </c>
      <c r="F114" s="1390">
        <f>IF(F113=0,"-",F113)</f>
        <v>41893</v>
      </c>
      <c r="G114" s="565">
        <v>1.2</v>
      </c>
      <c r="H114" s="565">
        <v>1.2</v>
      </c>
      <c r="I114" s="563"/>
      <c r="J114" s="563"/>
      <c r="K114" s="1390">
        <v>41893</v>
      </c>
      <c r="L114" s="1391"/>
      <c r="M114" s="1391"/>
      <c r="N114" s="1391"/>
      <c r="O114" s="1402"/>
      <c r="P114" s="1533"/>
      <c r="Q114" s="1542"/>
      <c r="R114" s="1542"/>
      <c r="S114" s="1542"/>
      <c r="T114" s="1542">
        <f t="shared" si="14"/>
        <v>0</v>
      </c>
      <c r="U114" s="1542"/>
      <c r="V114" s="1542"/>
      <c r="W114" s="1542"/>
      <c r="X114" s="1542"/>
      <c r="Y114" s="1542"/>
      <c r="Z114" s="1542"/>
      <c r="AA114" s="1542"/>
      <c r="AB114" s="1542"/>
      <c r="AC114" s="1526"/>
      <c r="AD114" s="1526"/>
      <c r="AE114" s="1526"/>
      <c r="AF114" s="1526"/>
      <c r="AG114" s="1526"/>
      <c r="AH114" s="1526"/>
      <c r="AI114" s="1526"/>
      <c r="AJ114" s="1533"/>
      <c r="AK114" s="1533"/>
      <c r="AL114" s="1533"/>
      <c r="AM114" s="1533"/>
      <c r="AN114" s="1523">
        <f t="shared" si="15"/>
        <v>0</v>
      </c>
      <c r="AO114" s="1533"/>
      <c r="AP114" s="1533"/>
      <c r="AQ114" s="1533"/>
      <c r="AR114" s="1533"/>
      <c r="AS114" s="1533"/>
      <c r="AT114" s="1533"/>
      <c r="AU114" s="1533"/>
      <c r="AV114" s="1533"/>
      <c r="AW114" s="1533"/>
      <c r="AX114" s="563"/>
      <c r="AY114" s="1534"/>
    </row>
    <row r="115" spans="1:51" s="1530" customFormat="1" ht="31" outlineLevel="1" x14ac:dyDescent="0.25">
      <c r="A115" s="1477">
        <v>20</v>
      </c>
      <c r="B115" s="1478" t="s">
        <v>1709</v>
      </c>
      <c r="C115" s="1477" t="s">
        <v>928</v>
      </c>
      <c r="D115" s="1477" t="s">
        <v>1710</v>
      </c>
      <c r="E115" s="1479">
        <v>42247</v>
      </c>
      <c r="F115" s="1479">
        <v>42256</v>
      </c>
      <c r="G115" s="1380">
        <f>SUM(G116:G120)</f>
        <v>16.303000000000001</v>
      </c>
      <c r="H115" s="1380">
        <f>SUM(H116:H120)</f>
        <v>16.303000000000001</v>
      </c>
      <c r="I115" s="563"/>
      <c r="J115" s="563"/>
      <c r="K115" s="1390">
        <v>42256</v>
      </c>
      <c r="L115" s="1391"/>
      <c r="M115" s="1391"/>
      <c r="N115" s="1391"/>
      <c r="O115" s="1402"/>
      <c r="P115" s="1523"/>
      <c r="Q115" s="1524"/>
      <c r="R115" s="1524"/>
      <c r="S115" s="1524"/>
      <c r="T115" s="1524">
        <f t="shared" si="14"/>
        <v>0</v>
      </c>
      <c r="U115" s="1525"/>
      <c r="V115" s="1525"/>
      <c r="W115" s="1392"/>
      <c r="X115" s="1392"/>
      <c r="Y115" s="1392"/>
      <c r="Z115" s="1392"/>
      <c r="AA115" s="1392"/>
      <c r="AB115" s="1392"/>
      <c r="AC115" s="1526"/>
      <c r="AD115" s="1526"/>
      <c r="AE115" s="1526"/>
      <c r="AF115" s="1526"/>
      <c r="AG115" s="1526"/>
      <c r="AH115" s="1526"/>
      <c r="AI115" s="1526"/>
      <c r="AJ115" s="1523"/>
      <c r="AK115" s="1523"/>
      <c r="AL115" s="1523"/>
      <c r="AM115" s="1523"/>
      <c r="AN115" s="1523">
        <f t="shared" si="15"/>
        <v>0</v>
      </c>
      <c r="AO115" s="1527"/>
      <c r="AP115" s="1527"/>
      <c r="AQ115" s="1527"/>
      <c r="AR115" s="1527"/>
      <c r="AS115" s="1527"/>
      <c r="AT115" s="1527"/>
      <c r="AU115" s="1527"/>
      <c r="AV115" s="1527"/>
      <c r="AW115" s="1527"/>
      <c r="AX115" s="563"/>
      <c r="AY115" s="1393" t="s">
        <v>940</v>
      </c>
    </row>
    <row r="116" spans="1:51" s="1530" customFormat="1" ht="31" outlineLevel="1" x14ac:dyDescent="0.25">
      <c r="A116" s="1482">
        <v>20.100000000000001</v>
      </c>
      <c r="B116" s="1483" t="s">
        <v>1711</v>
      </c>
      <c r="C116" s="1531" t="s">
        <v>936</v>
      </c>
      <c r="D116" s="1482" t="str">
        <f t="shared" ref="D116:E120" si="24">D115</f>
        <v>MERC/Cell No. 1/CAPEX/ 20152016/00634</v>
      </c>
      <c r="E116" s="1532">
        <f t="shared" si="24"/>
        <v>42247</v>
      </c>
      <c r="F116" s="1390">
        <f>IF(F115=0,"-",F115)</f>
        <v>42256</v>
      </c>
      <c r="G116" s="565">
        <v>1.077</v>
      </c>
      <c r="H116" s="565">
        <v>1.077</v>
      </c>
      <c r="I116" s="563"/>
      <c r="J116" s="563"/>
      <c r="K116" s="1390">
        <v>42256</v>
      </c>
      <c r="L116" s="1391"/>
      <c r="M116" s="1391"/>
      <c r="N116" s="1391"/>
      <c r="O116" s="1402"/>
      <c r="P116" s="1533">
        <v>0.90834481999999994</v>
      </c>
      <c r="Q116" s="1542"/>
      <c r="R116" s="1542"/>
      <c r="S116" s="1542"/>
      <c r="T116" s="1542">
        <f t="shared" si="14"/>
        <v>0.90834481999999994</v>
      </c>
      <c r="U116" s="1542"/>
      <c r="V116" s="1542"/>
      <c r="W116" s="1542"/>
      <c r="X116" s="1542"/>
      <c r="Y116" s="1542"/>
      <c r="Z116" s="1542"/>
      <c r="AA116" s="1542"/>
      <c r="AB116" s="1542"/>
      <c r="AC116" s="1526"/>
      <c r="AD116" s="1526"/>
      <c r="AE116" s="1526"/>
      <c r="AF116" s="1526"/>
      <c r="AG116" s="1526"/>
      <c r="AH116" s="1526"/>
      <c r="AI116" s="1526"/>
      <c r="AJ116" s="1533">
        <v>0.90834481999999994</v>
      </c>
      <c r="AK116" s="1533"/>
      <c r="AL116" s="1533"/>
      <c r="AM116" s="1533"/>
      <c r="AN116" s="1523">
        <f t="shared" si="15"/>
        <v>0.90834481999999994</v>
      </c>
      <c r="AO116" s="1533"/>
      <c r="AP116" s="1533"/>
      <c r="AQ116" s="1533"/>
      <c r="AR116" s="1533"/>
      <c r="AS116" s="1533"/>
      <c r="AT116" s="1533"/>
      <c r="AU116" s="1533"/>
      <c r="AV116" s="1533"/>
      <c r="AW116" s="1533"/>
      <c r="AX116" s="563"/>
      <c r="AY116" s="1534" t="s">
        <v>940</v>
      </c>
    </row>
    <row r="117" spans="1:51" s="1530" customFormat="1" ht="62" outlineLevel="1" x14ac:dyDescent="0.25">
      <c r="A117" s="1482">
        <v>20.2</v>
      </c>
      <c r="B117" s="1483" t="s">
        <v>1712</v>
      </c>
      <c r="C117" s="1531" t="s">
        <v>936</v>
      </c>
      <c r="D117" s="1482" t="str">
        <f t="shared" si="24"/>
        <v>MERC/Cell No. 1/CAPEX/ 20152016/00634</v>
      </c>
      <c r="E117" s="1532">
        <f t="shared" si="24"/>
        <v>42247</v>
      </c>
      <c r="F117" s="1390">
        <f>IF(F116=0,"-",F116)</f>
        <v>42256</v>
      </c>
      <c r="G117" s="565">
        <v>5.7590000000000003</v>
      </c>
      <c r="H117" s="565">
        <v>5.7590000000000003</v>
      </c>
      <c r="I117" s="563"/>
      <c r="J117" s="563"/>
      <c r="K117" s="1390">
        <v>42256</v>
      </c>
      <c r="L117" s="1391"/>
      <c r="M117" s="1391"/>
      <c r="N117" s="1391"/>
      <c r="O117" s="1402"/>
      <c r="P117" s="1533">
        <v>2.894304</v>
      </c>
      <c r="Q117" s="1542"/>
      <c r="R117" s="1542"/>
      <c r="S117" s="1542"/>
      <c r="T117" s="1542">
        <f t="shared" si="14"/>
        <v>2.894304</v>
      </c>
      <c r="U117" s="1542"/>
      <c r="V117" s="1542"/>
      <c r="W117" s="1542"/>
      <c r="X117" s="1542"/>
      <c r="Y117" s="1542"/>
      <c r="Z117" s="1542"/>
      <c r="AA117" s="1542"/>
      <c r="AB117" s="1542"/>
      <c r="AC117" s="1526"/>
      <c r="AD117" s="1526"/>
      <c r="AE117" s="1526"/>
      <c r="AF117" s="1526"/>
      <c r="AG117" s="1526"/>
      <c r="AH117" s="1526"/>
      <c r="AI117" s="1526"/>
      <c r="AJ117" s="1533">
        <v>2.894304</v>
      </c>
      <c r="AK117" s="1533"/>
      <c r="AL117" s="1533"/>
      <c r="AM117" s="1533"/>
      <c r="AN117" s="1523">
        <f t="shared" si="15"/>
        <v>2.894304</v>
      </c>
      <c r="AO117" s="1533"/>
      <c r="AP117" s="1533"/>
      <c r="AQ117" s="1533"/>
      <c r="AR117" s="1533"/>
      <c r="AS117" s="1533"/>
      <c r="AT117" s="1533"/>
      <c r="AU117" s="1533"/>
      <c r="AV117" s="1533"/>
      <c r="AW117" s="1533"/>
      <c r="AX117" s="563"/>
      <c r="AY117" s="1534" t="s">
        <v>940</v>
      </c>
    </row>
    <row r="118" spans="1:51" s="1530" customFormat="1" ht="31" outlineLevel="1" x14ac:dyDescent="0.25">
      <c r="A118" s="1482">
        <v>20.3</v>
      </c>
      <c r="B118" s="1483" t="s">
        <v>1713</v>
      </c>
      <c r="C118" s="1531" t="s">
        <v>936</v>
      </c>
      <c r="D118" s="1482" t="str">
        <f t="shared" si="24"/>
        <v>MERC/Cell No. 1/CAPEX/ 20152016/00634</v>
      </c>
      <c r="E118" s="1532">
        <f t="shared" si="24"/>
        <v>42247</v>
      </c>
      <c r="F118" s="1390">
        <f>IF(F117=0,"-",F117)</f>
        <v>42256</v>
      </c>
      <c r="G118" s="565">
        <v>5.12</v>
      </c>
      <c r="H118" s="565">
        <v>5.12</v>
      </c>
      <c r="I118" s="563"/>
      <c r="J118" s="563"/>
      <c r="K118" s="1390">
        <v>42256</v>
      </c>
      <c r="L118" s="1391"/>
      <c r="M118" s="1391"/>
      <c r="N118" s="1391"/>
      <c r="O118" s="1402"/>
      <c r="P118" s="1533">
        <v>7.9707386820000004</v>
      </c>
      <c r="Q118" s="1542"/>
      <c r="R118" s="1542"/>
      <c r="S118" s="1542"/>
      <c r="T118" s="1542">
        <f t="shared" si="14"/>
        <v>7.9707386820000004</v>
      </c>
      <c r="U118" s="1542"/>
      <c r="V118" s="1542"/>
      <c r="W118" s="1542"/>
      <c r="X118" s="1542"/>
      <c r="Y118" s="1542"/>
      <c r="Z118" s="1542"/>
      <c r="AA118" s="1542"/>
      <c r="AB118" s="1542"/>
      <c r="AC118" s="1526"/>
      <c r="AD118" s="1526"/>
      <c r="AE118" s="1526"/>
      <c r="AF118" s="1526"/>
      <c r="AG118" s="1526"/>
      <c r="AH118" s="1526"/>
      <c r="AI118" s="1526"/>
      <c r="AJ118" s="1533">
        <v>7.9707386820000004</v>
      </c>
      <c r="AK118" s="1533"/>
      <c r="AL118" s="1533"/>
      <c r="AM118" s="1533"/>
      <c r="AN118" s="1523">
        <f t="shared" si="15"/>
        <v>7.9707386820000004</v>
      </c>
      <c r="AO118" s="1533"/>
      <c r="AP118" s="1533"/>
      <c r="AQ118" s="1533"/>
      <c r="AR118" s="1533"/>
      <c r="AS118" s="1533"/>
      <c r="AT118" s="1533"/>
      <c r="AU118" s="1533"/>
      <c r="AV118" s="1533"/>
      <c r="AW118" s="1533"/>
      <c r="AX118" s="563"/>
      <c r="AY118" s="1534" t="s">
        <v>940</v>
      </c>
    </row>
    <row r="119" spans="1:51" s="1530" customFormat="1" ht="31" outlineLevel="1" x14ac:dyDescent="0.25">
      <c r="A119" s="1482">
        <v>20.399999999999999</v>
      </c>
      <c r="B119" s="1483" t="s">
        <v>1714</v>
      </c>
      <c r="C119" s="1531" t="s">
        <v>936</v>
      </c>
      <c r="D119" s="1482" t="str">
        <f t="shared" si="24"/>
        <v>MERC/Cell No. 1/CAPEX/ 20152016/00634</v>
      </c>
      <c r="E119" s="1532">
        <f t="shared" si="24"/>
        <v>42247</v>
      </c>
      <c r="F119" s="1390">
        <f>IF(F118=0,"-",F118)</f>
        <v>42256</v>
      </c>
      <c r="G119" s="565">
        <v>3.8969999999999998</v>
      </c>
      <c r="H119" s="565">
        <v>3.8969999999999998</v>
      </c>
      <c r="I119" s="563"/>
      <c r="J119" s="563"/>
      <c r="K119" s="1390">
        <v>42256</v>
      </c>
      <c r="L119" s="1391"/>
      <c r="M119" s="1391"/>
      <c r="N119" s="1391"/>
      <c r="O119" s="1402"/>
      <c r="P119" s="1533">
        <v>4.488435977</v>
      </c>
      <c r="Q119" s="1542"/>
      <c r="R119" s="1542"/>
      <c r="S119" s="1542"/>
      <c r="T119" s="1542">
        <f t="shared" si="14"/>
        <v>4.488435977</v>
      </c>
      <c r="U119" s="1542"/>
      <c r="V119" s="1542"/>
      <c r="W119" s="1542"/>
      <c r="X119" s="1542"/>
      <c r="Y119" s="1542"/>
      <c r="Z119" s="1542"/>
      <c r="AA119" s="1542"/>
      <c r="AB119" s="1542"/>
      <c r="AC119" s="1526"/>
      <c r="AD119" s="1526"/>
      <c r="AE119" s="1526"/>
      <c r="AF119" s="1526"/>
      <c r="AG119" s="1526"/>
      <c r="AH119" s="1526"/>
      <c r="AI119" s="1526"/>
      <c r="AJ119" s="1533">
        <v>4.488435977</v>
      </c>
      <c r="AK119" s="1533"/>
      <c r="AL119" s="1533"/>
      <c r="AM119" s="1533"/>
      <c r="AN119" s="1523">
        <f t="shared" si="15"/>
        <v>4.488435977</v>
      </c>
      <c r="AO119" s="1533"/>
      <c r="AP119" s="1533"/>
      <c r="AQ119" s="1533"/>
      <c r="AR119" s="1533"/>
      <c r="AS119" s="1533"/>
      <c r="AT119" s="1533"/>
      <c r="AU119" s="1533"/>
      <c r="AV119" s="1533"/>
      <c r="AW119" s="1533"/>
      <c r="AX119" s="563"/>
      <c r="AY119" s="1534" t="s">
        <v>940</v>
      </c>
    </row>
    <row r="120" spans="1:51" s="1530" customFormat="1" ht="31" outlineLevel="1" x14ac:dyDescent="0.25">
      <c r="A120" s="1482"/>
      <c r="B120" s="1483" t="s">
        <v>414</v>
      </c>
      <c r="C120" s="1531" t="s">
        <v>414</v>
      </c>
      <c r="D120" s="1482" t="str">
        <f t="shared" si="24"/>
        <v>MERC/Cell No. 1/CAPEX/ 20152016/00634</v>
      </c>
      <c r="E120" s="1532">
        <f t="shared" si="24"/>
        <v>42247</v>
      </c>
      <c r="F120" s="1390">
        <f>IF(F119=0,"-",F119)</f>
        <v>42256</v>
      </c>
      <c r="G120" s="565">
        <v>0.45</v>
      </c>
      <c r="H120" s="565">
        <v>0.45</v>
      </c>
      <c r="I120" s="563"/>
      <c r="J120" s="563"/>
      <c r="K120" s="1390">
        <v>42256</v>
      </c>
      <c r="L120" s="1391"/>
      <c r="M120" s="1391"/>
      <c r="N120" s="1391"/>
      <c r="O120" s="1402"/>
      <c r="P120" s="1533"/>
      <c r="Q120" s="1542"/>
      <c r="R120" s="1542"/>
      <c r="S120" s="1542"/>
      <c r="T120" s="1542">
        <f t="shared" si="14"/>
        <v>0</v>
      </c>
      <c r="U120" s="1542"/>
      <c r="V120" s="1542"/>
      <c r="W120" s="1542"/>
      <c r="X120" s="1542"/>
      <c r="Y120" s="1542"/>
      <c r="Z120" s="1542"/>
      <c r="AA120" s="1542"/>
      <c r="AB120" s="1542"/>
      <c r="AC120" s="1526"/>
      <c r="AD120" s="1526"/>
      <c r="AE120" s="1526"/>
      <c r="AF120" s="1526"/>
      <c r="AG120" s="1526"/>
      <c r="AH120" s="1526"/>
      <c r="AI120" s="1526"/>
      <c r="AJ120" s="1533"/>
      <c r="AK120" s="1533"/>
      <c r="AL120" s="1533"/>
      <c r="AM120" s="1533"/>
      <c r="AN120" s="1523">
        <f t="shared" si="15"/>
        <v>0</v>
      </c>
      <c r="AO120" s="1533"/>
      <c r="AP120" s="1533"/>
      <c r="AQ120" s="1533"/>
      <c r="AR120" s="1533"/>
      <c r="AS120" s="1533"/>
      <c r="AT120" s="1533"/>
      <c r="AU120" s="1533"/>
      <c r="AV120" s="1533"/>
      <c r="AW120" s="1533"/>
      <c r="AX120" s="563"/>
      <c r="AY120" s="1534"/>
    </row>
    <row r="121" spans="1:51" s="1548" customFormat="1" ht="15.5" outlineLevel="1" x14ac:dyDescent="0.25">
      <c r="A121" s="1489">
        <v>21</v>
      </c>
      <c r="B121" s="1490" t="s">
        <v>1715</v>
      </c>
      <c r="C121" s="1489" t="s">
        <v>928</v>
      </c>
      <c r="D121" s="1489" t="s">
        <v>1716</v>
      </c>
      <c r="E121" s="1543">
        <v>42202</v>
      </c>
      <c r="F121" s="1543">
        <v>42500</v>
      </c>
      <c r="G121" s="1398">
        <f>SUM(G122:G127)</f>
        <v>10.499999999999998</v>
      </c>
      <c r="H121" s="1398">
        <f>SUM(H122:H127)</f>
        <v>10.499999999999998</v>
      </c>
      <c r="I121" s="1396"/>
      <c r="J121" s="1396"/>
      <c r="K121" s="1394">
        <v>42500</v>
      </c>
      <c r="L121" s="1397"/>
      <c r="M121" s="1397"/>
      <c r="N121" s="1397"/>
      <c r="O121" s="1407"/>
      <c r="P121" s="1544"/>
      <c r="Q121" s="1545"/>
      <c r="R121" s="1545"/>
      <c r="S121" s="1545"/>
      <c r="T121" s="1545">
        <f t="shared" si="14"/>
        <v>0</v>
      </c>
      <c r="U121" s="1546"/>
      <c r="V121" s="1546"/>
      <c r="W121" s="1399"/>
      <c r="X121" s="1399"/>
      <c r="Y121" s="1399"/>
      <c r="Z121" s="1399"/>
      <c r="AA121" s="1399"/>
      <c r="AB121" s="1399"/>
      <c r="AC121" s="1538"/>
      <c r="AD121" s="1538"/>
      <c r="AE121" s="1538"/>
      <c r="AF121" s="1538"/>
      <c r="AG121" s="1538"/>
      <c r="AH121" s="1538"/>
      <c r="AI121" s="1538"/>
      <c r="AJ121" s="1544"/>
      <c r="AK121" s="1544"/>
      <c r="AL121" s="1544"/>
      <c r="AM121" s="1544"/>
      <c r="AN121" s="1544">
        <f t="shared" si="15"/>
        <v>0</v>
      </c>
      <c r="AO121" s="1547"/>
      <c r="AP121" s="1547"/>
      <c r="AQ121" s="1547"/>
      <c r="AR121" s="1547"/>
      <c r="AS121" s="1547"/>
      <c r="AT121" s="1547"/>
      <c r="AU121" s="1547"/>
      <c r="AV121" s="1547"/>
      <c r="AW121" s="1547"/>
      <c r="AX121" s="1396"/>
      <c r="AY121" s="1400"/>
    </row>
    <row r="122" spans="1:51" s="1548" customFormat="1" ht="31" outlineLevel="1" x14ac:dyDescent="0.25">
      <c r="A122" s="1484">
        <v>21.1</v>
      </c>
      <c r="B122" s="1485" t="s">
        <v>1717</v>
      </c>
      <c r="C122" s="1535" t="s">
        <v>936</v>
      </c>
      <c r="D122" s="1484" t="str">
        <f t="shared" ref="D122:E127" si="25">D121</f>
        <v>MERC/CAPEX/20162017/00192</v>
      </c>
      <c r="E122" s="1536">
        <f t="shared" si="25"/>
        <v>42202</v>
      </c>
      <c r="F122" s="1394">
        <f t="shared" ref="F122:F127" si="26">IF(F121=0,"-",F121)</f>
        <v>42500</v>
      </c>
      <c r="G122" s="1395">
        <v>2.71</v>
      </c>
      <c r="H122" s="1395">
        <v>2.71</v>
      </c>
      <c r="I122" s="1396"/>
      <c r="J122" s="1396"/>
      <c r="K122" s="1394">
        <v>42500</v>
      </c>
      <c r="L122" s="1397"/>
      <c r="M122" s="1397"/>
      <c r="N122" s="1397"/>
      <c r="O122" s="1407"/>
      <c r="P122" s="309">
        <v>3.6387342</v>
      </c>
      <c r="Q122" s="309">
        <v>0</v>
      </c>
      <c r="R122" s="309">
        <v>0</v>
      </c>
      <c r="S122" s="309">
        <v>7.4340000000000003E-2</v>
      </c>
      <c r="T122" s="309">
        <f t="shared" si="14"/>
        <v>3.7130741999999999</v>
      </c>
      <c r="U122" s="309">
        <v>0</v>
      </c>
      <c r="V122" s="309">
        <v>0</v>
      </c>
      <c r="W122" s="309">
        <v>0</v>
      </c>
      <c r="X122" s="309"/>
      <c r="Y122" s="309"/>
      <c r="Z122" s="309"/>
      <c r="AA122" s="309"/>
      <c r="AB122" s="309"/>
      <c r="AC122" s="1538"/>
      <c r="AD122" s="1538"/>
      <c r="AE122" s="1538"/>
      <c r="AF122" s="1538"/>
      <c r="AG122" s="1538"/>
      <c r="AH122" s="1538"/>
      <c r="AI122" s="1538"/>
      <c r="AJ122" s="309">
        <v>0</v>
      </c>
      <c r="AK122" s="309">
        <v>3.6387341000000002</v>
      </c>
      <c r="AL122" s="309">
        <v>0</v>
      </c>
      <c r="AM122" s="309">
        <v>7.4340000000000003E-2</v>
      </c>
      <c r="AN122" s="1544">
        <f t="shared" si="15"/>
        <v>3.7130741</v>
      </c>
      <c r="AO122" s="309">
        <v>0</v>
      </c>
      <c r="AP122" s="309">
        <v>0</v>
      </c>
      <c r="AQ122" s="309">
        <v>0</v>
      </c>
      <c r="AR122" s="309"/>
      <c r="AS122" s="309"/>
      <c r="AT122" s="309"/>
      <c r="AU122" s="309"/>
      <c r="AV122" s="309"/>
      <c r="AW122" s="309"/>
      <c r="AX122" s="1396"/>
      <c r="AY122" s="1549" t="s">
        <v>940</v>
      </c>
    </row>
    <row r="123" spans="1:51" s="1548" customFormat="1" ht="28.5" outlineLevel="1" x14ac:dyDescent="0.25">
      <c r="A123" s="1484">
        <v>21.2</v>
      </c>
      <c r="B123" s="1485" t="s">
        <v>1718</v>
      </c>
      <c r="C123" s="1535" t="s">
        <v>936</v>
      </c>
      <c r="D123" s="1484" t="str">
        <f t="shared" si="25"/>
        <v>MERC/CAPEX/20162017/00192</v>
      </c>
      <c r="E123" s="1536">
        <f t="shared" si="25"/>
        <v>42202</v>
      </c>
      <c r="F123" s="1394">
        <f t="shared" si="26"/>
        <v>42500</v>
      </c>
      <c r="G123" s="1395">
        <v>0.55000000000000004</v>
      </c>
      <c r="H123" s="1395">
        <v>0.55000000000000004</v>
      </c>
      <c r="I123" s="1396"/>
      <c r="J123" s="1396"/>
      <c r="K123" s="1394">
        <v>42500</v>
      </c>
      <c r="L123" s="1397"/>
      <c r="M123" s="1397"/>
      <c r="N123" s="1397"/>
      <c r="O123" s="1407"/>
      <c r="P123" s="309">
        <v>0.53016459999999999</v>
      </c>
      <c r="Q123" s="309">
        <v>0</v>
      </c>
      <c r="R123" s="309">
        <v>0</v>
      </c>
      <c r="S123" s="309">
        <v>0</v>
      </c>
      <c r="T123" s="309">
        <f t="shared" si="14"/>
        <v>0.53016459999999999</v>
      </c>
      <c r="U123" s="309">
        <v>0</v>
      </c>
      <c r="V123" s="309">
        <v>0</v>
      </c>
      <c r="W123" s="309">
        <v>0</v>
      </c>
      <c r="X123" s="309"/>
      <c r="Y123" s="309"/>
      <c r="Z123" s="309"/>
      <c r="AA123" s="309"/>
      <c r="AB123" s="309"/>
      <c r="AC123" s="1538"/>
      <c r="AD123" s="1538"/>
      <c r="AE123" s="1538"/>
      <c r="AF123" s="1538"/>
      <c r="AG123" s="1538"/>
      <c r="AH123" s="1538"/>
      <c r="AI123" s="1538"/>
      <c r="AJ123" s="309">
        <v>0.53016459999999999</v>
      </c>
      <c r="AK123" s="309">
        <v>0</v>
      </c>
      <c r="AL123" s="309">
        <v>0</v>
      </c>
      <c r="AM123" s="309">
        <v>0</v>
      </c>
      <c r="AN123" s="1544">
        <f t="shared" si="15"/>
        <v>0.53016459999999999</v>
      </c>
      <c r="AO123" s="309">
        <v>0</v>
      </c>
      <c r="AP123" s="309">
        <v>0</v>
      </c>
      <c r="AQ123" s="309">
        <v>0</v>
      </c>
      <c r="AR123" s="309"/>
      <c r="AS123" s="309"/>
      <c r="AT123" s="309"/>
      <c r="AU123" s="309"/>
      <c r="AV123" s="309"/>
      <c r="AW123" s="309"/>
      <c r="AX123" s="1396"/>
      <c r="AY123" s="1549" t="s">
        <v>940</v>
      </c>
    </row>
    <row r="124" spans="1:51" s="1548" customFormat="1" ht="46.5" outlineLevel="1" x14ac:dyDescent="0.25">
      <c r="A124" s="1484">
        <v>21.3</v>
      </c>
      <c r="B124" s="1485" t="s">
        <v>1719</v>
      </c>
      <c r="C124" s="1535" t="s">
        <v>936</v>
      </c>
      <c r="D124" s="1484" t="str">
        <f t="shared" si="25"/>
        <v>MERC/CAPEX/20162017/00192</v>
      </c>
      <c r="E124" s="1536">
        <f t="shared" si="25"/>
        <v>42202</v>
      </c>
      <c r="F124" s="1394">
        <f t="shared" si="26"/>
        <v>42500</v>
      </c>
      <c r="G124" s="1395">
        <v>3.12</v>
      </c>
      <c r="H124" s="1395">
        <v>3.12</v>
      </c>
      <c r="I124" s="1396"/>
      <c r="J124" s="1396"/>
      <c r="K124" s="1394">
        <v>42500</v>
      </c>
      <c r="L124" s="1397"/>
      <c r="M124" s="1397"/>
      <c r="N124" s="1397"/>
      <c r="O124" s="1407"/>
      <c r="P124" s="309">
        <v>3.5539240080000001</v>
      </c>
      <c r="Q124" s="309">
        <v>0</v>
      </c>
      <c r="R124" s="309">
        <v>0</v>
      </c>
      <c r="S124" s="309">
        <v>0</v>
      </c>
      <c r="T124" s="309">
        <f t="shared" si="14"/>
        <v>3.5539240080000001</v>
      </c>
      <c r="U124" s="309">
        <v>0</v>
      </c>
      <c r="V124" s="309">
        <v>0</v>
      </c>
      <c r="W124" s="309">
        <v>0</v>
      </c>
      <c r="X124" s="309"/>
      <c r="Y124" s="309"/>
      <c r="Z124" s="309"/>
      <c r="AA124" s="309"/>
      <c r="AB124" s="309"/>
      <c r="AC124" s="1538"/>
      <c r="AD124" s="1538"/>
      <c r="AE124" s="1538"/>
      <c r="AF124" s="1538"/>
      <c r="AG124" s="1538"/>
      <c r="AH124" s="1538"/>
      <c r="AI124" s="1538"/>
      <c r="AJ124" s="309">
        <v>3.5539240080000001</v>
      </c>
      <c r="AK124" s="309">
        <v>0</v>
      </c>
      <c r="AL124" s="309">
        <v>0</v>
      </c>
      <c r="AM124" s="309">
        <v>0</v>
      </c>
      <c r="AN124" s="1544">
        <f t="shared" si="15"/>
        <v>3.5539240080000001</v>
      </c>
      <c r="AO124" s="309">
        <v>0</v>
      </c>
      <c r="AP124" s="309">
        <v>0</v>
      </c>
      <c r="AQ124" s="309">
        <v>0</v>
      </c>
      <c r="AR124" s="309"/>
      <c r="AS124" s="309"/>
      <c r="AT124" s="309"/>
      <c r="AU124" s="309"/>
      <c r="AV124" s="309"/>
      <c r="AW124" s="309"/>
      <c r="AX124" s="1396"/>
      <c r="AY124" s="1549" t="s">
        <v>940</v>
      </c>
    </row>
    <row r="125" spans="1:51" s="1548" customFormat="1" ht="31" outlineLevel="1" x14ac:dyDescent="0.25">
      <c r="A125" s="1484">
        <v>21.4</v>
      </c>
      <c r="B125" s="1485" t="s">
        <v>1720</v>
      </c>
      <c r="C125" s="1535" t="s">
        <v>936</v>
      </c>
      <c r="D125" s="1484" t="str">
        <f t="shared" si="25"/>
        <v>MERC/CAPEX/20162017/00192</v>
      </c>
      <c r="E125" s="1536">
        <f t="shared" si="25"/>
        <v>42202</v>
      </c>
      <c r="F125" s="1394">
        <f t="shared" si="26"/>
        <v>42500</v>
      </c>
      <c r="G125" s="1395">
        <v>2.34</v>
      </c>
      <c r="H125" s="1395">
        <v>2.34</v>
      </c>
      <c r="I125" s="1396"/>
      <c r="J125" s="1396"/>
      <c r="K125" s="1394">
        <v>42500</v>
      </c>
      <c r="L125" s="1397"/>
      <c r="M125" s="1397"/>
      <c r="N125" s="1397"/>
      <c r="O125" s="1407"/>
      <c r="P125" s="309">
        <v>2.6948249</v>
      </c>
      <c r="Q125" s="309">
        <v>0.14843210000000001</v>
      </c>
      <c r="R125" s="309">
        <v>0</v>
      </c>
      <c r="S125" s="309">
        <v>0.28650399999999998</v>
      </c>
      <c r="T125" s="309">
        <f t="shared" si="14"/>
        <v>3.1297609999999998</v>
      </c>
      <c r="U125" s="1537">
        <v>0.19437573600000002</v>
      </c>
      <c r="V125" s="309">
        <v>0</v>
      </c>
      <c r="W125" s="309">
        <v>0</v>
      </c>
      <c r="X125" s="309"/>
      <c r="Y125" s="309"/>
      <c r="Z125" s="309"/>
      <c r="AA125" s="309"/>
      <c r="AB125" s="309"/>
      <c r="AC125" s="1538"/>
      <c r="AD125" s="1538"/>
      <c r="AE125" s="1538"/>
      <c r="AF125" s="1538"/>
      <c r="AG125" s="1538"/>
      <c r="AH125" s="1538"/>
      <c r="AI125" s="1538"/>
      <c r="AJ125" s="309">
        <v>0</v>
      </c>
      <c r="AK125" s="309">
        <v>0</v>
      </c>
      <c r="AL125" s="309">
        <v>0</v>
      </c>
      <c r="AM125" s="309">
        <v>3.1297609999999998</v>
      </c>
      <c r="AN125" s="1544">
        <f t="shared" si="15"/>
        <v>3.1297609999999998</v>
      </c>
      <c r="AO125" s="1537">
        <v>0.19437573600000002</v>
      </c>
      <c r="AP125" s="309">
        <v>0</v>
      </c>
      <c r="AQ125" s="309">
        <v>0</v>
      </c>
      <c r="AR125" s="309"/>
      <c r="AS125" s="309"/>
      <c r="AT125" s="309"/>
      <c r="AU125" s="309"/>
      <c r="AV125" s="309"/>
      <c r="AW125" s="309"/>
      <c r="AX125" s="1396"/>
      <c r="AY125" s="1549" t="s">
        <v>940</v>
      </c>
    </row>
    <row r="126" spans="1:51" s="1548" customFormat="1" ht="46.5" outlineLevel="1" x14ac:dyDescent="0.25">
      <c r="A126" s="1484">
        <v>21.5</v>
      </c>
      <c r="B126" s="1485" t="s">
        <v>1721</v>
      </c>
      <c r="C126" s="1535" t="s">
        <v>936</v>
      </c>
      <c r="D126" s="1484" t="str">
        <f t="shared" si="25"/>
        <v>MERC/CAPEX/20162017/00192</v>
      </c>
      <c r="E126" s="1536">
        <f t="shared" si="25"/>
        <v>42202</v>
      </c>
      <c r="F126" s="1394">
        <f t="shared" si="26"/>
        <v>42500</v>
      </c>
      <c r="G126" s="1395">
        <v>1.03</v>
      </c>
      <c r="H126" s="1395">
        <v>1.03</v>
      </c>
      <c r="I126" s="1396"/>
      <c r="J126" s="1396"/>
      <c r="K126" s="1394">
        <v>42500</v>
      </c>
      <c r="L126" s="1397"/>
      <c r="M126" s="1397"/>
      <c r="N126" s="1397"/>
      <c r="O126" s="1407"/>
      <c r="P126" s="309">
        <v>1.1915800000000001</v>
      </c>
      <c r="Q126" s="309">
        <v>0</v>
      </c>
      <c r="R126" s="309">
        <v>0</v>
      </c>
      <c r="S126" s="309">
        <v>0</v>
      </c>
      <c r="T126" s="309">
        <f t="shared" si="14"/>
        <v>1.1915800000000001</v>
      </c>
      <c r="U126" s="309">
        <v>0</v>
      </c>
      <c r="V126" s="309">
        <v>0</v>
      </c>
      <c r="W126" s="309">
        <v>0</v>
      </c>
      <c r="X126" s="309"/>
      <c r="Y126" s="309"/>
      <c r="Z126" s="309"/>
      <c r="AA126" s="309"/>
      <c r="AB126" s="309"/>
      <c r="AC126" s="1538"/>
      <c r="AD126" s="1538"/>
      <c r="AE126" s="1538"/>
      <c r="AF126" s="1538"/>
      <c r="AG126" s="1538"/>
      <c r="AH126" s="1538"/>
      <c r="AI126" s="1538"/>
      <c r="AJ126" s="309">
        <v>1.1915800000000001</v>
      </c>
      <c r="AK126" s="309">
        <v>0</v>
      </c>
      <c r="AL126" s="309">
        <v>0</v>
      </c>
      <c r="AM126" s="309">
        <v>0</v>
      </c>
      <c r="AN126" s="1544">
        <f t="shared" si="15"/>
        <v>1.1915800000000001</v>
      </c>
      <c r="AO126" s="309">
        <v>0</v>
      </c>
      <c r="AP126" s="309">
        <v>0</v>
      </c>
      <c r="AQ126" s="309">
        <v>0</v>
      </c>
      <c r="AR126" s="309"/>
      <c r="AS126" s="309"/>
      <c r="AT126" s="309"/>
      <c r="AU126" s="309"/>
      <c r="AV126" s="309"/>
      <c r="AW126" s="309"/>
      <c r="AX126" s="1396"/>
      <c r="AY126" s="1549" t="s">
        <v>940</v>
      </c>
    </row>
    <row r="127" spans="1:51" s="1548" customFormat="1" ht="15.5" outlineLevel="1" x14ac:dyDescent="0.25">
      <c r="A127" s="1484"/>
      <c r="B127" s="1485" t="s">
        <v>414</v>
      </c>
      <c r="C127" s="1535" t="s">
        <v>414</v>
      </c>
      <c r="D127" s="1484" t="str">
        <f t="shared" si="25"/>
        <v>MERC/CAPEX/20162017/00192</v>
      </c>
      <c r="E127" s="1536">
        <f t="shared" si="25"/>
        <v>42202</v>
      </c>
      <c r="F127" s="1394">
        <f t="shared" si="26"/>
        <v>42500</v>
      </c>
      <c r="G127" s="1395">
        <v>0.75</v>
      </c>
      <c r="H127" s="1395">
        <v>0.75</v>
      </c>
      <c r="I127" s="1396"/>
      <c r="J127" s="1396"/>
      <c r="K127" s="1394">
        <v>42500</v>
      </c>
      <c r="L127" s="1397"/>
      <c r="M127" s="1397"/>
      <c r="N127" s="1397"/>
      <c r="O127" s="1407"/>
      <c r="P127" s="309"/>
      <c r="Q127" s="309">
        <v>0</v>
      </c>
      <c r="R127" s="309">
        <v>0</v>
      </c>
      <c r="S127" s="309">
        <v>0</v>
      </c>
      <c r="T127" s="309">
        <f t="shared" si="14"/>
        <v>0</v>
      </c>
      <c r="U127" s="309">
        <v>0</v>
      </c>
      <c r="V127" s="309">
        <v>0</v>
      </c>
      <c r="W127" s="309">
        <v>0</v>
      </c>
      <c r="X127" s="309"/>
      <c r="Y127" s="309"/>
      <c r="Z127" s="309"/>
      <c r="AA127" s="309"/>
      <c r="AB127" s="309"/>
      <c r="AC127" s="1538"/>
      <c r="AD127" s="1538"/>
      <c r="AE127" s="1538"/>
      <c r="AF127" s="1538"/>
      <c r="AG127" s="1538"/>
      <c r="AH127" s="1538"/>
      <c r="AI127" s="1538"/>
      <c r="AJ127" s="309"/>
      <c r="AK127" s="309">
        <v>0</v>
      </c>
      <c r="AL127" s="309">
        <v>0</v>
      </c>
      <c r="AM127" s="309">
        <v>0</v>
      </c>
      <c r="AN127" s="1544">
        <f t="shared" si="15"/>
        <v>0</v>
      </c>
      <c r="AO127" s="309">
        <v>0</v>
      </c>
      <c r="AP127" s="309">
        <v>0</v>
      </c>
      <c r="AQ127" s="309">
        <v>0</v>
      </c>
      <c r="AR127" s="309"/>
      <c r="AS127" s="309"/>
      <c r="AT127" s="309"/>
      <c r="AU127" s="309"/>
      <c r="AV127" s="309"/>
      <c r="AW127" s="309"/>
      <c r="AX127" s="1396"/>
      <c r="AY127" s="1549"/>
    </row>
    <row r="128" spans="1:51" s="1548" customFormat="1" ht="31" outlineLevel="1" x14ac:dyDescent="0.25">
      <c r="A128" s="1489">
        <v>22</v>
      </c>
      <c r="B128" s="1490" t="s">
        <v>1722</v>
      </c>
      <c r="C128" s="1489" t="s">
        <v>928</v>
      </c>
      <c r="D128" s="1489" t="s">
        <v>1723</v>
      </c>
      <c r="E128" s="1543">
        <v>42214</v>
      </c>
      <c r="F128" s="1543">
        <v>42584</v>
      </c>
      <c r="G128" s="1398">
        <f>SUM(G129:G133)</f>
        <v>18.170000000000002</v>
      </c>
      <c r="H128" s="1398">
        <f>SUM(H129:H133)</f>
        <v>18.170000000000002</v>
      </c>
      <c r="I128" s="1396"/>
      <c r="J128" s="1396"/>
      <c r="K128" s="1394">
        <v>42584</v>
      </c>
      <c r="L128" s="1397"/>
      <c r="M128" s="1397"/>
      <c r="N128" s="1397"/>
      <c r="O128" s="1407"/>
      <c r="P128" s="1544"/>
      <c r="Q128" s="1545"/>
      <c r="R128" s="1545"/>
      <c r="S128" s="1545"/>
      <c r="T128" s="1545">
        <f t="shared" si="14"/>
        <v>0</v>
      </c>
      <c r="U128" s="1546"/>
      <c r="V128" s="1546"/>
      <c r="W128" s="1399"/>
      <c r="X128" s="1399"/>
      <c r="Y128" s="1399"/>
      <c r="Z128" s="1399"/>
      <c r="AA128" s="1399"/>
      <c r="AB128" s="1399"/>
      <c r="AC128" s="1538"/>
      <c r="AD128" s="1538"/>
      <c r="AE128" s="1538"/>
      <c r="AF128" s="1538"/>
      <c r="AG128" s="1538"/>
      <c r="AH128" s="1538"/>
      <c r="AI128" s="1538"/>
      <c r="AJ128" s="1544"/>
      <c r="AK128" s="1544"/>
      <c r="AL128" s="1544"/>
      <c r="AM128" s="1544"/>
      <c r="AN128" s="1544">
        <f t="shared" si="15"/>
        <v>0</v>
      </c>
      <c r="AO128" s="1547"/>
      <c r="AP128" s="1547"/>
      <c r="AQ128" s="1547"/>
      <c r="AR128" s="1547"/>
      <c r="AS128" s="1547"/>
      <c r="AT128" s="1547"/>
      <c r="AU128" s="1547"/>
      <c r="AV128" s="1547"/>
      <c r="AW128" s="1547"/>
      <c r="AX128" s="1396"/>
      <c r="AY128" s="1400"/>
    </row>
    <row r="129" spans="1:51" s="1548" customFormat="1" ht="409.5" customHeight="1" outlineLevel="1" x14ac:dyDescent="0.25">
      <c r="A129" s="1484">
        <v>22.1</v>
      </c>
      <c r="B129" s="1485" t="s">
        <v>1724</v>
      </c>
      <c r="C129" s="1535" t="s">
        <v>936</v>
      </c>
      <c r="D129" s="1484" t="str">
        <f>D128</f>
        <v>MERC/CAPEX/20152016/00420</v>
      </c>
      <c r="E129" s="1536">
        <f>E128</f>
        <v>42214</v>
      </c>
      <c r="F129" s="1394">
        <f>IF(F128=0,"-",F128)</f>
        <v>42584</v>
      </c>
      <c r="G129" s="1395">
        <f>9.22/2</f>
        <v>4.6100000000000003</v>
      </c>
      <c r="H129" s="1395">
        <f>9.22/2</f>
        <v>4.6100000000000003</v>
      </c>
      <c r="I129" s="1396"/>
      <c r="J129" s="1396"/>
      <c r="K129" s="1394">
        <v>42584</v>
      </c>
      <c r="L129" s="1397"/>
      <c r="M129" s="1397"/>
      <c r="N129" s="1397"/>
      <c r="O129" s="1551" t="s">
        <v>2273</v>
      </c>
      <c r="P129" s="309">
        <v>0</v>
      </c>
      <c r="Q129" s="309">
        <v>0</v>
      </c>
      <c r="R129" s="309">
        <v>0</v>
      </c>
      <c r="S129" s="309">
        <v>3.8048728999999999</v>
      </c>
      <c r="T129" s="309">
        <f t="shared" si="14"/>
        <v>3.8048728999999999</v>
      </c>
      <c r="U129" s="1537">
        <v>0.10730581400000005</v>
      </c>
      <c r="V129" s="309">
        <v>0</v>
      </c>
      <c r="W129" s="309">
        <v>0</v>
      </c>
      <c r="X129" s="309"/>
      <c r="Y129" s="309"/>
      <c r="Z129" s="309"/>
      <c r="AA129" s="309"/>
      <c r="AB129" s="309"/>
      <c r="AC129" s="1538"/>
      <c r="AD129" s="1538"/>
      <c r="AE129" s="1538"/>
      <c r="AF129" s="1538"/>
      <c r="AG129" s="1538"/>
      <c r="AH129" s="1538"/>
      <c r="AI129" s="1538"/>
      <c r="AJ129" s="309">
        <v>0</v>
      </c>
      <c r="AK129" s="309">
        <v>0</v>
      </c>
      <c r="AL129" s="309">
        <v>0</v>
      </c>
      <c r="AM129" s="309">
        <v>3.8048728999999999</v>
      </c>
      <c r="AN129" s="1544">
        <f t="shared" si="15"/>
        <v>3.8048728999999999</v>
      </c>
      <c r="AO129" s="1537">
        <v>0.10730581399999999</v>
      </c>
      <c r="AP129" s="309">
        <v>0</v>
      </c>
      <c r="AQ129" s="309">
        <v>0</v>
      </c>
      <c r="AR129" s="309"/>
      <c r="AS129" s="309"/>
      <c r="AT129" s="309"/>
      <c r="AU129" s="309"/>
      <c r="AV129" s="309"/>
      <c r="AW129" s="309"/>
      <c r="AX129" s="1396"/>
      <c r="AY129" s="1549" t="s">
        <v>940</v>
      </c>
    </row>
    <row r="130" spans="1:51" s="1548" customFormat="1" ht="409.5" customHeight="1" outlineLevel="1" x14ac:dyDescent="0.25">
      <c r="A130" s="1484">
        <v>22.2</v>
      </c>
      <c r="B130" s="1485" t="s">
        <v>1725</v>
      </c>
      <c r="C130" s="1535" t="s">
        <v>936</v>
      </c>
      <c r="D130" s="1484" t="str">
        <f>D129</f>
        <v>MERC/CAPEX/20152016/00420</v>
      </c>
      <c r="E130" s="1536">
        <f>E129</f>
        <v>42214</v>
      </c>
      <c r="F130" s="1394">
        <f>IF(F129=0,"-",F129)</f>
        <v>42584</v>
      </c>
      <c r="G130" s="1395">
        <f>9.22/2</f>
        <v>4.6100000000000003</v>
      </c>
      <c r="H130" s="1395">
        <f>9.22/2</f>
        <v>4.6100000000000003</v>
      </c>
      <c r="I130" s="1396"/>
      <c r="J130" s="1396"/>
      <c r="K130" s="1394"/>
      <c r="L130" s="1397"/>
      <c r="M130" s="1397"/>
      <c r="N130" s="1397"/>
      <c r="O130" s="1551" t="s">
        <v>2274</v>
      </c>
      <c r="P130" s="309">
        <v>0</v>
      </c>
      <c r="Q130" s="309">
        <v>0</v>
      </c>
      <c r="R130" s="309">
        <v>0</v>
      </c>
      <c r="S130" s="309">
        <v>0</v>
      </c>
      <c r="T130" s="309">
        <f t="shared" si="14"/>
        <v>0</v>
      </c>
      <c r="U130" s="309">
        <v>0</v>
      </c>
      <c r="V130" s="309">
        <v>0</v>
      </c>
      <c r="W130" s="309">
        <v>0</v>
      </c>
      <c r="X130" s="1550">
        <v>4.6100000000000003</v>
      </c>
      <c r="Y130" s="309"/>
      <c r="Z130" s="309"/>
      <c r="AA130" s="309"/>
      <c r="AB130" s="309"/>
      <c r="AC130" s="1538"/>
      <c r="AD130" s="1538"/>
      <c r="AE130" s="1538"/>
      <c r="AF130" s="1538"/>
      <c r="AG130" s="1538"/>
      <c r="AH130" s="1538"/>
      <c r="AI130" s="1538"/>
      <c r="AJ130" s="309">
        <v>0</v>
      </c>
      <c r="AK130" s="309">
        <v>0</v>
      </c>
      <c r="AL130" s="309">
        <v>0</v>
      </c>
      <c r="AM130" s="309">
        <v>0</v>
      </c>
      <c r="AN130" s="1544">
        <f t="shared" si="15"/>
        <v>0</v>
      </c>
      <c r="AO130" s="309"/>
      <c r="AP130" s="309">
        <v>0</v>
      </c>
      <c r="AQ130" s="309">
        <v>0</v>
      </c>
      <c r="AR130" s="1550">
        <v>4.6100000000000003</v>
      </c>
      <c r="AS130" s="309"/>
      <c r="AT130" s="309"/>
      <c r="AU130" s="309"/>
      <c r="AV130" s="309"/>
      <c r="AW130" s="309"/>
      <c r="AX130" s="1396" t="s">
        <v>1675</v>
      </c>
      <c r="AY130" s="1549" t="s">
        <v>934</v>
      </c>
    </row>
    <row r="131" spans="1:51" s="1548" customFormat="1" ht="46.5" outlineLevel="1" x14ac:dyDescent="0.25">
      <c r="A131" s="1484">
        <v>22.3</v>
      </c>
      <c r="B131" s="1485" t="s">
        <v>1726</v>
      </c>
      <c r="C131" s="1535" t="s">
        <v>936</v>
      </c>
      <c r="D131" s="1484" t="str">
        <f>D129</f>
        <v>MERC/CAPEX/20152016/00420</v>
      </c>
      <c r="E131" s="1536">
        <f>E129</f>
        <v>42214</v>
      </c>
      <c r="F131" s="1394">
        <f>IF(F129=0,"-",F129)</f>
        <v>42584</v>
      </c>
      <c r="G131" s="1395">
        <v>2.98</v>
      </c>
      <c r="H131" s="1395">
        <v>2.98</v>
      </c>
      <c r="I131" s="1396"/>
      <c r="J131" s="1396"/>
      <c r="K131" s="1394">
        <v>42584</v>
      </c>
      <c r="L131" s="1397"/>
      <c r="M131" s="1397"/>
      <c r="N131" s="1397"/>
      <c r="O131" s="1407"/>
      <c r="P131" s="309">
        <v>1.37732225</v>
      </c>
      <c r="Q131" s="309">
        <v>0</v>
      </c>
      <c r="R131" s="309">
        <v>0</v>
      </c>
      <c r="S131" s="309">
        <v>0</v>
      </c>
      <c r="T131" s="309">
        <f t="shared" si="14"/>
        <v>1.37732225</v>
      </c>
      <c r="U131" s="309">
        <v>0</v>
      </c>
      <c r="V131" s="309">
        <v>0</v>
      </c>
      <c r="W131" s="309">
        <v>0</v>
      </c>
      <c r="X131" s="309"/>
      <c r="Y131" s="309"/>
      <c r="Z131" s="309"/>
      <c r="AA131" s="309"/>
      <c r="AB131" s="309"/>
      <c r="AC131" s="1538"/>
      <c r="AD131" s="1538"/>
      <c r="AE131" s="1538"/>
      <c r="AF131" s="1538"/>
      <c r="AG131" s="1538"/>
      <c r="AH131" s="1538"/>
      <c r="AI131" s="1538"/>
      <c r="AJ131" s="309">
        <v>1.37732225</v>
      </c>
      <c r="AK131" s="309">
        <v>0</v>
      </c>
      <c r="AL131" s="309">
        <v>0</v>
      </c>
      <c r="AM131" s="309">
        <v>0</v>
      </c>
      <c r="AN131" s="1544">
        <f t="shared" si="15"/>
        <v>1.37732225</v>
      </c>
      <c r="AO131" s="309">
        <v>0</v>
      </c>
      <c r="AP131" s="309">
        <v>0</v>
      </c>
      <c r="AQ131" s="309">
        <v>0</v>
      </c>
      <c r="AR131" s="309"/>
      <c r="AS131" s="309"/>
      <c r="AT131" s="309"/>
      <c r="AU131" s="309"/>
      <c r="AV131" s="309"/>
      <c r="AW131" s="309"/>
      <c r="AX131" s="1396"/>
      <c r="AY131" s="1549" t="s">
        <v>940</v>
      </c>
    </row>
    <row r="132" spans="1:51" s="1548" customFormat="1" ht="77.5" outlineLevel="1" x14ac:dyDescent="0.25">
      <c r="A132" s="1484">
        <v>22.4</v>
      </c>
      <c r="B132" s="1485" t="s">
        <v>1727</v>
      </c>
      <c r="C132" s="1535" t="s">
        <v>936</v>
      </c>
      <c r="D132" s="1484" t="str">
        <f>D131</f>
        <v>MERC/CAPEX/20152016/00420</v>
      </c>
      <c r="E132" s="1536">
        <f>E131</f>
        <v>42214</v>
      </c>
      <c r="F132" s="1394">
        <f>IF(F131=0,"-",F131)</f>
        <v>42584</v>
      </c>
      <c r="G132" s="1395">
        <v>5.37</v>
      </c>
      <c r="H132" s="1395">
        <v>5.37</v>
      </c>
      <c r="I132" s="1396"/>
      <c r="J132" s="1396"/>
      <c r="K132" s="1394">
        <v>42584</v>
      </c>
      <c r="L132" s="1397"/>
      <c r="M132" s="1397"/>
      <c r="N132" s="1397"/>
      <c r="O132" s="1407"/>
      <c r="P132" s="309">
        <v>0</v>
      </c>
      <c r="Q132" s="309">
        <v>0</v>
      </c>
      <c r="R132" s="309">
        <v>4.4975699999999996</v>
      </c>
      <c r="S132" s="309">
        <v>0</v>
      </c>
      <c r="T132" s="309">
        <f t="shared" si="14"/>
        <v>4.4975699999999996</v>
      </c>
      <c r="U132" s="1537">
        <v>7.5239999999999974E-2</v>
      </c>
      <c r="V132" s="309"/>
      <c r="W132" s="309">
        <v>0</v>
      </c>
      <c r="X132" s="309"/>
      <c r="Y132" s="309"/>
      <c r="Z132" s="309"/>
      <c r="AA132" s="309"/>
      <c r="AB132" s="309"/>
      <c r="AC132" s="1538"/>
      <c r="AD132" s="1538"/>
      <c r="AE132" s="1538"/>
      <c r="AF132" s="1538"/>
      <c r="AG132" s="1538"/>
      <c r="AH132" s="1538"/>
      <c r="AI132" s="1538"/>
      <c r="AJ132" s="309">
        <v>0</v>
      </c>
      <c r="AK132" s="309">
        <v>0</v>
      </c>
      <c r="AL132" s="309">
        <v>0</v>
      </c>
      <c r="AM132" s="309">
        <v>0</v>
      </c>
      <c r="AN132" s="1544">
        <f t="shared" si="15"/>
        <v>0</v>
      </c>
      <c r="AO132" s="1537">
        <v>4.5728099999999996</v>
      </c>
      <c r="AP132" s="309"/>
      <c r="AQ132" s="309">
        <v>0</v>
      </c>
      <c r="AR132" s="309"/>
      <c r="AS132" s="309"/>
      <c r="AT132" s="309"/>
      <c r="AU132" s="309"/>
      <c r="AV132" s="309"/>
      <c r="AW132" s="309"/>
      <c r="AX132" s="1396"/>
      <c r="AY132" s="1549" t="s">
        <v>940</v>
      </c>
    </row>
    <row r="133" spans="1:51" s="1548" customFormat="1" ht="15.5" outlineLevel="1" x14ac:dyDescent="0.25">
      <c r="A133" s="1484"/>
      <c r="B133" s="1485" t="s">
        <v>414</v>
      </c>
      <c r="C133" s="1535" t="s">
        <v>414</v>
      </c>
      <c r="D133" s="1484" t="str">
        <f>D132</f>
        <v>MERC/CAPEX/20152016/00420</v>
      </c>
      <c r="E133" s="1536">
        <f>E132</f>
        <v>42214</v>
      </c>
      <c r="F133" s="1394">
        <f>IF(F132=0,"-",F132)</f>
        <v>42584</v>
      </c>
      <c r="G133" s="1395">
        <v>0.6</v>
      </c>
      <c r="H133" s="1395">
        <v>0.6</v>
      </c>
      <c r="I133" s="1396"/>
      <c r="J133" s="1396"/>
      <c r="K133" s="1394">
        <v>42584</v>
      </c>
      <c r="L133" s="1397"/>
      <c r="M133" s="1397"/>
      <c r="N133" s="1397"/>
      <c r="O133" s="1407"/>
      <c r="P133" s="309"/>
      <c r="Q133" s="309">
        <v>0</v>
      </c>
      <c r="R133" s="309">
        <v>0</v>
      </c>
      <c r="S133" s="309">
        <v>0</v>
      </c>
      <c r="T133" s="309">
        <f t="shared" si="14"/>
        <v>0</v>
      </c>
      <c r="U133" s="309">
        <v>0</v>
      </c>
      <c r="V133" s="309">
        <v>0</v>
      </c>
      <c r="W133" s="309">
        <v>0</v>
      </c>
      <c r="X133" s="309"/>
      <c r="Y133" s="309"/>
      <c r="Z133" s="309"/>
      <c r="AA133" s="309"/>
      <c r="AB133" s="309"/>
      <c r="AC133" s="1538"/>
      <c r="AD133" s="1538"/>
      <c r="AE133" s="1538"/>
      <c r="AF133" s="1538"/>
      <c r="AG133" s="1538"/>
      <c r="AH133" s="1538"/>
      <c r="AI133" s="1538"/>
      <c r="AJ133" s="309"/>
      <c r="AK133" s="309">
        <v>0</v>
      </c>
      <c r="AL133" s="309">
        <v>0</v>
      </c>
      <c r="AM133" s="309">
        <v>0</v>
      </c>
      <c r="AN133" s="1544">
        <f t="shared" si="15"/>
        <v>0</v>
      </c>
      <c r="AO133" s="309">
        <v>0</v>
      </c>
      <c r="AP133" s="309">
        <v>0</v>
      </c>
      <c r="AQ133" s="309">
        <v>0</v>
      </c>
      <c r="AR133" s="309"/>
      <c r="AS133" s="309"/>
      <c r="AT133" s="309"/>
      <c r="AU133" s="309"/>
      <c r="AV133" s="309"/>
      <c r="AW133" s="309"/>
      <c r="AX133" s="1396"/>
      <c r="AY133" s="1549"/>
    </row>
    <row r="134" spans="1:51" s="1530" customFormat="1" ht="31" outlineLevel="1" x14ac:dyDescent="0.25">
      <c r="A134" s="1477">
        <v>23</v>
      </c>
      <c r="B134" s="1478" t="s">
        <v>1728</v>
      </c>
      <c r="C134" s="1477" t="s">
        <v>928</v>
      </c>
      <c r="D134" s="1477" t="s">
        <v>1729</v>
      </c>
      <c r="E134" s="1479">
        <v>42342</v>
      </c>
      <c r="F134" s="1479">
        <v>42702</v>
      </c>
      <c r="G134" s="1380">
        <f>SUM(G135:G138)</f>
        <v>18.78</v>
      </c>
      <c r="H134" s="1380">
        <f>SUM(H135:H138)</f>
        <v>18.78</v>
      </c>
      <c r="I134" s="563"/>
      <c r="J134" s="563"/>
      <c r="K134" s="1390">
        <v>42702</v>
      </c>
      <c r="L134" s="1391"/>
      <c r="M134" s="1391"/>
      <c r="N134" s="1391"/>
      <c r="O134" s="1402"/>
      <c r="P134" s="1523"/>
      <c r="Q134" s="1524"/>
      <c r="R134" s="1524"/>
      <c r="S134" s="1524"/>
      <c r="T134" s="1524">
        <f t="shared" si="14"/>
        <v>0</v>
      </c>
      <c r="U134" s="1525"/>
      <c r="V134" s="1525"/>
      <c r="W134" s="1392"/>
      <c r="X134" s="1392"/>
      <c r="Y134" s="1392"/>
      <c r="Z134" s="1392"/>
      <c r="AA134" s="1392"/>
      <c r="AB134" s="1392"/>
      <c r="AC134" s="1526"/>
      <c r="AD134" s="1526"/>
      <c r="AE134" s="1526"/>
      <c r="AF134" s="1526"/>
      <c r="AG134" s="1526"/>
      <c r="AH134" s="1526"/>
      <c r="AI134" s="1526"/>
      <c r="AJ134" s="1523"/>
      <c r="AK134" s="1523"/>
      <c r="AL134" s="1523"/>
      <c r="AM134" s="1523"/>
      <c r="AN134" s="1523">
        <f t="shared" si="15"/>
        <v>0</v>
      </c>
      <c r="AO134" s="1527"/>
      <c r="AP134" s="1527"/>
      <c r="AQ134" s="1527"/>
      <c r="AR134" s="1527"/>
      <c r="AS134" s="1527"/>
      <c r="AT134" s="1527"/>
      <c r="AU134" s="1527"/>
      <c r="AV134" s="1527"/>
      <c r="AW134" s="1527"/>
      <c r="AX134" s="563"/>
      <c r="AY134" s="1393"/>
    </row>
    <row r="135" spans="1:51" s="1530" customFormat="1" ht="15.5" outlineLevel="1" x14ac:dyDescent="0.25">
      <c r="A135" s="1482">
        <v>23.1</v>
      </c>
      <c r="B135" s="1483" t="s">
        <v>1730</v>
      </c>
      <c r="C135" s="1531" t="s">
        <v>936</v>
      </c>
      <c r="D135" s="1482" t="str">
        <f t="shared" ref="D135:E138" si="27">D134</f>
        <v>MERC/CAPEX/20162017/01067</v>
      </c>
      <c r="E135" s="1532">
        <f t="shared" si="27"/>
        <v>42342</v>
      </c>
      <c r="F135" s="1390">
        <f>IF(F134=0,"-",F134)</f>
        <v>42702</v>
      </c>
      <c r="G135" s="565">
        <v>5.76</v>
      </c>
      <c r="H135" s="565">
        <v>5.76</v>
      </c>
      <c r="I135" s="563"/>
      <c r="J135" s="563"/>
      <c r="K135" s="1390">
        <v>42702</v>
      </c>
      <c r="L135" s="1391"/>
      <c r="M135" s="1391"/>
      <c r="N135" s="1391"/>
      <c r="O135" s="1402"/>
      <c r="P135" s="1533">
        <v>5.2949505139999999</v>
      </c>
      <c r="Q135" s="1533">
        <v>0</v>
      </c>
      <c r="R135" s="1533">
        <v>0</v>
      </c>
      <c r="S135" s="1533">
        <v>0</v>
      </c>
      <c r="T135" s="1533">
        <f t="shared" si="14"/>
        <v>5.2949505139999999</v>
      </c>
      <c r="U135" s="1533">
        <v>0</v>
      </c>
      <c r="V135" s="1533">
        <v>0</v>
      </c>
      <c r="W135" s="1533">
        <v>0</v>
      </c>
      <c r="X135" s="1533"/>
      <c r="Y135" s="1533"/>
      <c r="Z135" s="1533"/>
      <c r="AA135" s="1533"/>
      <c r="AB135" s="1533"/>
      <c r="AC135" s="1526"/>
      <c r="AD135" s="1526"/>
      <c r="AE135" s="1526"/>
      <c r="AF135" s="1526"/>
      <c r="AG135" s="1526"/>
      <c r="AH135" s="1526"/>
      <c r="AI135" s="1526"/>
      <c r="AJ135" s="1533">
        <v>5.2949505139999999</v>
      </c>
      <c r="AK135" s="1533">
        <v>0</v>
      </c>
      <c r="AL135" s="1533">
        <v>0</v>
      </c>
      <c r="AM135" s="1533">
        <v>0</v>
      </c>
      <c r="AN135" s="1523">
        <f t="shared" si="15"/>
        <v>5.2949505139999999</v>
      </c>
      <c r="AO135" s="1533">
        <v>0</v>
      </c>
      <c r="AP135" s="1533">
        <v>0</v>
      </c>
      <c r="AQ135" s="1533">
        <v>0</v>
      </c>
      <c r="AR135" s="1533"/>
      <c r="AS135" s="1533"/>
      <c r="AT135" s="1533"/>
      <c r="AU135" s="1533"/>
      <c r="AV135" s="1533"/>
      <c r="AW135" s="1533"/>
      <c r="AX135" s="563"/>
      <c r="AY135" s="1534" t="s">
        <v>940</v>
      </c>
    </row>
    <row r="136" spans="1:51" s="1530" customFormat="1" ht="31" outlineLevel="1" x14ac:dyDescent="0.25">
      <c r="A136" s="1482">
        <v>23.2</v>
      </c>
      <c r="B136" s="1483" t="s">
        <v>1731</v>
      </c>
      <c r="C136" s="1531" t="s">
        <v>936</v>
      </c>
      <c r="D136" s="1482" t="str">
        <f t="shared" si="27"/>
        <v>MERC/CAPEX/20162017/01067</v>
      </c>
      <c r="E136" s="1532">
        <f t="shared" si="27"/>
        <v>42342</v>
      </c>
      <c r="F136" s="1390">
        <f>IF(F135=0,"-",F135)</f>
        <v>42702</v>
      </c>
      <c r="G136" s="565">
        <v>2.19</v>
      </c>
      <c r="H136" s="565">
        <v>2.19</v>
      </c>
      <c r="I136" s="563"/>
      <c r="J136" s="563"/>
      <c r="K136" s="1390">
        <v>42702</v>
      </c>
      <c r="L136" s="1391"/>
      <c r="M136" s="1391"/>
      <c r="N136" s="1391"/>
      <c r="O136" s="1402"/>
      <c r="P136" s="1533">
        <v>2.312809187</v>
      </c>
      <c r="Q136" s="1533">
        <v>1.9456129999997399E-3</v>
      </c>
      <c r="R136" s="1533">
        <v>0</v>
      </c>
      <c r="S136" s="1533">
        <v>0</v>
      </c>
      <c r="T136" s="1533">
        <f t="shared" ref="T136:T199" si="28">SUM(P136:S136)</f>
        <v>2.3147547999999998</v>
      </c>
      <c r="U136" s="1533">
        <v>0</v>
      </c>
      <c r="V136" s="1533">
        <v>0</v>
      </c>
      <c r="W136" s="1533">
        <v>0</v>
      </c>
      <c r="X136" s="1533"/>
      <c r="Y136" s="1533"/>
      <c r="Z136" s="1533"/>
      <c r="AA136" s="1533"/>
      <c r="AB136" s="1533"/>
      <c r="AC136" s="1526"/>
      <c r="AD136" s="1526"/>
      <c r="AE136" s="1526"/>
      <c r="AF136" s="1526"/>
      <c r="AG136" s="1526"/>
      <c r="AH136" s="1526"/>
      <c r="AI136" s="1526"/>
      <c r="AJ136" s="1533">
        <v>0</v>
      </c>
      <c r="AK136" s="1533">
        <v>2.3147547999999998</v>
      </c>
      <c r="AL136" s="1533">
        <v>0</v>
      </c>
      <c r="AM136" s="1533">
        <v>0</v>
      </c>
      <c r="AN136" s="1523">
        <f t="shared" ref="AN136:AN199" si="29">SUM(AJ136:AM136)</f>
        <v>2.3147547999999998</v>
      </c>
      <c r="AO136" s="1533">
        <v>0</v>
      </c>
      <c r="AP136" s="1533">
        <v>0</v>
      </c>
      <c r="AQ136" s="1533">
        <v>0</v>
      </c>
      <c r="AR136" s="1533"/>
      <c r="AS136" s="1533"/>
      <c r="AT136" s="1533"/>
      <c r="AU136" s="1533"/>
      <c r="AV136" s="1533"/>
      <c r="AW136" s="1533"/>
      <c r="AX136" s="563"/>
      <c r="AY136" s="1534" t="s">
        <v>940</v>
      </c>
    </row>
    <row r="137" spans="1:51" s="1530" customFormat="1" ht="46.5" outlineLevel="1" x14ac:dyDescent="0.25">
      <c r="A137" s="1482">
        <v>23.3</v>
      </c>
      <c r="B137" s="1483" t="s">
        <v>1732</v>
      </c>
      <c r="C137" s="1531" t="s">
        <v>936</v>
      </c>
      <c r="D137" s="1482" t="str">
        <f t="shared" si="27"/>
        <v>MERC/CAPEX/20162017/01067</v>
      </c>
      <c r="E137" s="1532">
        <f t="shared" si="27"/>
        <v>42342</v>
      </c>
      <c r="F137" s="1390">
        <f>IF(F136=0,"-",F136)</f>
        <v>42702</v>
      </c>
      <c r="G137" s="565">
        <v>10.33</v>
      </c>
      <c r="H137" s="565">
        <v>10.33</v>
      </c>
      <c r="I137" s="563"/>
      <c r="J137" s="563"/>
      <c r="K137" s="1390">
        <v>42702</v>
      </c>
      <c r="L137" s="1391"/>
      <c r="M137" s="1391"/>
      <c r="N137" s="1391"/>
      <c r="O137" s="1402"/>
      <c r="P137" s="1533">
        <v>0</v>
      </c>
      <c r="Q137" s="1533">
        <v>11.298500000000001</v>
      </c>
      <c r="R137" s="1533">
        <v>0.36580000000000001</v>
      </c>
      <c r="S137" s="1533">
        <v>0.129799999999999</v>
      </c>
      <c r="T137" s="1533">
        <f t="shared" si="28"/>
        <v>11.7941</v>
      </c>
      <c r="U137" s="1533">
        <v>0</v>
      </c>
      <c r="V137" s="1533">
        <v>0</v>
      </c>
      <c r="W137" s="1533">
        <v>0</v>
      </c>
      <c r="X137" s="1533"/>
      <c r="Y137" s="1533"/>
      <c r="Z137" s="1533"/>
      <c r="AA137" s="1533"/>
      <c r="AB137" s="1533"/>
      <c r="AC137" s="1526"/>
      <c r="AD137" s="1526"/>
      <c r="AE137" s="1526"/>
      <c r="AF137" s="1526"/>
      <c r="AG137" s="1526"/>
      <c r="AH137" s="1526"/>
      <c r="AI137" s="1526"/>
      <c r="AJ137" s="1533">
        <v>0</v>
      </c>
      <c r="AK137" s="1533">
        <v>0</v>
      </c>
      <c r="AL137" s="1533">
        <v>0</v>
      </c>
      <c r="AM137" s="1533">
        <v>11.7941</v>
      </c>
      <c r="AN137" s="1523">
        <f t="shared" si="29"/>
        <v>11.7941</v>
      </c>
      <c r="AO137" s="1533">
        <v>0</v>
      </c>
      <c r="AP137" s="1533">
        <v>0</v>
      </c>
      <c r="AQ137" s="1533">
        <v>0</v>
      </c>
      <c r="AR137" s="1533"/>
      <c r="AS137" s="1533"/>
      <c r="AT137" s="1533"/>
      <c r="AU137" s="1533"/>
      <c r="AV137" s="1533"/>
      <c r="AW137" s="1533"/>
      <c r="AX137" s="563"/>
      <c r="AY137" s="1534" t="s">
        <v>940</v>
      </c>
    </row>
    <row r="138" spans="1:51" s="1530" customFormat="1" ht="15.5" outlineLevel="1" x14ac:dyDescent="0.25">
      <c r="A138" s="1482"/>
      <c r="B138" s="1483" t="s">
        <v>414</v>
      </c>
      <c r="C138" s="1531" t="s">
        <v>414</v>
      </c>
      <c r="D138" s="1482" t="str">
        <f t="shared" si="27"/>
        <v>MERC/CAPEX/20162017/01067</v>
      </c>
      <c r="E138" s="1532">
        <f t="shared" si="27"/>
        <v>42342</v>
      </c>
      <c r="F138" s="1390">
        <f>IF(F137=0,"-",F137)</f>
        <v>42702</v>
      </c>
      <c r="G138" s="565">
        <v>0.5</v>
      </c>
      <c r="H138" s="565">
        <v>0.5</v>
      </c>
      <c r="I138" s="563"/>
      <c r="J138" s="563"/>
      <c r="K138" s="1390">
        <v>42702</v>
      </c>
      <c r="L138" s="1391"/>
      <c r="M138" s="1391"/>
      <c r="N138" s="1391"/>
      <c r="O138" s="1402"/>
      <c r="P138" s="1533"/>
      <c r="Q138" s="1533">
        <v>0</v>
      </c>
      <c r="R138" s="1533">
        <v>0</v>
      </c>
      <c r="S138" s="1533">
        <v>0</v>
      </c>
      <c r="T138" s="1533">
        <f t="shared" si="28"/>
        <v>0</v>
      </c>
      <c r="U138" s="1533">
        <v>0</v>
      </c>
      <c r="V138" s="1533">
        <v>0</v>
      </c>
      <c r="W138" s="1533">
        <v>0</v>
      </c>
      <c r="X138" s="1533"/>
      <c r="Y138" s="1533"/>
      <c r="Z138" s="1533"/>
      <c r="AA138" s="1533"/>
      <c r="AB138" s="1533"/>
      <c r="AC138" s="1526"/>
      <c r="AD138" s="1526"/>
      <c r="AE138" s="1526"/>
      <c r="AF138" s="1526"/>
      <c r="AG138" s="1526"/>
      <c r="AH138" s="1526"/>
      <c r="AI138" s="1526"/>
      <c r="AJ138" s="1533"/>
      <c r="AK138" s="1533">
        <v>0</v>
      </c>
      <c r="AL138" s="1533">
        <v>0</v>
      </c>
      <c r="AM138" s="1533">
        <v>0</v>
      </c>
      <c r="AN138" s="1523">
        <f t="shared" si="29"/>
        <v>0</v>
      </c>
      <c r="AO138" s="1533">
        <v>0</v>
      </c>
      <c r="AP138" s="1533">
        <v>0</v>
      </c>
      <c r="AQ138" s="1533">
        <v>0</v>
      </c>
      <c r="AR138" s="1533"/>
      <c r="AS138" s="1533"/>
      <c r="AT138" s="1533"/>
      <c r="AU138" s="1533"/>
      <c r="AV138" s="1533"/>
      <c r="AW138" s="1533"/>
      <c r="AX138" s="563"/>
      <c r="AY138" s="1534"/>
    </row>
    <row r="139" spans="1:51" s="1530" customFormat="1" ht="31" outlineLevel="1" x14ac:dyDescent="0.25">
      <c r="A139" s="1477">
        <v>24</v>
      </c>
      <c r="B139" s="1478" t="s">
        <v>1733</v>
      </c>
      <c r="C139" s="1477" t="s">
        <v>928</v>
      </c>
      <c r="D139" s="1477" t="s">
        <v>1734</v>
      </c>
      <c r="E139" s="1479">
        <v>42510</v>
      </c>
      <c r="F139" s="1479">
        <v>42772</v>
      </c>
      <c r="G139" s="1380">
        <f>SUM(G140:G143)</f>
        <v>13.700000000000001</v>
      </c>
      <c r="H139" s="1380">
        <f>SUM(H140:H143)</f>
        <v>13.700000000000001</v>
      </c>
      <c r="I139" s="563"/>
      <c r="J139" s="563"/>
      <c r="K139" s="1390">
        <v>42772</v>
      </c>
      <c r="L139" s="1391"/>
      <c r="M139" s="1391"/>
      <c r="N139" s="1391"/>
      <c r="O139" s="1402"/>
      <c r="P139" s="1523"/>
      <c r="Q139" s="1524"/>
      <c r="R139" s="1524"/>
      <c r="S139" s="1524"/>
      <c r="T139" s="1524">
        <f t="shared" si="28"/>
        <v>0</v>
      </c>
      <c r="U139" s="1525"/>
      <c r="V139" s="1525"/>
      <c r="W139" s="1392"/>
      <c r="X139" s="1392"/>
      <c r="Y139" s="1392"/>
      <c r="Z139" s="1392"/>
      <c r="AA139" s="1392"/>
      <c r="AB139" s="1392"/>
      <c r="AC139" s="1526"/>
      <c r="AD139" s="1526"/>
      <c r="AE139" s="1526"/>
      <c r="AF139" s="1526"/>
      <c r="AG139" s="1526"/>
      <c r="AH139" s="1526"/>
      <c r="AI139" s="1526"/>
      <c r="AJ139" s="1523"/>
      <c r="AK139" s="1523"/>
      <c r="AL139" s="1523"/>
      <c r="AM139" s="1523"/>
      <c r="AN139" s="1523">
        <f t="shared" si="29"/>
        <v>0</v>
      </c>
      <c r="AO139" s="1527"/>
      <c r="AP139" s="1527"/>
      <c r="AQ139" s="1527"/>
      <c r="AR139" s="1527"/>
      <c r="AS139" s="1527"/>
      <c r="AT139" s="1527"/>
      <c r="AU139" s="1527"/>
      <c r="AV139" s="1527"/>
      <c r="AW139" s="1527"/>
      <c r="AX139" s="563"/>
      <c r="AY139" s="1393"/>
    </row>
    <row r="140" spans="1:51" s="1530" customFormat="1" ht="31" outlineLevel="1" x14ac:dyDescent="0.25">
      <c r="A140" s="1482">
        <v>24.1</v>
      </c>
      <c r="B140" s="1483" t="s">
        <v>1735</v>
      </c>
      <c r="C140" s="1531" t="s">
        <v>936</v>
      </c>
      <c r="D140" s="1482" t="str">
        <f t="shared" ref="D140:E143" si="30">D139</f>
        <v>MERC/CAPEX/20162017/01475</v>
      </c>
      <c r="E140" s="1532">
        <f t="shared" si="30"/>
        <v>42510</v>
      </c>
      <c r="F140" s="1390">
        <f>IF(F139=0,"-",F139)</f>
        <v>42772</v>
      </c>
      <c r="G140" s="565">
        <v>3.25</v>
      </c>
      <c r="H140" s="565">
        <v>3.25</v>
      </c>
      <c r="I140" s="563"/>
      <c r="J140" s="563"/>
      <c r="K140" s="1390">
        <v>42772</v>
      </c>
      <c r="L140" s="1391"/>
      <c r="M140" s="1391"/>
      <c r="N140" s="1391"/>
      <c r="O140" s="1402"/>
      <c r="P140" s="1533">
        <v>2.88</v>
      </c>
      <c r="Q140" s="1533">
        <v>0.67227954999999995</v>
      </c>
      <c r="R140" s="1533">
        <v>0</v>
      </c>
      <c r="S140" s="1533">
        <v>0.32213999999999998</v>
      </c>
      <c r="T140" s="1533">
        <f t="shared" si="28"/>
        <v>3.8744195499999998</v>
      </c>
      <c r="U140" s="1533">
        <v>0</v>
      </c>
      <c r="V140" s="1533">
        <v>0</v>
      </c>
      <c r="W140" s="1533">
        <v>0</v>
      </c>
      <c r="X140" s="1533"/>
      <c r="Y140" s="1533"/>
      <c r="Z140" s="1533"/>
      <c r="AA140" s="1533"/>
      <c r="AB140" s="1533"/>
      <c r="AC140" s="1526"/>
      <c r="AD140" s="1526"/>
      <c r="AE140" s="1526"/>
      <c r="AF140" s="1526"/>
      <c r="AG140" s="1526"/>
      <c r="AH140" s="1526"/>
      <c r="AI140" s="1526"/>
      <c r="AJ140" s="1533">
        <v>0</v>
      </c>
      <c r="AK140" s="1533">
        <v>3.5522795500000002</v>
      </c>
      <c r="AL140" s="1533">
        <v>0</v>
      </c>
      <c r="AM140" s="1533">
        <v>0.32213999999999998</v>
      </c>
      <c r="AN140" s="1523">
        <f t="shared" si="29"/>
        <v>3.8744195500000003</v>
      </c>
      <c r="AO140" s="1533">
        <v>0</v>
      </c>
      <c r="AP140" s="1533">
        <v>0</v>
      </c>
      <c r="AQ140" s="1533">
        <v>0</v>
      </c>
      <c r="AR140" s="1533"/>
      <c r="AS140" s="1533"/>
      <c r="AT140" s="1533"/>
      <c r="AU140" s="1533"/>
      <c r="AV140" s="1533"/>
      <c r="AW140" s="1533"/>
      <c r="AX140" s="563"/>
      <c r="AY140" s="1534" t="s">
        <v>940</v>
      </c>
    </row>
    <row r="141" spans="1:51" s="1530" customFormat="1" ht="46.5" outlineLevel="1" x14ac:dyDescent="0.25">
      <c r="A141" s="1482">
        <v>24.2</v>
      </c>
      <c r="B141" s="1483" t="s">
        <v>1736</v>
      </c>
      <c r="C141" s="1531" t="s">
        <v>936</v>
      </c>
      <c r="D141" s="1482" t="str">
        <f t="shared" si="30"/>
        <v>MERC/CAPEX/20162017/01475</v>
      </c>
      <c r="E141" s="1532">
        <f t="shared" si="30"/>
        <v>42510</v>
      </c>
      <c r="F141" s="1390">
        <f>IF(F140=0,"-",F140)</f>
        <v>42772</v>
      </c>
      <c r="G141" s="565">
        <v>3.46</v>
      </c>
      <c r="H141" s="565">
        <v>3.46</v>
      </c>
      <c r="I141" s="563"/>
      <c r="J141" s="563"/>
      <c r="K141" s="1390">
        <v>42772</v>
      </c>
      <c r="L141" s="1391"/>
      <c r="M141" s="1391"/>
      <c r="N141" s="1391"/>
      <c r="O141" s="1402"/>
      <c r="P141" s="1533">
        <v>3.444336098</v>
      </c>
      <c r="Q141" s="1533">
        <v>0.107943452</v>
      </c>
      <c r="R141" s="1533">
        <v>0</v>
      </c>
      <c r="S141" s="1533">
        <v>0</v>
      </c>
      <c r="T141" s="1533">
        <f t="shared" si="28"/>
        <v>3.5522795499999997</v>
      </c>
      <c r="U141" s="1533">
        <v>0</v>
      </c>
      <c r="V141" s="1533">
        <v>0</v>
      </c>
      <c r="W141" s="1533">
        <v>0</v>
      </c>
      <c r="X141" s="1533"/>
      <c r="Y141" s="1533"/>
      <c r="Z141" s="1533"/>
      <c r="AA141" s="1533"/>
      <c r="AB141" s="1533"/>
      <c r="AC141" s="1526"/>
      <c r="AD141" s="1526"/>
      <c r="AE141" s="1526"/>
      <c r="AF141" s="1526"/>
      <c r="AG141" s="1526"/>
      <c r="AH141" s="1526"/>
      <c r="AI141" s="1526"/>
      <c r="AJ141" s="1533">
        <v>0</v>
      </c>
      <c r="AK141" s="1533">
        <v>3.5522795500000002</v>
      </c>
      <c r="AL141" s="1533">
        <v>0</v>
      </c>
      <c r="AM141" s="1533">
        <v>0</v>
      </c>
      <c r="AN141" s="1523">
        <f t="shared" si="29"/>
        <v>3.5522795500000002</v>
      </c>
      <c r="AO141" s="1533">
        <v>0</v>
      </c>
      <c r="AP141" s="1533">
        <v>0</v>
      </c>
      <c r="AQ141" s="1533">
        <v>0</v>
      </c>
      <c r="AR141" s="1533"/>
      <c r="AS141" s="1533"/>
      <c r="AT141" s="1533"/>
      <c r="AU141" s="1533"/>
      <c r="AV141" s="1533"/>
      <c r="AW141" s="1533"/>
      <c r="AX141" s="563"/>
      <c r="AY141" s="1534" t="s">
        <v>940</v>
      </c>
    </row>
    <row r="142" spans="1:51" s="1530" customFormat="1" ht="31" outlineLevel="1" x14ac:dyDescent="0.25">
      <c r="A142" s="1482">
        <v>24.3</v>
      </c>
      <c r="B142" s="1483" t="s">
        <v>1737</v>
      </c>
      <c r="C142" s="1531" t="s">
        <v>936</v>
      </c>
      <c r="D142" s="1482" t="str">
        <f t="shared" si="30"/>
        <v>MERC/CAPEX/20162017/01475</v>
      </c>
      <c r="E142" s="1532">
        <f t="shared" si="30"/>
        <v>42510</v>
      </c>
      <c r="F142" s="1390">
        <f>IF(F141=0,"-",F141)</f>
        <v>42772</v>
      </c>
      <c r="G142" s="565">
        <v>6.19</v>
      </c>
      <c r="H142" s="565">
        <v>6.19</v>
      </c>
      <c r="I142" s="563"/>
      <c r="J142" s="563"/>
      <c r="K142" s="1390">
        <v>42772</v>
      </c>
      <c r="L142" s="1391"/>
      <c r="M142" s="1391"/>
      <c r="N142" s="1391"/>
      <c r="O142" s="1402"/>
      <c r="P142" s="1533">
        <v>4.5767479</v>
      </c>
      <c r="Q142" s="1533">
        <v>0</v>
      </c>
      <c r="R142" s="1533">
        <v>0</v>
      </c>
      <c r="S142" s="1533">
        <v>0</v>
      </c>
      <c r="T142" s="1533">
        <f t="shared" si="28"/>
        <v>4.5767479</v>
      </c>
      <c r="U142" s="1533">
        <v>0</v>
      </c>
      <c r="V142" s="1533">
        <v>0</v>
      </c>
      <c r="W142" s="1533">
        <v>0</v>
      </c>
      <c r="X142" s="1533"/>
      <c r="Y142" s="1533"/>
      <c r="Z142" s="1533"/>
      <c r="AA142" s="1533"/>
      <c r="AB142" s="1533"/>
      <c r="AC142" s="1526"/>
      <c r="AD142" s="1526"/>
      <c r="AE142" s="1526"/>
      <c r="AF142" s="1526"/>
      <c r="AG142" s="1526"/>
      <c r="AH142" s="1526"/>
      <c r="AI142" s="1526"/>
      <c r="AJ142" s="1533">
        <v>4.5767479</v>
      </c>
      <c r="AK142" s="1533">
        <v>0</v>
      </c>
      <c r="AL142" s="1533">
        <v>0</v>
      </c>
      <c r="AM142" s="1533">
        <v>0</v>
      </c>
      <c r="AN142" s="1523">
        <f t="shared" si="29"/>
        <v>4.5767479</v>
      </c>
      <c r="AO142" s="1533">
        <v>0</v>
      </c>
      <c r="AP142" s="1533">
        <v>0</v>
      </c>
      <c r="AQ142" s="1533">
        <v>0</v>
      </c>
      <c r="AR142" s="1533"/>
      <c r="AS142" s="1533"/>
      <c r="AT142" s="1533"/>
      <c r="AU142" s="1533"/>
      <c r="AV142" s="1533"/>
      <c r="AW142" s="1533"/>
      <c r="AX142" s="563"/>
      <c r="AY142" s="1534" t="s">
        <v>940</v>
      </c>
    </row>
    <row r="143" spans="1:51" s="1530" customFormat="1" ht="15.5" outlineLevel="1" x14ac:dyDescent="0.25">
      <c r="A143" s="1482"/>
      <c r="B143" s="1483" t="s">
        <v>414</v>
      </c>
      <c r="C143" s="1531" t="s">
        <v>414</v>
      </c>
      <c r="D143" s="1482" t="str">
        <f t="shared" si="30"/>
        <v>MERC/CAPEX/20162017/01475</v>
      </c>
      <c r="E143" s="1532">
        <f t="shared" si="30"/>
        <v>42510</v>
      </c>
      <c r="F143" s="1390">
        <f>IF(F142=0,"-",F142)</f>
        <v>42772</v>
      </c>
      <c r="G143" s="565">
        <v>0.8</v>
      </c>
      <c r="H143" s="565">
        <v>0.8</v>
      </c>
      <c r="I143" s="563"/>
      <c r="J143" s="563"/>
      <c r="K143" s="1390">
        <v>42772</v>
      </c>
      <c r="L143" s="1391"/>
      <c r="M143" s="1391"/>
      <c r="N143" s="1391"/>
      <c r="O143" s="1402"/>
      <c r="P143" s="1533"/>
      <c r="Q143" s="1533">
        <v>0</v>
      </c>
      <c r="R143" s="1533">
        <v>0</v>
      </c>
      <c r="S143" s="1533">
        <v>0</v>
      </c>
      <c r="T143" s="1533">
        <f t="shared" si="28"/>
        <v>0</v>
      </c>
      <c r="U143" s="1533">
        <v>0</v>
      </c>
      <c r="V143" s="1533">
        <v>0</v>
      </c>
      <c r="W143" s="1533">
        <v>0</v>
      </c>
      <c r="X143" s="1533"/>
      <c r="Y143" s="1533"/>
      <c r="Z143" s="1533"/>
      <c r="AA143" s="1533"/>
      <c r="AB143" s="1533"/>
      <c r="AC143" s="1526"/>
      <c r="AD143" s="1526"/>
      <c r="AE143" s="1526"/>
      <c r="AF143" s="1526"/>
      <c r="AG143" s="1526"/>
      <c r="AH143" s="1526"/>
      <c r="AI143" s="1526"/>
      <c r="AJ143" s="1533"/>
      <c r="AK143" s="1533">
        <v>0</v>
      </c>
      <c r="AL143" s="1533">
        <v>0</v>
      </c>
      <c r="AM143" s="1533">
        <v>0</v>
      </c>
      <c r="AN143" s="1523">
        <f t="shared" si="29"/>
        <v>0</v>
      </c>
      <c r="AO143" s="1533">
        <v>0</v>
      </c>
      <c r="AP143" s="1533">
        <v>0</v>
      </c>
      <c r="AQ143" s="1533">
        <v>0</v>
      </c>
      <c r="AR143" s="1533"/>
      <c r="AS143" s="1533"/>
      <c r="AT143" s="1533"/>
      <c r="AU143" s="1533"/>
      <c r="AV143" s="1533"/>
      <c r="AW143" s="1533"/>
      <c r="AX143" s="563"/>
      <c r="AY143" s="1534"/>
    </row>
    <row r="144" spans="1:51" s="1548" customFormat="1" ht="46.5" outlineLevel="1" x14ac:dyDescent="0.25">
      <c r="A144" s="1489">
        <v>25</v>
      </c>
      <c r="B144" s="1490" t="s">
        <v>1738</v>
      </c>
      <c r="C144" s="1489" t="s">
        <v>928</v>
      </c>
      <c r="D144" s="1489" t="s">
        <v>1739</v>
      </c>
      <c r="E144" s="1543">
        <v>42608</v>
      </c>
      <c r="F144" s="1543">
        <v>42737</v>
      </c>
      <c r="G144" s="1398">
        <f>SUM(G145:G145)</f>
        <v>5.7359999999999998</v>
      </c>
      <c r="H144" s="1398">
        <f>SUM(H145:H145)</f>
        <v>14.686</v>
      </c>
      <c r="I144" s="1396"/>
      <c r="J144" s="1396"/>
      <c r="K144" s="1394">
        <v>42737</v>
      </c>
      <c r="L144" s="1397"/>
      <c r="M144" s="1397"/>
      <c r="N144" s="1397"/>
      <c r="O144" s="1407"/>
      <c r="P144" s="1544"/>
      <c r="Q144" s="1545"/>
      <c r="R144" s="1545"/>
      <c r="S144" s="1545"/>
      <c r="T144" s="1545">
        <f t="shared" si="28"/>
        <v>0</v>
      </c>
      <c r="U144" s="1546"/>
      <c r="V144" s="1546"/>
      <c r="W144" s="1399"/>
      <c r="X144" s="1399"/>
      <c r="Y144" s="1399"/>
      <c r="Z144" s="1399"/>
      <c r="AA144" s="1399"/>
      <c r="AB144" s="1399"/>
      <c r="AC144" s="1538"/>
      <c r="AD144" s="1538"/>
      <c r="AE144" s="1538"/>
      <c r="AF144" s="1538"/>
      <c r="AG144" s="1538"/>
      <c r="AH144" s="1538"/>
      <c r="AI144" s="1538"/>
      <c r="AJ144" s="1544"/>
      <c r="AK144" s="1544"/>
      <c r="AL144" s="1544"/>
      <c r="AM144" s="1544"/>
      <c r="AN144" s="1544">
        <f t="shared" si="29"/>
        <v>0</v>
      </c>
      <c r="AO144" s="1547"/>
      <c r="AP144" s="1547"/>
      <c r="AQ144" s="1547"/>
      <c r="AR144" s="1547"/>
      <c r="AS144" s="1547"/>
      <c r="AT144" s="1547"/>
      <c r="AU144" s="1547"/>
      <c r="AV144" s="1547"/>
      <c r="AW144" s="1547"/>
      <c r="AX144" s="1396"/>
      <c r="AY144" s="1400"/>
    </row>
    <row r="145" spans="1:51" s="1548" customFormat="1" ht="46.5" outlineLevel="1" x14ac:dyDescent="0.25">
      <c r="A145" s="1484">
        <v>25.1</v>
      </c>
      <c r="B145" s="1485" t="s">
        <v>1738</v>
      </c>
      <c r="C145" s="1535" t="s">
        <v>936</v>
      </c>
      <c r="D145" s="1484" t="str">
        <f>D144</f>
        <v>MERC/CAPEX/20162017/01269</v>
      </c>
      <c r="E145" s="1536">
        <f>E144</f>
        <v>42608</v>
      </c>
      <c r="F145" s="1394">
        <f>IF(F144=0,"-",F144)</f>
        <v>42737</v>
      </c>
      <c r="G145" s="1395">
        <v>5.7359999999999998</v>
      </c>
      <c r="H145" s="1395">
        <v>14.686</v>
      </c>
      <c r="I145" s="1396"/>
      <c r="J145" s="1396"/>
      <c r="K145" s="1394">
        <v>42737</v>
      </c>
      <c r="L145" s="1397"/>
      <c r="M145" s="1397"/>
      <c r="N145" s="1397"/>
      <c r="O145" s="1407"/>
      <c r="P145" s="309">
        <v>4.3649712189999992</v>
      </c>
      <c r="Q145" s="309">
        <v>5.0885987000000004</v>
      </c>
      <c r="R145" s="309">
        <v>0</v>
      </c>
      <c r="S145" s="309">
        <v>2.7131767139999998</v>
      </c>
      <c r="T145" s="309">
        <f t="shared" si="28"/>
        <v>12.166746632999999</v>
      </c>
      <c r="U145" s="1556"/>
      <c r="V145" s="1537">
        <v>0.23362778400000295</v>
      </c>
      <c r="W145" s="1550">
        <v>2.29</v>
      </c>
      <c r="X145" s="309"/>
      <c r="Y145" s="309"/>
      <c r="Z145" s="309"/>
      <c r="AA145" s="309"/>
      <c r="AB145" s="309"/>
      <c r="AC145" s="1538"/>
      <c r="AD145" s="1538"/>
      <c r="AE145" s="1538"/>
      <c r="AF145" s="1538"/>
      <c r="AG145" s="1538"/>
      <c r="AH145" s="1538"/>
      <c r="AI145" s="1538"/>
      <c r="AJ145" s="309">
        <v>0</v>
      </c>
      <c r="AK145" s="309">
        <v>0</v>
      </c>
      <c r="AL145" s="309">
        <v>5.8540099000000003</v>
      </c>
      <c r="AM145" s="309">
        <v>3.5639965999999998</v>
      </c>
      <c r="AN145" s="1544">
        <f t="shared" si="29"/>
        <v>9.4180065000000006</v>
      </c>
      <c r="AO145" s="1537">
        <v>2.594063717</v>
      </c>
      <c r="AP145" s="1537">
        <v>0.38830419999999999</v>
      </c>
      <c r="AQ145" s="1550">
        <v>2.29</v>
      </c>
      <c r="AR145" s="309"/>
      <c r="AS145" s="309"/>
      <c r="AT145" s="309"/>
      <c r="AU145" s="309"/>
      <c r="AV145" s="309"/>
      <c r="AW145" s="309"/>
      <c r="AX145" s="1396"/>
      <c r="AY145" s="1549" t="s">
        <v>938</v>
      </c>
    </row>
    <row r="146" spans="1:51" s="1548" customFormat="1" ht="31" outlineLevel="1" x14ac:dyDescent="0.25">
      <c r="A146" s="1489">
        <v>26</v>
      </c>
      <c r="B146" s="1490" t="s">
        <v>1740</v>
      </c>
      <c r="C146" s="1489" t="s">
        <v>928</v>
      </c>
      <c r="D146" s="1489" t="s">
        <v>1741</v>
      </c>
      <c r="E146" s="1543">
        <v>42745</v>
      </c>
      <c r="F146" s="1543">
        <v>42986</v>
      </c>
      <c r="G146" s="1398">
        <f>SUM(G147)</f>
        <v>196.26</v>
      </c>
      <c r="H146" s="1398">
        <f>SUM(H147)</f>
        <v>196.26</v>
      </c>
      <c r="I146" s="1396"/>
      <c r="J146" s="1396"/>
      <c r="K146" s="1394">
        <v>42986</v>
      </c>
      <c r="L146" s="1397"/>
      <c r="M146" s="1397"/>
      <c r="N146" s="1397"/>
      <c r="O146" s="1407"/>
      <c r="P146" s="1544"/>
      <c r="Q146" s="1545"/>
      <c r="R146" s="1545"/>
      <c r="S146" s="1545"/>
      <c r="T146" s="1545">
        <f t="shared" si="28"/>
        <v>0</v>
      </c>
      <c r="U146" s="1546"/>
      <c r="V146" s="1546"/>
      <c r="W146" s="1399"/>
      <c r="X146" s="1399"/>
      <c r="Y146" s="1399"/>
      <c r="Z146" s="1399"/>
      <c r="AA146" s="1399"/>
      <c r="AB146" s="1399"/>
      <c r="AC146" s="1538"/>
      <c r="AD146" s="1538"/>
      <c r="AE146" s="1538"/>
      <c r="AF146" s="1538"/>
      <c r="AG146" s="1538"/>
      <c r="AH146" s="1538"/>
      <c r="AI146" s="1538"/>
      <c r="AJ146" s="1544"/>
      <c r="AK146" s="1544"/>
      <c r="AL146" s="1544"/>
      <c r="AM146" s="1544"/>
      <c r="AN146" s="1544">
        <f t="shared" si="29"/>
        <v>0</v>
      </c>
      <c r="AO146" s="1547"/>
      <c r="AP146" s="1547"/>
      <c r="AQ146" s="1547"/>
      <c r="AR146" s="1547"/>
      <c r="AS146" s="1547"/>
      <c r="AT146" s="1547"/>
      <c r="AU146" s="1547"/>
      <c r="AV146" s="1547"/>
      <c r="AW146" s="1547"/>
      <c r="AX146" s="1396"/>
      <c r="AY146" s="1400"/>
    </row>
    <row r="147" spans="1:51" s="1548" customFormat="1" ht="31" outlineLevel="1" x14ac:dyDescent="0.25">
      <c r="A147" s="1484">
        <v>26.1</v>
      </c>
      <c r="B147" s="1485" t="s">
        <v>1740</v>
      </c>
      <c r="C147" s="1535" t="s">
        <v>936</v>
      </c>
      <c r="D147" s="1484" t="str">
        <f>D146</f>
        <v>MERC/CAPEX/20172018/4171</v>
      </c>
      <c r="E147" s="1536">
        <v>42745</v>
      </c>
      <c r="F147" s="1394">
        <f>IF(F146=0,"-",F146)</f>
        <v>42986</v>
      </c>
      <c r="G147" s="1395">
        <v>196.26</v>
      </c>
      <c r="H147" s="1395">
        <v>196.26</v>
      </c>
      <c r="I147" s="1396"/>
      <c r="J147" s="1396"/>
      <c r="K147" s="1394">
        <v>42986</v>
      </c>
      <c r="L147" s="1397"/>
      <c r="M147" s="1397"/>
      <c r="N147" s="1397"/>
      <c r="O147" s="1407"/>
      <c r="P147" s="309">
        <v>2.319548132</v>
      </c>
      <c r="Q147" s="309">
        <v>0</v>
      </c>
      <c r="R147" s="309">
        <v>0</v>
      </c>
      <c r="S147" s="309">
        <v>252.26559706800001</v>
      </c>
      <c r="T147" s="309">
        <f t="shared" si="28"/>
        <v>254.5851452</v>
      </c>
      <c r="U147" s="1537">
        <v>1.8581917349999912</v>
      </c>
      <c r="V147" s="1537">
        <v>0.3719300000000203</v>
      </c>
      <c r="W147" s="309">
        <v>0</v>
      </c>
      <c r="X147" s="309"/>
      <c r="Y147" s="309"/>
      <c r="Z147" s="309"/>
      <c r="AA147" s="309"/>
      <c r="AB147" s="309"/>
      <c r="AC147" s="1538"/>
      <c r="AD147" s="1538"/>
      <c r="AE147" s="1538"/>
      <c r="AF147" s="1538"/>
      <c r="AG147" s="1538"/>
      <c r="AH147" s="1538"/>
      <c r="AI147" s="1538"/>
      <c r="AJ147" s="309">
        <v>0</v>
      </c>
      <c r="AK147" s="309">
        <v>0</v>
      </c>
      <c r="AL147" s="309">
        <v>0</v>
      </c>
      <c r="AM147" s="309">
        <v>254.5851452</v>
      </c>
      <c r="AN147" s="1544">
        <f t="shared" si="29"/>
        <v>254.5851452</v>
      </c>
      <c r="AO147" s="1537">
        <v>1.8581917350000001</v>
      </c>
      <c r="AP147" s="1537">
        <v>0.37192999999999998</v>
      </c>
      <c r="AQ147" s="309">
        <v>0</v>
      </c>
      <c r="AR147" s="309"/>
      <c r="AS147" s="309"/>
      <c r="AT147" s="309"/>
      <c r="AU147" s="309"/>
      <c r="AV147" s="309"/>
      <c r="AW147" s="309"/>
      <c r="AX147" s="1396"/>
      <c r="AY147" s="1549" t="s">
        <v>940</v>
      </c>
    </row>
    <row r="148" spans="1:51" s="1530" customFormat="1" ht="46.5" outlineLevel="1" x14ac:dyDescent="0.25">
      <c r="A148" s="1477">
        <v>27</v>
      </c>
      <c r="B148" s="1478" t="s">
        <v>1742</v>
      </c>
      <c r="C148" s="1477" t="s">
        <v>928</v>
      </c>
      <c r="D148" s="1477" t="s">
        <v>1743</v>
      </c>
      <c r="E148" s="1479">
        <v>42825</v>
      </c>
      <c r="F148" s="1479">
        <v>42965</v>
      </c>
      <c r="G148" s="1380">
        <f>SUM(G149:G151)</f>
        <v>26.72</v>
      </c>
      <c r="H148" s="1380">
        <f>SUM(H149:H151)</f>
        <v>25.27</v>
      </c>
      <c r="I148" s="563"/>
      <c r="J148" s="563"/>
      <c r="K148" s="1390">
        <v>42965</v>
      </c>
      <c r="L148" s="1391"/>
      <c r="M148" s="1391"/>
      <c r="N148" s="1391"/>
      <c r="O148" s="1402"/>
      <c r="P148" s="1523"/>
      <c r="Q148" s="1524"/>
      <c r="R148" s="1524"/>
      <c r="S148" s="1524"/>
      <c r="T148" s="1524">
        <f t="shared" si="28"/>
        <v>0</v>
      </c>
      <c r="U148" s="1525"/>
      <c r="V148" s="1525"/>
      <c r="W148" s="1392"/>
      <c r="X148" s="1392"/>
      <c r="Y148" s="1392"/>
      <c r="Z148" s="1392"/>
      <c r="AA148" s="1392"/>
      <c r="AB148" s="1392"/>
      <c r="AC148" s="1526"/>
      <c r="AD148" s="1526"/>
      <c r="AE148" s="1526"/>
      <c r="AF148" s="1526"/>
      <c r="AG148" s="1526"/>
      <c r="AH148" s="1526"/>
      <c r="AI148" s="1526"/>
      <c r="AJ148" s="1523"/>
      <c r="AK148" s="1523"/>
      <c r="AL148" s="1523"/>
      <c r="AM148" s="1523"/>
      <c r="AN148" s="1523">
        <f t="shared" si="29"/>
        <v>0</v>
      </c>
      <c r="AO148" s="1527"/>
      <c r="AP148" s="1527"/>
      <c r="AQ148" s="1527"/>
      <c r="AR148" s="1527"/>
      <c r="AS148" s="1527"/>
      <c r="AT148" s="1527"/>
      <c r="AU148" s="1527"/>
      <c r="AV148" s="1527"/>
      <c r="AW148" s="1527"/>
      <c r="AX148" s="563"/>
      <c r="AY148" s="1393"/>
    </row>
    <row r="149" spans="1:51" s="1530" customFormat="1" ht="31" outlineLevel="1" x14ac:dyDescent="0.25">
      <c r="A149" s="1482">
        <v>27.1</v>
      </c>
      <c r="B149" s="1483" t="s">
        <v>1744</v>
      </c>
      <c r="C149" s="1531" t="s">
        <v>936</v>
      </c>
      <c r="D149" s="1482" t="str">
        <f t="shared" ref="D149:E151" si="31">D148</f>
        <v>MERC/CAPEX/20172018/4071</v>
      </c>
      <c r="E149" s="1532">
        <f t="shared" si="31"/>
        <v>42825</v>
      </c>
      <c r="F149" s="1390">
        <f>IF(F148=0,"-",F148)</f>
        <v>42965</v>
      </c>
      <c r="G149" s="565">
        <f>19.7</f>
        <v>19.7</v>
      </c>
      <c r="H149" s="565">
        <v>18.25</v>
      </c>
      <c r="I149" s="563"/>
      <c r="J149" s="563"/>
      <c r="K149" s="1390">
        <v>42965</v>
      </c>
      <c r="L149" s="1391"/>
      <c r="M149" s="1391"/>
      <c r="N149" s="1391"/>
      <c r="O149" s="1402"/>
      <c r="P149" s="1533">
        <v>8.2829930689999998</v>
      </c>
      <c r="Q149" s="1533">
        <v>0</v>
      </c>
      <c r="R149" s="1533">
        <v>0</v>
      </c>
      <c r="S149" s="1533">
        <v>0</v>
      </c>
      <c r="T149" s="1533">
        <f t="shared" si="28"/>
        <v>8.2829930689999998</v>
      </c>
      <c r="U149" s="1533">
        <v>0</v>
      </c>
      <c r="V149" s="1533">
        <v>0</v>
      </c>
      <c r="W149" s="1533">
        <v>0</v>
      </c>
      <c r="X149" s="1533"/>
      <c r="Y149" s="1533"/>
      <c r="Z149" s="1533"/>
      <c r="AA149" s="1533"/>
      <c r="AB149" s="1533"/>
      <c r="AC149" s="1526"/>
      <c r="AD149" s="1526"/>
      <c r="AE149" s="1526"/>
      <c r="AF149" s="1526"/>
      <c r="AG149" s="1526"/>
      <c r="AH149" s="1526"/>
      <c r="AI149" s="1526"/>
      <c r="AJ149" s="1533">
        <v>8.2829930689999998</v>
      </c>
      <c r="AK149" s="1533">
        <v>0</v>
      </c>
      <c r="AL149" s="1533">
        <v>0</v>
      </c>
      <c r="AM149" s="1533">
        <v>0</v>
      </c>
      <c r="AN149" s="1523">
        <f t="shared" si="29"/>
        <v>8.2829930689999998</v>
      </c>
      <c r="AO149" s="1533">
        <v>0</v>
      </c>
      <c r="AP149" s="1533">
        <v>0</v>
      </c>
      <c r="AQ149" s="1533">
        <v>0</v>
      </c>
      <c r="AR149" s="1533"/>
      <c r="AS149" s="1533"/>
      <c r="AT149" s="1533"/>
      <c r="AU149" s="1533"/>
      <c r="AV149" s="1533"/>
      <c r="AW149" s="1533"/>
      <c r="AX149" s="563"/>
      <c r="AY149" s="1534" t="s">
        <v>940</v>
      </c>
    </row>
    <row r="150" spans="1:51" s="1530" customFormat="1" ht="31" outlineLevel="1" x14ac:dyDescent="0.25">
      <c r="A150" s="1482">
        <v>27.2</v>
      </c>
      <c r="B150" s="1483" t="s">
        <v>1745</v>
      </c>
      <c r="C150" s="1531" t="s">
        <v>936</v>
      </c>
      <c r="D150" s="1482" t="str">
        <f t="shared" si="31"/>
        <v>MERC/CAPEX/20172018/4071</v>
      </c>
      <c r="E150" s="1532">
        <f t="shared" si="31"/>
        <v>42825</v>
      </c>
      <c r="F150" s="1390">
        <f>IF(F149=0,"-",F149)</f>
        <v>42965</v>
      </c>
      <c r="G150" s="565">
        <v>6.72</v>
      </c>
      <c r="H150" s="565">
        <v>6.72</v>
      </c>
      <c r="I150" s="563"/>
      <c r="J150" s="563"/>
      <c r="K150" s="1390">
        <v>42965</v>
      </c>
      <c r="L150" s="1391"/>
      <c r="M150" s="1391"/>
      <c r="N150" s="1391"/>
      <c r="O150" s="1402"/>
      <c r="P150" s="1533">
        <v>0</v>
      </c>
      <c r="Q150" s="1533">
        <v>0</v>
      </c>
      <c r="R150" s="1533">
        <v>0</v>
      </c>
      <c r="S150" s="1533">
        <v>6.0757019999999997</v>
      </c>
      <c r="T150" s="1533">
        <f t="shared" si="28"/>
        <v>6.0757019999999997</v>
      </c>
      <c r="U150" s="1533">
        <v>0</v>
      </c>
      <c r="V150" s="1533">
        <v>0</v>
      </c>
      <c r="W150" s="1533">
        <v>0</v>
      </c>
      <c r="X150" s="1533"/>
      <c r="Y150" s="1533"/>
      <c r="Z150" s="1533"/>
      <c r="AA150" s="1533"/>
      <c r="AB150" s="1533"/>
      <c r="AC150" s="1526"/>
      <c r="AD150" s="1526"/>
      <c r="AE150" s="1526"/>
      <c r="AF150" s="1526"/>
      <c r="AG150" s="1526"/>
      <c r="AH150" s="1526"/>
      <c r="AI150" s="1526"/>
      <c r="AJ150" s="1533">
        <v>0</v>
      </c>
      <c r="AK150" s="1533">
        <v>0</v>
      </c>
      <c r="AL150" s="1533">
        <v>0</v>
      </c>
      <c r="AM150" s="1533">
        <v>6.0757019999999997</v>
      </c>
      <c r="AN150" s="1523">
        <f t="shared" si="29"/>
        <v>6.0757019999999997</v>
      </c>
      <c r="AO150" s="1533">
        <v>0</v>
      </c>
      <c r="AP150" s="1533">
        <v>0</v>
      </c>
      <c r="AQ150" s="1533">
        <v>0</v>
      </c>
      <c r="AR150" s="1533"/>
      <c r="AS150" s="1533"/>
      <c r="AT150" s="1533"/>
      <c r="AU150" s="1533"/>
      <c r="AV150" s="1533"/>
      <c r="AW150" s="1533"/>
      <c r="AX150" s="563"/>
      <c r="AY150" s="1534" t="s">
        <v>940</v>
      </c>
    </row>
    <row r="151" spans="1:51" s="1530" customFormat="1" ht="15.5" outlineLevel="1" x14ac:dyDescent="0.25">
      <c r="A151" s="1482"/>
      <c r="B151" s="1483" t="s">
        <v>414</v>
      </c>
      <c r="C151" s="1531" t="s">
        <v>414</v>
      </c>
      <c r="D151" s="1482" t="str">
        <f t="shared" si="31"/>
        <v>MERC/CAPEX/20172018/4071</v>
      </c>
      <c r="E151" s="1532">
        <f t="shared" si="31"/>
        <v>42825</v>
      </c>
      <c r="F151" s="1390">
        <f>IF(F150=0,"-",F150)</f>
        <v>42965</v>
      </c>
      <c r="G151" s="565">
        <v>0.3</v>
      </c>
      <c r="H151" s="565">
        <v>0.3</v>
      </c>
      <c r="I151" s="563"/>
      <c r="J151" s="563"/>
      <c r="K151" s="1390">
        <v>42965</v>
      </c>
      <c r="L151" s="1391"/>
      <c r="M151" s="1391"/>
      <c r="N151" s="1391"/>
      <c r="O151" s="1402"/>
      <c r="P151" s="1533"/>
      <c r="Q151" s="1533">
        <v>0</v>
      </c>
      <c r="R151" s="1533">
        <v>0</v>
      </c>
      <c r="S151" s="1533">
        <v>0</v>
      </c>
      <c r="T151" s="1533">
        <f t="shared" si="28"/>
        <v>0</v>
      </c>
      <c r="U151" s="1533">
        <v>0</v>
      </c>
      <c r="V151" s="1533">
        <v>0</v>
      </c>
      <c r="W151" s="1533">
        <v>0</v>
      </c>
      <c r="X151" s="1533"/>
      <c r="Y151" s="1533"/>
      <c r="Z151" s="1533"/>
      <c r="AA151" s="1533"/>
      <c r="AB151" s="1533"/>
      <c r="AC151" s="1526"/>
      <c r="AD151" s="1526"/>
      <c r="AE151" s="1526"/>
      <c r="AF151" s="1526"/>
      <c r="AG151" s="1526"/>
      <c r="AH151" s="1526"/>
      <c r="AI151" s="1526"/>
      <c r="AJ151" s="1533"/>
      <c r="AK151" s="1533">
        <v>0</v>
      </c>
      <c r="AL151" s="1533">
        <v>0</v>
      </c>
      <c r="AM151" s="1533">
        <v>0</v>
      </c>
      <c r="AN151" s="1523">
        <f t="shared" si="29"/>
        <v>0</v>
      </c>
      <c r="AO151" s="1533">
        <v>0</v>
      </c>
      <c r="AP151" s="1533">
        <v>0</v>
      </c>
      <c r="AQ151" s="1533">
        <v>0</v>
      </c>
      <c r="AR151" s="1533"/>
      <c r="AS151" s="1533"/>
      <c r="AT151" s="1533"/>
      <c r="AU151" s="1533"/>
      <c r="AV151" s="1533"/>
      <c r="AW151" s="1533"/>
      <c r="AX151" s="563"/>
      <c r="AY151" s="1534"/>
    </row>
    <row r="152" spans="1:51" s="1530" customFormat="1" ht="62" outlineLevel="1" x14ac:dyDescent="0.25">
      <c r="A152" s="1477">
        <v>28</v>
      </c>
      <c r="B152" s="1478" t="s">
        <v>1746</v>
      </c>
      <c r="C152" s="1477" t="s">
        <v>928</v>
      </c>
      <c r="D152" s="1477" t="s">
        <v>1747</v>
      </c>
      <c r="E152" s="1479">
        <v>42976</v>
      </c>
      <c r="F152" s="1479">
        <v>43054</v>
      </c>
      <c r="G152" s="1380">
        <f>SUM(G153:G156)</f>
        <v>12.456</v>
      </c>
      <c r="H152" s="1380">
        <f>SUM(H153:H156)</f>
        <v>12.456</v>
      </c>
      <c r="I152" s="563"/>
      <c r="J152" s="563"/>
      <c r="K152" s="1390">
        <v>43054</v>
      </c>
      <c r="L152" s="1391"/>
      <c r="M152" s="1391"/>
      <c r="N152" s="1391"/>
      <c r="O152" s="1402"/>
      <c r="P152" s="1523"/>
      <c r="Q152" s="1524"/>
      <c r="R152" s="1524"/>
      <c r="S152" s="1524"/>
      <c r="T152" s="1524">
        <f t="shared" si="28"/>
        <v>0</v>
      </c>
      <c r="U152" s="1525"/>
      <c r="V152" s="1525"/>
      <c r="W152" s="1392"/>
      <c r="X152" s="1392"/>
      <c r="Y152" s="1392"/>
      <c r="Z152" s="1392"/>
      <c r="AA152" s="1392"/>
      <c r="AB152" s="1392"/>
      <c r="AC152" s="1526"/>
      <c r="AD152" s="1526"/>
      <c r="AE152" s="1526"/>
      <c r="AF152" s="1526"/>
      <c r="AG152" s="1526"/>
      <c r="AH152" s="1526"/>
      <c r="AI152" s="1526"/>
      <c r="AJ152" s="1523"/>
      <c r="AK152" s="1523"/>
      <c r="AL152" s="1523"/>
      <c r="AM152" s="1523"/>
      <c r="AN152" s="1523">
        <f t="shared" si="29"/>
        <v>0</v>
      </c>
      <c r="AO152" s="1527"/>
      <c r="AP152" s="1527"/>
      <c r="AQ152" s="1527"/>
      <c r="AR152" s="1527"/>
      <c r="AS152" s="1527"/>
      <c r="AT152" s="1527"/>
      <c r="AU152" s="1527"/>
      <c r="AV152" s="1527"/>
      <c r="AW152" s="1527"/>
      <c r="AX152" s="563"/>
      <c r="AY152" s="1393"/>
    </row>
    <row r="153" spans="1:51" s="1530" customFormat="1" ht="31" outlineLevel="1" x14ac:dyDescent="0.25">
      <c r="A153" s="1482">
        <v>28.1</v>
      </c>
      <c r="B153" s="1483" t="s">
        <v>1748</v>
      </c>
      <c r="C153" s="1531" t="s">
        <v>936</v>
      </c>
      <c r="D153" s="1482" t="str">
        <f t="shared" ref="D153:E156" si="32">D152</f>
        <v>MERC/CAPEX/20172018/4686</v>
      </c>
      <c r="E153" s="1532">
        <f t="shared" si="32"/>
        <v>42976</v>
      </c>
      <c r="F153" s="1390">
        <f>IF(F152=0,"-",F152)</f>
        <v>43054</v>
      </c>
      <c r="G153" s="565">
        <v>10.36</v>
      </c>
      <c r="H153" s="565">
        <v>10.36</v>
      </c>
      <c r="I153" s="563"/>
      <c r="J153" s="563"/>
      <c r="K153" s="1390">
        <v>43054</v>
      </c>
      <c r="L153" s="1391"/>
      <c r="M153" s="1391"/>
      <c r="N153" s="1391"/>
      <c r="O153" s="1402"/>
      <c r="P153" s="1533">
        <v>11.481400000000001</v>
      </c>
      <c r="Q153" s="1533">
        <v>9.4399899999999107E-2</v>
      </c>
      <c r="R153" s="1533">
        <v>0</v>
      </c>
      <c r="S153" s="1533">
        <v>0</v>
      </c>
      <c r="T153" s="1533">
        <f t="shared" si="28"/>
        <v>11.5757999</v>
      </c>
      <c r="U153" s="1533">
        <v>0</v>
      </c>
      <c r="V153" s="1533">
        <v>0</v>
      </c>
      <c r="W153" s="1533">
        <v>0</v>
      </c>
      <c r="X153" s="1533"/>
      <c r="Y153" s="1533"/>
      <c r="Z153" s="1533"/>
      <c r="AA153" s="1533"/>
      <c r="AB153" s="1533"/>
      <c r="AC153" s="1526"/>
      <c r="AD153" s="1526"/>
      <c r="AE153" s="1526"/>
      <c r="AF153" s="1526"/>
      <c r="AG153" s="1526"/>
      <c r="AH153" s="1526"/>
      <c r="AI153" s="1526"/>
      <c r="AJ153" s="1533">
        <v>5.4279999999999999</v>
      </c>
      <c r="AK153" s="1533">
        <v>6.1477998999999999</v>
      </c>
      <c r="AL153" s="1533">
        <v>0</v>
      </c>
      <c r="AM153" s="1533">
        <v>0</v>
      </c>
      <c r="AN153" s="1523">
        <f t="shared" si="29"/>
        <v>11.5757999</v>
      </c>
      <c r="AO153" s="1533">
        <v>0</v>
      </c>
      <c r="AP153" s="1533">
        <v>0</v>
      </c>
      <c r="AQ153" s="1533">
        <v>0</v>
      </c>
      <c r="AR153" s="1533"/>
      <c r="AS153" s="1533"/>
      <c r="AT153" s="1533"/>
      <c r="AU153" s="1533"/>
      <c r="AV153" s="1533"/>
      <c r="AW153" s="1533"/>
      <c r="AX153" s="563"/>
      <c r="AY153" s="1534" t="s">
        <v>940</v>
      </c>
    </row>
    <row r="154" spans="1:51" s="1530" customFormat="1" ht="31" outlineLevel="1" x14ac:dyDescent="0.25">
      <c r="A154" s="1482">
        <v>28.2</v>
      </c>
      <c r="B154" s="1483" t="s">
        <v>1749</v>
      </c>
      <c r="C154" s="1531" t="s">
        <v>936</v>
      </c>
      <c r="D154" s="1482" t="str">
        <f t="shared" si="32"/>
        <v>MERC/CAPEX/20172018/4686</v>
      </c>
      <c r="E154" s="1532">
        <f t="shared" si="32"/>
        <v>42976</v>
      </c>
      <c r="F154" s="1390">
        <f>IF(F153=0,"-",F153)</f>
        <v>43054</v>
      </c>
      <c r="G154" s="565">
        <v>0.63</v>
      </c>
      <c r="H154" s="565">
        <v>0.63</v>
      </c>
      <c r="I154" s="563"/>
      <c r="J154" s="563"/>
      <c r="K154" s="1390">
        <v>43054</v>
      </c>
      <c r="L154" s="1391"/>
      <c r="M154" s="1391"/>
      <c r="N154" s="1391"/>
      <c r="O154" s="1402"/>
      <c r="P154" s="1533">
        <v>0</v>
      </c>
      <c r="Q154" s="1533">
        <v>0</v>
      </c>
      <c r="R154" s="1533">
        <v>0</v>
      </c>
      <c r="S154" s="1533">
        <v>0</v>
      </c>
      <c r="T154" s="1533">
        <f t="shared" si="28"/>
        <v>0</v>
      </c>
      <c r="U154" s="1533">
        <v>0</v>
      </c>
      <c r="V154" s="1533"/>
      <c r="W154" s="1533">
        <v>0</v>
      </c>
      <c r="X154" s="1533"/>
      <c r="Y154" s="1533"/>
      <c r="Z154" s="1533"/>
      <c r="AA154" s="1533"/>
      <c r="AB154" s="1533"/>
      <c r="AC154" s="1526"/>
      <c r="AD154" s="1526"/>
      <c r="AE154" s="1526"/>
      <c r="AF154" s="1526"/>
      <c r="AG154" s="1526"/>
      <c r="AH154" s="1526"/>
      <c r="AI154" s="1526"/>
      <c r="AJ154" s="1533">
        <v>0</v>
      </c>
      <c r="AK154" s="1533">
        <v>0</v>
      </c>
      <c r="AL154" s="1533">
        <v>0</v>
      </c>
      <c r="AM154" s="1533">
        <v>0</v>
      </c>
      <c r="AN154" s="1523">
        <f t="shared" si="29"/>
        <v>0</v>
      </c>
      <c r="AO154" s="1533">
        <v>0</v>
      </c>
      <c r="AP154" s="1533"/>
      <c r="AQ154" s="1533">
        <v>0</v>
      </c>
      <c r="AR154" s="1533"/>
      <c r="AS154" s="1533"/>
      <c r="AT154" s="1533"/>
      <c r="AU154" s="1533"/>
      <c r="AV154" s="1533"/>
      <c r="AW154" s="1533"/>
      <c r="AX154" s="563"/>
      <c r="AY154" s="1534" t="s">
        <v>937</v>
      </c>
    </row>
    <row r="155" spans="1:51" s="1530" customFormat="1" ht="31" outlineLevel="1" x14ac:dyDescent="0.25">
      <c r="A155" s="1482">
        <v>28.3</v>
      </c>
      <c r="B155" s="1483" t="s">
        <v>1750</v>
      </c>
      <c r="C155" s="1531" t="s">
        <v>936</v>
      </c>
      <c r="D155" s="1482" t="str">
        <f t="shared" si="32"/>
        <v>MERC/CAPEX/20172018/4686</v>
      </c>
      <c r="E155" s="1532">
        <f t="shared" si="32"/>
        <v>42976</v>
      </c>
      <c r="F155" s="1390">
        <f>IF(F154=0,"-",F154)</f>
        <v>43054</v>
      </c>
      <c r="G155" s="565">
        <v>0.53600000000000003</v>
      </c>
      <c r="H155" s="565">
        <v>0.53600000000000003</v>
      </c>
      <c r="I155" s="563"/>
      <c r="J155" s="563"/>
      <c r="K155" s="1390">
        <v>43054</v>
      </c>
      <c r="L155" s="1391"/>
      <c r="M155" s="1391"/>
      <c r="N155" s="1391"/>
      <c r="O155" s="1402"/>
      <c r="P155" s="1533">
        <v>0.469881192</v>
      </c>
      <c r="Q155" s="1533">
        <v>4.6681008000000003E-2</v>
      </c>
      <c r="R155" s="1533">
        <v>0</v>
      </c>
      <c r="S155" s="1533">
        <v>0</v>
      </c>
      <c r="T155" s="1533">
        <f t="shared" si="28"/>
        <v>0.51656219999999997</v>
      </c>
      <c r="U155" s="1533">
        <v>0</v>
      </c>
      <c r="V155" s="1533">
        <v>0</v>
      </c>
      <c r="W155" s="1533">
        <v>0</v>
      </c>
      <c r="X155" s="1533"/>
      <c r="Y155" s="1533"/>
      <c r="Z155" s="1533"/>
      <c r="AA155" s="1533"/>
      <c r="AB155" s="1533"/>
      <c r="AC155" s="1526"/>
      <c r="AD155" s="1526"/>
      <c r="AE155" s="1526"/>
      <c r="AF155" s="1526"/>
      <c r="AG155" s="1526"/>
      <c r="AH155" s="1526"/>
      <c r="AI155" s="1526"/>
      <c r="AJ155" s="1533">
        <v>0</v>
      </c>
      <c r="AK155" s="1533">
        <v>0.51656219999999997</v>
      </c>
      <c r="AL155" s="1533">
        <v>0</v>
      </c>
      <c r="AM155" s="1533">
        <v>0</v>
      </c>
      <c r="AN155" s="1523">
        <f t="shared" si="29"/>
        <v>0.51656219999999997</v>
      </c>
      <c r="AO155" s="1533">
        <v>0</v>
      </c>
      <c r="AP155" s="1533">
        <v>0</v>
      </c>
      <c r="AQ155" s="1533">
        <v>0</v>
      </c>
      <c r="AR155" s="1533"/>
      <c r="AS155" s="1533"/>
      <c r="AT155" s="1533"/>
      <c r="AU155" s="1533"/>
      <c r="AV155" s="1533"/>
      <c r="AW155" s="1533"/>
      <c r="AX155" s="563"/>
      <c r="AY155" s="1534" t="s">
        <v>940</v>
      </c>
    </row>
    <row r="156" spans="1:51" s="1530" customFormat="1" ht="15.5" outlineLevel="1" x14ac:dyDescent="0.25">
      <c r="A156" s="1482"/>
      <c r="B156" s="1483" t="s">
        <v>414</v>
      </c>
      <c r="C156" s="1531" t="s">
        <v>414</v>
      </c>
      <c r="D156" s="1482" t="str">
        <f t="shared" si="32"/>
        <v>MERC/CAPEX/20172018/4686</v>
      </c>
      <c r="E156" s="1532">
        <f t="shared" si="32"/>
        <v>42976</v>
      </c>
      <c r="F156" s="1390">
        <f>IF(F155=0,"-",F155)</f>
        <v>43054</v>
      </c>
      <c r="G156" s="565">
        <v>0.93</v>
      </c>
      <c r="H156" s="565">
        <v>0.93</v>
      </c>
      <c r="I156" s="563"/>
      <c r="J156" s="563"/>
      <c r="K156" s="1390">
        <v>43054</v>
      </c>
      <c r="L156" s="1391"/>
      <c r="M156" s="1391"/>
      <c r="N156" s="1391"/>
      <c r="O156" s="1402"/>
      <c r="P156" s="1533"/>
      <c r="Q156" s="1533">
        <v>0</v>
      </c>
      <c r="R156" s="1533">
        <v>0</v>
      </c>
      <c r="S156" s="1533">
        <v>0</v>
      </c>
      <c r="T156" s="1533">
        <f t="shared" si="28"/>
        <v>0</v>
      </c>
      <c r="U156" s="1533">
        <v>0</v>
      </c>
      <c r="V156" s="1533">
        <v>0</v>
      </c>
      <c r="W156" s="1533">
        <v>0</v>
      </c>
      <c r="X156" s="1533"/>
      <c r="Y156" s="1533"/>
      <c r="Z156" s="1533"/>
      <c r="AA156" s="1533"/>
      <c r="AB156" s="1533"/>
      <c r="AC156" s="1526"/>
      <c r="AD156" s="1526"/>
      <c r="AE156" s="1526"/>
      <c r="AF156" s="1526"/>
      <c r="AG156" s="1526"/>
      <c r="AH156" s="1526"/>
      <c r="AI156" s="1526"/>
      <c r="AJ156" s="1533"/>
      <c r="AK156" s="1533">
        <v>0</v>
      </c>
      <c r="AL156" s="1533">
        <v>0</v>
      </c>
      <c r="AM156" s="1533">
        <v>0</v>
      </c>
      <c r="AN156" s="1523">
        <f t="shared" si="29"/>
        <v>0</v>
      </c>
      <c r="AO156" s="1533">
        <v>0</v>
      </c>
      <c r="AP156" s="1533">
        <v>0</v>
      </c>
      <c r="AQ156" s="1533">
        <v>0</v>
      </c>
      <c r="AR156" s="1533"/>
      <c r="AS156" s="1533"/>
      <c r="AT156" s="1533"/>
      <c r="AU156" s="1533"/>
      <c r="AV156" s="1533"/>
      <c r="AW156" s="1533"/>
      <c r="AX156" s="563"/>
      <c r="AY156" s="1534"/>
    </row>
    <row r="157" spans="1:51" s="1530" customFormat="1" ht="62" outlineLevel="1" x14ac:dyDescent="0.25">
      <c r="A157" s="1477">
        <v>29</v>
      </c>
      <c r="B157" s="1478" t="s">
        <v>1751</v>
      </c>
      <c r="C157" s="1477" t="s">
        <v>928</v>
      </c>
      <c r="D157" s="1477" t="s">
        <v>1752</v>
      </c>
      <c r="E157" s="1479">
        <v>43130</v>
      </c>
      <c r="F157" s="1479">
        <v>43154</v>
      </c>
      <c r="G157" s="1380">
        <f>SUM(G158:G161)</f>
        <v>15.489999999999998</v>
      </c>
      <c r="H157" s="1380">
        <f>SUM(H158:H161)</f>
        <v>15.489999999999998</v>
      </c>
      <c r="I157" s="563"/>
      <c r="J157" s="563"/>
      <c r="K157" s="1390">
        <v>43154</v>
      </c>
      <c r="L157" s="1391"/>
      <c r="M157" s="1391"/>
      <c r="N157" s="1391"/>
      <c r="O157" s="1402"/>
      <c r="P157" s="1523"/>
      <c r="Q157" s="1524"/>
      <c r="R157" s="1524"/>
      <c r="S157" s="1524"/>
      <c r="T157" s="1524">
        <f t="shared" si="28"/>
        <v>0</v>
      </c>
      <c r="U157" s="1525"/>
      <c r="V157" s="1525"/>
      <c r="W157" s="1392"/>
      <c r="X157" s="1392"/>
      <c r="Y157" s="1392"/>
      <c r="Z157" s="1392"/>
      <c r="AA157" s="1392"/>
      <c r="AB157" s="1392"/>
      <c r="AC157" s="1526"/>
      <c r="AD157" s="1526"/>
      <c r="AE157" s="1526"/>
      <c r="AF157" s="1526"/>
      <c r="AG157" s="1526"/>
      <c r="AH157" s="1526"/>
      <c r="AI157" s="1526"/>
      <c r="AJ157" s="1523"/>
      <c r="AK157" s="1523"/>
      <c r="AL157" s="1523"/>
      <c r="AM157" s="1523"/>
      <c r="AN157" s="1523">
        <f t="shared" si="29"/>
        <v>0</v>
      </c>
      <c r="AO157" s="1527"/>
      <c r="AP157" s="1527"/>
      <c r="AQ157" s="1527"/>
      <c r="AR157" s="1527"/>
      <c r="AS157" s="1527"/>
      <c r="AT157" s="1527"/>
      <c r="AU157" s="1527"/>
      <c r="AV157" s="1527"/>
      <c r="AW157" s="1527"/>
      <c r="AX157" s="563"/>
      <c r="AY157" s="1393"/>
    </row>
    <row r="158" spans="1:51" s="1530" customFormat="1" ht="46.5" outlineLevel="1" x14ac:dyDescent="0.25">
      <c r="A158" s="1482">
        <v>29.1</v>
      </c>
      <c r="B158" s="1483" t="s">
        <v>1753</v>
      </c>
      <c r="C158" s="1531" t="s">
        <v>936</v>
      </c>
      <c r="D158" s="1482" t="str">
        <f t="shared" ref="D158:E161" si="33">D157</f>
        <v>MERC/CAPEX/20172018/0272</v>
      </c>
      <c r="E158" s="1532">
        <f t="shared" si="33"/>
        <v>43130</v>
      </c>
      <c r="F158" s="1390">
        <f>IF(F157=0,"-",F157)</f>
        <v>43154</v>
      </c>
      <c r="G158" s="565">
        <v>2.0099999999999998</v>
      </c>
      <c r="H158" s="565">
        <v>2.0099999999999998</v>
      </c>
      <c r="I158" s="563"/>
      <c r="J158" s="563"/>
      <c r="K158" s="1390">
        <v>43154</v>
      </c>
      <c r="L158" s="1391"/>
      <c r="M158" s="1391"/>
      <c r="N158" s="1391"/>
      <c r="O158" s="1402"/>
      <c r="P158" s="1533">
        <v>0</v>
      </c>
      <c r="Q158" s="1533">
        <v>0</v>
      </c>
      <c r="R158" s="1533">
        <v>0</v>
      </c>
      <c r="S158" s="1533">
        <v>2.1150194</v>
      </c>
      <c r="T158" s="1533">
        <f t="shared" si="28"/>
        <v>2.1150194</v>
      </c>
      <c r="U158" s="1533">
        <v>0</v>
      </c>
      <c r="V158" s="1533">
        <v>0</v>
      </c>
      <c r="W158" s="1533">
        <v>0</v>
      </c>
      <c r="X158" s="1533"/>
      <c r="Y158" s="1533"/>
      <c r="Z158" s="1533"/>
      <c r="AA158" s="1533"/>
      <c r="AB158" s="1533"/>
      <c r="AC158" s="1526"/>
      <c r="AD158" s="1526"/>
      <c r="AE158" s="1526"/>
      <c r="AF158" s="1526"/>
      <c r="AG158" s="1526"/>
      <c r="AH158" s="1526"/>
      <c r="AI158" s="1526"/>
      <c r="AJ158" s="1533">
        <v>0</v>
      </c>
      <c r="AK158" s="1533">
        <v>0</v>
      </c>
      <c r="AL158" s="1533">
        <v>0</v>
      </c>
      <c r="AM158" s="1533">
        <v>2.1150194</v>
      </c>
      <c r="AN158" s="1523">
        <f t="shared" si="29"/>
        <v>2.1150194</v>
      </c>
      <c r="AO158" s="1533">
        <v>0</v>
      </c>
      <c r="AP158" s="1533">
        <v>0</v>
      </c>
      <c r="AQ158" s="1533">
        <v>0</v>
      </c>
      <c r="AR158" s="1533"/>
      <c r="AS158" s="1533"/>
      <c r="AT158" s="1533"/>
      <c r="AU158" s="1533"/>
      <c r="AV158" s="1533"/>
      <c r="AW158" s="1533"/>
      <c r="AX158" s="563"/>
      <c r="AY158" s="1534" t="s">
        <v>940</v>
      </c>
    </row>
    <row r="159" spans="1:51" s="1530" customFormat="1" ht="31" outlineLevel="1" x14ac:dyDescent="0.25">
      <c r="A159" s="1482">
        <v>29.2</v>
      </c>
      <c r="B159" s="1483" t="s">
        <v>1754</v>
      </c>
      <c r="C159" s="1531" t="s">
        <v>936</v>
      </c>
      <c r="D159" s="1482" t="str">
        <f t="shared" si="33"/>
        <v>MERC/CAPEX/20172018/0272</v>
      </c>
      <c r="E159" s="1532">
        <f t="shared" si="33"/>
        <v>43130</v>
      </c>
      <c r="F159" s="1390">
        <f>IF(F158=0,"-",F158)</f>
        <v>43154</v>
      </c>
      <c r="G159" s="565">
        <v>3.34</v>
      </c>
      <c r="H159" s="565">
        <v>3.34</v>
      </c>
      <c r="I159" s="563"/>
      <c r="J159" s="563"/>
      <c r="K159" s="1390">
        <v>43154</v>
      </c>
      <c r="L159" s="1391"/>
      <c r="M159" s="1391"/>
      <c r="N159" s="1391"/>
      <c r="O159" s="1402"/>
      <c r="P159" s="1533">
        <v>0</v>
      </c>
      <c r="Q159" s="1533">
        <v>0</v>
      </c>
      <c r="R159" s="1533">
        <v>0</v>
      </c>
      <c r="S159" s="1533">
        <v>1.9274450000000001</v>
      </c>
      <c r="T159" s="1533">
        <f t="shared" si="28"/>
        <v>1.9274450000000001</v>
      </c>
      <c r="U159" s="1533">
        <v>0</v>
      </c>
      <c r="V159" s="1533"/>
      <c r="W159" s="1533">
        <v>0</v>
      </c>
      <c r="X159" s="1533"/>
      <c r="Y159" s="1533"/>
      <c r="Z159" s="1533"/>
      <c r="AA159" s="1533"/>
      <c r="AB159" s="1533"/>
      <c r="AC159" s="1526"/>
      <c r="AD159" s="1526"/>
      <c r="AE159" s="1526"/>
      <c r="AF159" s="1526"/>
      <c r="AG159" s="1526"/>
      <c r="AH159" s="1526"/>
      <c r="AI159" s="1526"/>
      <c r="AJ159" s="1533">
        <v>0</v>
      </c>
      <c r="AK159" s="1533">
        <v>0</v>
      </c>
      <c r="AL159" s="1533">
        <v>0</v>
      </c>
      <c r="AM159" s="1533">
        <v>1.9274450000000001</v>
      </c>
      <c r="AN159" s="1523">
        <f t="shared" si="29"/>
        <v>1.9274450000000001</v>
      </c>
      <c r="AO159" s="1533">
        <v>0</v>
      </c>
      <c r="AP159" s="1533"/>
      <c r="AQ159" s="1533">
        <v>0</v>
      </c>
      <c r="AR159" s="1533"/>
      <c r="AS159" s="1533"/>
      <c r="AT159" s="1533"/>
      <c r="AU159" s="1533"/>
      <c r="AV159" s="1533"/>
      <c r="AW159" s="1533"/>
      <c r="AX159" s="563"/>
      <c r="AY159" s="1534" t="s">
        <v>940</v>
      </c>
    </row>
    <row r="160" spans="1:51" s="1530" customFormat="1" ht="31" outlineLevel="1" x14ac:dyDescent="0.25">
      <c r="A160" s="1482">
        <v>29.3</v>
      </c>
      <c r="B160" s="1483" t="s">
        <v>1755</v>
      </c>
      <c r="C160" s="1531" t="s">
        <v>936</v>
      </c>
      <c r="D160" s="1482" t="str">
        <f t="shared" si="33"/>
        <v>MERC/CAPEX/20172018/0272</v>
      </c>
      <c r="E160" s="1532">
        <f t="shared" si="33"/>
        <v>43130</v>
      </c>
      <c r="F160" s="1390">
        <f>IF(F159=0,"-",F159)</f>
        <v>43154</v>
      </c>
      <c r="G160" s="565">
        <v>9.02</v>
      </c>
      <c r="H160" s="565">
        <v>9.02</v>
      </c>
      <c r="I160" s="563"/>
      <c r="J160" s="563"/>
      <c r="K160" s="1390">
        <v>43154</v>
      </c>
      <c r="L160" s="1391"/>
      <c r="M160" s="1391"/>
      <c r="N160" s="1391"/>
      <c r="O160" s="1402"/>
      <c r="P160" s="1533">
        <v>0</v>
      </c>
      <c r="Q160" s="1533">
        <v>8.8301990999999997</v>
      </c>
      <c r="R160" s="1533">
        <v>0</v>
      </c>
      <c r="S160" s="1533">
        <v>0</v>
      </c>
      <c r="T160" s="1533">
        <f t="shared" si="28"/>
        <v>8.8301990999999997</v>
      </c>
      <c r="U160" s="1533">
        <v>0</v>
      </c>
      <c r="V160" s="1533">
        <v>0</v>
      </c>
      <c r="W160" s="1533">
        <v>0</v>
      </c>
      <c r="X160" s="1533"/>
      <c r="Y160" s="1533"/>
      <c r="Z160" s="1533"/>
      <c r="AA160" s="1533"/>
      <c r="AB160" s="1533"/>
      <c r="AC160" s="1526"/>
      <c r="AD160" s="1526"/>
      <c r="AE160" s="1526"/>
      <c r="AF160" s="1526"/>
      <c r="AG160" s="1526"/>
      <c r="AH160" s="1526"/>
      <c r="AI160" s="1526"/>
      <c r="AJ160" s="1533">
        <v>0</v>
      </c>
      <c r="AK160" s="1533">
        <v>8.8301990999999997</v>
      </c>
      <c r="AL160" s="1533">
        <v>0</v>
      </c>
      <c r="AM160" s="1533">
        <v>0</v>
      </c>
      <c r="AN160" s="1523">
        <f t="shared" si="29"/>
        <v>8.8301990999999997</v>
      </c>
      <c r="AO160" s="1533">
        <v>0</v>
      </c>
      <c r="AP160" s="1533">
        <v>0</v>
      </c>
      <c r="AQ160" s="1533">
        <v>0</v>
      </c>
      <c r="AR160" s="1533"/>
      <c r="AS160" s="1533"/>
      <c r="AT160" s="1533"/>
      <c r="AU160" s="1533"/>
      <c r="AV160" s="1533"/>
      <c r="AW160" s="1533"/>
      <c r="AX160" s="563"/>
      <c r="AY160" s="1534" t="s">
        <v>940</v>
      </c>
    </row>
    <row r="161" spans="1:51" s="1530" customFormat="1" ht="15.5" outlineLevel="1" x14ac:dyDescent="0.25">
      <c r="A161" s="1482"/>
      <c r="B161" s="1483" t="s">
        <v>414</v>
      </c>
      <c r="C161" s="1531" t="s">
        <v>414</v>
      </c>
      <c r="D161" s="1482" t="str">
        <f t="shared" si="33"/>
        <v>MERC/CAPEX/20172018/0272</v>
      </c>
      <c r="E161" s="1532">
        <f t="shared" si="33"/>
        <v>43130</v>
      </c>
      <c r="F161" s="1390">
        <f>IF(F160=0,"-",F160)</f>
        <v>43154</v>
      </c>
      <c r="G161" s="565">
        <v>1.1200000000000001</v>
      </c>
      <c r="H161" s="565">
        <v>1.1200000000000001</v>
      </c>
      <c r="I161" s="563"/>
      <c r="J161" s="563"/>
      <c r="K161" s="1390">
        <v>43154</v>
      </c>
      <c r="L161" s="1391"/>
      <c r="M161" s="1391"/>
      <c r="N161" s="1391"/>
      <c r="O161" s="1402"/>
      <c r="P161" s="1533"/>
      <c r="Q161" s="1533">
        <v>0</v>
      </c>
      <c r="R161" s="1533">
        <v>0</v>
      </c>
      <c r="S161" s="1533">
        <v>0</v>
      </c>
      <c r="T161" s="1533">
        <f t="shared" si="28"/>
        <v>0</v>
      </c>
      <c r="U161" s="1533">
        <v>0</v>
      </c>
      <c r="V161" s="1533">
        <v>0</v>
      </c>
      <c r="W161" s="1533">
        <v>0</v>
      </c>
      <c r="X161" s="1533"/>
      <c r="Y161" s="1533"/>
      <c r="Z161" s="1533"/>
      <c r="AA161" s="1533"/>
      <c r="AB161" s="1533"/>
      <c r="AC161" s="1526"/>
      <c r="AD161" s="1526"/>
      <c r="AE161" s="1526"/>
      <c r="AF161" s="1526"/>
      <c r="AG161" s="1526"/>
      <c r="AH161" s="1526"/>
      <c r="AI161" s="1526"/>
      <c r="AJ161" s="1533"/>
      <c r="AK161" s="1533">
        <v>0</v>
      </c>
      <c r="AL161" s="1533">
        <v>0</v>
      </c>
      <c r="AM161" s="1533">
        <v>0</v>
      </c>
      <c r="AN161" s="1523">
        <f t="shared" si="29"/>
        <v>0</v>
      </c>
      <c r="AO161" s="1533">
        <v>0</v>
      </c>
      <c r="AP161" s="1533">
        <v>0</v>
      </c>
      <c r="AQ161" s="1533">
        <v>0</v>
      </c>
      <c r="AR161" s="1533"/>
      <c r="AS161" s="1533"/>
      <c r="AT161" s="1533"/>
      <c r="AU161" s="1533"/>
      <c r="AV161" s="1533"/>
      <c r="AW161" s="1533"/>
      <c r="AX161" s="563"/>
      <c r="AY161" s="1534"/>
    </row>
    <row r="162" spans="1:51" s="1548" customFormat="1" ht="31" outlineLevel="1" x14ac:dyDescent="0.25">
      <c r="A162" s="1489">
        <v>30</v>
      </c>
      <c r="B162" s="1490" t="s">
        <v>1756</v>
      </c>
      <c r="C162" s="1489" t="s">
        <v>928</v>
      </c>
      <c r="D162" s="1489" t="s">
        <v>1757</v>
      </c>
      <c r="E162" s="1543">
        <v>43146</v>
      </c>
      <c r="F162" s="1543">
        <v>43238</v>
      </c>
      <c r="G162" s="1398">
        <f>SUM(G163:G167)</f>
        <v>128.01999999999998</v>
      </c>
      <c r="H162" s="1398">
        <f>SUM(H163:H167)</f>
        <v>117.57</v>
      </c>
      <c r="I162" s="1396"/>
      <c r="J162" s="1396"/>
      <c r="K162" s="1394">
        <v>43238</v>
      </c>
      <c r="L162" s="1397"/>
      <c r="M162" s="1397"/>
      <c r="N162" s="1397"/>
      <c r="O162" s="1407"/>
      <c r="P162" s="1544"/>
      <c r="Q162" s="1545"/>
      <c r="R162" s="1545"/>
      <c r="S162" s="1545"/>
      <c r="T162" s="1524">
        <f t="shared" si="28"/>
        <v>0</v>
      </c>
      <c r="U162" s="1546"/>
      <c r="V162" s="1546"/>
      <c r="W162" s="1399"/>
      <c r="X162" s="1399"/>
      <c r="Y162" s="1399"/>
      <c r="Z162" s="1399"/>
      <c r="AA162" s="1399"/>
      <c r="AB162" s="1399"/>
      <c r="AC162" s="1538"/>
      <c r="AD162" s="1538"/>
      <c r="AE162" s="1538"/>
      <c r="AF162" s="1538"/>
      <c r="AG162" s="1538"/>
      <c r="AH162" s="1538"/>
      <c r="AI162" s="1538"/>
      <c r="AJ162" s="1544"/>
      <c r="AK162" s="1544"/>
      <c r="AL162" s="1544"/>
      <c r="AM162" s="1544"/>
      <c r="AN162" s="1523">
        <f t="shared" si="29"/>
        <v>0</v>
      </c>
      <c r="AO162" s="1547"/>
      <c r="AP162" s="1547"/>
      <c r="AQ162" s="1547"/>
      <c r="AR162" s="1547"/>
      <c r="AS162" s="1547"/>
      <c r="AT162" s="1547"/>
      <c r="AU162" s="1547"/>
      <c r="AV162" s="1547"/>
      <c r="AW162" s="1547"/>
      <c r="AX162" s="1396"/>
      <c r="AY162" s="1400"/>
    </row>
    <row r="163" spans="1:51" s="1548" customFormat="1" ht="409.5" customHeight="1" outlineLevel="1" x14ac:dyDescent="0.25">
      <c r="A163" s="1484">
        <v>30.1</v>
      </c>
      <c r="B163" s="1485" t="s">
        <v>1758</v>
      </c>
      <c r="C163" s="1535" t="s">
        <v>936</v>
      </c>
      <c r="D163" s="1484" t="str">
        <f t="shared" ref="D163:E167" si="34">D162</f>
        <v>MERC/CAPEX/20182019/0644</v>
      </c>
      <c r="E163" s="1536">
        <f t="shared" si="34"/>
        <v>43146</v>
      </c>
      <c r="F163" s="1394">
        <f>IF(F162=0,"-",F162)</f>
        <v>43238</v>
      </c>
      <c r="G163" s="1395">
        <f>70*1.18</f>
        <v>82.6</v>
      </c>
      <c r="H163" s="1395">
        <f>70*1.18</f>
        <v>82.6</v>
      </c>
      <c r="I163" s="1396"/>
      <c r="J163" s="1396"/>
      <c r="K163" s="1394">
        <v>43238</v>
      </c>
      <c r="L163" s="1397"/>
      <c r="M163" s="1397"/>
      <c r="N163" s="1397"/>
      <c r="O163" s="1407" t="s">
        <v>2275</v>
      </c>
      <c r="P163" s="309">
        <v>0</v>
      </c>
      <c r="Q163" s="309">
        <v>16.099046000000001</v>
      </c>
      <c r="R163" s="309">
        <v>32.376681900000001</v>
      </c>
      <c r="S163" s="309">
        <v>33.257313662000001</v>
      </c>
      <c r="T163" s="1533">
        <f t="shared" si="28"/>
        <v>81.733041562000011</v>
      </c>
      <c r="U163" s="1537">
        <v>-4.8009104960000251</v>
      </c>
      <c r="V163" s="1537">
        <v>5.3178689340000176</v>
      </c>
      <c r="W163" s="1550">
        <v>0.35</v>
      </c>
      <c r="X163" s="320"/>
      <c r="Y163" s="309"/>
      <c r="Z163" s="309"/>
      <c r="AA163" s="309"/>
      <c r="AB163" s="309"/>
      <c r="AC163" s="1538"/>
      <c r="AD163" s="1538"/>
      <c r="AE163" s="1538"/>
      <c r="AF163" s="1538"/>
      <c r="AG163" s="1538"/>
      <c r="AH163" s="1538"/>
      <c r="AI163" s="1538"/>
      <c r="AJ163" s="309">
        <v>0</v>
      </c>
      <c r="AK163" s="309">
        <v>0</v>
      </c>
      <c r="AL163" s="309">
        <v>34.337796300000001</v>
      </c>
      <c r="AM163" s="309">
        <v>39.981066400000003</v>
      </c>
      <c r="AN163" s="1523">
        <f t="shared" si="29"/>
        <v>74.318862700000011</v>
      </c>
      <c r="AO163" s="1537">
        <v>3.2832958999999899</v>
      </c>
      <c r="AP163" s="1537">
        <v>4.6478413999999999</v>
      </c>
      <c r="AQ163" s="1550">
        <v>0.35</v>
      </c>
      <c r="AR163" s="320"/>
      <c r="AS163" s="309"/>
      <c r="AT163" s="309"/>
      <c r="AU163" s="309"/>
      <c r="AV163" s="309"/>
      <c r="AW163" s="309"/>
      <c r="AX163" s="1396"/>
      <c r="AY163" s="1549" t="s">
        <v>940</v>
      </c>
    </row>
    <row r="164" spans="1:51" s="1548" customFormat="1" ht="409.5" customHeight="1" outlineLevel="1" x14ac:dyDescent="0.25">
      <c r="A164" s="1484">
        <v>30.2</v>
      </c>
      <c r="B164" s="1485" t="s">
        <v>1759</v>
      </c>
      <c r="C164" s="1535" t="s">
        <v>936</v>
      </c>
      <c r="D164" s="1484" t="str">
        <f t="shared" si="34"/>
        <v>MERC/CAPEX/20182019/0644</v>
      </c>
      <c r="E164" s="1536">
        <f t="shared" si="34"/>
        <v>43146</v>
      </c>
      <c r="F164" s="1394">
        <f>IF(F163=0,"-",F163)</f>
        <v>43238</v>
      </c>
      <c r="G164" s="1395">
        <f>6*1.18</f>
        <v>7.08</v>
      </c>
      <c r="H164" s="1395">
        <f>6*1.18</f>
        <v>7.08</v>
      </c>
      <c r="I164" s="1396"/>
      <c r="J164" s="1396"/>
      <c r="K164" s="1394">
        <v>43238</v>
      </c>
      <c r="L164" s="1397"/>
      <c r="M164" s="1397"/>
      <c r="N164" s="1397"/>
      <c r="O164" s="1407" t="s">
        <v>2276</v>
      </c>
      <c r="P164" s="309">
        <v>0</v>
      </c>
      <c r="Q164" s="309">
        <v>0</v>
      </c>
      <c r="R164" s="309">
        <v>0.59821355799999998</v>
      </c>
      <c r="S164" s="309">
        <v>7.1999067999999999</v>
      </c>
      <c r="T164" s="1533">
        <f t="shared" si="28"/>
        <v>7.7981203580000003</v>
      </c>
      <c r="U164" s="1537">
        <v>-1.4527592900000004</v>
      </c>
      <c r="V164" s="1537">
        <v>3.4841700000000309E-2</v>
      </c>
      <c r="W164" s="1550">
        <v>0.69979723199999966</v>
      </c>
      <c r="X164" s="320"/>
      <c r="Y164" s="309"/>
      <c r="Z164" s="309"/>
      <c r="AA164" s="309"/>
      <c r="AB164" s="309"/>
      <c r="AC164" s="1538"/>
      <c r="AD164" s="1538"/>
      <c r="AE164" s="1538"/>
      <c r="AF164" s="1538"/>
      <c r="AG164" s="1538"/>
      <c r="AH164" s="1538"/>
      <c r="AI164" s="1538"/>
      <c r="AJ164" s="309">
        <v>0</v>
      </c>
      <c r="AK164" s="309">
        <v>0</v>
      </c>
      <c r="AL164" s="309">
        <v>0</v>
      </c>
      <c r="AM164" s="309">
        <v>5.8369603999999997</v>
      </c>
      <c r="AN164" s="1523">
        <f t="shared" si="29"/>
        <v>5.8369603999999997</v>
      </c>
      <c r="AO164" s="1537">
        <v>0.50840066799999994</v>
      </c>
      <c r="AP164" s="1537">
        <v>3.4841700000000003E-2</v>
      </c>
      <c r="AQ164" s="1550">
        <v>0.69979723199999966</v>
      </c>
      <c r="AR164" s="320"/>
      <c r="AS164" s="309"/>
      <c r="AT164" s="309"/>
      <c r="AU164" s="309"/>
      <c r="AV164" s="309"/>
      <c r="AW164" s="309"/>
      <c r="AX164" s="1396"/>
      <c r="AY164" s="1549" t="s">
        <v>940</v>
      </c>
    </row>
    <row r="165" spans="1:51" s="1548" customFormat="1" ht="375" customHeight="1" outlineLevel="1" x14ac:dyDescent="0.25">
      <c r="A165" s="1484">
        <v>30.3</v>
      </c>
      <c r="B165" s="1485" t="s">
        <v>1760</v>
      </c>
      <c r="C165" s="1535" t="s">
        <v>936</v>
      </c>
      <c r="D165" s="1484" t="str">
        <f t="shared" si="34"/>
        <v>MERC/CAPEX/20182019/0644</v>
      </c>
      <c r="E165" s="1536">
        <f t="shared" si="34"/>
        <v>43146</v>
      </c>
      <c r="F165" s="1394">
        <f>IF(F164=0,"-",F164)</f>
        <v>43238</v>
      </c>
      <c r="G165" s="1395">
        <f>8*1.18</f>
        <v>9.44</v>
      </c>
      <c r="H165" s="1395">
        <f>4*1.18</f>
        <v>4.72</v>
      </c>
      <c r="I165" s="1396"/>
      <c r="J165" s="1396"/>
      <c r="K165" s="1394">
        <v>43238</v>
      </c>
      <c r="L165" s="1397"/>
      <c r="M165" s="1397"/>
      <c r="N165" s="1397"/>
      <c r="O165" s="1407" t="s">
        <v>2277</v>
      </c>
      <c r="P165" s="309">
        <v>0</v>
      </c>
      <c r="Q165" s="309">
        <v>0</v>
      </c>
      <c r="R165" s="309">
        <v>0</v>
      </c>
      <c r="S165" s="309">
        <v>0</v>
      </c>
      <c r="T165" s="1533">
        <f t="shared" si="28"/>
        <v>0</v>
      </c>
      <c r="U165" s="1550">
        <v>0</v>
      </c>
      <c r="V165" s="1537">
        <v>4.1940667999999999</v>
      </c>
      <c r="W165" s="1550">
        <v>0.52593319999999988</v>
      </c>
      <c r="X165" s="320"/>
      <c r="Y165" s="309"/>
      <c r="Z165" s="309"/>
      <c r="AA165" s="309"/>
      <c r="AB165" s="309"/>
      <c r="AC165" s="1538"/>
      <c r="AD165" s="1538"/>
      <c r="AE165" s="1538"/>
      <c r="AF165" s="1538"/>
      <c r="AG165" s="1538"/>
      <c r="AH165" s="1538"/>
      <c r="AI165" s="1538"/>
      <c r="AJ165" s="309">
        <v>0</v>
      </c>
      <c r="AK165" s="309">
        <v>0</v>
      </c>
      <c r="AL165" s="309">
        <v>0</v>
      </c>
      <c r="AM165" s="309">
        <v>0</v>
      </c>
      <c r="AN165" s="1523">
        <f t="shared" si="29"/>
        <v>0</v>
      </c>
      <c r="AO165" s="1550">
        <v>0</v>
      </c>
      <c r="AP165" s="1537">
        <v>4.1940667999999999</v>
      </c>
      <c r="AQ165" s="1550">
        <v>0.52593319999999988</v>
      </c>
      <c r="AR165" s="320"/>
      <c r="AS165" s="309"/>
      <c r="AT165" s="309"/>
      <c r="AU165" s="309"/>
      <c r="AV165" s="309"/>
      <c r="AW165" s="309"/>
      <c r="AX165" s="1396"/>
      <c r="AY165" s="1549" t="s">
        <v>937</v>
      </c>
    </row>
    <row r="166" spans="1:51" s="1548" customFormat="1" ht="165" customHeight="1" outlineLevel="1" x14ac:dyDescent="0.25">
      <c r="A166" s="1484">
        <v>30.4</v>
      </c>
      <c r="B166" s="1485" t="s">
        <v>1761</v>
      </c>
      <c r="C166" s="1535" t="s">
        <v>936</v>
      </c>
      <c r="D166" s="1484" t="str">
        <f t="shared" si="34"/>
        <v>MERC/CAPEX/20182019/0644</v>
      </c>
      <c r="E166" s="1536">
        <f t="shared" si="34"/>
        <v>43146</v>
      </c>
      <c r="F166" s="1394">
        <f>IF(F165=0,"-",F165)</f>
        <v>43238</v>
      </c>
      <c r="G166" s="1395">
        <f>16*1.18</f>
        <v>18.88</v>
      </c>
      <c r="H166" s="1395">
        <f>13*1.18</f>
        <v>15.34</v>
      </c>
      <c r="I166" s="1396"/>
      <c r="J166" s="1396"/>
      <c r="K166" s="1394">
        <v>43238</v>
      </c>
      <c r="L166" s="1397"/>
      <c r="M166" s="1397"/>
      <c r="N166" s="1397"/>
      <c r="O166" s="1407" t="s">
        <v>2278</v>
      </c>
      <c r="P166" s="309">
        <v>0.123487</v>
      </c>
      <c r="Q166" s="309">
        <v>0.2725534</v>
      </c>
      <c r="R166" s="309">
        <v>9.3497300000000005E-2</v>
      </c>
      <c r="S166" s="309">
        <v>0</v>
      </c>
      <c r="T166" s="1533">
        <f t="shared" si="28"/>
        <v>0.48953770000000002</v>
      </c>
      <c r="U166" s="1537">
        <v>1.1378111320000102</v>
      </c>
      <c r="V166" s="1537">
        <v>3.6196438859999995</v>
      </c>
      <c r="W166" s="1550">
        <v>2.0999999999999996</v>
      </c>
      <c r="X166" s="1550">
        <v>7.99300728199999</v>
      </c>
      <c r="Y166" s="309"/>
      <c r="Z166" s="309"/>
      <c r="AA166" s="309"/>
      <c r="AB166" s="309"/>
      <c r="AC166" s="1538"/>
      <c r="AD166" s="1538"/>
      <c r="AE166" s="1538"/>
      <c r="AF166" s="1538"/>
      <c r="AG166" s="1538"/>
      <c r="AH166" s="1538"/>
      <c r="AI166" s="1538"/>
      <c r="AJ166" s="309">
        <v>0</v>
      </c>
      <c r="AK166" s="309">
        <v>0</v>
      </c>
      <c r="AL166" s="309">
        <v>0</v>
      </c>
      <c r="AM166" s="309">
        <v>0</v>
      </c>
      <c r="AN166" s="1523">
        <f t="shared" si="29"/>
        <v>0</v>
      </c>
      <c r="AO166" s="1550">
        <v>1.62734883200001</v>
      </c>
      <c r="AP166" s="1537">
        <v>3.0375484999999998</v>
      </c>
      <c r="AQ166" s="1550">
        <v>2.0999999999999996</v>
      </c>
      <c r="AR166" s="1550">
        <v>8.5751026679999907</v>
      </c>
      <c r="AS166" s="309"/>
      <c r="AT166" s="309"/>
      <c r="AU166" s="309"/>
      <c r="AV166" s="309"/>
      <c r="AW166" s="309"/>
      <c r="AX166" s="1396"/>
      <c r="AY166" s="1549" t="s">
        <v>937</v>
      </c>
    </row>
    <row r="167" spans="1:51" s="1548" customFormat="1" ht="15.5" outlineLevel="1" x14ac:dyDescent="0.25">
      <c r="A167" s="1484"/>
      <c r="B167" s="1485" t="s">
        <v>414</v>
      </c>
      <c r="C167" s="1535" t="s">
        <v>414</v>
      </c>
      <c r="D167" s="1484" t="str">
        <f t="shared" si="34"/>
        <v>MERC/CAPEX/20182019/0644</v>
      </c>
      <c r="E167" s="1536">
        <f t="shared" si="34"/>
        <v>43146</v>
      </c>
      <c r="F167" s="1394">
        <f>IF(F166=0,"-",F166)</f>
        <v>43238</v>
      </c>
      <c r="G167" s="1395">
        <v>10.02</v>
      </c>
      <c r="H167" s="1395">
        <f>7.83</f>
        <v>7.83</v>
      </c>
      <c r="I167" s="1396"/>
      <c r="J167" s="1396"/>
      <c r="K167" s="1394">
        <v>43238</v>
      </c>
      <c r="L167" s="1397"/>
      <c r="M167" s="1397"/>
      <c r="N167" s="1397"/>
      <c r="O167" s="1407"/>
      <c r="P167" s="309"/>
      <c r="Q167" s="309">
        <v>0</v>
      </c>
      <c r="R167" s="309">
        <v>0</v>
      </c>
      <c r="S167" s="309">
        <v>0</v>
      </c>
      <c r="T167" s="1533">
        <f t="shared" si="28"/>
        <v>0</v>
      </c>
      <c r="U167" s="1537">
        <v>5.4273518999999997</v>
      </c>
      <c r="V167" s="1537">
        <v>5.5129596000000003</v>
      </c>
      <c r="W167" s="320">
        <v>0</v>
      </c>
      <c r="X167" s="320"/>
      <c r="Y167" s="309"/>
      <c r="Z167" s="309"/>
      <c r="AA167" s="309"/>
      <c r="AB167" s="309"/>
      <c r="AC167" s="1538"/>
      <c r="AD167" s="1538"/>
      <c r="AE167" s="1538"/>
      <c r="AF167" s="1538"/>
      <c r="AG167" s="1538"/>
      <c r="AH167" s="1538"/>
      <c r="AI167" s="1538"/>
      <c r="AJ167" s="309"/>
      <c r="AK167" s="309">
        <v>0</v>
      </c>
      <c r="AL167" s="309">
        <v>0</v>
      </c>
      <c r="AM167" s="309">
        <v>0</v>
      </c>
      <c r="AN167" s="1523">
        <f t="shared" si="29"/>
        <v>0</v>
      </c>
      <c r="AO167" s="1550">
        <v>5.4273518999999997</v>
      </c>
      <c r="AP167" s="1537">
        <v>5.5129596000000003</v>
      </c>
      <c r="AQ167" s="309">
        <v>0</v>
      </c>
      <c r="AR167" s="309"/>
      <c r="AS167" s="309"/>
      <c r="AT167" s="309"/>
      <c r="AU167" s="309"/>
      <c r="AV167" s="309"/>
      <c r="AW167" s="309"/>
      <c r="AX167" s="1396"/>
      <c r="AY167" s="1549"/>
    </row>
    <row r="168" spans="1:51" ht="15.5" outlineLevel="1" x14ac:dyDescent="0.25">
      <c r="A168" s="1486">
        <v>31</v>
      </c>
      <c r="B168" s="1491" t="s">
        <v>1661</v>
      </c>
      <c r="C168" s="1486" t="s">
        <v>928</v>
      </c>
      <c r="D168" s="1486" t="s">
        <v>1762</v>
      </c>
      <c r="E168" s="1487">
        <v>43257</v>
      </c>
      <c r="F168" s="1487">
        <v>43529</v>
      </c>
      <c r="G168" s="1383">
        <f>SUM(G169:G180)</f>
        <v>76.428600000000003</v>
      </c>
      <c r="H168" s="1383">
        <f>SUM(H169:H180)</f>
        <v>76.410000000000025</v>
      </c>
      <c r="I168" s="161"/>
      <c r="J168" s="161"/>
      <c r="K168" s="1413">
        <v>43529</v>
      </c>
      <c r="L168" s="1414"/>
      <c r="M168" s="1414"/>
      <c r="N168" s="1414"/>
      <c r="O168" s="1551"/>
      <c r="P168" s="1523"/>
      <c r="Q168" s="1524"/>
      <c r="R168" s="1524"/>
      <c r="S168" s="1524"/>
      <c r="T168" s="1524">
        <f t="shared" si="28"/>
        <v>0</v>
      </c>
      <c r="U168" s="1557"/>
      <c r="V168" s="1557"/>
      <c r="W168" s="1401"/>
      <c r="X168" s="1401"/>
      <c r="Y168" s="1401"/>
      <c r="Z168" s="1401"/>
      <c r="AA168" s="1401"/>
      <c r="AB168" s="1401"/>
      <c r="AC168" s="1522"/>
      <c r="AD168" s="1522"/>
      <c r="AE168" s="1522"/>
      <c r="AF168" s="1522"/>
      <c r="AG168" s="1522"/>
      <c r="AH168" s="1522"/>
      <c r="AI168" s="1522"/>
      <c r="AJ168" s="1523"/>
      <c r="AK168" s="1523"/>
      <c r="AL168" s="1523"/>
      <c r="AM168" s="1523"/>
      <c r="AN168" s="1523">
        <f t="shared" si="29"/>
        <v>0</v>
      </c>
      <c r="AO168" s="1553"/>
      <c r="AP168" s="1553"/>
      <c r="AQ168" s="1553"/>
      <c r="AR168" s="1553"/>
      <c r="AS168" s="1553"/>
      <c r="AT168" s="1553"/>
      <c r="AU168" s="1553"/>
      <c r="AV168" s="1553"/>
      <c r="AW168" s="1553"/>
      <c r="AX168" s="161"/>
      <c r="AY168" s="1636"/>
    </row>
    <row r="169" spans="1:51" ht="31" outlineLevel="1" x14ac:dyDescent="0.25">
      <c r="A169" s="1488">
        <v>31.1</v>
      </c>
      <c r="B169" s="1492" t="s">
        <v>1763</v>
      </c>
      <c r="C169" s="1554" t="s">
        <v>936</v>
      </c>
      <c r="D169" s="1488" t="str">
        <f t="shared" ref="D169:E180" si="35">D168</f>
        <v>MERC/CAPEX/2018-19/066</v>
      </c>
      <c r="E169" s="1495">
        <f t="shared" si="35"/>
        <v>43257</v>
      </c>
      <c r="F169" s="1413">
        <f t="shared" ref="F169:F180" si="36">IF(F168=0,"-",F168)</f>
        <v>43529</v>
      </c>
      <c r="G169" s="560">
        <f>20.36*1.18</f>
        <v>24.024799999999999</v>
      </c>
      <c r="H169" s="560">
        <v>24.03</v>
      </c>
      <c r="I169" s="161"/>
      <c r="J169" s="161"/>
      <c r="K169" s="1413">
        <v>43529</v>
      </c>
      <c r="L169" s="1414"/>
      <c r="M169" s="1414"/>
      <c r="N169" s="1414"/>
      <c r="O169" s="1551"/>
      <c r="P169" s="1533">
        <v>0</v>
      </c>
      <c r="Q169" s="1533">
        <v>0</v>
      </c>
      <c r="R169" s="1533">
        <v>0</v>
      </c>
      <c r="S169" s="1533">
        <v>0</v>
      </c>
      <c r="T169" s="1533">
        <f t="shared" si="28"/>
        <v>0</v>
      </c>
      <c r="U169" s="320">
        <v>0</v>
      </c>
      <c r="V169" s="320">
        <v>0</v>
      </c>
      <c r="W169" s="320">
        <v>0</v>
      </c>
      <c r="X169" s="1550">
        <v>24.03</v>
      </c>
      <c r="Y169" s="320"/>
      <c r="Z169" s="320"/>
      <c r="AA169" s="320"/>
      <c r="AB169" s="320"/>
      <c r="AC169" s="1538"/>
      <c r="AD169" s="1538"/>
      <c r="AE169" s="1538"/>
      <c r="AF169" s="1538"/>
      <c r="AG169" s="1522"/>
      <c r="AH169" s="1522"/>
      <c r="AI169" s="1522"/>
      <c r="AJ169" s="1533">
        <v>0</v>
      </c>
      <c r="AK169" s="1533">
        <v>0</v>
      </c>
      <c r="AL169" s="1533">
        <v>0</v>
      </c>
      <c r="AM169" s="1533">
        <v>0</v>
      </c>
      <c r="AN169" s="1523">
        <f t="shared" si="29"/>
        <v>0</v>
      </c>
      <c r="AO169" s="320">
        <v>0</v>
      </c>
      <c r="AP169" s="320">
        <v>0</v>
      </c>
      <c r="AQ169" s="320">
        <v>0</v>
      </c>
      <c r="AR169" s="1550">
        <v>24.03</v>
      </c>
      <c r="AS169" s="320"/>
      <c r="AT169" s="320"/>
      <c r="AU169" s="320"/>
      <c r="AV169" s="320"/>
      <c r="AW169" s="320"/>
      <c r="AX169" s="161" t="s">
        <v>1675</v>
      </c>
      <c r="AY169" s="1540" t="s">
        <v>937</v>
      </c>
    </row>
    <row r="170" spans="1:51" ht="15.5" outlineLevel="1" x14ac:dyDescent="0.25">
      <c r="A170" s="1488">
        <v>31.2</v>
      </c>
      <c r="B170" s="1492" t="s">
        <v>1764</v>
      </c>
      <c r="C170" s="1554" t="s">
        <v>936</v>
      </c>
      <c r="D170" s="1488" t="str">
        <f t="shared" si="35"/>
        <v>MERC/CAPEX/2018-19/066</v>
      </c>
      <c r="E170" s="1495">
        <f t="shared" si="35"/>
        <v>43257</v>
      </c>
      <c r="F170" s="1413">
        <f t="shared" si="36"/>
        <v>43529</v>
      </c>
      <c r="G170" s="560">
        <f>3.67*1.18</f>
        <v>4.3305999999999996</v>
      </c>
      <c r="H170" s="560">
        <v>4.33</v>
      </c>
      <c r="I170" s="161"/>
      <c r="J170" s="161"/>
      <c r="K170" s="1413">
        <v>43529</v>
      </c>
      <c r="L170" s="1414"/>
      <c r="M170" s="1414"/>
      <c r="N170" s="1414"/>
      <c r="O170" s="1551"/>
      <c r="P170" s="1533">
        <v>0</v>
      </c>
      <c r="Q170" s="1533">
        <v>0</v>
      </c>
      <c r="R170" s="1533">
        <v>0</v>
      </c>
      <c r="S170" s="1533">
        <v>0</v>
      </c>
      <c r="T170" s="1533">
        <f t="shared" si="28"/>
        <v>0</v>
      </c>
      <c r="U170" s="320">
        <v>0</v>
      </c>
      <c r="V170" s="320">
        <v>0</v>
      </c>
      <c r="W170" s="320">
        <v>0</v>
      </c>
      <c r="X170" s="1550">
        <v>4.33</v>
      </c>
      <c r="Y170" s="320"/>
      <c r="Z170" s="320"/>
      <c r="AA170" s="320"/>
      <c r="AB170" s="320"/>
      <c r="AC170" s="1538"/>
      <c r="AD170" s="1538"/>
      <c r="AE170" s="1538"/>
      <c r="AF170" s="1538"/>
      <c r="AG170" s="1522"/>
      <c r="AH170" s="1522"/>
      <c r="AI170" s="1522"/>
      <c r="AJ170" s="1533">
        <v>0</v>
      </c>
      <c r="AK170" s="1533">
        <v>0</v>
      </c>
      <c r="AL170" s="1533">
        <v>0</v>
      </c>
      <c r="AM170" s="1533">
        <v>0</v>
      </c>
      <c r="AN170" s="1523">
        <f t="shared" si="29"/>
        <v>0</v>
      </c>
      <c r="AO170" s="320">
        <v>0</v>
      </c>
      <c r="AP170" s="320">
        <v>0</v>
      </c>
      <c r="AQ170" s="320">
        <v>0</v>
      </c>
      <c r="AR170" s="1550">
        <v>4.33</v>
      </c>
      <c r="AS170" s="320"/>
      <c r="AT170" s="320"/>
      <c r="AU170" s="320"/>
      <c r="AV170" s="320"/>
      <c r="AW170" s="320"/>
      <c r="AX170" s="161" t="s">
        <v>1675</v>
      </c>
      <c r="AY170" s="1540" t="s">
        <v>937</v>
      </c>
    </row>
    <row r="171" spans="1:51" ht="15.5" outlineLevel="1" x14ac:dyDescent="0.25">
      <c r="A171" s="1488">
        <v>31.3</v>
      </c>
      <c r="B171" s="1492" t="s">
        <v>1765</v>
      </c>
      <c r="C171" s="1554" t="s">
        <v>936</v>
      </c>
      <c r="D171" s="1488" t="str">
        <f t="shared" si="35"/>
        <v>MERC/CAPEX/2018-19/066</v>
      </c>
      <c r="E171" s="1495">
        <f t="shared" si="35"/>
        <v>43257</v>
      </c>
      <c r="F171" s="1413">
        <f t="shared" si="36"/>
        <v>43529</v>
      </c>
      <c r="G171" s="560">
        <f>0.41*1.18</f>
        <v>0.48379999999999995</v>
      </c>
      <c r="H171" s="560">
        <v>0.48</v>
      </c>
      <c r="I171" s="161"/>
      <c r="J171" s="161"/>
      <c r="K171" s="1413">
        <v>43529</v>
      </c>
      <c r="L171" s="1414"/>
      <c r="M171" s="1414"/>
      <c r="N171" s="1414"/>
      <c r="O171" s="1551"/>
      <c r="P171" s="1533">
        <v>0</v>
      </c>
      <c r="Q171" s="1533">
        <v>0</v>
      </c>
      <c r="R171" s="1533">
        <v>0</v>
      </c>
      <c r="S171" s="1533">
        <v>0</v>
      </c>
      <c r="T171" s="1533">
        <f t="shared" si="28"/>
        <v>0</v>
      </c>
      <c r="U171" s="320">
        <v>0</v>
      </c>
      <c r="V171" s="320">
        <v>0</v>
      </c>
      <c r="W171" s="320">
        <v>0</v>
      </c>
      <c r="X171" s="1550">
        <v>0.48</v>
      </c>
      <c r="Y171" s="320"/>
      <c r="Z171" s="320"/>
      <c r="AA171" s="320"/>
      <c r="AB171" s="320"/>
      <c r="AC171" s="1538"/>
      <c r="AD171" s="1538"/>
      <c r="AE171" s="1538"/>
      <c r="AF171" s="1538"/>
      <c r="AG171" s="1522"/>
      <c r="AH171" s="1522"/>
      <c r="AI171" s="1522"/>
      <c r="AJ171" s="1533">
        <v>0</v>
      </c>
      <c r="AK171" s="1533">
        <v>0</v>
      </c>
      <c r="AL171" s="1533">
        <v>0</v>
      </c>
      <c r="AM171" s="1533">
        <v>0</v>
      </c>
      <c r="AN171" s="1523">
        <f t="shared" si="29"/>
        <v>0</v>
      </c>
      <c r="AO171" s="320">
        <v>0</v>
      </c>
      <c r="AP171" s="320">
        <v>0</v>
      </c>
      <c r="AQ171" s="320">
        <v>0</v>
      </c>
      <c r="AR171" s="1550">
        <v>0.48</v>
      </c>
      <c r="AS171" s="320"/>
      <c r="AT171" s="320"/>
      <c r="AU171" s="320"/>
      <c r="AV171" s="320"/>
      <c r="AW171" s="320"/>
      <c r="AX171" s="161" t="s">
        <v>1675</v>
      </c>
      <c r="AY171" s="1540" t="s">
        <v>937</v>
      </c>
    </row>
    <row r="172" spans="1:51" ht="15.5" outlineLevel="1" x14ac:dyDescent="0.25">
      <c r="A172" s="1488">
        <v>31.4</v>
      </c>
      <c r="B172" s="1492" t="s">
        <v>1766</v>
      </c>
      <c r="C172" s="1554" t="s">
        <v>936</v>
      </c>
      <c r="D172" s="1488" t="str">
        <f t="shared" si="35"/>
        <v>MERC/CAPEX/2018-19/066</v>
      </c>
      <c r="E172" s="1495">
        <f t="shared" si="35"/>
        <v>43257</v>
      </c>
      <c r="F172" s="1413">
        <f t="shared" si="36"/>
        <v>43529</v>
      </c>
      <c r="G172" s="560">
        <f>1.63*1.18</f>
        <v>1.9233999999999998</v>
      </c>
      <c r="H172" s="560">
        <v>1.93</v>
      </c>
      <c r="I172" s="161"/>
      <c r="J172" s="161"/>
      <c r="K172" s="1413">
        <v>43529</v>
      </c>
      <c r="L172" s="1414"/>
      <c r="M172" s="1414"/>
      <c r="N172" s="1414"/>
      <c r="O172" s="1551"/>
      <c r="P172" s="1533">
        <v>0</v>
      </c>
      <c r="Q172" s="1533">
        <v>0</v>
      </c>
      <c r="R172" s="1533">
        <v>0</v>
      </c>
      <c r="S172" s="1533">
        <v>0</v>
      </c>
      <c r="T172" s="1533">
        <f t="shared" si="28"/>
        <v>0</v>
      </c>
      <c r="U172" s="320">
        <v>0</v>
      </c>
      <c r="V172" s="320">
        <v>0</v>
      </c>
      <c r="W172" s="320">
        <v>0</v>
      </c>
      <c r="X172" s="1550">
        <v>1.93</v>
      </c>
      <c r="Y172" s="320"/>
      <c r="Z172" s="320"/>
      <c r="AA172" s="320"/>
      <c r="AB172" s="320"/>
      <c r="AC172" s="1538"/>
      <c r="AD172" s="1538"/>
      <c r="AE172" s="1538"/>
      <c r="AF172" s="1538"/>
      <c r="AG172" s="1522"/>
      <c r="AH172" s="1522"/>
      <c r="AI172" s="1522"/>
      <c r="AJ172" s="1533">
        <v>0</v>
      </c>
      <c r="AK172" s="1533">
        <v>0</v>
      </c>
      <c r="AL172" s="1533">
        <v>0</v>
      </c>
      <c r="AM172" s="1533">
        <v>0</v>
      </c>
      <c r="AN172" s="1523">
        <f t="shared" si="29"/>
        <v>0</v>
      </c>
      <c r="AO172" s="320">
        <v>0</v>
      </c>
      <c r="AP172" s="320">
        <v>0</v>
      </c>
      <c r="AQ172" s="320">
        <v>0</v>
      </c>
      <c r="AR172" s="1550">
        <v>1.93</v>
      </c>
      <c r="AS172" s="320"/>
      <c r="AT172" s="320"/>
      <c r="AU172" s="320"/>
      <c r="AV172" s="320"/>
      <c r="AW172" s="320"/>
      <c r="AX172" s="161" t="s">
        <v>1675</v>
      </c>
      <c r="AY172" s="1540" t="s">
        <v>937</v>
      </c>
    </row>
    <row r="173" spans="1:51" ht="31" outlineLevel="1" x14ac:dyDescent="0.25">
      <c r="A173" s="1488">
        <v>31.5</v>
      </c>
      <c r="B173" s="1492" t="s">
        <v>1767</v>
      </c>
      <c r="C173" s="1554" t="s">
        <v>936</v>
      </c>
      <c r="D173" s="1488" t="str">
        <f t="shared" si="35"/>
        <v>MERC/CAPEX/2018-19/066</v>
      </c>
      <c r="E173" s="1495">
        <f t="shared" si="35"/>
        <v>43257</v>
      </c>
      <c r="F173" s="1413">
        <f t="shared" si="36"/>
        <v>43529</v>
      </c>
      <c r="G173" s="560">
        <f>1.49*1.18</f>
        <v>1.7582</v>
      </c>
      <c r="H173" s="560">
        <v>1.76</v>
      </c>
      <c r="I173" s="161"/>
      <c r="J173" s="161"/>
      <c r="K173" s="1413">
        <v>43529</v>
      </c>
      <c r="L173" s="1414"/>
      <c r="M173" s="1414"/>
      <c r="N173" s="1414"/>
      <c r="O173" s="1551"/>
      <c r="P173" s="1533">
        <v>0</v>
      </c>
      <c r="Q173" s="1533">
        <v>0</v>
      </c>
      <c r="R173" s="1533">
        <v>0</v>
      </c>
      <c r="S173" s="1533">
        <v>0</v>
      </c>
      <c r="T173" s="1533">
        <f t="shared" si="28"/>
        <v>0</v>
      </c>
      <c r="U173" s="320">
        <v>0</v>
      </c>
      <c r="V173" s="320">
        <v>0</v>
      </c>
      <c r="W173" s="320">
        <v>0</v>
      </c>
      <c r="X173" s="1550">
        <v>1.76</v>
      </c>
      <c r="Y173" s="320"/>
      <c r="Z173" s="320"/>
      <c r="AA173" s="320"/>
      <c r="AB173" s="320"/>
      <c r="AC173" s="1538"/>
      <c r="AD173" s="1538"/>
      <c r="AE173" s="1538"/>
      <c r="AF173" s="1538"/>
      <c r="AG173" s="1522"/>
      <c r="AH173" s="1522"/>
      <c r="AI173" s="1522"/>
      <c r="AJ173" s="1533">
        <v>0</v>
      </c>
      <c r="AK173" s="1533">
        <v>0</v>
      </c>
      <c r="AL173" s="1533">
        <v>0</v>
      </c>
      <c r="AM173" s="1533">
        <v>0</v>
      </c>
      <c r="AN173" s="1523">
        <f t="shared" si="29"/>
        <v>0</v>
      </c>
      <c r="AO173" s="320">
        <v>0</v>
      </c>
      <c r="AP173" s="320">
        <v>0</v>
      </c>
      <c r="AQ173" s="320">
        <v>0</v>
      </c>
      <c r="AR173" s="1550">
        <v>1.76</v>
      </c>
      <c r="AS173" s="320"/>
      <c r="AT173" s="320"/>
      <c r="AU173" s="320"/>
      <c r="AV173" s="320"/>
      <c r="AW173" s="320"/>
      <c r="AX173" s="161" t="s">
        <v>1675</v>
      </c>
      <c r="AY173" s="1540" t="s">
        <v>937</v>
      </c>
    </row>
    <row r="174" spans="1:51" ht="31" outlineLevel="1" x14ac:dyDescent="0.25">
      <c r="A174" s="1488">
        <v>31.6</v>
      </c>
      <c r="B174" s="1492" t="s">
        <v>1768</v>
      </c>
      <c r="C174" s="1554" t="s">
        <v>936</v>
      </c>
      <c r="D174" s="1488" t="str">
        <f t="shared" si="35"/>
        <v>MERC/CAPEX/2018-19/066</v>
      </c>
      <c r="E174" s="1495">
        <f t="shared" si="35"/>
        <v>43257</v>
      </c>
      <c r="F174" s="1413">
        <f t="shared" si="36"/>
        <v>43529</v>
      </c>
      <c r="G174" s="560">
        <f>1.06*1.18</f>
        <v>1.2507999999999999</v>
      </c>
      <c r="H174" s="560">
        <v>1.25</v>
      </c>
      <c r="I174" s="161"/>
      <c r="J174" s="161"/>
      <c r="K174" s="1413">
        <v>43529</v>
      </c>
      <c r="L174" s="1414"/>
      <c r="M174" s="1414"/>
      <c r="N174" s="1414"/>
      <c r="O174" s="1551"/>
      <c r="P174" s="1533">
        <v>0</v>
      </c>
      <c r="Q174" s="1533">
        <v>0</v>
      </c>
      <c r="R174" s="1533">
        <v>0</v>
      </c>
      <c r="S174" s="1533">
        <v>0</v>
      </c>
      <c r="T174" s="1533">
        <f t="shared" si="28"/>
        <v>0</v>
      </c>
      <c r="U174" s="320">
        <v>0</v>
      </c>
      <c r="V174" s="320">
        <v>0</v>
      </c>
      <c r="W174" s="320">
        <v>0</v>
      </c>
      <c r="X174" s="1550">
        <v>1.25</v>
      </c>
      <c r="Y174" s="320"/>
      <c r="Z174" s="320"/>
      <c r="AA174" s="320"/>
      <c r="AB174" s="320"/>
      <c r="AC174" s="1538"/>
      <c r="AD174" s="1538"/>
      <c r="AE174" s="1538"/>
      <c r="AF174" s="1538"/>
      <c r="AG174" s="1522"/>
      <c r="AH174" s="1522"/>
      <c r="AI174" s="1522"/>
      <c r="AJ174" s="1533">
        <v>0</v>
      </c>
      <c r="AK174" s="1533">
        <v>0</v>
      </c>
      <c r="AL174" s="1533">
        <v>0</v>
      </c>
      <c r="AM174" s="1533">
        <v>0</v>
      </c>
      <c r="AN174" s="1523">
        <f t="shared" si="29"/>
        <v>0</v>
      </c>
      <c r="AO174" s="320">
        <v>0</v>
      </c>
      <c r="AP174" s="320">
        <v>0</v>
      </c>
      <c r="AQ174" s="320">
        <v>0</v>
      </c>
      <c r="AR174" s="1550">
        <v>1.25</v>
      </c>
      <c r="AS174" s="320"/>
      <c r="AT174" s="320"/>
      <c r="AU174" s="320"/>
      <c r="AV174" s="320"/>
      <c r="AW174" s="320"/>
      <c r="AX174" s="161" t="s">
        <v>1675</v>
      </c>
      <c r="AY174" s="1540" t="s">
        <v>937</v>
      </c>
    </row>
    <row r="175" spans="1:51" ht="15.5" outlineLevel="1" x14ac:dyDescent="0.25">
      <c r="A175" s="1488">
        <v>31.7</v>
      </c>
      <c r="B175" s="1492" t="s">
        <v>1769</v>
      </c>
      <c r="C175" s="1554" t="s">
        <v>936</v>
      </c>
      <c r="D175" s="1488" t="str">
        <f t="shared" si="35"/>
        <v>MERC/CAPEX/2018-19/066</v>
      </c>
      <c r="E175" s="1495">
        <f t="shared" si="35"/>
        <v>43257</v>
      </c>
      <c r="F175" s="1413">
        <f t="shared" si="36"/>
        <v>43529</v>
      </c>
      <c r="G175" s="560">
        <f>7.93*1.18</f>
        <v>9.3573999999999984</v>
      </c>
      <c r="H175" s="560">
        <v>9.35</v>
      </c>
      <c r="I175" s="161"/>
      <c r="J175" s="161"/>
      <c r="K175" s="1413">
        <v>43529</v>
      </c>
      <c r="L175" s="1414"/>
      <c r="M175" s="1414"/>
      <c r="N175" s="1414"/>
      <c r="O175" s="1551"/>
      <c r="P175" s="1533">
        <v>0</v>
      </c>
      <c r="Q175" s="1533">
        <v>0</v>
      </c>
      <c r="R175" s="1533">
        <v>0</v>
      </c>
      <c r="S175" s="1533">
        <v>0</v>
      </c>
      <c r="T175" s="1533">
        <f t="shared" si="28"/>
        <v>0</v>
      </c>
      <c r="U175" s="320">
        <v>0</v>
      </c>
      <c r="V175" s="320">
        <v>0</v>
      </c>
      <c r="W175" s="320">
        <v>0</v>
      </c>
      <c r="X175" s="1550">
        <v>9.35</v>
      </c>
      <c r="Y175" s="320"/>
      <c r="Z175" s="320"/>
      <c r="AA175" s="320"/>
      <c r="AB175" s="320"/>
      <c r="AC175" s="1538"/>
      <c r="AD175" s="1538"/>
      <c r="AE175" s="1538"/>
      <c r="AF175" s="1538"/>
      <c r="AG175" s="1522"/>
      <c r="AH175" s="1522"/>
      <c r="AI175" s="1522"/>
      <c r="AJ175" s="1533">
        <v>0</v>
      </c>
      <c r="AK175" s="1533">
        <v>0</v>
      </c>
      <c r="AL175" s="1533">
        <v>0</v>
      </c>
      <c r="AM175" s="1533">
        <v>0</v>
      </c>
      <c r="AN175" s="1523">
        <f t="shared" si="29"/>
        <v>0</v>
      </c>
      <c r="AO175" s="320">
        <v>0</v>
      </c>
      <c r="AP175" s="320">
        <v>0</v>
      </c>
      <c r="AQ175" s="320">
        <v>0</v>
      </c>
      <c r="AR175" s="1550">
        <v>9.35</v>
      </c>
      <c r="AS175" s="320"/>
      <c r="AT175" s="320"/>
      <c r="AU175" s="320"/>
      <c r="AV175" s="320"/>
      <c r="AW175" s="320"/>
      <c r="AX175" s="161" t="s">
        <v>1675</v>
      </c>
      <c r="AY175" s="1540" t="s">
        <v>937</v>
      </c>
    </row>
    <row r="176" spans="1:51" ht="15.5" outlineLevel="1" x14ac:dyDescent="0.25">
      <c r="A176" s="1488">
        <v>31.8</v>
      </c>
      <c r="B176" s="1492" t="s">
        <v>1770</v>
      </c>
      <c r="C176" s="1554" t="s">
        <v>936</v>
      </c>
      <c r="D176" s="1488" t="str">
        <f t="shared" si="35"/>
        <v>MERC/CAPEX/2018-19/066</v>
      </c>
      <c r="E176" s="1495">
        <f t="shared" si="35"/>
        <v>43257</v>
      </c>
      <c r="F176" s="1413">
        <f t="shared" si="36"/>
        <v>43529</v>
      </c>
      <c r="G176" s="560">
        <f>0.27*1.18</f>
        <v>0.31859999999999999</v>
      </c>
      <c r="H176" s="560">
        <v>0.31</v>
      </c>
      <c r="I176" s="161"/>
      <c r="J176" s="161"/>
      <c r="K176" s="1413">
        <v>43529</v>
      </c>
      <c r="L176" s="1414"/>
      <c r="M176" s="1414"/>
      <c r="N176" s="1414"/>
      <c r="O176" s="1551"/>
      <c r="P176" s="1533">
        <v>0</v>
      </c>
      <c r="Q176" s="1533">
        <v>0</v>
      </c>
      <c r="R176" s="1533">
        <v>0</v>
      </c>
      <c r="S176" s="1533">
        <v>0</v>
      </c>
      <c r="T176" s="1533">
        <f t="shared" si="28"/>
        <v>0</v>
      </c>
      <c r="U176" s="320">
        <v>0</v>
      </c>
      <c r="V176" s="320">
        <v>0</v>
      </c>
      <c r="W176" s="320">
        <v>0</v>
      </c>
      <c r="X176" s="1550">
        <v>0.31</v>
      </c>
      <c r="Y176" s="320"/>
      <c r="Z176" s="320"/>
      <c r="AA176" s="320"/>
      <c r="AB176" s="320"/>
      <c r="AC176" s="1538"/>
      <c r="AD176" s="1538"/>
      <c r="AE176" s="1538"/>
      <c r="AF176" s="1538"/>
      <c r="AG176" s="1522"/>
      <c r="AH176" s="1522"/>
      <c r="AI176" s="1522"/>
      <c r="AJ176" s="1533">
        <v>0</v>
      </c>
      <c r="AK176" s="1533">
        <v>0</v>
      </c>
      <c r="AL176" s="1533">
        <v>0</v>
      </c>
      <c r="AM176" s="1533">
        <v>0</v>
      </c>
      <c r="AN176" s="1523">
        <f t="shared" si="29"/>
        <v>0</v>
      </c>
      <c r="AO176" s="320">
        <v>0</v>
      </c>
      <c r="AP176" s="320">
        <v>0</v>
      </c>
      <c r="AQ176" s="320">
        <v>0</v>
      </c>
      <c r="AR176" s="1550">
        <v>0.31</v>
      </c>
      <c r="AS176" s="320"/>
      <c r="AT176" s="320"/>
      <c r="AU176" s="320"/>
      <c r="AV176" s="320"/>
      <c r="AW176" s="320"/>
      <c r="AX176" s="161" t="s">
        <v>1675</v>
      </c>
      <c r="AY176" s="1540" t="s">
        <v>937</v>
      </c>
    </row>
    <row r="177" spans="1:51" ht="15.5" outlineLevel="1" x14ac:dyDescent="0.25">
      <c r="A177" s="1488">
        <v>31.9</v>
      </c>
      <c r="B177" s="1492" t="s">
        <v>1771</v>
      </c>
      <c r="C177" s="1554" t="s">
        <v>936</v>
      </c>
      <c r="D177" s="1488" t="str">
        <f t="shared" si="35"/>
        <v>MERC/CAPEX/2018-19/066</v>
      </c>
      <c r="E177" s="1495">
        <f t="shared" si="35"/>
        <v>43257</v>
      </c>
      <c r="F177" s="1413">
        <f t="shared" si="36"/>
        <v>43529</v>
      </c>
      <c r="G177" s="560">
        <f>2.33*1.18</f>
        <v>2.7494000000000001</v>
      </c>
      <c r="H177" s="560">
        <v>2.74</v>
      </c>
      <c r="I177" s="161"/>
      <c r="J177" s="161"/>
      <c r="K177" s="1413">
        <v>43529</v>
      </c>
      <c r="L177" s="1414"/>
      <c r="M177" s="1414"/>
      <c r="N177" s="1414"/>
      <c r="O177" s="1551"/>
      <c r="P177" s="1533">
        <v>0</v>
      </c>
      <c r="Q177" s="1533">
        <v>0</v>
      </c>
      <c r="R177" s="1533">
        <v>0</v>
      </c>
      <c r="S177" s="1533">
        <v>0</v>
      </c>
      <c r="T177" s="1533">
        <f t="shared" si="28"/>
        <v>0</v>
      </c>
      <c r="U177" s="320">
        <v>0</v>
      </c>
      <c r="V177" s="320">
        <v>0</v>
      </c>
      <c r="W177" s="320">
        <v>0</v>
      </c>
      <c r="X177" s="1550">
        <v>2.74</v>
      </c>
      <c r="Y177" s="320"/>
      <c r="Z177" s="320"/>
      <c r="AA177" s="320"/>
      <c r="AB177" s="320"/>
      <c r="AC177" s="1538"/>
      <c r="AD177" s="1538"/>
      <c r="AE177" s="1538"/>
      <c r="AF177" s="1538"/>
      <c r="AG177" s="1522"/>
      <c r="AH177" s="1522"/>
      <c r="AI177" s="1522"/>
      <c r="AJ177" s="1533">
        <v>0</v>
      </c>
      <c r="AK177" s="1533">
        <v>0</v>
      </c>
      <c r="AL177" s="1533">
        <v>0</v>
      </c>
      <c r="AM177" s="1533">
        <v>0</v>
      </c>
      <c r="AN177" s="1523">
        <f t="shared" si="29"/>
        <v>0</v>
      </c>
      <c r="AO177" s="320">
        <v>0</v>
      </c>
      <c r="AP177" s="320">
        <v>0</v>
      </c>
      <c r="AQ177" s="320">
        <v>0</v>
      </c>
      <c r="AR177" s="1550">
        <v>2.74</v>
      </c>
      <c r="AS177" s="320"/>
      <c r="AT177" s="320"/>
      <c r="AU177" s="320"/>
      <c r="AV177" s="320"/>
      <c r="AW177" s="320"/>
      <c r="AX177" s="161" t="s">
        <v>1675</v>
      </c>
      <c r="AY177" s="1540" t="s">
        <v>937</v>
      </c>
    </row>
    <row r="178" spans="1:51" ht="15.5" outlineLevel="1" x14ac:dyDescent="0.25">
      <c r="A178" s="1488" t="s">
        <v>1772</v>
      </c>
      <c r="B178" s="1492" t="s">
        <v>1773</v>
      </c>
      <c r="C178" s="1554" t="s">
        <v>936</v>
      </c>
      <c r="D178" s="1488" t="str">
        <f t="shared" si="35"/>
        <v>MERC/CAPEX/2018-19/066</v>
      </c>
      <c r="E178" s="1495">
        <f t="shared" si="35"/>
        <v>43257</v>
      </c>
      <c r="F178" s="1413">
        <f t="shared" si="36"/>
        <v>43529</v>
      </c>
      <c r="G178" s="560">
        <f>6.47*1.18</f>
        <v>7.6345999999999989</v>
      </c>
      <c r="H178" s="560">
        <v>7.63</v>
      </c>
      <c r="I178" s="161"/>
      <c r="J178" s="161"/>
      <c r="K178" s="1413">
        <v>43529</v>
      </c>
      <c r="L178" s="1414"/>
      <c r="M178" s="1414"/>
      <c r="N178" s="1414"/>
      <c r="O178" s="1551"/>
      <c r="P178" s="1533">
        <v>0</v>
      </c>
      <c r="Q178" s="1533">
        <v>0</v>
      </c>
      <c r="R178" s="1533">
        <v>0</v>
      </c>
      <c r="S178" s="1533">
        <v>0</v>
      </c>
      <c r="T178" s="1533">
        <f t="shared" si="28"/>
        <v>0</v>
      </c>
      <c r="U178" s="320">
        <v>0</v>
      </c>
      <c r="V178" s="320">
        <v>0</v>
      </c>
      <c r="W178" s="320">
        <v>0</v>
      </c>
      <c r="X178" s="1550">
        <v>7.63</v>
      </c>
      <c r="Y178" s="320"/>
      <c r="Z178" s="320"/>
      <c r="AA178" s="320"/>
      <c r="AB178" s="320"/>
      <c r="AC178" s="1538"/>
      <c r="AD178" s="1538"/>
      <c r="AE178" s="1538"/>
      <c r="AF178" s="1538"/>
      <c r="AG178" s="1522"/>
      <c r="AH178" s="1522"/>
      <c r="AI178" s="1522"/>
      <c r="AJ178" s="1533">
        <v>0</v>
      </c>
      <c r="AK178" s="1533">
        <v>0</v>
      </c>
      <c r="AL178" s="1533">
        <v>0</v>
      </c>
      <c r="AM178" s="1533">
        <v>0</v>
      </c>
      <c r="AN178" s="1523">
        <f t="shared" si="29"/>
        <v>0</v>
      </c>
      <c r="AO178" s="320">
        <v>0</v>
      </c>
      <c r="AP178" s="320">
        <v>0</v>
      </c>
      <c r="AQ178" s="320">
        <v>0</v>
      </c>
      <c r="AR178" s="1550">
        <v>7.63</v>
      </c>
      <c r="AS178" s="320"/>
      <c r="AT178" s="320"/>
      <c r="AU178" s="320"/>
      <c r="AV178" s="320"/>
      <c r="AW178" s="320"/>
      <c r="AX178" s="161" t="s">
        <v>1675</v>
      </c>
      <c r="AY178" s="1540" t="s">
        <v>937</v>
      </c>
    </row>
    <row r="179" spans="1:51" ht="46.5" outlineLevel="1" x14ac:dyDescent="0.25">
      <c r="A179" s="1488">
        <v>31.11</v>
      </c>
      <c r="B179" s="1492" t="s">
        <v>1774</v>
      </c>
      <c r="C179" s="1554" t="s">
        <v>936</v>
      </c>
      <c r="D179" s="1488" t="str">
        <f t="shared" si="35"/>
        <v>MERC/CAPEX/2018-19/066</v>
      </c>
      <c r="E179" s="1495">
        <f t="shared" si="35"/>
        <v>43257</v>
      </c>
      <c r="F179" s="1413">
        <f t="shared" si="36"/>
        <v>43529</v>
      </c>
      <c r="G179" s="560">
        <f>15.82*1.18</f>
        <v>18.6676</v>
      </c>
      <c r="H179" s="560">
        <v>18.670000000000002</v>
      </c>
      <c r="I179" s="161"/>
      <c r="J179" s="161"/>
      <c r="K179" s="1413">
        <v>43529</v>
      </c>
      <c r="L179" s="1414"/>
      <c r="M179" s="1414"/>
      <c r="N179" s="1414"/>
      <c r="O179" s="1551"/>
      <c r="P179" s="1533">
        <v>0</v>
      </c>
      <c r="Q179" s="1533">
        <v>0</v>
      </c>
      <c r="R179" s="1533">
        <v>0</v>
      </c>
      <c r="S179" s="1533">
        <v>0</v>
      </c>
      <c r="T179" s="1533">
        <f t="shared" si="28"/>
        <v>0</v>
      </c>
      <c r="U179" s="320">
        <v>0</v>
      </c>
      <c r="V179" s="320">
        <v>0</v>
      </c>
      <c r="W179" s="320">
        <v>0</v>
      </c>
      <c r="X179" s="1550">
        <v>18.670000000000002</v>
      </c>
      <c r="Y179" s="320"/>
      <c r="Z179" s="320"/>
      <c r="AA179" s="320"/>
      <c r="AB179" s="320"/>
      <c r="AC179" s="1538"/>
      <c r="AD179" s="1538"/>
      <c r="AE179" s="1538"/>
      <c r="AF179" s="1538"/>
      <c r="AG179" s="1522"/>
      <c r="AH179" s="1522"/>
      <c r="AI179" s="1522"/>
      <c r="AJ179" s="1533">
        <v>0</v>
      </c>
      <c r="AK179" s="1533">
        <v>0</v>
      </c>
      <c r="AL179" s="1533">
        <v>0</v>
      </c>
      <c r="AM179" s="1533">
        <v>0</v>
      </c>
      <c r="AN179" s="1523">
        <f t="shared" si="29"/>
        <v>0</v>
      </c>
      <c r="AO179" s="320">
        <v>0</v>
      </c>
      <c r="AP179" s="320">
        <v>0</v>
      </c>
      <c r="AQ179" s="320">
        <v>0</v>
      </c>
      <c r="AR179" s="1550">
        <v>18.670000000000002</v>
      </c>
      <c r="AS179" s="320"/>
      <c r="AT179" s="320"/>
      <c r="AU179" s="320"/>
      <c r="AV179" s="320"/>
      <c r="AW179" s="320"/>
      <c r="AX179" s="161" t="s">
        <v>1675</v>
      </c>
      <c r="AY179" s="1540" t="s">
        <v>937</v>
      </c>
    </row>
    <row r="180" spans="1:51" ht="15.5" outlineLevel="1" x14ac:dyDescent="0.25">
      <c r="A180" s="1488">
        <v>31.12</v>
      </c>
      <c r="B180" s="1492" t="s">
        <v>1775</v>
      </c>
      <c r="C180" s="1554" t="s">
        <v>936</v>
      </c>
      <c r="D180" s="1488" t="str">
        <f t="shared" si="35"/>
        <v>MERC/CAPEX/2018-19/066</v>
      </c>
      <c r="E180" s="1495">
        <f t="shared" si="35"/>
        <v>43257</v>
      </c>
      <c r="F180" s="1413">
        <f t="shared" si="36"/>
        <v>43529</v>
      </c>
      <c r="G180" s="560">
        <f>3.33*1.18</f>
        <v>3.9293999999999998</v>
      </c>
      <c r="H180" s="560">
        <v>3.93</v>
      </c>
      <c r="I180" s="161"/>
      <c r="J180" s="161"/>
      <c r="K180" s="1413">
        <v>43529</v>
      </c>
      <c r="L180" s="1414"/>
      <c r="M180" s="1414"/>
      <c r="N180" s="1414"/>
      <c r="O180" s="1551"/>
      <c r="P180" s="1533">
        <v>0</v>
      </c>
      <c r="Q180" s="1533">
        <v>0</v>
      </c>
      <c r="R180" s="1533">
        <v>0</v>
      </c>
      <c r="S180" s="1533">
        <v>0</v>
      </c>
      <c r="T180" s="1533">
        <f t="shared" si="28"/>
        <v>0</v>
      </c>
      <c r="U180" s="320">
        <v>0</v>
      </c>
      <c r="V180" s="320">
        <v>0</v>
      </c>
      <c r="W180" s="320">
        <v>0</v>
      </c>
      <c r="X180" s="1550">
        <v>3.93</v>
      </c>
      <c r="Y180" s="320"/>
      <c r="Z180" s="320"/>
      <c r="AA180" s="320"/>
      <c r="AB180" s="320"/>
      <c r="AC180" s="1538"/>
      <c r="AD180" s="1538"/>
      <c r="AE180" s="1538"/>
      <c r="AF180" s="1538"/>
      <c r="AG180" s="1522"/>
      <c r="AH180" s="1522"/>
      <c r="AI180" s="1522"/>
      <c r="AJ180" s="1533">
        <v>0</v>
      </c>
      <c r="AK180" s="1533">
        <v>0</v>
      </c>
      <c r="AL180" s="1533">
        <v>0</v>
      </c>
      <c r="AM180" s="1533">
        <v>0</v>
      </c>
      <c r="AN180" s="1523">
        <f t="shared" si="29"/>
        <v>0</v>
      </c>
      <c r="AO180" s="320">
        <v>0</v>
      </c>
      <c r="AP180" s="320">
        <v>0</v>
      </c>
      <c r="AQ180" s="320">
        <v>0</v>
      </c>
      <c r="AR180" s="1550">
        <v>3.93</v>
      </c>
      <c r="AS180" s="320"/>
      <c r="AT180" s="320"/>
      <c r="AU180" s="320"/>
      <c r="AV180" s="320"/>
      <c r="AW180" s="320"/>
      <c r="AX180" s="161" t="s">
        <v>1675</v>
      </c>
      <c r="AY180" s="1540" t="s">
        <v>937</v>
      </c>
    </row>
    <row r="181" spans="1:51" ht="46.5" outlineLevel="1" x14ac:dyDescent="0.25">
      <c r="A181" s="1486">
        <v>32</v>
      </c>
      <c r="B181" s="1491" t="s">
        <v>1776</v>
      </c>
      <c r="C181" s="1486" t="s">
        <v>928</v>
      </c>
      <c r="D181" s="1486" t="s">
        <v>1777</v>
      </c>
      <c r="E181" s="1487">
        <v>43291</v>
      </c>
      <c r="F181" s="1487">
        <v>43363</v>
      </c>
      <c r="G181" s="1383">
        <f>SUM(G182:G184)</f>
        <v>38.64</v>
      </c>
      <c r="H181" s="1383">
        <f>SUM(H182:H184)</f>
        <v>38.629999999999995</v>
      </c>
      <c r="I181" s="161"/>
      <c r="J181" s="161"/>
      <c r="K181" s="1413">
        <v>43363</v>
      </c>
      <c r="L181" s="1414"/>
      <c r="M181" s="1414"/>
      <c r="N181" s="1414"/>
      <c r="O181" s="1551"/>
      <c r="P181" s="1523"/>
      <c r="Q181" s="1524"/>
      <c r="R181" s="1524"/>
      <c r="S181" s="1524"/>
      <c r="T181" s="1524">
        <f t="shared" si="28"/>
        <v>0</v>
      </c>
      <c r="U181" s="1552"/>
      <c r="V181" s="1552"/>
      <c r="W181" s="1401"/>
      <c r="X181" s="1401"/>
      <c r="Y181" s="1401"/>
      <c r="Z181" s="1401"/>
      <c r="AA181" s="1401"/>
      <c r="AB181" s="1401"/>
      <c r="AC181" s="1538"/>
      <c r="AD181" s="1538"/>
      <c r="AE181" s="1538"/>
      <c r="AF181" s="1538"/>
      <c r="AG181" s="1522"/>
      <c r="AH181" s="1522"/>
      <c r="AI181" s="1522"/>
      <c r="AJ181" s="1523"/>
      <c r="AK181" s="1523"/>
      <c r="AL181" s="1523"/>
      <c r="AM181" s="1523"/>
      <c r="AN181" s="1523">
        <f t="shared" si="29"/>
        <v>0</v>
      </c>
      <c r="AO181" s="1553"/>
      <c r="AP181" s="1553"/>
      <c r="AQ181" s="1553"/>
      <c r="AR181" s="1553"/>
      <c r="AS181" s="1553"/>
      <c r="AT181" s="1553"/>
      <c r="AU181" s="1553"/>
      <c r="AV181" s="1553"/>
      <c r="AW181" s="1553"/>
      <c r="AX181" s="161"/>
      <c r="AY181" s="1636"/>
    </row>
    <row r="182" spans="1:51" ht="46.5" outlineLevel="1" x14ac:dyDescent="0.25">
      <c r="A182" s="1488">
        <v>32.1</v>
      </c>
      <c r="B182" s="1492" t="s">
        <v>1778</v>
      </c>
      <c r="C182" s="1554" t="s">
        <v>936</v>
      </c>
      <c r="D182" s="1488" t="str">
        <f t="shared" ref="D182:E184" si="37">D181</f>
        <v>MERC/CAPEX/20182019/1240</v>
      </c>
      <c r="E182" s="1495">
        <f t="shared" si="37"/>
        <v>43291</v>
      </c>
      <c r="F182" s="1413">
        <f>IF(F181=0,"-",F181)</f>
        <v>43363</v>
      </c>
      <c r="G182" s="560">
        <v>32.56</v>
      </c>
      <c r="H182" s="560">
        <v>32.56</v>
      </c>
      <c r="I182" s="161"/>
      <c r="J182" s="161"/>
      <c r="K182" s="1413">
        <v>43363</v>
      </c>
      <c r="L182" s="1414"/>
      <c r="M182" s="1414"/>
      <c r="N182" s="1414"/>
      <c r="O182" s="1551"/>
      <c r="P182" s="1533">
        <v>0</v>
      </c>
      <c r="Q182" s="1533">
        <v>0</v>
      </c>
      <c r="R182" s="1533">
        <v>0</v>
      </c>
      <c r="S182" s="1533">
        <v>0</v>
      </c>
      <c r="T182" s="1533">
        <f t="shared" si="28"/>
        <v>0</v>
      </c>
      <c r="U182" s="1537">
        <v>29.213259999999998</v>
      </c>
      <c r="V182" s="1537">
        <v>-1.00193E-2</v>
      </c>
      <c r="W182" s="1550">
        <v>3.3567593000000042</v>
      </c>
      <c r="X182" s="320">
        <v>0</v>
      </c>
      <c r="Y182" s="320">
        <v>0</v>
      </c>
      <c r="Z182" s="320"/>
      <c r="AA182" s="320"/>
      <c r="AB182" s="320"/>
      <c r="AC182" s="1538"/>
      <c r="AD182" s="1538"/>
      <c r="AE182" s="1538"/>
      <c r="AF182" s="1538"/>
      <c r="AG182" s="1522"/>
      <c r="AH182" s="1522"/>
      <c r="AI182" s="1522"/>
      <c r="AJ182" s="1533">
        <v>0</v>
      </c>
      <c r="AK182" s="1533">
        <v>0</v>
      </c>
      <c r="AL182" s="1533">
        <v>0</v>
      </c>
      <c r="AM182" s="1533">
        <v>0</v>
      </c>
      <c r="AN182" s="1523">
        <f t="shared" si="29"/>
        <v>0</v>
      </c>
      <c r="AO182" s="320">
        <v>0</v>
      </c>
      <c r="AP182" s="1537">
        <v>1.71336</v>
      </c>
      <c r="AQ182" s="1550">
        <v>30.846640000000001</v>
      </c>
      <c r="AR182" s="320"/>
      <c r="AS182" s="320"/>
      <c r="AT182" s="320"/>
      <c r="AU182" s="320"/>
      <c r="AV182" s="320"/>
      <c r="AW182" s="320"/>
      <c r="AX182" s="161" t="s">
        <v>1675</v>
      </c>
      <c r="AY182" s="1540" t="s">
        <v>937</v>
      </c>
    </row>
    <row r="183" spans="1:51" ht="31" outlineLevel="1" x14ac:dyDescent="0.25">
      <c r="A183" s="1488">
        <v>32.200000000000003</v>
      </c>
      <c r="B183" s="1492" t="s">
        <v>1779</v>
      </c>
      <c r="C183" s="1554" t="s">
        <v>936</v>
      </c>
      <c r="D183" s="1488" t="str">
        <f t="shared" si="37"/>
        <v>MERC/CAPEX/20182019/1240</v>
      </c>
      <c r="E183" s="1495">
        <f t="shared" si="37"/>
        <v>43291</v>
      </c>
      <c r="F183" s="1413">
        <f>IF(F182=0,"-",F182)</f>
        <v>43363</v>
      </c>
      <c r="G183" s="560">
        <v>4.92</v>
      </c>
      <c r="H183" s="560">
        <v>4.91</v>
      </c>
      <c r="I183" s="161"/>
      <c r="J183" s="161"/>
      <c r="K183" s="1413">
        <v>43363</v>
      </c>
      <c r="L183" s="1414"/>
      <c r="M183" s="1414"/>
      <c r="N183" s="1414"/>
      <c r="O183" s="1551"/>
      <c r="P183" s="1533">
        <v>0</v>
      </c>
      <c r="Q183" s="1533">
        <v>0</v>
      </c>
      <c r="R183" s="1533">
        <v>0</v>
      </c>
      <c r="S183" s="1533">
        <v>0</v>
      </c>
      <c r="T183" s="1533">
        <f t="shared" si="28"/>
        <v>0</v>
      </c>
      <c r="U183" s="320">
        <v>0</v>
      </c>
      <c r="V183" s="320">
        <v>0</v>
      </c>
      <c r="W183" s="320">
        <v>0</v>
      </c>
      <c r="X183" s="320">
        <v>0</v>
      </c>
      <c r="Y183" s="1550">
        <v>8</v>
      </c>
      <c r="Z183" s="320"/>
      <c r="AA183" s="320"/>
      <c r="AB183" s="320"/>
      <c r="AC183" s="1538"/>
      <c r="AD183" s="1538"/>
      <c r="AE183" s="1538"/>
      <c r="AF183" s="1538"/>
      <c r="AG183" s="1522"/>
      <c r="AH183" s="1522"/>
      <c r="AI183" s="1522"/>
      <c r="AJ183" s="1533">
        <v>0</v>
      </c>
      <c r="AK183" s="1533">
        <v>0</v>
      </c>
      <c r="AL183" s="1533">
        <v>0</v>
      </c>
      <c r="AM183" s="1533">
        <v>0</v>
      </c>
      <c r="AN183" s="1523">
        <f t="shared" si="29"/>
        <v>0</v>
      </c>
      <c r="AO183" s="320">
        <v>0</v>
      </c>
      <c r="AP183" s="320">
        <v>0</v>
      </c>
      <c r="AQ183" s="320">
        <v>0</v>
      </c>
      <c r="AR183" s="320">
        <v>0</v>
      </c>
      <c r="AS183" s="1550">
        <v>8</v>
      </c>
      <c r="AT183" s="320"/>
      <c r="AU183" s="320"/>
      <c r="AV183" s="320"/>
      <c r="AW183" s="320"/>
      <c r="AX183" s="161" t="s">
        <v>1675</v>
      </c>
      <c r="AY183" s="1540" t="s">
        <v>937</v>
      </c>
    </row>
    <row r="184" spans="1:51" ht="15.5" outlineLevel="1" x14ac:dyDescent="0.25">
      <c r="A184" s="1482"/>
      <c r="B184" s="1483" t="s">
        <v>414</v>
      </c>
      <c r="C184" s="1531" t="s">
        <v>414</v>
      </c>
      <c r="D184" s="1482" t="str">
        <f t="shared" si="37"/>
        <v>MERC/CAPEX/20182019/1240</v>
      </c>
      <c r="E184" s="1532">
        <f t="shared" si="37"/>
        <v>43291</v>
      </c>
      <c r="F184" s="1390">
        <f>IF(F183=0,"-",F183)</f>
        <v>43363</v>
      </c>
      <c r="G184" s="565">
        <v>1.1599999999999999</v>
      </c>
      <c r="H184" s="565">
        <v>1.1599999999999999</v>
      </c>
      <c r="I184" s="161"/>
      <c r="J184" s="161"/>
      <c r="K184" s="1413">
        <v>43363</v>
      </c>
      <c r="L184" s="1414"/>
      <c r="M184" s="1414"/>
      <c r="N184" s="1414"/>
      <c r="O184" s="1551"/>
      <c r="P184" s="1533"/>
      <c r="Q184" s="1533">
        <v>0</v>
      </c>
      <c r="R184" s="1533">
        <v>0</v>
      </c>
      <c r="S184" s="1533">
        <v>0</v>
      </c>
      <c r="T184" s="1533">
        <f t="shared" si="28"/>
        <v>0</v>
      </c>
      <c r="U184" s="320">
        <v>0</v>
      </c>
      <c r="V184" s="320">
        <v>0</v>
      </c>
      <c r="W184" s="320">
        <v>0</v>
      </c>
      <c r="X184" s="320"/>
      <c r="Y184" s="320"/>
      <c r="Z184" s="320"/>
      <c r="AA184" s="320"/>
      <c r="AB184" s="320"/>
      <c r="AC184" s="1538"/>
      <c r="AD184" s="1538"/>
      <c r="AE184" s="1538"/>
      <c r="AF184" s="1538"/>
      <c r="AG184" s="1522"/>
      <c r="AH184" s="1522"/>
      <c r="AI184" s="1522"/>
      <c r="AJ184" s="1533"/>
      <c r="AK184" s="1533">
        <v>0</v>
      </c>
      <c r="AL184" s="1533">
        <v>0</v>
      </c>
      <c r="AM184" s="1533">
        <v>0</v>
      </c>
      <c r="AN184" s="1523">
        <f t="shared" si="29"/>
        <v>0</v>
      </c>
      <c r="AO184" s="320">
        <v>0</v>
      </c>
      <c r="AP184" s="320">
        <v>0</v>
      </c>
      <c r="AQ184" s="320">
        <v>0</v>
      </c>
      <c r="AR184" s="320"/>
      <c r="AS184" s="320"/>
      <c r="AT184" s="320"/>
      <c r="AU184" s="320"/>
      <c r="AV184" s="320"/>
      <c r="AW184" s="320"/>
      <c r="AX184" s="161"/>
      <c r="AY184" s="1540"/>
    </row>
    <row r="185" spans="1:51" ht="31" outlineLevel="1" x14ac:dyDescent="0.25">
      <c r="A185" s="1486">
        <v>33</v>
      </c>
      <c r="B185" s="1491" t="s">
        <v>1780</v>
      </c>
      <c r="C185" s="1486" t="s">
        <v>928</v>
      </c>
      <c r="D185" s="1486" t="s">
        <v>1781</v>
      </c>
      <c r="E185" s="1487">
        <v>43451</v>
      </c>
      <c r="F185" s="1487">
        <v>43657</v>
      </c>
      <c r="G185" s="1383">
        <f>SUM(G186:G187)</f>
        <v>15.873835</v>
      </c>
      <c r="H185" s="1383">
        <f>SUM(H186:H187)</f>
        <v>15.22025</v>
      </c>
      <c r="I185" s="161"/>
      <c r="J185" s="161"/>
      <c r="K185" s="1413">
        <v>43657</v>
      </c>
      <c r="L185" s="1414"/>
      <c r="M185" s="1414"/>
      <c r="N185" s="1414"/>
      <c r="O185" s="1551"/>
      <c r="P185" s="1523"/>
      <c r="Q185" s="1524"/>
      <c r="R185" s="1524"/>
      <c r="S185" s="1524"/>
      <c r="T185" s="1524">
        <f t="shared" si="28"/>
        <v>0</v>
      </c>
      <c r="U185" s="1552"/>
      <c r="V185" s="1552"/>
      <c r="W185" s="1401"/>
      <c r="X185" s="1401"/>
      <c r="Y185" s="1401"/>
      <c r="Z185" s="1401"/>
      <c r="AA185" s="1401"/>
      <c r="AB185" s="1401"/>
      <c r="AC185" s="1538"/>
      <c r="AD185" s="1538"/>
      <c r="AE185" s="1538"/>
      <c r="AF185" s="1539"/>
      <c r="AG185" s="1522"/>
      <c r="AH185" s="1522"/>
      <c r="AI185" s="1522"/>
      <c r="AJ185" s="1523"/>
      <c r="AK185" s="1523"/>
      <c r="AL185" s="1523"/>
      <c r="AM185" s="1523"/>
      <c r="AN185" s="1523">
        <f t="shared" si="29"/>
        <v>0</v>
      </c>
      <c r="AO185" s="1553"/>
      <c r="AP185" s="1553"/>
      <c r="AQ185" s="1553"/>
      <c r="AR185" s="1553"/>
      <c r="AS185" s="1553"/>
      <c r="AT185" s="1553"/>
      <c r="AU185" s="1553"/>
      <c r="AV185" s="1553"/>
      <c r="AW185" s="1553"/>
      <c r="AX185" s="161"/>
      <c r="AY185" s="1636"/>
    </row>
    <row r="186" spans="1:51" ht="409.5" customHeight="1" outlineLevel="1" x14ac:dyDescent="0.25">
      <c r="A186" s="1488">
        <v>33.1</v>
      </c>
      <c r="B186" s="1492" t="s">
        <v>1780</v>
      </c>
      <c r="C186" s="1554" t="s">
        <v>936</v>
      </c>
      <c r="D186" s="1488" t="str">
        <f>D185</f>
        <v>MERC/CAPEX/2019-2020/362</v>
      </c>
      <c r="E186" s="1495">
        <f>E185</f>
        <v>43451</v>
      </c>
      <c r="F186" s="1413">
        <f>IF(F185=0,"-",F185)</f>
        <v>43657</v>
      </c>
      <c r="G186" s="560">
        <v>14.20025</v>
      </c>
      <c r="H186" s="560">
        <v>14.20025</v>
      </c>
      <c r="I186" s="161"/>
      <c r="J186" s="161"/>
      <c r="K186" s="1413">
        <v>43657</v>
      </c>
      <c r="L186" s="1414"/>
      <c r="M186" s="1414"/>
      <c r="N186" s="1414"/>
      <c r="O186" s="1551" t="s">
        <v>2279</v>
      </c>
      <c r="P186" s="1533"/>
      <c r="Q186" s="1533">
        <v>0</v>
      </c>
      <c r="R186" s="1533">
        <v>0</v>
      </c>
      <c r="S186" s="1533">
        <v>0</v>
      </c>
      <c r="T186" s="1533">
        <f t="shared" si="28"/>
        <v>0</v>
      </c>
      <c r="U186" s="320">
        <v>0</v>
      </c>
      <c r="V186" s="1537">
        <v>1.464883969</v>
      </c>
      <c r="W186" s="1550">
        <v>15.435116030999998</v>
      </c>
      <c r="X186" s="320"/>
      <c r="Y186" s="320"/>
      <c r="Z186" s="320"/>
      <c r="AA186" s="320"/>
      <c r="AB186" s="320"/>
      <c r="AC186" s="1538"/>
      <c r="AD186" s="1538"/>
      <c r="AE186" s="1538"/>
      <c r="AF186" s="1538"/>
      <c r="AG186" s="1522"/>
      <c r="AH186" s="1522"/>
      <c r="AI186" s="1522"/>
      <c r="AJ186" s="1533"/>
      <c r="AK186" s="1533">
        <v>0</v>
      </c>
      <c r="AL186" s="1533">
        <v>0</v>
      </c>
      <c r="AM186" s="1533">
        <v>0</v>
      </c>
      <c r="AN186" s="1523">
        <f t="shared" si="29"/>
        <v>0</v>
      </c>
      <c r="AO186" s="320">
        <v>0</v>
      </c>
      <c r="AP186" s="320"/>
      <c r="AQ186" s="1550">
        <v>16.899999999999999</v>
      </c>
      <c r="AR186" s="320"/>
      <c r="AS186" s="320"/>
      <c r="AT186" s="320"/>
      <c r="AU186" s="320"/>
      <c r="AV186" s="320"/>
      <c r="AW186" s="320"/>
      <c r="AX186" s="161"/>
      <c r="AY186" s="1540" t="s">
        <v>937</v>
      </c>
    </row>
    <row r="187" spans="1:51" ht="15.5" outlineLevel="1" x14ac:dyDescent="0.25">
      <c r="A187" s="1482"/>
      <c r="B187" s="1483" t="s">
        <v>414</v>
      </c>
      <c r="C187" s="1531" t="s">
        <v>414</v>
      </c>
      <c r="D187" s="1482" t="str">
        <f>D186</f>
        <v>MERC/CAPEX/2019-2020/362</v>
      </c>
      <c r="E187" s="1532">
        <f>E186</f>
        <v>43451</v>
      </c>
      <c r="F187" s="1390">
        <f>IF(F186=0,"-",F186)</f>
        <v>43657</v>
      </c>
      <c r="G187" s="565">
        <v>1.6735850000000001</v>
      </c>
      <c r="H187" s="565">
        <v>1.02</v>
      </c>
      <c r="I187" s="161"/>
      <c r="J187" s="161"/>
      <c r="K187" s="1413">
        <v>43657</v>
      </c>
      <c r="L187" s="1414"/>
      <c r="M187" s="1414"/>
      <c r="N187" s="1414"/>
      <c r="O187" s="1551"/>
      <c r="P187" s="1533"/>
      <c r="Q187" s="1542"/>
      <c r="R187" s="1542"/>
      <c r="S187" s="1542"/>
      <c r="T187" s="1542">
        <f t="shared" si="28"/>
        <v>0</v>
      </c>
      <c r="U187" s="1521"/>
      <c r="V187" s="1521"/>
      <c r="W187" s="1521"/>
      <c r="X187" s="1521"/>
      <c r="Y187" s="1521"/>
      <c r="Z187" s="1521"/>
      <c r="AA187" s="1521"/>
      <c r="AB187" s="1521"/>
      <c r="AC187" s="1538"/>
      <c r="AD187" s="1538"/>
      <c r="AE187" s="1538"/>
      <c r="AF187" s="1538"/>
      <c r="AG187" s="1522"/>
      <c r="AH187" s="1522"/>
      <c r="AI187" s="1522"/>
      <c r="AJ187" s="1533"/>
      <c r="AK187" s="1533"/>
      <c r="AL187" s="1533"/>
      <c r="AM187" s="1533"/>
      <c r="AN187" s="1523">
        <f t="shared" si="29"/>
        <v>0</v>
      </c>
      <c r="AO187" s="320"/>
      <c r="AP187" s="320"/>
      <c r="AQ187" s="320"/>
      <c r="AR187" s="320"/>
      <c r="AS187" s="320"/>
      <c r="AT187" s="320"/>
      <c r="AU187" s="320"/>
      <c r="AV187" s="320"/>
      <c r="AW187" s="320"/>
      <c r="AX187" s="161"/>
      <c r="AY187" s="1540"/>
    </row>
    <row r="188" spans="1:51" ht="31" outlineLevel="1" x14ac:dyDescent="0.25">
      <c r="A188" s="1486">
        <v>34</v>
      </c>
      <c r="B188" s="1491" t="s">
        <v>1782</v>
      </c>
      <c r="C188" s="1486" t="s">
        <v>928</v>
      </c>
      <c r="D188" s="1486" t="s">
        <v>1783</v>
      </c>
      <c r="E188" s="1487">
        <v>43558</v>
      </c>
      <c r="F188" s="1487">
        <v>43588</v>
      </c>
      <c r="G188" s="1383">
        <f>SUM(G189:G190)</f>
        <v>41.469115199999997</v>
      </c>
      <c r="H188" s="1383">
        <f>SUM(H189:H190)</f>
        <v>41.469115199999997</v>
      </c>
      <c r="I188" s="161"/>
      <c r="J188" s="161"/>
      <c r="K188" s="1413">
        <v>43588</v>
      </c>
      <c r="L188" s="1414"/>
      <c r="M188" s="1414"/>
      <c r="N188" s="1414"/>
      <c r="O188" s="1551"/>
      <c r="P188" s="1523"/>
      <c r="Q188" s="1524"/>
      <c r="R188" s="1524"/>
      <c r="S188" s="1524"/>
      <c r="T188" s="1524">
        <f t="shared" si="28"/>
        <v>0</v>
      </c>
      <c r="U188" s="1552"/>
      <c r="V188" s="1552"/>
      <c r="W188" s="1401"/>
      <c r="X188" s="1401"/>
      <c r="Y188" s="1401"/>
      <c r="Z188" s="1401"/>
      <c r="AA188" s="1401"/>
      <c r="AB188" s="1401"/>
      <c r="AC188" s="1538"/>
      <c r="AD188" s="1538"/>
      <c r="AE188" s="1538"/>
      <c r="AF188" s="1538"/>
      <c r="AG188" s="1522"/>
      <c r="AH188" s="1522"/>
      <c r="AI188" s="1522"/>
      <c r="AJ188" s="1523"/>
      <c r="AK188" s="1523"/>
      <c r="AL188" s="1523"/>
      <c r="AM188" s="1523"/>
      <c r="AN188" s="1523">
        <f t="shared" si="29"/>
        <v>0</v>
      </c>
      <c r="AO188" s="1553"/>
      <c r="AP188" s="1553"/>
      <c r="AQ188" s="1553"/>
      <c r="AR188" s="1553"/>
      <c r="AS188" s="1553"/>
      <c r="AT188" s="1553"/>
      <c r="AU188" s="1553"/>
      <c r="AV188" s="1553"/>
      <c r="AW188" s="1553"/>
      <c r="AX188" s="161"/>
      <c r="AY188" s="1636"/>
    </row>
    <row r="189" spans="1:51" ht="46.5" outlineLevel="1" x14ac:dyDescent="0.25">
      <c r="A189" s="1488">
        <v>34.1</v>
      </c>
      <c r="B189" s="1492" t="s">
        <v>1784</v>
      </c>
      <c r="C189" s="1554" t="s">
        <v>936</v>
      </c>
      <c r="D189" s="1488" t="str">
        <f>D188</f>
        <v>MERC/CAPEX/2019-2020/129</v>
      </c>
      <c r="E189" s="1495">
        <f>E188</f>
        <v>43558</v>
      </c>
      <c r="F189" s="1413">
        <f>IF(F188=0,"-",F188)</f>
        <v>43588</v>
      </c>
      <c r="G189" s="560">
        <f>(325000000+7000000)*1.02*1.01*1.18/10000000</f>
        <v>40.359115199999998</v>
      </c>
      <c r="H189" s="560">
        <f>(325000000+7000000)*1.02*1.01*1.18/10000000</f>
        <v>40.359115199999998</v>
      </c>
      <c r="I189" s="161"/>
      <c r="J189" s="161"/>
      <c r="K189" s="1413">
        <v>43588</v>
      </c>
      <c r="L189" s="1414"/>
      <c r="M189" s="1414"/>
      <c r="N189" s="1414"/>
      <c r="O189" s="1551"/>
      <c r="P189" s="1533">
        <v>0</v>
      </c>
      <c r="Q189" s="1533">
        <v>0</v>
      </c>
      <c r="R189" s="1533">
        <v>0</v>
      </c>
      <c r="S189" s="1533">
        <v>1.0992438</v>
      </c>
      <c r="T189" s="1533">
        <f t="shared" si="28"/>
        <v>1.0992438</v>
      </c>
      <c r="U189" s="1537">
        <v>41.090346100000005</v>
      </c>
      <c r="V189" s="320">
        <v>0</v>
      </c>
      <c r="W189" s="320">
        <v>0</v>
      </c>
      <c r="X189" s="320"/>
      <c r="Y189" s="320"/>
      <c r="Z189" s="320"/>
      <c r="AA189" s="320"/>
      <c r="AB189" s="320"/>
      <c r="AC189" s="1538"/>
      <c r="AD189" s="1538"/>
      <c r="AE189" s="1538"/>
      <c r="AF189" s="1538"/>
      <c r="AG189" s="1522"/>
      <c r="AH189" s="1522"/>
      <c r="AI189" s="1522"/>
      <c r="AJ189" s="1533">
        <v>0</v>
      </c>
      <c r="AK189" s="1533">
        <v>0</v>
      </c>
      <c r="AL189" s="1533">
        <v>0</v>
      </c>
      <c r="AM189" s="1533">
        <v>0.82599999999999996</v>
      </c>
      <c r="AN189" s="1523">
        <f t="shared" si="29"/>
        <v>0.82599999999999996</v>
      </c>
      <c r="AO189" s="1537">
        <v>41.363589900000001</v>
      </c>
      <c r="AP189" s="320">
        <v>0</v>
      </c>
      <c r="AQ189" s="320">
        <v>0</v>
      </c>
      <c r="AR189" s="320"/>
      <c r="AS189" s="320"/>
      <c r="AT189" s="320"/>
      <c r="AU189" s="320"/>
      <c r="AV189" s="320"/>
      <c r="AW189" s="320"/>
      <c r="AX189" s="161"/>
      <c r="AY189" s="1540" t="s">
        <v>940</v>
      </c>
    </row>
    <row r="190" spans="1:51" ht="15.5" outlineLevel="1" x14ac:dyDescent="0.25">
      <c r="A190" s="1482"/>
      <c r="B190" s="1483" t="s">
        <v>414</v>
      </c>
      <c r="C190" s="1531" t="s">
        <v>414</v>
      </c>
      <c r="D190" s="1482" t="str">
        <f>D189</f>
        <v>MERC/CAPEX/2019-2020/129</v>
      </c>
      <c r="E190" s="1532">
        <f>E189</f>
        <v>43558</v>
      </c>
      <c r="F190" s="1390">
        <f>IF(F189=0,"-",F189)</f>
        <v>43588</v>
      </c>
      <c r="G190" s="565">
        <v>1.1100000000000001</v>
      </c>
      <c r="H190" s="565">
        <v>1.1100000000000001</v>
      </c>
      <c r="I190" s="161"/>
      <c r="J190" s="161"/>
      <c r="K190" s="1413">
        <v>43588</v>
      </c>
      <c r="L190" s="1414"/>
      <c r="M190" s="1414"/>
      <c r="N190" s="1414"/>
      <c r="O190" s="1551"/>
      <c r="P190" s="1533"/>
      <c r="Q190" s="1542"/>
      <c r="R190" s="1542"/>
      <c r="S190" s="1542"/>
      <c r="T190" s="1542">
        <f t="shared" si="28"/>
        <v>0</v>
      </c>
      <c r="U190" s="1521"/>
      <c r="V190" s="1521"/>
      <c r="W190" s="1521"/>
      <c r="X190" s="1521"/>
      <c r="Y190" s="1521"/>
      <c r="Z190" s="1521"/>
      <c r="AA190" s="1521"/>
      <c r="AB190" s="1521"/>
      <c r="AC190" s="1522"/>
      <c r="AD190" s="1522"/>
      <c r="AE190" s="1522"/>
      <c r="AF190" s="1522"/>
      <c r="AG190" s="1522"/>
      <c r="AH190" s="1522"/>
      <c r="AI190" s="1522"/>
      <c r="AJ190" s="1533"/>
      <c r="AK190" s="1533"/>
      <c r="AL190" s="1533"/>
      <c r="AM190" s="1533"/>
      <c r="AN190" s="1523">
        <f t="shared" si="29"/>
        <v>0</v>
      </c>
      <c r="AO190" s="320"/>
      <c r="AP190" s="320"/>
      <c r="AQ190" s="320"/>
      <c r="AR190" s="320"/>
      <c r="AS190" s="320"/>
      <c r="AT190" s="320"/>
      <c r="AU190" s="320"/>
      <c r="AV190" s="320"/>
      <c r="AW190" s="320"/>
      <c r="AX190" s="161"/>
      <c r="AY190" s="1540"/>
    </row>
    <row r="191" spans="1:51" s="1530" customFormat="1" ht="31" outlineLevel="1" x14ac:dyDescent="0.25">
      <c r="A191" s="1477">
        <v>35</v>
      </c>
      <c r="B191" s="1478" t="s">
        <v>1785</v>
      </c>
      <c r="C191" s="1477" t="s">
        <v>928</v>
      </c>
      <c r="D191" s="1477" t="s">
        <v>1786</v>
      </c>
      <c r="E191" s="1479">
        <v>43686</v>
      </c>
      <c r="F191" s="1479">
        <v>43822</v>
      </c>
      <c r="G191" s="1380">
        <f>SUM(G192:G193)</f>
        <v>22.05</v>
      </c>
      <c r="H191" s="1380">
        <f>SUM(H192:H193)</f>
        <v>22.05</v>
      </c>
      <c r="I191" s="563"/>
      <c r="J191" s="563"/>
      <c r="K191" s="1390">
        <v>43822</v>
      </c>
      <c r="L191" s="1391"/>
      <c r="M191" s="1391"/>
      <c r="N191" s="1391"/>
      <c r="O191" s="1402"/>
      <c r="P191" s="1523"/>
      <c r="Q191" s="1524"/>
      <c r="R191" s="1524"/>
      <c r="S191" s="1524"/>
      <c r="T191" s="1524">
        <f t="shared" si="28"/>
        <v>0</v>
      </c>
      <c r="U191" s="1525"/>
      <c r="V191" s="1525"/>
      <c r="W191" s="1392"/>
      <c r="X191" s="1392"/>
      <c r="Y191" s="1392"/>
      <c r="Z191" s="1392"/>
      <c r="AA191" s="1392"/>
      <c r="AB191" s="1392"/>
      <c r="AC191" s="1526"/>
      <c r="AD191" s="1526"/>
      <c r="AE191" s="1526"/>
      <c r="AF191" s="1526"/>
      <c r="AG191" s="1526"/>
      <c r="AH191" s="1526"/>
      <c r="AI191" s="1526"/>
      <c r="AJ191" s="1523"/>
      <c r="AK191" s="1523"/>
      <c r="AL191" s="1523"/>
      <c r="AM191" s="1523"/>
      <c r="AN191" s="1523">
        <f t="shared" si="29"/>
        <v>0</v>
      </c>
      <c r="AO191" s="1527"/>
      <c r="AP191" s="1527"/>
      <c r="AQ191" s="1527"/>
      <c r="AR191" s="1527"/>
      <c r="AS191" s="1527"/>
      <c r="AT191" s="1527"/>
      <c r="AU191" s="1527"/>
      <c r="AV191" s="1527"/>
      <c r="AW191" s="1527"/>
      <c r="AX191" s="563"/>
      <c r="AY191" s="1393"/>
    </row>
    <row r="192" spans="1:51" s="1530" customFormat="1" ht="31" outlineLevel="1" x14ac:dyDescent="0.25">
      <c r="A192" s="1482">
        <v>35.1</v>
      </c>
      <c r="B192" s="1483" t="s">
        <v>1785</v>
      </c>
      <c r="C192" s="1531" t="s">
        <v>936</v>
      </c>
      <c r="D192" s="1482" t="str">
        <f>D191</f>
        <v>MERC/CAPEX/2019-2020/1214</v>
      </c>
      <c r="E192" s="1532">
        <f>E191</f>
        <v>43686</v>
      </c>
      <c r="F192" s="1390">
        <f>IF(F191=0,"-",F191)</f>
        <v>43822</v>
      </c>
      <c r="G192" s="565">
        <v>21.66</v>
      </c>
      <c r="H192" s="565">
        <v>21.66</v>
      </c>
      <c r="I192" s="563"/>
      <c r="J192" s="563"/>
      <c r="K192" s="1390">
        <v>43822</v>
      </c>
      <c r="L192" s="1391"/>
      <c r="M192" s="1391"/>
      <c r="N192" s="1391"/>
      <c r="O192" s="1402"/>
      <c r="P192" s="1533"/>
      <c r="Q192" s="1533">
        <v>0</v>
      </c>
      <c r="R192" s="1533">
        <v>0</v>
      </c>
      <c r="S192" s="1533">
        <v>22.854784800000001</v>
      </c>
      <c r="T192" s="1533">
        <f t="shared" si="28"/>
        <v>22.854784800000001</v>
      </c>
      <c r="U192" s="1533">
        <v>0</v>
      </c>
      <c r="V192" s="1533">
        <v>0</v>
      </c>
      <c r="W192" s="1533">
        <v>0</v>
      </c>
      <c r="X192" s="1533"/>
      <c r="Y192" s="1533"/>
      <c r="Z192" s="1533"/>
      <c r="AA192" s="1533"/>
      <c r="AB192" s="1533"/>
      <c r="AC192" s="1526"/>
      <c r="AD192" s="1526"/>
      <c r="AE192" s="1526"/>
      <c r="AF192" s="1526"/>
      <c r="AG192" s="1526"/>
      <c r="AH192" s="1526"/>
      <c r="AI192" s="1526"/>
      <c r="AJ192" s="1533"/>
      <c r="AK192" s="1533">
        <v>0</v>
      </c>
      <c r="AL192" s="1533">
        <v>0</v>
      </c>
      <c r="AM192" s="1533">
        <v>22.854784800000001</v>
      </c>
      <c r="AN192" s="1523">
        <f t="shared" si="29"/>
        <v>22.854784800000001</v>
      </c>
      <c r="AO192" s="1533">
        <v>0</v>
      </c>
      <c r="AP192" s="1533">
        <v>0</v>
      </c>
      <c r="AQ192" s="1533">
        <v>0</v>
      </c>
      <c r="AR192" s="1533"/>
      <c r="AS192" s="1533"/>
      <c r="AT192" s="1533"/>
      <c r="AU192" s="1533"/>
      <c r="AV192" s="1533"/>
      <c r="AW192" s="1533"/>
      <c r="AX192" s="563"/>
      <c r="AY192" s="1534" t="s">
        <v>940</v>
      </c>
    </row>
    <row r="193" spans="1:61" ht="15.5" outlineLevel="1" x14ac:dyDescent="0.25">
      <c r="A193" s="1482"/>
      <c r="B193" s="1483" t="s">
        <v>414</v>
      </c>
      <c r="C193" s="1531" t="s">
        <v>414</v>
      </c>
      <c r="D193" s="1482" t="str">
        <f>D192</f>
        <v>MERC/CAPEX/2019-2020/1214</v>
      </c>
      <c r="E193" s="1532">
        <f>E192</f>
        <v>43686</v>
      </c>
      <c r="F193" s="1390">
        <f>IF(F192=0,"-",F192)</f>
        <v>43822</v>
      </c>
      <c r="G193" s="565">
        <v>0.39</v>
      </c>
      <c r="H193" s="565">
        <v>0.39</v>
      </c>
      <c r="I193" s="161"/>
      <c r="J193" s="161"/>
      <c r="K193" s="1413">
        <v>43822</v>
      </c>
      <c r="L193" s="1414"/>
      <c r="M193" s="1414"/>
      <c r="N193" s="1414"/>
      <c r="O193" s="1551"/>
      <c r="P193" s="1533"/>
      <c r="Q193" s="1533">
        <v>0</v>
      </c>
      <c r="R193" s="1533">
        <v>0</v>
      </c>
      <c r="S193" s="1533">
        <v>0</v>
      </c>
      <c r="T193" s="1533">
        <f t="shared" si="28"/>
        <v>0</v>
      </c>
      <c r="U193" s="320">
        <v>0</v>
      </c>
      <c r="V193" s="320">
        <v>0</v>
      </c>
      <c r="W193" s="320">
        <v>0</v>
      </c>
      <c r="X193" s="320"/>
      <c r="Y193" s="320"/>
      <c r="Z193" s="320"/>
      <c r="AA193" s="320"/>
      <c r="AB193" s="320"/>
      <c r="AC193" s="1522"/>
      <c r="AD193" s="1522"/>
      <c r="AE193" s="1522"/>
      <c r="AF193" s="1522"/>
      <c r="AG193" s="1522"/>
      <c r="AH193" s="1522"/>
      <c r="AI193" s="1522"/>
      <c r="AJ193" s="1533"/>
      <c r="AK193" s="1533">
        <v>0</v>
      </c>
      <c r="AL193" s="1533">
        <v>0</v>
      </c>
      <c r="AM193" s="1533">
        <v>0</v>
      </c>
      <c r="AN193" s="1523">
        <f t="shared" si="29"/>
        <v>0</v>
      </c>
      <c r="AO193" s="320">
        <v>0</v>
      </c>
      <c r="AP193" s="320">
        <v>0</v>
      </c>
      <c r="AQ193" s="320">
        <v>0</v>
      </c>
      <c r="AR193" s="320"/>
      <c r="AS193" s="320"/>
      <c r="AT193" s="320"/>
      <c r="AU193" s="320"/>
      <c r="AV193" s="320"/>
      <c r="AW193" s="320"/>
      <c r="AX193" s="161"/>
      <c r="AY193" s="1540"/>
    </row>
    <row r="194" spans="1:61" ht="46.5" outlineLevel="1" x14ac:dyDescent="0.25">
      <c r="A194" s="1486">
        <v>36</v>
      </c>
      <c r="B194" s="1491" t="s">
        <v>1787</v>
      </c>
      <c r="C194" s="1486" t="s">
        <v>928</v>
      </c>
      <c r="D194" s="1486" t="s">
        <v>1788</v>
      </c>
      <c r="E194" s="1487">
        <v>43752</v>
      </c>
      <c r="F194" s="1487">
        <v>44104</v>
      </c>
      <c r="G194" s="1383">
        <f>SUM(G195:G196)</f>
        <v>18.559999999999999</v>
      </c>
      <c r="H194" s="1383">
        <f>SUM(H195:H196)</f>
        <v>18.559999999999999</v>
      </c>
      <c r="I194" s="161"/>
      <c r="J194" s="161"/>
      <c r="K194" s="1413">
        <v>44104</v>
      </c>
      <c r="L194" s="1414"/>
      <c r="M194" s="1414"/>
      <c r="N194" s="1414"/>
      <c r="O194" s="1551"/>
      <c r="P194" s="1523"/>
      <c r="Q194" s="1524"/>
      <c r="R194" s="1524"/>
      <c r="S194" s="1524"/>
      <c r="T194" s="1524">
        <f t="shared" si="28"/>
        <v>0</v>
      </c>
      <c r="U194" s="1552"/>
      <c r="V194" s="1552"/>
      <c r="W194" s="1401"/>
      <c r="X194" s="1401"/>
      <c r="Y194" s="1401"/>
      <c r="Z194" s="1401"/>
      <c r="AA194" s="1401"/>
      <c r="AB194" s="1401"/>
      <c r="AC194" s="1522"/>
      <c r="AD194" s="1522"/>
      <c r="AE194" s="1522"/>
      <c r="AF194" s="1522"/>
      <c r="AG194" s="1522"/>
      <c r="AH194" s="1522"/>
      <c r="AI194" s="1522"/>
      <c r="AJ194" s="1523"/>
      <c r="AK194" s="1523"/>
      <c r="AL194" s="1523"/>
      <c r="AM194" s="1523"/>
      <c r="AN194" s="1523">
        <f t="shared" si="29"/>
        <v>0</v>
      </c>
      <c r="AO194" s="1553"/>
      <c r="AP194" s="1553"/>
      <c r="AQ194" s="1553"/>
      <c r="AR194" s="1553"/>
      <c r="AS194" s="1553"/>
      <c r="AT194" s="1553"/>
      <c r="AU194" s="1553"/>
      <c r="AV194" s="1553"/>
      <c r="AW194" s="1553"/>
      <c r="AX194" s="161"/>
      <c r="AY194" s="1636"/>
    </row>
    <row r="195" spans="1:61" ht="46.5" outlineLevel="1" x14ac:dyDescent="0.25">
      <c r="A195" s="1488">
        <v>36.1</v>
      </c>
      <c r="B195" s="1492" t="s">
        <v>1789</v>
      </c>
      <c r="C195" s="1554" t="s">
        <v>936</v>
      </c>
      <c r="D195" s="1488" t="str">
        <f>D194</f>
        <v>MERC/CAPEX/2020-2021/WFH/SBR/32</v>
      </c>
      <c r="E195" s="1495">
        <f>E194</f>
        <v>43752</v>
      </c>
      <c r="F195" s="1413">
        <f>IF(F194=0,"-",F194)</f>
        <v>44104</v>
      </c>
      <c r="G195" s="560">
        <v>18.32</v>
      </c>
      <c r="H195" s="560">
        <v>18.32</v>
      </c>
      <c r="I195" s="161"/>
      <c r="J195" s="161"/>
      <c r="K195" s="1413">
        <v>44104</v>
      </c>
      <c r="L195" s="1414"/>
      <c r="M195" s="1414"/>
      <c r="N195" s="1414"/>
      <c r="O195" s="1551"/>
      <c r="P195" s="1533"/>
      <c r="Q195" s="1533">
        <v>0</v>
      </c>
      <c r="R195" s="1533">
        <v>0</v>
      </c>
      <c r="S195" s="1533">
        <v>8.8347990999999997</v>
      </c>
      <c r="T195" s="1533">
        <f t="shared" si="28"/>
        <v>8.8347990999999997</v>
      </c>
      <c r="U195" s="1537">
        <v>7.3896264720000016</v>
      </c>
      <c r="V195" s="1537">
        <v>0.54561590000000004</v>
      </c>
      <c r="W195" s="1550">
        <v>1.5499585279999977</v>
      </c>
      <c r="X195" s="320"/>
      <c r="Y195" s="320"/>
      <c r="Z195" s="320"/>
      <c r="AA195" s="320"/>
      <c r="AB195" s="320"/>
      <c r="AC195" s="1538"/>
      <c r="AD195" s="1538"/>
      <c r="AE195" s="1538"/>
      <c r="AF195" s="1538"/>
      <c r="AG195" s="1522"/>
      <c r="AH195" s="1522"/>
      <c r="AI195" s="1522"/>
      <c r="AJ195" s="1533"/>
      <c r="AK195" s="1533"/>
      <c r="AL195" s="1533"/>
      <c r="AM195" s="1533">
        <v>8.8347990999999997</v>
      </c>
      <c r="AN195" s="1523">
        <f t="shared" si="29"/>
        <v>8.8347990999999997</v>
      </c>
      <c r="AO195" s="1537">
        <v>7.3896264719999998</v>
      </c>
      <c r="AP195" s="320"/>
      <c r="AQ195" s="1550">
        <v>1.0955744279999977</v>
      </c>
      <c r="AR195" s="1550">
        <v>1</v>
      </c>
      <c r="AS195" s="320"/>
      <c r="AT195" s="320"/>
      <c r="AU195" s="320"/>
      <c r="AV195" s="320"/>
      <c r="AW195" s="320">
        <v>-3.5476394999999998</v>
      </c>
      <c r="AX195" s="161"/>
      <c r="AY195" s="1540" t="s">
        <v>938</v>
      </c>
    </row>
    <row r="196" spans="1:61" ht="31" outlineLevel="1" x14ac:dyDescent="0.25">
      <c r="A196" s="1482"/>
      <c r="B196" s="1483" t="s">
        <v>414</v>
      </c>
      <c r="C196" s="1531" t="s">
        <v>414</v>
      </c>
      <c r="D196" s="1482" t="str">
        <f>D195</f>
        <v>MERC/CAPEX/2020-2021/WFH/SBR/32</v>
      </c>
      <c r="E196" s="1532">
        <f>E195</f>
        <v>43752</v>
      </c>
      <c r="F196" s="1390">
        <f>IF(F195=0,"-",F195)</f>
        <v>44104</v>
      </c>
      <c r="G196" s="565">
        <v>0.24</v>
      </c>
      <c r="H196" s="565">
        <v>0.24</v>
      </c>
      <c r="I196" s="161"/>
      <c r="J196" s="161"/>
      <c r="K196" s="1413">
        <v>44104</v>
      </c>
      <c r="L196" s="1414"/>
      <c r="M196" s="1414"/>
      <c r="N196" s="1414"/>
      <c r="O196" s="1551"/>
      <c r="P196" s="1533"/>
      <c r="Q196" s="1533">
        <v>0</v>
      </c>
      <c r="R196" s="1533">
        <v>0</v>
      </c>
      <c r="S196" s="1533">
        <v>0</v>
      </c>
      <c r="T196" s="1533">
        <f t="shared" si="28"/>
        <v>0</v>
      </c>
      <c r="U196" s="320">
        <v>0</v>
      </c>
      <c r="V196" s="320">
        <v>0</v>
      </c>
      <c r="W196" s="320">
        <v>0</v>
      </c>
      <c r="X196" s="320"/>
      <c r="Y196" s="320"/>
      <c r="Z196" s="320"/>
      <c r="AA196" s="320"/>
      <c r="AB196" s="320"/>
      <c r="AC196" s="1538"/>
      <c r="AD196" s="1538"/>
      <c r="AE196" s="1538"/>
      <c r="AF196" s="1538"/>
      <c r="AG196" s="1522"/>
      <c r="AH196" s="1522"/>
      <c r="AI196" s="1522"/>
      <c r="AJ196" s="1533"/>
      <c r="AK196" s="1533"/>
      <c r="AL196" s="1533"/>
      <c r="AM196" s="1533">
        <v>0</v>
      </c>
      <c r="AN196" s="1523">
        <f t="shared" si="29"/>
        <v>0</v>
      </c>
      <c r="AO196" s="320">
        <v>0</v>
      </c>
      <c r="AP196" s="320">
        <v>0</v>
      </c>
      <c r="AQ196" s="320">
        <v>0</v>
      </c>
      <c r="AR196" s="320"/>
      <c r="AS196" s="320"/>
      <c r="AT196" s="320"/>
      <c r="AU196" s="320"/>
      <c r="AV196" s="320"/>
      <c r="AW196" s="320"/>
      <c r="AX196" s="161"/>
      <c r="AY196" s="1540"/>
    </row>
    <row r="197" spans="1:61" ht="46.5" outlineLevel="1" x14ac:dyDescent="0.25">
      <c r="A197" s="1486">
        <v>37</v>
      </c>
      <c r="B197" s="1491" t="s">
        <v>1790</v>
      </c>
      <c r="C197" s="1486" t="s">
        <v>928</v>
      </c>
      <c r="D197" s="1486" t="s">
        <v>1791</v>
      </c>
      <c r="E197" s="1487">
        <v>43808</v>
      </c>
      <c r="F197" s="1487">
        <v>44179</v>
      </c>
      <c r="G197" s="1383">
        <f>SUM(G198:G199)</f>
        <v>656.25</v>
      </c>
      <c r="H197" s="1383">
        <f>SUM(H198:H199)</f>
        <v>656.25</v>
      </c>
      <c r="I197" s="161"/>
      <c r="J197" s="161"/>
      <c r="K197" s="1413">
        <v>44179</v>
      </c>
      <c r="L197" s="1414"/>
      <c r="M197" s="1414"/>
      <c r="N197" s="1414"/>
      <c r="O197" s="1551"/>
      <c r="P197" s="1523"/>
      <c r="Q197" s="1524"/>
      <c r="R197" s="1524"/>
      <c r="S197" s="1524"/>
      <c r="T197" s="1524">
        <f t="shared" si="28"/>
        <v>0</v>
      </c>
      <c r="U197" s="1552"/>
      <c r="V197" s="1552"/>
      <c r="W197" s="1401"/>
      <c r="X197" s="1401"/>
      <c r="Y197" s="1401"/>
      <c r="Z197" s="1401"/>
      <c r="AA197" s="1401"/>
      <c r="AB197" s="1401"/>
      <c r="AC197" s="1538"/>
      <c r="AD197" s="1538"/>
      <c r="AE197" s="1538"/>
      <c r="AF197" s="1538"/>
      <c r="AG197" s="1522"/>
      <c r="AH197" s="1522"/>
      <c r="AI197" s="1522"/>
      <c r="AJ197" s="1523"/>
      <c r="AK197" s="1523"/>
      <c r="AL197" s="1523"/>
      <c r="AM197" s="1523"/>
      <c r="AN197" s="1523">
        <f t="shared" si="29"/>
        <v>0</v>
      </c>
      <c r="AO197" s="1553"/>
      <c r="AP197" s="1553"/>
      <c r="AQ197" s="1553"/>
      <c r="AR197" s="1553"/>
      <c r="AS197" s="1553"/>
      <c r="AT197" s="1553"/>
      <c r="AU197" s="1553"/>
      <c r="AV197" s="1553"/>
      <c r="AW197" s="1553"/>
      <c r="AX197" s="161"/>
      <c r="AY197" s="1636"/>
    </row>
    <row r="198" spans="1:61" ht="46.5" outlineLevel="1" x14ac:dyDescent="0.25">
      <c r="A198" s="1488">
        <v>37.1</v>
      </c>
      <c r="B198" s="1492" t="s">
        <v>1790</v>
      </c>
      <c r="C198" s="1554" t="s">
        <v>936</v>
      </c>
      <c r="D198" s="1488" t="str">
        <f>D197</f>
        <v>MERC/CAPEX/2020-2021/WFH/SBR/43</v>
      </c>
      <c r="E198" s="1495">
        <f>E197</f>
        <v>43808</v>
      </c>
      <c r="F198" s="1413">
        <f>IF(F197=0,"-",F197)</f>
        <v>44179</v>
      </c>
      <c r="G198" s="560">
        <v>602.58000000000004</v>
      </c>
      <c r="H198" s="560">
        <v>602.58000000000004</v>
      </c>
      <c r="I198" s="161"/>
      <c r="J198" s="161"/>
      <c r="K198" s="1413">
        <v>44179</v>
      </c>
      <c r="L198" s="1414"/>
      <c r="M198" s="1414"/>
      <c r="N198" s="1414"/>
      <c r="O198" s="1551"/>
      <c r="P198" s="1533"/>
      <c r="Q198" s="1533">
        <v>0</v>
      </c>
      <c r="R198" s="1533">
        <v>0</v>
      </c>
      <c r="S198" s="1533">
        <v>0</v>
      </c>
      <c r="T198" s="1533">
        <f t="shared" si="28"/>
        <v>0</v>
      </c>
      <c r="U198" s="320"/>
      <c r="V198" s="320"/>
      <c r="W198" s="320">
        <v>179.49</v>
      </c>
      <c r="X198" s="320">
        <v>658.11</v>
      </c>
      <c r="Y198" s="1550">
        <v>358.97</v>
      </c>
      <c r="Z198" s="320"/>
      <c r="AA198" s="320"/>
      <c r="AB198" s="320"/>
      <c r="AC198" s="1538"/>
      <c r="AD198" s="1538"/>
      <c r="AE198" s="1538"/>
      <c r="AF198" s="1538"/>
      <c r="AG198" s="1522"/>
      <c r="AH198" s="1522"/>
      <c r="AI198" s="1522"/>
      <c r="AJ198" s="1533"/>
      <c r="AK198" s="1533">
        <v>0</v>
      </c>
      <c r="AL198" s="1533">
        <v>0</v>
      </c>
      <c r="AM198" s="1533">
        <v>0</v>
      </c>
      <c r="AN198" s="1523">
        <f t="shared" si="29"/>
        <v>0</v>
      </c>
      <c r="AO198" s="320">
        <v>0</v>
      </c>
      <c r="AP198" s="320">
        <v>0</v>
      </c>
      <c r="AQ198" s="320"/>
      <c r="AR198" s="320"/>
      <c r="AS198" s="1550"/>
      <c r="AT198" s="320">
        <v>1196.57</v>
      </c>
      <c r="AU198" s="320"/>
      <c r="AV198" s="320"/>
      <c r="AW198" s="320"/>
      <c r="AX198" s="161"/>
      <c r="AY198" s="1540" t="s">
        <v>943</v>
      </c>
    </row>
    <row r="199" spans="1:61" ht="31" outlineLevel="1" x14ac:dyDescent="0.25">
      <c r="A199" s="1488"/>
      <c r="B199" s="1492" t="s">
        <v>414</v>
      </c>
      <c r="C199" s="1554" t="s">
        <v>414</v>
      </c>
      <c r="D199" s="1488" t="str">
        <f>D198</f>
        <v>MERC/CAPEX/2020-2021/WFH/SBR/43</v>
      </c>
      <c r="E199" s="1495">
        <f>E198</f>
        <v>43808</v>
      </c>
      <c r="F199" s="1413">
        <f>IF(F198=0,"-",F198)</f>
        <v>44179</v>
      </c>
      <c r="G199" s="560">
        <f>52.24+1.43</f>
        <v>53.67</v>
      </c>
      <c r="H199" s="560">
        <f>52.24+1.43</f>
        <v>53.67</v>
      </c>
      <c r="I199" s="161"/>
      <c r="J199" s="161"/>
      <c r="K199" s="1413">
        <v>44179</v>
      </c>
      <c r="L199" s="1414"/>
      <c r="M199" s="1414"/>
      <c r="N199" s="1414"/>
      <c r="O199" s="1551"/>
      <c r="P199" s="320"/>
      <c r="Q199" s="320">
        <v>0</v>
      </c>
      <c r="R199" s="320">
        <v>0</v>
      </c>
      <c r="S199" s="320">
        <v>0</v>
      </c>
      <c r="T199" s="320">
        <f t="shared" si="28"/>
        <v>0</v>
      </c>
      <c r="U199" s="320">
        <v>0</v>
      </c>
      <c r="V199" s="320">
        <v>0</v>
      </c>
      <c r="W199" s="320">
        <v>0</v>
      </c>
      <c r="X199" s="320"/>
      <c r="Y199" s="320"/>
      <c r="Z199" s="320"/>
      <c r="AA199" s="320"/>
      <c r="AB199" s="320"/>
      <c r="AC199" s="1538"/>
      <c r="AD199" s="1538"/>
      <c r="AE199" s="1538"/>
      <c r="AF199" s="1538"/>
      <c r="AG199" s="1522"/>
      <c r="AH199" s="1522"/>
      <c r="AI199" s="1522"/>
      <c r="AJ199" s="320"/>
      <c r="AK199" s="320">
        <v>0</v>
      </c>
      <c r="AL199" s="320">
        <v>0</v>
      </c>
      <c r="AM199" s="320">
        <v>0</v>
      </c>
      <c r="AN199" s="1523">
        <f t="shared" si="29"/>
        <v>0</v>
      </c>
      <c r="AO199" s="320">
        <v>0</v>
      </c>
      <c r="AP199" s="320">
        <v>0</v>
      </c>
      <c r="AQ199" s="320">
        <v>0</v>
      </c>
      <c r="AR199" s="320"/>
      <c r="AS199" s="320"/>
      <c r="AT199" s="320"/>
      <c r="AU199" s="320"/>
      <c r="AV199" s="320"/>
      <c r="AW199" s="320"/>
      <c r="AX199" s="161"/>
      <c r="AY199" s="1540"/>
    </row>
    <row r="200" spans="1:61" ht="31" outlineLevel="1" x14ac:dyDescent="0.25">
      <c r="A200" s="1486">
        <v>38</v>
      </c>
      <c r="B200" s="1491" t="s">
        <v>1792</v>
      </c>
      <c r="C200" s="1486" t="s">
        <v>928</v>
      </c>
      <c r="D200" s="1486" t="s">
        <v>1793</v>
      </c>
      <c r="E200" s="1487"/>
      <c r="F200" s="1487">
        <v>42033</v>
      </c>
      <c r="G200" s="1403">
        <v>10</v>
      </c>
      <c r="H200" s="1403">
        <v>10</v>
      </c>
      <c r="I200" s="161"/>
      <c r="J200" s="161"/>
      <c r="K200" s="1558">
        <v>42033</v>
      </c>
      <c r="L200" s="1414"/>
      <c r="M200" s="1414"/>
      <c r="N200" s="1414"/>
      <c r="O200" s="1551"/>
      <c r="P200" s="1510"/>
      <c r="Q200" s="1510"/>
      <c r="R200" s="1510"/>
      <c r="S200" s="1510"/>
      <c r="T200" s="1510">
        <f t="shared" ref="T200:T263" si="38">SUM(P200:S200)</f>
        <v>0</v>
      </c>
      <c r="U200" s="1553"/>
      <c r="V200" s="1553"/>
      <c r="W200" s="1553"/>
      <c r="X200" s="1553"/>
      <c r="Y200" s="1553"/>
      <c r="Z200" s="1553"/>
      <c r="AA200" s="1553"/>
      <c r="AB200" s="1553"/>
      <c r="AC200" s="1544"/>
      <c r="AD200" s="1544"/>
      <c r="AE200" s="1544"/>
      <c r="AF200" s="1538"/>
      <c r="AG200" s="1522"/>
      <c r="AH200" s="1522"/>
      <c r="AI200" s="1522"/>
      <c r="AJ200" s="1522"/>
      <c r="AK200" s="1522"/>
      <c r="AL200" s="1522"/>
      <c r="AM200" s="1510"/>
      <c r="AN200" s="1523">
        <f t="shared" ref="AN200:AN263" si="39">SUM(AJ200:AM200)</f>
        <v>0</v>
      </c>
      <c r="AO200" s="1559"/>
      <c r="AP200" s="1553"/>
      <c r="AQ200" s="1553"/>
      <c r="AR200" s="1553"/>
      <c r="AS200" s="1553"/>
      <c r="AT200" s="1553"/>
      <c r="AU200" s="1553"/>
      <c r="AV200" s="1553"/>
      <c r="AW200" s="1553"/>
      <c r="AX200" s="161"/>
      <c r="AY200" s="1540"/>
      <c r="AZ200" s="1510"/>
      <c r="BA200" s="1510"/>
      <c r="BB200" s="161"/>
      <c r="BC200" s="1540"/>
      <c r="BD200" s="1404"/>
      <c r="BE200" s="1560"/>
      <c r="BF200" s="1560"/>
      <c r="BG200" s="1560"/>
      <c r="BH200" s="1560"/>
      <c r="BI200" s="1560"/>
    </row>
    <row r="201" spans="1:61" ht="31" outlineLevel="1" x14ac:dyDescent="0.3">
      <c r="A201" s="1488"/>
      <c r="B201" s="1492" t="s">
        <v>1794</v>
      </c>
      <c r="C201" s="1493" t="s">
        <v>936</v>
      </c>
      <c r="D201" s="1493" t="s">
        <v>1793</v>
      </c>
      <c r="E201" s="1494"/>
      <c r="F201" s="1494">
        <v>42033</v>
      </c>
      <c r="G201" s="1405">
        <v>9.4</v>
      </c>
      <c r="H201" s="1405">
        <v>9.4</v>
      </c>
      <c r="I201" s="9"/>
      <c r="J201" s="9"/>
      <c r="K201" s="1494">
        <v>42033</v>
      </c>
      <c r="L201" s="1413"/>
      <c r="M201" s="1413"/>
      <c r="N201" s="1561"/>
      <c r="O201" s="995"/>
      <c r="P201" s="444"/>
      <c r="Q201" s="444"/>
      <c r="R201" s="444"/>
      <c r="S201" s="444"/>
      <c r="T201" s="444">
        <f t="shared" si="38"/>
        <v>0</v>
      </c>
      <c r="U201" s="444"/>
      <c r="V201" s="1537">
        <v>9.3998608000000008</v>
      </c>
      <c r="W201" s="444"/>
      <c r="X201" s="444"/>
      <c r="Y201" s="444"/>
      <c r="Z201" s="444"/>
      <c r="AA201" s="444"/>
      <c r="AB201" s="444"/>
      <c r="AC201" s="460"/>
      <c r="AD201" s="460"/>
      <c r="AE201" s="460"/>
      <c r="AF201" s="1562"/>
      <c r="AG201" s="1563"/>
      <c r="AH201" s="1563"/>
      <c r="AI201" s="1563"/>
      <c r="AJ201" s="1563"/>
      <c r="AK201" s="1563"/>
      <c r="AL201" s="1563"/>
      <c r="AM201" s="444"/>
      <c r="AN201" s="1523">
        <f t="shared" si="39"/>
        <v>0</v>
      </c>
      <c r="AO201" s="1564"/>
      <c r="AP201" s="1565">
        <v>9.3998608000000008</v>
      </c>
      <c r="AQ201" s="444"/>
      <c r="AR201" s="444"/>
      <c r="AS201" s="444"/>
      <c r="AT201" s="444"/>
      <c r="AU201" s="444"/>
      <c r="AV201" s="444"/>
      <c r="AW201" s="444"/>
      <c r="AX201" s="1406"/>
      <c r="AY201" s="1540" t="s">
        <v>940</v>
      </c>
      <c r="AZ201" s="444"/>
      <c r="BA201" s="444"/>
      <c r="BB201" s="1406"/>
      <c r="BC201" s="1540" t="s">
        <v>940</v>
      </c>
      <c r="BD201" s="1404">
        <f>SUM(P201:Y201)</f>
        <v>9.3998608000000008</v>
      </c>
      <c r="BE201" s="1560">
        <f>SUM(AM201:AY201)</f>
        <v>9.3998608000000008</v>
      </c>
      <c r="BF201" s="1560"/>
      <c r="BG201" s="1560">
        <f>BD201-BE201</f>
        <v>0</v>
      </c>
      <c r="BH201" s="1560">
        <f>IF(C201="Scheme",IF(SUM(AM201:AY201)&gt;0,IF(H201&lt;BE201,H201-BE201,0),0),0)</f>
        <v>0</v>
      </c>
      <c r="BI201" s="1560">
        <f>IF(C201="scheme",H201-SUM(AM201:AY201),0)</f>
        <v>1.391999999995619E-4</v>
      </c>
    </row>
    <row r="202" spans="1:61" ht="31" outlineLevel="1" x14ac:dyDescent="0.3">
      <c r="A202" s="1488"/>
      <c r="B202" s="1492" t="s">
        <v>414</v>
      </c>
      <c r="C202" s="1493" t="s">
        <v>414</v>
      </c>
      <c r="D202" s="1493" t="s">
        <v>1793</v>
      </c>
      <c r="E202" s="1494"/>
      <c r="F202" s="1494">
        <v>42033</v>
      </c>
      <c r="G202" s="1405">
        <v>0.6</v>
      </c>
      <c r="H202" s="1405">
        <v>0.6</v>
      </c>
      <c r="I202" s="9"/>
      <c r="J202" s="9"/>
      <c r="K202" s="1494">
        <v>42033</v>
      </c>
      <c r="L202" s="1413"/>
      <c r="M202" s="1413"/>
      <c r="N202" s="1561"/>
      <c r="O202" s="995"/>
      <c r="P202" s="444"/>
      <c r="Q202" s="444"/>
      <c r="R202" s="444"/>
      <c r="S202" s="444"/>
      <c r="T202" s="444">
        <f t="shared" si="38"/>
        <v>0</v>
      </c>
      <c r="U202" s="444"/>
      <c r="V202" s="1141"/>
      <c r="W202" s="444"/>
      <c r="X202" s="444"/>
      <c r="Y202" s="444"/>
      <c r="Z202" s="444"/>
      <c r="AA202" s="444"/>
      <c r="AB202" s="444"/>
      <c r="AC202" s="460"/>
      <c r="AD202" s="460"/>
      <c r="AE202" s="460"/>
      <c r="AF202" s="1562"/>
      <c r="AG202" s="1563"/>
      <c r="AH202" s="1563"/>
      <c r="AI202" s="1563"/>
      <c r="AJ202" s="1563"/>
      <c r="AK202" s="1563"/>
      <c r="AL202" s="1563"/>
      <c r="AM202" s="444"/>
      <c r="AN202" s="1523">
        <f t="shared" si="39"/>
        <v>0</v>
      </c>
      <c r="AO202" s="1564"/>
      <c r="AP202" s="1141"/>
      <c r="AQ202" s="444"/>
      <c r="AR202" s="444"/>
      <c r="AS202" s="444"/>
      <c r="AT202" s="444"/>
      <c r="AU202" s="444"/>
      <c r="AV202" s="444"/>
      <c r="AW202" s="444"/>
      <c r="AX202" s="1406"/>
      <c r="AY202" s="1540"/>
      <c r="AZ202" s="444"/>
      <c r="BA202" s="444"/>
      <c r="BB202" s="1406"/>
      <c r="BC202" s="1540"/>
      <c r="BD202" s="1404">
        <f>SUM(P202:Y202)</f>
        <v>0</v>
      </c>
      <c r="BE202" s="1560">
        <f>SUM(AM202:AY202)</f>
        <v>0</v>
      </c>
      <c r="BF202" s="1560"/>
      <c r="BG202" s="1560">
        <f>BD202-BE202</f>
        <v>0</v>
      </c>
      <c r="BH202" s="1560">
        <f>IF(C202="Scheme",IF(SUM(AM202:AY202)&gt;0,IF(H202&lt;BE202,H202-BE202,0),0),0)</f>
        <v>0</v>
      </c>
      <c r="BI202" s="1560">
        <f>IF(C202="scheme",H202-SUM(AM202:AY202),0)</f>
        <v>0</v>
      </c>
    </row>
    <row r="203" spans="1:61" ht="46.5" outlineLevel="1" x14ac:dyDescent="0.25">
      <c r="A203" s="1486">
        <v>39</v>
      </c>
      <c r="B203" s="1491" t="s">
        <v>1795</v>
      </c>
      <c r="C203" s="1486" t="s">
        <v>928</v>
      </c>
      <c r="D203" s="1486" t="s">
        <v>1796</v>
      </c>
      <c r="E203" s="1487">
        <v>43892</v>
      </c>
      <c r="F203" s="1487">
        <v>44335</v>
      </c>
      <c r="G203" s="1383">
        <f>SUM(G204:G205)</f>
        <v>21.53</v>
      </c>
      <c r="H203" s="1383">
        <f>SUM(H204:H205)</f>
        <v>21.53</v>
      </c>
      <c r="I203" s="161"/>
      <c r="J203" s="161"/>
      <c r="K203" s="1413">
        <v>44335</v>
      </c>
      <c r="L203" s="1414"/>
      <c r="M203" s="1414"/>
      <c r="N203" s="1414"/>
      <c r="O203" s="1551"/>
      <c r="P203" s="1523"/>
      <c r="Q203" s="1524"/>
      <c r="R203" s="1524"/>
      <c r="S203" s="1524"/>
      <c r="T203" s="1524">
        <f t="shared" si="38"/>
        <v>0</v>
      </c>
      <c r="U203" s="1552"/>
      <c r="V203" s="1552"/>
      <c r="W203" s="1401"/>
      <c r="X203" s="1401"/>
      <c r="Y203" s="1401"/>
      <c r="Z203" s="1401"/>
      <c r="AA203" s="1401"/>
      <c r="AB203" s="1401"/>
      <c r="AC203" s="1538"/>
      <c r="AD203" s="1538"/>
      <c r="AE203" s="1538"/>
      <c r="AF203" s="1538"/>
      <c r="AG203" s="1522"/>
      <c r="AH203" s="1522"/>
      <c r="AI203" s="1522"/>
      <c r="AJ203" s="1523"/>
      <c r="AK203" s="1523"/>
      <c r="AL203" s="1523"/>
      <c r="AM203" s="1523"/>
      <c r="AN203" s="1523">
        <f t="shared" si="39"/>
        <v>0</v>
      </c>
      <c r="AO203" s="1553"/>
      <c r="AP203" s="1553"/>
      <c r="AQ203" s="1553"/>
      <c r="AR203" s="1553"/>
      <c r="AS203" s="1553"/>
      <c r="AT203" s="1553"/>
      <c r="AU203" s="1553"/>
      <c r="AV203" s="1553"/>
      <c r="AW203" s="1553"/>
      <c r="AX203" s="161"/>
      <c r="AY203" s="1636"/>
    </row>
    <row r="204" spans="1:61" ht="77.5" outlineLevel="1" x14ac:dyDescent="0.25">
      <c r="A204" s="1488">
        <v>39.1</v>
      </c>
      <c r="B204" s="1492" t="s">
        <v>1797</v>
      </c>
      <c r="C204" s="1554" t="s">
        <v>936</v>
      </c>
      <c r="D204" s="1488" t="str">
        <f>D203</f>
        <v>MERC/CAPEX/2020-2021/WFH/SBR/05</v>
      </c>
      <c r="E204" s="1495">
        <f>E203</f>
        <v>43892</v>
      </c>
      <c r="F204" s="1413">
        <f>IF(F203=0,"-",F203)</f>
        <v>44335</v>
      </c>
      <c r="G204" s="560">
        <v>21.02</v>
      </c>
      <c r="H204" s="560">
        <v>21.02</v>
      </c>
      <c r="I204" s="161"/>
      <c r="J204" s="161"/>
      <c r="K204" s="1413">
        <v>44335</v>
      </c>
      <c r="L204" s="1414"/>
      <c r="M204" s="1414"/>
      <c r="N204" s="1414"/>
      <c r="O204" s="1551"/>
      <c r="P204" s="1533"/>
      <c r="Q204" s="1533">
        <v>0</v>
      </c>
      <c r="R204" s="1533">
        <v>0</v>
      </c>
      <c r="S204" s="1533">
        <v>0</v>
      </c>
      <c r="T204" s="1533">
        <f t="shared" si="38"/>
        <v>0</v>
      </c>
      <c r="U204" s="320">
        <v>0</v>
      </c>
      <c r="V204" s="1537">
        <v>9.9520900000000001</v>
      </c>
      <c r="W204" s="320">
        <v>0</v>
      </c>
      <c r="X204" s="320"/>
      <c r="Y204" s="320"/>
      <c r="Z204" s="320"/>
      <c r="AA204" s="320"/>
      <c r="AB204" s="320"/>
      <c r="AC204" s="1538"/>
      <c r="AD204" s="1538"/>
      <c r="AE204" s="1538"/>
      <c r="AF204" s="1538"/>
      <c r="AG204" s="1522"/>
      <c r="AH204" s="1522"/>
      <c r="AI204" s="1522"/>
      <c r="AJ204" s="1533"/>
      <c r="AK204" s="1533"/>
      <c r="AL204" s="1533"/>
      <c r="AM204" s="1533">
        <v>0</v>
      </c>
      <c r="AN204" s="1523">
        <f t="shared" si="39"/>
        <v>0</v>
      </c>
      <c r="AO204" s="320">
        <v>0</v>
      </c>
      <c r="AP204" s="1537">
        <v>9.9520900000000001</v>
      </c>
      <c r="AQ204" s="320">
        <v>0</v>
      </c>
      <c r="AR204" s="320"/>
      <c r="AS204" s="320"/>
      <c r="AT204" s="320"/>
      <c r="AU204" s="320"/>
      <c r="AV204" s="320"/>
      <c r="AW204" s="320"/>
      <c r="AX204" s="161"/>
      <c r="AY204" s="1540" t="s">
        <v>940</v>
      </c>
    </row>
    <row r="205" spans="1:61" ht="31" outlineLevel="1" x14ac:dyDescent="0.25">
      <c r="A205" s="1488"/>
      <c r="B205" s="1492" t="s">
        <v>414</v>
      </c>
      <c r="C205" s="1554" t="s">
        <v>414</v>
      </c>
      <c r="D205" s="1488" t="str">
        <f>D204</f>
        <v>MERC/CAPEX/2020-2021/WFH/SBR/05</v>
      </c>
      <c r="E205" s="1495">
        <f>E204</f>
        <v>43892</v>
      </c>
      <c r="F205" s="1413">
        <f>IF(F204=0,"-",F204)</f>
        <v>44335</v>
      </c>
      <c r="G205" s="560">
        <v>0.51</v>
      </c>
      <c r="H205" s="560">
        <v>0.51</v>
      </c>
      <c r="I205" s="161"/>
      <c r="J205" s="161"/>
      <c r="K205" s="1413">
        <v>44335</v>
      </c>
      <c r="L205" s="1414"/>
      <c r="M205" s="1414"/>
      <c r="N205" s="1414"/>
      <c r="O205" s="1551"/>
      <c r="P205" s="1533"/>
      <c r="Q205" s="1533">
        <v>0</v>
      </c>
      <c r="R205" s="1533">
        <v>0</v>
      </c>
      <c r="S205" s="320">
        <v>0</v>
      </c>
      <c r="T205" s="320">
        <f t="shared" si="38"/>
        <v>0</v>
      </c>
      <c r="U205" s="320">
        <v>0</v>
      </c>
      <c r="V205" s="320">
        <v>0</v>
      </c>
      <c r="W205" s="320">
        <v>0</v>
      </c>
      <c r="X205" s="320"/>
      <c r="Y205" s="320"/>
      <c r="Z205" s="320"/>
      <c r="AA205" s="320"/>
      <c r="AB205" s="320"/>
      <c r="AC205" s="1522"/>
      <c r="AD205" s="1522"/>
      <c r="AE205" s="1522"/>
      <c r="AF205" s="1522"/>
      <c r="AG205" s="1522"/>
      <c r="AH205" s="1522"/>
      <c r="AI205" s="1522"/>
      <c r="AJ205" s="1533"/>
      <c r="AK205" s="1533"/>
      <c r="AL205" s="1533"/>
      <c r="AM205" s="320">
        <v>0</v>
      </c>
      <c r="AN205" s="1523">
        <f t="shared" si="39"/>
        <v>0</v>
      </c>
      <c r="AO205" s="320">
        <v>0</v>
      </c>
      <c r="AP205" s="320">
        <v>0</v>
      </c>
      <c r="AQ205" s="320">
        <v>0</v>
      </c>
      <c r="AR205" s="320"/>
      <c r="AS205" s="320"/>
      <c r="AT205" s="320"/>
      <c r="AU205" s="320"/>
      <c r="AV205" s="320"/>
      <c r="AW205" s="320"/>
      <c r="AX205" s="161"/>
      <c r="AY205" s="1540"/>
    </row>
    <row r="206" spans="1:61" s="1530" customFormat="1" ht="46.5" outlineLevel="1" x14ac:dyDescent="0.25">
      <c r="A206" s="1477" t="s">
        <v>1798</v>
      </c>
      <c r="B206" s="1478" t="s">
        <v>1799</v>
      </c>
      <c r="C206" s="1477" t="s">
        <v>928</v>
      </c>
      <c r="D206" s="1477" t="s">
        <v>1800</v>
      </c>
      <c r="E206" s="1479">
        <v>39223</v>
      </c>
      <c r="F206" s="1479">
        <v>39232</v>
      </c>
      <c r="G206" s="1380">
        <f>SUM(G207)</f>
        <v>9.6</v>
      </c>
      <c r="H206" s="1380">
        <f>SUM(H207)</f>
        <v>9.6</v>
      </c>
      <c r="I206" s="563"/>
      <c r="J206" s="563"/>
      <c r="K206" s="1390">
        <v>39232</v>
      </c>
      <c r="L206" s="1391"/>
      <c r="M206" s="1391"/>
      <c r="N206" s="1391"/>
      <c r="O206" s="1402"/>
      <c r="P206" s="1523"/>
      <c r="Q206" s="1524"/>
      <c r="R206" s="1524"/>
      <c r="S206" s="1524"/>
      <c r="T206" s="1524">
        <f t="shared" si="38"/>
        <v>0</v>
      </c>
      <c r="U206" s="1525"/>
      <c r="V206" s="1525"/>
      <c r="W206" s="1392"/>
      <c r="X206" s="1392"/>
      <c r="Y206" s="1392"/>
      <c r="Z206" s="1392"/>
      <c r="AA206" s="1392"/>
      <c r="AB206" s="1392"/>
      <c r="AC206" s="1526"/>
      <c r="AD206" s="1526"/>
      <c r="AE206" s="1526"/>
      <c r="AF206" s="1526"/>
      <c r="AG206" s="1526"/>
      <c r="AH206" s="1526"/>
      <c r="AI206" s="1526"/>
      <c r="AJ206" s="1523"/>
      <c r="AK206" s="1523"/>
      <c r="AL206" s="1523"/>
      <c r="AM206" s="1523"/>
      <c r="AN206" s="1523">
        <f t="shared" si="39"/>
        <v>0</v>
      </c>
      <c r="AO206" s="1527"/>
      <c r="AP206" s="1527"/>
      <c r="AQ206" s="1527"/>
      <c r="AR206" s="1527"/>
      <c r="AS206" s="1527"/>
      <c r="AT206" s="1527"/>
      <c r="AU206" s="1527"/>
      <c r="AV206" s="1527"/>
      <c r="AW206" s="1527"/>
      <c r="AX206" s="563"/>
      <c r="AY206" s="1393"/>
    </row>
    <row r="207" spans="1:61" s="1530" customFormat="1" ht="46.5" outlineLevel="1" x14ac:dyDescent="0.25">
      <c r="A207" s="1482" t="s">
        <v>1801</v>
      </c>
      <c r="B207" s="1483" t="s">
        <v>1802</v>
      </c>
      <c r="C207" s="1531" t="s">
        <v>936</v>
      </c>
      <c r="D207" s="1482" t="str">
        <f>D206</f>
        <v>MERC/CAP/DPR/10/07/1149</v>
      </c>
      <c r="E207" s="1532">
        <f>E206</f>
        <v>39223</v>
      </c>
      <c r="F207" s="1390">
        <f>IF(F206=0,"-",F206)</f>
        <v>39232</v>
      </c>
      <c r="G207" s="565">
        <v>9.6</v>
      </c>
      <c r="H207" s="565">
        <v>9.6</v>
      </c>
      <c r="I207" s="563"/>
      <c r="J207" s="563"/>
      <c r="K207" s="1390">
        <v>39232</v>
      </c>
      <c r="L207" s="1391"/>
      <c r="M207" s="1391"/>
      <c r="N207" s="1391"/>
      <c r="O207" s="1402"/>
      <c r="P207" s="1533">
        <v>4.9831317769999997</v>
      </c>
      <c r="Q207" s="1542"/>
      <c r="R207" s="1542"/>
      <c r="S207" s="1542"/>
      <c r="T207" s="1542">
        <f t="shared" si="38"/>
        <v>4.9831317769999997</v>
      </c>
      <c r="U207" s="1542"/>
      <c r="V207" s="1542"/>
      <c r="W207" s="1542"/>
      <c r="X207" s="1542"/>
      <c r="Y207" s="1542"/>
      <c r="Z207" s="1542"/>
      <c r="AA207" s="1542"/>
      <c r="AB207" s="1542"/>
      <c r="AC207" s="1526">
        <v>1</v>
      </c>
      <c r="AD207" s="1526"/>
      <c r="AE207" s="1526"/>
      <c r="AF207" s="1526"/>
      <c r="AG207" s="1526"/>
      <c r="AH207" s="1526"/>
      <c r="AI207" s="1526"/>
      <c r="AJ207" s="1533">
        <v>4.9831317769999997</v>
      </c>
      <c r="AK207" s="1533"/>
      <c r="AL207" s="1533"/>
      <c r="AM207" s="1533"/>
      <c r="AN207" s="1523">
        <f t="shared" si="39"/>
        <v>4.9831317769999997</v>
      </c>
      <c r="AO207" s="1533"/>
      <c r="AP207" s="1533"/>
      <c r="AQ207" s="1533"/>
      <c r="AR207" s="1533"/>
      <c r="AS207" s="1533"/>
      <c r="AT207" s="1533"/>
      <c r="AU207" s="1533"/>
      <c r="AV207" s="1533"/>
      <c r="AW207" s="1533"/>
      <c r="AX207" s="563"/>
      <c r="AY207" s="1534" t="s">
        <v>940</v>
      </c>
    </row>
    <row r="208" spans="1:61" s="1530" customFormat="1" ht="46.5" outlineLevel="1" x14ac:dyDescent="0.25">
      <c r="A208" s="1477" t="s">
        <v>1803</v>
      </c>
      <c r="B208" s="1478" t="s">
        <v>1804</v>
      </c>
      <c r="C208" s="1477" t="s">
        <v>928</v>
      </c>
      <c r="D208" s="1477" t="s">
        <v>1805</v>
      </c>
      <c r="E208" s="1479">
        <v>41382</v>
      </c>
      <c r="F208" s="1479">
        <v>41464</v>
      </c>
      <c r="G208" s="1380">
        <f>SUM(G209:G210)</f>
        <v>10.36</v>
      </c>
      <c r="H208" s="1380">
        <f>SUM(H209:H210)</f>
        <v>10.36</v>
      </c>
      <c r="I208" s="563"/>
      <c r="J208" s="563"/>
      <c r="K208" s="1390">
        <v>41464</v>
      </c>
      <c r="L208" s="1391"/>
      <c r="M208" s="1391"/>
      <c r="N208" s="1391"/>
      <c r="O208" s="1402"/>
      <c r="P208" s="1523"/>
      <c r="Q208" s="1524"/>
      <c r="R208" s="1524"/>
      <c r="S208" s="1524"/>
      <c r="T208" s="1524">
        <f t="shared" si="38"/>
        <v>0</v>
      </c>
      <c r="U208" s="1525"/>
      <c r="V208" s="1525"/>
      <c r="W208" s="1392"/>
      <c r="X208" s="1392"/>
      <c r="Y208" s="1392"/>
      <c r="Z208" s="1392"/>
      <c r="AA208" s="1392"/>
      <c r="AB208" s="1392"/>
      <c r="AC208" s="1526"/>
      <c r="AD208" s="1526"/>
      <c r="AE208" s="1526"/>
      <c r="AF208" s="1526"/>
      <c r="AG208" s="1526"/>
      <c r="AH208" s="1526"/>
      <c r="AI208" s="1526"/>
      <c r="AJ208" s="1523"/>
      <c r="AK208" s="1523"/>
      <c r="AL208" s="1523"/>
      <c r="AM208" s="1523"/>
      <c r="AN208" s="1523">
        <f t="shared" si="39"/>
        <v>0</v>
      </c>
      <c r="AO208" s="1527"/>
      <c r="AP208" s="1527"/>
      <c r="AQ208" s="1527"/>
      <c r="AR208" s="1527"/>
      <c r="AS208" s="1527"/>
      <c r="AT208" s="1527"/>
      <c r="AU208" s="1527"/>
      <c r="AV208" s="1527"/>
      <c r="AW208" s="1527"/>
      <c r="AX208" s="563"/>
      <c r="AY208" s="1393"/>
    </row>
    <row r="209" spans="1:51" s="1530" customFormat="1" ht="46.5" outlineLevel="1" x14ac:dyDescent="0.25">
      <c r="A209" s="1482" t="s">
        <v>1806</v>
      </c>
      <c r="B209" s="1483" t="s">
        <v>1807</v>
      </c>
      <c r="C209" s="1531" t="s">
        <v>936</v>
      </c>
      <c r="D209" s="1482" t="str">
        <f>D208</f>
        <v>MERC/TECH 1/CAPEX/20132014/00827</v>
      </c>
      <c r="E209" s="1532">
        <f>E208</f>
        <v>41382</v>
      </c>
      <c r="F209" s="1390">
        <f>IF(F208=0,"-",F208)</f>
        <v>41464</v>
      </c>
      <c r="G209" s="565">
        <v>10.36</v>
      </c>
      <c r="H209" s="565">
        <v>10.36</v>
      </c>
      <c r="I209" s="563"/>
      <c r="J209" s="563"/>
      <c r="K209" s="1390">
        <v>41464</v>
      </c>
      <c r="L209" s="1391"/>
      <c r="M209" s="1391"/>
      <c r="N209" s="1391"/>
      <c r="O209" s="1402"/>
      <c r="P209" s="1533">
        <v>0</v>
      </c>
      <c r="Q209" s="1542"/>
      <c r="R209" s="1542"/>
      <c r="S209" s="1542"/>
      <c r="T209" s="1542">
        <f t="shared" si="38"/>
        <v>0</v>
      </c>
      <c r="U209" s="1542"/>
      <c r="V209" s="1542"/>
      <c r="W209" s="1542"/>
      <c r="X209" s="1542"/>
      <c r="Y209" s="1542"/>
      <c r="Z209" s="1542"/>
      <c r="AA209" s="1542"/>
      <c r="AB209" s="1542"/>
      <c r="AC209" s="1526"/>
      <c r="AD209" s="1526"/>
      <c r="AE209" s="1526"/>
      <c r="AF209" s="1526"/>
      <c r="AG209" s="1526"/>
      <c r="AH209" s="1526"/>
      <c r="AI209" s="1526"/>
      <c r="AJ209" s="1533">
        <v>0</v>
      </c>
      <c r="AK209" s="1533"/>
      <c r="AL209" s="1533"/>
      <c r="AM209" s="1533"/>
      <c r="AN209" s="1523">
        <f t="shared" si="39"/>
        <v>0</v>
      </c>
      <c r="AO209" s="1533"/>
      <c r="AP209" s="1533"/>
      <c r="AQ209" s="1533"/>
      <c r="AR209" s="1533"/>
      <c r="AS209" s="1533"/>
      <c r="AT209" s="1533"/>
      <c r="AU209" s="1533"/>
      <c r="AV209" s="1533"/>
      <c r="AW209" s="1533"/>
      <c r="AX209" s="563"/>
      <c r="AY209" s="1534" t="s">
        <v>941</v>
      </c>
    </row>
    <row r="210" spans="1:51" s="1530" customFormat="1" ht="31" outlineLevel="1" x14ac:dyDescent="0.25">
      <c r="A210" s="1482"/>
      <c r="B210" s="1483" t="s">
        <v>414</v>
      </c>
      <c r="C210" s="1531" t="s">
        <v>414</v>
      </c>
      <c r="D210" s="1482" t="str">
        <f>D209</f>
        <v>MERC/TECH 1/CAPEX/20132014/00827</v>
      </c>
      <c r="E210" s="1532">
        <f>E209</f>
        <v>41382</v>
      </c>
      <c r="F210" s="1390">
        <f>IF(F209=0,"-",F209)</f>
        <v>41464</v>
      </c>
      <c r="G210" s="565"/>
      <c r="H210" s="565"/>
      <c r="I210" s="563"/>
      <c r="J210" s="563"/>
      <c r="K210" s="1390">
        <v>41464</v>
      </c>
      <c r="L210" s="1391"/>
      <c r="M210" s="1391"/>
      <c r="N210" s="1391"/>
      <c r="O210" s="1402"/>
      <c r="P210" s="1533"/>
      <c r="Q210" s="1542"/>
      <c r="R210" s="1542"/>
      <c r="S210" s="1542"/>
      <c r="T210" s="1542">
        <f t="shared" si="38"/>
        <v>0</v>
      </c>
      <c r="U210" s="1542"/>
      <c r="V210" s="1542"/>
      <c r="W210" s="1542"/>
      <c r="X210" s="1542"/>
      <c r="Y210" s="1542"/>
      <c r="Z210" s="1542"/>
      <c r="AA210" s="1542"/>
      <c r="AB210" s="1542"/>
      <c r="AC210" s="1526"/>
      <c r="AD210" s="1526"/>
      <c r="AE210" s="1526"/>
      <c r="AF210" s="1526"/>
      <c r="AG210" s="1526"/>
      <c r="AH210" s="1526"/>
      <c r="AI210" s="1526"/>
      <c r="AJ210" s="1533"/>
      <c r="AK210" s="1533"/>
      <c r="AL210" s="1533"/>
      <c r="AM210" s="1533"/>
      <c r="AN210" s="1523">
        <f t="shared" si="39"/>
        <v>0</v>
      </c>
      <c r="AO210" s="1533"/>
      <c r="AP210" s="1533"/>
      <c r="AQ210" s="1533"/>
      <c r="AR210" s="1533"/>
      <c r="AS210" s="1533"/>
      <c r="AT210" s="1533"/>
      <c r="AU210" s="1533"/>
      <c r="AV210" s="1533"/>
      <c r="AW210" s="1533"/>
      <c r="AX210" s="563"/>
      <c r="AY210" s="1534"/>
    </row>
    <row r="211" spans="1:51" s="1530" customFormat="1" ht="46.5" outlineLevel="1" x14ac:dyDescent="0.25">
      <c r="A211" s="1477" t="s">
        <v>1808</v>
      </c>
      <c r="B211" s="1478" t="s">
        <v>944</v>
      </c>
      <c r="C211" s="1477" t="s">
        <v>928</v>
      </c>
      <c r="D211" s="1477" t="s">
        <v>945</v>
      </c>
      <c r="E211" s="1479">
        <v>41913</v>
      </c>
      <c r="F211" s="1479">
        <v>41968</v>
      </c>
      <c r="G211" s="1380">
        <f>SUM(G212:G213)</f>
        <v>16.956</v>
      </c>
      <c r="H211" s="1380">
        <f>SUM(H212:H213)</f>
        <v>16.956</v>
      </c>
      <c r="I211" s="563"/>
      <c r="J211" s="563"/>
      <c r="K211" s="1390">
        <v>41968</v>
      </c>
      <c r="L211" s="1391"/>
      <c r="M211" s="1391"/>
      <c r="N211" s="1391"/>
      <c r="O211" s="1402"/>
      <c r="P211" s="1523"/>
      <c r="Q211" s="1524"/>
      <c r="R211" s="1524"/>
      <c r="S211" s="1524"/>
      <c r="T211" s="1524">
        <f t="shared" si="38"/>
        <v>0</v>
      </c>
      <c r="U211" s="1525"/>
      <c r="V211" s="1525"/>
      <c r="W211" s="1392"/>
      <c r="X211" s="1392"/>
      <c r="Y211" s="1392"/>
      <c r="Z211" s="1392"/>
      <c r="AA211" s="1392"/>
      <c r="AB211" s="1392"/>
      <c r="AC211" s="1526"/>
      <c r="AD211" s="1526"/>
      <c r="AE211" s="1526"/>
      <c r="AF211" s="1526"/>
      <c r="AG211" s="1526"/>
      <c r="AH211" s="1526"/>
      <c r="AI211" s="1526"/>
      <c r="AJ211" s="1523"/>
      <c r="AK211" s="1523"/>
      <c r="AL211" s="1523"/>
      <c r="AM211" s="1523"/>
      <c r="AN211" s="1523">
        <f t="shared" si="39"/>
        <v>0</v>
      </c>
      <c r="AO211" s="1527"/>
      <c r="AP211" s="1527"/>
      <c r="AQ211" s="1527"/>
      <c r="AR211" s="1527"/>
      <c r="AS211" s="1527"/>
      <c r="AT211" s="1527"/>
      <c r="AU211" s="1527"/>
      <c r="AV211" s="1527"/>
      <c r="AW211" s="1527"/>
      <c r="AX211" s="563"/>
      <c r="AY211" s="1393"/>
    </row>
    <row r="212" spans="1:51" s="1530" customFormat="1" ht="46.5" outlineLevel="1" x14ac:dyDescent="0.25">
      <c r="A212" s="1482" t="s">
        <v>1809</v>
      </c>
      <c r="B212" s="1483" t="s">
        <v>1810</v>
      </c>
      <c r="C212" s="1531" t="s">
        <v>936</v>
      </c>
      <c r="D212" s="1482" t="str">
        <f>D211</f>
        <v>MERC/TECH 1/CAPEX/20142015/01218</v>
      </c>
      <c r="E212" s="1532">
        <f>E211</f>
        <v>41913</v>
      </c>
      <c r="F212" s="1390">
        <f>IF(F211=0,"-",F211)</f>
        <v>41968</v>
      </c>
      <c r="G212" s="565">
        <v>5.7060000000000004</v>
      </c>
      <c r="H212" s="565">
        <v>5.7060000000000004</v>
      </c>
      <c r="I212" s="563"/>
      <c r="J212" s="563"/>
      <c r="K212" s="1390">
        <v>41968</v>
      </c>
      <c r="L212" s="1391"/>
      <c r="M212" s="1391"/>
      <c r="N212" s="1391"/>
      <c r="O212" s="1402"/>
      <c r="P212" s="1533">
        <v>0.83244680000000004</v>
      </c>
      <c r="Q212" s="1533">
        <v>7.4168190000000009E-2</v>
      </c>
      <c r="R212" s="1533">
        <v>0</v>
      </c>
      <c r="S212" s="1533">
        <v>0</v>
      </c>
      <c r="T212" s="1533">
        <f t="shared" si="38"/>
        <v>0.90661499000000001</v>
      </c>
      <c r="U212" s="1533">
        <v>0</v>
      </c>
      <c r="V212" s="1533">
        <v>0</v>
      </c>
      <c r="W212" s="1533">
        <v>0</v>
      </c>
      <c r="X212" s="1533"/>
      <c r="Y212" s="1533"/>
      <c r="Z212" s="1533"/>
      <c r="AA212" s="1533"/>
      <c r="AB212" s="1533"/>
      <c r="AC212" s="1526"/>
      <c r="AD212" s="1526"/>
      <c r="AE212" s="1526"/>
      <c r="AF212" s="1526"/>
      <c r="AG212" s="1526"/>
      <c r="AH212" s="1526"/>
      <c r="AI212" s="1526"/>
      <c r="AJ212" s="1533">
        <v>0.83244680000000004</v>
      </c>
      <c r="AK212" s="1533">
        <v>7.4168190000000009E-2</v>
      </c>
      <c r="AL212" s="1533">
        <v>0</v>
      </c>
      <c r="AM212" s="1533">
        <v>0</v>
      </c>
      <c r="AN212" s="1523">
        <f t="shared" si="39"/>
        <v>0.90661499000000001</v>
      </c>
      <c r="AO212" s="1533">
        <v>0</v>
      </c>
      <c r="AP212" s="1533">
        <v>0</v>
      </c>
      <c r="AQ212" s="1533">
        <v>0</v>
      </c>
      <c r="AR212" s="1533"/>
      <c r="AS212" s="1533"/>
      <c r="AT212" s="1533"/>
      <c r="AU212" s="1533"/>
      <c r="AV212" s="1533"/>
      <c r="AW212" s="1533"/>
      <c r="AX212" s="563"/>
      <c r="AY212" s="1534" t="s">
        <v>940</v>
      </c>
    </row>
    <row r="213" spans="1:51" s="1530" customFormat="1" ht="46.5" outlineLevel="1" x14ac:dyDescent="0.25">
      <c r="A213" s="1482" t="s">
        <v>1811</v>
      </c>
      <c r="B213" s="1483" t="s">
        <v>1812</v>
      </c>
      <c r="C213" s="1531" t="s">
        <v>936</v>
      </c>
      <c r="D213" s="1482" t="str">
        <f>D212</f>
        <v>MERC/TECH 1/CAPEX/20142015/01218</v>
      </c>
      <c r="E213" s="1532">
        <f>E212</f>
        <v>41913</v>
      </c>
      <c r="F213" s="1390">
        <f>IF(F212=0,"-",F212)</f>
        <v>41968</v>
      </c>
      <c r="G213" s="565">
        <v>11.25</v>
      </c>
      <c r="H213" s="565">
        <v>11.25</v>
      </c>
      <c r="I213" s="563"/>
      <c r="J213" s="563"/>
      <c r="K213" s="1390">
        <v>41968</v>
      </c>
      <c r="L213" s="1391"/>
      <c r="M213" s="1391"/>
      <c r="N213" s="1391"/>
      <c r="O213" s="1402"/>
      <c r="P213" s="1533">
        <v>0</v>
      </c>
      <c r="Q213" s="1533">
        <v>0</v>
      </c>
      <c r="R213" s="1533">
        <v>2.871464</v>
      </c>
      <c r="S213" s="1533">
        <v>2.8827400000000001</v>
      </c>
      <c r="T213" s="1533">
        <f t="shared" si="38"/>
        <v>5.7542039999999997</v>
      </c>
      <c r="U213" s="1533">
        <v>0</v>
      </c>
      <c r="V213" s="1533">
        <v>0</v>
      </c>
      <c r="W213" s="1533">
        <v>0</v>
      </c>
      <c r="X213" s="1533"/>
      <c r="Y213" s="1533"/>
      <c r="Z213" s="1533"/>
      <c r="AA213" s="1533"/>
      <c r="AB213" s="1533"/>
      <c r="AC213" s="1526"/>
      <c r="AD213" s="1526"/>
      <c r="AE213" s="1526"/>
      <c r="AF213" s="1526"/>
      <c r="AG213" s="1526"/>
      <c r="AH213" s="1526"/>
      <c r="AI213" s="1526"/>
      <c r="AJ213" s="1533">
        <v>0</v>
      </c>
      <c r="AK213" s="1533">
        <v>0</v>
      </c>
      <c r="AL213" s="1533">
        <v>2.668504</v>
      </c>
      <c r="AM213" s="1533">
        <v>3.0857000000000001</v>
      </c>
      <c r="AN213" s="1523">
        <f t="shared" si="39"/>
        <v>5.7542039999999997</v>
      </c>
      <c r="AO213" s="1533">
        <v>0</v>
      </c>
      <c r="AP213" s="1533">
        <v>0</v>
      </c>
      <c r="AQ213" s="1533">
        <v>0</v>
      </c>
      <c r="AR213" s="1533"/>
      <c r="AS213" s="1533"/>
      <c r="AT213" s="1533"/>
      <c r="AU213" s="1533"/>
      <c r="AV213" s="1533"/>
      <c r="AW213" s="1533"/>
      <c r="AX213" s="563"/>
      <c r="AY213" s="1534" t="s">
        <v>940</v>
      </c>
    </row>
    <row r="214" spans="1:51" s="1530" customFormat="1" ht="46.5" outlineLevel="1" x14ac:dyDescent="0.25">
      <c r="A214" s="1477" t="s">
        <v>946</v>
      </c>
      <c r="B214" s="1478" t="s">
        <v>947</v>
      </c>
      <c r="C214" s="1477" t="s">
        <v>928</v>
      </c>
      <c r="D214" s="1477" t="s">
        <v>948</v>
      </c>
      <c r="E214" s="1479">
        <v>42403</v>
      </c>
      <c r="F214" s="1479">
        <v>42585</v>
      </c>
      <c r="G214" s="1380">
        <f>SUM(G215)</f>
        <v>1.3257526714285714</v>
      </c>
      <c r="H214" s="1380">
        <f>SUM(H215)</f>
        <v>1.3257526714285714</v>
      </c>
      <c r="I214" s="563"/>
      <c r="J214" s="563"/>
      <c r="K214" s="1390">
        <v>42585</v>
      </c>
      <c r="L214" s="1391"/>
      <c r="M214" s="1391"/>
      <c r="N214" s="1391"/>
      <c r="O214" s="1402"/>
      <c r="P214" s="1523"/>
      <c r="Q214" s="1524"/>
      <c r="R214" s="1524"/>
      <c r="S214" s="1524"/>
      <c r="T214" s="1524">
        <f t="shared" si="38"/>
        <v>0</v>
      </c>
      <c r="U214" s="1525"/>
      <c r="V214" s="1525"/>
      <c r="W214" s="1392"/>
      <c r="X214" s="1392"/>
      <c r="Y214" s="1392"/>
      <c r="Z214" s="1392"/>
      <c r="AA214" s="1392"/>
      <c r="AB214" s="1392"/>
      <c r="AC214" s="1526"/>
      <c r="AD214" s="1526"/>
      <c r="AE214" s="1526"/>
      <c r="AF214" s="1526"/>
      <c r="AG214" s="1526"/>
      <c r="AH214" s="1526"/>
      <c r="AI214" s="1526"/>
      <c r="AJ214" s="1523"/>
      <c r="AK214" s="1523"/>
      <c r="AL214" s="1523"/>
      <c r="AM214" s="1523"/>
      <c r="AN214" s="1523">
        <f t="shared" si="39"/>
        <v>0</v>
      </c>
      <c r="AO214" s="1527"/>
      <c r="AP214" s="1527"/>
      <c r="AQ214" s="1527"/>
      <c r="AR214" s="1527"/>
      <c r="AS214" s="1527"/>
      <c r="AT214" s="1527"/>
      <c r="AU214" s="1527"/>
      <c r="AV214" s="1527"/>
      <c r="AW214" s="1527"/>
      <c r="AX214" s="563"/>
      <c r="AY214" s="1393"/>
    </row>
    <row r="215" spans="1:51" s="1530" customFormat="1" ht="46.5" outlineLevel="1" x14ac:dyDescent="0.25">
      <c r="A215" s="1482" t="s">
        <v>1813</v>
      </c>
      <c r="B215" s="1483" t="s">
        <v>1814</v>
      </c>
      <c r="C215" s="1531" t="s">
        <v>936</v>
      </c>
      <c r="D215" s="1482" t="str">
        <f>D214</f>
        <v>MERC/CAPEX/20162017/00423</v>
      </c>
      <c r="E215" s="1532">
        <f>E214</f>
        <v>42403</v>
      </c>
      <c r="F215" s="1390">
        <f>IF(F214=0,"-",F214)</f>
        <v>42585</v>
      </c>
      <c r="G215" s="565">
        <v>1.3257526714285714</v>
      </c>
      <c r="H215" s="565">
        <v>1.3257526714285714</v>
      </c>
      <c r="I215" s="563"/>
      <c r="J215" s="563"/>
      <c r="K215" s="1390">
        <v>42585</v>
      </c>
      <c r="L215" s="1391"/>
      <c r="M215" s="1391"/>
      <c r="N215" s="1391"/>
      <c r="O215" s="1402"/>
      <c r="P215" s="1533">
        <v>0</v>
      </c>
      <c r="Q215" s="1533">
        <v>0</v>
      </c>
      <c r="R215" s="1533">
        <v>0</v>
      </c>
      <c r="S215" s="1533">
        <v>0</v>
      </c>
      <c r="T215" s="1533">
        <f t="shared" si="38"/>
        <v>0</v>
      </c>
      <c r="U215" s="1533">
        <v>0</v>
      </c>
      <c r="V215" s="1533">
        <v>0</v>
      </c>
      <c r="W215" s="1533">
        <v>0</v>
      </c>
      <c r="X215" s="1533"/>
      <c r="Y215" s="1533"/>
      <c r="Z215" s="1533"/>
      <c r="AA215" s="1533"/>
      <c r="AB215" s="1533"/>
      <c r="AC215" s="1526"/>
      <c r="AD215" s="1526"/>
      <c r="AE215" s="1526"/>
      <c r="AF215" s="1526"/>
      <c r="AG215" s="1526"/>
      <c r="AH215" s="1526"/>
      <c r="AI215" s="1526"/>
      <c r="AJ215" s="1533">
        <v>0</v>
      </c>
      <c r="AK215" s="1533">
        <v>0</v>
      </c>
      <c r="AL215" s="1533">
        <v>0</v>
      </c>
      <c r="AM215" s="1533">
        <v>0</v>
      </c>
      <c r="AN215" s="1523">
        <f t="shared" si="39"/>
        <v>0</v>
      </c>
      <c r="AO215" s="1533">
        <v>0</v>
      </c>
      <c r="AP215" s="1533">
        <v>0</v>
      </c>
      <c r="AQ215" s="1533">
        <v>0</v>
      </c>
      <c r="AR215" s="1533"/>
      <c r="AS215" s="1533"/>
      <c r="AT215" s="1533"/>
      <c r="AU215" s="1533"/>
      <c r="AV215" s="1533"/>
      <c r="AW215" s="1533"/>
      <c r="AY215" s="1534" t="s">
        <v>941</v>
      </c>
    </row>
    <row r="216" spans="1:51" ht="46.5" outlineLevel="1" x14ac:dyDescent="0.25">
      <c r="A216" s="1486" t="s">
        <v>949</v>
      </c>
      <c r="B216" s="1491" t="s">
        <v>950</v>
      </c>
      <c r="C216" s="1486" t="s">
        <v>928</v>
      </c>
      <c r="D216" s="1486" t="s">
        <v>951</v>
      </c>
      <c r="E216" s="1487">
        <v>42608</v>
      </c>
      <c r="F216" s="1487">
        <v>42643</v>
      </c>
      <c r="G216" s="1403">
        <f>SUM(G217)</f>
        <v>7.0965999999999996</v>
      </c>
      <c r="H216" s="1403">
        <f>SUM(H217)</f>
        <v>7.0965999999999996</v>
      </c>
      <c r="I216" s="161"/>
      <c r="J216" s="161"/>
      <c r="K216" s="1413">
        <v>42643</v>
      </c>
      <c r="L216" s="1414"/>
      <c r="M216" s="1414"/>
      <c r="N216" s="1414"/>
      <c r="O216" s="1551"/>
      <c r="P216" s="1510"/>
      <c r="Q216" s="1566"/>
      <c r="R216" s="1566"/>
      <c r="S216" s="1566"/>
      <c r="T216" s="1566">
        <f t="shared" si="38"/>
        <v>0</v>
      </c>
      <c r="U216" s="1552"/>
      <c r="V216" s="1552"/>
      <c r="W216" s="1401"/>
      <c r="X216" s="1401"/>
      <c r="Y216" s="1401"/>
      <c r="Z216" s="1401"/>
      <c r="AA216" s="1401"/>
      <c r="AB216" s="1401"/>
      <c r="AC216" s="1522"/>
      <c r="AD216" s="1522"/>
      <c r="AE216" s="1522"/>
      <c r="AF216" s="1522"/>
      <c r="AG216" s="1522"/>
      <c r="AH216" s="1522"/>
      <c r="AI216" s="1522"/>
      <c r="AJ216" s="1510"/>
      <c r="AK216" s="1510"/>
      <c r="AL216" s="1510"/>
      <c r="AM216" s="1510"/>
      <c r="AN216" s="1510">
        <f t="shared" si="39"/>
        <v>0</v>
      </c>
      <c r="AO216" s="1553"/>
      <c r="AP216" s="1553"/>
      <c r="AQ216" s="1553"/>
      <c r="AR216" s="1553"/>
      <c r="AS216" s="1553"/>
      <c r="AT216" s="1553"/>
      <c r="AU216" s="1553"/>
      <c r="AV216" s="1553"/>
      <c r="AW216" s="1553"/>
      <c r="AX216" s="161"/>
      <c r="AY216" s="1636"/>
    </row>
    <row r="217" spans="1:51" ht="46.5" outlineLevel="1" x14ac:dyDescent="0.25">
      <c r="A217" s="1488" t="s">
        <v>1815</v>
      </c>
      <c r="B217" s="1492" t="s">
        <v>1816</v>
      </c>
      <c r="C217" s="1554" t="s">
        <v>936</v>
      </c>
      <c r="D217" s="1488" t="str">
        <f>D216</f>
        <v>MERC/CAPEX/20162017/00774</v>
      </c>
      <c r="E217" s="1495">
        <f>E216</f>
        <v>42608</v>
      </c>
      <c r="F217" s="1413">
        <f>IF(F216=0,"-",F216)</f>
        <v>42643</v>
      </c>
      <c r="G217" s="618">
        <v>7.0965999999999996</v>
      </c>
      <c r="H217" s="618">
        <v>7.0965999999999996</v>
      </c>
      <c r="I217" s="161"/>
      <c r="J217" s="161"/>
      <c r="K217" s="1413">
        <v>42643</v>
      </c>
      <c r="L217" s="1414"/>
      <c r="M217" s="1414"/>
      <c r="N217" s="1414"/>
      <c r="O217" s="1551"/>
      <c r="P217" s="320">
        <v>0</v>
      </c>
      <c r="Q217" s="1521"/>
      <c r="R217" s="1521"/>
      <c r="S217" s="1521"/>
      <c r="T217" s="1521">
        <f t="shared" si="38"/>
        <v>0</v>
      </c>
      <c r="U217" s="1521"/>
      <c r="V217" s="1521"/>
      <c r="W217" s="1521"/>
      <c r="X217" s="1567">
        <v>7.0965999999999996</v>
      </c>
      <c r="Y217" s="1521"/>
      <c r="Z217" s="1521"/>
      <c r="AA217" s="1521"/>
      <c r="AB217" s="1521"/>
      <c r="AC217" s="1522"/>
      <c r="AD217" s="1522"/>
      <c r="AE217" s="1522"/>
      <c r="AF217" s="1522"/>
      <c r="AG217" s="1522"/>
      <c r="AH217" s="1522"/>
      <c r="AI217" s="1522"/>
      <c r="AJ217" s="320">
        <v>0</v>
      </c>
      <c r="AK217" s="320"/>
      <c r="AL217" s="320"/>
      <c r="AM217" s="320"/>
      <c r="AN217" s="1510">
        <f t="shared" si="39"/>
        <v>0</v>
      </c>
      <c r="AO217" s="320"/>
      <c r="AP217" s="320"/>
      <c r="AQ217" s="1521"/>
      <c r="AR217" s="1567">
        <v>7.0965999999999996</v>
      </c>
      <c r="AS217" s="1521"/>
      <c r="AT217" s="1521"/>
      <c r="AU217" s="1521"/>
      <c r="AV217" s="1521"/>
      <c r="AW217" s="320"/>
      <c r="AX217" s="161" t="s">
        <v>1817</v>
      </c>
      <c r="AY217" s="1540" t="s">
        <v>934</v>
      </c>
    </row>
    <row r="218" spans="1:51" s="1548" customFormat="1" ht="46.5" outlineLevel="1" x14ac:dyDescent="0.25">
      <c r="A218" s="1489" t="s">
        <v>1818</v>
      </c>
      <c r="B218" s="1490" t="s">
        <v>1819</v>
      </c>
      <c r="C218" s="1489" t="s">
        <v>928</v>
      </c>
      <c r="D218" s="1489" t="s">
        <v>1820</v>
      </c>
      <c r="E218" s="1543">
        <v>42844</v>
      </c>
      <c r="F218" s="1543">
        <v>43052</v>
      </c>
      <c r="G218" s="1398">
        <f>SUM(G219:G221)</f>
        <v>4.1500000000000004</v>
      </c>
      <c r="H218" s="1398">
        <f>SUM(H219:H221)</f>
        <v>4.1500000000000004</v>
      </c>
      <c r="I218" s="1396"/>
      <c r="J218" s="1396"/>
      <c r="K218" s="1394">
        <v>43052</v>
      </c>
      <c r="L218" s="1397"/>
      <c r="M218" s="1397"/>
      <c r="N218" s="1397"/>
      <c r="O218" s="1407"/>
      <c r="P218" s="1544"/>
      <c r="Q218" s="1545"/>
      <c r="R218" s="1545"/>
      <c r="S218" s="1545"/>
      <c r="T218" s="1545">
        <f t="shared" si="38"/>
        <v>0</v>
      </c>
      <c r="U218" s="1546"/>
      <c r="V218" s="1546"/>
      <c r="W218" s="1399"/>
      <c r="X218" s="1399"/>
      <c r="Y218" s="1399"/>
      <c r="Z218" s="1399"/>
      <c r="AA218" s="1399"/>
      <c r="AB218" s="1399"/>
      <c r="AC218" s="1538"/>
      <c r="AD218" s="1538"/>
      <c r="AE218" s="1538"/>
      <c r="AF218" s="1538"/>
      <c r="AG218" s="1538"/>
      <c r="AH218" s="1538"/>
      <c r="AI218" s="1538"/>
      <c r="AJ218" s="1544"/>
      <c r="AK218" s="1544"/>
      <c r="AL218" s="1544"/>
      <c r="AM218" s="1544"/>
      <c r="AN218" s="1544">
        <f t="shared" si="39"/>
        <v>0</v>
      </c>
      <c r="AO218" s="1547"/>
      <c r="AP218" s="1547"/>
      <c r="AQ218" s="1547"/>
      <c r="AR218" s="1547"/>
      <c r="AS218" s="1547"/>
      <c r="AT218" s="1547"/>
      <c r="AU218" s="1547"/>
      <c r="AV218" s="1547"/>
      <c r="AW218" s="1547"/>
      <c r="AX218" s="1396"/>
      <c r="AY218" s="1400"/>
    </row>
    <row r="219" spans="1:51" s="1548" customFormat="1" ht="46.5" outlineLevel="1" x14ac:dyDescent="0.25">
      <c r="A219" s="1484" t="s">
        <v>1821</v>
      </c>
      <c r="B219" s="1485" t="s">
        <v>1822</v>
      </c>
      <c r="C219" s="1535" t="s">
        <v>936</v>
      </c>
      <c r="D219" s="1484" t="str">
        <f t="shared" ref="D219:E221" si="40">D218</f>
        <v>MERC/CAPEX/20172018/4653</v>
      </c>
      <c r="E219" s="1536">
        <f t="shared" si="40"/>
        <v>42844</v>
      </c>
      <c r="F219" s="1394">
        <f>IF(F218=0,"-",F218)</f>
        <v>43052</v>
      </c>
      <c r="G219" s="1395">
        <f>2*1.45</f>
        <v>2.9</v>
      </c>
      <c r="H219" s="1395">
        <f>2*1.45</f>
        <v>2.9</v>
      </c>
      <c r="I219" s="1396"/>
      <c r="J219" s="1396"/>
      <c r="K219" s="1394">
        <v>43052</v>
      </c>
      <c r="L219" s="1397"/>
      <c r="M219" s="1397"/>
      <c r="N219" s="1397"/>
      <c r="O219" s="1407"/>
      <c r="P219" s="309">
        <v>0</v>
      </c>
      <c r="Q219" s="309">
        <v>0</v>
      </c>
      <c r="R219" s="309">
        <v>0</v>
      </c>
      <c r="S219" s="309">
        <v>0</v>
      </c>
      <c r="T219" s="309">
        <f t="shared" si="38"/>
        <v>0</v>
      </c>
      <c r="U219" s="1537">
        <v>0.26772339999999994</v>
      </c>
      <c r="V219" s="1555"/>
      <c r="W219" s="1555"/>
      <c r="X219" s="1555"/>
      <c r="Y219" s="1555"/>
      <c r="Z219" s="1555"/>
      <c r="AA219" s="1555"/>
      <c r="AB219" s="1555"/>
      <c r="AC219" s="1538"/>
      <c r="AD219" s="1538"/>
      <c r="AE219" s="1538"/>
      <c r="AF219" s="1538"/>
      <c r="AG219" s="1538"/>
      <c r="AH219" s="1538"/>
      <c r="AI219" s="1538"/>
      <c r="AJ219" s="309">
        <v>0</v>
      </c>
      <c r="AK219" s="309">
        <v>0</v>
      </c>
      <c r="AL219" s="309">
        <v>0</v>
      </c>
      <c r="AM219" s="309">
        <v>0</v>
      </c>
      <c r="AN219" s="1544">
        <f t="shared" si="39"/>
        <v>0</v>
      </c>
      <c r="AO219" s="1537">
        <v>0.2677234</v>
      </c>
      <c r="AP219" s="1555"/>
      <c r="AQ219" s="1555"/>
      <c r="AR219" s="1555"/>
      <c r="AS219" s="1555"/>
      <c r="AT219" s="1555"/>
      <c r="AU219" s="1555"/>
      <c r="AV219" s="1555"/>
      <c r="AW219" s="309"/>
      <c r="AX219" s="1396"/>
      <c r="AY219" s="1549" t="s">
        <v>940</v>
      </c>
    </row>
    <row r="220" spans="1:51" s="1548" customFormat="1" ht="46.5" outlineLevel="1" x14ac:dyDescent="0.25">
      <c r="A220" s="1484" t="s">
        <v>1823</v>
      </c>
      <c r="B220" s="1485" t="s">
        <v>1824</v>
      </c>
      <c r="C220" s="1535" t="s">
        <v>936</v>
      </c>
      <c r="D220" s="1484" t="str">
        <f t="shared" si="40"/>
        <v>MERC/CAPEX/20172018/4653</v>
      </c>
      <c r="E220" s="1536">
        <f t="shared" si="40"/>
        <v>42844</v>
      </c>
      <c r="F220" s="1394">
        <f>IF(F219=0,"-",F219)</f>
        <v>43052</v>
      </c>
      <c r="G220" s="1395">
        <f>1*1.25</f>
        <v>1.25</v>
      </c>
      <c r="H220" s="1395">
        <f>1*1.25</f>
        <v>1.25</v>
      </c>
      <c r="I220" s="1396"/>
      <c r="J220" s="1396"/>
      <c r="K220" s="1394">
        <v>43052</v>
      </c>
      <c r="L220" s="1397"/>
      <c r="M220" s="1397"/>
      <c r="N220" s="1397"/>
      <c r="O220" s="1407"/>
      <c r="P220" s="309">
        <v>0</v>
      </c>
      <c r="Q220" s="309">
        <v>0</v>
      </c>
      <c r="R220" s="309">
        <v>0</v>
      </c>
      <c r="S220" s="309">
        <v>0</v>
      </c>
      <c r="T220" s="309">
        <f t="shared" si="38"/>
        <v>0</v>
      </c>
      <c r="U220" s="1537">
        <v>2.1846524010000001</v>
      </c>
      <c r="V220" s="1555"/>
      <c r="W220" s="1555"/>
      <c r="X220" s="1555"/>
      <c r="Y220" s="1555"/>
      <c r="Z220" s="1555"/>
      <c r="AA220" s="1555"/>
      <c r="AB220" s="1555"/>
      <c r="AC220" s="1538"/>
      <c r="AD220" s="1538"/>
      <c r="AE220" s="1538"/>
      <c r="AF220" s="1538"/>
      <c r="AG220" s="1538"/>
      <c r="AH220" s="1538"/>
      <c r="AI220" s="1538"/>
      <c r="AJ220" s="309">
        <v>0</v>
      </c>
      <c r="AK220" s="309">
        <v>0</v>
      </c>
      <c r="AL220" s="309">
        <v>0</v>
      </c>
      <c r="AM220" s="309">
        <v>0</v>
      </c>
      <c r="AN220" s="1544">
        <f t="shared" si="39"/>
        <v>0</v>
      </c>
      <c r="AO220" s="1537">
        <v>2.1846524010000001</v>
      </c>
      <c r="AP220" s="1555"/>
      <c r="AQ220" s="1521"/>
      <c r="AR220" s="1555"/>
      <c r="AS220" s="1555"/>
      <c r="AT220" s="1555"/>
      <c r="AU220" s="1555"/>
      <c r="AV220" s="1555"/>
      <c r="AW220" s="309"/>
      <c r="AX220" s="1396"/>
      <c r="AY220" s="1549" t="s">
        <v>940</v>
      </c>
    </row>
    <row r="221" spans="1:51" s="1548" customFormat="1" ht="15.5" outlineLevel="1" x14ac:dyDescent="0.25">
      <c r="A221" s="1484"/>
      <c r="B221" s="1485" t="s">
        <v>414</v>
      </c>
      <c r="C221" s="1535" t="s">
        <v>414</v>
      </c>
      <c r="D221" s="1484" t="str">
        <f t="shared" si="40"/>
        <v>MERC/CAPEX/20172018/4653</v>
      </c>
      <c r="E221" s="1536">
        <f t="shared" si="40"/>
        <v>42844</v>
      </c>
      <c r="F221" s="1394">
        <f>IF(F220=0,"-",F220)</f>
        <v>43052</v>
      </c>
      <c r="G221" s="1395"/>
      <c r="H221" s="1395"/>
      <c r="I221" s="1396"/>
      <c r="J221" s="1396"/>
      <c r="K221" s="1394">
        <v>43052</v>
      </c>
      <c r="L221" s="1397"/>
      <c r="M221" s="1397"/>
      <c r="N221" s="1397"/>
      <c r="O221" s="1407"/>
      <c r="P221" s="309"/>
      <c r="Q221" s="1555"/>
      <c r="R221" s="1555"/>
      <c r="S221" s="1555"/>
      <c r="T221" s="1555">
        <f t="shared" si="38"/>
        <v>0</v>
      </c>
      <c r="U221" s="1555"/>
      <c r="V221" s="1555"/>
      <c r="W221" s="1555"/>
      <c r="X221" s="1555"/>
      <c r="Y221" s="1555"/>
      <c r="Z221" s="1555"/>
      <c r="AA221" s="1555"/>
      <c r="AB221" s="1555"/>
      <c r="AC221" s="1538"/>
      <c r="AD221" s="1538"/>
      <c r="AE221" s="1538"/>
      <c r="AF221" s="1538"/>
      <c r="AG221" s="1538"/>
      <c r="AH221" s="1538"/>
      <c r="AI221" s="1538"/>
      <c r="AJ221" s="309"/>
      <c r="AK221" s="1555"/>
      <c r="AL221" s="1555"/>
      <c r="AM221" s="1555"/>
      <c r="AN221" s="1544">
        <f t="shared" si="39"/>
        <v>0</v>
      </c>
      <c r="AO221" s="1555"/>
      <c r="AP221" s="1555"/>
      <c r="AQ221" s="1555"/>
      <c r="AR221" s="1555"/>
      <c r="AS221" s="1555"/>
      <c r="AT221" s="1555"/>
      <c r="AU221" s="1555"/>
      <c r="AV221" s="1555"/>
      <c r="AW221" s="309"/>
      <c r="AX221" s="1396"/>
      <c r="AY221" s="1549"/>
    </row>
    <row r="222" spans="1:51" s="1548" customFormat="1" ht="46.5" outlineLevel="1" x14ac:dyDescent="0.25">
      <c r="A222" s="1489" t="s">
        <v>1825</v>
      </c>
      <c r="B222" s="1490" t="s">
        <v>1826</v>
      </c>
      <c r="C222" s="1489" t="s">
        <v>928</v>
      </c>
      <c r="D222" s="1489" t="s">
        <v>1827</v>
      </c>
      <c r="E222" s="1543">
        <v>43112</v>
      </c>
      <c r="F222" s="1543">
        <v>43137</v>
      </c>
      <c r="G222" s="1398">
        <f>SUM(G223)</f>
        <v>9.0741999999999994</v>
      </c>
      <c r="H222" s="1398">
        <f>SUM(H223)</f>
        <v>9.0741999999999994</v>
      </c>
      <c r="I222" s="1396"/>
      <c r="J222" s="1396"/>
      <c r="K222" s="1394">
        <v>43137</v>
      </c>
      <c r="L222" s="1397"/>
      <c r="M222" s="1397"/>
      <c r="N222" s="1397"/>
      <c r="O222" s="1407"/>
      <c r="P222" s="1544"/>
      <c r="Q222" s="1545"/>
      <c r="R222" s="1545"/>
      <c r="S222" s="1545"/>
      <c r="T222" s="1545">
        <f t="shared" si="38"/>
        <v>0</v>
      </c>
      <c r="U222" s="1546"/>
      <c r="V222" s="1546"/>
      <c r="W222" s="1399"/>
      <c r="X222" s="1399"/>
      <c r="Y222" s="1399"/>
      <c r="Z222" s="1399"/>
      <c r="AA222" s="1399"/>
      <c r="AB222" s="1399"/>
      <c r="AC222" s="1538"/>
      <c r="AD222" s="1538"/>
      <c r="AE222" s="1538"/>
      <c r="AF222" s="1538"/>
      <c r="AG222" s="1538"/>
      <c r="AH222" s="1538"/>
      <c r="AI222" s="1538"/>
      <c r="AJ222" s="1544"/>
      <c r="AK222" s="1544"/>
      <c r="AL222" s="1544"/>
      <c r="AM222" s="1544"/>
      <c r="AN222" s="1544">
        <f t="shared" si="39"/>
        <v>0</v>
      </c>
      <c r="AO222" s="1547"/>
      <c r="AP222" s="1547"/>
      <c r="AQ222" s="1547"/>
      <c r="AR222" s="1547"/>
      <c r="AS222" s="1547"/>
      <c r="AT222" s="1547"/>
      <c r="AU222" s="1547"/>
      <c r="AV222" s="1547"/>
      <c r="AW222" s="1547"/>
      <c r="AX222" s="1396"/>
      <c r="AY222" s="1400"/>
    </row>
    <row r="223" spans="1:51" s="1548" customFormat="1" ht="46.5" outlineLevel="1" x14ac:dyDescent="0.25">
      <c r="A223" s="1484" t="s">
        <v>1828</v>
      </c>
      <c r="B223" s="1485" t="s">
        <v>1829</v>
      </c>
      <c r="C223" s="1535" t="s">
        <v>936</v>
      </c>
      <c r="D223" s="1484" t="str">
        <f>D222</f>
        <v>MERC/CAPEX/20172018/0177</v>
      </c>
      <c r="E223" s="1536">
        <f>E222</f>
        <v>43112</v>
      </c>
      <c r="F223" s="1394">
        <f>IF(F222=0,"-",F222)</f>
        <v>43137</v>
      </c>
      <c r="G223" s="1395">
        <v>9.0741999999999994</v>
      </c>
      <c r="H223" s="1395">
        <v>9.0741999999999994</v>
      </c>
      <c r="I223" s="1396"/>
      <c r="J223" s="1396"/>
      <c r="K223" s="1394">
        <v>43137</v>
      </c>
      <c r="L223" s="1397"/>
      <c r="M223" s="1397"/>
      <c r="N223" s="1397"/>
      <c r="O223" s="1407"/>
      <c r="P223" s="309">
        <v>0</v>
      </c>
      <c r="Q223" s="309">
        <v>1.1421614</v>
      </c>
      <c r="R223" s="309">
        <v>2.1162922960000001</v>
      </c>
      <c r="S223" s="309">
        <v>4.4785835450000002</v>
      </c>
      <c r="T223" s="309">
        <f t="shared" si="38"/>
        <v>7.7370372410000003</v>
      </c>
      <c r="U223" s="1537">
        <v>1.2140461280000006</v>
      </c>
      <c r="V223" s="1537">
        <v>0.66116859999999988</v>
      </c>
      <c r="W223" s="309">
        <v>0</v>
      </c>
      <c r="X223" s="309"/>
      <c r="Y223" s="309"/>
      <c r="Z223" s="309"/>
      <c r="AA223" s="309"/>
      <c r="AB223" s="309"/>
      <c r="AC223" s="1538"/>
      <c r="AD223" s="1538"/>
      <c r="AE223" s="1538"/>
      <c r="AF223" s="1538"/>
      <c r="AG223" s="1538"/>
      <c r="AH223" s="1538"/>
      <c r="AI223" s="1538"/>
      <c r="AJ223" s="309">
        <v>0</v>
      </c>
      <c r="AK223" s="309">
        <v>0</v>
      </c>
      <c r="AL223" s="309">
        <v>2.1918659000000003</v>
      </c>
      <c r="AM223" s="309">
        <v>3.9370006000000002</v>
      </c>
      <c r="AN223" s="1544">
        <f t="shared" si="39"/>
        <v>6.1288665000000009</v>
      </c>
      <c r="AO223" s="1537">
        <v>2.822216869</v>
      </c>
      <c r="AP223" s="1537">
        <v>0.6611686</v>
      </c>
      <c r="AQ223" s="309">
        <v>0</v>
      </c>
      <c r="AR223" s="309"/>
      <c r="AS223" s="309"/>
      <c r="AT223" s="309"/>
      <c r="AU223" s="309"/>
      <c r="AV223" s="309"/>
      <c r="AW223" s="309"/>
      <c r="AX223" s="1396"/>
      <c r="AY223" s="1549" t="s">
        <v>940</v>
      </c>
    </row>
    <row r="224" spans="1:51" s="1548" customFormat="1" ht="46.5" outlineLevel="1" x14ac:dyDescent="0.25">
      <c r="A224" s="1489" t="s">
        <v>1830</v>
      </c>
      <c r="B224" s="1490" t="s">
        <v>1831</v>
      </c>
      <c r="C224" s="1489" t="s">
        <v>928</v>
      </c>
      <c r="D224" s="1489" t="s">
        <v>1832</v>
      </c>
      <c r="E224" s="1543">
        <v>43484</v>
      </c>
      <c r="F224" s="1543">
        <v>43703</v>
      </c>
      <c r="G224" s="1398">
        <f>SUM(G225:G227)</f>
        <v>11.13</v>
      </c>
      <c r="H224" s="1398">
        <f>SUM(H225:H227)</f>
        <v>11.13</v>
      </c>
      <c r="I224" s="1396"/>
      <c r="J224" s="1396"/>
      <c r="K224" s="1394">
        <v>43703</v>
      </c>
      <c r="L224" s="1397"/>
      <c r="M224" s="1397"/>
      <c r="N224" s="1397"/>
      <c r="O224" s="1407"/>
      <c r="P224" s="1544"/>
      <c r="Q224" s="1545"/>
      <c r="R224" s="1545"/>
      <c r="S224" s="1545"/>
      <c r="T224" s="1545">
        <f t="shared" si="38"/>
        <v>0</v>
      </c>
      <c r="U224" s="1546"/>
      <c r="V224" s="1546"/>
      <c r="W224" s="1399"/>
      <c r="X224" s="1399"/>
      <c r="Y224" s="1399"/>
      <c r="Z224" s="1399"/>
      <c r="AA224" s="1399"/>
      <c r="AB224" s="1399"/>
      <c r="AC224" s="1538"/>
      <c r="AD224" s="1538"/>
      <c r="AE224" s="1538"/>
      <c r="AF224" s="1538"/>
      <c r="AG224" s="1538"/>
      <c r="AH224" s="1538"/>
      <c r="AI224" s="1538"/>
      <c r="AJ224" s="1544"/>
      <c r="AK224" s="1544"/>
      <c r="AL224" s="1544"/>
      <c r="AM224" s="1544"/>
      <c r="AN224" s="1544">
        <f t="shared" si="39"/>
        <v>0</v>
      </c>
      <c r="AO224" s="1547"/>
      <c r="AP224" s="1547"/>
      <c r="AQ224" s="1547"/>
      <c r="AR224" s="1547"/>
      <c r="AS224" s="1547"/>
      <c r="AT224" s="1547"/>
      <c r="AU224" s="1547"/>
      <c r="AV224" s="1547"/>
      <c r="AW224" s="1547"/>
      <c r="AX224" s="1396"/>
      <c r="AY224" s="1400"/>
    </row>
    <row r="225" spans="1:51" s="1548" customFormat="1" ht="98" outlineLevel="1" x14ac:dyDescent="0.25">
      <c r="A225" s="1484" t="s">
        <v>1833</v>
      </c>
      <c r="B225" s="1485" t="s">
        <v>1834</v>
      </c>
      <c r="C225" s="1535" t="s">
        <v>936</v>
      </c>
      <c r="D225" s="1484" t="str">
        <f t="shared" ref="D225:E227" si="41">D224</f>
        <v>MERC/CAPEX/2019-2020/643</v>
      </c>
      <c r="E225" s="1536">
        <f t="shared" si="41"/>
        <v>43484</v>
      </c>
      <c r="F225" s="1394">
        <f>IF(F224=0,"-",F224)</f>
        <v>43703</v>
      </c>
      <c r="G225" s="1395">
        <v>1.73</v>
      </c>
      <c r="H225" s="1395">
        <v>1.73</v>
      </c>
      <c r="I225" s="1396"/>
      <c r="J225" s="1396"/>
      <c r="K225" s="1394">
        <v>43703</v>
      </c>
      <c r="L225" s="1397"/>
      <c r="M225" s="1397"/>
      <c r="N225" s="1397"/>
      <c r="O225" s="1407" t="s">
        <v>2280</v>
      </c>
      <c r="P225" s="309">
        <v>0</v>
      </c>
      <c r="Q225" s="309">
        <v>0</v>
      </c>
      <c r="R225" s="309">
        <v>1.6959658</v>
      </c>
      <c r="S225" s="309">
        <v>0</v>
      </c>
      <c r="T225" s="309">
        <f t="shared" si="38"/>
        <v>1.6959658</v>
      </c>
      <c r="U225" s="309">
        <v>0</v>
      </c>
      <c r="V225" s="309">
        <v>0</v>
      </c>
      <c r="W225" s="309">
        <v>0</v>
      </c>
      <c r="X225" s="309"/>
      <c r="Y225" s="309"/>
      <c r="Z225" s="309"/>
      <c r="AA225" s="309"/>
      <c r="AB225" s="309"/>
      <c r="AC225" s="1538"/>
      <c r="AD225" s="1538"/>
      <c r="AE225" s="1538"/>
      <c r="AF225" s="1538"/>
      <c r="AG225" s="1538"/>
      <c r="AH225" s="1538"/>
      <c r="AI225" s="1538"/>
      <c r="AJ225" s="309">
        <v>0</v>
      </c>
      <c r="AK225" s="309">
        <v>0</v>
      </c>
      <c r="AL225" s="309">
        <v>0</v>
      </c>
      <c r="AM225" s="309">
        <v>1.6959658</v>
      </c>
      <c r="AN225" s="1544">
        <f t="shared" si="39"/>
        <v>1.6959658</v>
      </c>
      <c r="AO225" s="309">
        <v>0</v>
      </c>
      <c r="AP225" s="309">
        <v>0</v>
      </c>
      <c r="AQ225" s="309">
        <v>0</v>
      </c>
      <c r="AR225" s="309"/>
      <c r="AS225" s="309"/>
      <c r="AT225" s="309"/>
      <c r="AU225" s="309"/>
      <c r="AV225" s="309"/>
      <c r="AW225" s="309"/>
      <c r="AX225" s="1396"/>
      <c r="AY225" s="1549" t="s">
        <v>940</v>
      </c>
    </row>
    <row r="226" spans="1:51" s="1548" customFormat="1" ht="62" outlineLevel="1" x14ac:dyDescent="0.25">
      <c r="A226" s="1484" t="s">
        <v>1835</v>
      </c>
      <c r="B226" s="1485" t="s">
        <v>1836</v>
      </c>
      <c r="C226" s="1535" t="s">
        <v>936</v>
      </c>
      <c r="D226" s="1484" t="str">
        <f t="shared" si="41"/>
        <v>MERC/CAPEX/2019-2020/643</v>
      </c>
      <c r="E226" s="1536">
        <f t="shared" si="41"/>
        <v>43484</v>
      </c>
      <c r="F226" s="1394">
        <f>IF(F225=0,"-",F225)</f>
        <v>43703</v>
      </c>
      <c r="G226" s="1395">
        <v>9.4</v>
      </c>
      <c r="H226" s="1395">
        <v>9.4</v>
      </c>
      <c r="I226" s="1396"/>
      <c r="J226" s="1396"/>
      <c r="K226" s="1394">
        <v>43703</v>
      </c>
      <c r="L226" s="1397"/>
      <c r="M226" s="1397"/>
      <c r="N226" s="1397"/>
      <c r="O226" s="1407"/>
      <c r="P226" s="309">
        <v>0</v>
      </c>
      <c r="Q226" s="309">
        <v>4.4552521</v>
      </c>
      <c r="R226" s="309">
        <v>4.4552522000000003</v>
      </c>
      <c r="S226" s="309">
        <v>0</v>
      </c>
      <c r="T226" s="309">
        <f t="shared" si="38"/>
        <v>8.9105042999999995</v>
      </c>
      <c r="U226" s="309">
        <v>0</v>
      </c>
      <c r="V226" s="309">
        <v>0</v>
      </c>
      <c r="W226" s="309">
        <v>0</v>
      </c>
      <c r="X226" s="309"/>
      <c r="Y226" s="309"/>
      <c r="Z226" s="309"/>
      <c r="AA226" s="309"/>
      <c r="AB226" s="309"/>
      <c r="AC226" s="1538"/>
      <c r="AD226" s="1538"/>
      <c r="AE226" s="1538"/>
      <c r="AF226" s="1538"/>
      <c r="AG226" s="1538"/>
      <c r="AH226" s="1538"/>
      <c r="AI226" s="1538"/>
      <c r="AJ226" s="309">
        <v>0</v>
      </c>
      <c r="AK226" s="309">
        <v>0</v>
      </c>
      <c r="AL226" s="309">
        <v>4.4552521</v>
      </c>
      <c r="AM226" s="309">
        <v>4.4552522000000003</v>
      </c>
      <c r="AN226" s="1544">
        <f t="shared" si="39"/>
        <v>8.9105042999999995</v>
      </c>
      <c r="AO226" s="309">
        <v>0</v>
      </c>
      <c r="AP226" s="309">
        <v>0</v>
      </c>
      <c r="AQ226" s="309">
        <v>0</v>
      </c>
      <c r="AR226" s="309"/>
      <c r="AS226" s="309"/>
      <c r="AT226" s="309"/>
      <c r="AU226" s="309"/>
      <c r="AV226" s="309"/>
      <c r="AW226" s="309"/>
      <c r="AX226" s="1396"/>
      <c r="AY226" s="1549" t="s">
        <v>940</v>
      </c>
    </row>
    <row r="227" spans="1:51" s="1548" customFormat="1" ht="15.5" outlineLevel="1" x14ac:dyDescent="0.25">
      <c r="A227" s="1484"/>
      <c r="B227" s="1485" t="s">
        <v>414</v>
      </c>
      <c r="C227" s="1535" t="s">
        <v>414</v>
      </c>
      <c r="D227" s="1484" t="str">
        <f t="shared" si="41"/>
        <v>MERC/CAPEX/2019-2020/643</v>
      </c>
      <c r="E227" s="1536">
        <f t="shared" si="41"/>
        <v>43484</v>
      </c>
      <c r="F227" s="1394">
        <f>IF(F226=0,"-",F226)</f>
        <v>43703</v>
      </c>
      <c r="G227" s="1395"/>
      <c r="H227" s="1395"/>
      <c r="I227" s="1396"/>
      <c r="J227" s="1396"/>
      <c r="K227" s="1394">
        <v>43703</v>
      </c>
      <c r="L227" s="1397"/>
      <c r="M227" s="1397"/>
      <c r="N227" s="1397"/>
      <c r="O227" s="1407"/>
      <c r="P227" s="309"/>
      <c r="Q227" s="309">
        <v>0</v>
      </c>
      <c r="R227" s="309">
        <v>0</v>
      </c>
      <c r="S227" s="309">
        <v>0</v>
      </c>
      <c r="T227" s="309">
        <f t="shared" si="38"/>
        <v>0</v>
      </c>
      <c r="U227" s="309">
        <v>0</v>
      </c>
      <c r="V227" s="309">
        <v>0</v>
      </c>
      <c r="W227" s="309">
        <v>0</v>
      </c>
      <c r="X227" s="309"/>
      <c r="Y227" s="309"/>
      <c r="Z227" s="309"/>
      <c r="AA227" s="309"/>
      <c r="AB227" s="309"/>
      <c r="AC227" s="1538"/>
      <c r="AD227" s="1538"/>
      <c r="AE227" s="1538"/>
      <c r="AF227" s="1538"/>
      <c r="AG227" s="1538"/>
      <c r="AH227" s="1538"/>
      <c r="AI227" s="1538"/>
      <c r="AJ227" s="309"/>
      <c r="AK227" s="309">
        <v>0</v>
      </c>
      <c r="AL227" s="309">
        <v>0</v>
      </c>
      <c r="AM227" s="309">
        <v>0</v>
      </c>
      <c r="AN227" s="1544">
        <f t="shared" si="39"/>
        <v>0</v>
      </c>
      <c r="AO227" s="309">
        <v>0</v>
      </c>
      <c r="AP227" s="309">
        <v>0</v>
      </c>
      <c r="AQ227" s="309">
        <v>0</v>
      </c>
      <c r="AR227" s="309"/>
      <c r="AS227" s="309"/>
      <c r="AT227" s="309"/>
      <c r="AU227" s="309"/>
      <c r="AV227" s="309"/>
      <c r="AW227" s="309"/>
      <c r="AX227" s="1396"/>
      <c r="AY227" s="1549"/>
    </row>
    <row r="228" spans="1:51" s="1548" customFormat="1" ht="46.5" outlineLevel="1" x14ac:dyDescent="0.25">
      <c r="A228" s="1489" t="s">
        <v>1837</v>
      </c>
      <c r="B228" s="1490" t="s">
        <v>1838</v>
      </c>
      <c r="C228" s="1489" t="s">
        <v>928</v>
      </c>
      <c r="D228" s="1489" t="s">
        <v>1839</v>
      </c>
      <c r="E228" s="1543">
        <v>43752</v>
      </c>
      <c r="F228" s="1543">
        <v>44131</v>
      </c>
      <c r="G228" s="1398">
        <f>SUM(G229:G231)</f>
        <v>3.7552319999999999</v>
      </c>
      <c r="H228" s="1398">
        <f>SUM(H229:H231)</f>
        <v>3.7552319999999999</v>
      </c>
      <c r="I228" s="1396"/>
      <c r="J228" s="1396"/>
      <c r="K228" s="1394">
        <v>44131</v>
      </c>
      <c r="L228" s="1397"/>
      <c r="M228" s="1397"/>
      <c r="N228" s="1397"/>
      <c r="O228" s="1407"/>
      <c r="P228" s="1544"/>
      <c r="Q228" s="1545"/>
      <c r="R228" s="1545"/>
      <c r="S228" s="1545"/>
      <c r="T228" s="1545">
        <f t="shared" si="38"/>
        <v>0</v>
      </c>
      <c r="U228" s="1546"/>
      <c r="V228" s="1546"/>
      <c r="W228" s="1399"/>
      <c r="X228" s="1399"/>
      <c r="Y228" s="1399"/>
      <c r="Z228" s="1399"/>
      <c r="AA228" s="1399"/>
      <c r="AB228" s="1399"/>
      <c r="AC228" s="1538"/>
      <c r="AD228" s="1538"/>
      <c r="AE228" s="1538"/>
      <c r="AF228" s="1538"/>
      <c r="AG228" s="1538"/>
      <c r="AH228" s="1538"/>
      <c r="AI228" s="1538"/>
      <c r="AJ228" s="1544"/>
      <c r="AK228" s="1544"/>
      <c r="AL228" s="1544"/>
      <c r="AM228" s="1544"/>
      <c r="AN228" s="1544">
        <f t="shared" si="39"/>
        <v>0</v>
      </c>
      <c r="AO228" s="1547"/>
      <c r="AP228" s="1547"/>
      <c r="AQ228" s="1547"/>
      <c r="AR228" s="1547"/>
      <c r="AS228" s="1547"/>
      <c r="AT228" s="1547"/>
      <c r="AU228" s="1547"/>
      <c r="AV228" s="1547"/>
      <c r="AW228" s="1547"/>
      <c r="AX228" s="1396"/>
      <c r="AY228" s="1400"/>
    </row>
    <row r="229" spans="1:51" s="1548" customFormat="1" ht="46.5" outlineLevel="1" x14ac:dyDescent="0.25">
      <c r="A229" s="1484" t="s">
        <v>1840</v>
      </c>
      <c r="B229" s="1485" t="s">
        <v>1841</v>
      </c>
      <c r="C229" s="1535" t="s">
        <v>936</v>
      </c>
      <c r="D229" s="1484" t="str">
        <f t="shared" ref="D229:E231" si="42">D228</f>
        <v>MERC/CAPEX/2020-2021/WFH/SBR/37</v>
      </c>
      <c r="E229" s="1536">
        <f t="shared" si="42"/>
        <v>43752</v>
      </c>
      <c r="F229" s="1394">
        <f>IF(F228=0,"-",F228)</f>
        <v>44131</v>
      </c>
      <c r="G229" s="1395">
        <f>2.42*1.18*1.02</f>
        <v>2.912712</v>
      </c>
      <c r="H229" s="1395">
        <f>2.42*1.18*1.02</f>
        <v>2.912712</v>
      </c>
      <c r="I229" s="1396"/>
      <c r="J229" s="1396"/>
      <c r="K229" s="1394">
        <v>44131</v>
      </c>
      <c r="L229" s="1397"/>
      <c r="M229" s="1397"/>
      <c r="N229" s="1397"/>
      <c r="O229" s="1407"/>
      <c r="P229" s="309"/>
      <c r="Q229" s="309">
        <v>0</v>
      </c>
      <c r="R229" s="309">
        <v>0</v>
      </c>
      <c r="S229" s="309">
        <v>0</v>
      </c>
      <c r="T229" s="309">
        <f t="shared" si="38"/>
        <v>0</v>
      </c>
      <c r="U229" s="1537">
        <v>2.8883319000000003</v>
      </c>
      <c r="V229" s="309"/>
      <c r="W229" s="309">
        <v>0</v>
      </c>
      <c r="X229" s="309"/>
      <c r="Y229" s="309"/>
      <c r="Z229" s="309"/>
      <c r="AA229" s="309"/>
      <c r="AB229" s="309"/>
      <c r="AC229" s="1538"/>
      <c r="AD229" s="1538"/>
      <c r="AE229" s="1538"/>
      <c r="AF229" s="1538"/>
      <c r="AG229" s="1538"/>
      <c r="AH229" s="1538"/>
      <c r="AI229" s="1538"/>
      <c r="AJ229" s="309"/>
      <c r="AK229" s="309">
        <v>0</v>
      </c>
      <c r="AL229" s="309">
        <v>0</v>
      </c>
      <c r="AM229" s="309">
        <v>0</v>
      </c>
      <c r="AN229" s="1544">
        <f t="shared" si="39"/>
        <v>0</v>
      </c>
      <c r="AO229" s="1537">
        <v>2.8883319000000003</v>
      </c>
      <c r="AP229" s="309"/>
      <c r="AQ229" s="309">
        <v>0</v>
      </c>
      <c r="AR229" s="309"/>
      <c r="AS229" s="309"/>
      <c r="AT229" s="309"/>
      <c r="AU229" s="309"/>
      <c r="AV229" s="309"/>
      <c r="AW229" s="309"/>
      <c r="AX229" s="1396"/>
      <c r="AY229" s="1549" t="s">
        <v>940</v>
      </c>
    </row>
    <row r="230" spans="1:51" s="1548" customFormat="1" ht="62" outlineLevel="1" x14ac:dyDescent="0.25">
      <c r="A230" s="1484" t="s">
        <v>1842</v>
      </c>
      <c r="B230" s="1485" t="s">
        <v>1843</v>
      </c>
      <c r="C230" s="1535" t="s">
        <v>936</v>
      </c>
      <c r="D230" s="1484" t="str">
        <f t="shared" si="42"/>
        <v>MERC/CAPEX/2020-2021/WFH/SBR/37</v>
      </c>
      <c r="E230" s="1536">
        <f t="shared" si="42"/>
        <v>43752</v>
      </c>
      <c r="F230" s="1394">
        <f>IF(F229=0,"-",F229)</f>
        <v>44131</v>
      </c>
      <c r="G230" s="1395">
        <f>0.7*1.18*1.02</f>
        <v>0.84251999999999994</v>
      </c>
      <c r="H230" s="1395">
        <f>0.7*1.18*1.02</f>
        <v>0.84251999999999994</v>
      </c>
      <c r="I230" s="1396"/>
      <c r="J230" s="1396"/>
      <c r="K230" s="1394">
        <v>44131</v>
      </c>
      <c r="L230" s="1397"/>
      <c r="M230" s="1397"/>
      <c r="N230" s="1397"/>
      <c r="O230" s="1407"/>
      <c r="P230" s="309"/>
      <c r="Q230" s="309">
        <v>0</v>
      </c>
      <c r="R230" s="309">
        <v>0</v>
      </c>
      <c r="S230" s="309">
        <v>0</v>
      </c>
      <c r="T230" s="309">
        <f t="shared" si="38"/>
        <v>0</v>
      </c>
      <c r="U230" s="1537">
        <v>0.84251999999999994</v>
      </c>
      <c r="V230" s="309"/>
      <c r="W230" s="309">
        <v>0</v>
      </c>
      <c r="X230" s="309"/>
      <c r="Y230" s="309"/>
      <c r="Z230" s="309"/>
      <c r="AA230" s="309"/>
      <c r="AB230" s="309"/>
      <c r="AC230" s="1538"/>
      <c r="AD230" s="1538"/>
      <c r="AE230" s="1538"/>
      <c r="AF230" s="1538"/>
      <c r="AG230" s="1538"/>
      <c r="AH230" s="1538"/>
      <c r="AI230" s="1538"/>
      <c r="AJ230" s="309"/>
      <c r="AK230" s="309">
        <v>0</v>
      </c>
      <c r="AL230" s="309">
        <v>0</v>
      </c>
      <c r="AM230" s="309">
        <v>0</v>
      </c>
      <c r="AN230" s="1544">
        <f t="shared" si="39"/>
        <v>0</v>
      </c>
      <c r="AO230" s="1537">
        <v>0.84251999999999994</v>
      </c>
      <c r="AP230" s="309"/>
      <c r="AQ230" s="309">
        <v>0</v>
      </c>
      <c r="AR230" s="309"/>
      <c r="AS230" s="309"/>
      <c r="AT230" s="309"/>
      <c r="AU230" s="309"/>
      <c r="AV230" s="309"/>
      <c r="AW230" s="309"/>
      <c r="AX230" s="1396"/>
      <c r="AY230" s="1549" t="s">
        <v>940</v>
      </c>
    </row>
    <row r="231" spans="1:51" s="1548" customFormat="1" ht="31" outlineLevel="1" x14ac:dyDescent="0.25">
      <c r="A231" s="1484"/>
      <c r="B231" s="1485" t="s">
        <v>414</v>
      </c>
      <c r="C231" s="1535" t="s">
        <v>414</v>
      </c>
      <c r="D231" s="1484" t="str">
        <f t="shared" si="42"/>
        <v>MERC/CAPEX/2020-2021/WFH/SBR/37</v>
      </c>
      <c r="E231" s="1536">
        <f t="shared" si="42"/>
        <v>43752</v>
      </c>
      <c r="F231" s="1394">
        <f>IF(F230=0,"-",F230)</f>
        <v>44131</v>
      </c>
      <c r="G231" s="1395">
        <v>0</v>
      </c>
      <c r="H231" s="1395">
        <v>0</v>
      </c>
      <c r="I231" s="1396"/>
      <c r="J231" s="1396"/>
      <c r="K231" s="1394">
        <v>44131</v>
      </c>
      <c r="L231" s="1397"/>
      <c r="M231" s="1397"/>
      <c r="N231" s="1397"/>
      <c r="O231" s="1407"/>
      <c r="P231" s="309"/>
      <c r="Q231" s="309">
        <v>0</v>
      </c>
      <c r="R231" s="309">
        <v>0</v>
      </c>
      <c r="S231" s="309">
        <v>0</v>
      </c>
      <c r="T231" s="309">
        <f t="shared" si="38"/>
        <v>0</v>
      </c>
      <c r="U231" s="309">
        <v>0</v>
      </c>
      <c r="V231" s="309">
        <v>0</v>
      </c>
      <c r="W231" s="309">
        <v>0</v>
      </c>
      <c r="X231" s="309"/>
      <c r="Y231" s="309"/>
      <c r="Z231" s="309"/>
      <c r="AA231" s="309"/>
      <c r="AB231" s="309"/>
      <c r="AC231" s="1538"/>
      <c r="AD231" s="1538"/>
      <c r="AE231" s="1538"/>
      <c r="AF231" s="1538"/>
      <c r="AG231" s="1538"/>
      <c r="AH231" s="1538"/>
      <c r="AI231" s="1538"/>
      <c r="AJ231" s="309"/>
      <c r="AK231" s="309">
        <v>0</v>
      </c>
      <c r="AL231" s="309">
        <v>0</v>
      </c>
      <c r="AM231" s="309">
        <v>0</v>
      </c>
      <c r="AN231" s="1544">
        <f t="shared" si="39"/>
        <v>0</v>
      </c>
      <c r="AO231" s="309">
        <v>0</v>
      </c>
      <c r="AP231" s="309">
        <v>0</v>
      </c>
      <c r="AQ231" s="309">
        <v>0</v>
      </c>
      <c r="AR231" s="309"/>
      <c r="AS231" s="309"/>
      <c r="AT231" s="309"/>
      <c r="AU231" s="309"/>
      <c r="AV231" s="309"/>
      <c r="AW231" s="309"/>
      <c r="AX231" s="1396"/>
      <c r="AY231" s="1549"/>
    </row>
    <row r="232" spans="1:51" s="1548" customFormat="1" ht="62" outlineLevel="1" x14ac:dyDescent="0.25">
      <c r="A232" s="1489">
        <v>40</v>
      </c>
      <c r="B232" s="1490" t="s">
        <v>1844</v>
      </c>
      <c r="C232" s="1489" t="s">
        <v>928</v>
      </c>
      <c r="D232" s="1489" t="s">
        <v>1845</v>
      </c>
      <c r="E232" s="1543">
        <v>44202</v>
      </c>
      <c r="F232" s="1543">
        <v>44357</v>
      </c>
      <c r="G232" s="1398">
        <f>SUM(G233:G235)</f>
        <v>10.89</v>
      </c>
      <c r="H232" s="1398">
        <f>SUM(H233:H235)</f>
        <v>10.89</v>
      </c>
      <c r="I232" s="1396"/>
      <c r="J232" s="1396"/>
      <c r="K232" s="1394">
        <v>44357</v>
      </c>
      <c r="L232" s="1397"/>
      <c r="M232" s="1397"/>
      <c r="N232" s="1397"/>
      <c r="O232" s="1407"/>
      <c r="P232" s="1544"/>
      <c r="Q232" s="1545"/>
      <c r="R232" s="1545"/>
      <c r="S232" s="1545"/>
      <c r="T232" s="1545">
        <f t="shared" si="38"/>
        <v>0</v>
      </c>
      <c r="U232" s="1546"/>
      <c r="V232" s="1546"/>
      <c r="W232" s="1399"/>
      <c r="X232" s="1399"/>
      <c r="Y232" s="1399"/>
      <c r="Z232" s="1399"/>
      <c r="AA232" s="1399"/>
      <c r="AB232" s="1399"/>
      <c r="AC232" s="1538"/>
      <c r="AD232" s="1538"/>
      <c r="AE232" s="1538"/>
      <c r="AF232" s="1538"/>
      <c r="AG232" s="1538"/>
      <c r="AH232" s="1538"/>
      <c r="AI232" s="1538"/>
      <c r="AJ232" s="1544"/>
      <c r="AK232" s="1544"/>
      <c r="AL232" s="1544"/>
      <c r="AM232" s="1544"/>
      <c r="AN232" s="1544">
        <f t="shared" si="39"/>
        <v>0</v>
      </c>
      <c r="AO232" s="1547"/>
      <c r="AP232" s="1547"/>
      <c r="AQ232" s="1547"/>
      <c r="AR232" s="1547"/>
      <c r="AS232" s="1547"/>
      <c r="AT232" s="1547"/>
      <c r="AU232" s="1547"/>
      <c r="AV232" s="1547"/>
      <c r="AW232" s="1547"/>
      <c r="AX232" s="1396"/>
      <c r="AY232" s="1400"/>
    </row>
    <row r="233" spans="1:51" s="1548" customFormat="1" ht="46.5" outlineLevel="1" x14ac:dyDescent="0.25">
      <c r="A233" s="1484">
        <v>40.1</v>
      </c>
      <c r="B233" s="1485" t="s">
        <v>1846</v>
      </c>
      <c r="C233" s="1535" t="s">
        <v>936</v>
      </c>
      <c r="D233" s="1484" t="str">
        <f t="shared" ref="D233:E235" si="43">D232</f>
        <v>MERC/CAPEX/2021-2022/ WFH/SBR/ 10</v>
      </c>
      <c r="E233" s="1536">
        <f t="shared" si="43"/>
        <v>44202</v>
      </c>
      <c r="F233" s="1394">
        <f>IF(F232=0,"-",F232)</f>
        <v>44357</v>
      </c>
      <c r="G233" s="1395">
        <v>6.2</v>
      </c>
      <c r="H233" s="1395">
        <v>6.2</v>
      </c>
      <c r="I233" s="1396"/>
      <c r="J233" s="1396"/>
      <c r="K233" s="1394">
        <v>44357</v>
      </c>
      <c r="L233" s="1397"/>
      <c r="M233" s="1397"/>
      <c r="N233" s="1397"/>
      <c r="O233" s="1407"/>
      <c r="P233" s="309"/>
      <c r="Q233" s="309">
        <v>0</v>
      </c>
      <c r="R233" s="309">
        <v>0</v>
      </c>
      <c r="S233" s="309">
        <v>0</v>
      </c>
      <c r="T233" s="309">
        <f t="shared" si="38"/>
        <v>0</v>
      </c>
      <c r="U233" s="1537">
        <v>6.0121000000000002</v>
      </c>
      <c r="V233" s="309">
        <v>0</v>
      </c>
      <c r="W233" s="309">
        <v>0</v>
      </c>
      <c r="X233" s="309"/>
      <c r="Y233" s="309"/>
      <c r="Z233" s="309"/>
      <c r="AA233" s="309"/>
      <c r="AB233" s="309"/>
      <c r="AC233" s="1538"/>
      <c r="AD233" s="1538"/>
      <c r="AE233" s="1538"/>
      <c r="AF233" s="1538"/>
      <c r="AG233" s="1538"/>
      <c r="AH233" s="1538"/>
      <c r="AI233" s="1538"/>
      <c r="AJ233" s="309"/>
      <c r="AK233" s="309"/>
      <c r="AL233" s="309"/>
      <c r="AM233" s="309"/>
      <c r="AN233" s="1544">
        <f t="shared" si="39"/>
        <v>0</v>
      </c>
      <c r="AO233" s="1556">
        <v>6.0121000000000002</v>
      </c>
      <c r="AP233" s="309">
        <v>0</v>
      </c>
      <c r="AQ233" s="309">
        <v>0</v>
      </c>
      <c r="AR233" s="309"/>
      <c r="AS233" s="309"/>
      <c r="AT233" s="309"/>
      <c r="AU233" s="309"/>
      <c r="AV233" s="309"/>
      <c r="AW233" s="309"/>
      <c r="AX233" s="1396"/>
      <c r="AY233" s="1549" t="s">
        <v>940</v>
      </c>
    </row>
    <row r="234" spans="1:51" s="1548" customFormat="1" ht="405" customHeight="1" outlineLevel="1" x14ac:dyDescent="0.25">
      <c r="A234" s="1484">
        <v>40.200000000000003</v>
      </c>
      <c r="B234" s="1485" t="s">
        <v>1847</v>
      </c>
      <c r="C234" s="1535" t="s">
        <v>936</v>
      </c>
      <c r="D234" s="1484" t="str">
        <f t="shared" si="43"/>
        <v>MERC/CAPEX/2021-2022/ WFH/SBR/ 10</v>
      </c>
      <c r="E234" s="1536">
        <f t="shared" si="43"/>
        <v>44202</v>
      </c>
      <c r="F234" s="1394">
        <f>IF(F233=0,"-",F233)</f>
        <v>44357</v>
      </c>
      <c r="G234" s="1395">
        <v>4.3899999999999997</v>
      </c>
      <c r="H234" s="1395">
        <v>4.3899999999999997</v>
      </c>
      <c r="I234" s="1396"/>
      <c r="J234" s="1396"/>
      <c r="K234" s="1394">
        <v>44357</v>
      </c>
      <c r="L234" s="1397"/>
      <c r="M234" s="1397"/>
      <c r="N234" s="1397"/>
      <c r="O234" s="1407" t="s">
        <v>2281</v>
      </c>
      <c r="P234" s="309"/>
      <c r="Q234" s="309">
        <v>0</v>
      </c>
      <c r="R234" s="309">
        <v>0</v>
      </c>
      <c r="S234" s="309">
        <v>0</v>
      </c>
      <c r="T234" s="309">
        <f t="shared" si="38"/>
        <v>0</v>
      </c>
      <c r="U234" s="1537">
        <v>4.3293638999999997</v>
      </c>
      <c r="V234" s="309"/>
      <c r="W234" s="309">
        <v>0</v>
      </c>
      <c r="X234" s="309"/>
      <c r="Y234" s="309"/>
      <c r="Z234" s="309"/>
      <c r="AA234" s="309"/>
      <c r="AB234" s="309"/>
      <c r="AC234" s="1538"/>
      <c r="AD234" s="1538"/>
      <c r="AE234" s="1538"/>
      <c r="AF234" s="1538"/>
      <c r="AG234" s="1538"/>
      <c r="AH234" s="1538"/>
      <c r="AI234" s="1538"/>
      <c r="AJ234" s="309"/>
      <c r="AK234" s="309"/>
      <c r="AL234" s="309"/>
      <c r="AM234" s="309"/>
      <c r="AN234" s="1544">
        <f t="shared" si="39"/>
        <v>0</v>
      </c>
      <c r="AO234" s="1556">
        <v>4.3293638999999997</v>
      </c>
      <c r="AP234" s="309"/>
      <c r="AQ234" s="309">
        <v>0</v>
      </c>
      <c r="AR234" s="309"/>
      <c r="AS234" s="309"/>
      <c r="AT234" s="309"/>
      <c r="AU234" s="309"/>
      <c r="AV234" s="309"/>
      <c r="AW234" s="309"/>
      <c r="AX234" s="1396"/>
      <c r="AY234" s="1549" t="s">
        <v>940</v>
      </c>
    </row>
    <row r="235" spans="1:51" s="1548" customFormat="1" ht="31" outlineLevel="1" x14ac:dyDescent="0.25">
      <c r="A235" s="1484"/>
      <c r="B235" s="1485" t="s">
        <v>414</v>
      </c>
      <c r="C235" s="1535" t="s">
        <v>414</v>
      </c>
      <c r="D235" s="1484" t="str">
        <f t="shared" si="43"/>
        <v>MERC/CAPEX/2021-2022/ WFH/SBR/ 10</v>
      </c>
      <c r="E235" s="1536">
        <f t="shared" si="43"/>
        <v>44202</v>
      </c>
      <c r="F235" s="1394">
        <f>IF(F234=0,"-",F234)</f>
        <v>44357</v>
      </c>
      <c r="G235" s="1395">
        <v>0.3</v>
      </c>
      <c r="H235" s="1395">
        <v>0.3</v>
      </c>
      <c r="I235" s="1396"/>
      <c r="J235" s="1396"/>
      <c r="K235" s="1394">
        <v>44357</v>
      </c>
      <c r="L235" s="1397"/>
      <c r="M235" s="1397"/>
      <c r="N235" s="1397"/>
      <c r="O235" s="1407"/>
      <c r="P235" s="309"/>
      <c r="Q235" s="309">
        <v>0</v>
      </c>
      <c r="R235" s="309">
        <v>0</v>
      </c>
      <c r="S235" s="309">
        <v>0</v>
      </c>
      <c r="T235" s="309">
        <f t="shared" si="38"/>
        <v>0</v>
      </c>
      <c r="U235" s="309">
        <v>0</v>
      </c>
      <c r="V235" s="309">
        <v>0</v>
      </c>
      <c r="W235" s="309">
        <v>0</v>
      </c>
      <c r="X235" s="309"/>
      <c r="Y235" s="309"/>
      <c r="Z235" s="309"/>
      <c r="AA235" s="309"/>
      <c r="AB235" s="309"/>
      <c r="AC235" s="1538"/>
      <c r="AD235" s="1538"/>
      <c r="AE235" s="1538"/>
      <c r="AF235" s="1538"/>
      <c r="AG235" s="1538"/>
      <c r="AH235" s="1538"/>
      <c r="AI235" s="1538"/>
      <c r="AJ235" s="309"/>
      <c r="AK235" s="309"/>
      <c r="AL235" s="309"/>
      <c r="AM235" s="309"/>
      <c r="AN235" s="1544">
        <f t="shared" si="39"/>
        <v>0</v>
      </c>
      <c r="AO235" s="309">
        <v>0</v>
      </c>
      <c r="AP235" s="309">
        <v>0</v>
      </c>
      <c r="AQ235" s="309">
        <v>0</v>
      </c>
      <c r="AR235" s="309"/>
      <c r="AS235" s="309"/>
      <c r="AT235" s="309"/>
      <c r="AU235" s="309"/>
      <c r="AV235" s="309"/>
      <c r="AW235" s="309"/>
      <c r="AX235" s="1396"/>
      <c r="AY235" s="1549"/>
    </row>
    <row r="236" spans="1:51" s="1548" customFormat="1" ht="108.5" outlineLevel="1" x14ac:dyDescent="0.25">
      <c r="A236" s="1489">
        <v>41</v>
      </c>
      <c r="B236" s="1490" t="s">
        <v>1848</v>
      </c>
      <c r="C236" s="1489" t="s">
        <v>928</v>
      </c>
      <c r="D236" s="1489" t="s">
        <v>1849</v>
      </c>
      <c r="E236" s="1543">
        <v>44203</v>
      </c>
      <c r="F236" s="1543">
        <v>44760</v>
      </c>
      <c r="G236" s="1398">
        <f>SUM(G237:G240)</f>
        <v>14.06</v>
      </c>
      <c r="H236" s="1398">
        <f>SUM(H237:H240)</f>
        <v>14.06</v>
      </c>
      <c r="I236" s="1396"/>
      <c r="J236" s="1396"/>
      <c r="K236" s="1394">
        <v>44760</v>
      </c>
      <c r="L236" s="1397"/>
      <c r="M236" s="1397"/>
      <c r="N236" s="1397"/>
      <c r="O236" s="1407"/>
      <c r="P236" s="1544"/>
      <c r="Q236" s="1545"/>
      <c r="R236" s="1545"/>
      <c r="S236" s="1545"/>
      <c r="T236" s="1545">
        <f t="shared" si="38"/>
        <v>0</v>
      </c>
      <c r="U236" s="1546"/>
      <c r="V236" s="1546"/>
      <c r="W236" s="1399"/>
      <c r="X236" s="1399"/>
      <c r="Y236" s="1399"/>
      <c r="Z236" s="1399"/>
      <c r="AA236" s="1399"/>
      <c r="AB236" s="1399"/>
      <c r="AC236" s="1538"/>
      <c r="AD236" s="1538"/>
      <c r="AE236" s="1538"/>
      <c r="AF236" s="1538"/>
      <c r="AG236" s="1538"/>
      <c r="AH236" s="1538"/>
      <c r="AI236" s="1538"/>
      <c r="AJ236" s="1544"/>
      <c r="AK236" s="1544"/>
      <c r="AL236" s="1544"/>
      <c r="AM236" s="1544"/>
      <c r="AN236" s="1544">
        <f t="shared" si="39"/>
        <v>0</v>
      </c>
      <c r="AO236" s="1547"/>
      <c r="AP236" s="1547"/>
      <c r="AQ236" s="1547"/>
      <c r="AR236" s="1547"/>
      <c r="AS236" s="1547"/>
      <c r="AT236" s="1547"/>
      <c r="AU236" s="1547"/>
      <c r="AV236" s="1547"/>
      <c r="AW236" s="1547"/>
      <c r="AX236" s="1396"/>
      <c r="AY236" s="1400"/>
    </row>
    <row r="237" spans="1:51" s="1548" customFormat="1" ht="360" customHeight="1" outlineLevel="1" x14ac:dyDescent="0.25">
      <c r="A237" s="1484">
        <v>41.1</v>
      </c>
      <c r="B237" s="1485" t="s">
        <v>1850</v>
      </c>
      <c r="C237" s="1535" t="s">
        <v>936</v>
      </c>
      <c r="D237" s="1484" t="str">
        <f t="shared" ref="D237:E240" si="44">D236</f>
        <v>MERC/CAPEX/2022-2023/0321</v>
      </c>
      <c r="E237" s="1536">
        <f t="shared" si="44"/>
        <v>44203</v>
      </c>
      <c r="F237" s="1394">
        <f>IF(F236=0,"-",F236)</f>
        <v>44760</v>
      </c>
      <c r="G237" s="1395">
        <v>6.08</v>
      </c>
      <c r="H237" s="1395">
        <v>6.08</v>
      </c>
      <c r="I237" s="1396"/>
      <c r="J237" s="1396"/>
      <c r="K237" s="1394">
        <v>44760</v>
      </c>
      <c r="L237" s="1397"/>
      <c r="M237" s="1397"/>
      <c r="N237" s="1397"/>
      <c r="O237" s="1568" t="s">
        <v>2282</v>
      </c>
      <c r="P237" s="309"/>
      <c r="Q237" s="309">
        <v>0</v>
      </c>
      <c r="R237" s="309">
        <v>0</v>
      </c>
      <c r="S237" s="309">
        <v>0</v>
      </c>
      <c r="T237" s="309">
        <f t="shared" si="38"/>
        <v>0</v>
      </c>
      <c r="U237" s="309">
        <v>0</v>
      </c>
      <c r="V237" s="1537">
        <v>3.607024</v>
      </c>
      <c r="W237" s="1550">
        <v>2.4700000000000002</v>
      </c>
      <c r="X237" s="309"/>
      <c r="Y237" s="309"/>
      <c r="Z237" s="309"/>
      <c r="AA237" s="309"/>
      <c r="AB237" s="309"/>
      <c r="AC237" s="1538"/>
      <c r="AD237" s="1538"/>
      <c r="AE237" s="1538"/>
      <c r="AF237" s="1538"/>
      <c r="AG237" s="1538"/>
      <c r="AH237" s="1538"/>
      <c r="AI237" s="1538"/>
      <c r="AJ237" s="309"/>
      <c r="AK237" s="309"/>
      <c r="AL237" s="309"/>
      <c r="AM237" s="309"/>
      <c r="AN237" s="1544">
        <f t="shared" si="39"/>
        <v>0</v>
      </c>
      <c r="AO237" s="309">
        <v>0</v>
      </c>
      <c r="AP237" s="1537">
        <v>3.607024</v>
      </c>
      <c r="AQ237" s="1550">
        <v>2.4700000000000002</v>
      </c>
      <c r="AR237" s="309"/>
      <c r="AS237" s="309"/>
      <c r="AT237" s="309"/>
      <c r="AU237" s="309"/>
      <c r="AV237" s="309"/>
      <c r="AW237" s="309"/>
      <c r="AX237" s="1396" t="s">
        <v>1675</v>
      </c>
      <c r="AY237" s="1549" t="s">
        <v>938</v>
      </c>
    </row>
    <row r="238" spans="1:51" s="1548" customFormat="1" ht="408" customHeight="1" outlineLevel="1" x14ac:dyDescent="0.25">
      <c r="A238" s="1484">
        <v>41.2</v>
      </c>
      <c r="B238" s="1485" t="s">
        <v>1851</v>
      </c>
      <c r="C238" s="1535" t="s">
        <v>936</v>
      </c>
      <c r="D238" s="1484" t="str">
        <f t="shared" si="44"/>
        <v>MERC/CAPEX/2022-2023/0321</v>
      </c>
      <c r="E238" s="1536">
        <f t="shared" si="44"/>
        <v>44203</v>
      </c>
      <c r="F238" s="1394">
        <f>IF(F237=0,"-",F237)</f>
        <v>44760</v>
      </c>
      <c r="G238" s="1395">
        <v>5.28</v>
      </c>
      <c r="H238" s="1395">
        <v>5.28</v>
      </c>
      <c r="I238" s="1396"/>
      <c r="J238" s="1396"/>
      <c r="K238" s="1394">
        <v>44760</v>
      </c>
      <c r="L238" s="1397"/>
      <c r="M238" s="1397"/>
      <c r="N238" s="1397"/>
      <c r="O238" s="1568" t="s">
        <v>2283</v>
      </c>
      <c r="P238" s="309"/>
      <c r="Q238" s="309">
        <v>0</v>
      </c>
      <c r="R238" s="309">
        <v>0</v>
      </c>
      <c r="S238" s="309">
        <v>0</v>
      </c>
      <c r="T238" s="309">
        <f t="shared" si="38"/>
        <v>0</v>
      </c>
      <c r="U238" s="309"/>
      <c r="V238" s="1537">
        <v>2.7090321999999998</v>
      </c>
      <c r="W238" s="309"/>
      <c r="X238" s="1550">
        <v>2.5709678000000005</v>
      </c>
      <c r="Y238" s="309"/>
      <c r="Z238" s="309"/>
      <c r="AA238" s="309"/>
      <c r="AB238" s="309"/>
      <c r="AC238" s="1538"/>
      <c r="AD238" s="1538"/>
      <c r="AE238" s="1538"/>
      <c r="AF238" s="1538"/>
      <c r="AG238" s="1538"/>
      <c r="AH238" s="1538"/>
      <c r="AI238" s="1538"/>
      <c r="AJ238" s="309"/>
      <c r="AK238" s="309"/>
      <c r="AL238" s="309"/>
      <c r="AM238" s="309"/>
      <c r="AN238" s="1544">
        <f t="shared" si="39"/>
        <v>0</v>
      </c>
      <c r="AO238" s="309">
        <v>0</v>
      </c>
      <c r="AP238" s="1537">
        <v>2.3456039999999998</v>
      </c>
      <c r="AQ238" s="1550">
        <v>0.36342819999999998</v>
      </c>
      <c r="AR238" s="1550">
        <v>2.5709678000000005</v>
      </c>
      <c r="AS238" s="309"/>
      <c r="AT238" s="309"/>
      <c r="AU238" s="309"/>
      <c r="AV238" s="309"/>
      <c r="AW238" s="309"/>
      <c r="AX238" s="1396" t="s">
        <v>1675</v>
      </c>
      <c r="AY238" s="1549" t="s">
        <v>938</v>
      </c>
    </row>
    <row r="239" spans="1:51" s="1548" customFormat="1" ht="336" customHeight="1" outlineLevel="1" x14ac:dyDescent="0.25">
      <c r="A239" s="1484">
        <v>41.3</v>
      </c>
      <c r="B239" s="1485" t="s">
        <v>1852</v>
      </c>
      <c r="C239" s="1535" t="s">
        <v>936</v>
      </c>
      <c r="D239" s="1484" t="str">
        <f t="shared" si="44"/>
        <v>MERC/CAPEX/2022-2023/0321</v>
      </c>
      <c r="E239" s="1536">
        <f t="shared" si="44"/>
        <v>44203</v>
      </c>
      <c r="F239" s="1394">
        <f>IF(F238=0,"-",F238)</f>
        <v>44760</v>
      </c>
      <c r="G239" s="1395">
        <v>1.98</v>
      </c>
      <c r="H239" s="1395">
        <v>1.98</v>
      </c>
      <c r="I239" s="1396"/>
      <c r="J239" s="1396"/>
      <c r="K239" s="1394">
        <v>44760</v>
      </c>
      <c r="L239" s="1397"/>
      <c r="M239" s="1397"/>
      <c r="N239" s="1397"/>
      <c r="O239" s="1568" t="s">
        <v>2284</v>
      </c>
      <c r="P239" s="309"/>
      <c r="Q239" s="309">
        <v>0</v>
      </c>
      <c r="R239" s="309">
        <v>0</v>
      </c>
      <c r="S239" s="309">
        <v>0</v>
      </c>
      <c r="T239" s="309">
        <f t="shared" si="38"/>
        <v>0</v>
      </c>
      <c r="U239" s="1537">
        <v>1.7286999999999999</v>
      </c>
      <c r="V239" s="309">
        <v>0</v>
      </c>
      <c r="W239" s="309">
        <v>0</v>
      </c>
      <c r="X239" s="1550">
        <v>0.25130000000000008</v>
      </c>
      <c r="Y239" s="309"/>
      <c r="Z239" s="309"/>
      <c r="AA239" s="309"/>
      <c r="AB239" s="309"/>
      <c r="AC239" s="1538"/>
      <c r="AD239" s="1538"/>
      <c r="AE239" s="1538"/>
      <c r="AF239" s="1538"/>
      <c r="AG239" s="1538"/>
      <c r="AH239" s="1538"/>
      <c r="AI239" s="1538"/>
      <c r="AJ239" s="309"/>
      <c r="AK239" s="309"/>
      <c r="AL239" s="309"/>
      <c r="AM239" s="309"/>
      <c r="AN239" s="1544">
        <f t="shared" si="39"/>
        <v>0</v>
      </c>
      <c r="AO239" s="1556">
        <v>0</v>
      </c>
      <c r="AP239" s="309">
        <v>0</v>
      </c>
      <c r="AQ239" s="309">
        <v>0</v>
      </c>
      <c r="AR239" s="1550">
        <v>1.98</v>
      </c>
      <c r="AS239" s="309"/>
      <c r="AT239" s="309"/>
      <c r="AU239" s="309"/>
      <c r="AV239" s="309"/>
      <c r="AW239" s="309"/>
      <c r="AX239" s="1396" t="s">
        <v>1853</v>
      </c>
      <c r="AY239" s="1549" t="s">
        <v>937</v>
      </c>
    </row>
    <row r="240" spans="1:51" s="1548" customFormat="1" ht="15.5" outlineLevel="1" x14ac:dyDescent="0.25">
      <c r="A240" s="1484"/>
      <c r="B240" s="1485" t="s">
        <v>414</v>
      </c>
      <c r="C240" s="1535" t="s">
        <v>414</v>
      </c>
      <c r="D240" s="1484" t="str">
        <f t="shared" si="44"/>
        <v>MERC/CAPEX/2022-2023/0321</v>
      </c>
      <c r="E240" s="1536">
        <f t="shared" si="44"/>
        <v>44203</v>
      </c>
      <c r="F240" s="1394">
        <f>IF(F239=0,"-",F239)</f>
        <v>44760</v>
      </c>
      <c r="G240" s="1395">
        <v>0.72</v>
      </c>
      <c r="H240" s="1395">
        <v>0.72</v>
      </c>
      <c r="I240" s="1396"/>
      <c r="J240" s="1396"/>
      <c r="K240" s="1394">
        <v>44760</v>
      </c>
      <c r="L240" s="1397"/>
      <c r="M240" s="1397"/>
      <c r="N240" s="1397"/>
      <c r="O240" s="1407"/>
      <c r="P240" s="309"/>
      <c r="Q240" s="309">
        <v>0</v>
      </c>
      <c r="R240" s="309">
        <v>0</v>
      </c>
      <c r="S240" s="309">
        <v>0</v>
      </c>
      <c r="T240" s="309">
        <f t="shared" si="38"/>
        <v>0</v>
      </c>
      <c r="U240" s="309">
        <v>0</v>
      </c>
      <c r="V240" s="309">
        <v>0</v>
      </c>
      <c r="W240" s="309">
        <v>0</v>
      </c>
      <c r="X240" s="309"/>
      <c r="Y240" s="309"/>
      <c r="Z240" s="309"/>
      <c r="AA240" s="309"/>
      <c r="AB240" s="309"/>
      <c r="AC240" s="1538"/>
      <c r="AD240" s="1538"/>
      <c r="AE240" s="1538"/>
      <c r="AF240" s="1538"/>
      <c r="AG240" s="1538"/>
      <c r="AH240" s="1538"/>
      <c r="AI240" s="1538"/>
      <c r="AJ240" s="309"/>
      <c r="AK240" s="309"/>
      <c r="AL240" s="309"/>
      <c r="AM240" s="309"/>
      <c r="AN240" s="1544">
        <f t="shared" si="39"/>
        <v>0</v>
      </c>
      <c r="AO240" s="309">
        <v>0</v>
      </c>
      <c r="AP240" s="309">
        <v>0</v>
      </c>
      <c r="AQ240" s="309">
        <v>0</v>
      </c>
      <c r="AR240" s="309"/>
      <c r="AS240" s="309"/>
      <c r="AT240" s="309"/>
      <c r="AU240" s="309"/>
      <c r="AV240" s="309"/>
      <c r="AW240" s="309"/>
      <c r="AX240" s="1396"/>
      <c r="AY240" s="1549"/>
    </row>
    <row r="241" spans="1:51" s="1548" customFormat="1" ht="31" outlineLevel="1" x14ac:dyDescent="0.25">
      <c r="A241" s="1489">
        <v>42</v>
      </c>
      <c r="B241" s="1490" t="s">
        <v>1854</v>
      </c>
      <c r="C241" s="1489" t="s">
        <v>928</v>
      </c>
      <c r="D241" s="1489" t="s">
        <v>1855</v>
      </c>
      <c r="E241" s="1543">
        <v>44253</v>
      </c>
      <c r="F241" s="1543">
        <v>44833</v>
      </c>
      <c r="G241" s="1398">
        <f>SUM(G242:G243)</f>
        <v>219.44</v>
      </c>
      <c r="H241" s="1398">
        <f>SUM(H242:H243)</f>
        <v>219.44</v>
      </c>
      <c r="I241" s="1396"/>
      <c r="J241" s="1396"/>
      <c r="K241" s="1394">
        <v>44833</v>
      </c>
      <c r="L241" s="1397"/>
      <c r="M241" s="1397"/>
      <c r="N241" s="1397"/>
      <c r="O241" s="1407"/>
      <c r="P241" s="1544"/>
      <c r="Q241" s="1545"/>
      <c r="R241" s="1545"/>
      <c r="S241" s="1545"/>
      <c r="T241" s="1545">
        <f t="shared" si="38"/>
        <v>0</v>
      </c>
      <c r="U241" s="1546"/>
      <c r="V241" s="1546"/>
      <c r="W241" s="1399"/>
      <c r="X241" s="1399"/>
      <c r="Y241" s="1399"/>
      <c r="Z241" s="1399"/>
      <c r="AA241" s="1399"/>
      <c r="AB241" s="1399"/>
      <c r="AC241" s="1538"/>
      <c r="AD241" s="1538"/>
      <c r="AE241" s="1538"/>
      <c r="AF241" s="1538"/>
      <c r="AG241" s="1538"/>
      <c r="AH241" s="1538"/>
      <c r="AI241" s="1538"/>
      <c r="AJ241" s="1544"/>
      <c r="AK241" s="1544"/>
      <c r="AL241" s="1544"/>
      <c r="AM241" s="1544"/>
      <c r="AN241" s="1544">
        <f t="shared" si="39"/>
        <v>0</v>
      </c>
      <c r="AO241" s="1547"/>
      <c r="AP241" s="1547"/>
      <c r="AQ241" s="1547"/>
      <c r="AR241" s="1547"/>
      <c r="AS241" s="1547"/>
      <c r="AT241" s="1547"/>
      <c r="AU241" s="1547"/>
      <c r="AV241" s="1547"/>
      <c r="AW241" s="1547"/>
      <c r="AX241" s="1396"/>
      <c r="AY241" s="1400"/>
    </row>
    <row r="242" spans="1:51" s="1548" customFormat="1" ht="31" outlineLevel="1" x14ac:dyDescent="0.25">
      <c r="A242" s="1484">
        <v>42.1</v>
      </c>
      <c r="B242" s="1485" t="s">
        <v>1856</v>
      </c>
      <c r="C242" s="1535" t="s">
        <v>936</v>
      </c>
      <c r="D242" s="1484" t="str">
        <f>D241</f>
        <v>MERC/CAPEX/2022-2023/MSPGCL/0453</v>
      </c>
      <c r="E242" s="1536">
        <f>E241</f>
        <v>44253</v>
      </c>
      <c r="F242" s="1394">
        <f>IF(F241=0,"-",F241)</f>
        <v>44833</v>
      </c>
      <c r="G242" s="1395">
        <f>103.73*2</f>
        <v>207.46</v>
      </c>
      <c r="H242" s="1395">
        <f>103.73*2</f>
        <v>207.46</v>
      </c>
      <c r="I242" s="1396"/>
      <c r="J242" s="1396"/>
      <c r="K242" s="1394">
        <v>44833</v>
      </c>
      <c r="L242" s="1397"/>
      <c r="M242" s="1397"/>
      <c r="N242" s="1397"/>
      <c r="O242" s="1407"/>
      <c r="P242" s="309"/>
      <c r="Q242" s="309"/>
      <c r="R242" s="309"/>
      <c r="S242" s="309"/>
      <c r="T242" s="309">
        <f t="shared" si="38"/>
        <v>0</v>
      </c>
      <c r="U242" s="309"/>
      <c r="V242" s="309"/>
      <c r="W242" s="1550">
        <v>116.38</v>
      </c>
      <c r="X242" s="1550">
        <v>116.38</v>
      </c>
      <c r="Y242" s="309">
        <v>0</v>
      </c>
      <c r="Z242" s="309"/>
      <c r="AA242" s="309"/>
      <c r="AB242" s="309"/>
      <c r="AC242" s="1538"/>
      <c r="AD242" s="1538"/>
      <c r="AE242" s="1538"/>
      <c r="AF242" s="1538"/>
      <c r="AG242" s="1538"/>
      <c r="AH242" s="1538"/>
      <c r="AI242" s="1538"/>
      <c r="AJ242" s="309"/>
      <c r="AK242" s="309"/>
      <c r="AL242" s="309"/>
      <c r="AM242" s="309"/>
      <c r="AN242" s="1544">
        <f t="shared" si="39"/>
        <v>0</v>
      </c>
      <c r="AO242" s="309"/>
      <c r="AP242" s="309"/>
      <c r="AQ242" s="1550">
        <v>116.38</v>
      </c>
      <c r="AR242" s="1550">
        <v>116.38</v>
      </c>
      <c r="AS242" s="309">
        <v>0</v>
      </c>
      <c r="AT242" s="309"/>
      <c r="AU242" s="309"/>
      <c r="AV242" s="309"/>
      <c r="AW242" s="309"/>
      <c r="AX242" s="1396" t="s">
        <v>1857</v>
      </c>
      <c r="AY242" s="1549" t="s">
        <v>937</v>
      </c>
    </row>
    <row r="243" spans="1:51" s="1548" customFormat="1" ht="31" outlineLevel="1" x14ac:dyDescent="0.25">
      <c r="A243" s="1484"/>
      <c r="B243" s="1485" t="s">
        <v>414</v>
      </c>
      <c r="C243" s="1535" t="s">
        <v>414</v>
      </c>
      <c r="D243" s="1484" t="str">
        <f>D242</f>
        <v>MERC/CAPEX/2022-2023/MSPGCL/0453</v>
      </c>
      <c r="E243" s="1536">
        <f>E242</f>
        <v>44253</v>
      </c>
      <c r="F243" s="1394">
        <f>IF(F242=0,"-",F242)</f>
        <v>44833</v>
      </c>
      <c r="G243" s="1395">
        <f>5.99*2</f>
        <v>11.98</v>
      </c>
      <c r="H243" s="1395">
        <f>5.99*2</f>
        <v>11.98</v>
      </c>
      <c r="I243" s="1396"/>
      <c r="J243" s="1396"/>
      <c r="K243" s="1394">
        <v>44833</v>
      </c>
      <c r="L243" s="1397"/>
      <c r="M243" s="1397"/>
      <c r="N243" s="1397"/>
      <c r="O243" s="1407"/>
      <c r="P243" s="309"/>
      <c r="Q243" s="1555"/>
      <c r="R243" s="1555"/>
      <c r="S243" s="1555"/>
      <c r="T243" s="1555">
        <f t="shared" si="38"/>
        <v>0</v>
      </c>
      <c r="U243" s="1555"/>
      <c r="V243" s="1555"/>
      <c r="W243" s="1555"/>
      <c r="X243" s="1555"/>
      <c r="Y243" s="1555"/>
      <c r="Z243" s="1555"/>
      <c r="AA243" s="1555"/>
      <c r="AB243" s="1555"/>
      <c r="AC243" s="1538"/>
      <c r="AD243" s="1538"/>
      <c r="AE243" s="1538"/>
      <c r="AF243" s="1538"/>
      <c r="AG243" s="1538"/>
      <c r="AH243" s="1538"/>
      <c r="AI243" s="1538"/>
      <c r="AJ243" s="309"/>
      <c r="AK243" s="309"/>
      <c r="AL243" s="309"/>
      <c r="AM243" s="309"/>
      <c r="AN243" s="1544">
        <f t="shared" si="39"/>
        <v>0</v>
      </c>
      <c r="AO243" s="309"/>
      <c r="AP243" s="309"/>
      <c r="AQ243" s="309"/>
      <c r="AR243" s="309"/>
      <c r="AS243" s="309"/>
      <c r="AT243" s="309"/>
      <c r="AU243" s="309"/>
      <c r="AV243" s="309"/>
      <c r="AW243" s="309"/>
      <c r="AX243" s="1396"/>
      <c r="AY243" s="1549"/>
    </row>
    <row r="244" spans="1:51" s="1548" customFormat="1" ht="46.5" outlineLevel="1" x14ac:dyDescent="0.25">
      <c r="A244" s="1489">
        <v>43</v>
      </c>
      <c r="B244" s="1490" t="s">
        <v>1858</v>
      </c>
      <c r="C244" s="1489" t="s">
        <v>928</v>
      </c>
      <c r="D244" s="1489" t="s">
        <v>1859</v>
      </c>
      <c r="E244" s="1543">
        <v>44273</v>
      </c>
      <c r="F244" s="1543">
        <v>45174</v>
      </c>
      <c r="G244" s="1398">
        <f>SUM(G245:G246)</f>
        <v>115.34</v>
      </c>
      <c r="H244" s="1398">
        <f>SUM(H245:H246)</f>
        <v>115.34</v>
      </c>
      <c r="I244" s="1396"/>
      <c r="J244" s="1396"/>
      <c r="K244" s="1394">
        <v>45174</v>
      </c>
      <c r="L244" s="1397"/>
      <c r="M244" s="1397"/>
      <c r="N244" s="1397"/>
      <c r="O244" s="1407"/>
      <c r="P244" s="1544"/>
      <c r="Q244" s="1545"/>
      <c r="R244" s="1545"/>
      <c r="S244" s="1545"/>
      <c r="T244" s="1545">
        <f t="shared" si="38"/>
        <v>0</v>
      </c>
      <c r="U244" s="1546"/>
      <c r="V244" s="1546"/>
      <c r="W244" s="1399"/>
      <c r="X244" s="1399"/>
      <c r="Y244" s="1399"/>
      <c r="Z244" s="1399"/>
      <c r="AA244" s="1399"/>
      <c r="AB244" s="1399"/>
      <c r="AC244" s="1538"/>
      <c r="AD244" s="1538"/>
      <c r="AE244" s="1538"/>
      <c r="AF244" s="1538"/>
      <c r="AG244" s="1538"/>
      <c r="AH244" s="1538"/>
      <c r="AI244" s="1538"/>
      <c r="AJ244" s="1544"/>
      <c r="AK244" s="1544"/>
      <c r="AL244" s="1544"/>
      <c r="AM244" s="1544"/>
      <c r="AN244" s="1544">
        <f t="shared" si="39"/>
        <v>0</v>
      </c>
      <c r="AO244" s="1547"/>
      <c r="AP244" s="1547"/>
      <c r="AQ244" s="1547"/>
      <c r="AR244" s="1547"/>
      <c r="AS244" s="1547"/>
      <c r="AT244" s="1547"/>
      <c r="AU244" s="1547"/>
      <c r="AV244" s="1547"/>
      <c r="AW244" s="1547"/>
      <c r="AX244" s="1396"/>
      <c r="AY244" s="1400"/>
    </row>
    <row r="245" spans="1:51" s="1548" customFormat="1" ht="31" outlineLevel="1" x14ac:dyDescent="0.25">
      <c r="A245" s="1484">
        <v>43.1</v>
      </c>
      <c r="B245" s="1485" t="s">
        <v>1860</v>
      </c>
      <c r="C245" s="1535" t="s">
        <v>936</v>
      </c>
      <c r="D245" s="1484" t="str">
        <f>D244</f>
        <v>MERC/CAPEX/MSPGCL/2023-2024/0459</v>
      </c>
      <c r="E245" s="1536">
        <f>E244</f>
        <v>44273</v>
      </c>
      <c r="F245" s="1394">
        <f>IF(F244=0,"-",F244)</f>
        <v>45174</v>
      </c>
      <c r="G245" s="1395">
        <f>92.7+16.7</f>
        <v>109.4</v>
      </c>
      <c r="H245" s="1395">
        <f>92.7+16.7</f>
        <v>109.4</v>
      </c>
      <c r="I245" s="1396"/>
      <c r="J245" s="1396"/>
      <c r="K245" s="1394">
        <v>45174</v>
      </c>
      <c r="L245" s="1397"/>
      <c r="M245" s="1397"/>
      <c r="N245" s="1397"/>
      <c r="O245" s="1407"/>
      <c r="P245" s="309"/>
      <c r="Q245" s="309"/>
      <c r="R245" s="309"/>
      <c r="S245" s="309"/>
      <c r="T245" s="309">
        <f t="shared" si="38"/>
        <v>0</v>
      </c>
      <c r="U245" s="309"/>
      <c r="V245" s="309"/>
      <c r="W245" s="1550">
        <v>19.22</v>
      </c>
      <c r="X245" s="1550">
        <v>108.94</v>
      </c>
      <c r="Z245" s="309"/>
      <c r="AA245" s="309"/>
      <c r="AB245" s="309"/>
      <c r="AC245" s="1538"/>
      <c r="AD245" s="1538"/>
      <c r="AE245" s="1538"/>
      <c r="AF245" s="1538"/>
      <c r="AG245" s="1538"/>
      <c r="AH245" s="1538"/>
      <c r="AI245" s="1538"/>
      <c r="AJ245" s="309"/>
      <c r="AK245" s="309"/>
      <c r="AL245" s="309"/>
      <c r="AM245" s="309"/>
      <c r="AN245" s="1544">
        <f t="shared" si="39"/>
        <v>0</v>
      </c>
      <c r="AO245" s="309"/>
      <c r="AQ245" s="1550"/>
      <c r="AR245" s="1550">
        <v>128.16</v>
      </c>
      <c r="AS245" s="309"/>
      <c r="AT245" s="309"/>
      <c r="AU245" s="309"/>
      <c r="AV245" s="309"/>
      <c r="AW245" s="309"/>
      <c r="AX245" s="1396" t="s">
        <v>1817</v>
      </c>
      <c r="AY245" s="1549" t="s">
        <v>934</v>
      </c>
    </row>
    <row r="246" spans="1:51" s="1548" customFormat="1" ht="31" outlineLevel="1" x14ac:dyDescent="0.25">
      <c r="A246" s="1484"/>
      <c r="B246" s="1485" t="s">
        <v>414</v>
      </c>
      <c r="C246" s="1535" t="s">
        <v>414</v>
      </c>
      <c r="D246" s="1484" t="str">
        <f>D245</f>
        <v>MERC/CAPEX/MSPGCL/2023-2024/0459</v>
      </c>
      <c r="E246" s="1536">
        <f>E245</f>
        <v>44273</v>
      </c>
      <c r="F246" s="1394">
        <f>IF(F245=0,"-",F245)</f>
        <v>45174</v>
      </c>
      <c r="G246" s="1395">
        <f>5.54+0.4</f>
        <v>5.94</v>
      </c>
      <c r="H246" s="1395">
        <f>5.54+0.4</f>
        <v>5.94</v>
      </c>
      <c r="I246" s="1396"/>
      <c r="J246" s="1396"/>
      <c r="K246" s="1394">
        <v>45174</v>
      </c>
      <c r="L246" s="1397"/>
      <c r="M246" s="1397"/>
      <c r="N246" s="1397"/>
      <c r="O246" s="1407"/>
      <c r="P246" s="309"/>
      <c r="Q246" s="309"/>
      <c r="R246" s="309"/>
      <c r="S246" s="309"/>
      <c r="T246" s="309">
        <f t="shared" si="38"/>
        <v>0</v>
      </c>
      <c r="U246" s="309"/>
      <c r="V246" s="309"/>
      <c r="W246" s="309"/>
      <c r="X246" s="309"/>
      <c r="Y246" s="309"/>
      <c r="Z246" s="309"/>
      <c r="AA246" s="309"/>
      <c r="AB246" s="309"/>
      <c r="AC246" s="1538"/>
      <c r="AD246" s="1538"/>
      <c r="AE246" s="1538"/>
      <c r="AF246" s="1538"/>
      <c r="AG246" s="1538"/>
      <c r="AH246" s="1538"/>
      <c r="AI246" s="1538"/>
      <c r="AJ246" s="309"/>
      <c r="AK246" s="309"/>
      <c r="AL246" s="309"/>
      <c r="AM246" s="309"/>
      <c r="AN246" s="1544">
        <f t="shared" si="39"/>
        <v>0</v>
      </c>
      <c r="AO246" s="309"/>
      <c r="AP246" s="309"/>
      <c r="AQ246" s="309"/>
      <c r="AR246" s="309"/>
      <c r="AS246" s="309"/>
      <c r="AT246" s="309"/>
      <c r="AU246" s="309"/>
      <c r="AV246" s="309"/>
      <c r="AW246" s="309"/>
      <c r="AX246" s="1396"/>
      <c r="AY246" s="1549"/>
    </row>
    <row r="247" spans="1:51" s="1548" customFormat="1" ht="93" outlineLevel="1" x14ac:dyDescent="0.25">
      <c r="A247" s="1489">
        <v>44</v>
      </c>
      <c r="B247" s="1490" t="s">
        <v>1861</v>
      </c>
      <c r="C247" s="1489" t="s">
        <v>928</v>
      </c>
      <c r="D247" s="1489" t="s">
        <v>1862</v>
      </c>
      <c r="E247" s="1543">
        <v>44420</v>
      </c>
      <c r="F247" s="1543">
        <v>44806</v>
      </c>
      <c r="G247" s="1398">
        <f>SUM(G248:G249)</f>
        <v>33.268000000000001</v>
      </c>
      <c r="H247" s="1398">
        <f>SUM(H248:H249)</f>
        <v>33.268000000000001</v>
      </c>
      <c r="I247" s="1396"/>
      <c r="J247" s="1396"/>
      <c r="K247" s="1394">
        <v>44806</v>
      </c>
      <c r="L247" s="1397"/>
      <c r="M247" s="1397"/>
      <c r="N247" s="1397"/>
      <c r="O247" s="1407"/>
      <c r="P247" s="1544"/>
      <c r="Q247" s="1545"/>
      <c r="R247" s="1545"/>
      <c r="S247" s="1545"/>
      <c r="T247" s="1545">
        <f t="shared" si="38"/>
        <v>0</v>
      </c>
      <c r="U247" s="1546"/>
      <c r="V247" s="1546"/>
      <c r="W247" s="1399"/>
      <c r="X247" s="1399"/>
      <c r="Y247" s="1399"/>
      <c r="Z247" s="1399"/>
      <c r="AA247" s="1399"/>
      <c r="AB247" s="1399"/>
      <c r="AC247" s="1538"/>
      <c r="AD247" s="1538"/>
      <c r="AE247" s="1538"/>
      <c r="AF247" s="1538"/>
      <c r="AG247" s="1538"/>
      <c r="AH247" s="1538"/>
      <c r="AI247" s="1538"/>
      <c r="AJ247" s="1544"/>
      <c r="AK247" s="1544"/>
      <c r="AL247" s="1544"/>
      <c r="AM247" s="1544"/>
      <c r="AN247" s="1544">
        <f t="shared" si="39"/>
        <v>0</v>
      </c>
      <c r="AO247" s="1547"/>
      <c r="AP247" s="1547"/>
      <c r="AQ247" s="1547"/>
      <c r="AR247" s="1547"/>
      <c r="AS247" s="1547"/>
      <c r="AT247" s="1547"/>
      <c r="AU247" s="1547"/>
      <c r="AV247" s="1547"/>
      <c r="AW247" s="1547"/>
      <c r="AX247" s="1396"/>
      <c r="AY247" s="1400"/>
    </row>
    <row r="248" spans="1:51" s="1548" customFormat="1" ht="108.5" outlineLevel="1" x14ac:dyDescent="0.25">
      <c r="A248" s="1484">
        <v>44.1</v>
      </c>
      <c r="B248" s="1485" t="s">
        <v>1863</v>
      </c>
      <c r="C248" s="1535" t="s">
        <v>936</v>
      </c>
      <c r="D248" s="1484" t="str">
        <f>D247</f>
        <v>MERC/CAPEX/2022-2023/0409</v>
      </c>
      <c r="E248" s="1536">
        <f>E247</f>
        <v>44420</v>
      </c>
      <c r="F248" s="1394">
        <f>IF(F247=0,"-",F247)</f>
        <v>44806</v>
      </c>
      <c r="G248" s="1395">
        <f>(9.2*3)*1.18</f>
        <v>32.567999999999998</v>
      </c>
      <c r="H248" s="1395">
        <f>(9.2*3)*1.18</f>
        <v>32.567999999999998</v>
      </c>
      <c r="I248" s="1396"/>
      <c r="J248" s="1396"/>
      <c r="K248" s="1394">
        <v>44806</v>
      </c>
      <c r="L248" s="1397"/>
      <c r="M248" s="1397"/>
      <c r="N248" s="1397"/>
      <c r="O248" s="1407" t="s">
        <v>2285</v>
      </c>
      <c r="P248" s="309"/>
      <c r="Q248" s="309">
        <v>0</v>
      </c>
      <c r="R248" s="309">
        <v>0</v>
      </c>
      <c r="S248" s="309">
        <v>0</v>
      </c>
      <c r="T248" s="309">
        <f t="shared" si="38"/>
        <v>0</v>
      </c>
      <c r="U248" s="309"/>
      <c r="V248" s="309"/>
      <c r="W248" s="1550">
        <v>39</v>
      </c>
      <c r="X248" s="309"/>
      <c r="Y248" s="309"/>
      <c r="Z248" s="309"/>
      <c r="AA248" s="309"/>
      <c r="AB248" s="309"/>
      <c r="AC248" s="1538"/>
      <c r="AD248" s="1538"/>
      <c r="AE248" s="1538"/>
      <c r="AF248" s="1538"/>
      <c r="AG248" s="1538"/>
      <c r="AH248" s="1538"/>
      <c r="AI248" s="1538"/>
      <c r="AJ248" s="309"/>
      <c r="AK248" s="309">
        <v>0</v>
      </c>
      <c r="AL248" s="309">
        <v>0</v>
      </c>
      <c r="AM248" s="309">
        <v>0</v>
      </c>
      <c r="AN248" s="1544">
        <f t="shared" si="39"/>
        <v>0</v>
      </c>
      <c r="AO248" s="309">
        <v>0</v>
      </c>
      <c r="AP248" s="309">
        <v>0</v>
      </c>
      <c r="AQ248" s="1550">
        <v>39</v>
      </c>
      <c r="AR248" s="309"/>
      <c r="AS248" s="309"/>
      <c r="AT248" s="309"/>
      <c r="AU248" s="309"/>
      <c r="AV248" s="309"/>
      <c r="AW248" s="309"/>
      <c r="AX248" s="1407" t="s">
        <v>1864</v>
      </c>
      <c r="AY248" s="1549" t="s">
        <v>937</v>
      </c>
    </row>
    <row r="249" spans="1:51" s="1548" customFormat="1" ht="15.5" outlineLevel="1" x14ac:dyDescent="0.25">
      <c r="A249" s="1484"/>
      <c r="B249" s="1485" t="s">
        <v>414</v>
      </c>
      <c r="C249" s="1535" t="s">
        <v>414</v>
      </c>
      <c r="D249" s="1484" t="str">
        <f>D248</f>
        <v>MERC/CAPEX/2022-2023/0409</v>
      </c>
      <c r="E249" s="1536">
        <f>E248</f>
        <v>44420</v>
      </c>
      <c r="F249" s="1394">
        <f>IF(F248=0,"-",F248)</f>
        <v>44806</v>
      </c>
      <c r="G249" s="1395">
        <v>0.7</v>
      </c>
      <c r="H249" s="1395">
        <v>0.7</v>
      </c>
      <c r="I249" s="1396"/>
      <c r="J249" s="1396"/>
      <c r="K249" s="1394">
        <v>44806</v>
      </c>
      <c r="L249" s="1397"/>
      <c r="M249" s="1397"/>
      <c r="N249" s="1397"/>
      <c r="O249" s="1407"/>
      <c r="P249" s="309"/>
      <c r="Q249" s="309">
        <v>0</v>
      </c>
      <c r="R249" s="309">
        <v>0</v>
      </c>
      <c r="S249" s="309">
        <v>0</v>
      </c>
      <c r="T249" s="309">
        <f t="shared" si="38"/>
        <v>0</v>
      </c>
      <c r="U249" s="309">
        <v>0</v>
      </c>
      <c r="V249" s="309">
        <v>0</v>
      </c>
      <c r="W249" s="309">
        <v>0</v>
      </c>
      <c r="X249" s="309"/>
      <c r="Y249" s="309"/>
      <c r="Z249" s="309"/>
      <c r="AA249" s="309"/>
      <c r="AB249" s="309"/>
      <c r="AC249" s="309"/>
      <c r="AD249" s="1538"/>
      <c r="AE249" s="1538"/>
      <c r="AF249" s="1538"/>
      <c r="AG249" s="1538"/>
      <c r="AH249" s="1538"/>
      <c r="AI249" s="1538"/>
      <c r="AJ249" s="309"/>
      <c r="AK249" s="309">
        <v>0</v>
      </c>
      <c r="AL249" s="309">
        <v>0</v>
      </c>
      <c r="AM249" s="309">
        <v>0</v>
      </c>
      <c r="AN249" s="1544">
        <f t="shared" si="39"/>
        <v>0</v>
      </c>
      <c r="AO249" s="309">
        <v>0</v>
      </c>
      <c r="AP249" s="309">
        <v>0</v>
      </c>
      <c r="AQ249" s="309">
        <v>0</v>
      </c>
      <c r="AR249" s="309"/>
      <c r="AS249" s="309"/>
      <c r="AT249" s="309"/>
      <c r="AU249" s="309"/>
      <c r="AV249" s="309"/>
      <c r="AW249" s="309"/>
      <c r="AX249" s="1396"/>
      <c r="AY249" s="1549"/>
    </row>
    <row r="250" spans="1:51" s="1548" customFormat="1" ht="108.5" outlineLevel="1" x14ac:dyDescent="0.25">
      <c r="A250" s="1489">
        <v>45</v>
      </c>
      <c r="B250" s="1490" t="s">
        <v>1865</v>
      </c>
      <c r="C250" s="1489" t="s">
        <v>928</v>
      </c>
      <c r="D250" s="1489" t="s">
        <v>1866</v>
      </c>
      <c r="E250" s="1543">
        <v>44442</v>
      </c>
      <c r="F250" s="1543">
        <v>45174</v>
      </c>
      <c r="G250" s="1398">
        <f>SUM(G251:G255)</f>
        <v>145.05495436368</v>
      </c>
      <c r="H250" s="1398">
        <f>SUM(H251:H255)</f>
        <v>145.05495436368</v>
      </c>
      <c r="I250" s="1396"/>
      <c r="J250" s="1396"/>
      <c r="K250" s="1394">
        <v>45174</v>
      </c>
      <c r="L250" s="1397"/>
      <c r="M250" s="1397"/>
      <c r="N250" s="1397"/>
      <c r="O250" s="1407"/>
      <c r="P250" s="1544"/>
      <c r="Q250" s="1545"/>
      <c r="R250" s="1545"/>
      <c r="S250" s="1545"/>
      <c r="T250" s="1545">
        <f t="shared" si="38"/>
        <v>0</v>
      </c>
      <c r="U250" s="1546"/>
      <c r="V250" s="1546"/>
      <c r="W250" s="1399"/>
      <c r="X250" s="1399"/>
      <c r="Y250" s="1399"/>
      <c r="Z250" s="1399"/>
      <c r="AA250" s="1399"/>
      <c r="AB250" s="1399"/>
      <c r="AC250" s="1538"/>
      <c r="AD250" s="1538"/>
      <c r="AE250" s="1538"/>
      <c r="AF250" s="1538"/>
      <c r="AG250" s="1538"/>
      <c r="AH250" s="1538"/>
      <c r="AI250" s="1538"/>
      <c r="AJ250" s="1544"/>
      <c r="AK250" s="1544"/>
      <c r="AL250" s="1544"/>
      <c r="AM250" s="1544"/>
      <c r="AN250" s="1544">
        <f t="shared" si="39"/>
        <v>0</v>
      </c>
      <c r="AO250" s="1547"/>
      <c r="AP250" s="1547"/>
      <c r="AQ250" s="1547"/>
      <c r="AR250" s="1547"/>
      <c r="AS250" s="1547"/>
      <c r="AT250" s="1547"/>
      <c r="AU250" s="1547"/>
      <c r="AV250" s="1547"/>
      <c r="AW250" s="1547"/>
      <c r="AX250" s="1396"/>
      <c r="AY250" s="1400"/>
    </row>
    <row r="251" spans="1:51" s="1548" customFormat="1" ht="31" outlineLevel="1" x14ac:dyDescent="0.25">
      <c r="A251" s="1484">
        <v>45.1</v>
      </c>
      <c r="B251" s="1485" t="s">
        <v>1867</v>
      </c>
      <c r="C251" s="1535" t="s">
        <v>936</v>
      </c>
      <c r="D251" s="1484" t="str">
        <f t="shared" ref="D251:E254" si="45">D250</f>
        <v>MERC/CAPEX/2022-2023/MSPGCL/0458</v>
      </c>
      <c r="E251" s="1536">
        <f t="shared" si="45"/>
        <v>44442</v>
      </c>
      <c r="F251" s="1394">
        <f>IF(F250=0,"-",F250)</f>
        <v>45174</v>
      </c>
      <c r="G251" s="1395">
        <f>86.279818532*1.18</f>
        <v>101.81018586775998</v>
      </c>
      <c r="H251" s="1395">
        <f>86.279818532*1.18</f>
        <v>101.81018586775998</v>
      </c>
      <c r="I251" s="1396"/>
      <c r="J251" s="1396"/>
      <c r="K251" s="1394">
        <v>45174</v>
      </c>
      <c r="L251" s="1397"/>
      <c r="M251" s="1397"/>
      <c r="N251" s="1397"/>
      <c r="O251" s="1407"/>
      <c r="P251" s="309"/>
      <c r="Q251" s="309">
        <v>0</v>
      </c>
      <c r="R251" s="309">
        <v>0</v>
      </c>
      <c r="S251" s="309">
        <v>0</v>
      </c>
      <c r="T251" s="309">
        <f t="shared" si="38"/>
        <v>0</v>
      </c>
      <c r="U251" s="309"/>
      <c r="V251" s="1537">
        <v>40.1338133</v>
      </c>
      <c r="W251" s="1550">
        <v>26.809870558253138</v>
      </c>
      <c r="X251" s="309"/>
      <c r="Y251" s="309"/>
      <c r="Z251" s="309"/>
      <c r="AA251" s="309"/>
      <c r="AB251" s="309"/>
      <c r="AC251" s="1538"/>
      <c r="AD251" s="1538"/>
      <c r="AE251" s="1538"/>
      <c r="AF251" s="1538"/>
      <c r="AG251" s="1538"/>
      <c r="AH251" s="1538"/>
      <c r="AI251" s="1538"/>
      <c r="AJ251" s="309"/>
      <c r="AK251" s="309">
        <v>0</v>
      </c>
      <c r="AL251" s="309">
        <v>0</v>
      </c>
      <c r="AM251" s="309">
        <v>0</v>
      </c>
      <c r="AN251" s="1544">
        <f t="shared" si="39"/>
        <v>0</v>
      </c>
      <c r="AO251" s="309"/>
      <c r="AP251" s="1537">
        <v>40.1338133</v>
      </c>
      <c r="AQ251" s="1550">
        <v>26.809870558253138</v>
      </c>
      <c r="AR251" s="309"/>
      <c r="AS251" s="309"/>
      <c r="AT251" s="309"/>
      <c r="AU251" s="309"/>
      <c r="AV251" s="309"/>
      <c r="AW251" s="309"/>
      <c r="AX251" s="1396"/>
      <c r="AY251" s="1549" t="s">
        <v>938</v>
      </c>
    </row>
    <row r="252" spans="1:51" s="1548" customFormat="1" ht="31" outlineLevel="1" x14ac:dyDescent="0.25">
      <c r="A252" s="1484">
        <v>45.2</v>
      </c>
      <c r="B252" s="1485" t="s">
        <v>1868</v>
      </c>
      <c r="C252" s="1535" t="s">
        <v>936</v>
      </c>
      <c r="D252" s="1484" t="str">
        <f t="shared" si="45"/>
        <v>MERC/CAPEX/2022-2023/MSPGCL/0458</v>
      </c>
      <c r="E252" s="1536">
        <f t="shared" si="45"/>
        <v>44442</v>
      </c>
      <c r="F252" s="1394">
        <f>IF(F251=0,"-",F251)</f>
        <v>45174</v>
      </c>
      <c r="G252" s="1395">
        <f>14474514.25*1.18/10000000</f>
        <v>1.7079926814999997</v>
      </c>
      <c r="H252" s="1395">
        <f>14474514.25*1.18/10000000</f>
        <v>1.7079926814999997</v>
      </c>
      <c r="I252" s="1396"/>
      <c r="J252" s="1396"/>
      <c r="K252" s="1394">
        <v>45174</v>
      </c>
      <c r="L252" s="1397"/>
      <c r="M252" s="1397"/>
      <c r="N252" s="1397"/>
      <c r="O252" s="1407"/>
      <c r="P252" s="309"/>
      <c r="Q252" s="309">
        <v>0</v>
      </c>
      <c r="R252" s="309">
        <v>0</v>
      </c>
      <c r="S252" s="309">
        <v>0</v>
      </c>
      <c r="T252" s="309">
        <f t="shared" si="38"/>
        <v>0</v>
      </c>
      <c r="U252" s="309">
        <v>0</v>
      </c>
      <c r="V252" s="309"/>
      <c r="W252" s="1550">
        <v>1.1230636809863013</v>
      </c>
      <c r="X252" s="309"/>
      <c r="Y252" s="309"/>
      <c r="Z252" s="309"/>
      <c r="AA252" s="309"/>
      <c r="AB252" s="309"/>
      <c r="AC252" s="1538"/>
      <c r="AD252" s="1538"/>
      <c r="AE252" s="1538"/>
      <c r="AF252" s="1538"/>
      <c r="AG252" s="1538"/>
      <c r="AH252" s="1538"/>
      <c r="AI252" s="1538"/>
      <c r="AJ252" s="309"/>
      <c r="AK252" s="309">
        <v>0</v>
      </c>
      <c r="AL252" s="309">
        <v>0</v>
      </c>
      <c r="AM252" s="309">
        <v>0</v>
      </c>
      <c r="AN252" s="1544">
        <f t="shared" si="39"/>
        <v>0</v>
      </c>
      <c r="AO252" s="309">
        <v>0</v>
      </c>
      <c r="AP252" s="309"/>
      <c r="AQ252" s="1550">
        <v>1.1230636809863013</v>
      </c>
      <c r="AR252" s="309"/>
      <c r="AS252" s="309"/>
      <c r="AT252" s="309"/>
      <c r="AU252" s="309"/>
      <c r="AV252" s="309"/>
      <c r="AW252" s="309"/>
      <c r="AX252" s="1396"/>
      <c r="AY252" s="1549" t="s">
        <v>937</v>
      </c>
    </row>
    <row r="253" spans="1:51" s="1548" customFormat="1" ht="31" outlineLevel="1" x14ac:dyDescent="0.25">
      <c r="A253" s="1484">
        <v>45.3</v>
      </c>
      <c r="B253" s="1485" t="s">
        <v>1869</v>
      </c>
      <c r="C253" s="1535" t="s">
        <v>936</v>
      </c>
      <c r="D253" s="1484" t="str">
        <f t="shared" si="45"/>
        <v>MERC/CAPEX/2022-2023/MSPGCL/0458</v>
      </c>
      <c r="E253" s="1536">
        <f t="shared" si="45"/>
        <v>44442</v>
      </c>
      <c r="F253" s="1394">
        <f>IF(F252=0,"-",F252)</f>
        <v>45174</v>
      </c>
      <c r="G253" s="1395">
        <f>36180084.29*1.18/10000000</f>
        <v>4.2692499462199995</v>
      </c>
      <c r="H253" s="1395">
        <f>36180084.29*1.18/10000000</f>
        <v>4.2692499462199995</v>
      </c>
      <c r="I253" s="1396"/>
      <c r="J253" s="1396"/>
      <c r="K253" s="1394">
        <v>45174</v>
      </c>
      <c r="L253" s="1397"/>
      <c r="M253" s="1397"/>
      <c r="N253" s="1397"/>
      <c r="O253" s="1407"/>
      <c r="P253" s="309"/>
      <c r="Q253" s="309"/>
      <c r="R253" s="309"/>
      <c r="S253" s="309"/>
      <c r="T253" s="309">
        <f t="shared" si="38"/>
        <v>0</v>
      </c>
      <c r="U253" s="309"/>
      <c r="V253" s="309"/>
      <c r="W253" s="1550">
        <v>2.8071780468295886</v>
      </c>
      <c r="X253" s="309"/>
      <c r="Y253" s="309"/>
      <c r="Z253" s="309"/>
      <c r="AA253" s="309"/>
      <c r="AB253" s="309"/>
      <c r="AC253" s="1538"/>
      <c r="AD253" s="1538"/>
      <c r="AE253" s="1538"/>
      <c r="AF253" s="1538"/>
      <c r="AG253" s="1538"/>
      <c r="AH253" s="1538"/>
      <c r="AI253" s="1538"/>
      <c r="AJ253" s="309"/>
      <c r="AK253" s="309"/>
      <c r="AL253" s="309"/>
      <c r="AM253" s="309"/>
      <c r="AN253" s="1544">
        <f t="shared" si="39"/>
        <v>0</v>
      </c>
      <c r="AO253" s="309"/>
      <c r="AP253" s="309"/>
      <c r="AQ253" s="1550">
        <v>2.8071780468295886</v>
      </c>
      <c r="AR253" s="309"/>
      <c r="AS253" s="309"/>
      <c r="AT253" s="309"/>
      <c r="AU253" s="309"/>
      <c r="AV253" s="309"/>
      <c r="AW253" s="309"/>
      <c r="AX253" s="1396"/>
      <c r="AY253" s="1549" t="s">
        <v>937</v>
      </c>
    </row>
    <row r="254" spans="1:51" s="1548" customFormat="1" ht="31" outlineLevel="1" x14ac:dyDescent="0.25">
      <c r="A254" s="1484">
        <v>45.4</v>
      </c>
      <c r="B254" s="1485" t="s">
        <v>1870</v>
      </c>
      <c r="C254" s="1535" t="s">
        <v>936</v>
      </c>
      <c r="D254" s="1484" t="str">
        <f t="shared" si="45"/>
        <v>MERC/CAPEX/2022-2023/MSPGCL/0458</v>
      </c>
      <c r="E254" s="1536">
        <f t="shared" si="45"/>
        <v>44442</v>
      </c>
      <c r="F254" s="1394">
        <f>IF(F253=0,"-",F253)</f>
        <v>45174</v>
      </c>
      <c r="G254" s="1395">
        <f>217436659.9*1.18/10000000</f>
        <v>25.657525868199997</v>
      </c>
      <c r="H254" s="1395">
        <f>217436659.9*1.18/10000000</f>
        <v>25.657525868199997</v>
      </c>
      <c r="I254" s="1396"/>
      <c r="J254" s="1396"/>
      <c r="K254" s="1394">
        <v>45174</v>
      </c>
      <c r="L254" s="1397"/>
      <c r="M254" s="1397"/>
      <c r="N254" s="1397"/>
      <c r="O254" s="1407"/>
      <c r="P254" s="309"/>
      <c r="Q254" s="309"/>
      <c r="R254" s="309"/>
      <c r="S254" s="309"/>
      <c r="T254" s="309">
        <f t="shared" si="38"/>
        <v>0</v>
      </c>
      <c r="U254" s="309"/>
      <c r="V254" s="309">
        <v>0</v>
      </c>
      <c r="W254" s="1550">
        <v>16.870701940734246</v>
      </c>
      <c r="X254" s="309"/>
      <c r="Y254" s="309"/>
      <c r="Z254" s="309"/>
      <c r="AA254" s="309"/>
      <c r="AB254" s="309"/>
      <c r="AC254" s="1538"/>
      <c r="AD254" s="1538"/>
      <c r="AE254" s="1538"/>
      <c r="AF254" s="1538"/>
      <c r="AG254" s="1538"/>
      <c r="AH254" s="1538"/>
      <c r="AI254" s="1538"/>
      <c r="AJ254" s="309"/>
      <c r="AK254" s="309"/>
      <c r="AL254" s="309"/>
      <c r="AM254" s="309"/>
      <c r="AN254" s="1544">
        <f t="shared" si="39"/>
        <v>0</v>
      </c>
      <c r="AO254" s="309"/>
      <c r="AP254" s="309">
        <v>0</v>
      </c>
      <c r="AQ254" s="1550">
        <v>16.870701940734246</v>
      </c>
      <c r="AR254" s="309"/>
      <c r="AS254" s="309"/>
      <c r="AT254" s="309"/>
      <c r="AU254" s="309"/>
      <c r="AV254" s="309"/>
      <c r="AW254" s="309"/>
      <c r="AX254" s="1396"/>
      <c r="AY254" s="1549" t="s">
        <v>937</v>
      </c>
    </row>
    <row r="255" spans="1:51" s="1548" customFormat="1" ht="31" outlineLevel="1" x14ac:dyDescent="0.25">
      <c r="A255" s="1484"/>
      <c r="B255" s="1485" t="s">
        <v>414</v>
      </c>
      <c r="C255" s="1535" t="s">
        <v>414</v>
      </c>
      <c r="D255" s="1484" t="str">
        <f>D252</f>
        <v>MERC/CAPEX/2022-2023/MSPGCL/0458</v>
      </c>
      <c r="E255" s="1536">
        <f>E252</f>
        <v>44442</v>
      </c>
      <c r="F255" s="1394">
        <f>IF(F252=0,"-",F252)</f>
        <v>45174</v>
      </c>
      <c r="G255" s="1395">
        <v>11.61</v>
      </c>
      <c r="H255" s="1395">
        <v>11.61</v>
      </c>
      <c r="I255" s="1396"/>
      <c r="J255" s="1396"/>
      <c r="K255" s="1394">
        <v>45174</v>
      </c>
      <c r="L255" s="1397"/>
      <c r="M255" s="1397"/>
      <c r="N255" s="1397"/>
      <c r="O255" s="1407"/>
      <c r="P255" s="309"/>
      <c r="Q255" s="309">
        <v>0</v>
      </c>
      <c r="R255" s="309">
        <v>0</v>
      </c>
      <c r="S255" s="309">
        <v>0</v>
      </c>
      <c r="T255" s="309">
        <f t="shared" si="38"/>
        <v>0</v>
      </c>
      <c r="U255" s="309">
        <v>0</v>
      </c>
      <c r="V255" s="309">
        <v>0</v>
      </c>
      <c r="W255" s="309">
        <v>0</v>
      </c>
      <c r="X255" s="309"/>
      <c r="Y255" s="309"/>
      <c r="Z255" s="309"/>
      <c r="AA255" s="309"/>
      <c r="AB255" s="309"/>
      <c r="AC255" s="1538"/>
      <c r="AD255" s="1538"/>
      <c r="AE255" s="1538"/>
      <c r="AF255" s="1538"/>
      <c r="AG255" s="1538"/>
      <c r="AH255" s="1538"/>
      <c r="AI255" s="1538"/>
      <c r="AJ255" s="309"/>
      <c r="AK255" s="309">
        <v>0</v>
      </c>
      <c r="AL255" s="309">
        <v>0</v>
      </c>
      <c r="AM255" s="309">
        <v>0</v>
      </c>
      <c r="AN255" s="1544">
        <f t="shared" si="39"/>
        <v>0</v>
      </c>
      <c r="AO255" s="309">
        <v>0</v>
      </c>
      <c r="AP255" s="309">
        <v>0</v>
      </c>
      <c r="AQ255" s="309">
        <v>0</v>
      </c>
      <c r="AR255" s="309"/>
      <c r="AS255" s="309"/>
      <c r="AT255" s="309"/>
      <c r="AU255" s="309"/>
      <c r="AV255" s="309"/>
      <c r="AW255" s="309"/>
      <c r="AX255" s="1396"/>
      <c r="AY255" s="1549"/>
    </row>
    <row r="256" spans="1:51" s="1548" customFormat="1" ht="62" outlineLevel="1" x14ac:dyDescent="0.25">
      <c r="A256" s="1489">
        <v>46</v>
      </c>
      <c r="B256" s="1490" t="s">
        <v>1871</v>
      </c>
      <c r="C256" s="1489" t="s">
        <v>928</v>
      </c>
      <c r="D256" s="1489" t="s">
        <v>1872</v>
      </c>
      <c r="E256" s="1543">
        <v>44881</v>
      </c>
      <c r="F256" s="1543">
        <v>45429</v>
      </c>
      <c r="G256" s="1398">
        <v>37.316155383285917</v>
      </c>
      <c r="H256" s="1398">
        <v>37.32</v>
      </c>
      <c r="I256" s="1396"/>
      <c r="J256" s="1396"/>
      <c r="K256" s="1569">
        <v>45429</v>
      </c>
      <c r="L256" s="1397"/>
      <c r="M256" s="1397"/>
      <c r="N256" s="1397"/>
      <c r="O256" s="1407"/>
      <c r="P256" s="1544"/>
      <c r="Q256" s="1544"/>
      <c r="R256" s="1544"/>
      <c r="S256" s="1544"/>
      <c r="T256" s="1544">
        <f t="shared" si="38"/>
        <v>0</v>
      </c>
      <c r="U256" s="1547"/>
      <c r="V256" s="1547">
        <v>0</v>
      </c>
      <c r="W256" s="1547"/>
      <c r="X256" s="309"/>
      <c r="Y256" s="309"/>
      <c r="Z256" s="309"/>
      <c r="AA256" s="309"/>
      <c r="AB256" s="309"/>
      <c r="AC256" s="1555"/>
      <c r="AD256" s="1555"/>
      <c r="AE256" s="1555"/>
      <c r="AF256" s="1555"/>
      <c r="AG256" s="1555"/>
      <c r="AH256" s="1555"/>
      <c r="AI256" s="1555"/>
      <c r="AJ256" s="1544"/>
      <c r="AK256" s="1544"/>
      <c r="AL256" s="1544"/>
      <c r="AM256" s="1544"/>
      <c r="AN256" s="1544">
        <f t="shared" si="39"/>
        <v>0</v>
      </c>
      <c r="AO256" s="1547"/>
      <c r="AP256" s="1547">
        <v>0</v>
      </c>
      <c r="AQ256" s="1547"/>
      <c r="AR256" s="309"/>
      <c r="AS256" s="309"/>
      <c r="AT256" s="309"/>
      <c r="AU256" s="309"/>
      <c r="AV256" s="309"/>
      <c r="AW256" s="309"/>
      <c r="AX256" s="1396" t="s">
        <v>1853</v>
      </c>
      <c r="AY256" s="1549"/>
    </row>
    <row r="257" spans="1:51" s="1548" customFormat="1" ht="112" outlineLevel="1" x14ac:dyDescent="0.3">
      <c r="A257" s="1484">
        <v>46.1</v>
      </c>
      <c r="B257" s="1485" t="s">
        <v>1871</v>
      </c>
      <c r="C257" s="1535" t="s">
        <v>936</v>
      </c>
      <c r="D257" s="1484" t="str">
        <f t="shared" ref="D257:F258" si="46">D256</f>
        <v>MERC/CAPEX/2024-2025/MSPGCL/0308</v>
      </c>
      <c r="E257" s="1536">
        <f t="shared" si="46"/>
        <v>44881</v>
      </c>
      <c r="F257" s="1536">
        <f t="shared" si="46"/>
        <v>45429</v>
      </c>
      <c r="G257" s="1395">
        <v>35.944000000000003</v>
      </c>
      <c r="H257" s="1395"/>
      <c r="I257" s="1396"/>
      <c r="J257" s="1396"/>
      <c r="K257" s="1569">
        <v>45429</v>
      </c>
      <c r="L257" s="1397"/>
      <c r="M257" s="1397"/>
      <c r="N257" s="1397"/>
      <c r="O257" s="1570" t="s">
        <v>2286</v>
      </c>
      <c r="P257" s="1555"/>
      <c r="Q257" s="309"/>
      <c r="R257" s="309"/>
      <c r="S257" s="309"/>
      <c r="T257" s="309">
        <f t="shared" si="38"/>
        <v>0</v>
      </c>
      <c r="U257" s="309"/>
      <c r="V257" s="309">
        <v>0</v>
      </c>
      <c r="W257" s="309"/>
      <c r="X257" s="1550">
        <v>35.944000000000003</v>
      </c>
      <c r="Y257" s="309"/>
      <c r="Z257" s="309"/>
      <c r="AA257" s="309"/>
      <c r="AB257" s="309"/>
      <c r="AC257" s="1555"/>
      <c r="AD257" s="1555"/>
      <c r="AE257" s="1555"/>
      <c r="AF257" s="1555"/>
      <c r="AG257" s="1555"/>
      <c r="AH257" s="1555"/>
      <c r="AI257" s="1555"/>
      <c r="AJ257" s="309"/>
      <c r="AK257" s="309"/>
      <c r="AL257" s="309"/>
      <c r="AM257" s="309"/>
      <c r="AN257" s="1544">
        <f t="shared" si="39"/>
        <v>0</v>
      </c>
      <c r="AO257" s="309"/>
      <c r="AP257" s="309">
        <v>0</v>
      </c>
      <c r="AQ257" s="309"/>
      <c r="AR257" s="1550">
        <v>35.944000000000003</v>
      </c>
      <c r="AS257" s="1550"/>
      <c r="AT257" s="309"/>
      <c r="AU257" s="309"/>
      <c r="AV257" s="309"/>
      <c r="AW257" s="309"/>
      <c r="AX257" s="1396"/>
      <c r="AY257" s="1549" t="s">
        <v>937</v>
      </c>
    </row>
    <row r="258" spans="1:51" s="1548" customFormat="1" ht="31" outlineLevel="1" x14ac:dyDescent="0.25">
      <c r="A258" s="1484"/>
      <c r="B258" s="1485" t="s">
        <v>414</v>
      </c>
      <c r="C258" s="1535" t="s">
        <v>414</v>
      </c>
      <c r="D258" s="1484" t="str">
        <f t="shared" si="46"/>
        <v>MERC/CAPEX/2024-2025/MSPGCL/0308</v>
      </c>
      <c r="E258" s="1536">
        <f t="shared" si="46"/>
        <v>44881</v>
      </c>
      <c r="F258" s="1536">
        <f t="shared" si="46"/>
        <v>45429</v>
      </c>
      <c r="G258" s="1395">
        <v>1.3721553832859206</v>
      </c>
      <c r="H258" s="1395"/>
      <c r="I258" s="1408"/>
      <c r="J258" s="1408"/>
      <c r="K258" s="1409" t="s">
        <v>1873</v>
      </c>
      <c r="L258" s="1397"/>
      <c r="M258" s="1397"/>
      <c r="N258" s="1397"/>
      <c r="O258" s="1407"/>
      <c r="P258" s="1555"/>
      <c r="Q258" s="309"/>
      <c r="R258" s="309"/>
      <c r="S258" s="309"/>
      <c r="T258" s="309">
        <f t="shared" si="38"/>
        <v>0</v>
      </c>
      <c r="U258" s="309"/>
      <c r="V258" s="309">
        <v>0</v>
      </c>
      <c r="W258" s="309">
        <v>0</v>
      </c>
      <c r="X258" s="309"/>
      <c r="Y258" s="309"/>
      <c r="Z258" s="1538"/>
      <c r="AA258" s="1538"/>
      <c r="AB258" s="1538"/>
      <c r="AC258" s="1555"/>
      <c r="AD258" s="1555"/>
      <c r="AE258" s="1555"/>
      <c r="AF258" s="1555"/>
      <c r="AG258" s="1556"/>
      <c r="AH258" s="1556">
        <v>0</v>
      </c>
      <c r="AI258" s="1556">
        <v>0</v>
      </c>
      <c r="AJ258" s="309"/>
      <c r="AK258" s="309"/>
      <c r="AL258" s="309"/>
      <c r="AM258" s="309"/>
      <c r="AN258" s="1544">
        <f t="shared" si="39"/>
        <v>0</v>
      </c>
      <c r="AO258" s="309"/>
      <c r="AP258" s="309">
        <v>0</v>
      </c>
      <c r="AQ258" s="309">
        <v>0</v>
      </c>
      <c r="AR258" s="1396"/>
      <c r="AS258" s="1571"/>
      <c r="AT258" s="1572"/>
      <c r="AU258" s="1572"/>
    </row>
    <row r="259" spans="1:51" s="1548" customFormat="1" ht="31" outlineLevel="1" x14ac:dyDescent="0.25">
      <c r="A259" s="1489">
        <v>47</v>
      </c>
      <c r="B259" s="1490" t="s">
        <v>1874</v>
      </c>
      <c r="C259" s="1489" t="s">
        <v>928</v>
      </c>
      <c r="D259" s="1489" t="s">
        <v>1875</v>
      </c>
      <c r="E259" s="1536">
        <v>45169</v>
      </c>
      <c r="F259" s="1394">
        <v>45230</v>
      </c>
      <c r="G259" s="1395">
        <f>SUM(G260:G268)</f>
        <v>43.01</v>
      </c>
      <c r="H259" s="1395">
        <f>SUM(H260:H268)</f>
        <v>43.01</v>
      </c>
      <c r="I259" s="1396"/>
      <c r="J259" s="1396"/>
      <c r="K259" s="1394">
        <v>45230</v>
      </c>
      <c r="L259" s="1397"/>
      <c r="M259" s="1397"/>
      <c r="N259" s="1397"/>
      <c r="O259" s="1407"/>
      <c r="P259" s="1555"/>
      <c r="Q259" s="309"/>
      <c r="R259" s="309"/>
      <c r="S259" s="309"/>
      <c r="T259" s="309">
        <f t="shared" si="38"/>
        <v>0</v>
      </c>
      <c r="U259" s="309"/>
      <c r="V259" s="309"/>
      <c r="W259" s="309"/>
      <c r="X259" s="309"/>
      <c r="Y259" s="309"/>
      <c r="Z259" s="309"/>
      <c r="AA259" s="309"/>
      <c r="AB259" s="309"/>
      <c r="AC259" s="1555"/>
      <c r="AD259" s="1555"/>
      <c r="AE259" s="1555"/>
      <c r="AF259" s="1555"/>
      <c r="AG259" s="1555"/>
      <c r="AH259" s="1555"/>
      <c r="AI259" s="1555"/>
      <c r="AJ259" s="309"/>
      <c r="AK259" s="309"/>
      <c r="AL259" s="309"/>
      <c r="AM259" s="309"/>
      <c r="AN259" s="1544">
        <f t="shared" si="39"/>
        <v>0</v>
      </c>
      <c r="AO259" s="1573"/>
      <c r="AP259" s="309"/>
      <c r="AQ259" s="309"/>
      <c r="AR259" s="309"/>
      <c r="AS259" s="309"/>
      <c r="AT259" s="309"/>
      <c r="AU259" s="309"/>
      <c r="AV259" s="309"/>
      <c r="AW259" s="309"/>
      <c r="AX259" s="1396"/>
      <c r="AY259" s="1571"/>
    </row>
    <row r="260" spans="1:51" s="1548" customFormat="1" ht="46.5" outlineLevel="1" x14ac:dyDescent="0.25">
      <c r="A260" s="1484">
        <v>47.1</v>
      </c>
      <c r="B260" s="1485" t="s">
        <v>1876</v>
      </c>
      <c r="C260" s="1535" t="s">
        <v>936</v>
      </c>
      <c r="D260" s="1484" t="str">
        <f>D259</f>
        <v>MERC/CAPEX/MSPGCL/2023-24/0560</v>
      </c>
      <c r="E260" s="1536">
        <f>E259</f>
        <v>45169</v>
      </c>
      <c r="F260" s="1394">
        <f>F259</f>
        <v>45230</v>
      </c>
      <c r="G260" s="1395">
        <v>5.66</v>
      </c>
      <c r="H260" s="1395">
        <v>5.66</v>
      </c>
      <c r="I260" s="1396"/>
      <c r="J260" s="1396"/>
      <c r="K260" s="1394">
        <v>45230</v>
      </c>
      <c r="L260" s="1397"/>
      <c r="M260" s="1397"/>
      <c r="N260" s="1397"/>
      <c r="O260" s="1407"/>
      <c r="P260" s="1555"/>
      <c r="Q260" s="309"/>
      <c r="R260" s="309"/>
      <c r="S260" s="309"/>
      <c r="T260" s="309">
        <f t="shared" si="38"/>
        <v>0</v>
      </c>
      <c r="U260" s="309"/>
      <c r="V260" s="309"/>
      <c r="W260" s="1550">
        <v>5.66</v>
      </c>
      <c r="X260" s="309"/>
      <c r="Y260" s="309"/>
      <c r="Z260" s="309"/>
      <c r="AA260" s="309"/>
      <c r="AB260" s="309"/>
      <c r="AC260" s="1555"/>
      <c r="AD260" s="1555"/>
      <c r="AE260" s="1555"/>
      <c r="AF260" s="1555"/>
      <c r="AG260" s="1555"/>
      <c r="AH260" s="1555"/>
      <c r="AI260" s="1555"/>
      <c r="AJ260" s="309"/>
      <c r="AK260" s="309"/>
      <c r="AL260" s="309"/>
      <c r="AM260" s="309"/>
      <c r="AN260" s="1544">
        <f t="shared" si="39"/>
        <v>0</v>
      </c>
      <c r="AO260" s="1573"/>
      <c r="AP260" s="309"/>
      <c r="AQ260" s="1550">
        <v>5.66</v>
      </c>
      <c r="AR260" s="309"/>
      <c r="AS260" s="309"/>
      <c r="AT260" s="309"/>
      <c r="AU260" s="309"/>
      <c r="AV260" s="309"/>
      <c r="AW260" s="309"/>
      <c r="AX260" s="1396"/>
      <c r="AY260" s="1571"/>
    </row>
    <row r="261" spans="1:51" s="1548" customFormat="1" ht="46.5" outlineLevel="1" x14ac:dyDescent="0.25">
      <c r="A261" s="1484">
        <v>47.2</v>
      </c>
      <c r="B261" s="1485" t="s">
        <v>1877</v>
      </c>
      <c r="C261" s="1535" t="s">
        <v>936</v>
      </c>
      <c r="D261" s="1484" t="str">
        <f t="shared" ref="D261:F268" si="47">D260</f>
        <v>MERC/CAPEX/MSPGCL/2023-24/0560</v>
      </c>
      <c r="E261" s="1536">
        <f t="shared" si="47"/>
        <v>45169</v>
      </c>
      <c r="F261" s="1394">
        <f t="shared" si="47"/>
        <v>45230</v>
      </c>
      <c r="G261" s="1395">
        <v>8.17</v>
      </c>
      <c r="H261" s="1395">
        <v>8.17</v>
      </c>
      <c r="I261" s="1396"/>
      <c r="J261" s="1396"/>
      <c r="K261" s="1394">
        <v>45230</v>
      </c>
      <c r="L261" s="1397"/>
      <c r="M261" s="1397"/>
      <c r="N261" s="1397"/>
      <c r="O261" s="1407"/>
      <c r="P261" s="1555"/>
      <c r="Q261" s="309"/>
      <c r="R261" s="309"/>
      <c r="S261" s="309"/>
      <c r="T261" s="309">
        <f t="shared" si="38"/>
        <v>0</v>
      </c>
      <c r="U261" s="309"/>
      <c r="V261" s="309"/>
      <c r="W261" s="1550">
        <v>8.17</v>
      </c>
      <c r="X261" s="309"/>
      <c r="Y261" s="309"/>
      <c r="Z261" s="309"/>
      <c r="AA261" s="309"/>
      <c r="AB261" s="309"/>
      <c r="AC261" s="1555"/>
      <c r="AD261" s="1555"/>
      <c r="AE261" s="1555"/>
      <c r="AF261" s="1555"/>
      <c r="AG261" s="1555"/>
      <c r="AH261" s="1555"/>
      <c r="AI261" s="1555"/>
      <c r="AJ261" s="309"/>
      <c r="AK261" s="309"/>
      <c r="AL261" s="309"/>
      <c r="AM261" s="309"/>
      <c r="AN261" s="1544">
        <f t="shared" si="39"/>
        <v>0</v>
      </c>
      <c r="AO261" s="1573"/>
      <c r="AP261" s="309"/>
      <c r="AQ261" s="1550">
        <v>8.17</v>
      </c>
      <c r="AR261" s="309"/>
      <c r="AS261" s="309"/>
      <c r="AT261" s="309"/>
      <c r="AU261" s="309"/>
      <c r="AV261" s="309"/>
      <c r="AW261" s="309"/>
      <c r="AX261" s="1396"/>
      <c r="AY261" s="1571"/>
    </row>
    <row r="262" spans="1:51" s="1548" customFormat="1" ht="46.5" outlineLevel="1" x14ac:dyDescent="0.25">
      <c r="A262" s="1484">
        <v>47.3</v>
      </c>
      <c r="B262" s="1485" t="s">
        <v>1878</v>
      </c>
      <c r="C262" s="1535" t="s">
        <v>936</v>
      </c>
      <c r="D262" s="1484" t="str">
        <f t="shared" si="47"/>
        <v>MERC/CAPEX/MSPGCL/2023-24/0560</v>
      </c>
      <c r="E262" s="1536">
        <f t="shared" si="47"/>
        <v>45169</v>
      </c>
      <c r="F262" s="1394">
        <f t="shared" si="47"/>
        <v>45230</v>
      </c>
      <c r="G262" s="1395">
        <v>4.12</v>
      </c>
      <c r="H262" s="1395">
        <v>4.12</v>
      </c>
      <c r="I262" s="1396"/>
      <c r="J262" s="1396"/>
      <c r="K262" s="1394">
        <v>45230</v>
      </c>
      <c r="L262" s="1397"/>
      <c r="M262" s="1397"/>
      <c r="N262" s="1397"/>
      <c r="O262" s="1407"/>
      <c r="P262" s="1555"/>
      <c r="Q262" s="309"/>
      <c r="R262" s="309"/>
      <c r="S262" s="309"/>
      <c r="T262" s="309">
        <f t="shared" si="38"/>
        <v>0</v>
      </c>
      <c r="U262" s="309"/>
      <c r="V262" s="309"/>
      <c r="W262" s="1550">
        <v>4.12</v>
      </c>
      <c r="X262" s="309"/>
      <c r="Y262" s="309"/>
      <c r="Z262" s="309"/>
      <c r="AA262" s="309"/>
      <c r="AB262" s="309"/>
      <c r="AC262" s="1555"/>
      <c r="AD262" s="1555"/>
      <c r="AE262" s="1555"/>
      <c r="AF262" s="1555"/>
      <c r="AG262" s="1555"/>
      <c r="AH262" s="1555"/>
      <c r="AI262" s="1555"/>
      <c r="AJ262" s="309"/>
      <c r="AK262" s="309"/>
      <c r="AL262" s="309"/>
      <c r="AM262" s="309"/>
      <c r="AN262" s="1544">
        <f t="shared" si="39"/>
        <v>0</v>
      </c>
      <c r="AO262" s="1573"/>
      <c r="AP262" s="309"/>
      <c r="AQ262" s="1550">
        <v>4.12</v>
      </c>
      <c r="AR262" s="309"/>
      <c r="AS262" s="309"/>
      <c r="AT262" s="309"/>
      <c r="AU262" s="309"/>
      <c r="AV262" s="309"/>
      <c r="AW262" s="309"/>
      <c r="AX262" s="1396"/>
      <c r="AY262" s="1571"/>
    </row>
    <row r="263" spans="1:51" s="1548" customFormat="1" ht="62" outlineLevel="1" x14ac:dyDescent="0.25">
      <c r="A263" s="1484">
        <v>47.4</v>
      </c>
      <c r="B263" s="1485" t="s">
        <v>1879</v>
      </c>
      <c r="C263" s="1535" t="s">
        <v>936</v>
      </c>
      <c r="D263" s="1484" t="str">
        <f t="shared" si="47"/>
        <v>MERC/CAPEX/MSPGCL/2023-24/0560</v>
      </c>
      <c r="E263" s="1536">
        <f t="shared" si="47"/>
        <v>45169</v>
      </c>
      <c r="F263" s="1394">
        <f t="shared" si="47"/>
        <v>45230</v>
      </c>
      <c r="G263" s="1395">
        <v>3.72</v>
      </c>
      <c r="H263" s="1395">
        <v>3.72</v>
      </c>
      <c r="I263" s="1396"/>
      <c r="J263" s="1396"/>
      <c r="K263" s="1394">
        <v>45230</v>
      </c>
      <c r="L263" s="1397"/>
      <c r="M263" s="1397"/>
      <c r="N263" s="1397"/>
      <c r="O263" s="1407"/>
      <c r="P263" s="1555"/>
      <c r="Q263" s="309"/>
      <c r="R263" s="309"/>
      <c r="S263" s="309"/>
      <c r="T263" s="309">
        <f t="shared" si="38"/>
        <v>0</v>
      </c>
      <c r="U263" s="309"/>
      <c r="V263" s="309"/>
      <c r="W263" s="1550">
        <v>3.72</v>
      </c>
      <c r="X263" s="309"/>
      <c r="Y263" s="309"/>
      <c r="Z263" s="309"/>
      <c r="AA263" s="309"/>
      <c r="AB263" s="309"/>
      <c r="AC263" s="1555"/>
      <c r="AD263" s="1555"/>
      <c r="AE263" s="1555"/>
      <c r="AF263" s="1555"/>
      <c r="AG263" s="1555"/>
      <c r="AH263" s="1555"/>
      <c r="AI263" s="1555"/>
      <c r="AJ263" s="309"/>
      <c r="AK263" s="309"/>
      <c r="AL263" s="309"/>
      <c r="AM263" s="309"/>
      <c r="AN263" s="1544">
        <f t="shared" si="39"/>
        <v>0</v>
      </c>
      <c r="AO263" s="1573"/>
      <c r="AP263" s="309"/>
      <c r="AQ263" s="1550">
        <v>3.72</v>
      </c>
      <c r="AR263" s="309"/>
      <c r="AS263" s="309"/>
      <c r="AT263" s="309"/>
      <c r="AU263" s="309"/>
      <c r="AV263" s="309"/>
      <c r="AW263" s="309"/>
      <c r="AX263" s="1396"/>
      <c r="AY263" s="1571"/>
    </row>
    <row r="264" spans="1:51" s="1548" customFormat="1" ht="46.5" outlineLevel="1" x14ac:dyDescent="0.25">
      <c r="A264" s="1484">
        <v>47.5</v>
      </c>
      <c r="B264" s="1485" t="s">
        <v>1880</v>
      </c>
      <c r="C264" s="1535" t="s">
        <v>936</v>
      </c>
      <c r="D264" s="1484" t="str">
        <f t="shared" si="47"/>
        <v>MERC/CAPEX/MSPGCL/2023-24/0560</v>
      </c>
      <c r="E264" s="1536">
        <f t="shared" si="47"/>
        <v>45169</v>
      </c>
      <c r="F264" s="1394">
        <f t="shared" si="47"/>
        <v>45230</v>
      </c>
      <c r="G264" s="1395">
        <v>3.45</v>
      </c>
      <c r="H264" s="1395">
        <v>3.45</v>
      </c>
      <c r="I264" s="1396"/>
      <c r="J264" s="1396"/>
      <c r="K264" s="1394">
        <v>45230</v>
      </c>
      <c r="L264" s="1397"/>
      <c r="M264" s="1397"/>
      <c r="N264" s="1397"/>
      <c r="O264" s="1407"/>
      <c r="P264" s="1555"/>
      <c r="Q264" s="309"/>
      <c r="R264" s="309"/>
      <c r="S264" s="309"/>
      <c r="T264" s="309">
        <f t="shared" ref="T264:T327" si="48">SUM(P264:S264)</f>
        <v>0</v>
      </c>
      <c r="U264" s="309"/>
      <c r="V264" s="309"/>
      <c r="W264" s="1550">
        <v>3.45</v>
      </c>
      <c r="X264" s="309"/>
      <c r="Y264" s="309"/>
      <c r="Z264" s="309"/>
      <c r="AA264" s="309"/>
      <c r="AB264" s="309"/>
      <c r="AC264" s="1555"/>
      <c r="AD264" s="1555"/>
      <c r="AE264" s="1555"/>
      <c r="AF264" s="1555"/>
      <c r="AG264" s="1555"/>
      <c r="AH264" s="1555"/>
      <c r="AI264" s="1555"/>
      <c r="AJ264" s="309"/>
      <c r="AK264" s="309"/>
      <c r="AL264" s="309"/>
      <c r="AM264" s="309"/>
      <c r="AN264" s="1544">
        <f t="shared" ref="AN264:AN327" si="49">SUM(AJ264:AM264)</f>
        <v>0</v>
      </c>
      <c r="AO264" s="1573"/>
      <c r="AP264" s="309"/>
      <c r="AQ264" s="1550">
        <v>3.45</v>
      </c>
      <c r="AR264" s="309"/>
      <c r="AS264" s="309"/>
      <c r="AT264" s="309"/>
      <c r="AU264" s="309"/>
      <c r="AV264" s="309"/>
      <c r="AW264" s="309"/>
      <c r="AX264" s="1396"/>
      <c r="AY264" s="1571"/>
    </row>
    <row r="265" spans="1:51" s="1548" customFormat="1" ht="46.5" outlineLevel="1" x14ac:dyDescent="0.25">
      <c r="A265" s="1484">
        <v>47.6</v>
      </c>
      <c r="B265" s="1485" t="s">
        <v>1881</v>
      </c>
      <c r="C265" s="1535" t="s">
        <v>936</v>
      </c>
      <c r="D265" s="1484" t="str">
        <f t="shared" si="47"/>
        <v>MERC/CAPEX/MSPGCL/2023-24/0560</v>
      </c>
      <c r="E265" s="1536">
        <f t="shared" si="47"/>
        <v>45169</v>
      </c>
      <c r="F265" s="1394">
        <f t="shared" si="47"/>
        <v>45230</v>
      </c>
      <c r="G265" s="1395">
        <v>4.5999999999999996</v>
      </c>
      <c r="H265" s="1395">
        <v>4.5999999999999996</v>
      </c>
      <c r="I265" s="1396"/>
      <c r="J265" s="1396"/>
      <c r="K265" s="1394">
        <v>45230</v>
      </c>
      <c r="L265" s="1397"/>
      <c r="M265" s="1397"/>
      <c r="N265" s="1397"/>
      <c r="O265" s="1407"/>
      <c r="P265" s="1555"/>
      <c r="Q265" s="309"/>
      <c r="R265" s="309"/>
      <c r="S265" s="309"/>
      <c r="T265" s="309">
        <f t="shared" si="48"/>
        <v>0</v>
      </c>
      <c r="U265" s="309"/>
      <c r="V265" s="309"/>
      <c r="W265" s="1550">
        <v>4.5999999999999996</v>
      </c>
      <c r="X265" s="309"/>
      <c r="Y265" s="309"/>
      <c r="Z265" s="309"/>
      <c r="AA265" s="309"/>
      <c r="AB265" s="309"/>
      <c r="AC265" s="1555"/>
      <c r="AD265" s="1555"/>
      <c r="AE265" s="1555"/>
      <c r="AF265" s="1555"/>
      <c r="AG265" s="1555"/>
      <c r="AH265" s="1555"/>
      <c r="AI265" s="1555"/>
      <c r="AJ265" s="309"/>
      <c r="AK265" s="309"/>
      <c r="AL265" s="309"/>
      <c r="AM265" s="309"/>
      <c r="AN265" s="1544">
        <f t="shared" si="49"/>
        <v>0</v>
      </c>
      <c r="AO265" s="1573"/>
      <c r="AP265" s="309"/>
      <c r="AQ265" s="1550">
        <v>4.5999999999999996</v>
      </c>
      <c r="AR265" s="309"/>
      <c r="AS265" s="309"/>
      <c r="AT265" s="309"/>
      <c r="AU265" s="309"/>
      <c r="AV265" s="309"/>
      <c r="AW265" s="309"/>
      <c r="AX265" s="1396"/>
      <c r="AY265" s="1571"/>
    </row>
    <row r="266" spans="1:51" s="1548" customFormat="1" ht="46.5" outlineLevel="1" x14ac:dyDescent="0.25">
      <c r="A266" s="1484">
        <v>47.7</v>
      </c>
      <c r="B266" s="1485" t="s">
        <v>1882</v>
      </c>
      <c r="C266" s="1535" t="s">
        <v>936</v>
      </c>
      <c r="D266" s="1484" t="str">
        <f t="shared" si="47"/>
        <v>MERC/CAPEX/MSPGCL/2023-24/0560</v>
      </c>
      <c r="E266" s="1536">
        <f t="shared" si="47"/>
        <v>45169</v>
      </c>
      <c r="F266" s="1394">
        <f t="shared" si="47"/>
        <v>45230</v>
      </c>
      <c r="G266" s="1395">
        <v>8.14</v>
      </c>
      <c r="H266" s="1395">
        <v>8.14</v>
      </c>
      <c r="I266" s="1396"/>
      <c r="J266" s="1396"/>
      <c r="K266" s="1394">
        <v>45230</v>
      </c>
      <c r="L266" s="1397"/>
      <c r="M266" s="1397"/>
      <c r="N266" s="1397"/>
      <c r="O266" s="1407"/>
      <c r="P266" s="1555"/>
      <c r="Q266" s="309"/>
      <c r="R266" s="309"/>
      <c r="S266" s="309"/>
      <c r="T266" s="309">
        <f t="shared" si="48"/>
        <v>0</v>
      </c>
      <c r="U266" s="309"/>
      <c r="V266" s="309"/>
      <c r="W266" s="1550">
        <v>8.14</v>
      </c>
      <c r="X266" s="309"/>
      <c r="Y266" s="309"/>
      <c r="Z266" s="309"/>
      <c r="AA266" s="309"/>
      <c r="AB266" s="309"/>
      <c r="AC266" s="1555"/>
      <c r="AD266" s="1555"/>
      <c r="AE266" s="1555"/>
      <c r="AF266" s="1555"/>
      <c r="AG266" s="1555"/>
      <c r="AH266" s="1555"/>
      <c r="AI266" s="1555"/>
      <c r="AJ266" s="309"/>
      <c r="AK266" s="309"/>
      <c r="AL266" s="309"/>
      <c r="AM266" s="309"/>
      <c r="AN266" s="1544">
        <f t="shared" si="49"/>
        <v>0</v>
      </c>
      <c r="AO266" s="1573"/>
      <c r="AP266" s="309"/>
      <c r="AQ266" s="1550">
        <v>8.14</v>
      </c>
      <c r="AR266" s="309"/>
      <c r="AS266" s="309"/>
      <c r="AT266" s="309"/>
      <c r="AU266" s="309"/>
      <c r="AV266" s="309"/>
      <c r="AW266" s="309"/>
      <c r="AX266" s="1396"/>
      <c r="AY266" s="1571"/>
    </row>
    <row r="267" spans="1:51" s="1548" customFormat="1" ht="46.5" outlineLevel="1" x14ac:dyDescent="0.25">
      <c r="A267" s="1484">
        <v>47.8</v>
      </c>
      <c r="B267" s="1485" t="s">
        <v>1883</v>
      </c>
      <c r="C267" s="1535" t="s">
        <v>936</v>
      </c>
      <c r="D267" s="1484" t="str">
        <f t="shared" si="47"/>
        <v>MERC/CAPEX/MSPGCL/2023-24/0560</v>
      </c>
      <c r="E267" s="1536">
        <f t="shared" si="47"/>
        <v>45169</v>
      </c>
      <c r="F267" s="1394">
        <f t="shared" si="47"/>
        <v>45230</v>
      </c>
      <c r="G267" s="1395">
        <v>4.18</v>
      </c>
      <c r="H267" s="1395">
        <v>4.18</v>
      </c>
      <c r="I267" s="1396"/>
      <c r="J267" s="1396"/>
      <c r="K267" s="1394">
        <v>45230</v>
      </c>
      <c r="L267" s="1397"/>
      <c r="M267" s="1397"/>
      <c r="N267" s="1397"/>
      <c r="O267" s="1407"/>
      <c r="P267" s="1555"/>
      <c r="Q267" s="309"/>
      <c r="R267" s="309"/>
      <c r="S267" s="309"/>
      <c r="T267" s="309">
        <f t="shared" si="48"/>
        <v>0</v>
      </c>
      <c r="U267" s="309"/>
      <c r="V267" s="309"/>
      <c r="W267" s="1550">
        <v>4.18</v>
      </c>
      <c r="X267" s="309"/>
      <c r="Y267" s="309"/>
      <c r="Z267" s="309"/>
      <c r="AA267" s="309"/>
      <c r="AB267" s="309"/>
      <c r="AC267" s="1555"/>
      <c r="AD267" s="1555"/>
      <c r="AE267" s="1555"/>
      <c r="AF267" s="1555"/>
      <c r="AG267" s="1555"/>
      <c r="AH267" s="1555"/>
      <c r="AI267" s="1555"/>
      <c r="AJ267" s="309"/>
      <c r="AK267" s="309"/>
      <c r="AL267" s="309"/>
      <c r="AM267" s="309"/>
      <c r="AN267" s="1544">
        <f t="shared" si="49"/>
        <v>0</v>
      </c>
      <c r="AO267" s="1573"/>
      <c r="AP267" s="309"/>
      <c r="AQ267" s="1550">
        <v>4.18</v>
      </c>
      <c r="AR267" s="309"/>
      <c r="AS267" s="309"/>
      <c r="AT267" s="309"/>
      <c r="AU267" s="309"/>
      <c r="AV267" s="309"/>
      <c r="AW267" s="309"/>
      <c r="AX267" s="1396"/>
      <c r="AY267" s="1571"/>
    </row>
    <row r="268" spans="1:51" s="1548" customFormat="1" ht="31" outlineLevel="1" x14ac:dyDescent="0.25">
      <c r="A268" s="1484"/>
      <c r="B268" s="1485" t="s">
        <v>414</v>
      </c>
      <c r="C268" s="1535" t="s">
        <v>414</v>
      </c>
      <c r="D268" s="1484" t="str">
        <f t="shared" si="47"/>
        <v>MERC/CAPEX/MSPGCL/2023-24/0560</v>
      </c>
      <c r="E268" s="1536">
        <f t="shared" si="47"/>
        <v>45169</v>
      </c>
      <c r="F268" s="1394">
        <f t="shared" si="47"/>
        <v>45230</v>
      </c>
      <c r="G268" s="1395">
        <v>0.97</v>
      </c>
      <c r="H268" s="1395">
        <v>0.97</v>
      </c>
      <c r="I268" s="1396"/>
      <c r="J268" s="1396"/>
      <c r="K268" s="1394">
        <v>45230</v>
      </c>
      <c r="L268" s="1397"/>
      <c r="M268" s="1397"/>
      <c r="N268" s="1397"/>
      <c r="O268" s="1407"/>
      <c r="P268" s="1555"/>
      <c r="Q268" s="309"/>
      <c r="R268" s="309"/>
      <c r="S268" s="309"/>
      <c r="T268" s="309">
        <f t="shared" si="48"/>
        <v>0</v>
      </c>
      <c r="U268" s="309"/>
      <c r="V268" s="309"/>
      <c r="W268" s="309"/>
      <c r="X268" s="309"/>
      <c r="Y268" s="309"/>
      <c r="Z268" s="309"/>
      <c r="AA268" s="309"/>
      <c r="AB268" s="309"/>
      <c r="AC268" s="1555"/>
      <c r="AD268" s="1555"/>
      <c r="AE268" s="1555"/>
      <c r="AF268" s="1555"/>
      <c r="AG268" s="1555"/>
      <c r="AH268" s="1555"/>
      <c r="AI268" s="1555"/>
      <c r="AJ268" s="309"/>
      <c r="AK268" s="309"/>
      <c r="AL268" s="309"/>
      <c r="AM268" s="309"/>
      <c r="AN268" s="1544">
        <f t="shared" si="49"/>
        <v>0</v>
      </c>
      <c r="AO268" s="1573"/>
      <c r="AP268" s="309"/>
      <c r="AQ268" s="309"/>
      <c r="AR268" s="309"/>
      <c r="AS268" s="309"/>
      <c r="AT268" s="309"/>
      <c r="AU268" s="309"/>
      <c r="AV268" s="309"/>
      <c r="AW268" s="309"/>
      <c r="AX268" s="1396"/>
      <c r="AY268" s="1571"/>
    </row>
    <row r="269" spans="1:51" s="1548" customFormat="1" ht="46.5" outlineLevel="1" x14ac:dyDescent="0.25">
      <c r="A269" s="1489" t="s">
        <v>1884</v>
      </c>
      <c r="B269" s="1490" t="s">
        <v>1885</v>
      </c>
      <c r="C269" s="1489" t="s">
        <v>928</v>
      </c>
      <c r="D269" s="1489" t="s">
        <v>1886</v>
      </c>
      <c r="E269" s="1543">
        <v>43343</v>
      </c>
      <c r="F269" s="1543">
        <v>44604</v>
      </c>
      <c r="G269" s="1398">
        <f>SUM(G270:G271)</f>
        <v>113.91</v>
      </c>
      <c r="H269" s="1398">
        <f>SUM(H270:H271)</f>
        <v>57</v>
      </c>
      <c r="I269" s="1396"/>
      <c r="J269" s="1396"/>
      <c r="K269" s="1574">
        <v>44604</v>
      </c>
      <c r="L269" s="1397"/>
      <c r="M269" s="1397"/>
      <c r="N269" s="1397"/>
      <c r="O269" s="1407"/>
      <c r="P269" s="1544"/>
      <c r="Q269" s="1544"/>
      <c r="R269" s="1544"/>
      <c r="S269" s="1544"/>
      <c r="T269" s="1544">
        <f t="shared" si="48"/>
        <v>0</v>
      </c>
      <c r="U269" s="1547"/>
      <c r="V269" s="1547"/>
      <c r="W269" s="1547"/>
      <c r="X269" s="1547"/>
      <c r="Y269" s="1547"/>
      <c r="Z269" s="1547"/>
      <c r="AA269" s="1547"/>
      <c r="AB269" s="1547"/>
      <c r="AC269" s="1538"/>
      <c r="AD269" s="1538"/>
      <c r="AE269" s="1538"/>
      <c r="AF269" s="1538"/>
      <c r="AG269" s="1538"/>
      <c r="AH269" s="1538"/>
      <c r="AI269" s="1538"/>
      <c r="AJ269" s="1544"/>
      <c r="AK269" s="1544"/>
      <c r="AL269" s="1544"/>
      <c r="AM269" s="1544"/>
      <c r="AN269" s="1544">
        <f t="shared" si="49"/>
        <v>0</v>
      </c>
      <c r="AO269" s="1575"/>
      <c r="AP269" s="1547"/>
      <c r="AQ269" s="1547"/>
      <c r="AR269" s="1547"/>
      <c r="AS269" s="1547"/>
      <c r="AT269" s="1547"/>
      <c r="AU269" s="1547"/>
      <c r="AV269" s="1547"/>
      <c r="AW269" s="1547"/>
      <c r="AX269" s="1396"/>
      <c r="AY269" s="1571"/>
    </row>
    <row r="270" spans="1:51" s="1548" customFormat="1" ht="46.5" outlineLevel="1" x14ac:dyDescent="0.3">
      <c r="A270" s="1484" t="s">
        <v>1887</v>
      </c>
      <c r="B270" s="1485" t="s">
        <v>1885</v>
      </c>
      <c r="C270" s="1496" t="s">
        <v>936</v>
      </c>
      <c r="D270" s="1496" t="str">
        <f t="shared" ref="D270:F271" si="50">D269</f>
        <v>MERC/CAPEX/2021-2022/MSPGCL/063</v>
      </c>
      <c r="E270" s="1576">
        <f t="shared" si="50"/>
        <v>43343</v>
      </c>
      <c r="F270" s="1576">
        <f t="shared" si="50"/>
        <v>44604</v>
      </c>
      <c r="G270" s="1410">
        <v>108.48</v>
      </c>
      <c r="H270" s="1410">
        <f>G270/2</f>
        <v>54.24</v>
      </c>
      <c r="I270" s="269"/>
      <c r="J270" s="269"/>
      <c r="K270" s="1576">
        <v>44604</v>
      </c>
      <c r="L270" s="1394"/>
      <c r="M270" s="1394"/>
      <c r="N270" s="1411"/>
      <c r="O270" s="1577"/>
      <c r="P270" s="460"/>
      <c r="Q270" s="460"/>
      <c r="R270" s="460"/>
      <c r="S270" s="460"/>
      <c r="T270" s="460">
        <f t="shared" si="48"/>
        <v>0</v>
      </c>
      <c r="U270" s="460"/>
      <c r="V270" s="1578"/>
      <c r="W270" s="460"/>
      <c r="X270" s="1579">
        <v>27.12</v>
      </c>
      <c r="Y270" s="460"/>
      <c r="Z270" s="460"/>
      <c r="AA270" s="460"/>
      <c r="AB270" s="460"/>
      <c r="AC270" s="1562"/>
      <c r="AD270" s="1562"/>
      <c r="AE270" s="1562"/>
      <c r="AF270" s="1562"/>
      <c r="AG270" s="1562"/>
      <c r="AH270" s="1562"/>
      <c r="AI270" s="1562"/>
      <c r="AJ270" s="460">
        <v>0</v>
      </c>
      <c r="AK270" s="460">
        <v>0</v>
      </c>
      <c r="AL270" s="460">
        <v>0</v>
      </c>
      <c r="AM270" s="460">
        <v>0</v>
      </c>
      <c r="AN270" s="1544">
        <f t="shared" si="49"/>
        <v>0</v>
      </c>
      <c r="AO270" s="1580"/>
      <c r="AP270" s="1578"/>
      <c r="AQ270" s="460"/>
      <c r="AR270" s="460"/>
      <c r="AS270" s="1579">
        <v>27.12</v>
      </c>
      <c r="AT270" s="460"/>
      <c r="AU270" s="460"/>
      <c r="AV270" s="460"/>
      <c r="AW270" s="460"/>
      <c r="AX270" s="1412"/>
      <c r="AY270" s="1571"/>
    </row>
    <row r="271" spans="1:51" s="1548" customFormat="1" ht="31" outlineLevel="1" x14ac:dyDescent="0.3">
      <c r="A271" s="1496"/>
      <c r="B271" s="1485" t="s">
        <v>414</v>
      </c>
      <c r="C271" s="1496" t="s">
        <v>414</v>
      </c>
      <c r="D271" s="1496" t="str">
        <f t="shared" si="50"/>
        <v>MERC/CAPEX/2021-2022/MSPGCL/063</v>
      </c>
      <c r="E271" s="1576">
        <f t="shared" si="50"/>
        <v>43343</v>
      </c>
      <c r="F271" s="1576">
        <f t="shared" si="50"/>
        <v>44604</v>
      </c>
      <c r="G271" s="1410">
        <v>5.43</v>
      </c>
      <c r="H271" s="1410">
        <v>2.76</v>
      </c>
      <c r="I271" s="269"/>
      <c r="J271" s="269"/>
      <c r="K271" s="1576">
        <v>44604</v>
      </c>
      <c r="L271" s="1394"/>
      <c r="M271" s="1394"/>
      <c r="N271" s="1411"/>
      <c r="O271" s="1577"/>
      <c r="P271" s="460"/>
      <c r="Q271" s="460"/>
      <c r="R271" s="460"/>
      <c r="S271" s="460"/>
      <c r="T271" s="460">
        <f t="shared" si="48"/>
        <v>0</v>
      </c>
      <c r="U271" s="460"/>
      <c r="V271" s="1578"/>
      <c r="W271" s="460"/>
      <c r="X271" s="460"/>
      <c r="Y271" s="460"/>
      <c r="Z271" s="460"/>
      <c r="AA271" s="460"/>
      <c r="AB271" s="460"/>
      <c r="AC271" s="1562"/>
      <c r="AD271" s="1562"/>
      <c r="AE271" s="1562"/>
      <c r="AF271" s="1562"/>
      <c r="AG271" s="1562"/>
      <c r="AH271" s="1562"/>
      <c r="AI271" s="1562"/>
      <c r="AJ271" s="460">
        <v>0</v>
      </c>
      <c r="AK271" s="460">
        <v>0</v>
      </c>
      <c r="AL271" s="460">
        <v>0</v>
      </c>
      <c r="AM271" s="460">
        <v>0</v>
      </c>
      <c r="AN271" s="1544">
        <f t="shared" si="49"/>
        <v>0</v>
      </c>
      <c r="AO271" s="1580"/>
      <c r="AP271" s="1578"/>
      <c r="AQ271" s="460"/>
      <c r="AR271" s="460"/>
      <c r="AS271" s="460"/>
      <c r="AT271" s="460"/>
      <c r="AU271" s="460"/>
      <c r="AV271" s="460"/>
      <c r="AW271" s="460"/>
      <c r="AX271" s="1412"/>
      <c r="AY271" s="1571"/>
    </row>
    <row r="272" spans="1:51" s="1548" customFormat="1" ht="46.5" outlineLevel="1" x14ac:dyDescent="0.25">
      <c r="A272" s="1489" t="s">
        <v>1888</v>
      </c>
      <c r="B272" s="1490" t="s">
        <v>1889</v>
      </c>
      <c r="C272" s="1489" t="s">
        <v>928</v>
      </c>
      <c r="D272" s="1489" t="s">
        <v>1890</v>
      </c>
      <c r="E272" s="1543">
        <v>45013</v>
      </c>
      <c r="F272" s="1543">
        <v>45232</v>
      </c>
      <c r="G272" s="1398">
        <f>SUM(G273:G274)</f>
        <v>69.308999999999997</v>
      </c>
      <c r="H272" s="1398">
        <f>SUM(H273:H274)</f>
        <v>69.308999999999997</v>
      </c>
      <c r="I272" s="1396"/>
      <c r="J272" s="1396"/>
      <c r="K272" s="1574">
        <v>45232</v>
      </c>
      <c r="L272" s="1397"/>
      <c r="M272" s="1397"/>
      <c r="N272" s="1397"/>
      <c r="O272" s="1407"/>
      <c r="P272" s="1544"/>
      <c r="Q272" s="1544"/>
      <c r="R272" s="1544"/>
      <c r="S272" s="1544"/>
      <c r="T272" s="1544">
        <f t="shared" si="48"/>
        <v>0</v>
      </c>
      <c r="U272" s="1547"/>
      <c r="V272" s="1547"/>
      <c r="W272" s="1547"/>
      <c r="X272" s="1547"/>
      <c r="Y272" s="1547"/>
      <c r="Z272" s="1547"/>
      <c r="AA272" s="1547"/>
      <c r="AB272" s="1547"/>
      <c r="AC272" s="1538"/>
      <c r="AD272" s="1538"/>
      <c r="AE272" s="1538"/>
      <c r="AF272" s="1538"/>
      <c r="AG272" s="1538"/>
      <c r="AH272" s="1538"/>
      <c r="AI272" s="1538"/>
      <c r="AJ272" s="1544"/>
      <c r="AK272" s="1544"/>
      <c r="AL272" s="1544"/>
      <c r="AM272" s="1544"/>
      <c r="AN272" s="1544">
        <f t="shared" si="49"/>
        <v>0</v>
      </c>
      <c r="AO272" s="1575"/>
      <c r="AP272" s="1547"/>
      <c r="AQ272" s="1547"/>
      <c r="AR272" s="1547"/>
      <c r="AS272" s="1547"/>
      <c r="AT272" s="1547"/>
      <c r="AU272" s="1547"/>
      <c r="AV272" s="1547"/>
      <c r="AW272" s="1547"/>
      <c r="AX272" s="1396"/>
      <c r="AY272" s="1571"/>
    </row>
    <row r="273" spans="1:56" s="1548" customFormat="1" ht="46.5" outlineLevel="1" x14ac:dyDescent="0.3">
      <c r="A273" s="1484" t="s">
        <v>1891</v>
      </c>
      <c r="B273" s="1485" t="s">
        <v>1889</v>
      </c>
      <c r="C273" s="1496" t="s">
        <v>936</v>
      </c>
      <c r="D273" s="1496" t="str">
        <f t="shared" ref="D273:F274" si="51">D272</f>
        <v>MERC/CAPEX/MSPGCL/2023-24/0576</v>
      </c>
      <c r="E273" s="1576">
        <f t="shared" si="51"/>
        <v>45013</v>
      </c>
      <c r="F273" s="1576">
        <f t="shared" si="51"/>
        <v>45232</v>
      </c>
      <c r="G273" s="1410">
        <v>66.009</v>
      </c>
      <c r="H273" s="1410">
        <v>66.009</v>
      </c>
      <c r="I273" s="269"/>
      <c r="J273" s="269"/>
      <c r="K273" s="1576">
        <v>45232</v>
      </c>
      <c r="L273" s="1394"/>
      <c r="M273" s="1394"/>
      <c r="N273" s="1411"/>
      <c r="O273" s="1577"/>
      <c r="P273" s="460"/>
      <c r="Q273" s="460"/>
      <c r="R273" s="460"/>
      <c r="S273" s="460"/>
      <c r="T273" s="460">
        <f t="shared" si="48"/>
        <v>0</v>
      </c>
      <c r="U273" s="460"/>
      <c r="V273" s="1578"/>
      <c r="W273" s="460"/>
      <c r="X273" s="1579">
        <v>22.003</v>
      </c>
      <c r="Y273" s="1579">
        <v>44.006</v>
      </c>
      <c r="Z273" s="460"/>
      <c r="AA273" s="460"/>
      <c r="AB273" s="460"/>
      <c r="AC273" s="1562"/>
      <c r="AD273" s="1562"/>
      <c r="AE273" s="1562"/>
      <c r="AF273" s="1562"/>
      <c r="AG273" s="1562"/>
      <c r="AH273" s="1562"/>
      <c r="AI273" s="1562"/>
      <c r="AJ273" s="460"/>
      <c r="AK273" s="460"/>
      <c r="AL273" s="460"/>
      <c r="AM273" s="460"/>
      <c r="AN273" s="1544">
        <f t="shared" si="49"/>
        <v>0</v>
      </c>
      <c r="AO273" s="1580"/>
      <c r="AP273" s="1578"/>
      <c r="AQ273" s="460"/>
      <c r="AR273" s="460"/>
      <c r="AS273" s="1579">
        <v>66.009</v>
      </c>
      <c r="AT273" s="460"/>
      <c r="AU273" s="460"/>
      <c r="AV273" s="460"/>
      <c r="AW273" s="460"/>
      <c r="AX273" s="1412"/>
      <c r="AY273" s="1571"/>
    </row>
    <row r="274" spans="1:56" s="1548" customFormat="1" ht="31" outlineLevel="1" x14ac:dyDescent="0.3">
      <c r="A274" s="1496"/>
      <c r="B274" s="1485" t="s">
        <v>414</v>
      </c>
      <c r="C274" s="1496" t="s">
        <v>414</v>
      </c>
      <c r="D274" s="1496" t="str">
        <f t="shared" si="51"/>
        <v>MERC/CAPEX/MSPGCL/2023-24/0576</v>
      </c>
      <c r="E274" s="1576">
        <f t="shared" si="51"/>
        <v>45013</v>
      </c>
      <c r="F274" s="1576">
        <f t="shared" si="51"/>
        <v>45232</v>
      </c>
      <c r="G274" s="1410">
        <v>3.3</v>
      </c>
      <c r="H274" s="1410">
        <v>3.3</v>
      </c>
      <c r="I274" s="269"/>
      <c r="J274" s="269"/>
      <c r="K274" s="1576">
        <v>45232</v>
      </c>
      <c r="L274" s="1394"/>
      <c r="M274" s="1394"/>
      <c r="N274" s="1411"/>
      <c r="O274" s="1577"/>
      <c r="P274" s="460"/>
      <c r="Q274" s="460"/>
      <c r="R274" s="460"/>
      <c r="S274" s="460"/>
      <c r="T274" s="460">
        <f t="shared" si="48"/>
        <v>0</v>
      </c>
      <c r="U274" s="460"/>
      <c r="V274" s="1578"/>
      <c r="W274" s="460"/>
      <c r="X274" s="460"/>
      <c r="Y274" s="460"/>
      <c r="Z274" s="460"/>
      <c r="AA274" s="460"/>
      <c r="AB274" s="460"/>
      <c r="AC274" s="1562"/>
      <c r="AD274" s="1562"/>
      <c r="AE274" s="1562"/>
      <c r="AF274" s="1562"/>
      <c r="AG274" s="1562"/>
      <c r="AH274" s="1562"/>
      <c r="AI274" s="1562"/>
      <c r="AJ274" s="460"/>
      <c r="AK274" s="460"/>
      <c r="AL274" s="460"/>
      <c r="AM274" s="460"/>
      <c r="AN274" s="1544">
        <f t="shared" si="49"/>
        <v>0</v>
      </c>
      <c r="AO274" s="1580"/>
      <c r="AP274" s="1578"/>
      <c r="AQ274" s="460"/>
      <c r="AR274" s="460"/>
      <c r="AS274" s="460"/>
      <c r="AT274" s="460"/>
      <c r="AU274" s="460"/>
      <c r="AV274" s="460"/>
      <c r="AW274" s="460"/>
      <c r="AX274" s="1412"/>
      <c r="AY274" s="1571"/>
    </row>
    <row r="275" spans="1:56" ht="62" outlineLevel="1" x14ac:dyDescent="0.25">
      <c r="A275" s="1486" t="s">
        <v>1892</v>
      </c>
      <c r="B275" s="1491" t="s">
        <v>1893</v>
      </c>
      <c r="C275" s="1486" t="s">
        <v>928</v>
      </c>
      <c r="D275" s="1486" t="s">
        <v>1894</v>
      </c>
      <c r="E275" s="1487">
        <v>45322</v>
      </c>
      <c r="F275" s="1487">
        <v>45510</v>
      </c>
      <c r="G275" s="1403">
        <v>104.24</v>
      </c>
      <c r="H275" s="1403">
        <f>H276+H277</f>
        <v>81.350000000000009</v>
      </c>
      <c r="I275" s="161"/>
      <c r="J275" s="161"/>
      <c r="K275" s="1413"/>
      <c r="L275" s="1414"/>
      <c r="M275" s="1414"/>
      <c r="N275" s="1414"/>
      <c r="O275" s="1551"/>
      <c r="P275" s="1510"/>
      <c r="Q275" s="1510"/>
      <c r="R275" s="1510"/>
      <c r="S275" s="1510"/>
      <c r="T275" s="1510">
        <f t="shared" si="48"/>
        <v>0</v>
      </c>
      <c r="U275" s="1553"/>
      <c r="V275" s="1553">
        <v>0</v>
      </c>
      <c r="W275" s="1553"/>
      <c r="X275" s="1510"/>
      <c r="Y275" s="1510"/>
      <c r="Z275" s="1510"/>
      <c r="AA275" s="1510"/>
      <c r="AB275" s="1510"/>
      <c r="AC275" s="1521"/>
      <c r="AD275" s="1521"/>
      <c r="AE275" s="1521"/>
      <c r="AF275" s="1521"/>
      <c r="AG275" s="1521"/>
      <c r="AH275" s="1521"/>
      <c r="AI275" s="1521"/>
      <c r="AJ275" s="1510"/>
      <c r="AK275" s="1510"/>
      <c r="AL275" s="1510"/>
      <c r="AM275" s="1510"/>
      <c r="AN275" s="1523">
        <f t="shared" si="49"/>
        <v>0</v>
      </c>
      <c r="AO275" s="1559"/>
      <c r="AP275" s="1553">
        <v>0</v>
      </c>
      <c r="AQ275" s="1553"/>
      <c r="AR275" s="1510"/>
      <c r="AS275" s="1510"/>
      <c r="AT275" s="1510"/>
      <c r="AU275" s="1510"/>
      <c r="AV275" s="1510"/>
      <c r="AW275" s="1510"/>
      <c r="AX275" s="161"/>
      <c r="AY275" s="1540"/>
      <c r="AZ275" s="1560"/>
      <c r="BA275" s="1560">
        <f>IF(C275="Scheme",IF(SUM(AK275:AQ275)&gt;0,IF(H275&lt;AZ275,H275-AZ275,0),0),0)</f>
        <v>0</v>
      </c>
      <c r="BB275" s="1560"/>
      <c r="BC275" s="1560">
        <f t="shared" ref="BC275:BC296" si="52">IF(C275="Scheme",IF(SUM(AJ275:AS275)&gt;0,IF(H275&lt;AZ275,H275-AZ275,0),0),0)</f>
        <v>0</v>
      </c>
      <c r="BD275" s="1560">
        <f t="shared" ref="BD275:BD296" si="53">IF(C275="scheme",G275-SUM(AJ275:AS275),0)</f>
        <v>0</v>
      </c>
    </row>
    <row r="276" spans="1:56" ht="77.5" outlineLevel="1" x14ac:dyDescent="0.25">
      <c r="A276" s="1488">
        <v>2.1</v>
      </c>
      <c r="B276" s="1492" t="s">
        <v>1893</v>
      </c>
      <c r="C276" s="1554" t="s">
        <v>936</v>
      </c>
      <c r="D276" s="1488" t="s">
        <v>1894</v>
      </c>
      <c r="E276" s="1495">
        <f>E275</f>
        <v>45322</v>
      </c>
      <c r="F276" s="1413">
        <f>F275</f>
        <v>45510</v>
      </c>
      <c r="G276" s="618">
        <v>102.92</v>
      </c>
      <c r="H276" s="618">
        <v>80.150000000000006</v>
      </c>
      <c r="I276" s="161"/>
      <c r="J276" s="161"/>
      <c r="K276" s="1413"/>
      <c r="L276" s="1414"/>
      <c r="M276" s="1414"/>
      <c r="N276" s="1414"/>
      <c r="O276" s="1551"/>
      <c r="P276" s="1521"/>
      <c r="Q276" s="320"/>
      <c r="R276" s="320"/>
      <c r="S276" s="320"/>
      <c r="T276" s="320">
        <f t="shared" si="48"/>
        <v>0</v>
      </c>
      <c r="U276" s="320"/>
      <c r="V276" s="320">
        <v>0</v>
      </c>
      <c r="W276" s="320"/>
      <c r="X276" s="1550">
        <v>40.075000000000003</v>
      </c>
      <c r="Y276" s="1550">
        <v>40.075000000000003</v>
      </c>
      <c r="Z276" s="320"/>
      <c r="AA276" s="320"/>
      <c r="AB276" s="320"/>
      <c r="AC276" s="1521"/>
      <c r="AD276" s="1521"/>
      <c r="AE276" s="1521"/>
      <c r="AF276" s="1521"/>
      <c r="AG276" s="1521"/>
      <c r="AH276" s="1521"/>
      <c r="AI276" s="1521"/>
      <c r="AJ276" s="320"/>
      <c r="AK276" s="320"/>
      <c r="AL276" s="320"/>
      <c r="AM276" s="320"/>
      <c r="AN276" s="1523">
        <f t="shared" si="49"/>
        <v>0</v>
      </c>
      <c r="AO276" s="1581"/>
      <c r="AP276" s="320">
        <v>0</v>
      </c>
      <c r="AQ276" s="320"/>
      <c r="AR276" s="1550">
        <v>40.075000000000003</v>
      </c>
      <c r="AS276" s="1550">
        <v>40.075000000000003</v>
      </c>
      <c r="AT276" s="320"/>
      <c r="AU276" s="320"/>
      <c r="AV276" s="320"/>
      <c r="AW276" s="320"/>
      <c r="AX276" s="161"/>
      <c r="AY276" s="1540"/>
      <c r="AZ276" s="1560">
        <f>SUM(AJ276:AS276)</f>
        <v>80.150000000000006</v>
      </c>
      <c r="BA276" s="1560">
        <f>IF(C276="Scheme",IF(SUM(AK276:AQ276)&gt;0,IF(H276&lt;AZ276,H276-AZ276,0),0),0)</f>
        <v>0</v>
      </c>
      <c r="BB276" s="1560" t="e">
        <f>#REF!-AZ276</f>
        <v>#REF!</v>
      </c>
      <c r="BC276" s="1560">
        <f t="shared" si="52"/>
        <v>0</v>
      </c>
      <c r="BD276" s="1560">
        <f t="shared" si="53"/>
        <v>22.769999999999996</v>
      </c>
    </row>
    <row r="277" spans="1:56" ht="46.5" outlineLevel="1" x14ac:dyDescent="0.25">
      <c r="A277" s="1488">
        <v>0</v>
      </c>
      <c r="B277" s="1492" t="s">
        <v>414</v>
      </c>
      <c r="C277" s="1554" t="s">
        <v>414</v>
      </c>
      <c r="D277" s="1488" t="s">
        <v>1894</v>
      </c>
      <c r="E277" s="1495">
        <f>E276</f>
        <v>45322</v>
      </c>
      <c r="F277" s="1413">
        <f>F276</f>
        <v>45510</v>
      </c>
      <c r="G277" s="618">
        <v>1.32</v>
      </c>
      <c r="H277" s="618">
        <v>1.2</v>
      </c>
      <c r="I277" s="161"/>
      <c r="J277" s="161"/>
      <c r="K277" s="1413"/>
      <c r="L277" s="1414"/>
      <c r="M277" s="1414"/>
      <c r="N277" s="1414"/>
      <c r="O277" s="1551"/>
      <c r="P277" s="1521"/>
      <c r="Q277" s="320"/>
      <c r="R277" s="320"/>
      <c r="S277" s="320"/>
      <c r="T277" s="320">
        <f t="shared" si="48"/>
        <v>0</v>
      </c>
      <c r="U277" s="320"/>
      <c r="V277" s="320">
        <v>0</v>
      </c>
      <c r="W277" s="320">
        <v>0</v>
      </c>
      <c r="X277" s="320"/>
      <c r="Y277" s="320"/>
      <c r="Z277" s="320"/>
      <c r="AA277" s="320"/>
      <c r="AB277" s="320"/>
      <c r="AC277" s="1521"/>
      <c r="AD277" s="1521"/>
      <c r="AE277" s="1521"/>
      <c r="AF277" s="1521"/>
      <c r="AG277" s="1521"/>
      <c r="AH277" s="1521"/>
      <c r="AI277" s="1521"/>
      <c r="AJ277" s="320"/>
      <c r="AK277" s="320"/>
      <c r="AL277" s="320"/>
      <c r="AM277" s="320"/>
      <c r="AN277" s="1523">
        <f t="shared" si="49"/>
        <v>0</v>
      </c>
      <c r="AO277" s="1581"/>
      <c r="AP277" s="320">
        <v>0</v>
      </c>
      <c r="AQ277" s="320">
        <v>0</v>
      </c>
      <c r="AR277" s="320"/>
      <c r="AS277" s="320"/>
      <c r="AT277" s="320"/>
      <c r="AU277" s="320"/>
      <c r="AV277" s="320"/>
      <c r="AW277" s="320"/>
      <c r="AX277" s="161"/>
      <c r="AY277" s="1540"/>
      <c r="AZ277" s="1560">
        <f>SUM(AJ277:AS277)</f>
        <v>0</v>
      </c>
      <c r="BA277" s="1560">
        <f>IF(C277="Scheme",IF(SUM(AK277:AQ277)&gt;0,IF(H277&lt;AZ277,H277-AZ277,0),0),0)</f>
        <v>0</v>
      </c>
      <c r="BB277" s="1560" t="e">
        <f>#REF!-AZ277</f>
        <v>#REF!</v>
      </c>
      <c r="BC277" s="1560">
        <f t="shared" si="52"/>
        <v>0</v>
      </c>
      <c r="BD277" s="1560">
        <f t="shared" si="53"/>
        <v>0</v>
      </c>
    </row>
    <row r="278" spans="1:56" ht="93" outlineLevel="1" x14ac:dyDescent="0.25">
      <c r="A278" s="1486" t="s">
        <v>1895</v>
      </c>
      <c r="B278" s="1491" t="s">
        <v>1896</v>
      </c>
      <c r="C278" s="1554" t="s">
        <v>928</v>
      </c>
      <c r="D278" s="1486" t="s">
        <v>1897</v>
      </c>
      <c r="E278" s="1487">
        <v>45322</v>
      </c>
      <c r="F278" s="1487">
        <v>45510</v>
      </c>
      <c r="G278" s="618">
        <f>SUM(G279:G284)</f>
        <v>25.78</v>
      </c>
      <c r="H278" s="618">
        <f>SUM(H279:H284)</f>
        <v>25.78</v>
      </c>
      <c r="I278" s="161"/>
      <c r="J278" s="161"/>
      <c r="K278" s="1413"/>
      <c r="L278" s="1414"/>
      <c r="M278" s="1414"/>
      <c r="N278" s="1414"/>
      <c r="O278" s="1551"/>
      <c r="P278" s="320"/>
      <c r="Q278" s="320"/>
      <c r="R278" s="320"/>
      <c r="S278" s="320"/>
      <c r="T278" s="320">
        <f t="shared" si="48"/>
        <v>0</v>
      </c>
      <c r="U278" s="320"/>
      <c r="V278" s="320"/>
      <c r="W278" s="320"/>
      <c r="X278" s="320"/>
      <c r="Y278" s="320"/>
      <c r="Z278" s="320"/>
      <c r="AA278" s="320"/>
      <c r="AB278" s="320"/>
      <c r="AC278" s="1522"/>
      <c r="AD278" s="1522"/>
      <c r="AE278" s="1522"/>
      <c r="AF278" s="1522"/>
      <c r="AG278" s="1522"/>
      <c r="AH278" s="1522"/>
      <c r="AI278" s="1522"/>
      <c r="AJ278" s="320"/>
      <c r="AK278" s="320"/>
      <c r="AL278" s="320"/>
      <c r="AM278" s="320"/>
      <c r="AN278" s="1523">
        <f t="shared" si="49"/>
        <v>0</v>
      </c>
      <c r="AO278" s="1581"/>
      <c r="AP278" s="320"/>
      <c r="AQ278" s="320"/>
      <c r="AR278" s="320"/>
      <c r="AS278" s="320"/>
      <c r="AT278" s="320"/>
      <c r="AU278" s="320"/>
      <c r="AV278" s="320"/>
      <c r="AW278" s="320"/>
      <c r="AX278" s="161"/>
      <c r="AY278" s="1540"/>
      <c r="AZ278" s="1560"/>
      <c r="BA278" s="1560"/>
      <c r="BB278" s="1560"/>
      <c r="BC278" s="1560">
        <f t="shared" si="52"/>
        <v>0</v>
      </c>
      <c r="BD278" s="1560">
        <f t="shared" si="53"/>
        <v>0</v>
      </c>
    </row>
    <row r="279" spans="1:56" ht="31" outlineLevel="1" x14ac:dyDescent="0.25">
      <c r="A279" s="1488">
        <v>3.1</v>
      </c>
      <c r="B279" s="1497" t="s">
        <v>1898</v>
      </c>
      <c r="C279" s="1554" t="s">
        <v>936</v>
      </c>
      <c r="D279" s="1488" t="str">
        <f t="shared" ref="D279:F284" si="54">D278</f>
        <v>MERC/CAPEX/2024-25/MSPGCL/0473 Dt 06.08.2024</v>
      </c>
      <c r="E279" s="1495">
        <f t="shared" si="54"/>
        <v>45322</v>
      </c>
      <c r="F279" s="1413">
        <f t="shared" si="54"/>
        <v>45510</v>
      </c>
      <c r="G279" s="618">
        <v>7.19</v>
      </c>
      <c r="H279" s="618">
        <v>7.19</v>
      </c>
      <c r="I279" s="161"/>
      <c r="J279" s="161"/>
      <c r="K279" s="1413"/>
      <c r="L279" s="1414"/>
      <c r="M279" s="1414"/>
      <c r="N279" s="1414"/>
      <c r="O279" s="1551"/>
      <c r="P279" s="320"/>
      <c r="Q279" s="320"/>
      <c r="R279" s="320"/>
      <c r="S279" s="320"/>
      <c r="T279" s="320">
        <f t="shared" si="48"/>
        <v>0</v>
      </c>
      <c r="U279" s="320"/>
      <c r="V279" s="320"/>
      <c r="W279" s="320"/>
      <c r="X279" s="320"/>
      <c r="Y279" s="1550">
        <v>7.19</v>
      </c>
      <c r="Z279" s="320"/>
      <c r="AA279" s="320"/>
      <c r="AB279" s="320"/>
      <c r="AC279" s="1522"/>
      <c r="AD279" s="1522"/>
      <c r="AE279" s="1522"/>
      <c r="AF279" s="1522"/>
      <c r="AG279" s="1522"/>
      <c r="AH279" s="1522"/>
      <c r="AI279" s="1522"/>
      <c r="AJ279" s="320"/>
      <c r="AK279" s="320"/>
      <c r="AL279" s="320"/>
      <c r="AM279" s="320"/>
      <c r="AN279" s="1523">
        <f t="shared" si="49"/>
        <v>0</v>
      </c>
      <c r="AO279" s="1581"/>
      <c r="AP279" s="320"/>
      <c r="AQ279" s="320"/>
      <c r="AR279" s="320"/>
      <c r="AS279" s="1550">
        <v>7.19</v>
      </c>
      <c r="AT279" s="320"/>
      <c r="AU279" s="320"/>
      <c r="AV279" s="320"/>
      <c r="AW279" s="320"/>
      <c r="AX279" s="161"/>
      <c r="AY279" s="1540"/>
      <c r="AZ279" s="1560">
        <f t="shared" ref="AZ279:AZ284" si="55">SUM(AJ279:AS279)</f>
        <v>7.19</v>
      </c>
      <c r="BA279" s="1560"/>
      <c r="BB279" s="1560" t="e">
        <f>#REF!-AZ279</f>
        <v>#REF!</v>
      </c>
      <c r="BC279" s="1560">
        <f t="shared" si="52"/>
        <v>0</v>
      </c>
      <c r="BD279" s="1560">
        <f t="shared" si="53"/>
        <v>0</v>
      </c>
    </row>
    <row r="280" spans="1:56" ht="43.5" outlineLevel="1" x14ac:dyDescent="0.25">
      <c r="A280" s="1488">
        <v>3.1</v>
      </c>
      <c r="B280" s="1497" t="s">
        <v>1899</v>
      </c>
      <c r="C280" s="1554" t="s">
        <v>936</v>
      </c>
      <c r="D280" s="1488" t="str">
        <f t="shared" si="54"/>
        <v>MERC/CAPEX/2024-25/MSPGCL/0473 Dt 06.08.2024</v>
      </c>
      <c r="E280" s="1495">
        <f t="shared" si="54"/>
        <v>45322</v>
      </c>
      <c r="F280" s="1413">
        <f t="shared" si="54"/>
        <v>45510</v>
      </c>
      <c r="G280" s="618">
        <v>0.8</v>
      </c>
      <c r="H280" s="618">
        <v>0.8</v>
      </c>
      <c r="I280" s="161"/>
      <c r="J280" s="161"/>
      <c r="K280" s="1413"/>
      <c r="L280" s="1414"/>
      <c r="M280" s="1414"/>
      <c r="N280" s="1414"/>
      <c r="O280" s="1551"/>
      <c r="P280" s="320"/>
      <c r="Q280" s="320"/>
      <c r="R280" s="320"/>
      <c r="S280" s="320"/>
      <c r="T280" s="320">
        <f t="shared" si="48"/>
        <v>0</v>
      </c>
      <c r="U280" s="320"/>
      <c r="V280" s="320"/>
      <c r="W280" s="320"/>
      <c r="X280" s="320"/>
      <c r="Y280" s="1550">
        <v>0.8</v>
      </c>
      <c r="Z280" s="320"/>
      <c r="AA280" s="320"/>
      <c r="AB280" s="320"/>
      <c r="AC280" s="1522"/>
      <c r="AD280" s="1522"/>
      <c r="AE280" s="1522"/>
      <c r="AF280" s="1522"/>
      <c r="AG280" s="1522"/>
      <c r="AH280" s="1522"/>
      <c r="AI280" s="1522"/>
      <c r="AJ280" s="320"/>
      <c r="AK280" s="320"/>
      <c r="AL280" s="320"/>
      <c r="AM280" s="320"/>
      <c r="AN280" s="1523">
        <f t="shared" si="49"/>
        <v>0</v>
      </c>
      <c r="AO280" s="1581"/>
      <c r="AP280" s="320"/>
      <c r="AQ280" s="320"/>
      <c r="AR280" s="320"/>
      <c r="AS280" s="1550">
        <v>0.8</v>
      </c>
      <c r="AT280" s="320"/>
      <c r="AU280" s="320"/>
      <c r="AV280" s="320"/>
      <c r="AW280" s="320"/>
      <c r="AX280" s="161"/>
      <c r="AY280" s="1540"/>
      <c r="AZ280" s="1560">
        <f t="shared" si="55"/>
        <v>0.8</v>
      </c>
      <c r="BA280" s="1560"/>
      <c r="BB280" s="1560" t="e">
        <f>#REF!-AZ280</f>
        <v>#REF!</v>
      </c>
      <c r="BC280" s="1560">
        <f t="shared" si="52"/>
        <v>0</v>
      </c>
      <c r="BD280" s="1560">
        <f t="shared" si="53"/>
        <v>0</v>
      </c>
    </row>
    <row r="281" spans="1:56" ht="43.5" outlineLevel="1" x14ac:dyDescent="0.25">
      <c r="A281" s="1488">
        <v>3.1</v>
      </c>
      <c r="B281" s="1497" t="s">
        <v>1900</v>
      </c>
      <c r="C281" s="1554" t="s">
        <v>936</v>
      </c>
      <c r="D281" s="1488" t="str">
        <f t="shared" si="54"/>
        <v>MERC/CAPEX/2024-25/MSPGCL/0473 Dt 06.08.2024</v>
      </c>
      <c r="E281" s="1495">
        <f t="shared" si="54"/>
        <v>45322</v>
      </c>
      <c r="F281" s="1413">
        <f t="shared" si="54"/>
        <v>45510</v>
      </c>
      <c r="G281" s="618">
        <v>2.97</v>
      </c>
      <c r="H281" s="618">
        <v>2.97</v>
      </c>
      <c r="I281" s="161"/>
      <c r="J281" s="161"/>
      <c r="K281" s="1413"/>
      <c r="L281" s="1414"/>
      <c r="M281" s="1414"/>
      <c r="N281" s="1414"/>
      <c r="O281" s="1551"/>
      <c r="P281" s="320"/>
      <c r="Q281" s="320"/>
      <c r="R281" s="320"/>
      <c r="S281" s="320"/>
      <c r="T281" s="320">
        <f t="shared" si="48"/>
        <v>0</v>
      </c>
      <c r="U281" s="320"/>
      <c r="V281" s="1550">
        <v>2.9193972000000001</v>
      </c>
      <c r="W281" s="320"/>
      <c r="X281" s="320"/>
      <c r="Y281" s="320"/>
      <c r="Z281" s="320"/>
      <c r="AA281" s="320"/>
      <c r="AB281" s="320"/>
      <c r="AC281" s="1522"/>
      <c r="AD281" s="1522"/>
      <c r="AE281" s="1522"/>
      <c r="AF281" s="1522"/>
      <c r="AG281" s="1522"/>
      <c r="AH281" s="1522"/>
      <c r="AI281" s="1522"/>
      <c r="AJ281" s="320"/>
      <c r="AK281" s="320"/>
      <c r="AL281" s="320"/>
      <c r="AM281" s="320"/>
      <c r="AN281" s="1523">
        <f t="shared" si="49"/>
        <v>0</v>
      </c>
      <c r="AO281" s="1581"/>
      <c r="AP281" s="1550">
        <v>2.9193972000000001</v>
      </c>
      <c r="AQ281" s="320"/>
      <c r="AR281" s="320"/>
      <c r="AS281" s="320">
        <v>0</v>
      </c>
      <c r="AT281" s="320"/>
      <c r="AU281" s="320"/>
      <c r="AV281" s="320"/>
      <c r="AW281" s="320"/>
      <c r="AX281" s="161"/>
      <c r="AY281" s="1540"/>
      <c r="AZ281" s="1560">
        <f t="shared" si="55"/>
        <v>2.9193972000000001</v>
      </c>
      <c r="BA281" s="1560"/>
      <c r="BB281" s="1560" t="e">
        <f>#REF!-AZ281</f>
        <v>#REF!</v>
      </c>
      <c r="BC281" s="1560">
        <f t="shared" si="52"/>
        <v>0</v>
      </c>
      <c r="BD281" s="1560">
        <f t="shared" si="53"/>
        <v>5.0602800000000059E-2</v>
      </c>
    </row>
    <row r="282" spans="1:56" ht="285" customHeight="1" outlineLevel="1" x14ac:dyDescent="0.35">
      <c r="A282" s="1488">
        <v>3.1</v>
      </c>
      <c r="B282" s="1497" t="s">
        <v>1901</v>
      </c>
      <c r="C282" s="1554" t="s">
        <v>936</v>
      </c>
      <c r="D282" s="1488" t="str">
        <f t="shared" si="54"/>
        <v>MERC/CAPEX/2024-25/MSPGCL/0473 Dt 06.08.2024</v>
      </c>
      <c r="E282" s="1495">
        <f t="shared" si="54"/>
        <v>45322</v>
      </c>
      <c r="F282" s="1413">
        <f t="shared" si="54"/>
        <v>45510</v>
      </c>
      <c r="G282" s="618">
        <v>10.48</v>
      </c>
      <c r="H282" s="618">
        <v>10.48</v>
      </c>
      <c r="I282" s="161"/>
      <c r="J282" s="161"/>
      <c r="K282" s="1413"/>
      <c r="L282" s="1414"/>
      <c r="M282" s="1414"/>
      <c r="N282" s="1414"/>
      <c r="O282" s="1582" t="s">
        <v>2287</v>
      </c>
      <c r="P282" s="320"/>
      <c r="Q282" s="320"/>
      <c r="R282" s="320"/>
      <c r="S282" s="320"/>
      <c r="T282" s="320">
        <f t="shared" si="48"/>
        <v>0</v>
      </c>
      <c r="U282" s="320"/>
      <c r="V282" s="320"/>
      <c r="W282" s="320"/>
      <c r="X282" s="320"/>
      <c r="Y282" s="1550">
        <v>10.48</v>
      </c>
      <c r="Z282" s="320"/>
      <c r="AA282" s="320"/>
      <c r="AB282" s="320"/>
      <c r="AC282" s="1522"/>
      <c r="AD282" s="1522"/>
      <c r="AE282" s="1522"/>
      <c r="AF282" s="1522"/>
      <c r="AG282" s="1522"/>
      <c r="AH282" s="1522"/>
      <c r="AI282" s="1522"/>
      <c r="AJ282" s="320"/>
      <c r="AK282" s="320"/>
      <c r="AL282" s="320"/>
      <c r="AM282" s="320"/>
      <c r="AN282" s="1523">
        <f t="shared" si="49"/>
        <v>0</v>
      </c>
      <c r="AO282" s="1581"/>
      <c r="AP282" s="320"/>
      <c r="AQ282" s="320"/>
      <c r="AR282" s="320"/>
      <c r="AS282" s="1550">
        <v>10.48</v>
      </c>
      <c r="AT282" s="320"/>
      <c r="AU282" s="320"/>
      <c r="AV282" s="320"/>
      <c r="AW282" s="320"/>
      <c r="AX282" s="161"/>
      <c r="AY282" s="1540"/>
      <c r="AZ282" s="1560">
        <f t="shared" si="55"/>
        <v>10.48</v>
      </c>
      <c r="BA282" s="1560"/>
      <c r="BB282" s="1560" t="e">
        <f>#REF!-AZ282</f>
        <v>#REF!</v>
      </c>
      <c r="BC282" s="1560">
        <f t="shared" si="52"/>
        <v>0</v>
      </c>
      <c r="BD282" s="1560">
        <f t="shared" si="53"/>
        <v>0</v>
      </c>
    </row>
    <row r="283" spans="1:56" ht="285" customHeight="1" outlineLevel="1" x14ac:dyDescent="0.35">
      <c r="A283" s="1488">
        <v>3.1</v>
      </c>
      <c r="B283" s="1497" t="s">
        <v>1902</v>
      </c>
      <c r="C283" s="1554" t="s">
        <v>936</v>
      </c>
      <c r="D283" s="1488" t="str">
        <f t="shared" si="54"/>
        <v>MERC/CAPEX/2024-25/MSPGCL/0473 Dt 06.08.2024</v>
      </c>
      <c r="E283" s="1495">
        <f t="shared" si="54"/>
        <v>45322</v>
      </c>
      <c r="F283" s="1413">
        <f>F282</f>
        <v>45510</v>
      </c>
      <c r="G283" s="618">
        <v>3.66</v>
      </c>
      <c r="H283" s="618">
        <v>3.66</v>
      </c>
      <c r="I283" s="161"/>
      <c r="J283" s="161"/>
      <c r="K283" s="1413"/>
      <c r="L283" s="1414"/>
      <c r="M283" s="1414"/>
      <c r="N283" s="1414"/>
      <c r="O283" s="1582" t="s">
        <v>2287</v>
      </c>
      <c r="P283" s="320"/>
      <c r="Q283" s="320"/>
      <c r="R283" s="320"/>
      <c r="S283" s="320"/>
      <c r="T283" s="320">
        <f t="shared" si="48"/>
        <v>0</v>
      </c>
      <c r="U283" s="320"/>
      <c r="V283" s="320"/>
      <c r="W283" s="320"/>
      <c r="X283" s="320"/>
      <c r="Y283" s="1550">
        <v>3.66</v>
      </c>
      <c r="Z283" s="320"/>
      <c r="AA283" s="320"/>
      <c r="AB283" s="320"/>
      <c r="AC283" s="1522"/>
      <c r="AD283" s="1522"/>
      <c r="AE283" s="1522"/>
      <c r="AF283" s="1522"/>
      <c r="AG283" s="1522"/>
      <c r="AH283" s="1522"/>
      <c r="AI283" s="1522"/>
      <c r="AJ283" s="320"/>
      <c r="AK283" s="320"/>
      <c r="AL283" s="320"/>
      <c r="AM283" s="320"/>
      <c r="AN283" s="1523">
        <f t="shared" si="49"/>
        <v>0</v>
      </c>
      <c r="AO283" s="1581"/>
      <c r="AP283" s="320"/>
      <c r="AQ283" s="320"/>
      <c r="AR283" s="320"/>
      <c r="AS283" s="1550">
        <v>3.66</v>
      </c>
      <c r="AT283" s="320"/>
      <c r="AU283" s="320"/>
      <c r="AV283" s="320"/>
      <c r="AW283" s="320"/>
      <c r="AX283" s="161"/>
      <c r="AY283" s="1540"/>
      <c r="AZ283" s="1560">
        <f t="shared" si="55"/>
        <v>3.66</v>
      </c>
      <c r="BA283" s="1560"/>
      <c r="BB283" s="1560" t="e">
        <f>#REF!-AZ283</f>
        <v>#REF!</v>
      </c>
      <c r="BC283" s="1560">
        <f t="shared" si="52"/>
        <v>0</v>
      </c>
      <c r="BD283" s="1560">
        <f t="shared" si="53"/>
        <v>0</v>
      </c>
    </row>
    <row r="284" spans="1:56" ht="31" outlineLevel="1" x14ac:dyDescent="0.25">
      <c r="A284" s="1488"/>
      <c r="B284" s="1497" t="s">
        <v>414</v>
      </c>
      <c r="C284" s="1554" t="s">
        <v>414</v>
      </c>
      <c r="D284" s="1488" t="str">
        <f t="shared" si="54"/>
        <v>MERC/CAPEX/2024-25/MSPGCL/0473 Dt 06.08.2024</v>
      </c>
      <c r="E284" s="1495">
        <f t="shared" si="54"/>
        <v>45322</v>
      </c>
      <c r="F284" s="1413">
        <f t="shared" si="54"/>
        <v>45510</v>
      </c>
      <c r="G284" s="618">
        <v>0.68</v>
      </c>
      <c r="H284" s="618">
        <v>0.68</v>
      </c>
      <c r="I284" s="161"/>
      <c r="J284" s="161"/>
      <c r="K284" s="1413"/>
      <c r="L284" s="1414"/>
      <c r="M284" s="1414"/>
      <c r="N284" s="1414"/>
      <c r="O284" s="1551"/>
      <c r="P284" s="320"/>
      <c r="Q284" s="320"/>
      <c r="R284" s="320"/>
      <c r="S284" s="320"/>
      <c r="T284" s="320">
        <f t="shared" si="48"/>
        <v>0</v>
      </c>
      <c r="U284" s="320"/>
      <c r="V284" s="320"/>
      <c r="W284" s="320"/>
      <c r="X284" s="320"/>
      <c r="Y284" s="320"/>
      <c r="Z284" s="320"/>
      <c r="AA284" s="320"/>
      <c r="AB284" s="320"/>
      <c r="AC284" s="1522"/>
      <c r="AD284" s="1522"/>
      <c r="AE284" s="1522"/>
      <c r="AF284" s="1522"/>
      <c r="AG284" s="1522"/>
      <c r="AH284" s="1522"/>
      <c r="AI284" s="1522"/>
      <c r="AJ284" s="320"/>
      <c r="AK284" s="320"/>
      <c r="AL284" s="320"/>
      <c r="AM284" s="320"/>
      <c r="AN284" s="1523">
        <f t="shared" si="49"/>
        <v>0</v>
      </c>
      <c r="AO284" s="1581"/>
      <c r="AP284" s="320"/>
      <c r="AQ284" s="320"/>
      <c r="AR284" s="320"/>
      <c r="AS284" s="320"/>
      <c r="AT284" s="320"/>
      <c r="AU284" s="320"/>
      <c r="AV284" s="320"/>
      <c r="AW284" s="320"/>
      <c r="AX284" s="161"/>
      <c r="AY284" s="1540"/>
      <c r="AZ284" s="1560">
        <f t="shared" si="55"/>
        <v>0</v>
      </c>
      <c r="BA284" s="1560"/>
      <c r="BB284" s="1560" t="e">
        <f>#REF!-AZ284</f>
        <v>#REF!</v>
      </c>
      <c r="BC284" s="1560">
        <f t="shared" si="52"/>
        <v>0</v>
      </c>
      <c r="BD284" s="1560">
        <f t="shared" si="53"/>
        <v>0</v>
      </c>
    </row>
    <row r="285" spans="1:56" ht="315" customHeight="1" outlineLevel="1" x14ac:dyDescent="0.25">
      <c r="A285" s="1486" t="s">
        <v>1903</v>
      </c>
      <c r="B285" s="1491" t="s">
        <v>1904</v>
      </c>
      <c r="C285" s="1486" t="s">
        <v>928</v>
      </c>
      <c r="D285" s="1486" t="s">
        <v>1905</v>
      </c>
      <c r="E285" s="1487">
        <v>45322</v>
      </c>
      <c r="F285" s="1487">
        <v>45510</v>
      </c>
      <c r="G285" s="1403">
        <f>SUBTOTAL(9,G286:G287)</f>
        <v>127.95</v>
      </c>
      <c r="H285" s="1403"/>
      <c r="I285" s="161"/>
      <c r="J285" s="161"/>
      <c r="K285" s="1413"/>
      <c r="L285" s="1414"/>
      <c r="M285" s="1414"/>
      <c r="N285" s="1414"/>
      <c r="O285" s="1551" t="s">
        <v>2288</v>
      </c>
      <c r="P285" s="1510"/>
      <c r="Q285" s="1510"/>
      <c r="R285" s="1510"/>
      <c r="S285" s="1510"/>
      <c r="T285" s="1510">
        <f t="shared" si="48"/>
        <v>0</v>
      </c>
      <c r="U285" s="1553"/>
      <c r="V285" s="1553"/>
      <c r="W285" s="1553"/>
      <c r="X285" s="1510"/>
      <c r="Y285" s="1510"/>
      <c r="Z285" s="1510"/>
      <c r="AA285" s="1510"/>
      <c r="AB285" s="1510"/>
      <c r="AC285" s="1521"/>
      <c r="AD285" s="1521"/>
      <c r="AE285" s="1521"/>
      <c r="AF285" s="1521"/>
      <c r="AG285" s="1521"/>
      <c r="AH285" s="1521"/>
      <c r="AI285" s="1521"/>
      <c r="AJ285" s="1510"/>
      <c r="AK285" s="1510"/>
      <c r="AL285" s="1510"/>
      <c r="AM285" s="1510"/>
      <c r="AN285" s="1523">
        <f t="shared" si="49"/>
        <v>0</v>
      </c>
      <c r="AO285" s="1559"/>
      <c r="AP285" s="1553"/>
      <c r="AQ285" s="1553"/>
      <c r="AR285" s="1510"/>
      <c r="AS285" s="1510"/>
      <c r="AT285" s="1510"/>
      <c r="AU285" s="1510"/>
      <c r="AV285" s="1510"/>
      <c r="AW285" s="1510"/>
      <c r="AX285" s="161"/>
      <c r="AY285" s="1540"/>
      <c r="AZ285" s="1560"/>
      <c r="BA285" s="1560">
        <f>IF(C285="Scheme",IF(SUM(AK285:AQ285)&gt;0,IF(H285&lt;AZ285,H285-AZ285,0),0),0)</f>
        <v>0</v>
      </c>
      <c r="BB285" s="1560"/>
      <c r="BC285" s="1560">
        <f t="shared" si="52"/>
        <v>0</v>
      </c>
      <c r="BD285" s="1560">
        <f t="shared" si="53"/>
        <v>0</v>
      </c>
    </row>
    <row r="286" spans="1:56" ht="46.5" outlineLevel="1" x14ac:dyDescent="0.25">
      <c r="A286" s="1488">
        <v>4.0999999999999996</v>
      </c>
      <c r="B286" s="1492" t="s">
        <v>1904</v>
      </c>
      <c r="C286" s="1554" t="s">
        <v>936</v>
      </c>
      <c r="D286" s="1488" t="str">
        <f t="shared" ref="D286:F287" si="56">D285</f>
        <v>MERC/CAPEX/2024-2025/MSPGCL/0476 Dt 06.08.2024</v>
      </c>
      <c r="E286" s="1495">
        <f t="shared" si="56"/>
        <v>45322</v>
      </c>
      <c r="F286" s="1413">
        <f t="shared" si="56"/>
        <v>45510</v>
      </c>
      <c r="G286" s="618">
        <v>119.12</v>
      </c>
      <c r="H286" s="618"/>
      <c r="I286" s="161"/>
      <c r="J286" s="161"/>
      <c r="K286" s="1413"/>
      <c r="L286" s="1414"/>
      <c r="M286" s="1414"/>
      <c r="N286" s="1414"/>
      <c r="O286" s="1551"/>
      <c r="P286" s="1521"/>
      <c r="Q286" s="320"/>
      <c r="R286" s="320"/>
      <c r="S286" s="320"/>
      <c r="T286" s="320">
        <f t="shared" si="48"/>
        <v>0</v>
      </c>
      <c r="U286" s="320"/>
      <c r="V286" s="320"/>
      <c r="W286" s="320"/>
      <c r="X286" s="320"/>
      <c r="Y286" s="1550">
        <v>78.325479452054807</v>
      </c>
      <c r="Z286" s="320"/>
      <c r="AA286" s="320"/>
      <c r="AB286" s="320"/>
      <c r="AC286" s="1521"/>
      <c r="AD286" s="1521"/>
      <c r="AE286" s="1521"/>
      <c r="AF286" s="1521"/>
      <c r="AG286" s="1521"/>
      <c r="AH286" s="1521"/>
      <c r="AI286" s="1521"/>
      <c r="AJ286" s="320"/>
      <c r="AK286" s="320"/>
      <c r="AL286" s="320"/>
      <c r="AM286" s="320"/>
      <c r="AN286" s="1523">
        <f t="shared" si="49"/>
        <v>0</v>
      </c>
      <c r="AO286" s="1581"/>
      <c r="AP286" s="320"/>
      <c r="AQ286" s="320"/>
      <c r="AR286" s="320"/>
      <c r="AS286" s="1550">
        <v>78.325479452054807</v>
      </c>
      <c r="AT286" s="320"/>
      <c r="AU286" s="320"/>
      <c r="AV286" s="320"/>
      <c r="AW286" s="320"/>
      <c r="AX286" s="161"/>
      <c r="AY286" s="1540"/>
      <c r="AZ286" s="1560">
        <f>SUM(AJ286:AS286)</f>
        <v>78.325479452054807</v>
      </c>
      <c r="BA286" s="1560">
        <f>IF(C286="Scheme",IF(SUM(AK286:AQ286)&gt;0,IF(H286&lt;AZ286,H286-AZ286,0),0),0)</f>
        <v>0</v>
      </c>
      <c r="BB286" s="1560" t="e">
        <f>#REF!-AZ286</f>
        <v>#REF!</v>
      </c>
      <c r="BC286" s="1560">
        <f t="shared" si="52"/>
        <v>-78.325479452054807</v>
      </c>
      <c r="BD286" s="1560">
        <f t="shared" si="53"/>
        <v>40.794520547945197</v>
      </c>
    </row>
    <row r="287" spans="1:56" ht="46.5" outlineLevel="1" x14ac:dyDescent="0.25">
      <c r="A287" s="1488">
        <v>0</v>
      </c>
      <c r="B287" s="1492" t="s">
        <v>414</v>
      </c>
      <c r="C287" s="1554" t="s">
        <v>414</v>
      </c>
      <c r="D287" s="1488" t="str">
        <f t="shared" si="56"/>
        <v>MERC/CAPEX/2024-2025/MSPGCL/0476 Dt 06.08.2024</v>
      </c>
      <c r="E287" s="1495">
        <f t="shared" si="56"/>
        <v>45322</v>
      </c>
      <c r="F287" s="1413">
        <f t="shared" si="56"/>
        <v>45510</v>
      </c>
      <c r="G287" s="618">
        <v>8.83</v>
      </c>
      <c r="H287" s="618"/>
      <c r="I287" s="161"/>
      <c r="J287" s="161"/>
      <c r="K287" s="1413"/>
      <c r="L287" s="1414"/>
      <c r="M287" s="1414"/>
      <c r="N287" s="1414"/>
      <c r="O287" s="1551"/>
      <c r="P287" s="1521"/>
      <c r="Q287" s="320"/>
      <c r="R287" s="320"/>
      <c r="S287" s="320"/>
      <c r="T287" s="320">
        <f t="shared" si="48"/>
        <v>0</v>
      </c>
      <c r="U287" s="320"/>
      <c r="V287" s="320">
        <v>0</v>
      </c>
      <c r="W287" s="320">
        <v>0</v>
      </c>
      <c r="X287" s="320"/>
      <c r="Y287" s="320"/>
      <c r="Z287" s="320"/>
      <c r="AA287" s="320"/>
      <c r="AB287" s="320"/>
      <c r="AC287" s="1521"/>
      <c r="AD287" s="1521"/>
      <c r="AE287" s="1521"/>
      <c r="AF287" s="1521"/>
      <c r="AG287" s="1521"/>
      <c r="AH287" s="1521"/>
      <c r="AI287" s="1521"/>
      <c r="AJ287" s="320"/>
      <c r="AK287" s="320"/>
      <c r="AL287" s="320"/>
      <c r="AM287" s="320"/>
      <c r="AN287" s="1523">
        <f t="shared" si="49"/>
        <v>0</v>
      </c>
      <c r="AO287" s="1581"/>
      <c r="AP287" s="320"/>
      <c r="AQ287" s="320">
        <v>0</v>
      </c>
      <c r="AR287" s="320"/>
      <c r="AS287" s="320"/>
      <c r="AT287" s="320"/>
      <c r="AU287" s="320"/>
      <c r="AV287" s="320"/>
      <c r="AW287" s="320"/>
      <c r="AX287" s="161"/>
      <c r="AY287" s="1540"/>
      <c r="AZ287" s="1560">
        <f>SUM(AJ287:AS287)</f>
        <v>0</v>
      </c>
      <c r="BA287" s="1560">
        <f>IF(C287="Scheme",IF(SUM(AK287:AQ287)&gt;0,IF(H287&lt;AZ287,H287-AZ287,0),0),0)</f>
        <v>0</v>
      </c>
      <c r="BB287" s="1560" t="e">
        <f>#REF!-AZ287</f>
        <v>#REF!</v>
      </c>
      <c r="BC287" s="1560">
        <f t="shared" si="52"/>
        <v>0</v>
      </c>
      <c r="BD287" s="1560">
        <f t="shared" si="53"/>
        <v>0</v>
      </c>
    </row>
    <row r="288" spans="1:56" ht="31" outlineLevel="1" x14ac:dyDescent="0.25">
      <c r="A288" s="1486" t="s">
        <v>1906</v>
      </c>
      <c r="B288" s="1491" t="s">
        <v>1907</v>
      </c>
      <c r="C288" s="1486" t="s">
        <v>928</v>
      </c>
      <c r="D288" s="1486" t="s">
        <v>1908</v>
      </c>
      <c r="E288" s="1487">
        <v>45394</v>
      </c>
      <c r="F288" s="1487">
        <v>45506</v>
      </c>
      <c r="G288" s="1403">
        <f>SUM(G289:G296)</f>
        <v>32.429999999999993</v>
      </c>
      <c r="H288" s="618"/>
      <c r="I288" s="161"/>
      <c r="J288" s="161"/>
      <c r="K288" s="1413"/>
      <c r="L288" s="1414"/>
      <c r="M288" s="1414"/>
      <c r="N288" s="1414"/>
      <c r="O288" s="1551"/>
      <c r="P288" s="1521"/>
      <c r="Q288" s="320"/>
      <c r="R288" s="320"/>
      <c r="S288" s="320"/>
      <c r="T288" s="320">
        <f t="shared" si="48"/>
        <v>0</v>
      </c>
      <c r="U288" s="320"/>
      <c r="V288" s="320"/>
      <c r="W288" s="320"/>
      <c r="X288" s="320"/>
      <c r="Y288" s="320"/>
      <c r="Z288" s="320"/>
      <c r="AA288" s="320"/>
      <c r="AB288" s="320"/>
      <c r="AC288" s="1521"/>
      <c r="AD288" s="1521"/>
      <c r="AE288" s="1521"/>
      <c r="AF288" s="1521"/>
      <c r="AG288" s="1521"/>
      <c r="AH288" s="1521"/>
      <c r="AI288" s="1521"/>
      <c r="AJ288" s="320"/>
      <c r="AK288" s="320"/>
      <c r="AL288" s="320"/>
      <c r="AM288" s="320"/>
      <c r="AN288" s="1523">
        <f t="shared" si="49"/>
        <v>0</v>
      </c>
      <c r="AO288" s="1581"/>
      <c r="AP288" s="320"/>
      <c r="AQ288" s="320"/>
      <c r="AR288" s="320"/>
      <c r="AS288" s="320"/>
      <c r="AT288" s="320"/>
      <c r="AU288" s="320"/>
      <c r="AV288" s="320"/>
      <c r="AW288" s="320"/>
      <c r="AX288" s="161"/>
      <c r="AY288" s="1540"/>
      <c r="AZ288" s="1560"/>
      <c r="BA288" s="1560"/>
      <c r="BB288" s="1560"/>
      <c r="BC288" s="1560">
        <f t="shared" si="52"/>
        <v>0</v>
      </c>
      <c r="BD288" s="1560">
        <f t="shared" si="53"/>
        <v>0</v>
      </c>
    </row>
    <row r="289" spans="1:56" ht="43.5" outlineLevel="1" x14ac:dyDescent="0.25">
      <c r="A289" s="1488">
        <v>5.0999999999999996</v>
      </c>
      <c r="B289" s="1492" t="s">
        <v>1909</v>
      </c>
      <c r="C289" s="1554" t="s">
        <v>936</v>
      </c>
      <c r="D289" s="1488" t="str">
        <f>D288</f>
        <v>MERC/CAPEX/MSPGCL/2023-2024/0466 Dt 02.08.2024</v>
      </c>
      <c r="E289" s="1495">
        <f>E288</f>
        <v>45394</v>
      </c>
      <c r="F289" s="1413">
        <f>F288</f>
        <v>45506</v>
      </c>
      <c r="G289" s="618">
        <v>4.43</v>
      </c>
      <c r="H289" s="618"/>
      <c r="I289" s="161"/>
      <c r="J289" s="161"/>
      <c r="K289" s="1413"/>
      <c r="L289" s="1414"/>
      <c r="M289" s="1414"/>
      <c r="N289" s="1414"/>
      <c r="O289" s="1551"/>
      <c r="P289" s="1521"/>
      <c r="Q289" s="320"/>
      <c r="R289" s="320"/>
      <c r="S289" s="320"/>
      <c r="T289" s="320">
        <f t="shared" si="48"/>
        <v>0</v>
      </c>
      <c r="U289" s="320"/>
      <c r="V289" s="320"/>
      <c r="W289" s="320"/>
      <c r="X289" s="1550">
        <v>4.43</v>
      </c>
      <c r="Y289" s="320"/>
      <c r="Z289" s="320"/>
      <c r="AA289" s="320"/>
      <c r="AB289" s="320"/>
      <c r="AC289" s="1521"/>
      <c r="AD289" s="1521"/>
      <c r="AE289" s="1521"/>
      <c r="AF289" s="1521"/>
      <c r="AG289" s="1521"/>
      <c r="AH289" s="1521"/>
      <c r="AI289" s="1521"/>
      <c r="AJ289" s="320"/>
      <c r="AK289" s="320"/>
      <c r="AL289" s="320"/>
      <c r="AM289" s="320"/>
      <c r="AN289" s="1523">
        <f t="shared" si="49"/>
        <v>0</v>
      </c>
      <c r="AO289" s="1581"/>
      <c r="AP289" s="320"/>
      <c r="AQ289" s="320"/>
      <c r="AR289" s="1550">
        <v>4.43</v>
      </c>
      <c r="AS289" s="320"/>
      <c r="AT289" s="320"/>
      <c r="AU289" s="320"/>
      <c r="AV289" s="320"/>
      <c r="AW289" s="320"/>
      <c r="AX289" s="161"/>
      <c r="AY289" s="1540"/>
      <c r="AZ289" s="1560">
        <f t="shared" ref="AZ289:AZ296" si="57">SUM(AJ289:AS289)</f>
        <v>4.43</v>
      </c>
      <c r="BA289" s="1560"/>
      <c r="BB289" s="1560" t="e">
        <f>#REF!-AZ289</f>
        <v>#REF!</v>
      </c>
      <c r="BC289" s="1560">
        <f t="shared" si="52"/>
        <v>-4.43</v>
      </c>
      <c r="BD289" s="1560">
        <f t="shared" si="53"/>
        <v>0</v>
      </c>
    </row>
    <row r="290" spans="1:56" ht="43.5" outlineLevel="1" x14ac:dyDescent="0.25">
      <c r="A290" s="1488">
        <v>5.2</v>
      </c>
      <c r="B290" s="1492" t="s">
        <v>1910</v>
      </c>
      <c r="C290" s="1554" t="s">
        <v>936</v>
      </c>
      <c r="D290" s="1488" t="str">
        <f t="shared" ref="D290:F296" si="58">D289</f>
        <v>MERC/CAPEX/MSPGCL/2023-2024/0466 Dt 02.08.2024</v>
      </c>
      <c r="E290" s="1495">
        <f t="shared" si="58"/>
        <v>45394</v>
      </c>
      <c r="F290" s="1413">
        <f t="shared" si="58"/>
        <v>45506</v>
      </c>
      <c r="G290" s="618">
        <v>4.54</v>
      </c>
      <c r="H290" s="618"/>
      <c r="I290" s="161"/>
      <c r="J290" s="161"/>
      <c r="K290" s="1413"/>
      <c r="L290" s="1414"/>
      <c r="M290" s="1414"/>
      <c r="N290" s="1414"/>
      <c r="O290" s="1551"/>
      <c r="P290" s="1521"/>
      <c r="Q290" s="320"/>
      <c r="R290" s="320"/>
      <c r="S290" s="320"/>
      <c r="T290" s="320">
        <f t="shared" si="48"/>
        <v>0</v>
      </c>
      <c r="U290" s="320"/>
      <c r="V290" s="320"/>
      <c r="W290" s="320"/>
      <c r="X290" s="1550">
        <v>4.54</v>
      </c>
      <c r="Y290" s="320"/>
      <c r="Z290" s="320"/>
      <c r="AA290" s="320"/>
      <c r="AB290" s="320"/>
      <c r="AC290" s="1521"/>
      <c r="AD290" s="1521"/>
      <c r="AE290" s="1521"/>
      <c r="AF290" s="1521"/>
      <c r="AG290" s="1521"/>
      <c r="AH290" s="1521"/>
      <c r="AI290" s="1521"/>
      <c r="AJ290" s="320"/>
      <c r="AK290" s="320"/>
      <c r="AL290" s="320"/>
      <c r="AM290" s="320"/>
      <c r="AN290" s="1523">
        <f t="shared" si="49"/>
        <v>0</v>
      </c>
      <c r="AO290" s="1581"/>
      <c r="AP290" s="320"/>
      <c r="AQ290" s="320"/>
      <c r="AR290" s="1550">
        <v>4.54</v>
      </c>
      <c r="AS290" s="320"/>
      <c r="AT290" s="320"/>
      <c r="AU290" s="320"/>
      <c r="AV290" s="320"/>
      <c r="AW290" s="320"/>
      <c r="AX290" s="161"/>
      <c r="AY290" s="1540"/>
      <c r="AZ290" s="1560">
        <f t="shared" si="57"/>
        <v>4.54</v>
      </c>
      <c r="BA290" s="1560"/>
      <c r="BB290" s="1560" t="e">
        <f>#REF!-AZ290</f>
        <v>#REF!</v>
      </c>
      <c r="BC290" s="1560">
        <f t="shared" si="52"/>
        <v>-4.54</v>
      </c>
      <c r="BD290" s="1560">
        <f t="shared" si="53"/>
        <v>0</v>
      </c>
    </row>
    <row r="291" spans="1:56" ht="43.5" outlineLevel="1" x14ac:dyDescent="0.25">
      <c r="A291" s="1488">
        <v>5.3</v>
      </c>
      <c r="B291" s="1492" t="s">
        <v>1911</v>
      </c>
      <c r="C291" s="1554" t="s">
        <v>936</v>
      </c>
      <c r="D291" s="1488" t="str">
        <f t="shared" si="58"/>
        <v>MERC/CAPEX/MSPGCL/2023-2024/0466 Dt 02.08.2024</v>
      </c>
      <c r="E291" s="1495">
        <f t="shared" si="58"/>
        <v>45394</v>
      </c>
      <c r="F291" s="1413">
        <f t="shared" si="58"/>
        <v>45506</v>
      </c>
      <c r="G291" s="618">
        <v>5.25</v>
      </c>
      <c r="H291" s="618"/>
      <c r="I291" s="161"/>
      <c r="J291" s="161"/>
      <c r="K291" s="1413"/>
      <c r="L291" s="1414"/>
      <c r="M291" s="1414"/>
      <c r="N291" s="1414"/>
      <c r="O291" s="1551"/>
      <c r="P291" s="1521"/>
      <c r="Q291" s="320"/>
      <c r="R291" s="320"/>
      <c r="S291" s="320"/>
      <c r="T291" s="320">
        <f t="shared" si="48"/>
        <v>0</v>
      </c>
      <c r="U291" s="320"/>
      <c r="V291" s="320"/>
      <c r="W291" s="320"/>
      <c r="X291" s="1550">
        <v>5.25</v>
      </c>
      <c r="Y291" s="320"/>
      <c r="Z291" s="320"/>
      <c r="AA291" s="320"/>
      <c r="AB291" s="320"/>
      <c r="AC291" s="1521"/>
      <c r="AD291" s="1521"/>
      <c r="AE291" s="1521"/>
      <c r="AF291" s="1521"/>
      <c r="AG291" s="1521"/>
      <c r="AH291" s="1521"/>
      <c r="AI291" s="1521"/>
      <c r="AJ291" s="320"/>
      <c r="AK291" s="320"/>
      <c r="AL291" s="320"/>
      <c r="AM291" s="320"/>
      <c r="AN291" s="1523">
        <f t="shared" si="49"/>
        <v>0</v>
      </c>
      <c r="AO291" s="1581"/>
      <c r="AP291" s="320"/>
      <c r="AQ291" s="320"/>
      <c r="AR291" s="1550">
        <v>5.25</v>
      </c>
      <c r="AS291" s="320"/>
      <c r="AT291" s="320"/>
      <c r="AU291" s="320"/>
      <c r="AV291" s="320"/>
      <c r="AW291" s="320"/>
      <c r="AX291" s="161"/>
      <c r="AY291" s="1540"/>
      <c r="AZ291" s="1560">
        <f t="shared" si="57"/>
        <v>5.25</v>
      </c>
      <c r="BA291" s="1560"/>
      <c r="BB291" s="1560" t="e">
        <f>#REF!-AZ291</f>
        <v>#REF!</v>
      </c>
      <c r="BC291" s="1560">
        <f t="shared" si="52"/>
        <v>-5.25</v>
      </c>
      <c r="BD291" s="1560">
        <f t="shared" si="53"/>
        <v>0</v>
      </c>
    </row>
    <row r="292" spans="1:56" ht="43.5" outlineLevel="1" x14ac:dyDescent="0.25">
      <c r="A292" s="1488">
        <v>5.4</v>
      </c>
      <c r="B292" s="1492" t="s">
        <v>1912</v>
      </c>
      <c r="C292" s="1554" t="s">
        <v>936</v>
      </c>
      <c r="D292" s="1488" t="str">
        <f t="shared" si="58"/>
        <v>MERC/CAPEX/MSPGCL/2023-2024/0466 Dt 02.08.2024</v>
      </c>
      <c r="E292" s="1495">
        <f t="shared" si="58"/>
        <v>45394</v>
      </c>
      <c r="F292" s="1413">
        <f t="shared" si="58"/>
        <v>45506</v>
      </c>
      <c r="G292" s="618">
        <v>4.6100000000000003</v>
      </c>
      <c r="H292" s="618"/>
      <c r="I292" s="161"/>
      <c r="J292" s="161"/>
      <c r="K292" s="1413"/>
      <c r="L292" s="1414"/>
      <c r="M292" s="1414"/>
      <c r="N292" s="1414"/>
      <c r="O292" s="1551"/>
      <c r="P292" s="1521"/>
      <c r="Q292" s="320"/>
      <c r="R292" s="320"/>
      <c r="S292" s="320"/>
      <c r="T292" s="320">
        <f t="shared" si="48"/>
        <v>0</v>
      </c>
      <c r="U292" s="320"/>
      <c r="V292" s="320"/>
      <c r="W292" s="320"/>
      <c r="X292" s="1550">
        <v>4.6100000000000003</v>
      </c>
      <c r="Y292" s="320"/>
      <c r="Z292" s="320"/>
      <c r="AA292" s="320"/>
      <c r="AB292" s="320"/>
      <c r="AC292" s="1521"/>
      <c r="AD292" s="1521"/>
      <c r="AE292" s="1521"/>
      <c r="AF292" s="1521"/>
      <c r="AG292" s="1521"/>
      <c r="AH292" s="1521"/>
      <c r="AI292" s="1521"/>
      <c r="AJ292" s="320"/>
      <c r="AK292" s="320"/>
      <c r="AL292" s="320"/>
      <c r="AM292" s="320"/>
      <c r="AN292" s="1523">
        <f t="shared" si="49"/>
        <v>0</v>
      </c>
      <c r="AO292" s="1581"/>
      <c r="AP292" s="320"/>
      <c r="AQ292" s="320"/>
      <c r="AR292" s="1550">
        <v>4.6100000000000003</v>
      </c>
      <c r="AS292" s="320"/>
      <c r="AT292" s="320"/>
      <c r="AU292" s="320"/>
      <c r="AV292" s="320"/>
      <c r="AW292" s="320"/>
      <c r="AX292" s="161"/>
      <c r="AY292" s="1540"/>
      <c r="AZ292" s="1560">
        <f t="shared" si="57"/>
        <v>4.6100000000000003</v>
      </c>
      <c r="BA292" s="1560"/>
      <c r="BB292" s="1560" t="e">
        <f>#REF!-AZ292</f>
        <v>#REF!</v>
      </c>
      <c r="BC292" s="1560">
        <f t="shared" si="52"/>
        <v>-4.6100000000000003</v>
      </c>
      <c r="BD292" s="1560">
        <f t="shared" si="53"/>
        <v>0</v>
      </c>
    </row>
    <row r="293" spans="1:56" ht="43.5" outlineLevel="1" x14ac:dyDescent="0.25">
      <c r="A293" s="1488">
        <v>5.5</v>
      </c>
      <c r="B293" s="1492" t="s">
        <v>1913</v>
      </c>
      <c r="C293" s="1554" t="s">
        <v>936</v>
      </c>
      <c r="D293" s="1488" t="str">
        <f t="shared" si="58"/>
        <v>MERC/CAPEX/MSPGCL/2023-2024/0466 Dt 02.08.2024</v>
      </c>
      <c r="E293" s="1495">
        <f t="shared" si="58"/>
        <v>45394</v>
      </c>
      <c r="F293" s="1413">
        <f t="shared" si="58"/>
        <v>45506</v>
      </c>
      <c r="G293" s="618">
        <v>3.83</v>
      </c>
      <c r="H293" s="618"/>
      <c r="I293" s="161"/>
      <c r="J293" s="161"/>
      <c r="K293" s="1413"/>
      <c r="L293" s="1414"/>
      <c r="M293" s="1414"/>
      <c r="N293" s="1414"/>
      <c r="O293" s="1551"/>
      <c r="P293" s="1521"/>
      <c r="Q293" s="320"/>
      <c r="R293" s="320"/>
      <c r="S293" s="320"/>
      <c r="T293" s="320">
        <f t="shared" si="48"/>
        <v>0</v>
      </c>
      <c r="U293" s="320"/>
      <c r="V293" s="320"/>
      <c r="W293" s="320"/>
      <c r="X293" s="1550">
        <v>3.83</v>
      </c>
      <c r="Y293" s="320"/>
      <c r="Z293" s="320"/>
      <c r="AA293" s="320"/>
      <c r="AB293" s="320"/>
      <c r="AC293" s="1521"/>
      <c r="AD293" s="1521"/>
      <c r="AE293" s="1521"/>
      <c r="AF293" s="1521"/>
      <c r="AG293" s="1521"/>
      <c r="AH293" s="1521"/>
      <c r="AI293" s="1521"/>
      <c r="AJ293" s="320"/>
      <c r="AK293" s="320"/>
      <c r="AL293" s="320"/>
      <c r="AM293" s="320"/>
      <c r="AN293" s="1523">
        <f t="shared" si="49"/>
        <v>0</v>
      </c>
      <c r="AO293" s="1581"/>
      <c r="AP293" s="320"/>
      <c r="AQ293" s="320"/>
      <c r="AR293" s="1550">
        <v>3.83</v>
      </c>
      <c r="AS293" s="320"/>
      <c r="AT293" s="320"/>
      <c r="AU293" s="320"/>
      <c r="AV293" s="320"/>
      <c r="AW293" s="320"/>
      <c r="AX293" s="161"/>
      <c r="AY293" s="1540"/>
      <c r="AZ293" s="1560">
        <f t="shared" si="57"/>
        <v>3.83</v>
      </c>
      <c r="BA293" s="1560"/>
      <c r="BB293" s="1560" t="e">
        <f>#REF!-AZ293</f>
        <v>#REF!</v>
      </c>
      <c r="BC293" s="1560">
        <f t="shared" si="52"/>
        <v>-3.83</v>
      </c>
      <c r="BD293" s="1560">
        <f t="shared" si="53"/>
        <v>0</v>
      </c>
    </row>
    <row r="294" spans="1:56" ht="43.5" outlineLevel="1" x14ac:dyDescent="0.25">
      <c r="A294" s="1488">
        <v>5.6</v>
      </c>
      <c r="B294" s="1492" t="s">
        <v>1914</v>
      </c>
      <c r="C294" s="1554" t="s">
        <v>936</v>
      </c>
      <c r="D294" s="1488" t="str">
        <f t="shared" si="58"/>
        <v>MERC/CAPEX/MSPGCL/2023-2024/0466 Dt 02.08.2024</v>
      </c>
      <c r="E294" s="1495">
        <f t="shared" si="58"/>
        <v>45394</v>
      </c>
      <c r="F294" s="1413">
        <f t="shared" si="58"/>
        <v>45506</v>
      </c>
      <c r="G294" s="618">
        <v>3.83</v>
      </c>
      <c r="H294" s="618"/>
      <c r="I294" s="161"/>
      <c r="J294" s="161"/>
      <c r="K294" s="1413"/>
      <c r="L294" s="1414"/>
      <c r="M294" s="1414"/>
      <c r="N294" s="1414"/>
      <c r="O294" s="1551"/>
      <c r="P294" s="1521"/>
      <c r="Q294" s="320"/>
      <c r="R294" s="320"/>
      <c r="S294" s="320"/>
      <c r="T294" s="320">
        <f t="shared" si="48"/>
        <v>0</v>
      </c>
      <c r="U294" s="320"/>
      <c r="V294" s="320"/>
      <c r="W294" s="320"/>
      <c r="X294" s="1550">
        <v>3.83</v>
      </c>
      <c r="Y294" s="320"/>
      <c r="Z294" s="320"/>
      <c r="AA294" s="320"/>
      <c r="AB294" s="320"/>
      <c r="AC294" s="1521"/>
      <c r="AD294" s="1521"/>
      <c r="AE294" s="1521"/>
      <c r="AF294" s="1521"/>
      <c r="AG294" s="1521"/>
      <c r="AH294" s="1521"/>
      <c r="AI294" s="1521"/>
      <c r="AJ294" s="320"/>
      <c r="AK294" s="320"/>
      <c r="AL294" s="320"/>
      <c r="AM294" s="320"/>
      <c r="AN294" s="1523">
        <f t="shared" si="49"/>
        <v>0</v>
      </c>
      <c r="AO294" s="1581"/>
      <c r="AP294" s="320"/>
      <c r="AQ294" s="320"/>
      <c r="AR294" s="1550">
        <v>3.83</v>
      </c>
      <c r="AS294" s="320"/>
      <c r="AT294" s="320"/>
      <c r="AU294" s="320"/>
      <c r="AV294" s="320"/>
      <c r="AW294" s="320"/>
      <c r="AX294" s="161"/>
      <c r="AY294" s="1540"/>
      <c r="AZ294" s="1560">
        <f t="shared" si="57"/>
        <v>3.83</v>
      </c>
      <c r="BA294" s="1560"/>
      <c r="BB294" s="1560" t="e">
        <f>#REF!-AZ294</f>
        <v>#REF!</v>
      </c>
      <c r="BC294" s="1560">
        <f t="shared" si="52"/>
        <v>-3.83</v>
      </c>
      <c r="BD294" s="1560">
        <f t="shared" si="53"/>
        <v>0</v>
      </c>
    </row>
    <row r="295" spans="1:56" ht="57.5" outlineLevel="1" x14ac:dyDescent="0.25">
      <c r="A295" s="1488">
        <v>5.7</v>
      </c>
      <c r="B295" s="1492" t="s">
        <v>1915</v>
      </c>
      <c r="C295" s="1554" t="s">
        <v>936</v>
      </c>
      <c r="D295" s="1488" t="str">
        <f t="shared" si="58"/>
        <v>MERC/CAPEX/MSPGCL/2023-2024/0466 Dt 02.08.2024</v>
      </c>
      <c r="E295" s="1495">
        <f t="shared" si="58"/>
        <v>45394</v>
      </c>
      <c r="F295" s="1413">
        <f t="shared" si="58"/>
        <v>45506</v>
      </c>
      <c r="G295" s="618">
        <v>5.31</v>
      </c>
      <c r="H295" s="618"/>
      <c r="I295" s="161"/>
      <c r="J295" s="161"/>
      <c r="K295" s="1413"/>
      <c r="L295" s="1414"/>
      <c r="M295" s="1414"/>
      <c r="N295" s="1414"/>
      <c r="O295" s="1551"/>
      <c r="P295" s="1521"/>
      <c r="Q295" s="320"/>
      <c r="R295" s="320"/>
      <c r="S295" s="320"/>
      <c r="T295" s="320">
        <f t="shared" si="48"/>
        <v>0</v>
      </c>
      <c r="U295" s="320"/>
      <c r="V295" s="320"/>
      <c r="W295" s="320"/>
      <c r="X295" s="1550">
        <v>5.31</v>
      </c>
      <c r="Y295" s="320"/>
      <c r="Z295" s="320"/>
      <c r="AA295" s="320"/>
      <c r="AB295" s="320"/>
      <c r="AC295" s="1521"/>
      <c r="AD295" s="1521"/>
      <c r="AE295" s="1521"/>
      <c r="AF295" s="1521"/>
      <c r="AG295" s="1521"/>
      <c r="AH295" s="1521"/>
      <c r="AI295" s="1521"/>
      <c r="AJ295" s="320"/>
      <c r="AK295" s="320"/>
      <c r="AL295" s="320"/>
      <c r="AM295" s="320"/>
      <c r="AN295" s="1523">
        <f t="shared" si="49"/>
        <v>0</v>
      </c>
      <c r="AO295" s="1581"/>
      <c r="AP295" s="320"/>
      <c r="AQ295" s="320"/>
      <c r="AR295" s="1550">
        <v>5.31</v>
      </c>
      <c r="AS295" s="320"/>
      <c r="AT295" s="320"/>
      <c r="AU295" s="320"/>
      <c r="AV295" s="320"/>
      <c r="AW295" s="320"/>
      <c r="AX295" s="161"/>
      <c r="AY295" s="1540"/>
      <c r="AZ295" s="1560">
        <f t="shared" si="57"/>
        <v>5.31</v>
      </c>
      <c r="BA295" s="1560"/>
      <c r="BB295" s="1560" t="e">
        <f>#REF!-AZ295</f>
        <v>#REF!</v>
      </c>
      <c r="BC295" s="1560">
        <f t="shared" si="52"/>
        <v>-5.31</v>
      </c>
      <c r="BD295" s="1560">
        <f t="shared" si="53"/>
        <v>0</v>
      </c>
    </row>
    <row r="296" spans="1:56" ht="31" outlineLevel="1" x14ac:dyDescent="0.25">
      <c r="A296" s="1488"/>
      <c r="B296" s="1492" t="s">
        <v>414</v>
      </c>
      <c r="C296" s="1554" t="s">
        <v>414</v>
      </c>
      <c r="D296" s="1488" t="str">
        <f t="shared" si="58"/>
        <v>MERC/CAPEX/MSPGCL/2023-2024/0466 Dt 02.08.2024</v>
      </c>
      <c r="E296" s="1495">
        <f t="shared" si="58"/>
        <v>45394</v>
      </c>
      <c r="F296" s="1413">
        <f t="shared" si="58"/>
        <v>45506</v>
      </c>
      <c r="G296" s="618">
        <v>0.63</v>
      </c>
      <c r="H296" s="618"/>
      <c r="I296" s="161"/>
      <c r="J296" s="161"/>
      <c r="K296" s="1413"/>
      <c r="L296" s="1414"/>
      <c r="M296" s="1414"/>
      <c r="N296" s="1414"/>
      <c r="O296" s="1551"/>
      <c r="P296" s="1521"/>
      <c r="Q296" s="320"/>
      <c r="R296" s="320"/>
      <c r="S296" s="320"/>
      <c r="T296" s="320">
        <f t="shared" si="48"/>
        <v>0</v>
      </c>
      <c r="U296" s="320"/>
      <c r="V296" s="320"/>
      <c r="W296" s="320"/>
      <c r="X296" s="320"/>
      <c r="Y296" s="320"/>
      <c r="Z296" s="320"/>
      <c r="AA296" s="320"/>
      <c r="AB296" s="320"/>
      <c r="AC296" s="1521"/>
      <c r="AD296" s="1521"/>
      <c r="AE296" s="1521"/>
      <c r="AF296" s="1521"/>
      <c r="AG296" s="1521"/>
      <c r="AH296" s="1521"/>
      <c r="AI296" s="1521"/>
      <c r="AJ296" s="320"/>
      <c r="AK296" s="320"/>
      <c r="AL296" s="320"/>
      <c r="AM296" s="320"/>
      <c r="AN296" s="1523">
        <f t="shared" si="49"/>
        <v>0</v>
      </c>
      <c r="AO296" s="1581"/>
      <c r="AP296" s="320"/>
      <c r="AQ296" s="320"/>
      <c r="AR296" s="320"/>
      <c r="AS296" s="320"/>
      <c r="AT296" s="320"/>
      <c r="AU296" s="320"/>
      <c r="AV296" s="320"/>
      <c r="AW296" s="320"/>
      <c r="AX296" s="161"/>
      <c r="AY296" s="1540"/>
      <c r="AZ296" s="1560">
        <f t="shared" si="57"/>
        <v>0</v>
      </c>
      <c r="BA296" s="1560"/>
      <c r="BB296" s="1560" t="e">
        <f>#REF!-AZ296</f>
        <v>#REF!</v>
      </c>
      <c r="BC296" s="1560">
        <f t="shared" si="52"/>
        <v>0</v>
      </c>
      <c r="BD296" s="1560">
        <f t="shared" si="53"/>
        <v>0</v>
      </c>
    </row>
    <row r="297" spans="1:56" ht="77.5" outlineLevel="1" x14ac:dyDescent="0.25">
      <c r="A297" s="1486">
        <v>63</v>
      </c>
      <c r="B297" s="1491" t="s">
        <v>1916</v>
      </c>
      <c r="C297" s="1554" t="s">
        <v>928</v>
      </c>
      <c r="D297" s="1486" t="s">
        <v>1917</v>
      </c>
      <c r="E297" s="1487">
        <v>45394</v>
      </c>
      <c r="F297" s="1413">
        <v>45512</v>
      </c>
      <c r="G297" s="618">
        <f>SUM(G298:G302)</f>
        <v>38.4</v>
      </c>
      <c r="H297" s="618">
        <f>SUM(H298:H302)</f>
        <v>38.4</v>
      </c>
      <c r="I297" s="161"/>
      <c r="J297" s="161"/>
      <c r="K297" s="1413"/>
      <c r="L297" s="1414"/>
      <c r="M297" s="1414"/>
      <c r="N297" s="1414"/>
      <c r="O297" s="1551"/>
      <c r="P297" s="1521"/>
      <c r="Q297" s="320"/>
      <c r="R297" s="320"/>
      <c r="S297" s="320"/>
      <c r="T297" s="320">
        <f t="shared" si="48"/>
        <v>0</v>
      </c>
      <c r="U297" s="320"/>
      <c r="V297" s="320"/>
      <c r="W297" s="320"/>
      <c r="X297" s="320"/>
      <c r="Y297" s="320"/>
      <c r="Z297" s="320"/>
      <c r="AA297" s="320"/>
      <c r="AB297" s="320"/>
      <c r="AC297" s="1521"/>
      <c r="AD297" s="1521"/>
      <c r="AE297" s="1521"/>
      <c r="AF297" s="1521"/>
      <c r="AG297" s="1521"/>
      <c r="AH297" s="1521"/>
      <c r="AI297" s="1521"/>
      <c r="AJ297" s="320"/>
      <c r="AK297" s="320"/>
      <c r="AL297" s="320"/>
      <c r="AM297" s="320"/>
      <c r="AN297" s="1523">
        <f t="shared" si="49"/>
        <v>0</v>
      </c>
      <c r="AO297" s="1581"/>
      <c r="AP297" s="320"/>
      <c r="AQ297" s="320"/>
      <c r="AR297" s="320"/>
      <c r="AS297" s="320"/>
      <c r="AT297" s="320"/>
      <c r="AU297" s="320"/>
      <c r="AV297" s="320"/>
      <c r="AW297" s="320"/>
      <c r="AX297" s="161"/>
      <c r="AY297" s="1540"/>
    </row>
    <row r="298" spans="1:56" ht="31" outlineLevel="1" x14ac:dyDescent="0.25">
      <c r="A298" s="1488">
        <v>6.1</v>
      </c>
      <c r="B298" s="1492" t="s">
        <v>1918</v>
      </c>
      <c r="C298" s="1554" t="s">
        <v>936</v>
      </c>
      <c r="D298" s="1488" t="s">
        <v>1917</v>
      </c>
      <c r="E298" s="1495">
        <f>E297</f>
        <v>45394</v>
      </c>
      <c r="F298" s="1413">
        <v>45512</v>
      </c>
      <c r="G298" s="618">
        <v>9.58</v>
      </c>
      <c r="H298" s="618">
        <v>9.58</v>
      </c>
      <c r="I298" s="161"/>
      <c r="J298" s="161"/>
      <c r="K298" s="1413"/>
      <c r="L298" s="1414"/>
      <c r="M298" s="1414"/>
      <c r="N298" s="1414"/>
      <c r="O298" s="1551"/>
      <c r="P298" s="1521"/>
      <c r="Q298" s="320"/>
      <c r="R298" s="320"/>
      <c r="S298" s="320"/>
      <c r="T298" s="320">
        <f t="shared" si="48"/>
        <v>0</v>
      </c>
      <c r="U298" s="320"/>
      <c r="V298" s="320"/>
      <c r="W298" s="320"/>
      <c r="X298" s="1550">
        <v>9.58</v>
      </c>
      <c r="Y298" s="320"/>
      <c r="Z298" s="320"/>
      <c r="AA298" s="320"/>
      <c r="AB298" s="320"/>
      <c r="AC298" s="1521"/>
      <c r="AD298" s="1521"/>
      <c r="AE298" s="1521"/>
      <c r="AF298" s="1521"/>
      <c r="AG298" s="1521"/>
      <c r="AH298" s="1521"/>
      <c r="AI298" s="1521"/>
      <c r="AJ298" s="320"/>
      <c r="AK298" s="320"/>
      <c r="AL298" s="320"/>
      <c r="AM298" s="320"/>
      <c r="AN298" s="1523">
        <f t="shared" si="49"/>
        <v>0</v>
      </c>
      <c r="AO298" s="320"/>
      <c r="AP298" s="320"/>
      <c r="AQ298" s="320"/>
      <c r="AR298" s="1550">
        <v>9.58</v>
      </c>
      <c r="AS298" s="320"/>
      <c r="AT298" s="320"/>
      <c r="AU298" s="320"/>
      <c r="AV298" s="320"/>
      <c r="AW298" s="320"/>
      <c r="AX298" s="161"/>
      <c r="AY298" s="1540"/>
    </row>
    <row r="299" spans="1:56" ht="31" outlineLevel="1" x14ac:dyDescent="0.25">
      <c r="A299" s="1488">
        <v>6.2</v>
      </c>
      <c r="B299" s="1492" t="s">
        <v>1919</v>
      </c>
      <c r="C299" s="1554" t="s">
        <v>936</v>
      </c>
      <c r="D299" s="1488" t="s">
        <v>1917</v>
      </c>
      <c r="E299" s="1495">
        <f t="shared" ref="E299:E302" si="59">E298</f>
        <v>45394</v>
      </c>
      <c r="F299" s="1413">
        <v>45512</v>
      </c>
      <c r="G299" s="618">
        <v>2.95</v>
      </c>
      <c r="H299" s="618">
        <v>2.95</v>
      </c>
      <c r="I299" s="161"/>
      <c r="J299" s="161"/>
      <c r="K299" s="1413"/>
      <c r="L299" s="1414"/>
      <c r="M299" s="1414"/>
      <c r="N299" s="1414"/>
      <c r="O299" s="1551"/>
      <c r="P299" s="1521"/>
      <c r="Q299" s="320"/>
      <c r="R299" s="320"/>
      <c r="S299" s="320"/>
      <c r="T299" s="320">
        <f t="shared" si="48"/>
        <v>0</v>
      </c>
      <c r="U299" s="320"/>
      <c r="V299" s="320"/>
      <c r="W299" s="320"/>
      <c r="X299" s="1550">
        <v>2.95</v>
      </c>
      <c r="Y299" s="320"/>
      <c r="Z299" s="320"/>
      <c r="AA299" s="320"/>
      <c r="AB299" s="320"/>
      <c r="AC299" s="1521"/>
      <c r="AD299" s="1521"/>
      <c r="AE299" s="1521"/>
      <c r="AF299" s="1521"/>
      <c r="AG299" s="1521"/>
      <c r="AH299" s="1521"/>
      <c r="AI299" s="1521"/>
      <c r="AJ299" s="320"/>
      <c r="AK299" s="320"/>
      <c r="AL299" s="320"/>
      <c r="AM299" s="320"/>
      <c r="AN299" s="1523">
        <f t="shared" si="49"/>
        <v>0</v>
      </c>
      <c r="AO299" s="320"/>
      <c r="AP299" s="320"/>
      <c r="AQ299" s="320"/>
      <c r="AR299" s="1550">
        <v>2.95</v>
      </c>
      <c r="AS299" s="320"/>
      <c r="AT299" s="320"/>
      <c r="AU299" s="320"/>
      <c r="AV299" s="320"/>
      <c r="AW299" s="320"/>
      <c r="AX299" s="161"/>
      <c r="AY299" s="1540"/>
    </row>
    <row r="300" spans="1:56" ht="31" outlineLevel="1" x14ac:dyDescent="0.25">
      <c r="A300" s="1488">
        <v>6.3</v>
      </c>
      <c r="B300" s="1492" t="s">
        <v>1920</v>
      </c>
      <c r="C300" s="1554" t="s">
        <v>936</v>
      </c>
      <c r="D300" s="1488" t="s">
        <v>1917</v>
      </c>
      <c r="E300" s="1495">
        <f t="shared" si="59"/>
        <v>45394</v>
      </c>
      <c r="F300" s="1413">
        <v>45512</v>
      </c>
      <c r="G300" s="618">
        <v>7.95</v>
      </c>
      <c r="H300" s="618">
        <v>7.95</v>
      </c>
      <c r="I300" s="161"/>
      <c r="J300" s="161"/>
      <c r="K300" s="1413"/>
      <c r="L300" s="1414"/>
      <c r="M300" s="1414"/>
      <c r="N300" s="1414"/>
      <c r="O300" s="1551"/>
      <c r="P300" s="1521"/>
      <c r="Q300" s="320"/>
      <c r="R300" s="320"/>
      <c r="S300" s="320"/>
      <c r="T300" s="320">
        <f t="shared" si="48"/>
        <v>0</v>
      </c>
      <c r="U300" s="320"/>
      <c r="V300" s="320"/>
      <c r="W300" s="320"/>
      <c r="X300" s="1550">
        <v>7.95</v>
      </c>
      <c r="Y300" s="320"/>
      <c r="Z300" s="320"/>
      <c r="AA300" s="320"/>
      <c r="AB300" s="320"/>
      <c r="AC300" s="1521"/>
      <c r="AD300" s="1521"/>
      <c r="AE300" s="1521"/>
      <c r="AF300" s="1521"/>
      <c r="AG300" s="1521"/>
      <c r="AH300" s="1521"/>
      <c r="AI300" s="1521"/>
      <c r="AJ300" s="320"/>
      <c r="AK300" s="320"/>
      <c r="AL300" s="320"/>
      <c r="AM300" s="320"/>
      <c r="AN300" s="1523">
        <f t="shared" si="49"/>
        <v>0</v>
      </c>
      <c r="AO300" s="320"/>
      <c r="AP300" s="320"/>
      <c r="AQ300" s="320"/>
      <c r="AR300" s="1550">
        <v>7.95</v>
      </c>
      <c r="AS300" s="320"/>
      <c r="AT300" s="320"/>
      <c r="AU300" s="320"/>
      <c r="AV300" s="320"/>
      <c r="AW300" s="320"/>
      <c r="AX300" s="161"/>
      <c r="AY300" s="1540"/>
    </row>
    <row r="301" spans="1:56" ht="46.5" outlineLevel="1" x14ac:dyDescent="0.25">
      <c r="A301" s="1488">
        <v>6.4</v>
      </c>
      <c r="B301" s="1492" t="s">
        <v>1921</v>
      </c>
      <c r="C301" s="1554" t="s">
        <v>936</v>
      </c>
      <c r="D301" s="1488" t="s">
        <v>1917</v>
      </c>
      <c r="E301" s="1495">
        <f t="shared" si="59"/>
        <v>45394</v>
      </c>
      <c r="F301" s="1413">
        <v>45512</v>
      </c>
      <c r="G301" s="618">
        <v>17.46</v>
      </c>
      <c r="H301" s="618">
        <v>17.46</v>
      </c>
      <c r="I301" s="161"/>
      <c r="J301" s="161"/>
      <c r="K301" s="1413"/>
      <c r="L301" s="1414"/>
      <c r="M301" s="1414"/>
      <c r="N301" s="1414"/>
      <c r="O301" s="1551"/>
      <c r="P301" s="1521"/>
      <c r="Q301" s="320"/>
      <c r="R301" s="320"/>
      <c r="S301" s="320"/>
      <c r="T301" s="320">
        <f t="shared" si="48"/>
        <v>0</v>
      </c>
      <c r="U301" s="320"/>
      <c r="V301" s="320"/>
      <c r="W301" s="1550">
        <v>17.46</v>
      </c>
      <c r="X301" s="320"/>
      <c r="Y301" s="320"/>
      <c r="Z301" s="320"/>
      <c r="AA301" s="320"/>
      <c r="AB301" s="320"/>
      <c r="AC301" s="1521"/>
      <c r="AD301" s="1521"/>
      <c r="AE301" s="1521"/>
      <c r="AF301" s="1521"/>
      <c r="AG301" s="1521"/>
      <c r="AH301" s="1521"/>
      <c r="AI301" s="1521"/>
      <c r="AJ301" s="320"/>
      <c r="AK301" s="320"/>
      <c r="AL301" s="320"/>
      <c r="AM301" s="320"/>
      <c r="AN301" s="1523">
        <f t="shared" si="49"/>
        <v>0</v>
      </c>
      <c r="AO301" s="320"/>
      <c r="AP301" s="320"/>
      <c r="AQ301" s="1550">
        <v>17.46</v>
      </c>
      <c r="AR301" s="320">
        <v>0</v>
      </c>
      <c r="AS301" s="320"/>
      <c r="AT301" s="320"/>
      <c r="AU301" s="320"/>
      <c r="AV301" s="320"/>
      <c r="AW301" s="320"/>
      <c r="AX301" s="161"/>
      <c r="AY301" s="1540"/>
      <c r="AZ301" s="1453"/>
    </row>
    <row r="302" spans="1:56" ht="31" outlineLevel="1" x14ac:dyDescent="0.25">
      <c r="A302" s="1488"/>
      <c r="B302" s="1492" t="s">
        <v>414</v>
      </c>
      <c r="C302" s="1554" t="s">
        <v>414</v>
      </c>
      <c r="D302" s="1488" t="s">
        <v>1917</v>
      </c>
      <c r="E302" s="1495">
        <f t="shared" si="59"/>
        <v>45394</v>
      </c>
      <c r="F302" s="1413">
        <v>45512</v>
      </c>
      <c r="G302" s="618">
        <v>0.46</v>
      </c>
      <c r="H302" s="618">
        <v>0.46</v>
      </c>
      <c r="I302" s="161"/>
      <c r="J302" s="161"/>
      <c r="K302" s="1413"/>
      <c r="L302" s="1414"/>
      <c r="M302" s="1414"/>
      <c r="N302" s="1414"/>
      <c r="O302" s="1551"/>
      <c r="P302" s="1521"/>
      <c r="Q302" s="320"/>
      <c r="R302" s="320"/>
      <c r="S302" s="320"/>
      <c r="T302" s="320">
        <f t="shared" si="48"/>
        <v>0</v>
      </c>
      <c r="U302" s="320"/>
      <c r="V302" s="320"/>
      <c r="W302" s="320"/>
      <c r="X302" s="320"/>
      <c r="Y302" s="320"/>
      <c r="Z302" s="320"/>
      <c r="AA302" s="320"/>
      <c r="AB302" s="320"/>
      <c r="AC302" s="1521"/>
      <c r="AD302" s="1521"/>
      <c r="AE302" s="1521"/>
      <c r="AF302" s="1521"/>
      <c r="AG302" s="1521"/>
      <c r="AH302" s="1521"/>
      <c r="AI302" s="1521"/>
      <c r="AJ302" s="320"/>
      <c r="AK302" s="320"/>
      <c r="AL302" s="320"/>
      <c r="AM302" s="320"/>
      <c r="AN302" s="1523">
        <f t="shared" si="49"/>
        <v>0</v>
      </c>
      <c r="AO302" s="320"/>
      <c r="AP302" s="320"/>
      <c r="AQ302" s="320"/>
      <c r="AR302" s="320"/>
      <c r="AS302" s="320"/>
      <c r="AT302" s="320"/>
      <c r="AU302" s="320"/>
      <c r="AV302" s="320"/>
      <c r="AW302" s="320"/>
      <c r="AX302" s="161"/>
      <c r="AY302" s="1540"/>
    </row>
    <row r="303" spans="1:56" ht="63" customHeight="1" outlineLevel="1" x14ac:dyDescent="0.25">
      <c r="A303" s="1486">
        <v>64</v>
      </c>
      <c r="B303" s="1491" t="s">
        <v>1922</v>
      </c>
      <c r="C303" s="1554" t="s">
        <v>928</v>
      </c>
      <c r="D303" s="1488" t="s">
        <v>1923</v>
      </c>
      <c r="E303" s="1487"/>
      <c r="F303" s="1413">
        <v>45544</v>
      </c>
      <c r="G303" s="618">
        <v>32.549999999999997</v>
      </c>
      <c r="H303" s="618">
        <v>32.549999999999997</v>
      </c>
      <c r="I303" s="161"/>
      <c r="J303" s="161"/>
      <c r="K303" s="1413"/>
      <c r="L303" s="1414"/>
      <c r="M303" s="1414"/>
      <c r="N303" s="1414"/>
      <c r="O303" s="1551"/>
      <c r="P303" s="1521"/>
      <c r="Q303" s="320"/>
      <c r="R303" s="320"/>
      <c r="S303" s="320"/>
      <c r="T303" s="320">
        <f t="shared" si="48"/>
        <v>0</v>
      </c>
      <c r="U303" s="320"/>
      <c r="V303" s="320"/>
      <c r="W303" s="320"/>
      <c r="X303" s="320"/>
      <c r="Y303" s="320"/>
      <c r="Z303" s="320"/>
      <c r="AA303" s="320"/>
      <c r="AB303" s="320"/>
      <c r="AC303" s="1521"/>
      <c r="AD303" s="1521"/>
      <c r="AE303" s="1521"/>
      <c r="AF303" s="1521"/>
      <c r="AG303" s="1521"/>
      <c r="AH303" s="1521"/>
      <c r="AI303" s="1521"/>
      <c r="AJ303" s="320"/>
      <c r="AK303" s="320"/>
      <c r="AL303" s="320"/>
      <c r="AM303" s="320"/>
      <c r="AN303" s="1523">
        <f t="shared" si="49"/>
        <v>0</v>
      </c>
      <c r="AO303" s="320"/>
      <c r="AP303" s="320"/>
      <c r="AQ303" s="320"/>
      <c r="AR303" s="320"/>
      <c r="AS303" s="320"/>
      <c r="AT303" s="320"/>
      <c r="AU303" s="320"/>
      <c r="AV303" s="320"/>
      <c r="AW303" s="320"/>
      <c r="AX303" s="161"/>
      <c r="AY303" s="1540"/>
    </row>
    <row r="304" spans="1:56" ht="62" outlineLevel="1" x14ac:dyDescent="0.25">
      <c r="A304" s="1488"/>
      <c r="B304" s="1497" t="s">
        <v>1924</v>
      </c>
      <c r="C304" s="1554" t="s">
        <v>936</v>
      </c>
      <c r="D304" s="1488" t="s">
        <v>1923</v>
      </c>
      <c r="E304" s="1495"/>
      <c r="F304" s="1413">
        <v>45544</v>
      </c>
      <c r="G304" s="618">
        <v>17.61</v>
      </c>
      <c r="H304" s="618">
        <v>17.61</v>
      </c>
      <c r="I304" s="161"/>
      <c r="J304" s="161"/>
      <c r="K304" s="1413"/>
      <c r="L304" s="1414"/>
      <c r="M304" s="1414"/>
      <c r="N304" s="1414"/>
      <c r="O304" s="1551"/>
      <c r="P304" s="1521"/>
      <c r="Q304" s="320"/>
      <c r="R304" s="320"/>
      <c r="S304" s="320"/>
      <c r="T304" s="320">
        <f t="shared" si="48"/>
        <v>0</v>
      </c>
      <c r="U304" s="320"/>
      <c r="V304" s="320"/>
      <c r="W304" s="320"/>
      <c r="X304" s="320"/>
      <c r="Y304" s="1550">
        <v>17.61</v>
      </c>
      <c r="Z304" s="320"/>
      <c r="AA304" s="320"/>
      <c r="AB304" s="320"/>
      <c r="AC304" s="1521"/>
      <c r="AD304" s="1521"/>
      <c r="AE304" s="1521"/>
      <c r="AF304" s="1521"/>
      <c r="AG304" s="1521"/>
      <c r="AH304" s="1521"/>
      <c r="AI304" s="1521"/>
      <c r="AJ304" s="320"/>
      <c r="AK304" s="320"/>
      <c r="AL304" s="320"/>
      <c r="AM304" s="320"/>
      <c r="AN304" s="1523">
        <f t="shared" si="49"/>
        <v>0</v>
      </c>
      <c r="AO304" s="320"/>
      <c r="AP304" s="320"/>
      <c r="AQ304" s="320"/>
      <c r="AR304" s="320"/>
      <c r="AS304" s="1550">
        <v>17.61</v>
      </c>
      <c r="AT304" s="320"/>
      <c r="AU304" s="320"/>
      <c r="AV304" s="320"/>
      <c r="AW304" s="320"/>
      <c r="AX304" s="161"/>
      <c r="AY304" s="1540"/>
    </row>
    <row r="305" spans="1:57" ht="46.5" outlineLevel="1" x14ac:dyDescent="0.25">
      <c r="A305" s="1488"/>
      <c r="B305" s="1497" t="s">
        <v>1925</v>
      </c>
      <c r="C305" s="1554" t="s">
        <v>936</v>
      </c>
      <c r="D305" s="1488" t="s">
        <v>1923</v>
      </c>
      <c r="E305" s="1495"/>
      <c r="F305" s="1413">
        <v>45544</v>
      </c>
      <c r="G305" s="618">
        <v>14.65</v>
      </c>
      <c r="H305" s="618">
        <v>14.65</v>
      </c>
      <c r="I305" s="161"/>
      <c r="J305" s="161"/>
      <c r="K305" s="1413"/>
      <c r="L305" s="1414"/>
      <c r="M305" s="1414"/>
      <c r="N305" s="1414"/>
      <c r="O305" s="1551"/>
      <c r="P305" s="1521"/>
      <c r="Q305" s="320"/>
      <c r="R305" s="320"/>
      <c r="S305" s="320"/>
      <c r="T305" s="320">
        <f t="shared" si="48"/>
        <v>0</v>
      </c>
      <c r="U305" s="320"/>
      <c r="V305" s="320"/>
      <c r="W305" s="320"/>
      <c r="X305" s="320"/>
      <c r="Y305" s="1550">
        <v>14.65</v>
      </c>
      <c r="Z305" s="320"/>
      <c r="AA305" s="320"/>
      <c r="AB305" s="320"/>
      <c r="AC305" s="1521"/>
      <c r="AD305" s="1521"/>
      <c r="AE305" s="1521"/>
      <c r="AF305" s="1521"/>
      <c r="AG305" s="1521"/>
      <c r="AH305" s="1521"/>
      <c r="AI305" s="1521"/>
      <c r="AJ305" s="320"/>
      <c r="AK305" s="320"/>
      <c r="AL305" s="320"/>
      <c r="AM305" s="320"/>
      <c r="AN305" s="1523">
        <f t="shared" si="49"/>
        <v>0</v>
      </c>
      <c r="AO305" s="320"/>
      <c r="AP305" s="320"/>
      <c r="AQ305" s="320"/>
      <c r="AR305" s="320"/>
      <c r="AS305" s="1550">
        <v>14.65</v>
      </c>
      <c r="AT305" s="320"/>
      <c r="AU305" s="320"/>
      <c r="AV305" s="320"/>
      <c r="AW305" s="320"/>
      <c r="AX305" s="161"/>
      <c r="AY305" s="1540"/>
    </row>
    <row r="306" spans="1:57" ht="46.5" outlineLevel="1" x14ac:dyDescent="0.25">
      <c r="A306" s="1488"/>
      <c r="B306" s="1497" t="s">
        <v>414</v>
      </c>
      <c r="C306" s="1554" t="s">
        <v>414</v>
      </c>
      <c r="D306" s="1488" t="s">
        <v>1923</v>
      </c>
      <c r="E306" s="1495"/>
      <c r="F306" s="1413">
        <v>45544</v>
      </c>
      <c r="G306" s="618">
        <v>0.28999999999999998</v>
      </c>
      <c r="H306" s="618">
        <v>0.28999999999999998</v>
      </c>
      <c r="I306" s="161"/>
      <c r="J306" s="161"/>
      <c r="K306" s="1413"/>
      <c r="L306" s="1414"/>
      <c r="M306" s="1414"/>
      <c r="N306" s="1414"/>
      <c r="O306" s="1551"/>
      <c r="P306" s="1521"/>
      <c r="Q306" s="320"/>
      <c r="R306" s="320"/>
      <c r="S306" s="320"/>
      <c r="T306" s="320">
        <f t="shared" si="48"/>
        <v>0</v>
      </c>
      <c r="U306" s="320"/>
      <c r="V306" s="320"/>
      <c r="W306" s="320"/>
      <c r="X306" s="320"/>
      <c r="Y306" s="1550">
        <v>0.28999999999999998</v>
      </c>
      <c r="Z306" s="320"/>
      <c r="AA306" s="320"/>
      <c r="AB306" s="320"/>
      <c r="AC306" s="1521"/>
      <c r="AD306" s="1521"/>
      <c r="AE306" s="1521"/>
      <c r="AF306" s="1521"/>
      <c r="AG306" s="1521"/>
      <c r="AH306" s="1521"/>
      <c r="AI306" s="1521"/>
      <c r="AJ306" s="320"/>
      <c r="AK306" s="320"/>
      <c r="AL306" s="320"/>
      <c r="AM306" s="320"/>
      <c r="AN306" s="1523">
        <f t="shared" si="49"/>
        <v>0</v>
      </c>
      <c r="AO306" s="320"/>
      <c r="AP306" s="320"/>
      <c r="AQ306" s="320"/>
      <c r="AR306" s="320"/>
      <c r="AS306" s="1550">
        <v>0.28999999999999998</v>
      </c>
      <c r="AT306" s="320"/>
      <c r="AU306" s="320"/>
      <c r="AV306" s="320"/>
      <c r="AW306" s="320"/>
      <c r="AX306" s="161"/>
      <c r="AY306" s="1540"/>
    </row>
    <row r="307" spans="1:57" ht="15.5" x14ac:dyDescent="0.3">
      <c r="A307" s="1498"/>
      <c r="B307" s="1492"/>
      <c r="C307" s="1498"/>
      <c r="D307" s="1498"/>
      <c r="E307" s="1499"/>
      <c r="F307" s="1499"/>
      <c r="G307" s="1415"/>
      <c r="H307" s="1415"/>
      <c r="I307" s="1"/>
      <c r="J307" s="1"/>
      <c r="K307" s="1499"/>
      <c r="L307" s="1503"/>
      <c r="M307" s="1503"/>
      <c r="N307" s="1583"/>
      <c r="O307" s="1584"/>
      <c r="P307" s="1585"/>
      <c r="Q307" s="1585"/>
      <c r="R307" s="1585"/>
      <c r="S307" s="1585"/>
      <c r="T307" s="1585">
        <f t="shared" si="48"/>
        <v>0</v>
      </c>
      <c r="U307" s="1553"/>
      <c r="V307" s="1553"/>
      <c r="W307" s="1553"/>
      <c r="X307" s="1553"/>
      <c r="Y307" s="1553"/>
      <c r="Z307" s="1553"/>
      <c r="AA307" s="1553"/>
      <c r="AB307" s="1553"/>
      <c r="AC307" s="1586"/>
      <c r="AD307" s="1586"/>
      <c r="AE307" s="1586"/>
      <c r="AF307" s="1586"/>
      <c r="AG307" s="1522"/>
      <c r="AH307" s="1522"/>
      <c r="AI307" s="1522"/>
      <c r="AJ307" s="1585"/>
      <c r="AK307" s="1585"/>
      <c r="AL307" s="1585"/>
      <c r="AM307" s="1585"/>
      <c r="AN307" s="1523">
        <f t="shared" si="49"/>
        <v>0</v>
      </c>
      <c r="AO307" s="1559"/>
      <c r="AP307" s="1553"/>
      <c r="AQ307" s="1553"/>
      <c r="AR307" s="1553"/>
      <c r="AS307" s="1553"/>
      <c r="AT307" s="1553"/>
      <c r="AU307" s="1553"/>
      <c r="AV307" s="1553"/>
      <c r="AW307" s="1553"/>
      <c r="AX307" s="161"/>
      <c r="AY307" s="1587"/>
    </row>
    <row r="308" spans="1:57" ht="28.5" customHeight="1" x14ac:dyDescent="0.3">
      <c r="A308" s="1498"/>
      <c r="B308" s="1492"/>
      <c r="C308" s="1498"/>
      <c r="D308" s="1498"/>
      <c r="E308" s="1499"/>
      <c r="F308" s="1499"/>
      <c r="G308" s="1415"/>
      <c r="H308" s="1415"/>
      <c r="I308" s="1"/>
      <c r="J308" s="1"/>
      <c r="K308" s="1499"/>
      <c r="L308" s="1503"/>
      <c r="M308" s="1503"/>
      <c r="N308" s="1583"/>
      <c r="O308" s="1584"/>
      <c r="P308" s="1585"/>
      <c r="Q308" s="1585"/>
      <c r="R308" s="1585"/>
      <c r="S308" s="1585"/>
      <c r="T308" s="1585">
        <f t="shared" si="48"/>
        <v>0</v>
      </c>
      <c r="U308" s="444"/>
      <c r="V308" s="1141"/>
      <c r="W308" s="444"/>
      <c r="X308" s="444"/>
      <c r="Y308" s="444"/>
      <c r="Z308" s="444"/>
      <c r="AA308" s="444"/>
      <c r="AB308" s="444"/>
      <c r="AC308" s="1586"/>
      <c r="AD308" s="1586"/>
      <c r="AE308" s="1586"/>
      <c r="AF308" s="1586"/>
      <c r="AG308" s="1563"/>
      <c r="AH308" s="1563"/>
      <c r="AI308" s="1563"/>
      <c r="AJ308" s="1585"/>
      <c r="AK308" s="1585"/>
      <c r="AL308" s="1585"/>
      <c r="AM308" s="1585"/>
      <c r="AN308" s="1523">
        <f t="shared" si="49"/>
        <v>0</v>
      </c>
      <c r="AO308" s="1564"/>
      <c r="AP308" s="1141"/>
      <c r="AQ308" s="444"/>
      <c r="AR308" s="444"/>
      <c r="AS308" s="444"/>
      <c r="AT308" s="444"/>
      <c r="AU308" s="444"/>
      <c r="AV308" s="444"/>
      <c r="AW308" s="444"/>
      <c r="AX308" s="1406"/>
      <c r="AY308" s="1587"/>
      <c r="AZ308" s="1560"/>
      <c r="BA308" s="1560"/>
      <c r="BB308" s="1560" t="e">
        <f>IF(#REF!="Scheme",IF(SUM(#REF!)&gt;0,IF(#REF!&lt;#REF!,#REF!-#REF!,0),0),0)</f>
        <v>#REF!</v>
      </c>
      <c r="BC308" s="1560" t="e">
        <f>IF(#REF!="scheme",#REF!-SUM(#REF!),0)</f>
        <v>#REF!</v>
      </c>
    </row>
    <row r="309" spans="1:57" ht="15.5" x14ac:dyDescent="0.3">
      <c r="A309" s="1500"/>
      <c r="B309" s="1483"/>
      <c r="C309" s="1588"/>
      <c r="D309" s="1500"/>
      <c r="E309" s="1589"/>
      <c r="F309" s="1501"/>
      <c r="G309" s="1416"/>
      <c r="H309" s="1416"/>
      <c r="I309" s="1530"/>
      <c r="J309" s="1530"/>
      <c r="K309" s="1501"/>
      <c r="O309" s="494"/>
      <c r="P309" s="1591"/>
      <c r="Q309" s="1591"/>
      <c r="R309" s="1591"/>
      <c r="S309" s="1591"/>
      <c r="T309" s="1591">
        <f t="shared" si="48"/>
        <v>0</v>
      </c>
      <c r="U309" s="444"/>
      <c r="V309" s="1141"/>
      <c r="W309" s="444"/>
      <c r="X309" s="444"/>
      <c r="Y309" s="444"/>
      <c r="Z309" s="444"/>
      <c r="AA309" s="444"/>
      <c r="AB309" s="444"/>
      <c r="AC309" s="1592"/>
      <c r="AD309" s="1592"/>
      <c r="AE309" s="1592"/>
      <c r="AF309" s="1592"/>
      <c r="AG309" s="1563"/>
      <c r="AH309" s="1563"/>
      <c r="AI309" s="1563"/>
      <c r="AJ309" s="1591"/>
      <c r="AK309" s="1591"/>
      <c r="AL309" s="1591"/>
      <c r="AM309" s="1591"/>
      <c r="AN309" s="1523">
        <f t="shared" si="49"/>
        <v>0</v>
      </c>
      <c r="AO309" s="1564"/>
      <c r="AP309" s="1141"/>
      <c r="AQ309" s="444"/>
      <c r="AR309" s="444"/>
      <c r="AS309" s="444"/>
      <c r="AT309" s="444"/>
      <c r="AU309" s="444"/>
      <c r="AV309" s="444"/>
      <c r="AW309" s="444"/>
      <c r="AX309" s="1406"/>
      <c r="AY309" s="1587"/>
      <c r="AZ309" s="1560"/>
      <c r="BA309" s="1560" t="e">
        <f>#REF!-#REF!</f>
        <v>#REF!</v>
      </c>
      <c r="BB309" s="1560" t="e">
        <f>IF(#REF!="Scheme",IF(SUM(#REF!)&gt;0,IF(#REF!&lt;#REF!,#REF!-#REF!,0),0),0)</f>
        <v>#REF!</v>
      </c>
      <c r="BC309" s="1560" t="e">
        <f>IF(#REF!="scheme",#REF!-SUM(#REF!),0)</f>
        <v>#REF!</v>
      </c>
    </row>
    <row r="310" spans="1:57" ht="28.5" customHeight="1" x14ac:dyDescent="0.25">
      <c r="A310" s="131"/>
      <c r="B310" s="1476" t="s">
        <v>1926</v>
      </c>
      <c r="C310" s="166"/>
      <c r="D310" s="166"/>
      <c r="E310" s="1413"/>
      <c r="F310" s="1413"/>
      <c r="G310" s="161"/>
      <c r="H310" s="161"/>
      <c r="I310" s="161"/>
      <c r="J310" s="161"/>
      <c r="K310" s="1413"/>
      <c r="L310" s="1414"/>
      <c r="M310" s="1414"/>
      <c r="N310" s="1414"/>
      <c r="O310" s="1551"/>
      <c r="P310" s="320"/>
      <c r="Q310" s="1521"/>
      <c r="R310" s="1521"/>
      <c r="S310" s="1521"/>
      <c r="T310" s="1521">
        <f t="shared" si="48"/>
        <v>0</v>
      </c>
      <c r="U310" s="1521"/>
      <c r="V310" s="1521"/>
      <c r="W310" s="1521"/>
      <c r="X310" s="1521"/>
      <c r="Y310" s="1521"/>
      <c r="Z310" s="1521"/>
      <c r="AA310" s="1521"/>
      <c r="AB310" s="1521"/>
      <c r="AC310" s="1522"/>
      <c r="AD310" s="1522"/>
      <c r="AE310" s="1522"/>
      <c r="AF310" s="1522"/>
      <c r="AG310" s="1522"/>
      <c r="AH310" s="1522"/>
      <c r="AI310" s="1522"/>
      <c r="AJ310" s="320"/>
      <c r="AK310" s="320"/>
      <c r="AL310" s="320"/>
      <c r="AM310" s="320"/>
      <c r="AN310" s="1523">
        <f t="shared" si="49"/>
        <v>0</v>
      </c>
      <c r="AO310" s="1581"/>
      <c r="AP310" s="320"/>
      <c r="AQ310" s="320"/>
      <c r="AR310" s="320"/>
      <c r="AS310" s="320"/>
      <c r="AT310" s="320"/>
      <c r="AU310" s="320"/>
      <c r="AV310" s="320"/>
      <c r="AW310" s="320"/>
      <c r="AX310" s="161"/>
      <c r="AY310" s="1587"/>
      <c r="AZ310" s="1560"/>
      <c r="BA310" s="1560"/>
      <c r="BB310" s="1560" t="e">
        <f>IF(#REF!="Scheme",IF(SUM(#REF!)&gt;0,IF(#REF!&lt;#REF!,#REF!-#REF!,0),0),0)</f>
        <v>#REF!</v>
      </c>
      <c r="BC310" s="1560" t="e">
        <f>IF(#REF!="scheme",#REF!-SUM(#REF!),0)</f>
        <v>#REF!</v>
      </c>
    </row>
    <row r="311" spans="1:57" ht="108.5" outlineLevel="1" x14ac:dyDescent="0.25">
      <c r="A311" s="1486" t="s">
        <v>1927</v>
      </c>
      <c r="B311" s="1491" t="s">
        <v>1928</v>
      </c>
      <c r="C311" s="1486" t="s">
        <v>928</v>
      </c>
      <c r="D311" s="1486" t="s">
        <v>1929</v>
      </c>
      <c r="E311" s="1487"/>
      <c r="F311" s="1487"/>
      <c r="G311" s="1403">
        <f>SUM(G312:G316)</f>
        <v>34.89</v>
      </c>
      <c r="H311" s="1403"/>
      <c r="I311" s="161"/>
      <c r="J311" s="161"/>
      <c r="K311" s="1413"/>
      <c r="L311" s="1414"/>
      <c r="M311" s="1414"/>
      <c r="N311" s="1414"/>
      <c r="O311" s="1551"/>
      <c r="P311" s="1521"/>
      <c r="Q311" s="320"/>
      <c r="R311" s="320"/>
      <c r="S311" s="320"/>
      <c r="T311" s="320">
        <f t="shared" si="48"/>
        <v>0</v>
      </c>
      <c r="U311" s="320"/>
      <c r="V311" s="320"/>
      <c r="W311" s="320"/>
      <c r="X311" s="320"/>
      <c r="Y311" s="320"/>
      <c r="Z311" s="320"/>
      <c r="AA311" s="320"/>
      <c r="AB311" s="320"/>
      <c r="AC311" s="1521"/>
      <c r="AD311" s="1521"/>
      <c r="AE311" s="1521"/>
      <c r="AF311" s="1521"/>
      <c r="AG311" s="1521"/>
      <c r="AH311" s="1521"/>
      <c r="AI311" s="1521"/>
      <c r="AJ311" s="320"/>
      <c r="AK311" s="320"/>
      <c r="AL311" s="320"/>
      <c r="AM311" s="320"/>
      <c r="AN311" s="1523">
        <f t="shared" si="49"/>
        <v>0</v>
      </c>
      <c r="AO311" s="320"/>
      <c r="AP311" s="320"/>
      <c r="AQ311" s="320"/>
      <c r="AR311" s="320"/>
      <c r="AS311" s="320"/>
      <c r="AT311" s="320"/>
      <c r="AU311" s="320"/>
      <c r="AV311" s="320"/>
      <c r="AW311" s="320"/>
      <c r="AX311" s="161"/>
      <c r="AY311" s="1540"/>
      <c r="AZ311" s="1560" t="e">
        <f>#REF!-#REF!</f>
        <v>#REF!</v>
      </c>
      <c r="BA311" s="1560">
        <f>IF(C311="Scheme",IF(SUM(AJ311:AS311)&gt;0,IF(H311&lt;#REF!,H311-#REF!,0),0),0)</f>
        <v>0</v>
      </c>
      <c r="BB311" s="1560">
        <f t="shared" ref="BB311:BB321" si="60">IF(C311="scheme",G311-SUM(AJ311:AS311),0)</f>
        <v>0</v>
      </c>
    </row>
    <row r="312" spans="1:57" ht="31" outlineLevel="1" x14ac:dyDescent="0.25">
      <c r="A312" s="1488"/>
      <c r="B312" s="1497" t="s">
        <v>1930</v>
      </c>
      <c r="C312" s="1554" t="s">
        <v>936</v>
      </c>
      <c r="D312" s="1488" t="s">
        <v>1929</v>
      </c>
      <c r="E312" s="1495"/>
      <c r="F312" s="1413"/>
      <c r="G312" s="618">
        <v>13.8</v>
      </c>
      <c r="H312" s="618"/>
      <c r="I312" s="161"/>
      <c r="J312" s="161"/>
      <c r="K312" s="1413"/>
      <c r="L312" s="1414"/>
      <c r="M312" s="1414"/>
      <c r="N312" s="1414"/>
      <c r="O312" s="1551" t="s">
        <v>2289</v>
      </c>
      <c r="P312" s="1521"/>
      <c r="Q312" s="320"/>
      <c r="R312" s="320"/>
      <c r="S312" s="320"/>
      <c r="T312" s="320">
        <f t="shared" si="48"/>
        <v>0</v>
      </c>
      <c r="U312" s="320"/>
      <c r="V312" s="320"/>
      <c r="W312" s="320"/>
      <c r="X312" s="320"/>
      <c r="Y312" s="320">
        <f>G312</f>
        <v>13.8</v>
      </c>
      <c r="Z312" s="320"/>
      <c r="AA312" s="320"/>
      <c r="AB312" s="320"/>
      <c r="AC312" s="1521"/>
      <c r="AD312" s="1521"/>
      <c r="AE312" s="1521"/>
      <c r="AF312" s="1521"/>
      <c r="AG312" s="1521"/>
      <c r="AH312" s="1521"/>
      <c r="AI312" s="1521"/>
      <c r="AJ312" s="320"/>
      <c r="AK312" s="320"/>
      <c r="AL312" s="320"/>
      <c r="AM312" s="320"/>
      <c r="AN312" s="1523">
        <f t="shared" si="49"/>
        <v>0</v>
      </c>
      <c r="AO312" s="320"/>
      <c r="AP312" s="320"/>
      <c r="AQ312" s="320"/>
      <c r="AR312" s="320"/>
      <c r="AS312" s="320">
        <v>13.8</v>
      </c>
      <c r="AT312" s="320"/>
      <c r="AU312" s="320"/>
      <c r="AV312" s="320"/>
      <c r="AW312" s="320"/>
      <c r="AX312" s="161"/>
      <c r="AY312" s="1540"/>
      <c r="AZ312" s="1560" t="e">
        <f>#REF!-#REF!</f>
        <v>#REF!</v>
      </c>
      <c r="BA312" s="1560" t="e">
        <f>IF(C312="Scheme",IF(SUM(AJ312:AS312)&gt;0,IF(H312&lt;#REF!,H312-#REF!,0),0),0)</f>
        <v>#REF!</v>
      </c>
      <c r="BB312" s="1560">
        <f t="shared" si="60"/>
        <v>0</v>
      </c>
      <c r="BC312" s="96" t="s">
        <v>256</v>
      </c>
      <c r="BD312" s="96" t="s">
        <v>1931</v>
      </c>
      <c r="BE312" s="96" t="s">
        <v>1932</v>
      </c>
    </row>
    <row r="313" spans="1:57" ht="31" outlineLevel="1" x14ac:dyDescent="0.25">
      <c r="A313" s="1488"/>
      <c r="B313" s="1497" t="s">
        <v>1933</v>
      </c>
      <c r="C313" s="1554" t="s">
        <v>936</v>
      </c>
      <c r="D313" s="1488" t="s">
        <v>1929</v>
      </c>
      <c r="E313" s="1495"/>
      <c r="F313" s="1413"/>
      <c r="G313" s="618">
        <v>10.19</v>
      </c>
      <c r="H313" s="618"/>
      <c r="I313" s="161"/>
      <c r="J313" s="161"/>
      <c r="K313" s="1413"/>
      <c r="L313" s="1414"/>
      <c r="M313" s="1414"/>
      <c r="N313" s="1414"/>
      <c r="O313" s="1551" t="s">
        <v>2290</v>
      </c>
      <c r="P313" s="1521"/>
      <c r="Q313" s="320"/>
      <c r="R313" s="320"/>
      <c r="S313" s="320"/>
      <c r="T313" s="320">
        <f t="shared" si="48"/>
        <v>0</v>
      </c>
      <c r="U313" s="320"/>
      <c r="V313" s="320"/>
      <c r="W313" s="320"/>
      <c r="X313" s="320"/>
      <c r="Y313" s="320">
        <f>G313</f>
        <v>10.19</v>
      </c>
      <c r="Z313" s="320"/>
      <c r="AA313" s="320"/>
      <c r="AB313" s="320"/>
      <c r="AC313" s="1521"/>
      <c r="AD313" s="1521"/>
      <c r="AE313" s="1521"/>
      <c r="AF313" s="1521"/>
      <c r="AG313" s="1521"/>
      <c r="AH313" s="1521"/>
      <c r="AI313" s="1521"/>
      <c r="AJ313" s="320"/>
      <c r="AK313" s="320"/>
      <c r="AL313" s="320"/>
      <c r="AM313" s="320"/>
      <c r="AN313" s="1523">
        <f t="shared" si="49"/>
        <v>0</v>
      </c>
      <c r="AO313" s="320"/>
      <c r="AP313" s="320"/>
      <c r="AQ313" s="320"/>
      <c r="AR313" s="320"/>
      <c r="AS313" s="320">
        <v>10.19</v>
      </c>
      <c r="AT313" s="320"/>
      <c r="AU313" s="320"/>
      <c r="AV313" s="320"/>
      <c r="AW313" s="320"/>
      <c r="AX313" s="161"/>
      <c r="AY313" s="1540"/>
      <c r="AZ313" s="1560" t="e">
        <f>#REF!-#REF!</f>
        <v>#REF!</v>
      </c>
      <c r="BA313" s="1560" t="e">
        <f>IF(C313="Scheme",IF(SUM(AJ313:AS313)&gt;0,IF(H313&lt;#REF!,H313-#REF!,0),0),0)</f>
        <v>#REF!</v>
      </c>
      <c r="BB313" s="1560">
        <f t="shared" si="60"/>
        <v>0</v>
      </c>
      <c r="BC313" s="96" t="s">
        <v>256</v>
      </c>
      <c r="BD313" s="96" t="s">
        <v>1931</v>
      </c>
      <c r="BE313" s="96" t="s">
        <v>1934</v>
      </c>
    </row>
    <row r="314" spans="1:57" ht="31.5" customHeight="1" outlineLevel="1" x14ac:dyDescent="0.25">
      <c r="A314" s="1488"/>
      <c r="B314" s="1497" t="s">
        <v>1935</v>
      </c>
      <c r="C314" s="1554" t="s">
        <v>936</v>
      </c>
      <c r="D314" s="1488" t="s">
        <v>1929</v>
      </c>
      <c r="E314" s="1495"/>
      <c r="F314" s="1413"/>
      <c r="G314" s="618">
        <v>2.5499999999999998</v>
      </c>
      <c r="H314" s="618"/>
      <c r="I314" s="161"/>
      <c r="J314" s="161"/>
      <c r="K314" s="1413"/>
      <c r="L314" s="1414"/>
      <c r="M314" s="1414"/>
      <c r="N314" s="1414"/>
      <c r="O314" s="1551" t="s">
        <v>2290</v>
      </c>
      <c r="P314" s="1521"/>
      <c r="Q314" s="320"/>
      <c r="R314" s="320"/>
      <c r="S314" s="320"/>
      <c r="T314" s="320">
        <f t="shared" si="48"/>
        <v>0</v>
      </c>
      <c r="U314" s="320"/>
      <c r="V314" s="320"/>
      <c r="W314" s="320"/>
      <c r="X314" s="320"/>
      <c r="Y314" s="320">
        <f>G314</f>
        <v>2.5499999999999998</v>
      </c>
      <c r="Z314" s="320"/>
      <c r="AA314" s="320"/>
      <c r="AB314" s="320"/>
      <c r="AC314" s="1521"/>
      <c r="AD314" s="1521"/>
      <c r="AE314" s="1521"/>
      <c r="AF314" s="1521"/>
      <c r="AG314" s="1521"/>
      <c r="AH314" s="1521"/>
      <c r="AI314" s="1521"/>
      <c r="AJ314" s="320"/>
      <c r="AK314" s="320"/>
      <c r="AL314" s="320"/>
      <c r="AM314" s="320"/>
      <c r="AN314" s="1523">
        <f t="shared" si="49"/>
        <v>0</v>
      </c>
      <c r="AO314" s="320"/>
      <c r="AP314" s="320"/>
      <c r="AQ314" s="320"/>
      <c r="AR314" s="320"/>
      <c r="AS314" s="320">
        <v>2.5499999999999998</v>
      </c>
      <c r="AT314" s="320"/>
      <c r="AU314" s="320"/>
      <c r="AV314" s="320"/>
      <c r="AW314" s="320"/>
      <c r="AX314" s="161"/>
      <c r="AY314" s="1540"/>
      <c r="AZ314" s="1560" t="e">
        <f>#REF!-#REF!</f>
        <v>#REF!</v>
      </c>
      <c r="BA314" s="1560" t="e">
        <f>IF(C314="Scheme",IF(SUM(AJ314:AS314)&gt;0,IF(H314&lt;#REF!,H314-#REF!,0),0),0)</f>
        <v>#REF!</v>
      </c>
      <c r="BB314" s="1560">
        <f t="shared" si="60"/>
        <v>0</v>
      </c>
      <c r="BC314" s="96" t="s">
        <v>256</v>
      </c>
      <c r="BD314" s="96" t="s">
        <v>1931</v>
      </c>
      <c r="BE314" s="96" t="s">
        <v>1934</v>
      </c>
    </row>
    <row r="315" spans="1:57" ht="31" outlineLevel="1" x14ac:dyDescent="0.25">
      <c r="A315" s="1488"/>
      <c r="B315" s="1497" t="s">
        <v>1936</v>
      </c>
      <c r="C315" s="1554" t="s">
        <v>936</v>
      </c>
      <c r="D315" s="1488" t="s">
        <v>1929</v>
      </c>
      <c r="E315" s="1495"/>
      <c r="F315" s="1413"/>
      <c r="G315" s="618">
        <v>8.35</v>
      </c>
      <c r="H315" s="618"/>
      <c r="I315" s="161"/>
      <c r="J315" s="161"/>
      <c r="K315" s="1413"/>
      <c r="L315" s="1414"/>
      <c r="M315" s="1414"/>
      <c r="N315" s="1414"/>
      <c r="O315" s="1551" t="s">
        <v>2291</v>
      </c>
      <c r="P315" s="1521"/>
      <c r="Q315" s="320"/>
      <c r="R315" s="320"/>
      <c r="S315" s="320"/>
      <c r="T315" s="320">
        <f t="shared" si="48"/>
        <v>0</v>
      </c>
      <c r="U315" s="320"/>
      <c r="V315" s="320"/>
      <c r="W315" s="320"/>
      <c r="X315" s="320"/>
      <c r="Y315" s="320">
        <f>G315</f>
        <v>8.35</v>
      </c>
      <c r="Z315" s="320"/>
      <c r="AA315" s="320"/>
      <c r="AB315" s="320"/>
      <c r="AC315" s="1521"/>
      <c r="AD315" s="1521"/>
      <c r="AE315" s="1521"/>
      <c r="AF315" s="1521"/>
      <c r="AG315" s="1521"/>
      <c r="AH315" s="1521"/>
      <c r="AI315" s="1521"/>
      <c r="AJ315" s="320"/>
      <c r="AK315" s="320"/>
      <c r="AL315" s="320"/>
      <c r="AM315" s="320"/>
      <c r="AN315" s="1523">
        <f t="shared" si="49"/>
        <v>0</v>
      </c>
      <c r="AO315" s="320"/>
      <c r="AP315" s="320"/>
      <c r="AQ315" s="320"/>
      <c r="AR315" s="320"/>
      <c r="AS315" s="320">
        <v>8.35</v>
      </c>
      <c r="AT315" s="320"/>
      <c r="AU315" s="320"/>
      <c r="AV315" s="320"/>
      <c r="AW315" s="320"/>
      <c r="AX315" s="161"/>
      <c r="AY315" s="1540"/>
      <c r="AZ315" s="1560" t="e">
        <f>#REF!-#REF!</f>
        <v>#REF!</v>
      </c>
      <c r="BA315" s="1560" t="e">
        <f>IF(C315="Scheme",IF(SUM(AJ315:AS315)&gt;0,IF(H315&lt;#REF!,H315-#REF!,0),0),0)</f>
        <v>#REF!</v>
      </c>
      <c r="BB315" s="1560">
        <f t="shared" si="60"/>
        <v>0</v>
      </c>
      <c r="BC315" s="96" t="s">
        <v>256</v>
      </c>
      <c r="BD315" s="96" t="s">
        <v>1931</v>
      </c>
      <c r="BE315" s="96" t="s">
        <v>1934</v>
      </c>
    </row>
    <row r="316" spans="1:57" ht="15.5" outlineLevel="1" x14ac:dyDescent="0.25">
      <c r="A316" s="1488"/>
      <c r="B316" s="1497" t="s">
        <v>414</v>
      </c>
      <c r="C316" s="1554" t="s">
        <v>414</v>
      </c>
      <c r="D316" s="1488" t="s">
        <v>1929</v>
      </c>
      <c r="E316" s="1495"/>
      <c r="F316" s="1413"/>
      <c r="G316" s="618">
        <v>0</v>
      </c>
      <c r="H316" s="618"/>
      <c r="I316" s="161"/>
      <c r="J316" s="161"/>
      <c r="K316" s="1413"/>
      <c r="L316" s="1414"/>
      <c r="M316" s="1414"/>
      <c r="N316" s="1414"/>
      <c r="O316" s="1551"/>
      <c r="P316" s="1521"/>
      <c r="Q316" s="320"/>
      <c r="R316" s="320"/>
      <c r="S316" s="320"/>
      <c r="T316" s="320">
        <f t="shared" si="48"/>
        <v>0</v>
      </c>
      <c r="U316" s="320"/>
      <c r="V316" s="320"/>
      <c r="W316" s="320"/>
      <c r="X316" s="320"/>
      <c r="Y316" s="320"/>
      <c r="Z316" s="320"/>
      <c r="AA316" s="320"/>
      <c r="AB316" s="320"/>
      <c r="AC316" s="1521"/>
      <c r="AD316" s="1521"/>
      <c r="AE316" s="1521"/>
      <c r="AF316" s="1521"/>
      <c r="AG316" s="1521"/>
      <c r="AH316" s="1521"/>
      <c r="AI316" s="1521"/>
      <c r="AJ316" s="320"/>
      <c r="AK316" s="320"/>
      <c r="AL316" s="320"/>
      <c r="AM316" s="320"/>
      <c r="AN316" s="1523">
        <f t="shared" si="49"/>
        <v>0</v>
      </c>
      <c r="AO316" s="320"/>
      <c r="AP316" s="320"/>
      <c r="AQ316" s="320"/>
      <c r="AR316" s="320"/>
      <c r="AS316" s="320"/>
      <c r="AT316" s="320"/>
      <c r="AU316" s="320"/>
      <c r="AV316" s="320"/>
      <c r="AW316" s="320"/>
      <c r="AX316" s="161"/>
      <c r="AY316" s="1540"/>
      <c r="AZ316" s="1560" t="e">
        <f>#REF!-#REF!</f>
        <v>#REF!</v>
      </c>
      <c r="BA316" s="1560">
        <f>IF(C316="Scheme",IF(SUM(AJ316:AS316)&gt;0,IF(H316&lt;#REF!,H316-#REF!,0),0),0)</f>
        <v>0</v>
      </c>
      <c r="BB316" s="1560">
        <f t="shared" si="60"/>
        <v>0</v>
      </c>
      <c r="BC316" s="96" t="s">
        <v>256</v>
      </c>
      <c r="BD316" s="96" t="s">
        <v>1931</v>
      </c>
    </row>
    <row r="317" spans="1:57" ht="48" customHeight="1" outlineLevel="1" x14ac:dyDescent="0.25">
      <c r="A317" s="1486" t="s">
        <v>1937</v>
      </c>
      <c r="B317" s="1491" t="s">
        <v>1938</v>
      </c>
      <c r="C317" s="1486" t="s">
        <v>928</v>
      </c>
      <c r="D317" s="1486" t="s">
        <v>1929</v>
      </c>
      <c r="E317" s="1487"/>
      <c r="F317" s="1413"/>
      <c r="G317" s="618">
        <v>23.21</v>
      </c>
      <c r="H317" s="618"/>
      <c r="I317" s="161"/>
      <c r="J317" s="161"/>
      <c r="K317" s="1413"/>
      <c r="L317" s="1414"/>
      <c r="M317" s="1414"/>
      <c r="N317" s="1414"/>
      <c r="O317" s="1551"/>
      <c r="P317" s="1521"/>
      <c r="Q317" s="320"/>
      <c r="R317" s="320"/>
      <c r="S317" s="320"/>
      <c r="T317" s="320">
        <f t="shared" si="48"/>
        <v>0</v>
      </c>
      <c r="U317" s="320"/>
      <c r="V317" s="320"/>
      <c r="W317" s="320"/>
      <c r="X317" s="320"/>
      <c r="Y317" s="320"/>
      <c r="Z317" s="320"/>
      <c r="AA317" s="320"/>
      <c r="AB317" s="320"/>
      <c r="AC317" s="1521"/>
      <c r="AD317" s="1521"/>
      <c r="AE317" s="1521"/>
      <c r="AF317" s="1521"/>
      <c r="AG317" s="1521"/>
      <c r="AH317" s="1521"/>
      <c r="AI317" s="1521"/>
      <c r="AJ317" s="320"/>
      <c r="AK317" s="320"/>
      <c r="AL317" s="320"/>
      <c r="AM317" s="320"/>
      <c r="AN317" s="1523">
        <f t="shared" si="49"/>
        <v>0</v>
      </c>
      <c r="AO317" s="320"/>
      <c r="AP317" s="320"/>
      <c r="AQ317" s="320"/>
      <c r="AR317" s="320"/>
      <c r="AS317" s="320"/>
      <c r="AT317" s="320"/>
      <c r="AU317" s="320"/>
      <c r="AV317" s="320"/>
      <c r="AW317" s="320"/>
      <c r="AX317" s="161"/>
      <c r="AY317" s="1540"/>
      <c r="AZ317" s="1560"/>
      <c r="BA317" s="1560">
        <f>IF(C317="Scheme",IF(SUM(AJ317:AS317)&gt;0,IF(H317&lt;#REF!,H317-#REF!,0),0),0)</f>
        <v>0</v>
      </c>
      <c r="BB317" s="1560">
        <f t="shared" si="60"/>
        <v>0</v>
      </c>
    </row>
    <row r="318" spans="1:57" ht="63" customHeight="1" outlineLevel="1" x14ac:dyDescent="0.25">
      <c r="A318" s="1488"/>
      <c r="B318" s="1497" t="s">
        <v>1939</v>
      </c>
      <c r="C318" s="1554" t="s">
        <v>936</v>
      </c>
      <c r="D318" s="1488" t="s">
        <v>1929</v>
      </c>
      <c r="E318" s="1495"/>
      <c r="F318" s="1413"/>
      <c r="G318" s="618">
        <v>5.1599000000000004</v>
      </c>
      <c r="H318" s="618"/>
      <c r="I318" s="161"/>
      <c r="J318" s="161"/>
      <c r="K318" s="1413"/>
      <c r="L318" s="1414"/>
      <c r="M318" s="1414"/>
      <c r="N318" s="1414"/>
      <c r="O318" s="1805" t="s">
        <v>2292</v>
      </c>
      <c r="P318" s="1521"/>
      <c r="Q318" s="320"/>
      <c r="R318" s="320"/>
      <c r="S318" s="320"/>
      <c r="T318" s="320">
        <f t="shared" si="48"/>
        <v>0</v>
      </c>
      <c r="U318" s="320"/>
      <c r="V318" s="320"/>
      <c r="W318" s="320"/>
      <c r="X318" s="320"/>
      <c r="Y318" s="320">
        <v>7</v>
      </c>
      <c r="Z318" s="320"/>
      <c r="AA318" s="320"/>
      <c r="AB318" s="320"/>
      <c r="AC318" s="1521"/>
      <c r="AD318" s="1521"/>
      <c r="AE318" s="1521"/>
      <c r="AF318" s="1521"/>
      <c r="AG318" s="1521"/>
      <c r="AH318" s="1521"/>
      <c r="AI318" s="1521"/>
      <c r="AJ318" s="320"/>
      <c r="AK318" s="320"/>
      <c r="AL318" s="320"/>
      <c r="AM318" s="320"/>
      <c r="AN318" s="1523">
        <f t="shared" si="49"/>
        <v>0</v>
      </c>
      <c r="AO318" s="320"/>
      <c r="AP318" s="320"/>
      <c r="AQ318" s="320"/>
      <c r="AR318" s="320"/>
      <c r="AS318" s="320">
        <v>7</v>
      </c>
      <c r="AT318" s="320"/>
      <c r="AU318" s="320"/>
      <c r="AV318" s="320"/>
      <c r="AW318" s="320"/>
      <c r="AX318" s="161"/>
      <c r="AY318" s="1540"/>
      <c r="AZ318" s="1560" t="e">
        <f>#REF!-#REF!</f>
        <v>#REF!</v>
      </c>
      <c r="BA318" s="1560" t="e">
        <f>IF(C318="Scheme",IF(SUM(AJ318:AS318)&gt;0,IF(H318&lt;#REF!,H318-#REF!,0),0),0)</f>
        <v>#REF!</v>
      </c>
      <c r="BB318" s="1560">
        <f t="shared" si="60"/>
        <v>-1.8400999999999996</v>
      </c>
    </row>
    <row r="319" spans="1:57" ht="62" outlineLevel="1" x14ac:dyDescent="0.25">
      <c r="A319" s="1488"/>
      <c r="B319" s="1497" t="s">
        <v>1940</v>
      </c>
      <c r="C319" s="1554" t="s">
        <v>936</v>
      </c>
      <c r="D319" s="1488" t="s">
        <v>1929</v>
      </c>
      <c r="E319" s="1495"/>
      <c r="F319" s="1413"/>
      <c r="G319" s="618">
        <v>16.4283</v>
      </c>
      <c r="H319" s="618"/>
      <c r="I319" s="161"/>
      <c r="J319" s="161"/>
      <c r="K319" s="1413"/>
      <c r="L319" s="1414"/>
      <c r="M319" s="1414"/>
      <c r="N319" s="1414"/>
      <c r="O319" s="1806"/>
      <c r="P319" s="1521"/>
      <c r="Q319" s="320"/>
      <c r="R319" s="320"/>
      <c r="S319" s="320"/>
      <c r="T319" s="320">
        <f t="shared" si="48"/>
        <v>0</v>
      </c>
      <c r="U319" s="320"/>
      <c r="V319" s="320"/>
      <c r="W319" s="320"/>
      <c r="X319" s="320"/>
      <c r="Y319" s="320">
        <v>17</v>
      </c>
      <c r="Z319" s="320"/>
      <c r="AA319" s="320"/>
      <c r="AB319" s="320"/>
      <c r="AC319" s="1521"/>
      <c r="AD319" s="1521"/>
      <c r="AE319" s="1521"/>
      <c r="AF319" s="1521"/>
      <c r="AG319" s="1521"/>
      <c r="AH319" s="1521"/>
      <c r="AI319" s="1521"/>
      <c r="AJ319" s="320"/>
      <c r="AK319" s="320"/>
      <c r="AL319" s="320"/>
      <c r="AM319" s="320"/>
      <c r="AN319" s="1523">
        <f t="shared" si="49"/>
        <v>0</v>
      </c>
      <c r="AO319" s="320"/>
      <c r="AP319" s="320"/>
      <c r="AQ319" s="320"/>
      <c r="AR319" s="320"/>
      <c r="AS319" s="320">
        <v>17</v>
      </c>
      <c r="AT319" s="320"/>
      <c r="AU319" s="320"/>
      <c r="AV319" s="320"/>
      <c r="AW319" s="320"/>
      <c r="AX319" s="161"/>
      <c r="AY319" s="1540"/>
      <c r="AZ319" s="1560" t="e">
        <f>#REF!-#REF!</f>
        <v>#REF!</v>
      </c>
      <c r="BA319" s="1560" t="e">
        <f>IF(C319="Scheme",IF(SUM(AJ319:AS319)&gt;0,IF(H319&lt;#REF!,H319-#REF!,0),0),0)</f>
        <v>#REF!</v>
      </c>
      <c r="BB319" s="1560">
        <f t="shared" si="60"/>
        <v>-0.57169999999999987</v>
      </c>
    </row>
    <row r="320" spans="1:57" ht="15.5" outlineLevel="1" x14ac:dyDescent="0.25">
      <c r="A320" s="1488"/>
      <c r="B320" s="1497" t="s">
        <v>414</v>
      </c>
      <c r="C320" s="1554" t="s">
        <v>414</v>
      </c>
      <c r="D320" s="1488" t="s">
        <v>1929</v>
      </c>
      <c r="E320" s="1495"/>
      <c r="F320" s="1413"/>
      <c r="G320" s="618">
        <v>1.62</v>
      </c>
      <c r="H320" s="618"/>
      <c r="I320" s="161"/>
      <c r="J320" s="161"/>
      <c r="K320" s="1413"/>
      <c r="L320" s="1414"/>
      <c r="M320" s="1414"/>
      <c r="N320" s="1414"/>
      <c r="O320" s="1551"/>
      <c r="P320" s="1521"/>
      <c r="Q320" s="320"/>
      <c r="R320" s="320"/>
      <c r="S320" s="320"/>
      <c r="T320" s="320">
        <f t="shared" si="48"/>
        <v>0</v>
      </c>
      <c r="U320" s="320"/>
      <c r="V320" s="320"/>
      <c r="W320" s="320"/>
      <c r="X320" s="320"/>
      <c r="Y320" s="320"/>
      <c r="Z320" s="320"/>
      <c r="AA320" s="320"/>
      <c r="AB320" s="320"/>
      <c r="AC320" s="1521"/>
      <c r="AD320" s="1521"/>
      <c r="AE320" s="1521"/>
      <c r="AF320" s="1521"/>
      <c r="AG320" s="1521"/>
      <c r="AH320" s="1521"/>
      <c r="AI320" s="1521"/>
      <c r="AJ320" s="320"/>
      <c r="AK320" s="320"/>
      <c r="AL320" s="320"/>
      <c r="AM320" s="320"/>
      <c r="AN320" s="1523">
        <f t="shared" si="49"/>
        <v>0</v>
      </c>
      <c r="AO320" s="320"/>
      <c r="AP320" s="320"/>
      <c r="AQ320" s="320"/>
      <c r="AR320" s="320"/>
      <c r="AS320" s="320"/>
      <c r="AT320" s="320"/>
      <c r="AU320" s="320"/>
      <c r="AV320" s="320"/>
      <c r="AW320" s="320"/>
      <c r="AX320" s="161"/>
      <c r="AY320" s="1540"/>
      <c r="AZ320" s="1560" t="e">
        <f>#REF!-#REF!</f>
        <v>#REF!</v>
      </c>
      <c r="BA320" s="1560">
        <f>IF(C320="Scheme",IF(SUM(AJ320:AS320)&gt;0,IF(H320&lt;#REF!,H320-#REF!,0),0),0)</f>
        <v>0</v>
      </c>
      <c r="BB320" s="1560">
        <f t="shared" si="60"/>
        <v>0</v>
      </c>
    </row>
    <row r="321" spans="1:54" ht="62" outlineLevel="1" x14ac:dyDescent="0.25">
      <c r="A321" s="1486" t="s">
        <v>1941</v>
      </c>
      <c r="B321" s="1491" t="s">
        <v>1942</v>
      </c>
      <c r="C321" s="1486" t="s">
        <v>928</v>
      </c>
      <c r="D321" s="1486" t="s">
        <v>1929</v>
      </c>
      <c r="E321" s="1487"/>
      <c r="F321" s="1413"/>
      <c r="G321" s="618">
        <v>31.37</v>
      </c>
      <c r="H321" s="618"/>
      <c r="I321" s="161"/>
      <c r="J321" s="161"/>
      <c r="K321" s="1413"/>
      <c r="L321" s="1414"/>
      <c r="M321" s="1414"/>
      <c r="N321" s="1414"/>
      <c r="O321" s="1551"/>
      <c r="P321" s="1521"/>
      <c r="Q321" s="320"/>
      <c r="R321" s="320"/>
      <c r="S321" s="320"/>
      <c r="T321" s="320">
        <f t="shared" si="48"/>
        <v>0</v>
      </c>
      <c r="U321" s="320"/>
      <c r="V321" s="320"/>
      <c r="W321" s="320"/>
      <c r="X321" s="320"/>
      <c r="Y321" s="320"/>
      <c r="Z321" s="320"/>
      <c r="AA321" s="320"/>
      <c r="AB321" s="320"/>
      <c r="AC321" s="1521"/>
      <c r="AD321" s="1521"/>
      <c r="AE321" s="1521"/>
      <c r="AF321" s="1521"/>
      <c r="AG321" s="1521"/>
      <c r="AH321" s="1521"/>
      <c r="AI321" s="1521"/>
      <c r="AJ321" s="320"/>
      <c r="AK321" s="320"/>
      <c r="AL321" s="320"/>
      <c r="AM321" s="320"/>
      <c r="AN321" s="1523">
        <f t="shared" si="49"/>
        <v>0</v>
      </c>
      <c r="AO321" s="320"/>
      <c r="AP321" s="320"/>
      <c r="AQ321" s="320"/>
      <c r="AR321" s="320"/>
      <c r="AS321" s="320"/>
      <c r="AT321" s="320"/>
      <c r="AU321" s="320"/>
      <c r="AV321" s="320"/>
      <c r="AW321" s="320"/>
      <c r="AX321" s="161"/>
      <c r="AY321" s="1540"/>
      <c r="AZ321" s="1560" t="e">
        <f>#REF!-#REF!</f>
        <v>#REF!</v>
      </c>
      <c r="BA321" s="1560">
        <f>IF(C321="Scheme",IF(SUM(AJ321:AS321)&gt;0,IF(H321&lt;#REF!,H321-#REF!,0),0),0)</f>
        <v>0</v>
      </c>
      <c r="BB321" s="1560">
        <f t="shared" si="60"/>
        <v>0</v>
      </c>
    </row>
    <row r="322" spans="1:54" ht="62" outlineLevel="1" x14ac:dyDescent="0.25">
      <c r="A322" s="1488"/>
      <c r="B322" s="1497" t="s">
        <v>1943</v>
      </c>
      <c r="C322" s="1554" t="s">
        <v>936</v>
      </c>
      <c r="D322" s="1488" t="s">
        <v>1929</v>
      </c>
      <c r="E322" s="1495"/>
      <c r="F322" s="1413"/>
      <c r="G322" s="618">
        <v>11.9</v>
      </c>
      <c r="H322" s="618"/>
      <c r="I322" s="161"/>
      <c r="J322" s="161"/>
      <c r="K322" s="1413"/>
      <c r="L322" s="1414"/>
      <c r="M322" s="1414"/>
      <c r="N322" s="1414"/>
      <c r="O322" s="1551" t="s">
        <v>2293</v>
      </c>
      <c r="P322" s="1521"/>
      <c r="Q322" s="320"/>
      <c r="R322" s="320"/>
      <c r="S322" s="320"/>
      <c r="T322" s="320">
        <f t="shared" si="48"/>
        <v>0</v>
      </c>
      <c r="U322" s="320"/>
      <c r="V322" s="320"/>
      <c r="W322" s="320"/>
      <c r="X322" s="320">
        <v>11.9</v>
      </c>
      <c r="Y322" s="320"/>
      <c r="Z322" s="320"/>
      <c r="AA322" s="320"/>
      <c r="AB322" s="320"/>
      <c r="AC322" s="1521"/>
      <c r="AD322" s="1521"/>
      <c r="AE322" s="1521"/>
      <c r="AF322" s="1521"/>
      <c r="AG322" s="1521"/>
      <c r="AH322" s="1521"/>
      <c r="AI322" s="1521"/>
      <c r="AJ322" s="320"/>
      <c r="AK322" s="320"/>
      <c r="AL322" s="320"/>
      <c r="AM322" s="320"/>
      <c r="AN322" s="1523">
        <f t="shared" si="49"/>
        <v>0</v>
      </c>
      <c r="AO322" s="320"/>
      <c r="AP322" s="320"/>
      <c r="AQ322" s="320"/>
      <c r="AR322" s="320">
        <v>11.9</v>
      </c>
      <c r="AS322" s="320"/>
      <c r="AT322" s="320"/>
      <c r="AU322" s="320"/>
      <c r="AV322" s="320"/>
      <c r="AW322" s="320"/>
      <c r="AX322" s="161"/>
      <c r="AY322" s="1540"/>
      <c r="AZ322" s="1560"/>
      <c r="BA322" s="1560"/>
      <c r="BB322" s="1560"/>
    </row>
    <row r="323" spans="1:54" ht="62" outlineLevel="1" x14ac:dyDescent="0.25">
      <c r="A323" s="1488"/>
      <c r="B323" s="1497" t="s">
        <v>1944</v>
      </c>
      <c r="C323" s="1554" t="s">
        <v>414</v>
      </c>
      <c r="D323" s="1488" t="s">
        <v>1929</v>
      </c>
      <c r="E323" s="1495"/>
      <c r="F323" s="1413"/>
      <c r="G323" s="618">
        <v>18.489999999999998</v>
      </c>
      <c r="H323" s="618"/>
      <c r="I323" s="161"/>
      <c r="J323" s="161"/>
      <c r="K323" s="1413"/>
      <c r="L323" s="1414"/>
      <c r="M323" s="1414"/>
      <c r="N323" s="1414"/>
      <c r="O323" s="1551" t="s">
        <v>2294</v>
      </c>
      <c r="P323" s="1521"/>
      <c r="Q323" s="320"/>
      <c r="R323" s="320"/>
      <c r="S323" s="320"/>
      <c r="T323" s="320">
        <f t="shared" si="48"/>
        <v>0</v>
      </c>
      <c r="U323" s="320"/>
      <c r="V323" s="320"/>
      <c r="W323" s="320"/>
      <c r="X323" s="320">
        <v>18.489999999999998</v>
      </c>
      <c r="Y323" s="320"/>
      <c r="Z323" s="320"/>
      <c r="AA323" s="320"/>
      <c r="AB323" s="320"/>
      <c r="AC323" s="1521"/>
      <c r="AD323" s="1521"/>
      <c r="AE323" s="1521"/>
      <c r="AF323" s="1521"/>
      <c r="AG323" s="1521"/>
      <c r="AH323" s="1521"/>
      <c r="AI323" s="1521"/>
      <c r="AJ323" s="320"/>
      <c r="AK323" s="320"/>
      <c r="AL323" s="320"/>
      <c r="AM323" s="320"/>
      <c r="AN323" s="1523">
        <f t="shared" si="49"/>
        <v>0</v>
      </c>
      <c r="AO323" s="320"/>
      <c r="AP323" s="320"/>
      <c r="AQ323" s="320"/>
      <c r="AR323" s="320">
        <v>18.489999999999998</v>
      </c>
      <c r="AS323" s="320"/>
      <c r="AT323" s="320"/>
      <c r="AU323" s="320"/>
      <c r="AV323" s="320"/>
      <c r="AW323" s="320"/>
      <c r="AX323" s="161"/>
      <c r="AY323" s="1540"/>
      <c r="AZ323" s="1560"/>
      <c r="BA323" s="1560"/>
      <c r="BB323" s="1560"/>
    </row>
    <row r="324" spans="1:54" ht="15.5" outlineLevel="1" x14ac:dyDescent="0.25">
      <c r="A324" s="1488"/>
      <c r="B324" s="1497" t="s">
        <v>414</v>
      </c>
      <c r="C324" s="1554"/>
      <c r="D324" s="1488" t="s">
        <v>1929</v>
      </c>
      <c r="E324" s="1495"/>
      <c r="F324" s="1413"/>
      <c r="G324" s="618">
        <v>0.98</v>
      </c>
      <c r="H324" s="618"/>
      <c r="I324" s="161"/>
      <c r="J324" s="161"/>
      <c r="K324" s="1413"/>
      <c r="L324" s="1414"/>
      <c r="M324" s="1414"/>
      <c r="N324" s="1414"/>
      <c r="O324" s="1551"/>
      <c r="P324" s="1521"/>
      <c r="Q324" s="320"/>
      <c r="R324" s="320"/>
      <c r="S324" s="320"/>
      <c r="T324" s="320">
        <f t="shared" si="48"/>
        <v>0</v>
      </c>
      <c r="U324" s="320"/>
      <c r="V324" s="320"/>
      <c r="W324" s="320"/>
      <c r="X324" s="320"/>
      <c r="Y324" s="320"/>
      <c r="Z324" s="320"/>
      <c r="AA324" s="320"/>
      <c r="AB324" s="320"/>
      <c r="AC324" s="1521"/>
      <c r="AD324" s="1521"/>
      <c r="AE324" s="1521"/>
      <c r="AF324" s="1521"/>
      <c r="AG324" s="1521"/>
      <c r="AH324" s="1521"/>
      <c r="AI324" s="1521"/>
      <c r="AJ324" s="320"/>
      <c r="AK324" s="320"/>
      <c r="AL324" s="320"/>
      <c r="AM324" s="320"/>
      <c r="AN324" s="1523">
        <f t="shared" si="49"/>
        <v>0</v>
      </c>
      <c r="AO324" s="320"/>
      <c r="AP324" s="320"/>
      <c r="AQ324" s="320"/>
      <c r="AR324" s="320"/>
      <c r="AS324" s="320"/>
      <c r="AT324" s="320"/>
      <c r="AU324" s="320"/>
      <c r="AV324" s="320"/>
      <c r="AW324" s="320"/>
      <c r="AX324" s="161"/>
      <c r="AY324" s="1540"/>
      <c r="AZ324" s="1560"/>
      <c r="BA324" s="1560"/>
      <c r="BB324" s="1560"/>
    </row>
    <row r="325" spans="1:54" ht="62" outlineLevel="1" x14ac:dyDescent="0.25">
      <c r="A325" s="1486" t="s">
        <v>1945</v>
      </c>
      <c r="B325" s="1491" t="s">
        <v>1946</v>
      </c>
      <c r="C325" s="1486" t="s">
        <v>928</v>
      </c>
      <c r="D325" s="1486" t="s">
        <v>1929</v>
      </c>
      <c r="E325" s="1487"/>
      <c r="F325" s="1413"/>
      <c r="G325" s="618">
        <v>26.270000000000003</v>
      </c>
      <c r="H325" s="618"/>
      <c r="I325" s="161"/>
      <c r="J325" s="161"/>
      <c r="K325" s="1413"/>
      <c r="L325" s="1414"/>
      <c r="M325" s="1414"/>
      <c r="N325" s="1414"/>
      <c r="O325" s="1551"/>
      <c r="P325" s="1521"/>
      <c r="Q325" s="320"/>
      <c r="R325" s="320"/>
      <c r="S325" s="320"/>
      <c r="T325" s="320">
        <f t="shared" si="48"/>
        <v>0</v>
      </c>
      <c r="U325" s="320"/>
      <c r="V325" s="320"/>
      <c r="W325" s="320"/>
      <c r="X325" s="320"/>
      <c r="Y325" s="320"/>
      <c r="Z325" s="320"/>
      <c r="AA325" s="320"/>
      <c r="AB325" s="320"/>
      <c r="AC325" s="1521"/>
      <c r="AD325" s="1521"/>
      <c r="AE325" s="1521"/>
      <c r="AF325" s="1521"/>
      <c r="AG325" s="1521"/>
      <c r="AH325" s="1521"/>
      <c r="AI325" s="1521"/>
      <c r="AJ325" s="320"/>
      <c r="AK325" s="320"/>
      <c r="AL325" s="320"/>
      <c r="AM325" s="320"/>
      <c r="AN325" s="1523">
        <f t="shared" si="49"/>
        <v>0</v>
      </c>
      <c r="AO325" s="320"/>
      <c r="AP325" s="320"/>
      <c r="AQ325" s="320"/>
      <c r="AR325" s="320"/>
      <c r="AS325" s="320"/>
      <c r="AT325" s="320"/>
      <c r="AU325" s="320"/>
      <c r="AV325" s="320"/>
      <c r="AW325" s="320"/>
      <c r="AX325" s="161"/>
      <c r="AY325" s="1540"/>
      <c r="AZ325" s="1560"/>
      <c r="BA325" s="1560"/>
      <c r="BB325" s="1560"/>
    </row>
    <row r="326" spans="1:54" ht="46.5" outlineLevel="1" x14ac:dyDescent="0.25">
      <c r="A326" s="1488"/>
      <c r="B326" s="1497" t="s">
        <v>1947</v>
      </c>
      <c r="C326" s="1554" t="s">
        <v>936</v>
      </c>
      <c r="D326" s="1488" t="s">
        <v>1929</v>
      </c>
      <c r="E326" s="1495"/>
      <c r="F326" s="1413"/>
      <c r="G326" s="618">
        <v>16.5</v>
      </c>
      <c r="H326" s="618"/>
      <c r="I326" s="161"/>
      <c r="J326" s="161"/>
      <c r="K326" s="1413"/>
      <c r="L326" s="1414"/>
      <c r="M326" s="1414"/>
      <c r="N326" s="1414"/>
      <c r="O326" s="1551" t="s">
        <v>2295</v>
      </c>
      <c r="P326" s="1521"/>
      <c r="Q326" s="320"/>
      <c r="R326" s="320"/>
      <c r="S326" s="320"/>
      <c r="T326" s="320">
        <f t="shared" si="48"/>
        <v>0</v>
      </c>
      <c r="U326" s="320"/>
      <c r="V326" s="320"/>
      <c r="W326" s="320"/>
      <c r="X326" s="320">
        <v>16.5</v>
      </c>
      <c r="Y326" s="320"/>
      <c r="Z326" s="320"/>
      <c r="AA326" s="320"/>
      <c r="AB326" s="320"/>
      <c r="AC326" s="1521"/>
      <c r="AD326" s="1521"/>
      <c r="AE326" s="1521"/>
      <c r="AF326" s="1521"/>
      <c r="AG326" s="1521"/>
      <c r="AH326" s="1521"/>
      <c r="AI326" s="1521"/>
      <c r="AJ326" s="320"/>
      <c r="AK326" s="320"/>
      <c r="AL326" s="320"/>
      <c r="AM326" s="320"/>
      <c r="AN326" s="1523">
        <f t="shared" si="49"/>
        <v>0</v>
      </c>
      <c r="AO326" s="320"/>
      <c r="AP326" s="320"/>
      <c r="AQ326" s="320"/>
      <c r="AR326" s="320">
        <v>16.5</v>
      </c>
      <c r="AS326" s="320"/>
      <c r="AT326" s="320"/>
      <c r="AU326" s="320"/>
      <c r="AV326" s="320"/>
      <c r="AW326" s="320"/>
      <c r="AX326" s="161"/>
      <c r="AY326" s="1540"/>
      <c r="AZ326" s="1560"/>
      <c r="BA326" s="1560"/>
      <c r="BB326" s="1560"/>
    </row>
    <row r="327" spans="1:54" ht="46.5" outlineLevel="1" x14ac:dyDescent="0.25">
      <c r="A327" s="1488"/>
      <c r="B327" s="1497" t="s">
        <v>1948</v>
      </c>
      <c r="C327" s="1554" t="s">
        <v>936</v>
      </c>
      <c r="D327" s="1488" t="s">
        <v>1929</v>
      </c>
      <c r="E327" s="1495"/>
      <c r="F327" s="1413"/>
      <c r="G327" s="618">
        <v>3.05</v>
      </c>
      <c r="H327" s="618"/>
      <c r="I327" s="161"/>
      <c r="J327" s="161"/>
      <c r="K327" s="1413"/>
      <c r="L327" s="1414"/>
      <c r="M327" s="1414"/>
      <c r="N327" s="1414"/>
      <c r="O327" s="1551" t="s">
        <v>2295</v>
      </c>
      <c r="P327" s="1521"/>
      <c r="Q327" s="320"/>
      <c r="R327" s="320"/>
      <c r="S327" s="320"/>
      <c r="T327" s="320">
        <f t="shared" si="48"/>
        <v>0</v>
      </c>
      <c r="U327" s="320"/>
      <c r="V327" s="320"/>
      <c r="W327" s="320"/>
      <c r="X327" s="320">
        <v>3.05</v>
      </c>
      <c r="Y327" s="320"/>
      <c r="Z327" s="320"/>
      <c r="AA327" s="320"/>
      <c r="AB327" s="320"/>
      <c r="AC327" s="1521"/>
      <c r="AD327" s="1521"/>
      <c r="AE327" s="1521"/>
      <c r="AF327" s="1521"/>
      <c r="AG327" s="1521"/>
      <c r="AH327" s="1521"/>
      <c r="AI327" s="1521"/>
      <c r="AJ327" s="320"/>
      <c r="AK327" s="320"/>
      <c r="AL327" s="320"/>
      <c r="AM327" s="320"/>
      <c r="AN327" s="1523">
        <f t="shared" si="49"/>
        <v>0</v>
      </c>
      <c r="AO327" s="320"/>
      <c r="AP327" s="320"/>
      <c r="AQ327" s="320"/>
      <c r="AR327" s="320">
        <v>3.05</v>
      </c>
      <c r="AS327" s="320"/>
      <c r="AT327" s="320"/>
      <c r="AU327" s="320"/>
      <c r="AV327" s="320"/>
      <c r="AW327" s="320"/>
      <c r="AX327" s="161"/>
      <c r="AY327" s="1540"/>
      <c r="AZ327" s="1560"/>
      <c r="BA327" s="1560"/>
      <c r="BB327" s="1560"/>
    </row>
    <row r="328" spans="1:54" ht="31" outlineLevel="1" x14ac:dyDescent="0.25">
      <c r="A328" s="1488"/>
      <c r="B328" s="1497" t="s">
        <v>1949</v>
      </c>
      <c r="C328" s="1554" t="s">
        <v>936</v>
      </c>
      <c r="D328" s="1488" t="s">
        <v>1929</v>
      </c>
      <c r="E328" s="1495"/>
      <c r="F328" s="1413"/>
      <c r="G328" s="618">
        <v>2.21</v>
      </c>
      <c r="H328" s="618"/>
      <c r="I328" s="161"/>
      <c r="J328" s="161"/>
      <c r="K328" s="1413"/>
      <c r="L328" s="1414"/>
      <c r="M328" s="1414"/>
      <c r="N328" s="1414"/>
      <c r="O328" s="1551" t="s">
        <v>2295</v>
      </c>
      <c r="P328" s="1521"/>
      <c r="Q328" s="320"/>
      <c r="R328" s="320"/>
      <c r="S328" s="320"/>
      <c r="T328" s="320">
        <f t="shared" ref="T328:T391" si="61">SUM(P328:S328)</f>
        <v>0</v>
      </c>
      <c r="U328" s="320"/>
      <c r="V328" s="320"/>
      <c r="W328" s="320"/>
      <c r="X328" s="320">
        <v>2.21</v>
      </c>
      <c r="Y328" s="320"/>
      <c r="Z328" s="320"/>
      <c r="AA328" s="320"/>
      <c r="AB328" s="320"/>
      <c r="AC328" s="1521"/>
      <c r="AD328" s="1521"/>
      <c r="AE328" s="1521"/>
      <c r="AF328" s="1521"/>
      <c r="AG328" s="1521"/>
      <c r="AH328" s="1521"/>
      <c r="AI328" s="1521"/>
      <c r="AJ328" s="320"/>
      <c r="AK328" s="320"/>
      <c r="AL328" s="320"/>
      <c r="AM328" s="320"/>
      <c r="AN328" s="1523">
        <f t="shared" ref="AN328:AN391" si="62">SUM(AJ328:AM328)</f>
        <v>0</v>
      </c>
      <c r="AO328" s="320"/>
      <c r="AP328" s="320"/>
      <c r="AQ328" s="320"/>
      <c r="AR328" s="320">
        <v>2.21</v>
      </c>
      <c r="AS328" s="320"/>
      <c r="AT328" s="320"/>
      <c r="AU328" s="320"/>
      <c r="AV328" s="320"/>
      <c r="AW328" s="320"/>
      <c r="AX328" s="161"/>
      <c r="AY328" s="1540"/>
      <c r="AZ328" s="1560"/>
      <c r="BA328" s="1560"/>
      <c r="BB328" s="1560"/>
    </row>
    <row r="329" spans="1:54" ht="47.25" customHeight="1" outlineLevel="1" x14ac:dyDescent="0.25">
      <c r="A329" s="1488"/>
      <c r="B329" s="1497" t="s">
        <v>1950</v>
      </c>
      <c r="C329" s="1554" t="s">
        <v>936</v>
      </c>
      <c r="D329" s="1488" t="s">
        <v>1929</v>
      </c>
      <c r="E329" s="1495"/>
      <c r="F329" s="1413"/>
      <c r="G329" s="618">
        <v>1.39</v>
      </c>
      <c r="H329" s="618"/>
      <c r="I329" s="161"/>
      <c r="J329" s="161"/>
      <c r="K329" s="1413"/>
      <c r="L329" s="1414"/>
      <c r="M329" s="1414"/>
      <c r="N329" s="1414"/>
      <c r="O329" s="1807" t="s">
        <v>2296</v>
      </c>
      <c r="P329" s="1521"/>
      <c r="Q329" s="320"/>
      <c r="R329" s="320"/>
      <c r="S329" s="320"/>
      <c r="T329" s="320">
        <f t="shared" si="61"/>
        <v>0</v>
      </c>
      <c r="U329" s="320"/>
      <c r="V329" s="320"/>
      <c r="W329" s="320"/>
      <c r="X329" s="320">
        <v>1.39</v>
      </c>
      <c r="Y329" s="320"/>
      <c r="Z329" s="320"/>
      <c r="AA329" s="320"/>
      <c r="AB329" s="320"/>
      <c r="AC329" s="1521"/>
      <c r="AD329" s="1521"/>
      <c r="AE329" s="1521"/>
      <c r="AF329" s="1521"/>
      <c r="AG329" s="1521"/>
      <c r="AH329" s="1521"/>
      <c r="AI329" s="1521"/>
      <c r="AJ329" s="320"/>
      <c r="AK329" s="320"/>
      <c r="AL329" s="320"/>
      <c r="AM329" s="320"/>
      <c r="AN329" s="1523">
        <f t="shared" si="62"/>
        <v>0</v>
      </c>
      <c r="AO329" s="320"/>
      <c r="AP329" s="320"/>
      <c r="AQ329" s="320"/>
      <c r="AR329" s="320">
        <v>1.39</v>
      </c>
      <c r="AS329" s="320"/>
      <c r="AT329" s="320"/>
      <c r="AU329" s="320"/>
      <c r="AV329" s="320"/>
      <c r="AW329" s="320"/>
      <c r="AX329" s="161"/>
      <c r="AY329" s="1540"/>
      <c r="AZ329" s="1560"/>
      <c r="BA329" s="1560"/>
      <c r="BB329" s="1560"/>
    </row>
    <row r="330" spans="1:54" ht="31" outlineLevel="1" x14ac:dyDescent="0.25">
      <c r="A330" s="1488"/>
      <c r="B330" s="1497" t="s">
        <v>1951</v>
      </c>
      <c r="C330" s="1554" t="s">
        <v>936</v>
      </c>
      <c r="D330" s="1488" t="s">
        <v>1929</v>
      </c>
      <c r="E330" s="1495"/>
      <c r="F330" s="1413"/>
      <c r="G330" s="618">
        <v>1.95</v>
      </c>
      <c r="H330" s="618"/>
      <c r="I330" s="161"/>
      <c r="J330" s="161"/>
      <c r="K330" s="1413"/>
      <c r="L330" s="1414"/>
      <c r="M330" s="1414"/>
      <c r="N330" s="1414"/>
      <c r="O330" s="1808"/>
      <c r="P330" s="1521"/>
      <c r="Q330" s="320"/>
      <c r="R330" s="320"/>
      <c r="S330" s="320"/>
      <c r="T330" s="320">
        <f t="shared" si="61"/>
        <v>0</v>
      </c>
      <c r="U330" s="320"/>
      <c r="V330" s="320"/>
      <c r="W330" s="320"/>
      <c r="X330" s="320">
        <v>1.95</v>
      </c>
      <c r="Y330" s="320"/>
      <c r="Z330" s="320"/>
      <c r="AA330" s="320"/>
      <c r="AB330" s="320"/>
      <c r="AC330" s="1521"/>
      <c r="AD330" s="1521"/>
      <c r="AE330" s="1521"/>
      <c r="AF330" s="1521"/>
      <c r="AG330" s="1521"/>
      <c r="AH330" s="1521"/>
      <c r="AI330" s="1521"/>
      <c r="AJ330" s="320"/>
      <c r="AK330" s="320"/>
      <c r="AL330" s="320"/>
      <c r="AM330" s="320"/>
      <c r="AN330" s="1523">
        <f t="shared" si="62"/>
        <v>0</v>
      </c>
      <c r="AO330" s="320"/>
      <c r="AP330" s="320"/>
      <c r="AQ330" s="320"/>
      <c r="AR330" s="320">
        <v>1.95</v>
      </c>
      <c r="AS330" s="320"/>
      <c r="AT330" s="320"/>
      <c r="AU330" s="320"/>
      <c r="AV330" s="320"/>
      <c r="AW330" s="320"/>
      <c r="AX330" s="161"/>
      <c r="AY330" s="1540"/>
      <c r="AZ330" s="1560"/>
      <c r="BA330" s="1560"/>
      <c r="BB330" s="1560"/>
    </row>
    <row r="331" spans="1:54" ht="15.5" outlineLevel="1" x14ac:dyDescent="0.25">
      <c r="A331" s="1488"/>
      <c r="B331" s="1497" t="s">
        <v>414</v>
      </c>
      <c r="C331" s="1554" t="s">
        <v>414</v>
      </c>
      <c r="D331" s="1488" t="s">
        <v>1929</v>
      </c>
      <c r="E331" s="1495"/>
      <c r="F331" s="1413"/>
      <c r="G331" s="618">
        <v>1.17</v>
      </c>
      <c r="H331" s="618"/>
      <c r="I331" s="161"/>
      <c r="J331" s="161"/>
      <c r="K331" s="1413"/>
      <c r="L331" s="1414"/>
      <c r="M331" s="1414"/>
      <c r="N331" s="1414"/>
      <c r="O331" s="1551"/>
      <c r="P331" s="1521"/>
      <c r="Q331" s="320"/>
      <c r="R331" s="320"/>
      <c r="S331" s="320"/>
      <c r="T331" s="320">
        <f t="shared" si="61"/>
        <v>0</v>
      </c>
      <c r="U331" s="320"/>
      <c r="V331" s="320"/>
      <c r="W331" s="320"/>
      <c r="X331" s="320"/>
      <c r="Y331" s="320"/>
      <c r="Z331" s="320"/>
      <c r="AA331" s="320"/>
      <c r="AB331" s="320"/>
      <c r="AC331" s="1521"/>
      <c r="AD331" s="1521"/>
      <c r="AE331" s="1521"/>
      <c r="AF331" s="1521"/>
      <c r="AG331" s="1521"/>
      <c r="AH331" s="1521"/>
      <c r="AI331" s="1521"/>
      <c r="AJ331" s="320"/>
      <c r="AK331" s="320"/>
      <c r="AL331" s="320"/>
      <c r="AM331" s="320"/>
      <c r="AN331" s="1523">
        <f t="shared" si="62"/>
        <v>0</v>
      </c>
      <c r="AO331" s="320"/>
      <c r="AP331" s="320"/>
      <c r="AQ331" s="320"/>
      <c r="AR331" s="320"/>
      <c r="AS331" s="320"/>
      <c r="AT331" s="320"/>
      <c r="AU331" s="320"/>
      <c r="AV331" s="320"/>
      <c r="AW331" s="320"/>
      <c r="AX331" s="161"/>
      <c r="AY331" s="1540"/>
      <c r="AZ331" s="1560"/>
      <c r="BA331" s="1560"/>
      <c r="BB331" s="1560"/>
    </row>
    <row r="332" spans="1:54" ht="46.5" outlineLevel="1" x14ac:dyDescent="0.25">
      <c r="A332" s="1486" t="s">
        <v>1952</v>
      </c>
      <c r="B332" s="1491" t="s">
        <v>1953</v>
      </c>
      <c r="C332" s="1486" t="s">
        <v>928</v>
      </c>
      <c r="D332" s="1486" t="s">
        <v>1929</v>
      </c>
      <c r="E332" s="1487"/>
      <c r="F332" s="1413"/>
      <c r="G332" s="618">
        <v>30.36</v>
      </c>
      <c r="H332" s="618"/>
      <c r="I332" s="161"/>
      <c r="J332" s="161"/>
      <c r="K332" s="1413"/>
      <c r="L332" s="1414"/>
      <c r="M332" s="1414"/>
      <c r="N332" s="1414"/>
      <c r="O332" s="1551"/>
      <c r="P332" s="1521"/>
      <c r="Q332" s="320"/>
      <c r="R332" s="320"/>
      <c r="S332" s="320"/>
      <c r="T332" s="320">
        <f t="shared" si="61"/>
        <v>0</v>
      </c>
      <c r="U332" s="320"/>
      <c r="V332" s="320"/>
      <c r="W332" s="320"/>
      <c r="X332" s="320"/>
      <c r="Y332" s="320"/>
      <c r="Z332" s="320"/>
      <c r="AA332" s="320"/>
      <c r="AB332" s="320"/>
      <c r="AC332" s="1521"/>
      <c r="AD332" s="1521"/>
      <c r="AE332" s="1521"/>
      <c r="AF332" s="1521"/>
      <c r="AG332" s="1521"/>
      <c r="AH332" s="1521"/>
      <c r="AI332" s="1521"/>
      <c r="AJ332" s="320"/>
      <c r="AK332" s="320"/>
      <c r="AL332" s="320"/>
      <c r="AM332" s="320"/>
      <c r="AN332" s="1523">
        <f t="shared" si="62"/>
        <v>0</v>
      </c>
      <c r="AO332" s="320"/>
      <c r="AP332" s="320"/>
      <c r="AQ332" s="320"/>
      <c r="AR332" s="320"/>
      <c r="AS332" s="320"/>
      <c r="AT332" s="320"/>
      <c r="AU332" s="320"/>
      <c r="AV332" s="320"/>
      <c r="AW332" s="320"/>
      <c r="AX332" s="161"/>
      <c r="AY332" s="1540"/>
      <c r="AZ332" s="1560"/>
      <c r="BA332" s="1560"/>
      <c r="BB332" s="1560"/>
    </row>
    <row r="333" spans="1:54" ht="409.5" customHeight="1" outlineLevel="1" x14ac:dyDescent="0.25">
      <c r="A333" s="1488"/>
      <c r="B333" s="1497" t="s">
        <v>1954</v>
      </c>
      <c r="C333" s="1554" t="s">
        <v>936</v>
      </c>
      <c r="D333" s="1488" t="s">
        <v>1929</v>
      </c>
      <c r="E333" s="1495"/>
      <c r="F333" s="1413"/>
      <c r="G333" s="618">
        <v>4.1500000000000004</v>
      </c>
      <c r="H333" s="618"/>
      <c r="I333" s="161"/>
      <c r="J333" s="161"/>
      <c r="K333" s="1413"/>
      <c r="L333" s="1414"/>
      <c r="M333" s="1414"/>
      <c r="N333" s="1414"/>
      <c r="O333" s="1551" t="s">
        <v>2297</v>
      </c>
      <c r="P333" s="1521"/>
      <c r="Q333" s="320"/>
      <c r="R333" s="320"/>
      <c r="S333" s="320"/>
      <c r="T333" s="320">
        <f t="shared" si="61"/>
        <v>0</v>
      </c>
      <c r="U333" s="320"/>
      <c r="V333" s="320"/>
      <c r="W333" s="320"/>
      <c r="X333" s="320">
        <v>4.1500000000000004</v>
      </c>
      <c r="Y333" s="320"/>
      <c r="Z333" s="320"/>
      <c r="AA333" s="320"/>
      <c r="AB333" s="320"/>
      <c r="AC333" s="1521"/>
      <c r="AD333" s="1521"/>
      <c r="AE333" s="1521"/>
      <c r="AF333" s="1521"/>
      <c r="AG333" s="1521"/>
      <c r="AH333" s="1521"/>
      <c r="AI333" s="1521"/>
      <c r="AJ333" s="320"/>
      <c r="AK333" s="320"/>
      <c r="AL333" s="320"/>
      <c r="AM333" s="320"/>
      <c r="AN333" s="1523">
        <f t="shared" si="62"/>
        <v>0</v>
      </c>
      <c r="AO333" s="320"/>
      <c r="AP333" s="320"/>
      <c r="AQ333" s="320"/>
      <c r="AR333" s="320">
        <v>4.1500000000000004</v>
      </c>
      <c r="AS333" s="320"/>
      <c r="AT333" s="320"/>
      <c r="AU333" s="320"/>
      <c r="AV333" s="320"/>
      <c r="AW333" s="320"/>
      <c r="AX333" s="161"/>
      <c r="AY333" s="1540"/>
      <c r="AZ333" s="1560"/>
      <c r="BA333" s="1560"/>
      <c r="BB333" s="1560"/>
    </row>
    <row r="334" spans="1:54" ht="409.5" customHeight="1" outlineLevel="1" x14ac:dyDescent="0.25">
      <c r="A334" s="1488"/>
      <c r="B334" s="1497" t="s">
        <v>1955</v>
      </c>
      <c r="C334" s="1554" t="s">
        <v>936</v>
      </c>
      <c r="D334" s="1488" t="s">
        <v>1929</v>
      </c>
      <c r="E334" s="1495"/>
      <c r="F334" s="1413"/>
      <c r="G334" s="618">
        <v>6.07</v>
      </c>
      <c r="H334" s="618"/>
      <c r="I334" s="161"/>
      <c r="J334" s="161"/>
      <c r="K334" s="1413"/>
      <c r="L334" s="1414"/>
      <c r="M334" s="1414"/>
      <c r="N334" s="1414"/>
      <c r="O334" s="1551" t="s">
        <v>2298</v>
      </c>
      <c r="P334" s="1521"/>
      <c r="Q334" s="320"/>
      <c r="R334" s="320"/>
      <c r="S334" s="320"/>
      <c r="T334" s="320">
        <f t="shared" si="61"/>
        <v>0</v>
      </c>
      <c r="U334" s="320"/>
      <c r="V334" s="320"/>
      <c r="W334" s="320"/>
      <c r="X334" s="320">
        <v>6.07</v>
      </c>
      <c r="Y334" s="320"/>
      <c r="Z334" s="320"/>
      <c r="AA334" s="320"/>
      <c r="AB334" s="320"/>
      <c r="AC334" s="1521"/>
      <c r="AD334" s="1521"/>
      <c r="AE334" s="1521"/>
      <c r="AF334" s="1521"/>
      <c r="AG334" s="1521"/>
      <c r="AH334" s="1521"/>
      <c r="AI334" s="1521"/>
      <c r="AJ334" s="320"/>
      <c r="AK334" s="320"/>
      <c r="AL334" s="320"/>
      <c r="AM334" s="320"/>
      <c r="AN334" s="1523">
        <f t="shared" si="62"/>
        <v>0</v>
      </c>
      <c r="AO334" s="320"/>
      <c r="AP334" s="320"/>
      <c r="AQ334" s="320"/>
      <c r="AR334" s="320">
        <v>6.07</v>
      </c>
      <c r="AS334" s="320"/>
      <c r="AT334" s="320"/>
      <c r="AU334" s="320"/>
      <c r="AV334" s="320"/>
      <c r="AW334" s="320"/>
      <c r="AX334" s="161"/>
      <c r="AY334" s="1540"/>
      <c r="AZ334" s="1560"/>
      <c r="BA334" s="1560"/>
      <c r="BB334" s="1560"/>
    </row>
    <row r="335" spans="1:54" ht="409.5" customHeight="1" outlineLevel="1" x14ac:dyDescent="0.25">
      <c r="A335" s="1488"/>
      <c r="B335" s="1497" t="s">
        <v>1956</v>
      </c>
      <c r="C335" s="1554" t="s">
        <v>936</v>
      </c>
      <c r="D335" s="1488" t="s">
        <v>1929</v>
      </c>
      <c r="E335" s="1495"/>
      <c r="F335" s="1413"/>
      <c r="G335" s="618">
        <v>9.01</v>
      </c>
      <c r="H335" s="618"/>
      <c r="I335" s="161"/>
      <c r="J335" s="161"/>
      <c r="K335" s="1413"/>
      <c r="L335" s="1414"/>
      <c r="M335" s="1414"/>
      <c r="N335" s="1414"/>
      <c r="O335" s="1551" t="s">
        <v>2299</v>
      </c>
      <c r="P335" s="1521"/>
      <c r="Q335" s="320"/>
      <c r="R335" s="320"/>
      <c r="S335" s="320"/>
      <c r="T335" s="320">
        <f t="shared" si="61"/>
        <v>0</v>
      </c>
      <c r="U335" s="320"/>
      <c r="V335" s="320"/>
      <c r="W335" s="320"/>
      <c r="X335" s="320">
        <v>9.01</v>
      </c>
      <c r="Y335" s="320"/>
      <c r="Z335" s="320"/>
      <c r="AA335" s="320"/>
      <c r="AB335" s="320"/>
      <c r="AC335" s="1521"/>
      <c r="AD335" s="1521"/>
      <c r="AE335" s="1521"/>
      <c r="AF335" s="1521"/>
      <c r="AG335" s="1521"/>
      <c r="AH335" s="1521"/>
      <c r="AI335" s="1521"/>
      <c r="AJ335" s="320"/>
      <c r="AK335" s="320"/>
      <c r="AL335" s="320"/>
      <c r="AM335" s="320"/>
      <c r="AN335" s="1523">
        <f t="shared" si="62"/>
        <v>0</v>
      </c>
      <c r="AO335" s="320"/>
      <c r="AP335" s="320"/>
      <c r="AQ335" s="320"/>
      <c r="AR335" s="320">
        <v>9.01</v>
      </c>
      <c r="AS335" s="320"/>
      <c r="AT335" s="320"/>
      <c r="AU335" s="320"/>
      <c r="AV335" s="320"/>
      <c r="AW335" s="320"/>
      <c r="AX335" s="161"/>
      <c r="AY335" s="1540"/>
      <c r="AZ335" s="1560"/>
      <c r="BA335" s="1560"/>
      <c r="BB335" s="1560"/>
    </row>
    <row r="336" spans="1:54" ht="409.5" customHeight="1" outlineLevel="1" x14ac:dyDescent="0.25">
      <c r="A336" s="1488"/>
      <c r="B336" s="1497" t="s">
        <v>1957</v>
      </c>
      <c r="C336" s="1554" t="s">
        <v>936</v>
      </c>
      <c r="D336" s="1488" t="s">
        <v>1929</v>
      </c>
      <c r="E336" s="1495"/>
      <c r="F336" s="1413"/>
      <c r="G336" s="618">
        <v>9.86</v>
      </c>
      <c r="H336" s="618"/>
      <c r="I336" s="161"/>
      <c r="J336" s="161"/>
      <c r="K336" s="1413"/>
      <c r="L336" s="1414"/>
      <c r="M336" s="1414"/>
      <c r="N336" s="1414"/>
      <c r="O336" s="1551" t="s">
        <v>2300</v>
      </c>
      <c r="P336" s="1521"/>
      <c r="Q336" s="320"/>
      <c r="R336" s="320"/>
      <c r="S336" s="320"/>
      <c r="T336" s="320">
        <f t="shared" si="61"/>
        <v>0</v>
      </c>
      <c r="U336" s="320"/>
      <c r="V336" s="320"/>
      <c r="W336" s="320"/>
      <c r="X336" s="320">
        <v>9.86</v>
      </c>
      <c r="Y336" s="320"/>
      <c r="Z336" s="320"/>
      <c r="AA336" s="320"/>
      <c r="AB336" s="320"/>
      <c r="AC336" s="1521"/>
      <c r="AD336" s="1521"/>
      <c r="AE336" s="1521"/>
      <c r="AF336" s="1521"/>
      <c r="AG336" s="1521"/>
      <c r="AH336" s="1521"/>
      <c r="AI336" s="1521"/>
      <c r="AJ336" s="320"/>
      <c r="AK336" s="320"/>
      <c r="AL336" s="320"/>
      <c r="AM336" s="320"/>
      <c r="AN336" s="1523">
        <f t="shared" si="62"/>
        <v>0</v>
      </c>
      <c r="AO336" s="320"/>
      <c r="AP336" s="320"/>
      <c r="AQ336" s="320"/>
      <c r="AR336" s="320">
        <v>9.86</v>
      </c>
      <c r="AS336" s="320"/>
      <c r="AT336" s="320"/>
      <c r="AU336" s="320"/>
      <c r="AV336" s="320"/>
      <c r="AW336" s="320"/>
      <c r="AX336" s="161"/>
      <c r="AY336" s="1540"/>
      <c r="AZ336" s="1560"/>
      <c r="BA336" s="1560"/>
      <c r="BB336" s="1560"/>
    </row>
    <row r="337" spans="1:57" ht="15.5" outlineLevel="1" x14ac:dyDescent="0.25">
      <c r="A337" s="1488"/>
      <c r="B337" s="1497" t="s">
        <v>414</v>
      </c>
      <c r="C337" s="1554" t="s">
        <v>414</v>
      </c>
      <c r="D337" s="1488" t="s">
        <v>1929</v>
      </c>
      <c r="E337" s="1495"/>
      <c r="F337" s="1413"/>
      <c r="G337" s="618">
        <v>1.26</v>
      </c>
      <c r="H337" s="618"/>
      <c r="I337" s="161"/>
      <c r="J337" s="161"/>
      <c r="K337" s="1413"/>
      <c r="L337" s="1414"/>
      <c r="M337" s="1414"/>
      <c r="N337" s="1414"/>
      <c r="O337" s="1551" t="s">
        <v>2295</v>
      </c>
      <c r="P337" s="1521"/>
      <c r="Q337" s="320"/>
      <c r="R337" s="320"/>
      <c r="S337" s="320"/>
      <c r="T337" s="320">
        <f t="shared" si="61"/>
        <v>0</v>
      </c>
      <c r="U337" s="320"/>
      <c r="V337" s="320"/>
      <c r="W337" s="320"/>
      <c r="X337" s="320"/>
      <c r="Y337" s="320"/>
      <c r="Z337" s="320"/>
      <c r="AA337" s="320"/>
      <c r="AB337" s="320"/>
      <c r="AC337" s="1521"/>
      <c r="AD337" s="1521"/>
      <c r="AE337" s="1521"/>
      <c r="AF337" s="1521"/>
      <c r="AG337" s="1521"/>
      <c r="AH337" s="1521"/>
      <c r="AI337" s="1521"/>
      <c r="AJ337" s="320"/>
      <c r="AK337" s="320"/>
      <c r="AL337" s="320"/>
      <c r="AM337" s="320"/>
      <c r="AN337" s="1523">
        <f t="shared" si="62"/>
        <v>0</v>
      </c>
      <c r="AO337" s="320"/>
      <c r="AP337" s="320"/>
      <c r="AQ337" s="320"/>
      <c r="AR337" s="320"/>
      <c r="AS337" s="320"/>
      <c r="AT337" s="320"/>
      <c r="AU337" s="320"/>
      <c r="AV337" s="320"/>
      <c r="AW337" s="320"/>
      <c r="AX337" s="161"/>
      <c r="AY337" s="1540"/>
      <c r="AZ337" s="1560"/>
      <c r="BA337" s="1560"/>
      <c r="BB337" s="1560"/>
    </row>
    <row r="338" spans="1:57" ht="62" outlineLevel="1" x14ac:dyDescent="0.25">
      <c r="A338" s="1486" t="s">
        <v>1958</v>
      </c>
      <c r="B338" s="1491" t="s">
        <v>1959</v>
      </c>
      <c r="C338" s="1486" t="s">
        <v>928</v>
      </c>
      <c r="D338" s="1486" t="s">
        <v>1929</v>
      </c>
      <c r="E338" s="1487"/>
      <c r="F338" s="1413"/>
      <c r="G338" s="618">
        <v>26.87</v>
      </c>
      <c r="H338" s="618"/>
      <c r="I338" s="161"/>
      <c r="J338" s="161"/>
      <c r="K338" s="1413"/>
      <c r="L338" s="1414"/>
      <c r="M338" s="1414"/>
      <c r="N338" s="1414"/>
      <c r="O338" s="1551"/>
      <c r="P338" s="1521"/>
      <c r="Q338" s="320"/>
      <c r="R338" s="320"/>
      <c r="S338" s="320"/>
      <c r="T338" s="320">
        <f t="shared" si="61"/>
        <v>0</v>
      </c>
      <c r="U338" s="320"/>
      <c r="V338" s="320"/>
      <c r="W338" s="320"/>
      <c r="X338" s="320"/>
      <c r="Y338" s="320"/>
      <c r="Z338" s="320"/>
      <c r="AA338" s="320"/>
      <c r="AB338" s="320"/>
      <c r="AC338" s="1521"/>
      <c r="AD338" s="1521"/>
      <c r="AE338" s="1521"/>
      <c r="AF338" s="1521"/>
      <c r="AG338" s="1521"/>
      <c r="AH338" s="1521"/>
      <c r="AI338" s="1521"/>
      <c r="AJ338" s="320"/>
      <c r="AK338" s="320"/>
      <c r="AL338" s="320"/>
      <c r="AM338" s="320"/>
      <c r="AN338" s="1523">
        <f t="shared" si="62"/>
        <v>0</v>
      </c>
      <c r="AO338" s="320"/>
      <c r="AP338" s="320"/>
      <c r="AQ338" s="320"/>
      <c r="AR338" s="320"/>
      <c r="AS338" s="320"/>
      <c r="AT338" s="320"/>
      <c r="AU338" s="320"/>
      <c r="AV338" s="320"/>
      <c r="AW338" s="320"/>
      <c r="AX338" s="161"/>
      <c r="AY338" s="1540"/>
      <c r="AZ338" s="1560"/>
      <c r="BA338" s="1560"/>
      <c r="BB338" s="1560"/>
    </row>
    <row r="339" spans="1:57" ht="46.5" outlineLevel="1" x14ac:dyDescent="0.25">
      <c r="A339" s="1488"/>
      <c r="B339" s="1497" t="s">
        <v>1960</v>
      </c>
      <c r="C339" s="1554" t="s">
        <v>936</v>
      </c>
      <c r="D339" s="1488" t="s">
        <v>1929</v>
      </c>
      <c r="E339" s="1495"/>
      <c r="F339" s="1413"/>
      <c r="G339" s="618">
        <v>24.96</v>
      </c>
      <c r="H339" s="618"/>
      <c r="I339" s="161"/>
      <c r="J339" s="161"/>
      <c r="K339" s="1413"/>
      <c r="L339" s="1414"/>
      <c r="M339" s="1414"/>
      <c r="N339" s="1414"/>
      <c r="O339" s="1551" t="s">
        <v>2301</v>
      </c>
      <c r="P339" s="1521"/>
      <c r="Q339" s="320"/>
      <c r="R339" s="320"/>
      <c r="S339" s="320"/>
      <c r="T339" s="320">
        <f t="shared" si="61"/>
        <v>0</v>
      </c>
      <c r="U339" s="320"/>
      <c r="V339" s="320"/>
      <c r="W339" s="320"/>
      <c r="X339" s="320">
        <v>24.96</v>
      </c>
      <c r="Y339" s="320"/>
      <c r="Z339" s="320"/>
      <c r="AA339" s="320"/>
      <c r="AB339" s="320"/>
      <c r="AC339" s="1521"/>
      <c r="AD339" s="1521"/>
      <c r="AE339" s="1521"/>
      <c r="AF339" s="1521"/>
      <c r="AG339" s="1521"/>
      <c r="AH339" s="1521"/>
      <c r="AI339" s="1521"/>
      <c r="AJ339" s="320"/>
      <c r="AK339" s="320"/>
      <c r="AL339" s="320"/>
      <c r="AM339" s="320"/>
      <c r="AN339" s="1523">
        <f t="shared" si="62"/>
        <v>0</v>
      </c>
      <c r="AO339" s="320"/>
      <c r="AP339" s="320"/>
      <c r="AQ339" s="320"/>
      <c r="AR339" s="320">
        <v>24.96</v>
      </c>
      <c r="AS339" s="320"/>
      <c r="AT339" s="320"/>
      <c r="AU339" s="320"/>
      <c r="AV339" s="320"/>
      <c r="AW339" s="320"/>
      <c r="AX339" s="161"/>
      <c r="AY339" s="1540"/>
      <c r="AZ339" s="1560"/>
      <c r="BA339" s="1560"/>
      <c r="BB339" s="1560"/>
    </row>
    <row r="340" spans="1:57" ht="15.5" outlineLevel="1" x14ac:dyDescent="0.25">
      <c r="A340" s="1488"/>
      <c r="B340" s="1497" t="s">
        <v>414</v>
      </c>
      <c r="C340" s="1554" t="s">
        <v>414</v>
      </c>
      <c r="D340" s="1488" t="s">
        <v>1929</v>
      </c>
      <c r="E340" s="1495"/>
      <c r="F340" s="1413"/>
      <c r="G340" s="618">
        <v>1.91</v>
      </c>
      <c r="H340" s="618"/>
      <c r="I340" s="161"/>
      <c r="J340" s="161"/>
      <c r="K340" s="1413"/>
      <c r="L340" s="1414"/>
      <c r="M340" s="1414"/>
      <c r="N340" s="1414"/>
      <c r="O340" s="1551"/>
      <c r="P340" s="1521"/>
      <c r="Q340" s="320"/>
      <c r="R340" s="320"/>
      <c r="S340" s="320"/>
      <c r="T340" s="320">
        <f t="shared" si="61"/>
        <v>0</v>
      </c>
      <c r="U340" s="320"/>
      <c r="V340" s="320"/>
      <c r="W340" s="320"/>
      <c r="X340" s="320"/>
      <c r="Y340" s="320"/>
      <c r="Z340" s="320"/>
      <c r="AA340" s="320"/>
      <c r="AB340" s="320"/>
      <c r="AC340" s="1521"/>
      <c r="AD340" s="1521"/>
      <c r="AE340" s="1521"/>
      <c r="AF340" s="1521"/>
      <c r="AG340" s="1521"/>
      <c r="AH340" s="1521"/>
      <c r="AI340" s="1521"/>
      <c r="AJ340" s="320"/>
      <c r="AK340" s="320"/>
      <c r="AL340" s="320"/>
      <c r="AM340" s="320"/>
      <c r="AN340" s="1523">
        <f t="shared" si="62"/>
        <v>0</v>
      </c>
      <c r="AO340" s="320"/>
      <c r="AP340" s="320"/>
      <c r="AQ340" s="320"/>
      <c r="AR340" s="320"/>
      <c r="AS340" s="320"/>
      <c r="AT340" s="320"/>
      <c r="AU340" s="320"/>
      <c r="AV340" s="320"/>
      <c r="AW340" s="320"/>
      <c r="AX340" s="161"/>
      <c r="AY340" s="1540"/>
      <c r="AZ340" s="1560"/>
      <c r="BA340" s="1560"/>
      <c r="BB340" s="1560"/>
    </row>
    <row r="341" spans="1:57" ht="15.5" x14ac:dyDescent="0.25">
      <c r="A341" s="1488"/>
      <c r="B341" s="1497"/>
      <c r="C341" s="1554"/>
      <c r="D341" s="1488"/>
      <c r="E341" s="1495"/>
      <c r="F341" s="1413"/>
      <c r="G341" s="618"/>
      <c r="H341" s="618"/>
      <c r="I341" s="161"/>
      <c r="J341" s="161"/>
      <c r="K341" s="1413"/>
      <c r="L341" s="1414"/>
      <c r="M341" s="1414"/>
      <c r="N341" s="1414"/>
      <c r="O341" s="1551"/>
      <c r="P341" s="1521"/>
      <c r="Q341" s="320"/>
      <c r="R341" s="320"/>
      <c r="S341" s="320"/>
      <c r="T341" s="320">
        <f t="shared" si="61"/>
        <v>0</v>
      </c>
      <c r="U341" s="320"/>
      <c r="V341" s="320"/>
      <c r="W341" s="320"/>
      <c r="X341" s="320"/>
      <c r="Y341" s="320"/>
      <c r="Z341" s="320"/>
      <c r="AA341" s="320"/>
      <c r="AB341" s="320"/>
      <c r="AC341" s="1521"/>
      <c r="AD341" s="1521"/>
      <c r="AE341" s="1521"/>
      <c r="AF341" s="1521"/>
      <c r="AG341" s="1521"/>
      <c r="AH341" s="1521"/>
      <c r="AI341" s="1521"/>
      <c r="AJ341" s="320"/>
      <c r="AK341" s="320"/>
      <c r="AL341" s="320"/>
      <c r="AM341" s="320"/>
      <c r="AN341" s="1523">
        <f t="shared" si="62"/>
        <v>0</v>
      </c>
      <c r="AO341" s="320"/>
      <c r="AP341" s="320"/>
      <c r="AQ341" s="320"/>
      <c r="AR341" s="320"/>
      <c r="AS341" s="320"/>
      <c r="AT341" s="320"/>
      <c r="AU341" s="320"/>
      <c r="AV341" s="320"/>
      <c r="AW341" s="320"/>
      <c r="AX341" s="161"/>
      <c r="AY341" s="1540"/>
      <c r="AZ341" s="1560" t="e">
        <f>#REF!-#REF!</f>
        <v>#REF!</v>
      </c>
      <c r="BA341" s="1560">
        <f>IF(C341="Scheme",IF(SUM(AJ341:AS341)&gt;0,IF(H341&lt;#REF!,H341-#REF!,0),0),0)</f>
        <v>0</v>
      </c>
      <c r="BB341" s="1560">
        <f>IF(C341="scheme",G341-SUM(AJ341:AS341),0)</f>
        <v>0</v>
      </c>
    </row>
    <row r="342" spans="1:57" ht="15.5" x14ac:dyDescent="0.25">
      <c r="A342" s="1488"/>
      <c r="B342" s="1497"/>
      <c r="C342" s="1554"/>
      <c r="D342" s="1488"/>
      <c r="E342" s="1495"/>
      <c r="F342" s="1413"/>
      <c r="G342" s="618"/>
      <c r="H342" s="618"/>
      <c r="I342" s="161"/>
      <c r="J342" s="161"/>
      <c r="K342" s="1413"/>
      <c r="L342" s="1414"/>
      <c r="M342" s="1414"/>
      <c r="N342" s="1414"/>
      <c r="O342" s="1551"/>
      <c r="P342" s="1521"/>
      <c r="Q342" s="320"/>
      <c r="R342" s="320"/>
      <c r="S342" s="320"/>
      <c r="T342" s="320">
        <f t="shared" si="61"/>
        <v>0</v>
      </c>
      <c r="U342" s="320"/>
      <c r="V342" s="320"/>
      <c r="W342" s="320"/>
      <c r="X342" s="320"/>
      <c r="Y342" s="320"/>
      <c r="Z342" s="320"/>
      <c r="AA342" s="320"/>
      <c r="AB342" s="320"/>
      <c r="AC342" s="1521"/>
      <c r="AD342" s="1521"/>
      <c r="AE342" s="1521"/>
      <c r="AF342" s="1521"/>
      <c r="AG342" s="1521"/>
      <c r="AH342" s="1521"/>
      <c r="AI342" s="1521"/>
      <c r="AJ342" s="320"/>
      <c r="AK342" s="320"/>
      <c r="AL342" s="320"/>
      <c r="AM342" s="320"/>
      <c r="AN342" s="1523">
        <f t="shared" si="62"/>
        <v>0</v>
      </c>
      <c r="AO342" s="320"/>
      <c r="AP342" s="320"/>
      <c r="AQ342" s="320"/>
      <c r="AR342" s="320"/>
      <c r="AS342" s="320"/>
      <c r="AT342" s="320"/>
      <c r="AU342" s="320"/>
      <c r="AV342" s="320"/>
      <c r="AW342" s="320"/>
      <c r="AX342" s="161"/>
      <c r="AY342" s="1540"/>
      <c r="AZ342" s="1560" t="e">
        <f>#REF!-#REF!</f>
        <v>#REF!</v>
      </c>
      <c r="BA342" s="1560">
        <f>IF(C342="Scheme",IF(SUM(AJ342:AS342)&gt;0,IF(H342&lt;#REF!,H342-#REF!,0),0),0)</f>
        <v>0</v>
      </c>
      <c r="BB342" s="1560">
        <f>IF(C342="scheme",G342-SUM(AJ342:AS342),0)</f>
        <v>0</v>
      </c>
    </row>
    <row r="343" spans="1:57" ht="15.5" x14ac:dyDescent="0.25">
      <c r="A343" s="1500"/>
      <c r="B343" s="1502"/>
      <c r="C343" s="1588"/>
      <c r="D343" s="1500"/>
      <c r="E343" s="1589"/>
      <c r="F343" s="1501"/>
      <c r="G343" s="1416"/>
      <c r="H343" s="1416"/>
      <c r="I343" s="1530"/>
      <c r="J343" s="1530"/>
      <c r="K343" s="1501"/>
      <c r="O343" s="494"/>
      <c r="P343" s="1591"/>
      <c r="Q343" s="1591"/>
      <c r="R343" s="1591"/>
      <c r="S343" s="1591"/>
      <c r="T343" s="1591">
        <f t="shared" si="61"/>
        <v>0</v>
      </c>
      <c r="U343" s="320"/>
      <c r="V343" s="320"/>
      <c r="W343" s="320"/>
      <c r="X343" s="320"/>
      <c r="Y343" s="320"/>
      <c r="Z343" s="320"/>
      <c r="AA343" s="320"/>
      <c r="AB343" s="320"/>
      <c r="AC343" s="1592"/>
      <c r="AD343" s="1592"/>
      <c r="AE343" s="1592"/>
      <c r="AF343" s="1592"/>
      <c r="AG343" s="1521"/>
      <c r="AH343" s="1521"/>
      <c r="AI343" s="1521"/>
      <c r="AJ343" s="1591"/>
      <c r="AK343" s="1591"/>
      <c r="AL343" s="1591"/>
      <c r="AM343" s="1591"/>
      <c r="AN343" s="1523">
        <f t="shared" si="62"/>
        <v>0</v>
      </c>
      <c r="AO343" s="320"/>
      <c r="AP343" s="320"/>
      <c r="AQ343" s="320"/>
      <c r="AR343" s="320"/>
      <c r="AS343" s="320"/>
      <c r="AT343" s="320"/>
      <c r="AU343" s="320"/>
      <c r="AV343" s="320"/>
      <c r="AW343" s="320"/>
      <c r="AX343" s="161"/>
      <c r="AY343" s="1587"/>
      <c r="AZ343" s="1560"/>
      <c r="BA343" s="1560" t="e">
        <f>#REF!-#REF!</f>
        <v>#REF!</v>
      </c>
      <c r="BB343" s="1560" t="e">
        <f>IF(#REF!="Scheme",IF(SUM(#REF!)&gt;0,IF(#REF!&lt;#REF!,#REF!-#REF!,0),0),0)</f>
        <v>#REF!</v>
      </c>
      <c r="BC343" s="1560" t="e">
        <f>IF(#REF!="scheme",#REF!-SUM(#REF!),0)</f>
        <v>#REF!</v>
      </c>
    </row>
    <row r="344" spans="1:57" ht="15.5" x14ac:dyDescent="0.25">
      <c r="B344" s="1476" t="s">
        <v>1961</v>
      </c>
      <c r="I344" s="1530"/>
      <c r="J344" s="1530"/>
      <c r="O344" s="494"/>
      <c r="T344" s="1593">
        <f t="shared" si="61"/>
        <v>0</v>
      </c>
      <c r="U344" s="1521"/>
      <c r="V344" s="1521"/>
      <c r="W344" s="1521"/>
      <c r="X344" s="1521"/>
      <c r="Y344" s="1521"/>
      <c r="Z344" s="1521"/>
      <c r="AA344" s="1521"/>
      <c r="AB344" s="1521"/>
      <c r="AC344" s="1592"/>
      <c r="AD344" s="1592"/>
      <c r="AE344" s="1592"/>
      <c r="AF344" s="1592"/>
      <c r="AG344" s="1522"/>
      <c r="AH344" s="1522"/>
      <c r="AI344" s="1522"/>
      <c r="AN344" s="1523">
        <f t="shared" si="62"/>
        <v>0</v>
      </c>
      <c r="AO344" s="161"/>
      <c r="AP344" s="161"/>
      <c r="AQ344" s="161"/>
      <c r="AR344" s="161"/>
      <c r="AS344" s="161"/>
      <c r="AT344" s="161"/>
      <c r="AU344" s="161"/>
      <c r="AV344" s="161"/>
      <c r="AW344" s="161"/>
      <c r="AX344" s="161"/>
      <c r="AY344" s="1636" t="s">
        <v>933</v>
      </c>
      <c r="AZ344" s="1560"/>
      <c r="BA344" s="1560" t="e">
        <f>#REF!-#REF!</f>
        <v>#REF!</v>
      </c>
      <c r="BB344" s="1560" t="e">
        <f>IF(#REF!="Scheme",IF(SUM(#REF!)&gt;0,IF(#REF!&lt;#REF!,#REF!-#REF!,0),0),0)</f>
        <v>#REF!</v>
      </c>
      <c r="BC344" s="1560" t="e">
        <f>IF(#REF!="scheme",#REF!-SUM(#REF!),0)</f>
        <v>#REF!</v>
      </c>
    </row>
    <row r="345" spans="1:57" ht="15.5" outlineLevel="1" x14ac:dyDescent="0.25">
      <c r="B345" s="1476"/>
      <c r="I345" s="1530"/>
      <c r="J345" s="1530"/>
      <c r="O345" s="494"/>
      <c r="T345" s="1593">
        <f t="shared" si="61"/>
        <v>0</v>
      </c>
      <c r="U345" s="1521"/>
      <c r="V345" s="1521"/>
      <c r="W345" s="1521"/>
      <c r="X345" s="1521"/>
      <c r="Y345" s="1521"/>
      <c r="Z345" s="1521"/>
      <c r="AA345" s="1521"/>
      <c r="AB345" s="1521"/>
      <c r="AC345" s="1592"/>
      <c r="AD345" s="1592"/>
      <c r="AE345" s="1592"/>
      <c r="AF345" s="1592"/>
      <c r="AG345" s="1522"/>
      <c r="AH345" s="1522"/>
      <c r="AI345" s="1522"/>
      <c r="AN345" s="1523">
        <f t="shared" si="62"/>
        <v>0</v>
      </c>
      <c r="AO345" s="161"/>
      <c r="AP345" s="161"/>
      <c r="AQ345" s="161"/>
      <c r="AR345" s="161"/>
      <c r="AS345" s="161"/>
      <c r="AT345" s="161"/>
      <c r="AU345" s="161"/>
      <c r="AV345" s="161"/>
      <c r="AW345" s="161"/>
      <c r="AX345" s="161"/>
      <c r="AY345" s="1636"/>
      <c r="AZ345" s="1560"/>
      <c r="BA345" s="1560" t="e">
        <f>#REF!-#REF!</f>
        <v>#REF!</v>
      </c>
      <c r="BB345" s="1560" t="e">
        <f>IF(#REF!="Scheme",IF(SUM(#REF!)&gt;0,IF(#REF!&lt;#REF!,#REF!-#REF!,0),0),0)</f>
        <v>#REF!</v>
      </c>
      <c r="BC345" s="1560" t="e">
        <f>IF(#REF!="scheme",#REF!-SUM(#REF!),0)</f>
        <v>#REF!</v>
      </c>
    </row>
    <row r="346" spans="1:57" ht="93" outlineLevel="1" x14ac:dyDescent="0.25">
      <c r="A346" s="1486">
        <f>A451+1</f>
        <v>2</v>
      </c>
      <c r="B346" s="1491" t="s">
        <v>1962</v>
      </c>
      <c r="C346" s="1486" t="s">
        <v>928</v>
      </c>
      <c r="D346" s="166"/>
      <c r="E346" s="1413"/>
      <c r="F346" s="1413"/>
      <c r="G346" s="161"/>
      <c r="H346" s="1594">
        <v>118.75</v>
      </c>
      <c r="I346" s="161"/>
      <c r="J346" s="161"/>
      <c r="K346" s="1413"/>
      <c r="L346" s="1414"/>
      <c r="M346" s="1414"/>
      <c r="N346" s="1414"/>
      <c r="O346" s="1551"/>
      <c r="P346" s="320"/>
      <c r="Q346" s="1521"/>
      <c r="R346" s="1521"/>
      <c r="S346" s="1521"/>
      <c r="T346" s="1521">
        <f t="shared" si="61"/>
        <v>0</v>
      </c>
      <c r="U346" s="1521"/>
      <c r="V346" s="1521"/>
      <c r="W346" s="1141"/>
      <c r="X346" s="1141"/>
      <c r="Y346" s="1141"/>
      <c r="Z346" s="1141"/>
      <c r="AA346" s="1141"/>
      <c r="AB346" s="1141"/>
      <c r="AC346" s="1522"/>
      <c r="AD346" s="1522"/>
      <c r="AE346" s="1522"/>
      <c r="AF346" s="1522"/>
      <c r="AG346" s="1522"/>
      <c r="AH346" s="1522"/>
      <c r="AI346" s="1522"/>
      <c r="AJ346" s="320"/>
      <c r="AK346" s="161"/>
      <c r="AL346" s="161"/>
      <c r="AM346" s="161"/>
      <c r="AN346" s="1523">
        <f t="shared" si="62"/>
        <v>0</v>
      </c>
      <c r="AO346" s="161"/>
      <c r="AP346" s="161"/>
      <c r="AQ346" s="1141"/>
      <c r="AR346" s="1141"/>
      <c r="AS346" s="1141"/>
      <c r="AT346" s="1141"/>
      <c r="AU346" s="1141"/>
      <c r="AV346" s="1141"/>
      <c r="AW346" s="161"/>
      <c r="AX346" s="161"/>
      <c r="AY346" s="1636"/>
      <c r="AZ346" s="1560" t="e">
        <f>#REF!-#REF!</f>
        <v>#REF!</v>
      </c>
      <c r="BA346" s="1560">
        <f>IF(C346="Scheme",IF(SUM(AJ346:AS346)&gt;0,IF(H346&lt;#REF!,H346-#REF!,0),0),0)</f>
        <v>0</v>
      </c>
      <c r="BB346" s="1560">
        <f>IF(C346="scheme",G346-SUM(AJ346:AS346),0)</f>
        <v>0</v>
      </c>
    </row>
    <row r="347" spans="1:57" ht="93" outlineLevel="1" x14ac:dyDescent="0.25">
      <c r="A347" s="1492"/>
      <c r="B347" s="1492" t="s">
        <v>1962</v>
      </c>
      <c r="C347" s="1492" t="s">
        <v>936</v>
      </c>
      <c r="D347" s="166"/>
      <c r="E347" s="1413"/>
      <c r="F347" s="1413"/>
      <c r="G347" s="161"/>
      <c r="H347" s="1417">
        <v>118.75</v>
      </c>
      <c r="I347" s="161"/>
      <c r="J347" s="161"/>
      <c r="K347" s="1413"/>
      <c r="L347" s="1414"/>
      <c r="M347" s="1414"/>
      <c r="N347" s="1414"/>
      <c r="O347" s="1551" t="s">
        <v>2302</v>
      </c>
      <c r="P347" s="320"/>
      <c r="Q347" s="1521"/>
      <c r="R347" s="1521"/>
      <c r="S347" s="1521"/>
      <c r="T347" s="1521">
        <f t="shared" si="61"/>
        <v>0</v>
      </c>
      <c r="U347" s="1521"/>
      <c r="V347" s="1521"/>
      <c r="W347" s="1141"/>
      <c r="X347" s="1141"/>
      <c r="Y347" s="320">
        <v>118.75</v>
      </c>
      <c r="Z347" s="1141"/>
      <c r="AA347" s="1141"/>
      <c r="AB347" s="1141"/>
      <c r="AC347" s="1522"/>
      <c r="AD347" s="1522"/>
      <c r="AE347" s="1522"/>
      <c r="AF347" s="1522"/>
      <c r="AG347" s="1522"/>
      <c r="AH347" s="1522"/>
      <c r="AI347" s="1522"/>
      <c r="AJ347" s="320"/>
      <c r="AK347" s="161"/>
      <c r="AL347" s="161"/>
      <c r="AM347" s="161"/>
      <c r="AN347" s="1523">
        <f t="shared" si="62"/>
        <v>0</v>
      </c>
      <c r="AO347" s="161"/>
      <c r="AP347" s="161"/>
      <c r="AQ347" s="1141"/>
      <c r="AR347" s="1141"/>
      <c r="AS347" s="320">
        <v>118.75</v>
      </c>
      <c r="AT347" s="1141"/>
      <c r="AU347" s="1141"/>
      <c r="AV347" s="1141"/>
      <c r="AW347" s="161"/>
      <c r="AX347" s="161"/>
      <c r="AY347" s="1636"/>
      <c r="AZ347" s="1560" t="e">
        <f>#REF!-#REF!</f>
        <v>#REF!</v>
      </c>
      <c r="BA347" s="1560" t="e">
        <f>IF(C347="Scheme",IF(SUM(AJ347:AS347)&gt;0,IF(H347&lt;#REF!,H347-#REF!,0),0),0)</f>
        <v>#REF!</v>
      </c>
      <c r="BB347" s="1560">
        <f>IF(C347="scheme",G347-SUM(AJ347:AS347),0)</f>
        <v>-118.75</v>
      </c>
      <c r="BC347" s="96" t="s">
        <v>256</v>
      </c>
      <c r="BD347" s="96" t="s">
        <v>1931</v>
      </c>
      <c r="BE347" s="96" t="s">
        <v>1934</v>
      </c>
    </row>
    <row r="348" spans="1:57" ht="62" outlineLevel="1" x14ac:dyDescent="0.25">
      <c r="A348" s="1486">
        <f>A346+1</f>
        <v>3</v>
      </c>
      <c r="B348" s="1491" t="s">
        <v>1963</v>
      </c>
      <c r="C348" s="1486" t="s">
        <v>928</v>
      </c>
      <c r="D348" s="166"/>
      <c r="E348" s="1413"/>
      <c r="F348" s="1413"/>
      <c r="G348" s="161"/>
      <c r="H348" s="1594">
        <v>31.56</v>
      </c>
      <c r="I348" s="161"/>
      <c r="J348" s="161"/>
      <c r="K348" s="1413"/>
      <c r="L348" s="1414"/>
      <c r="M348" s="1414"/>
      <c r="N348" s="1414"/>
      <c r="O348" s="1551"/>
      <c r="P348" s="320"/>
      <c r="Q348" s="1521"/>
      <c r="R348" s="1521"/>
      <c r="S348" s="1521"/>
      <c r="T348" s="1521">
        <f t="shared" si="61"/>
        <v>0</v>
      </c>
      <c r="U348" s="1521"/>
      <c r="V348" s="1521"/>
      <c r="W348" s="1141"/>
      <c r="X348" s="1141"/>
      <c r="Y348" s="1141"/>
      <c r="Z348" s="1141"/>
      <c r="AA348" s="1141"/>
      <c r="AB348" s="1141"/>
      <c r="AC348" s="1522"/>
      <c r="AD348" s="1522"/>
      <c r="AE348" s="1522"/>
      <c r="AF348" s="1522"/>
      <c r="AG348" s="1522"/>
      <c r="AH348" s="1522"/>
      <c r="AI348" s="1522"/>
      <c r="AJ348" s="320"/>
      <c r="AK348" s="161"/>
      <c r="AL348" s="161"/>
      <c r="AM348" s="161"/>
      <c r="AN348" s="1523">
        <f t="shared" si="62"/>
        <v>0</v>
      </c>
      <c r="AO348" s="161"/>
      <c r="AP348" s="161"/>
      <c r="AQ348" s="1141"/>
      <c r="AR348" s="1141"/>
      <c r="AS348" s="1141"/>
      <c r="AT348" s="1141"/>
      <c r="AU348" s="1141"/>
      <c r="AV348" s="1141"/>
      <c r="AW348" s="161"/>
      <c r="AX348" s="161"/>
      <c r="AY348" s="1636"/>
      <c r="AZ348" s="1560"/>
      <c r="BA348" s="1560"/>
      <c r="BB348" s="1560"/>
    </row>
    <row r="349" spans="1:57" ht="78.75" customHeight="1" outlineLevel="1" x14ac:dyDescent="0.25">
      <c r="A349" s="1492"/>
      <c r="B349" s="1492" t="s">
        <v>1963</v>
      </c>
      <c r="C349" s="1492" t="s">
        <v>936</v>
      </c>
      <c r="D349" s="166"/>
      <c r="E349" s="1413"/>
      <c r="F349" s="1413"/>
      <c r="G349" s="161"/>
      <c r="H349" s="1417">
        <f>SUM(W349:AB349)</f>
        <v>31.56</v>
      </c>
      <c r="I349" s="161"/>
      <c r="J349" s="161"/>
      <c r="K349" s="1413"/>
      <c r="L349" s="1414"/>
      <c r="M349" s="1414"/>
      <c r="N349" s="1414"/>
      <c r="O349" s="1551" t="s">
        <v>2303</v>
      </c>
      <c r="P349" s="320"/>
      <c r="Q349" s="1521"/>
      <c r="R349" s="1521"/>
      <c r="S349" s="1521"/>
      <c r="T349" s="1521">
        <f t="shared" si="61"/>
        <v>0</v>
      </c>
      <c r="U349" s="1521"/>
      <c r="V349" s="1521"/>
      <c r="W349" s="1141"/>
      <c r="X349" s="1141"/>
      <c r="Y349" s="1141">
        <v>31.56</v>
      </c>
      <c r="Z349" s="1141"/>
      <c r="AA349" s="1141"/>
      <c r="AB349" s="1141"/>
      <c r="AC349" s="1522"/>
      <c r="AD349" s="1522"/>
      <c r="AE349" s="1522"/>
      <c r="AF349" s="1522"/>
      <c r="AG349" s="1522"/>
      <c r="AH349" s="1522"/>
      <c r="AI349" s="1522"/>
      <c r="AJ349" s="320"/>
      <c r="AK349" s="161"/>
      <c r="AL349" s="161"/>
      <c r="AM349" s="161"/>
      <c r="AN349" s="1523">
        <f t="shared" si="62"/>
        <v>0</v>
      </c>
      <c r="AO349" s="161"/>
      <c r="AP349" s="161"/>
      <c r="AQ349" s="1141"/>
      <c r="AR349" s="1141"/>
      <c r="AS349" s="1141">
        <v>31.56</v>
      </c>
      <c r="AT349" s="1141"/>
      <c r="AU349" s="1141"/>
      <c r="AV349" s="1141"/>
      <c r="AW349" s="161"/>
      <c r="AX349" s="161"/>
      <c r="AY349" s="1636"/>
      <c r="AZ349" s="1560"/>
      <c r="BA349" s="1560"/>
      <c r="BB349" s="1560"/>
      <c r="BC349" s="96" t="s">
        <v>256</v>
      </c>
      <c r="BD349" s="96" t="s">
        <v>1931</v>
      </c>
      <c r="BE349" s="96" t="s">
        <v>1934</v>
      </c>
    </row>
    <row r="350" spans="1:57" ht="46.5" outlineLevel="1" x14ac:dyDescent="0.25">
      <c r="A350" s="1486">
        <f>A348+1</f>
        <v>4</v>
      </c>
      <c r="B350" s="1491" t="s">
        <v>1964</v>
      </c>
      <c r="C350" s="1486" t="s">
        <v>928</v>
      </c>
      <c r="D350" s="166"/>
      <c r="E350" s="1413"/>
      <c r="F350" s="1413"/>
      <c r="G350" s="161"/>
      <c r="H350" s="1594">
        <v>35</v>
      </c>
      <c r="I350" s="161"/>
      <c r="J350" s="161"/>
      <c r="K350" s="1413"/>
      <c r="L350" s="1414"/>
      <c r="M350" s="1414"/>
      <c r="N350" s="1414"/>
      <c r="O350" s="1551"/>
      <c r="P350" s="320"/>
      <c r="Q350" s="1521"/>
      <c r="R350" s="1521"/>
      <c r="S350" s="1521"/>
      <c r="T350" s="1521">
        <f t="shared" si="61"/>
        <v>0</v>
      </c>
      <c r="U350" s="1521"/>
      <c r="V350" s="1521"/>
      <c r="W350" s="1595"/>
      <c r="X350" s="1595"/>
      <c r="Y350" s="1595"/>
      <c r="Z350" s="1595"/>
      <c r="AA350" s="1595"/>
      <c r="AB350" s="1595"/>
      <c r="AC350" s="1522"/>
      <c r="AD350" s="1522"/>
      <c r="AE350" s="1522"/>
      <c r="AF350" s="1522"/>
      <c r="AG350" s="1522"/>
      <c r="AH350" s="1522"/>
      <c r="AI350" s="1522"/>
      <c r="AJ350" s="320"/>
      <c r="AK350" s="161"/>
      <c r="AL350" s="161"/>
      <c r="AM350" s="161"/>
      <c r="AN350" s="1523">
        <f t="shared" si="62"/>
        <v>0</v>
      </c>
      <c r="AO350" s="161"/>
      <c r="AP350" s="161"/>
      <c r="AQ350" s="1595"/>
      <c r="AR350" s="1595"/>
      <c r="AS350" s="1595"/>
      <c r="AT350" s="1595"/>
      <c r="AU350" s="1595"/>
      <c r="AV350" s="1595"/>
      <c r="AW350" s="161"/>
      <c r="AX350" s="161"/>
      <c r="AY350" s="1636"/>
      <c r="AZ350" s="1560" t="e">
        <f>#REF!-#REF!</f>
        <v>#REF!</v>
      </c>
      <c r="BA350" s="1560">
        <f>IF(C350="Scheme",IF(SUM(AJ350:AS350)&gt;0,IF(H350&lt;#REF!,H350-#REF!,0),0),0)</f>
        <v>0</v>
      </c>
      <c r="BB350" s="1560">
        <f t="shared" ref="BB350:BB413" si="63">IF(C350="scheme",G350-SUM(AJ350:AS350),0)</f>
        <v>0</v>
      </c>
    </row>
    <row r="351" spans="1:57" ht="62" outlineLevel="1" x14ac:dyDescent="0.25">
      <c r="A351" s="1492"/>
      <c r="B351" s="1492" t="s">
        <v>1964</v>
      </c>
      <c r="C351" s="1492" t="s">
        <v>936</v>
      </c>
      <c r="D351" s="166"/>
      <c r="E351" s="1413"/>
      <c r="F351" s="1413"/>
      <c r="G351" s="161"/>
      <c r="H351" s="1417">
        <f>SUM(W351:AB351)</f>
        <v>35</v>
      </c>
      <c r="I351" s="161"/>
      <c r="J351" s="161"/>
      <c r="K351" s="1413"/>
      <c r="L351" s="1414"/>
      <c r="M351" s="1414"/>
      <c r="N351" s="1414"/>
      <c r="O351" s="1551" t="s">
        <v>2304</v>
      </c>
      <c r="P351" s="320"/>
      <c r="Q351" s="1521"/>
      <c r="R351" s="1521"/>
      <c r="S351" s="1521"/>
      <c r="T351" s="1521">
        <f t="shared" si="61"/>
        <v>0</v>
      </c>
      <c r="U351" s="1521"/>
      <c r="V351" s="1521"/>
      <c r="W351" s="1595"/>
      <c r="X351" s="1595"/>
      <c r="Y351" s="1595">
        <v>35</v>
      </c>
      <c r="Z351" s="1595"/>
      <c r="AA351" s="1595"/>
      <c r="AB351" s="1595"/>
      <c r="AC351" s="1522"/>
      <c r="AD351" s="1522"/>
      <c r="AE351" s="1522"/>
      <c r="AF351" s="1522"/>
      <c r="AG351" s="1522"/>
      <c r="AH351" s="1522"/>
      <c r="AI351" s="1522"/>
      <c r="AJ351" s="320"/>
      <c r="AK351" s="161"/>
      <c r="AL351" s="161"/>
      <c r="AM351" s="161"/>
      <c r="AN351" s="1523">
        <f t="shared" si="62"/>
        <v>0</v>
      </c>
      <c r="AO351" s="161"/>
      <c r="AP351" s="161"/>
      <c r="AQ351" s="1595"/>
      <c r="AR351" s="1595"/>
      <c r="AS351" s="1595">
        <v>35</v>
      </c>
      <c r="AT351" s="1595"/>
      <c r="AU351" s="1595"/>
      <c r="AV351" s="1595"/>
      <c r="AW351" s="161"/>
      <c r="AX351" s="161"/>
      <c r="AY351" s="1636"/>
      <c r="AZ351" s="1560" t="e">
        <f>#REF!-#REF!</f>
        <v>#REF!</v>
      </c>
      <c r="BA351" s="1560" t="e">
        <f>IF(C351="Scheme",IF(SUM(AJ351:AS351)&gt;0,IF(H351&lt;#REF!,H351-#REF!,0),0),0)</f>
        <v>#REF!</v>
      </c>
      <c r="BB351" s="1560">
        <f t="shared" si="63"/>
        <v>-35</v>
      </c>
      <c r="BC351" s="96" t="s">
        <v>256</v>
      </c>
      <c r="BD351" s="96" t="s">
        <v>1931</v>
      </c>
      <c r="BE351" s="96" t="s">
        <v>1965</v>
      </c>
    </row>
    <row r="352" spans="1:57" ht="46.5" outlineLevel="1" x14ac:dyDescent="0.25">
      <c r="A352" s="1486">
        <f>A350+1</f>
        <v>5</v>
      </c>
      <c r="B352" s="1491" t="s">
        <v>1966</v>
      </c>
      <c r="C352" s="1486" t="s">
        <v>928</v>
      </c>
      <c r="D352" s="166"/>
      <c r="E352" s="1413"/>
      <c r="F352" s="1413"/>
      <c r="G352" s="161"/>
      <c r="H352" s="1594">
        <v>41.24</v>
      </c>
      <c r="I352" s="161"/>
      <c r="J352" s="161"/>
      <c r="K352" s="1413"/>
      <c r="L352" s="1414"/>
      <c r="M352" s="1414"/>
      <c r="N352" s="1414"/>
      <c r="O352" s="1551"/>
      <c r="P352" s="320"/>
      <c r="Q352" s="1521"/>
      <c r="R352" s="1521"/>
      <c r="S352" s="1521"/>
      <c r="T352" s="1521">
        <f t="shared" si="61"/>
        <v>0</v>
      </c>
      <c r="U352" s="1521"/>
      <c r="V352" s="1521"/>
      <c r="W352" s="1595"/>
      <c r="X352" s="1595"/>
      <c r="Y352" s="1595"/>
      <c r="Z352" s="1595"/>
      <c r="AA352" s="1595"/>
      <c r="AB352" s="1595"/>
      <c r="AC352" s="1522"/>
      <c r="AD352" s="1522"/>
      <c r="AE352" s="1522"/>
      <c r="AF352" s="1522"/>
      <c r="AG352" s="1522"/>
      <c r="AH352" s="1522"/>
      <c r="AI352" s="1522"/>
      <c r="AJ352" s="320"/>
      <c r="AK352" s="161"/>
      <c r="AL352" s="161"/>
      <c r="AM352" s="161"/>
      <c r="AN352" s="1523">
        <f t="shared" si="62"/>
        <v>0</v>
      </c>
      <c r="AO352" s="161"/>
      <c r="AP352" s="161"/>
      <c r="AQ352" s="1595"/>
      <c r="AR352" s="1595"/>
      <c r="AS352" s="1595"/>
      <c r="AT352" s="1595"/>
      <c r="AU352" s="1595"/>
      <c r="AV352" s="1595"/>
      <c r="AW352" s="161"/>
      <c r="AX352" s="161"/>
      <c r="AY352" s="1636"/>
      <c r="AZ352" s="1560" t="e">
        <f>#REF!-#REF!</f>
        <v>#REF!</v>
      </c>
      <c r="BA352" s="1560">
        <f>IF(C352="Scheme",IF(SUM(AJ352:AS352)&gt;0,IF(H352&lt;#REF!,H352-#REF!,0),0),0)</f>
        <v>0</v>
      </c>
      <c r="BB352" s="1560">
        <f t="shared" si="63"/>
        <v>0</v>
      </c>
    </row>
    <row r="353" spans="1:57" ht="46.5" outlineLevel="1" x14ac:dyDescent="0.25">
      <c r="A353" s="1492"/>
      <c r="B353" s="1492" t="s">
        <v>1967</v>
      </c>
      <c r="C353" s="1492" t="s">
        <v>936</v>
      </c>
      <c r="D353" s="166"/>
      <c r="E353" s="1413"/>
      <c r="F353" s="1413"/>
      <c r="G353" s="161"/>
      <c r="H353" s="1417">
        <f>SUM(W353:AB353)</f>
        <v>5.42</v>
      </c>
      <c r="I353" s="161"/>
      <c r="J353" s="161"/>
      <c r="K353" s="1413"/>
      <c r="L353" s="1414"/>
      <c r="M353" s="1414"/>
      <c r="N353" s="1414"/>
      <c r="O353" s="1551" t="s">
        <v>2304</v>
      </c>
      <c r="P353" s="320"/>
      <c r="Q353" s="1521"/>
      <c r="R353" s="1521"/>
      <c r="S353" s="1521"/>
      <c r="T353" s="1521">
        <f t="shared" si="61"/>
        <v>0</v>
      </c>
      <c r="U353" s="1521"/>
      <c r="V353" s="1521"/>
      <c r="W353" s="1141"/>
      <c r="X353" s="1141">
        <v>5.42</v>
      </c>
      <c r="Y353" s="1141"/>
      <c r="Z353" s="1141"/>
      <c r="AA353" s="1141"/>
      <c r="AB353" s="1141"/>
      <c r="AC353" s="1522"/>
      <c r="AD353" s="1522"/>
      <c r="AE353" s="1522"/>
      <c r="AF353" s="1522"/>
      <c r="AG353" s="1522"/>
      <c r="AH353" s="1522"/>
      <c r="AI353" s="1522"/>
      <c r="AJ353" s="320"/>
      <c r="AK353" s="161"/>
      <c r="AL353" s="161"/>
      <c r="AM353" s="161"/>
      <c r="AN353" s="1523">
        <f t="shared" si="62"/>
        <v>0</v>
      </c>
      <c r="AO353" s="161"/>
      <c r="AP353" s="161"/>
      <c r="AQ353" s="1141"/>
      <c r="AR353" s="1141">
        <v>5.42</v>
      </c>
      <c r="AS353" s="1141"/>
      <c r="AT353" s="1141"/>
      <c r="AU353" s="1141"/>
      <c r="AV353" s="1141"/>
      <c r="AW353" s="161"/>
      <c r="AX353" s="161"/>
      <c r="AY353" s="1636"/>
      <c r="AZ353" s="1560" t="e">
        <f>#REF!-#REF!</f>
        <v>#REF!</v>
      </c>
      <c r="BA353" s="1560" t="e">
        <f>IF(C353="Scheme",IF(SUM(AJ353:AS353)&gt;0,IF(H353&lt;#REF!,H353-#REF!,0),0),0)</f>
        <v>#REF!</v>
      </c>
      <c r="BB353" s="1560">
        <f t="shared" si="63"/>
        <v>-5.42</v>
      </c>
      <c r="BC353" s="96" t="s">
        <v>256</v>
      </c>
      <c r="BD353" s="96" t="s">
        <v>1931</v>
      </c>
      <c r="BE353" s="96" t="s">
        <v>1968</v>
      </c>
    </row>
    <row r="354" spans="1:57" ht="31" outlineLevel="1" x14ac:dyDescent="0.25">
      <c r="A354" s="1492"/>
      <c r="B354" s="1492" t="s">
        <v>1969</v>
      </c>
      <c r="C354" s="1492" t="s">
        <v>936</v>
      </c>
      <c r="D354" s="166"/>
      <c r="E354" s="1413"/>
      <c r="F354" s="1413"/>
      <c r="G354" s="161"/>
      <c r="H354" s="1417">
        <f>SUM(W354:AB354)</f>
        <v>35.82</v>
      </c>
      <c r="I354" s="161"/>
      <c r="J354" s="161"/>
      <c r="K354" s="1413"/>
      <c r="L354" s="1414"/>
      <c r="M354" s="1414"/>
      <c r="N354" s="1414"/>
      <c r="O354" s="1551" t="s">
        <v>2304</v>
      </c>
      <c r="P354" s="320"/>
      <c r="Q354" s="1521"/>
      <c r="R354" s="1521"/>
      <c r="S354" s="1521"/>
      <c r="T354" s="1521">
        <f t="shared" si="61"/>
        <v>0</v>
      </c>
      <c r="U354" s="1521"/>
      <c r="V354" s="1521"/>
      <c r="W354" s="1141"/>
      <c r="X354" s="1141">
        <v>35.82</v>
      </c>
      <c r="Y354" s="1141"/>
      <c r="Z354" s="1141"/>
      <c r="AA354" s="1141"/>
      <c r="AB354" s="1141"/>
      <c r="AC354" s="1522"/>
      <c r="AD354" s="1522"/>
      <c r="AE354" s="1522"/>
      <c r="AF354" s="1522"/>
      <c r="AG354" s="1522"/>
      <c r="AH354" s="1522"/>
      <c r="AI354" s="1522"/>
      <c r="AJ354" s="320"/>
      <c r="AK354" s="161"/>
      <c r="AL354" s="161"/>
      <c r="AM354" s="161"/>
      <c r="AN354" s="1523">
        <f t="shared" si="62"/>
        <v>0</v>
      </c>
      <c r="AO354" s="161"/>
      <c r="AP354" s="161"/>
      <c r="AQ354" s="1141"/>
      <c r="AR354" s="1141">
        <v>35.82</v>
      </c>
      <c r="AS354" s="1141"/>
      <c r="AT354" s="1141"/>
      <c r="AU354" s="1141"/>
      <c r="AV354" s="1141"/>
      <c r="AW354" s="161"/>
      <c r="AX354" s="161"/>
      <c r="AY354" s="1636"/>
      <c r="AZ354" s="1560" t="e">
        <f>#REF!-#REF!</f>
        <v>#REF!</v>
      </c>
      <c r="BA354" s="1560" t="e">
        <f>IF(C354="Scheme",IF(SUM(AJ354:AS354)&gt;0,IF(H354&lt;#REF!,H354-#REF!,0),0),0)</f>
        <v>#REF!</v>
      </c>
      <c r="BB354" s="1560">
        <f t="shared" si="63"/>
        <v>-35.82</v>
      </c>
      <c r="BC354" s="96" t="s">
        <v>256</v>
      </c>
      <c r="BD354" s="96" t="s">
        <v>1931</v>
      </c>
      <c r="BE354" s="96" t="s">
        <v>1968</v>
      </c>
    </row>
    <row r="355" spans="1:57" ht="31" outlineLevel="1" x14ac:dyDescent="0.25">
      <c r="A355" s="1486">
        <f>A352+1</f>
        <v>6</v>
      </c>
      <c r="B355" s="1491" t="s">
        <v>1970</v>
      </c>
      <c r="C355" s="1486" t="s">
        <v>928</v>
      </c>
      <c r="D355" s="166"/>
      <c r="E355" s="1413"/>
      <c r="F355" s="1413"/>
      <c r="G355" s="161"/>
      <c r="H355" s="1594">
        <v>33.47</v>
      </c>
      <c r="I355" s="161"/>
      <c r="J355" s="161"/>
      <c r="K355" s="1413"/>
      <c r="L355" s="1414"/>
      <c r="M355" s="1414"/>
      <c r="N355" s="1414"/>
      <c r="O355" s="1551"/>
      <c r="P355" s="320"/>
      <c r="Q355" s="1521"/>
      <c r="R355" s="1521"/>
      <c r="S355" s="1521"/>
      <c r="T355" s="1521">
        <f t="shared" si="61"/>
        <v>0</v>
      </c>
      <c r="U355" s="1521"/>
      <c r="V355" s="1521"/>
      <c r="W355" s="1521"/>
      <c r="X355" s="1521"/>
      <c r="Y355" s="1521"/>
      <c r="Z355" s="1521"/>
      <c r="AA355" s="1521"/>
      <c r="AB355" s="1521"/>
      <c r="AC355" s="1522"/>
      <c r="AD355" s="1522"/>
      <c r="AE355" s="1522"/>
      <c r="AF355" s="1522"/>
      <c r="AG355" s="1522"/>
      <c r="AH355" s="1522"/>
      <c r="AI355" s="1522"/>
      <c r="AJ355" s="320"/>
      <c r="AK355" s="161"/>
      <c r="AL355" s="161"/>
      <c r="AM355" s="161"/>
      <c r="AN355" s="1523">
        <f t="shared" si="62"/>
        <v>0</v>
      </c>
      <c r="AO355" s="161"/>
      <c r="AP355" s="161"/>
      <c r="AQ355" s="1521"/>
      <c r="AR355" s="1521"/>
      <c r="AS355" s="1521"/>
      <c r="AT355" s="1521"/>
      <c r="AU355" s="1521"/>
      <c r="AV355" s="1521"/>
      <c r="AW355" s="161"/>
      <c r="AX355" s="161"/>
      <c r="AY355" s="1636"/>
      <c r="AZ355" s="1560" t="e">
        <f>#REF!-#REF!</f>
        <v>#REF!</v>
      </c>
      <c r="BA355" s="1560">
        <f>IF(C355="Scheme",IF(SUM(AJ355:AS355)&gt;0,IF(H355&lt;#REF!,H355-#REF!,0),0),0)</f>
        <v>0</v>
      </c>
      <c r="BB355" s="1560">
        <f t="shared" si="63"/>
        <v>0</v>
      </c>
    </row>
    <row r="356" spans="1:57" ht="31" outlineLevel="1" x14ac:dyDescent="0.25">
      <c r="A356" s="1492"/>
      <c r="B356" s="1492" t="s">
        <v>1970</v>
      </c>
      <c r="C356" s="1492" t="s">
        <v>936</v>
      </c>
      <c r="D356" s="166"/>
      <c r="E356" s="1413"/>
      <c r="F356" s="1413"/>
      <c r="G356" s="161"/>
      <c r="H356" s="1417">
        <f>SUM(W356:AB356)</f>
        <v>33.47</v>
      </c>
      <c r="I356" s="161"/>
      <c r="J356" s="161"/>
      <c r="K356" s="1413"/>
      <c r="L356" s="1414"/>
      <c r="M356" s="1414"/>
      <c r="N356" s="1414"/>
      <c r="O356" s="1551"/>
      <c r="P356" s="320"/>
      <c r="Q356" s="1521"/>
      <c r="R356" s="1521"/>
      <c r="S356" s="1521"/>
      <c r="T356" s="1521">
        <f t="shared" si="61"/>
        <v>0</v>
      </c>
      <c r="U356" s="1521"/>
      <c r="V356" s="1521"/>
      <c r="W356" s="1521"/>
      <c r="X356" s="1521">
        <v>5</v>
      </c>
      <c r="Y356" s="1521">
        <v>28.47</v>
      </c>
      <c r="Z356" s="1521"/>
      <c r="AA356" s="1521"/>
      <c r="AB356" s="1521"/>
      <c r="AC356" s="1522"/>
      <c r="AD356" s="1522"/>
      <c r="AE356" s="1522"/>
      <c r="AF356" s="1522"/>
      <c r="AG356" s="1522"/>
      <c r="AH356" s="1522"/>
      <c r="AI356" s="1522"/>
      <c r="AJ356" s="320"/>
      <c r="AK356" s="161"/>
      <c r="AL356" s="161"/>
      <c r="AM356" s="161"/>
      <c r="AN356" s="1523">
        <f t="shared" si="62"/>
        <v>0</v>
      </c>
      <c r="AO356" s="161"/>
      <c r="AP356" s="161"/>
      <c r="AQ356" s="1521"/>
      <c r="AR356" s="1521">
        <v>5</v>
      </c>
      <c r="AS356" s="1521">
        <v>28.47</v>
      </c>
      <c r="AT356" s="1521"/>
      <c r="AU356" s="1521"/>
      <c r="AV356" s="1521"/>
      <c r="AW356" s="161"/>
      <c r="AX356" s="161"/>
      <c r="AY356" s="1636"/>
      <c r="AZ356" s="1560" t="e">
        <f>#REF!-#REF!</f>
        <v>#REF!</v>
      </c>
      <c r="BA356" s="1560" t="e">
        <f>IF(C356="Scheme",IF(SUM(AJ356:AS356)&gt;0,IF(H356&lt;#REF!,H356-#REF!,0),0),0)</f>
        <v>#REF!</v>
      </c>
      <c r="BB356" s="1560">
        <f t="shared" si="63"/>
        <v>-33.47</v>
      </c>
      <c r="BC356" s="96" t="s">
        <v>256</v>
      </c>
      <c r="BD356" s="96" t="s">
        <v>1931</v>
      </c>
      <c r="BE356" s="96" t="s">
        <v>1968</v>
      </c>
    </row>
    <row r="357" spans="1:57" ht="62" outlineLevel="1" x14ac:dyDescent="0.25">
      <c r="A357" s="1486">
        <f>A355+1</f>
        <v>7</v>
      </c>
      <c r="B357" s="1491" t="s">
        <v>1971</v>
      </c>
      <c r="C357" s="1486" t="s">
        <v>928</v>
      </c>
      <c r="D357" s="166"/>
      <c r="E357" s="1413"/>
      <c r="F357" s="1413"/>
      <c r="G357" s="161"/>
      <c r="H357" s="1594">
        <v>71.5</v>
      </c>
      <c r="I357" s="161"/>
      <c r="J357" s="161"/>
      <c r="K357" s="1413"/>
      <c r="L357" s="1414"/>
      <c r="M357" s="1414"/>
      <c r="N357" s="1414"/>
      <c r="O357" s="1551"/>
      <c r="P357" s="320"/>
      <c r="Q357" s="1521"/>
      <c r="R357" s="1521"/>
      <c r="S357" s="1521"/>
      <c r="T357" s="1521">
        <f t="shared" si="61"/>
        <v>0</v>
      </c>
      <c r="U357" s="1521"/>
      <c r="V357" s="1521"/>
      <c r="W357" s="1521"/>
      <c r="X357" s="1521"/>
      <c r="Y357" s="1521"/>
      <c r="Z357" s="1521"/>
      <c r="AA357" s="1521"/>
      <c r="AB357" s="1521"/>
      <c r="AC357" s="1522"/>
      <c r="AD357" s="1522"/>
      <c r="AE357" s="1522"/>
      <c r="AF357" s="1522"/>
      <c r="AG357" s="1522"/>
      <c r="AH357" s="1522"/>
      <c r="AI357" s="1522"/>
      <c r="AJ357" s="320"/>
      <c r="AK357" s="161"/>
      <c r="AL357" s="161"/>
      <c r="AM357" s="161"/>
      <c r="AN357" s="1523">
        <f t="shared" si="62"/>
        <v>0</v>
      </c>
      <c r="AO357" s="161"/>
      <c r="AP357" s="161"/>
      <c r="AQ357" s="1521"/>
      <c r="AR357" s="1521"/>
      <c r="AS357" s="1521"/>
      <c r="AT357" s="1521"/>
      <c r="AU357" s="1521"/>
      <c r="AV357" s="1521"/>
      <c r="AW357" s="161"/>
      <c r="AX357" s="161"/>
      <c r="AY357" s="1636"/>
      <c r="AZ357" s="1560" t="e">
        <f>#REF!-#REF!</f>
        <v>#REF!</v>
      </c>
      <c r="BA357" s="1560">
        <f>IF(C357="Scheme",IF(SUM(AJ357:AS357)&gt;0,IF(H357&lt;#REF!,H357-#REF!,0),0),0)</f>
        <v>0</v>
      </c>
      <c r="BB357" s="1560">
        <f t="shared" si="63"/>
        <v>0</v>
      </c>
    </row>
    <row r="358" spans="1:57" ht="62" outlineLevel="1" x14ac:dyDescent="0.25">
      <c r="A358" s="1492"/>
      <c r="B358" s="1492" t="s">
        <v>1971</v>
      </c>
      <c r="C358" s="1492" t="s">
        <v>936</v>
      </c>
      <c r="D358" s="166"/>
      <c r="E358" s="1413"/>
      <c r="F358" s="1413"/>
      <c r="G358" s="161"/>
      <c r="H358" s="1417">
        <f>SUM(W358:AB358)</f>
        <v>71.5</v>
      </c>
      <c r="I358" s="161"/>
      <c r="J358" s="161"/>
      <c r="K358" s="1413"/>
      <c r="L358" s="1414"/>
      <c r="M358" s="1414"/>
      <c r="N358" s="1414"/>
      <c r="O358" s="1551" t="s">
        <v>2304</v>
      </c>
      <c r="P358" s="320"/>
      <c r="Q358" s="1521"/>
      <c r="R358" s="1521"/>
      <c r="S358" s="1521"/>
      <c r="T358" s="1521">
        <f t="shared" si="61"/>
        <v>0</v>
      </c>
      <c r="U358" s="1521"/>
      <c r="V358" s="1521"/>
      <c r="W358" s="1521"/>
      <c r="X358" s="1521">
        <v>15.5</v>
      </c>
      <c r="Y358" s="1521">
        <v>56</v>
      </c>
      <c r="Z358" s="1521"/>
      <c r="AA358" s="1521"/>
      <c r="AB358" s="1521"/>
      <c r="AC358" s="1522"/>
      <c r="AD358" s="1522"/>
      <c r="AE358" s="1522"/>
      <c r="AF358" s="1522"/>
      <c r="AG358" s="1522"/>
      <c r="AH358" s="1522"/>
      <c r="AI358" s="1522"/>
      <c r="AJ358" s="320"/>
      <c r="AK358" s="161"/>
      <c r="AL358" s="161"/>
      <c r="AM358" s="161"/>
      <c r="AN358" s="1523">
        <f t="shared" si="62"/>
        <v>0</v>
      </c>
      <c r="AO358" s="161"/>
      <c r="AP358" s="161"/>
      <c r="AQ358" s="1521"/>
      <c r="AR358" s="1521">
        <v>15.5</v>
      </c>
      <c r="AS358" s="1521">
        <v>56</v>
      </c>
      <c r="AT358" s="1521"/>
      <c r="AU358" s="1521"/>
      <c r="AV358" s="1521"/>
      <c r="AW358" s="161"/>
      <c r="AX358" s="161"/>
      <c r="AY358" s="1636"/>
      <c r="AZ358" s="1560" t="e">
        <f>#REF!-#REF!</f>
        <v>#REF!</v>
      </c>
      <c r="BA358" s="1560" t="e">
        <f>IF(C358="Scheme",IF(SUM(AJ358:AS358)&gt;0,IF(H358&lt;#REF!,H358-#REF!,0),0),0)</f>
        <v>#REF!</v>
      </c>
      <c r="BB358" s="1560">
        <f t="shared" si="63"/>
        <v>-71.5</v>
      </c>
      <c r="BC358" s="96" t="s">
        <v>256</v>
      </c>
      <c r="BD358" s="96" t="s">
        <v>1931</v>
      </c>
      <c r="BE358" s="96" t="s">
        <v>1968</v>
      </c>
    </row>
    <row r="359" spans="1:57" ht="17.5" outlineLevel="1" x14ac:dyDescent="0.25">
      <c r="A359" s="1504"/>
      <c r="B359" s="1504" t="s">
        <v>1972</v>
      </c>
      <c r="C359" s="1504"/>
      <c r="D359" s="166"/>
      <c r="E359" s="1413"/>
      <c r="F359" s="1413"/>
      <c r="G359" s="161"/>
      <c r="H359" s="1418"/>
      <c r="I359" s="161"/>
      <c r="J359" s="161"/>
      <c r="K359" s="1413"/>
      <c r="L359" s="1414"/>
      <c r="M359" s="1414"/>
      <c r="N359" s="1414"/>
      <c r="O359" s="1551"/>
      <c r="P359" s="320"/>
      <c r="Q359" s="1521"/>
      <c r="R359" s="1521"/>
      <c r="S359" s="1521"/>
      <c r="T359" s="1521">
        <f t="shared" si="61"/>
        <v>0</v>
      </c>
      <c r="U359" s="1521"/>
      <c r="V359" s="1521"/>
      <c r="W359" s="1521"/>
      <c r="X359" s="1521"/>
      <c r="Y359" s="1521"/>
      <c r="Z359" s="1521"/>
      <c r="AA359" s="1521"/>
      <c r="AB359" s="1521"/>
      <c r="AC359" s="1522"/>
      <c r="AD359" s="1522"/>
      <c r="AE359" s="1522"/>
      <c r="AF359" s="1522"/>
      <c r="AG359" s="1522"/>
      <c r="AH359" s="1522"/>
      <c r="AI359" s="1522"/>
      <c r="AJ359" s="320"/>
      <c r="AK359" s="161"/>
      <c r="AL359" s="161"/>
      <c r="AM359" s="161"/>
      <c r="AN359" s="1523">
        <f t="shared" si="62"/>
        <v>0</v>
      </c>
      <c r="AO359" s="161"/>
      <c r="AP359" s="161"/>
      <c r="AQ359" s="1521"/>
      <c r="AR359" s="1521"/>
      <c r="AS359" s="1521"/>
      <c r="AT359" s="1521"/>
      <c r="AU359" s="1521"/>
      <c r="AV359" s="1521"/>
      <c r="AW359" s="161"/>
      <c r="AX359" s="161"/>
      <c r="AY359" s="1636"/>
      <c r="AZ359" s="1560" t="e">
        <f>#REF!-#REF!</f>
        <v>#REF!</v>
      </c>
      <c r="BA359" s="1560">
        <f>IF(C359="Scheme",IF(SUM(AJ359:AS359)&gt;0,IF(H359&lt;#REF!,H359-#REF!,0),0),0)</f>
        <v>0</v>
      </c>
      <c r="BB359" s="1560">
        <f t="shared" si="63"/>
        <v>0</v>
      </c>
    </row>
    <row r="360" spans="1:57" ht="15.5" outlineLevel="1" x14ac:dyDescent="0.25">
      <c r="A360" s="1486">
        <v>1</v>
      </c>
      <c r="B360" s="1491" t="s">
        <v>1973</v>
      </c>
      <c r="C360" s="1486" t="s">
        <v>928</v>
      </c>
      <c r="D360" s="166"/>
      <c r="E360" s="1413"/>
      <c r="F360" s="1413"/>
      <c r="G360" s="161"/>
      <c r="H360" s="1594">
        <v>54.74</v>
      </c>
      <c r="I360" s="161"/>
      <c r="J360" s="161"/>
      <c r="K360" s="1413"/>
      <c r="L360" s="1414"/>
      <c r="M360" s="1414"/>
      <c r="N360" s="1414"/>
      <c r="O360" s="1551"/>
      <c r="P360" s="320"/>
      <c r="Q360" s="1521"/>
      <c r="R360" s="1521"/>
      <c r="S360" s="1521"/>
      <c r="T360" s="1521">
        <f t="shared" si="61"/>
        <v>0</v>
      </c>
      <c r="U360" s="1521"/>
      <c r="V360" s="1521"/>
      <c r="W360" s="1521"/>
      <c r="X360" s="1521"/>
      <c r="Y360" s="1521"/>
      <c r="Z360" s="1521"/>
      <c r="AA360" s="1521"/>
      <c r="AB360" s="1521"/>
      <c r="AC360" s="1522"/>
      <c r="AD360" s="1522"/>
      <c r="AE360" s="1522"/>
      <c r="AF360" s="1522"/>
      <c r="AG360" s="1522"/>
      <c r="AH360" s="1522"/>
      <c r="AI360" s="1522"/>
      <c r="AJ360" s="320"/>
      <c r="AK360" s="161"/>
      <c r="AL360" s="161"/>
      <c r="AM360" s="161"/>
      <c r="AN360" s="1523">
        <f t="shared" si="62"/>
        <v>0</v>
      </c>
      <c r="AO360" s="161"/>
      <c r="AP360" s="161"/>
      <c r="AQ360" s="1521"/>
      <c r="AR360" s="1521"/>
      <c r="AS360" s="1521"/>
      <c r="AT360" s="1521"/>
      <c r="AU360" s="1521"/>
      <c r="AV360" s="1521"/>
      <c r="AW360" s="161"/>
      <c r="AX360" s="161"/>
      <c r="AY360" s="1636"/>
      <c r="AZ360" s="1560" t="e">
        <f>#REF!-#REF!</f>
        <v>#REF!</v>
      </c>
      <c r="BA360" s="1560">
        <f>IF(C360="Scheme",IF(SUM(AJ360:AS360)&gt;0,IF(H360&lt;#REF!,H360-#REF!,0),0),0)</f>
        <v>0</v>
      </c>
      <c r="BB360" s="1560">
        <f t="shared" si="63"/>
        <v>0</v>
      </c>
    </row>
    <row r="361" spans="1:57" ht="280" outlineLevel="1" x14ac:dyDescent="0.25">
      <c r="A361" s="1492"/>
      <c r="B361" s="1492" t="s">
        <v>1974</v>
      </c>
      <c r="C361" s="1492" t="s">
        <v>936</v>
      </c>
      <c r="D361" s="166"/>
      <c r="E361" s="1413"/>
      <c r="F361" s="1413"/>
      <c r="G361" s="161"/>
      <c r="H361" s="1417">
        <f>SUM(W361:AB361)</f>
        <v>18.739999999999998</v>
      </c>
      <c r="I361" s="161"/>
      <c r="J361" s="161"/>
      <c r="K361" s="1413"/>
      <c r="L361" s="1414"/>
      <c r="M361" s="1414"/>
      <c r="N361" s="1414"/>
      <c r="O361" s="1551" t="s">
        <v>2305</v>
      </c>
      <c r="P361" s="320"/>
      <c r="Q361" s="1521"/>
      <c r="R361" s="1521"/>
      <c r="S361" s="1521"/>
      <c r="T361" s="1521">
        <f t="shared" si="61"/>
        <v>0</v>
      </c>
      <c r="U361" s="1521"/>
      <c r="V361" s="1521"/>
      <c r="W361" s="1521"/>
      <c r="X361" s="1595">
        <v>18.739999999999998</v>
      </c>
      <c r="Y361" s="1595"/>
      <c r="Z361" s="1595"/>
      <c r="AA361" s="1521"/>
      <c r="AB361" s="1521"/>
      <c r="AC361" s="1522"/>
      <c r="AD361" s="1522"/>
      <c r="AE361" s="1522"/>
      <c r="AF361" s="1522"/>
      <c r="AG361" s="1522"/>
      <c r="AH361" s="1522"/>
      <c r="AI361" s="1522"/>
      <c r="AJ361" s="320"/>
      <c r="AK361" s="161"/>
      <c r="AL361" s="161"/>
      <c r="AM361" s="161"/>
      <c r="AN361" s="1523">
        <f t="shared" si="62"/>
        <v>0</v>
      </c>
      <c r="AO361" s="161"/>
      <c r="AP361" s="161"/>
      <c r="AQ361" s="1521"/>
      <c r="AR361" s="1595">
        <v>18.739999999999998</v>
      </c>
      <c r="AS361" s="1595"/>
      <c r="AT361" s="1595"/>
      <c r="AU361" s="1521"/>
      <c r="AV361" s="1521"/>
      <c r="AW361" s="161"/>
      <c r="AX361" s="161"/>
      <c r="AY361" s="1636"/>
      <c r="AZ361" s="1560" t="e">
        <f>#REF!-#REF!</f>
        <v>#REF!</v>
      </c>
      <c r="BA361" s="1560" t="e">
        <f>IF(C361="Scheme",IF(SUM(AJ361:AS361)&gt;0,IF(H361&lt;#REF!,H361-#REF!,0),0),0)</f>
        <v>#REF!</v>
      </c>
      <c r="BB361" s="1560">
        <f t="shared" si="63"/>
        <v>-18.739999999999998</v>
      </c>
      <c r="BC361" s="96" t="s">
        <v>256</v>
      </c>
      <c r="BD361" s="96" t="s">
        <v>1931</v>
      </c>
      <c r="BE361" s="96" t="s">
        <v>1975</v>
      </c>
    </row>
    <row r="362" spans="1:57" ht="150" customHeight="1" outlineLevel="1" x14ac:dyDescent="0.25">
      <c r="A362" s="1492"/>
      <c r="B362" s="1492" t="s">
        <v>1976</v>
      </c>
      <c r="C362" s="1492" t="s">
        <v>936</v>
      </c>
      <c r="D362" s="166"/>
      <c r="E362" s="1413"/>
      <c r="F362" s="1413"/>
      <c r="G362" s="161"/>
      <c r="H362" s="1417">
        <f>SUM(W362:AB362)</f>
        <v>36</v>
      </c>
      <c r="I362" s="161"/>
      <c r="J362" s="161"/>
      <c r="K362" s="1413"/>
      <c r="L362" s="1414"/>
      <c r="M362" s="1414"/>
      <c r="N362" s="1414"/>
      <c r="O362" s="1551" t="s">
        <v>2306</v>
      </c>
      <c r="P362" s="320"/>
      <c r="Q362" s="1521"/>
      <c r="R362" s="1521"/>
      <c r="S362" s="1521"/>
      <c r="T362" s="1521">
        <f t="shared" si="61"/>
        <v>0</v>
      </c>
      <c r="U362" s="1521"/>
      <c r="V362" s="1521"/>
      <c r="W362" s="1521"/>
      <c r="X362" s="1595">
        <v>12</v>
      </c>
      <c r="Y362" s="1595">
        <v>12</v>
      </c>
      <c r="Z362" s="1595">
        <v>12</v>
      </c>
      <c r="AA362" s="1521"/>
      <c r="AB362" s="1521"/>
      <c r="AC362" s="1522"/>
      <c r="AD362" s="1522"/>
      <c r="AE362" s="1522"/>
      <c r="AF362" s="1522"/>
      <c r="AG362" s="1522"/>
      <c r="AH362" s="1522"/>
      <c r="AI362" s="1522"/>
      <c r="AJ362" s="320"/>
      <c r="AK362" s="161"/>
      <c r="AL362" s="161"/>
      <c r="AM362" s="161"/>
      <c r="AN362" s="1523">
        <f t="shared" si="62"/>
        <v>0</v>
      </c>
      <c r="AO362" s="161"/>
      <c r="AP362" s="161"/>
      <c r="AQ362" s="1521"/>
      <c r="AR362" s="1595">
        <v>12</v>
      </c>
      <c r="AS362" s="1595">
        <v>12</v>
      </c>
      <c r="AT362" s="1595">
        <v>12</v>
      </c>
      <c r="AU362" s="1521"/>
      <c r="AV362" s="1521"/>
      <c r="AW362" s="161"/>
      <c r="AX362" s="161"/>
      <c r="AY362" s="1636"/>
      <c r="AZ362" s="1560" t="e">
        <f>#REF!-#REF!</f>
        <v>#REF!</v>
      </c>
      <c r="BA362" s="1560" t="e">
        <f>IF(C362="Scheme",IF(SUM(AJ362:AS362)&gt;0,IF(H362&lt;#REF!,H362-#REF!,0),0),0)</f>
        <v>#REF!</v>
      </c>
      <c r="BB362" s="1560">
        <f t="shared" si="63"/>
        <v>-24</v>
      </c>
      <c r="BC362" s="96" t="s">
        <v>256</v>
      </c>
      <c r="BD362" s="96" t="s">
        <v>1931</v>
      </c>
      <c r="BE362" s="96" t="s">
        <v>1975</v>
      </c>
    </row>
    <row r="363" spans="1:57" ht="15.5" outlineLevel="1" x14ac:dyDescent="0.25">
      <c r="A363" s="1486">
        <v>2</v>
      </c>
      <c r="B363" s="1491" t="s">
        <v>1977</v>
      </c>
      <c r="C363" s="1486" t="s">
        <v>928</v>
      </c>
      <c r="D363" s="1488"/>
      <c r="E363" s="1495"/>
      <c r="F363" s="1413"/>
      <c r="G363" s="618"/>
      <c r="H363" s="1594">
        <v>28.94</v>
      </c>
      <c r="I363" s="161"/>
      <c r="J363" s="161"/>
      <c r="K363" s="1413"/>
      <c r="L363" s="1414"/>
      <c r="M363" s="1414"/>
      <c r="N363" s="1414"/>
      <c r="O363" s="1551"/>
      <c r="P363" s="1521"/>
      <c r="Q363" s="320"/>
      <c r="R363" s="320"/>
      <c r="S363" s="320"/>
      <c r="T363" s="320">
        <f t="shared" si="61"/>
        <v>0</v>
      </c>
      <c r="U363" s="320"/>
      <c r="V363" s="320"/>
      <c r="W363" s="1521"/>
      <c r="X363" s="1521"/>
      <c r="Y363" s="1521"/>
      <c r="Z363" s="1521"/>
      <c r="AA363" s="1521"/>
      <c r="AB363" s="1521"/>
      <c r="AC363" s="1521"/>
      <c r="AD363" s="1521"/>
      <c r="AE363" s="1521"/>
      <c r="AF363" s="1521"/>
      <c r="AG363" s="1521"/>
      <c r="AH363" s="1521"/>
      <c r="AI363" s="1521"/>
      <c r="AJ363" s="320"/>
      <c r="AK363" s="320"/>
      <c r="AL363" s="320"/>
      <c r="AM363" s="320"/>
      <c r="AN363" s="1523">
        <f t="shared" si="62"/>
        <v>0</v>
      </c>
      <c r="AO363" s="320"/>
      <c r="AP363" s="320"/>
      <c r="AQ363" s="1521"/>
      <c r="AR363" s="1521"/>
      <c r="AS363" s="1521"/>
      <c r="AT363" s="1521"/>
      <c r="AU363" s="1521"/>
      <c r="AV363" s="1521"/>
      <c r="AW363" s="320"/>
      <c r="AX363" s="161"/>
      <c r="AY363" s="1540"/>
      <c r="AZ363" s="1560" t="e">
        <f>#REF!-#REF!</f>
        <v>#REF!</v>
      </c>
      <c r="BA363" s="1560">
        <f>IF(C363="Scheme",IF(SUM(AJ363:AS363)&gt;0,IF(H363&lt;#REF!,H363-#REF!,0),0),0)</f>
        <v>0</v>
      </c>
      <c r="BB363" s="1560">
        <f t="shared" si="63"/>
        <v>0</v>
      </c>
    </row>
    <row r="364" spans="1:57" ht="98" outlineLevel="1" x14ac:dyDescent="0.25">
      <c r="A364" s="1492"/>
      <c r="B364" s="1492" t="s">
        <v>1978</v>
      </c>
      <c r="C364" s="1492" t="s">
        <v>936</v>
      </c>
      <c r="D364" s="1488"/>
      <c r="E364" s="1495"/>
      <c r="F364" s="1413"/>
      <c r="G364" s="618"/>
      <c r="H364" s="1417">
        <f>SUM(W364:AB364)</f>
        <v>4.9400000000000004</v>
      </c>
      <c r="I364" s="161"/>
      <c r="J364" s="161"/>
      <c r="K364" s="1413"/>
      <c r="L364" s="1414"/>
      <c r="M364" s="1414"/>
      <c r="N364" s="1414"/>
      <c r="O364" s="1551" t="s">
        <v>2280</v>
      </c>
      <c r="P364" s="1521"/>
      <c r="Q364" s="320"/>
      <c r="R364" s="320"/>
      <c r="S364" s="320"/>
      <c r="T364" s="320">
        <f t="shared" si="61"/>
        <v>0</v>
      </c>
      <c r="U364" s="320"/>
      <c r="V364" s="320"/>
      <c r="W364" s="1521"/>
      <c r="X364" s="1595">
        <v>4.9400000000000004</v>
      </c>
      <c r="Y364" s="1595"/>
      <c r="Z364" s="1521"/>
      <c r="AA364" s="1521"/>
      <c r="AB364" s="1521"/>
      <c r="AC364" s="1521"/>
      <c r="AD364" s="1521"/>
      <c r="AE364" s="1521"/>
      <c r="AF364" s="1521"/>
      <c r="AG364" s="1521"/>
      <c r="AH364" s="1521"/>
      <c r="AI364" s="1521"/>
      <c r="AJ364" s="320"/>
      <c r="AK364" s="320"/>
      <c r="AL364" s="320"/>
      <c r="AM364" s="320"/>
      <c r="AN364" s="1523">
        <f t="shared" si="62"/>
        <v>0</v>
      </c>
      <c r="AO364" s="320"/>
      <c r="AP364" s="320"/>
      <c r="AQ364" s="1521"/>
      <c r="AR364" s="1595">
        <v>4.9400000000000004</v>
      </c>
      <c r="AS364" s="1595"/>
      <c r="AT364" s="1521"/>
      <c r="AU364" s="1521"/>
      <c r="AV364" s="1521"/>
      <c r="AW364" s="320"/>
      <c r="AX364" s="161"/>
      <c r="AY364" s="1540"/>
      <c r="AZ364" s="1560" t="e">
        <f>#REF!-#REF!</f>
        <v>#REF!</v>
      </c>
      <c r="BA364" s="1560" t="e">
        <f>IF(C364="Scheme",IF(SUM(AJ364:AS364)&gt;0,IF(H364&lt;#REF!,H364-#REF!,0),0),0)</f>
        <v>#REF!</v>
      </c>
      <c r="BB364" s="1560">
        <f t="shared" si="63"/>
        <v>-4.9400000000000004</v>
      </c>
      <c r="BC364" s="96" t="s">
        <v>256</v>
      </c>
      <c r="BD364" s="96" t="s">
        <v>1931</v>
      </c>
      <c r="BE364" s="96" t="s">
        <v>1975</v>
      </c>
    </row>
    <row r="365" spans="1:57" ht="165" customHeight="1" outlineLevel="1" x14ac:dyDescent="0.25">
      <c r="A365" s="1492"/>
      <c r="B365" s="1492" t="s">
        <v>1979</v>
      </c>
      <c r="C365" s="1492" t="s">
        <v>936</v>
      </c>
      <c r="D365" s="1488"/>
      <c r="E365" s="1495"/>
      <c r="F365" s="1413"/>
      <c r="G365" s="618"/>
      <c r="H365" s="1417">
        <f>SUM(W365:AB365)</f>
        <v>24</v>
      </c>
      <c r="I365" s="161"/>
      <c r="J365" s="161"/>
      <c r="K365" s="1413"/>
      <c r="L365" s="1414"/>
      <c r="M365" s="1414"/>
      <c r="N365" s="1414"/>
      <c r="O365" s="1551" t="s">
        <v>2307</v>
      </c>
      <c r="P365" s="1521"/>
      <c r="Q365" s="320"/>
      <c r="R365" s="320"/>
      <c r="S365" s="320"/>
      <c r="T365" s="320">
        <f t="shared" si="61"/>
        <v>0</v>
      </c>
      <c r="U365" s="320"/>
      <c r="V365" s="320"/>
      <c r="W365" s="1521"/>
      <c r="X365" s="1595"/>
      <c r="Y365" s="1595">
        <v>24</v>
      </c>
      <c r="Z365" s="1521"/>
      <c r="AA365" s="1521"/>
      <c r="AB365" s="1521"/>
      <c r="AC365" s="1521"/>
      <c r="AD365" s="1521"/>
      <c r="AE365" s="1521"/>
      <c r="AF365" s="1521"/>
      <c r="AG365" s="1521"/>
      <c r="AH365" s="1521"/>
      <c r="AI365" s="1521"/>
      <c r="AJ365" s="320"/>
      <c r="AK365" s="320"/>
      <c r="AL365" s="320"/>
      <c r="AM365" s="320"/>
      <c r="AN365" s="1523">
        <f t="shared" si="62"/>
        <v>0</v>
      </c>
      <c r="AO365" s="320"/>
      <c r="AP365" s="320"/>
      <c r="AQ365" s="1521"/>
      <c r="AR365" s="1595"/>
      <c r="AS365" s="1595">
        <v>24</v>
      </c>
      <c r="AT365" s="1521"/>
      <c r="AU365" s="1521"/>
      <c r="AV365" s="1521"/>
      <c r="AW365" s="320"/>
      <c r="AX365" s="161"/>
      <c r="AY365" s="1540"/>
      <c r="AZ365" s="1560" t="e">
        <f>#REF!-#REF!</f>
        <v>#REF!</v>
      </c>
      <c r="BA365" s="1560" t="e">
        <f>IF(C365="Scheme",IF(SUM(AJ365:AS365)&gt;0,IF(H365&lt;#REF!,H365-#REF!,0),0),0)</f>
        <v>#REF!</v>
      </c>
      <c r="BB365" s="1560">
        <f t="shared" si="63"/>
        <v>-24</v>
      </c>
      <c r="BC365" s="96" t="s">
        <v>256</v>
      </c>
      <c r="BD365" s="96" t="s">
        <v>1931</v>
      </c>
      <c r="BE365" s="96" t="s">
        <v>1975</v>
      </c>
    </row>
    <row r="366" spans="1:57" ht="15.5" outlineLevel="1" x14ac:dyDescent="0.25">
      <c r="A366" s="1486">
        <v>3</v>
      </c>
      <c r="B366" s="1491" t="s">
        <v>1980</v>
      </c>
      <c r="C366" s="1486" t="s">
        <v>928</v>
      </c>
      <c r="D366" s="1488"/>
      <c r="E366" s="1495"/>
      <c r="F366" s="1413"/>
      <c r="G366" s="618"/>
      <c r="H366" s="1594">
        <v>45</v>
      </c>
      <c r="I366" s="161"/>
      <c r="J366" s="161"/>
      <c r="K366" s="1413"/>
      <c r="L366" s="1414"/>
      <c r="M366" s="1414"/>
      <c r="N366" s="1414"/>
      <c r="O366" s="1551"/>
      <c r="P366" s="1521"/>
      <c r="Q366" s="320"/>
      <c r="R366" s="320"/>
      <c r="S366" s="320"/>
      <c r="T366" s="320">
        <f t="shared" si="61"/>
        <v>0</v>
      </c>
      <c r="U366" s="320"/>
      <c r="V366" s="320"/>
      <c r="W366" s="1521"/>
      <c r="X366" s="1521"/>
      <c r="Y366" s="1595"/>
      <c r="Z366" s="1521"/>
      <c r="AA366" s="1521"/>
      <c r="AB366" s="1521"/>
      <c r="AC366" s="1521"/>
      <c r="AD366" s="1521"/>
      <c r="AE366" s="1521"/>
      <c r="AF366" s="1521"/>
      <c r="AG366" s="1521"/>
      <c r="AH366" s="1521"/>
      <c r="AI366" s="1521"/>
      <c r="AJ366" s="320"/>
      <c r="AK366" s="320"/>
      <c r="AL366" s="320"/>
      <c r="AM366" s="320"/>
      <c r="AN366" s="1523">
        <f t="shared" si="62"/>
        <v>0</v>
      </c>
      <c r="AO366" s="320"/>
      <c r="AP366" s="320"/>
      <c r="AQ366" s="1521"/>
      <c r="AR366" s="1521"/>
      <c r="AS366" s="1595"/>
      <c r="AT366" s="1521"/>
      <c r="AU366" s="1521"/>
      <c r="AV366" s="1521"/>
      <c r="AW366" s="320"/>
      <c r="AX366" s="161"/>
      <c r="AY366" s="1540"/>
      <c r="AZ366" s="1560" t="e">
        <f>#REF!-#REF!</f>
        <v>#REF!</v>
      </c>
      <c r="BA366" s="1560">
        <f>IF(C366="Scheme",IF(SUM(AJ366:AS366)&gt;0,IF(H366&lt;#REF!,H366-#REF!,0),0),0)</f>
        <v>0</v>
      </c>
      <c r="BB366" s="1560">
        <f t="shared" si="63"/>
        <v>0</v>
      </c>
    </row>
    <row r="367" spans="1:57" ht="70" outlineLevel="1" x14ac:dyDescent="0.25">
      <c r="A367" s="1492"/>
      <c r="B367" s="1492" t="s">
        <v>1981</v>
      </c>
      <c r="C367" s="1492" t="s">
        <v>936</v>
      </c>
      <c r="D367" s="1488"/>
      <c r="E367" s="1495"/>
      <c r="F367" s="1413"/>
      <c r="G367" s="618"/>
      <c r="H367" s="1417">
        <f>SUM(W367:AB367)</f>
        <v>20</v>
      </c>
      <c r="I367" s="161"/>
      <c r="J367" s="161"/>
      <c r="K367" s="1413"/>
      <c r="L367" s="1414"/>
      <c r="M367" s="1414"/>
      <c r="N367" s="1414"/>
      <c r="O367" s="1551" t="s">
        <v>2308</v>
      </c>
      <c r="P367" s="1521"/>
      <c r="Q367" s="320"/>
      <c r="R367" s="320"/>
      <c r="S367" s="320"/>
      <c r="T367" s="320">
        <f t="shared" si="61"/>
        <v>0</v>
      </c>
      <c r="U367" s="320"/>
      <c r="V367" s="320"/>
      <c r="W367" s="1521"/>
      <c r="X367" s="1521"/>
      <c r="Y367" s="1595">
        <v>20</v>
      </c>
      <c r="Z367" s="1521"/>
      <c r="AA367" s="1521"/>
      <c r="AB367" s="1521"/>
      <c r="AC367" s="1521"/>
      <c r="AD367" s="1521"/>
      <c r="AE367" s="1521"/>
      <c r="AF367" s="1521"/>
      <c r="AG367" s="1521"/>
      <c r="AH367" s="1521"/>
      <c r="AI367" s="1521"/>
      <c r="AJ367" s="320"/>
      <c r="AK367" s="320"/>
      <c r="AL367" s="320"/>
      <c r="AM367" s="320"/>
      <c r="AN367" s="1523">
        <f t="shared" si="62"/>
        <v>0</v>
      </c>
      <c r="AO367" s="320"/>
      <c r="AP367" s="320"/>
      <c r="AQ367" s="1521"/>
      <c r="AR367" s="1521"/>
      <c r="AS367" s="1595">
        <v>20</v>
      </c>
      <c r="AT367" s="1521"/>
      <c r="AU367" s="1521"/>
      <c r="AV367" s="1521"/>
      <c r="AW367" s="320"/>
      <c r="AX367" s="161"/>
      <c r="AY367" s="1540"/>
      <c r="AZ367" s="1560" t="e">
        <f>#REF!-#REF!</f>
        <v>#REF!</v>
      </c>
      <c r="BA367" s="1560" t="e">
        <f>IF(C367="Scheme",IF(SUM(AJ367:AS367)&gt;0,IF(H367&lt;#REF!,H367-#REF!,0),0),0)</f>
        <v>#REF!</v>
      </c>
      <c r="BB367" s="1560">
        <f t="shared" si="63"/>
        <v>-20</v>
      </c>
      <c r="BC367" s="96" t="s">
        <v>256</v>
      </c>
      <c r="BD367" s="96" t="s">
        <v>1931</v>
      </c>
      <c r="BE367" s="96" t="s">
        <v>1975</v>
      </c>
    </row>
    <row r="368" spans="1:57" ht="165" customHeight="1" outlineLevel="1" x14ac:dyDescent="0.25">
      <c r="A368" s="1492"/>
      <c r="B368" s="1492" t="s">
        <v>1982</v>
      </c>
      <c r="C368" s="1492" t="s">
        <v>936</v>
      </c>
      <c r="D368" s="1488"/>
      <c r="E368" s="1495"/>
      <c r="F368" s="1413"/>
      <c r="G368" s="618"/>
      <c r="H368" s="1417">
        <f>SUM(W368:AB368)</f>
        <v>25</v>
      </c>
      <c r="I368" s="161"/>
      <c r="J368" s="161"/>
      <c r="K368" s="1413"/>
      <c r="L368" s="1414"/>
      <c r="M368" s="1414"/>
      <c r="N368" s="1414"/>
      <c r="O368" s="1551" t="s">
        <v>2309</v>
      </c>
      <c r="P368" s="1521"/>
      <c r="Q368" s="320"/>
      <c r="R368" s="320"/>
      <c r="S368" s="320"/>
      <c r="T368" s="320">
        <f t="shared" si="61"/>
        <v>0</v>
      </c>
      <c r="U368" s="320"/>
      <c r="V368" s="320"/>
      <c r="W368" s="1521"/>
      <c r="X368" s="1521"/>
      <c r="Y368" s="1595">
        <v>25</v>
      </c>
      <c r="Z368" s="1521"/>
      <c r="AA368" s="1521"/>
      <c r="AB368" s="1521"/>
      <c r="AC368" s="1521"/>
      <c r="AD368" s="1521"/>
      <c r="AE368" s="1521"/>
      <c r="AF368" s="1521"/>
      <c r="AG368" s="1521"/>
      <c r="AH368" s="1521"/>
      <c r="AI368" s="1521"/>
      <c r="AJ368" s="320"/>
      <c r="AK368" s="320"/>
      <c r="AL368" s="320"/>
      <c r="AM368" s="320"/>
      <c r="AN368" s="1523">
        <f t="shared" si="62"/>
        <v>0</v>
      </c>
      <c r="AO368" s="320"/>
      <c r="AP368" s="320"/>
      <c r="AQ368" s="1521"/>
      <c r="AR368" s="1521"/>
      <c r="AS368" s="1595">
        <v>25</v>
      </c>
      <c r="AT368" s="1521"/>
      <c r="AU368" s="1521"/>
      <c r="AV368" s="1521"/>
      <c r="AW368" s="320"/>
      <c r="AX368" s="161"/>
      <c r="AY368" s="1540"/>
      <c r="AZ368" s="1560" t="e">
        <f>#REF!-#REF!</f>
        <v>#REF!</v>
      </c>
      <c r="BA368" s="1560" t="e">
        <f>IF(C368="Scheme",IF(SUM(AJ368:AS368)&gt;0,IF(H368&lt;#REF!,H368-#REF!,0),0),0)</f>
        <v>#REF!</v>
      </c>
      <c r="BB368" s="1560">
        <f t="shared" si="63"/>
        <v>-25</v>
      </c>
      <c r="BC368" s="96" t="s">
        <v>256</v>
      </c>
      <c r="BD368" s="96" t="s">
        <v>1931</v>
      </c>
      <c r="BE368" s="96" t="s">
        <v>1975</v>
      </c>
    </row>
    <row r="369" spans="1:57" ht="31" outlineLevel="1" x14ac:dyDescent="0.25">
      <c r="A369" s="1486">
        <v>4</v>
      </c>
      <c r="B369" s="1491" t="s">
        <v>1983</v>
      </c>
      <c r="C369" s="1486" t="s">
        <v>928</v>
      </c>
      <c r="D369" s="1488"/>
      <c r="E369" s="1495"/>
      <c r="F369" s="1413"/>
      <c r="G369" s="618"/>
      <c r="H369" s="1594">
        <v>30</v>
      </c>
      <c r="I369" s="161"/>
      <c r="J369" s="161"/>
      <c r="K369" s="1413"/>
      <c r="L369" s="1414"/>
      <c r="M369" s="1414"/>
      <c r="N369" s="1414"/>
      <c r="O369" s="1551"/>
      <c r="P369" s="1521"/>
      <c r="Q369" s="320"/>
      <c r="R369" s="320"/>
      <c r="S369" s="320"/>
      <c r="T369" s="320">
        <f t="shared" si="61"/>
        <v>0</v>
      </c>
      <c r="U369" s="320"/>
      <c r="V369" s="320"/>
      <c r="W369" s="1521"/>
      <c r="X369" s="1521"/>
      <c r="Y369" s="1595"/>
      <c r="Z369" s="1521"/>
      <c r="AA369" s="1521"/>
      <c r="AB369" s="1521"/>
      <c r="AC369" s="1521"/>
      <c r="AD369" s="1521"/>
      <c r="AE369" s="1521"/>
      <c r="AF369" s="1521"/>
      <c r="AG369" s="1521"/>
      <c r="AH369" s="1521"/>
      <c r="AI369" s="1521"/>
      <c r="AJ369" s="320"/>
      <c r="AK369" s="320"/>
      <c r="AL369" s="320"/>
      <c r="AM369" s="320"/>
      <c r="AN369" s="1523">
        <f t="shared" si="62"/>
        <v>0</v>
      </c>
      <c r="AO369" s="320"/>
      <c r="AP369" s="320"/>
      <c r="AQ369" s="1521"/>
      <c r="AR369" s="1521"/>
      <c r="AS369" s="1595"/>
      <c r="AT369" s="1521"/>
      <c r="AU369" s="1521"/>
      <c r="AV369" s="1521"/>
      <c r="AW369" s="320"/>
      <c r="AX369" s="161"/>
      <c r="AY369" s="1540"/>
      <c r="AZ369" s="1560" t="e">
        <f>#REF!-#REF!</f>
        <v>#REF!</v>
      </c>
      <c r="BA369" s="1560">
        <f>IF(C369="Scheme",IF(SUM(AJ369:AS369)&gt;0,IF(H369&lt;#REF!,H369-#REF!,0),0),0)</f>
        <v>0</v>
      </c>
      <c r="BB369" s="1560">
        <f t="shared" si="63"/>
        <v>0</v>
      </c>
    </row>
    <row r="370" spans="1:57" ht="165" customHeight="1" outlineLevel="1" x14ac:dyDescent="0.25">
      <c r="A370" s="1492"/>
      <c r="B370" s="1492" t="s">
        <v>1983</v>
      </c>
      <c r="C370" s="1492" t="s">
        <v>936</v>
      </c>
      <c r="D370" s="1488"/>
      <c r="E370" s="1495"/>
      <c r="F370" s="1413"/>
      <c r="G370" s="618"/>
      <c r="H370" s="1417">
        <f>SUM(W370:AB370)</f>
        <v>30</v>
      </c>
      <c r="I370" s="161"/>
      <c r="J370" s="161"/>
      <c r="K370" s="1413"/>
      <c r="L370" s="1414"/>
      <c r="M370" s="1414"/>
      <c r="N370" s="1414"/>
      <c r="O370" s="1551" t="s">
        <v>2309</v>
      </c>
      <c r="P370" s="1521"/>
      <c r="Q370" s="320"/>
      <c r="R370" s="320"/>
      <c r="S370" s="320"/>
      <c r="T370" s="320">
        <f t="shared" si="61"/>
        <v>0</v>
      </c>
      <c r="U370" s="320"/>
      <c r="V370" s="320"/>
      <c r="W370" s="1521"/>
      <c r="X370" s="1521"/>
      <c r="Y370" s="1595">
        <v>30</v>
      </c>
      <c r="Z370" s="1521"/>
      <c r="AA370" s="1521"/>
      <c r="AB370" s="1521"/>
      <c r="AC370" s="1521"/>
      <c r="AD370" s="1521"/>
      <c r="AE370" s="1521"/>
      <c r="AF370" s="1521"/>
      <c r="AG370" s="1521"/>
      <c r="AH370" s="1521"/>
      <c r="AI370" s="1521"/>
      <c r="AJ370" s="320"/>
      <c r="AK370" s="320"/>
      <c r="AL370" s="320"/>
      <c r="AM370" s="320"/>
      <c r="AN370" s="1523">
        <f t="shared" si="62"/>
        <v>0</v>
      </c>
      <c r="AO370" s="320"/>
      <c r="AP370" s="320"/>
      <c r="AQ370" s="1521"/>
      <c r="AR370" s="1521"/>
      <c r="AS370" s="1595">
        <v>30</v>
      </c>
      <c r="AT370" s="1521"/>
      <c r="AU370" s="1521"/>
      <c r="AV370" s="1521"/>
      <c r="AW370" s="320"/>
      <c r="AX370" s="161"/>
      <c r="AY370" s="1540"/>
      <c r="AZ370" s="1560" t="e">
        <f>#REF!-#REF!</f>
        <v>#REF!</v>
      </c>
      <c r="BA370" s="1560" t="e">
        <f>IF(C370="Scheme",IF(SUM(AJ370:AS370)&gt;0,IF(H370&lt;#REF!,H370-#REF!,0),0),0)</f>
        <v>#REF!</v>
      </c>
      <c r="BB370" s="1560">
        <f t="shared" si="63"/>
        <v>-30</v>
      </c>
      <c r="BC370" s="96" t="s">
        <v>256</v>
      </c>
      <c r="BD370" s="96" t="s">
        <v>1931</v>
      </c>
      <c r="BE370" s="96" t="s">
        <v>1975</v>
      </c>
    </row>
    <row r="371" spans="1:57" ht="15.5" outlineLevel="1" x14ac:dyDescent="0.25">
      <c r="A371" s="1504"/>
      <c r="B371" s="1504" t="s">
        <v>1984</v>
      </c>
      <c r="C371" s="1504"/>
      <c r="D371" s="1488"/>
      <c r="E371" s="1495"/>
      <c r="F371" s="1413"/>
      <c r="G371" s="618"/>
      <c r="H371" s="1594"/>
      <c r="I371" s="161"/>
      <c r="J371" s="161"/>
      <c r="K371" s="1413"/>
      <c r="L371" s="1414"/>
      <c r="M371" s="1414"/>
      <c r="N371" s="1414"/>
      <c r="O371" s="1551"/>
      <c r="P371" s="1521"/>
      <c r="Q371" s="320"/>
      <c r="R371" s="320"/>
      <c r="S371" s="320"/>
      <c r="T371" s="320">
        <f t="shared" si="61"/>
        <v>0</v>
      </c>
      <c r="U371" s="320"/>
      <c r="V371" s="320"/>
      <c r="W371" s="1521"/>
      <c r="X371" s="1521"/>
      <c r="Y371" s="1521"/>
      <c r="Z371" s="1521"/>
      <c r="AA371" s="1521"/>
      <c r="AB371" s="1521"/>
      <c r="AC371" s="1521"/>
      <c r="AD371" s="1521"/>
      <c r="AE371" s="1521"/>
      <c r="AF371" s="1521"/>
      <c r="AG371" s="1521"/>
      <c r="AH371" s="1521"/>
      <c r="AI371" s="1521"/>
      <c r="AJ371" s="320"/>
      <c r="AK371" s="320"/>
      <c r="AL371" s="320"/>
      <c r="AM371" s="320"/>
      <c r="AN371" s="1523">
        <f t="shared" si="62"/>
        <v>0</v>
      </c>
      <c r="AO371" s="320"/>
      <c r="AP371" s="320"/>
      <c r="AQ371" s="1521"/>
      <c r="AR371" s="1521"/>
      <c r="AS371" s="1521"/>
      <c r="AT371" s="1521"/>
      <c r="AU371" s="1521"/>
      <c r="AV371" s="1521"/>
      <c r="AW371" s="320"/>
      <c r="AX371" s="161"/>
      <c r="AY371" s="1540"/>
      <c r="AZ371" s="1560" t="e">
        <f>#REF!-#REF!</f>
        <v>#REF!</v>
      </c>
      <c r="BA371" s="1560">
        <f>IF(C371="Scheme",IF(SUM(AJ371:AS371)&gt;0,IF(H371&lt;#REF!,H371-#REF!,0),0),0)</f>
        <v>0</v>
      </c>
      <c r="BB371" s="1560">
        <f t="shared" si="63"/>
        <v>0</v>
      </c>
    </row>
    <row r="372" spans="1:57" ht="31" outlineLevel="1" x14ac:dyDescent="0.25">
      <c r="A372" s="1486">
        <v>1</v>
      </c>
      <c r="B372" s="1491" t="s">
        <v>1985</v>
      </c>
      <c r="C372" s="1486" t="s">
        <v>928</v>
      </c>
      <c r="D372" s="1488"/>
      <c r="E372" s="1495"/>
      <c r="F372" s="1413"/>
      <c r="G372" s="618"/>
      <c r="H372" s="1594">
        <v>35</v>
      </c>
      <c r="I372" s="161"/>
      <c r="J372" s="161"/>
      <c r="K372" s="1413"/>
      <c r="L372" s="1414"/>
      <c r="M372" s="1414"/>
      <c r="N372" s="1414"/>
      <c r="O372" s="1551"/>
      <c r="P372" s="1521"/>
      <c r="Q372" s="320"/>
      <c r="R372" s="320"/>
      <c r="S372" s="320"/>
      <c r="T372" s="320">
        <f t="shared" si="61"/>
        <v>0</v>
      </c>
      <c r="U372" s="320"/>
      <c r="V372" s="320"/>
      <c r="W372" s="1521"/>
      <c r="X372" s="1521"/>
      <c r="Y372" s="1521"/>
      <c r="Z372" s="1521"/>
      <c r="AA372" s="1521"/>
      <c r="AB372" s="1521"/>
      <c r="AC372" s="1521"/>
      <c r="AD372" s="1521"/>
      <c r="AE372" s="1521"/>
      <c r="AF372" s="1521"/>
      <c r="AG372" s="1521"/>
      <c r="AH372" s="1521"/>
      <c r="AI372" s="1521"/>
      <c r="AJ372" s="320"/>
      <c r="AK372" s="320"/>
      <c r="AL372" s="320"/>
      <c r="AM372" s="320"/>
      <c r="AN372" s="1523">
        <f t="shared" si="62"/>
        <v>0</v>
      </c>
      <c r="AO372" s="320"/>
      <c r="AP372" s="320"/>
      <c r="AQ372" s="1521"/>
      <c r="AR372" s="1521"/>
      <c r="AS372" s="1521"/>
      <c r="AT372" s="1521"/>
      <c r="AU372" s="1521"/>
      <c r="AV372" s="1521"/>
      <c r="AW372" s="320"/>
      <c r="AX372" s="161"/>
      <c r="AY372" s="1540"/>
      <c r="AZ372" s="1560" t="e">
        <f>#REF!-#REF!</f>
        <v>#REF!</v>
      </c>
      <c r="BA372" s="1560">
        <f>IF(C372="Scheme",IF(SUM(AJ372:AS372)&gt;0,IF(H372&lt;#REF!,H372-#REF!,0),0),0)</f>
        <v>0</v>
      </c>
      <c r="BB372" s="1560">
        <f t="shared" si="63"/>
        <v>0</v>
      </c>
    </row>
    <row r="373" spans="1:57" ht="409.5" customHeight="1" outlineLevel="1" x14ac:dyDescent="0.25">
      <c r="A373" s="1492"/>
      <c r="B373" s="1492" t="s">
        <v>1986</v>
      </c>
      <c r="C373" s="1492" t="s">
        <v>936</v>
      </c>
      <c r="D373" s="1488"/>
      <c r="E373" s="1495"/>
      <c r="F373" s="1413"/>
      <c r="G373" s="618"/>
      <c r="H373" s="1417">
        <f>SUM(W373:AB373)</f>
        <v>16</v>
      </c>
      <c r="I373" s="161"/>
      <c r="J373" s="161"/>
      <c r="K373" s="1413"/>
      <c r="L373" s="1414"/>
      <c r="M373" s="1414"/>
      <c r="N373" s="1414"/>
      <c r="O373" s="1551" t="s">
        <v>2310</v>
      </c>
      <c r="P373" s="1521"/>
      <c r="Q373" s="320"/>
      <c r="R373" s="320"/>
      <c r="S373" s="320"/>
      <c r="T373" s="320">
        <f t="shared" si="61"/>
        <v>0</v>
      </c>
      <c r="U373" s="320"/>
      <c r="V373" s="320"/>
      <c r="W373" s="1521"/>
      <c r="X373" s="1521">
        <v>16</v>
      </c>
      <c r="Y373" s="1521"/>
      <c r="Z373" s="1521"/>
      <c r="AA373" s="1521"/>
      <c r="AB373" s="1521"/>
      <c r="AC373" s="1521"/>
      <c r="AD373" s="1521"/>
      <c r="AE373" s="1521"/>
      <c r="AF373" s="1521"/>
      <c r="AG373" s="1521"/>
      <c r="AH373" s="1521"/>
      <c r="AI373" s="1521"/>
      <c r="AJ373" s="320"/>
      <c r="AK373" s="320"/>
      <c r="AL373" s="320"/>
      <c r="AM373" s="320"/>
      <c r="AN373" s="1523">
        <f t="shared" si="62"/>
        <v>0</v>
      </c>
      <c r="AO373" s="320"/>
      <c r="AP373" s="320"/>
      <c r="AQ373" s="1521"/>
      <c r="AR373" s="1521">
        <v>16</v>
      </c>
      <c r="AS373" s="1521"/>
      <c r="AT373" s="1521"/>
      <c r="AU373" s="1521"/>
      <c r="AV373" s="1521"/>
      <c r="AW373" s="320"/>
      <c r="AX373" s="161"/>
      <c r="AY373" s="1540"/>
      <c r="AZ373" s="1560" t="e">
        <f>#REF!-#REF!</f>
        <v>#REF!</v>
      </c>
      <c r="BA373" s="1560" t="e">
        <f>IF(C373="Scheme",IF(SUM(AJ373:AS373)&gt;0,IF(H373&lt;#REF!,H373-#REF!,0),0),0)</f>
        <v>#REF!</v>
      </c>
      <c r="BB373" s="1560">
        <f t="shared" si="63"/>
        <v>-16</v>
      </c>
      <c r="BC373" s="96" t="s">
        <v>256</v>
      </c>
      <c r="BD373" s="96" t="s">
        <v>1931</v>
      </c>
      <c r="BE373" s="96" t="s">
        <v>1975</v>
      </c>
    </row>
    <row r="374" spans="1:57" ht="409.5" customHeight="1" outlineLevel="1" x14ac:dyDescent="0.25">
      <c r="A374" s="1492"/>
      <c r="B374" s="1492" t="s">
        <v>1987</v>
      </c>
      <c r="C374" s="1492" t="s">
        <v>936</v>
      </c>
      <c r="D374" s="1488"/>
      <c r="E374" s="1495"/>
      <c r="F374" s="1413"/>
      <c r="G374" s="618"/>
      <c r="H374" s="1417">
        <f>SUM(W374:AB374)</f>
        <v>19</v>
      </c>
      <c r="I374" s="161"/>
      <c r="J374" s="161"/>
      <c r="K374" s="1413"/>
      <c r="L374" s="1414"/>
      <c r="M374" s="1414"/>
      <c r="N374" s="1414"/>
      <c r="O374" s="1551" t="s">
        <v>2311</v>
      </c>
      <c r="P374" s="1521"/>
      <c r="Q374" s="320"/>
      <c r="R374" s="320"/>
      <c r="S374" s="320"/>
      <c r="T374" s="320">
        <f t="shared" si="61"/>
        <v>0</v>
      </c>
      <c r="U374" s="320"/>
      <c r="V374" s="320"/>
      <c r="W374" s="1521"/>
      <c r="X374" s="1521">
        <v>19</v>
      </c>
      <c r="Y374" s="1521"/>
      <c r="Z374" s="1521"/>
      <c r="AA374" s="1521"/>
      <c r="AB374" s="1521"/>
      <c r="AC374" s="1521"/>
      <c r="AD374" s="1521"/>
      <c r="AE374" s="1521"/>
      <c r="AF374" s="1521"/>
      <c r="AG374" s="1521"/>
      <c r="AH374" s="1521"/>
      <c r="AI374" s="1521"/>
      <c r="AJ374" s="320"/>
      <c r="AK374" s="320"/>
      <c r="AL374" s="320"/>
      <c r="AM374" s="320"/>
      <c r="AN374" s="1523">
        <f t="shared" si="62"/>
        <v>0</v>
      </c>
      <c r="AO374" s="320"/>
      <c r="AP374" s="320"/>
      <c r="AQ374" s="1521"/>
      <c r="AR374" s="1521">
        <v>19</v>
      </c>
      <c r="AS374" s="1521"/>
      <c r="AT374" s="1521"/>
      <c r="AU374" s="1521"/>
      <c r="AV374" s="1521"/>
      <c r="AW374" s="320"/>
      <c r="AX374" s="161"/>
      <c r="AY374" s="1540"/>
      <c r="AZ374" s="1560" t="e">
        <f>#REF!-#REF!</f>
        <v>#REF!</v>
      </c>
      <c r="BA374" s="1560" t="e">
        <f>IF(C374="Scheme",IF(SUM(AJ374:AS374)&gt;0,IF(H374&lt;#REF!,H374-#REF!,0),0),0)</f>
        <v>#REF!</v>
      </c>
      <c r="BB374" s="1560">
        <f t="shared" si="63"/>
        <v>-19</v>
      </c>
      <c r="BC374" s="96" t="s">
        <v>256</v>
      </c>
      <c r="BD374" s="96" t="s">
        <v>1931</v>
      </c>
      <c r="BE374" s="96" t="s">
        <v>1932</v>
      </c>
    </row>
    <row r="375" spans="1:57" ht="15.5" outlineLevel="1" x14ac:dyDescent="0.25">
      <c r="A375" s="1486">
        <v>2</v>
      </c>
      <c r="B375" s="1491" t="s">
        <v>1988</v>
      </c>
      <c r="C375" s="1486" t="s">
        <v>928</v>
      </c>
      <c r="D375" s="1488"/>
      <c r="E375" s="1495"/>
      <c r="F375" s="1413"/>
      <c r="G375" s="618"/>
      <c r="H375" s="1594">
        <v>26</v>
      </c>
      <c r="I375" s="161"/>
      <c r="J375" s="161"/>
      <c r="K375" s="1413"/>
      <c r="L375" s="1414"/>
      <c r="M375" s="1414"/>
      <c r="N375" s="1414"/>
      <c r="O375" s="1551"/>
      <c r="P375" s="1521"/>
      <c r="Q375" s="320"/>
      <c r="R375" s="320"/>
      <c r="S375" s="320"/>
      <c r="T375" s="320">
        <f t="shared" si="61"/>
        <v>0</v>
      </c>
      <c r="U375" s="320"/>
      <c r="V375" s="320"/>
      <c r="W375" s="1521"/>
      <c r="X375" s="1521"/>
      <c r="Y375" s="1521"/>
      <c r="Z375" s="1521"/>
      <c r="AA375" s="1521"/>
      <c r="AB375" s="1521"/>
      <c r="AC375" s="1521"/>
      <c r="AD375" s="1521"/>
      <c r="AE375" s="1521"/>
      <c r="AF375" s="1521"/>
      <c r="AG375" s="1521"/>
      <c r="AH375" s="1521"/>
      <c r="AI375" s="1521"/>
      <c r="AJ375" s="320"/>
      <c r="AK375" s="320"/>
      <c r="AL375" s="320"/>
      <c r="AM375" s="320"/>
      <c r="AN375" s="1523">
        <f t="shared" si="62"/>
        <v>0</v>
      </c>
      <c r="AO375" s="320"/>
      <c r="AP375" s="320"/>
      <c r="AQ375" s="1521"/>
      <c r="AR375" s="1521"/>
      <c r="AS375" s="1521"/>
      <c r="AT375" s="1521"/>
      <c r="AU375" s="1521"/>
      <c r="AV375" s="1521"/>
      <c r="AW375" s="320"/>
      <c r="AX375" s="161"/>
      <c r="AY375" s="1540"/>
      <c r="AZ375" s="1560" t="e">
        <f>#REF!-#REF!</f>
        <v>#REF!</v>
      </c>
      <c r="BA375" s="1560">
        <f>IF(C375="Scheme",IF(SUM(AJ375:AS375)&gt;0,IF(H375&lt;#REF!,H375-#REF!,0),0),0)</f>
        <v>0</v>
      </c>
      <c r="BB375" s="1560">
        <f t="shared" si="63"/>
        <v>0</v>
      </c>
    </row>
    <row r="376" spans="1:57" ht="409.5" customHeight="1" outlineLevel="1" x14ac:dyDescent="0.25">
      <c r="A376" s="1492"/>
      <c r="B376" s="1492" t="s">
        <v>1989</v>
      </c>
      <c r="C376" s="1492" t="s">
        <v>936</v>
      </c>
      <c r="D376" s="1488"/>
      <c r="E376" s="1495"/>
      <c r="F376" s="1413"/>
      <c r="G376" s="618"/>
      <c r="H376" s="1417">
        <f>SUM(W376:AB376)</f>
        <v>6</v>
      </c>
      <c r="I376" s="161"/>
      <c r="J376" s="161"/>
      <c r="K376" s="1413"/>
      <c r="L376" s="1414"/>
      <c r="M376" s="1414"/>
      <c r="N376" s="1414"/>
      <c r="O376" s="1551" t="s">
        <v>2312</v>
      </c>
      <c r="P376" s="1521"/>
      <c r="Q376" s="320"/>
      <c r="R376" s="320"/>
      <c r="S376" s="320"/>
      <c r="T376" s="320">
        <f t="shared" si="61"/>
        <v>0</v>
      </c>
      <c r="U376" s="320"/>
      <c r="V376" s="320"/>
      <c r="W376" s="1521"/>
      <c r="X376" s="1521"/>
      <c r="Y376" s="1521">
        <v>6</v>
      </c>
      <c r="Z376" s="1521"/>
      <c r="AA376" s="1521"/>
      <c r="AB376" s="1521"/>
      <c r="AC376" s="1521"/>
      <c r="AD376" s="1521"/>
      <c r="AE376" s="1521"/>
      <c r="AF376" s="1521"/>
      <c r="AG376" s="1521"/>
      <c r="AH376" s="1521"/>
      <c r="AI376" s="1521"/>
      <c r="AJ376" s="320"/>
      <c r="AK376" s="320"/>
      <c r="AL376" s="320"/>
      <c r="AM376" s="320"/>
      <c r="AN376" s="1523">
        <f t="shared" si="62"/>
        <v>0</v>
      </c>
      <c r="AO376" s="320"/>
      <c r="AP376" s="320"/>
      <c r="AQ376" s="1521"/>
      <c r="AR376" s="1521"/>
      <c r="AS376" s="1521">
        <v>6</v>
      </c>
      <c r="AT376" s="1521"/>
      <c r="AU376" s="1521"/>
      <c r="AV376" s="1521"/>
      <c r="AW376" s="320"/>
      <c r="AX376" s="161"/>
      <c r="AY376" s="1540"/>
      <c r="AZ376" s="1560" t="e">
        <f>#REF!-#REF!</f>
        <v>#REF!</v>
      </c>
      <c r="BA376" s="1560" t="e">
        <f>IF(C376="Scheme",IF(SUM(AJ376:AS376)&gt;0,IF(H376&lt;#REF!,H376-#REF!,0),0),0)</f>
        <v>#REF!</v>
      </c>
      <c r="BB376" s="1560">
        <f t="shared" si="63"/>
        <v>-6</v>
      </c>
      <c r="BC376" s="96" t="s">
        <v>256</v>
      </c>
      <c r="BD376" s="96" t="s">
        <v>1931</v>
      </c>
    </row>
    <row r="377" spans="1:57" ht="409.5" customHeight="1" outlineLevel="1" x14ac:dyDescent="0.25">
      <c r="A377" s="1492"/>
      <c r="B377" s="1492" t="s">
        <v>1990</v>
      </c>
      <c r="C377" s="1492" t="s">
        <v>936</v>
      </c>
      <c r="D377" s="1488"/>
      <c r="E377" s="1495"/>
      <c r="F377" s="1413"/>
      <c r="G377" s="618"/>
      <c r="H377" s="1417">
        <f>SUM(W377:AB377)</f>
        <v>10</v>
      </c>
      <c r="I377" s="161"/>
      <c r="J377" s="161"/>
      <c r="K377" s="1413"/>
      <c r="L377" s="1414"/>
      <c r="M377" s="1414"/>
      <c r="N377" s="1414"/>
      <c r="O377" s="1551" t="s">
        <v>2313</v>
      </c>
      <c r="P377" s="1521"/>
      <c r="Q377" s="320"/>
      <c r="R377" s="320"/>
      <c r="S377" s="320"/>
      <c r="T377" s="320">
        <f t="shared" si="61"/>
        <v>0</v>
      </c>
      <c r="U377" s="320"/>
      <c r="V377" s="320"/>
      <c r="W377" s="1521"/>
      <c r="X377" s="1521"/>
      <c r="Y377" s="1521">
        <v>10</v>
      </c>
      <c r="Z377" s="1521"/>
      <c r="AA377" s="1521"/>
      <c r="AB377" s="1521"/>
      <c r="AC377" s="1521"/>
      <c r="AD377" s="1521"/>
      <c r="AE377" s="1521"/>
      <c r="AF377" s="1521"/>
      <c r="AG377" s="1521"/>
      <c r="AH377" s="1521"/>
      <c r="AI377" s="1521"/>
      <c r="AJ377" s="320"/>
      <c r="AK377" s="320"/>
      <c r="AL377" s="320"/>
      <c r="AM377" s="320"/>
      <c r="AN377" s="1523">
        <f t="shared" si="62"/>
        <v>0</v>
      </c>
      <c r="AO377" s="320"/>
      <c r="AP377" s="320"/>
      <c r="AQ377" s="1521"/>
      <c r="AR377" s="1521"/>
      <c r="AS377" s="1521">
        <v>10</v>
      </c>
      <c r="AT377" s="1521"/>
      <c r="AU377" s="1521"/>
      <c r="AV377" s="1521"/>
      <c r="AW377" s="320"/>
      <c r="AX377" s="161"/>
      <c r="AY377" s="1540"/>
      <c r="AZ377" s="1560" t="e">
        <f>#REF!-#REF!</f>
        <v>#REF!</v>
      </c>
      <c r="BA377" s="1560" t="e">
        <f>IF(C377="Scheme",IF(SUM(AJ377:AS377)&gt;0,IF(H377&lt;#REF!,H377-#REF!,0),0),0)</f>
        <v>#REF!</v>
      </c>
      <c r="BB377" s="1560">
        <f t="shared" si="63"/>
        <v>-10</v>
      </c>
      <c r="BC377" s="96" t="s">
        <v>256</v>
      </c>
      <c r="BD377" s="96" t="s">
        <v>1931</v>
      </c>
    </row>
    <row r="378" spans="1:57" ht="140" outlineLevel="1" x14ac:dyDescent="0.25">
      <c r="A378" s="1492"/>
      <c r="B378" s="1492" t="s">
        <v>1991</v>
      </c>
      <c r="C378" s="1492" t="s">
        <v>936</v>
      </c>
      <c r="D378" s="1488"/>
      <c r="E378" s="1495"/>
      <c r="F378" s="1413"/>
      <c r="G378" s="618"/>
      <c r="H378" s="1417">
        <f>SUM(W378:AB378)</f>
        <v>10</v>
      </c>
      <c r="I378" s="161"/>
      <c r="J378" s="161"/>
      <c r="K378" s="1413"/>
      <c r="L378" s="1414"/>
      <c r="M378" s="1414"/>
      <c r="N378" s="1414"/>
      <c r="O378" s="1551" t="s">
        <v>2314</v>
      </c>
      <c r="P378" s="1521"/>
      <c r="Q378" s="320"/>
      <c r="R378" s="320"/>
      <c r="S378" s="320"/>
      <c r="T378" s="320">
        <f t="shared" si="61"/>
        <v>0</v>
      </c>
      <c r="U378" s="320"/>
      <c r="V378" s="320"/>
      <c r="W378" s="1521"/>
      <c r="X378" s="1521"/>
      <c r="Y378" s="1521">
        <v>10</v>
      </c>
      <c r="Z378" s="1521"/>
      <c r="AA378" s="1521"/>
      <c r="AB378" s="1521"/>
      <c r="AC378" s="1521"/>
      <c r="AD378" s="1521"/>
      <c r="AE378" s="1521"/>
      <c r="AF378" s="1521"/>
      <c r="AG378" s="1521"/>
      <c r="AH378" s="1521"/>
      <c r="AI378" s="1521"/>
      <c r="AJ378" s="320"/>
      <c r="AK378" s="320"/>
      <c r="AL378" s="320"/>
      <c r="AM378" s="320"/>
      <c r="AN378" s="1523">
        <f t="shared" si="62"/>
        <v>0</v>
      </c>
      <c r="AO378" s="320"/>
      <c r="AP378" s="320"/>
      <c r="AQ378" s="1521"/>
      <c r="AR378" s="1521"/>
      <c r="AS378" s="1521">
        <v>10</v>
      </c>
      <c r="AT378" s="1521"/>
      <c r="AU378" s="1521"/>
      <c r="AV378" s="1521"/>
      <c r="AW378" s="320"/>
      <c r="AX378" s="161"/>
      <c r="AY378" s="1540"/>
      <c r="AZ378" s="1560" t="e">
        <f>#REF!-#REF!</f>
        <v>#REF!</v>
      </c>
      <c r="BA378" s="1560" t="e">
        <f>IF(C378="Scheme",IF(SUM(AJ378:AS378)&gt;0,IF(H378&lt;#REF!,H378-#REF!,0),0),0)</f>
        <v>#REF!</v>
      </c>
      <c r="BB378" s="1560">
        <f t="shared" si="63"/>
        <v>-10</v>
      </c>
      <c r="BC378" s="96" t="s">
        <v>256</v>
      </c>
      <c r="BD378" s="96" t="s">
        <v>1931</v>
      </c>
    </row>
    <row r="379" spans="1:57" ht="15.5" outlineLevel="1" x14ac:dyDescent="0.25">
      <c r="A379" s="1486">
        <v>3</v>
      </c>
      <c r="B379" s="1491" t="s">
        <v>1992</v>
      </c>
      <c r="C379" s="1486" t="s">
        <v>928</v>
      </c>
      <c r="D379" s="1488"/>
      <c r="E379" s="1495"/>
      <c r="F379" s="1413"/>
      <c r="G379" s="618"/>
      <c r="H379" s="1594">
        <v>25</v>
      </c>
      <c r="I379" s="161"/>
      <c r="J379" s="161"/>
      <c r="K379" s="1413"/>
      <c r="L379" s="1414"/>
      <c r="M379" s="1414"/>
      <c r="N379" s="1414"/>
      <c r="O379" s="1551"/>
      <c r="P379" s="1521"/>
      <c r="Q379" s="320"/>
      <c r="R379" s="320"/>
      <c r="S379" s="320"/>
      <c r="T379" s="320">
        <f t="shared" si="61"/>
        <v>0</v>
      </c>
      <c r="U379" s="320"/>
      <c r="V379" s="320"/>
      <c r="W379" s="1521"/>
      <c r="X379" s="1521"/>
      <c r="Y379" s="1521"/>
      <c r="Z379" s="1521"/>
      <c r="AA379" s="1521"/>
      <c r="AB379" s="1521"/>
      <c r="AC379" s="1521"/>
      <c r="AD379" s="1521"/>
      <c r="AE379" s="1521"/>
      <c r="AF379" s="1521"/>
      <c r="AG379" s="1521"/>
      <c r="AH379" s="1521"/>
      <c r="AI379" s="1521"/>
      <c r="AJ379" s="320"/>
      <c r="AK379" s="320"/>
      <c r="AL379" s="320"/>
      <c r="AM379" s="320"/>
      <c r="AN379" s="1523">
        <f t="shared" si="62"/>
        <v>0</v>
      </c>
      <c r="AO379" s="320"/>
      <c r="AP379" s="320"/>
      <c r="AQ379" s="1521"/>
      <c r="AR379" s="1521"/>
      <c r="AS379" s="1521"/>
      <c r="AT379" s="1521"/>
      <c r="AU379" s="1521"/>
      <c r="AV379" s="1521"/>
      <c r="AW379" s="320"/>
      <c r="AX379" s="161"/>
      <c r="AY379" s="1540"/>
      <c r="AZ379" s="1560" t="e">
        <f>#REF!-#REF!</f>
        <v>#REF!</v>
      </c>
      <c r="BA379" s="1560">
        <f>IF(C379="Scheme",IF(SUM(AJ379:AS379)&gt;0,IF(H379&lt;#REF!,H379-#REF!,0),0),0)</f>
        <v>0</v>
      </c>
      <c r="BB379" s="1560">
        <f t="shared" si="63"/>
        <v>0</v>
      </c>
    </row>
    <row r="380" spans="1:57" ht="409.5" customHeight="1" outlineLevel="1" x14ac:dyDescent="0.25">
      <c r="A380" s="1492"/>
      <c r="B380" s="1492" t="s">
        <v>1993</v>
      </c>
      <c r="C380" s="1492" t="s">
        <v>936</v>
      </c>
      <c r="D380" s="1488"/>
      <c r="E380" s="1495"/>
      <c r="F380" s="1413"/>
      <c r="G380" s="618"/>
      <c r="H380" s="1417">
        <f>SUM(W380:AB380)</f>
        <v>15</v>
      </c>
      <c r="I380" s="161"/>
      <c r="J380" s="161"/>
      <c r="K380" s="1413"/>
      <c r="L380" s="1414"/>
      <c r="M380" s="1414"/>
      <c r="N380" s="1414"/>
      <c r="O380" s="1551" t="s">
        <v>2315</v>
      </c>
      <c r="P380" s="1521"/>
      <c r="Q380" s="320"/>
      <c r="R380" s="320"/>
      <c r="S380" s="320"/>
      <c r="T380" s="320">
        <f t="shared" si="61"/>
        <v>0</v>
      </c>
      <c r="U380" s="320"/>
      <c r="V380" s="320"/>
      <c r="W380" s="1521"/>
      <c r="X380" s="1521"/>
      <c r="Y380" s="1595">
        <v>15</v>
      </c>
      <c r="Z380" s="1521"/>
      <c r="AA380" s="1521"/>
      <c r="AB380" s="1521"/>
      <c r="AC380" s="1521"/>
      <c r="AD380" s="1521"/>
      <c r="AE380" s="1521"/>
      <c r="AF380" s="1521"/>
      <c r="AG380" s="1521"/>
      <c r="AH380" s="1521"/>
      <c r="AI380" s="1521"/>
      <c r="AJ380" s="320"/>
      <c r="AK380" s="320"/>
      <c r="AL380" s="320"/>
      <c r="AM380" s="320"/>
      <c r="AN380" s="1523">
        <f t="shared" si="62"/>
        <v>0</v>
      </c>
      <c r="AO380" s="320"/>
      <c r="AP380" s="320"/>
      <c r="AQ380" s="1521"/>
      <c r="AR380" s="1521"/>
      <c r="AS380" s="1595">
        <v>15</v>
      </c>
      <c r="AT380" s="1521"/>
      <c r="AU380" s="1521"/>
      <c r="AV380" s="1521"/>
      <c r="AW380" s="320"/>
      <c r="AX380" s="161"/>
      <c r="AY380" s="1540"/>
      <c r="AZ380" s="1560" t="e">
        <f>#REF!-#REF!</f>
        <v>#REF!</v>
      </c>
      <c r="BA380" s="1560" t="e">
        <f>IF(C380="Scheme",IF(SUM(AJ380:AS380)&gt;0,IF(H380&lt;#REF!,H380-#REF!,0),0),0)</f>
        <v>#REF!</v>
      </c>
      <c r="BB380" s="1560">
        <f t="shared" si="63"/>
        <v>-15</v>
      </c>
      <c r="BC380" s="96" t="s">
        <v>256</v>
      </c>
      <c r="BD380" s="96" t="s">
        <v>1931</v>
      </c>
    </row>
    <row r="381" spans="1:57" ht="126" outlineLevel="1" x14ac:dyDescent="0.25">
      <c r="A381" s="1492"/>
      <c r="B381" s="1492" t="s">
        <v>1994</v>
      </c>
      <c r="C381" s="1492" t="s">
        <v>936</v>
      </c>
      <c r="D381" s="1488"/>
      <c r="E381" s="1495"/>
      <c r="F381" s="1413"/>
      <c r="G381" s="618"/>
      <c r="H381" s="1417">
        <f>SUM(W381:AB381)</f>
        <v>5</v>
      </c>
      <c r="I381" s="161"/>
      <c r="J381" s="161"/>
      <c r="K381" s="1413"/>
      <c r="L381" s="1414"/>
      <c r="M381" s="1414"/>
      <c r="N381" s="1414"/>
      <c r="O381" s="1551" t="s">
        <v>2316</v>
      </c>
      <c r="P381" s="1521"/>
      <c r="Q381" s="320"/>
      <c r="R381" s="320"/>
      <c r="S381" s="320"/>
      <c r="T381" s="320">
        <f t="shared" si="61"/>
        <v>0</v>
      </c>
      <c r="U381" s="320"/>
      <c r="V381" s="320"/>
      <c r="W381" s="1521"/>
      <c r="X381" s="1521"/>
      <c r="Y381" s="1595">
        <v>5</v>
      </c>
      <c r="Z381" s="1521"/>
      <c r="AA381" s="1521"/>
      <c r="AB381" s="1521"/>
      <c r="AC381" s="1521"/>
      <c r="AD381" s="1521"/>
      <c r="AE381" s="1521"/>
      <c r="AF381" s="1521"/>
      <c r="AG381" s="1521"/>
      <c r="AH381" s="1521"/>
      <c r="AI381" s="1521"/>
      <c r="AJ381" s="320"/>
      <c r="AK381" s="320"/>
      <c r="AL381" s="320"/>
      <c r="AM381" s="320"/>
      <c r="AN381" s="1523">
        <f t="shared" si="62"/>
        <v>0</v>
      </c>
      <c r="AO381" s="320"/>
      <c r="AP381" s="320"/>
      <c r="AQ381" s="1521"/>
      <c r="AR381" s="1521"/>
      <c r="AS381" s="1595">
        <v>5</v>
      </c>
      <c r="AT381" s="1521"/>
      <c r="AU381" s="1521"/>
      <c r="AV381" s="1521"/>
      <c r="AW381" s="320"/>
      <c r="AX381" s="161"/>
      <c r="AY381" s="1540"/>
      <c r="AZ381" s="1560" t="e">
        <f>#REF!-#REF!</f>
        <v>#REF!</v>
      </c>
      <c r="BA381" s="1560" t="e">
        <f>IF(C381="Scheme",IF(SUM(AJ381:AS381)&gt;0,IF(H381&lt;#REF!,H381-#REF!,0),0),0)</f>
        <v>#REF!</v>
      </c>
      <c r="BB381" s="1560">
        <f t="shared" si="63"/>
        <v>-5</v>
      </c>
      <c r="BC381" s="96" t="s">
        <v>256</v>
      </c>
      <c r="BD381" s="96" t="s">
        <v>1931</v>
      </c>
    </row>
    <row r="382" spans="1:57" ht="126" outlineLevel="1" x14ac:dyDescent="0.25">
      <c r="A382" s="1492"/>
      <c r="B382" s="1492" t="s">
        <v>1995</v>
      </c>
      <c r="C382" s="1492" t="s">
        <v>936</v>
      </c>
      <c r="D382" s="1488"/>
      <c r="E382" s="1495"/>
      <c r="F382" s="1413"/>
      <c r="G382" s="618"/>
      <c r="H382" s="1417">
        <f>SUM(W382:AB382)</f>
        <v>5</v>
      </c>
      <c r="I382" s="161"/>
      <c r="J382" s="161"/>
      <c r="K382" s="1413"/>
      <c r="L382" s="1414"/>
      <c r="M382" s="1414"/>
      <c r="N382" s="1414"/>
      <c r="O382" s="1551" t="s">
        <v>2317</v>
      </c>
      <c r="P382" s="1521"/>
      <c r="Q382" s="320"/>
      <c r="R382" s="320"/>
      <c r="S382" s="320"/>
      <c r="T382" s="320">
        <f t="shared" si="61"/>
        <v>0</v>
      </c>
      <c r="U382" s="320"/>
      <c r="V382" s="320"/>
      <c r="W382" s="1521"/>
      <c r="X382" s="1521"/>
      <c r="Y382" s="1595">
        <v>5</v>
      </c>
      <c r="Z382" s="1521"/>
      <c r="AA382" s="1521"/>
      <c r="AB382" s="1521"/>
      <c r="AC382" s="1521"/>
      <c r="AD382" s="1521"/>
      <c r="AE382" s="1521"/>
      <c r="AF382" s="1521"/>
      <c r="AG382" s="1521"/>
      <c r="AH382" s="1521"/>
      <c r="AI382" s="1521"/>
      <c r="AJ382" s="320"/>
      <c r="AK382" s="320"/>
      <c r="AL382" s="320"/>
      <c r="AM382" s="320"/>
      <c r="AN382" s="1523">
        <f t="shared" si="62"/>
        <v>0</v>
      </c>
      <c r="AO382" s="320"/>
      <c r="AP382" s="320"/>
      <c r="AQ382" s="1521"/>
      <c r="AR382" s="1521"/>
      <c r="AS382" s="1595">
        <v>5</v>
      </c>
      <c r="AT382" s="1521"/>
      <c r="AU382" s="1521"/>
      <c r="AV382" s="1521"/>
      <c r="AW382" s="320"/>
      <c r="AX382" s="161"/>
      <c r="AY382" s="1540"/>
      <c r="AZ382" s="1560" t="e">
        <f>#REF!-#REF!</f>
        <v>#REF!</v>
      </c>
      <c r="BA382" s="1560" t="e">
        <f>IF(C382="Scheme",IF(SUM(AJ382:AS382)&gt;0,IF(H382&lt;#REF!,H382-#REF!,0),0),0)</f>
        <v>#REF!</v>
      </c>
      <c r="BB382" s="1560">
        <f t="shared" si="63"/>
        <v>-5</v>
      </c>
      <c r="BC382" s="96" t="s">
        <v>256</v>
      </c>
      <c r="BD382" s="96" t="s">
        <v>1931</v>
      </c>
    </row>
    <row r="383" spans="1:57" ht="15.5" outlineLevel="1" x14ac:dyDescent="0.25">
      <c r="A383" s="1504"/>
      <c r="B383" s="1504" t="s">
        <v>1996</v>
      </c>
      <c r="C383" s="1504"/>
      <c r="D383" s="1488"/>
      <c r="E383" s="1495"/>
      <c r="F383" s="1413"/>
      <c r="G383" s="618"/>
      <c r="H383" s="1419"/>
      <c r="I383" s="161"/>
      <c r="J383" s="161"/>
      <c r="K383" s="1413"/>
      <c r="L383" s="1414"/>
      <c r="M383" s="1414"/>
      <c r="N383" s="1414"/>
      <c r="O383" s="1551"/>
      <c r="P383" s="1521"/>
      <c r="Q383" s="320"/>
      <c r="R383" s="320"/>
      <c r="S383" s="320"/>
      <c r="T383" s="320">
        <f t="shared" si="61"/>
        <v>0</v>
      </c>
      <c r="U383" s="320"/>
      <c r="V383" s="320"/>
      <c r="W383" s="1521"/>
      <c r="X383" s="1521"/>
      <c r="Y383" s="1521"/>
      <c r="Z383" s="1521"/>
      <c r="AA383" s="1521"/>
      <c r="AB383" s="1521"/>
      <c r="AC383" s="1521"/>
      <c r="AD383" s="1521"/>
      <c r="AE383" s="1521"/>
      <c r="AF383" s="1521"/>
      <c r="AG383" s="1521"/>
      <c r="AH383" s="1521"/>
      <c r="AI383" s="1521"/>
      <c r="AJ383" s="320"/>
      <c r="AK383" s="320"/>
      <c r="AL383" s="320"/>
      <c r="AM383" s="320"/>
      <c r="AN383" s="1523">
        <f t="shared" si="62"/>
        <v>0</v>
      </c>
      <c r="AO383" s="320"/>
      <c r="AP383" s="320"/>
      <c r="AQ383" s="1521"/>
      <c r="AR383" s="1521"/>
      <c r="AS383" s="1521"/>
      <c r="AT383" s="1521"/>
      <c r="AU383" s="1521"/>
      <c r="AV383" s="1521"/>
      <c r="AW383" s="320"/>
      <c r="AX383" s="161"/>
      <c r="AY383" s="1540"/>
      <c r="AZ383" s="1560" t="e">
        <f>#REF!-#REF!</f>
        <v>#REF!</v>
      </c>
      <c r="BA383" s="1560">
        <f>IF(C383="Scheme",IF(SUM(AJ383:AS383)&gt;0,IF(H383&lt;#REF!,H383-#REF!,0),0),0)</f>
        <v>0</v>
      </c>
      <c r="BB383" s="1560">
        <f t="shared" si="63"/>
        <v>0</v>
      </c>
    </row>
    <row r="384" spans="1:57" ht="31" outlineLevel="1" x14ac:dyDescent="0.25">
      <c r="A384" s="1486">
        <v>1</v>
      </c>
      <c r="B384" s="1491" t="s">
        <v>1997</v>
      </c>
      <c r="C384" s="1486" t="s">
        <v>928</v>
      </c>
      <c r="D384" s="1488"/>
      <c r="E384" s="1495"/>
      <c r="F384" s="1413"/>
      <c r="G384" s="618"/>
      <c r="H384" s="1594">
        <v>47.3</v>
      </c>
      <c r="I384" s="161"/>
      <c r="J384" s="161"/>
      <c r="K384" s="1413"/>
      <c r="L384" s="1414"/>
      <c r="M384" s="1414"/>
      <c r="N384" s="1414"/>
      <c r="O384" s="1551"/>
      <c r="P384" s="1521"/>
      <c r="Q384" s="320"/>
      <c r="R384" s="320"/>
      <c r="S384" s="320"/>
      <c r="T384" s="320">
        <f t="shared" si="61"/>
        <v>0</v>
      </c>
      <c r="U384" s="320"/>
      <c r="V384" s="320"/>
      <c r="W384" s="1521"/>
      <c r="X384" s="1521"/>
      <c r="Y384" s="1521"/>
      <c r="Z384" s="1521"/>
      <c r="AA384" s="1521"/>
      <c r="AB384" s="1521"/>
      <c r="AC384" s="1521"/>
      <c r="AD384" s="1521"/>
      <c r="AE384" s="1521"/>
      <c r="AF384" s="1521"/>
      <c r="AG384" s="1521"/>
      <c r="AH384" s="1521"/>
      <c r="AI384" s="1521"/>
      <c r="AJ384" s="320"/>
      <c r="AK384" s="320"/>
      <c r="AL384" s="320"/>
      <c r="AM384" s="320"/>
      <c r="AN384" s="1523">
        <f t="shared" si="62"/>
        <v>0</v>
      </c>
      <c r="AO384" s="320"/>
      <c r="AP384" s="320"/>
      <c r="AQ384" s="1521"/>
      <c r="AR384" s="1521"/>
      <c r="AS384" s="1521"/>
      <c r="AT384" s="1521"/>
      <c r="AU384" s="1521"/>
      <c r="AV384" s="1521"/>
      <c r="AW384" s="320"/>
      <c r="AX384" s="161"/>
      <c r="AY384" s="1540"/>
      <c r="AZ384" s="1560" t="e">
        <f>#REF!-#REF!</f>
        <v>#REF!</v>
      </c>
      <c r="BA384" s="1560">
        <f>IF(C384="Scheme",IF(SUM(AJ384:AS384)&gt;0,IF(H384&lt;#REF!,H384-#REF!,0),0),0)</f>
        <v>0</v>
      </c>
      <c r="BB384" s="1560">
        <f t="shared" si="63"/>
        <v>0</v>
      </c>
    </row>
    <row r="385" spans="1:56" ht="409.5" customHeight="1" outlineLevel="1" x14ac:dyDescent="0.35">
      <c r="A385" s="1492"/>
      <c r="B385" s="1492" t="s">
        <v>1998</v>
      </c>
      <c r="C385" s="1492" t="s">
        <v>936</v>
      </c>
      <c r="D385" s="1488"/>
      <c r="E385" s="1495"/>
      <c r="F385" s="1413"/>
      <c r="G385" s="618"/>
      <c r="H385" s="1417">
        <f>SUM(W385:AB385)</f>
        <v>47.3</v>
      </c>
      <c r="I385" s="161"/>
      <c r="J385" s="161"/>
      <c r="K385" s="1413"/>
      <c r="L385" s="1414"/>
      <c r="M385" s="1414"/>
      <c r="N385" s="1414"/>
      <c r="O385" s="1596" t="s">
        <v>2318</v>
      </c>
      <c r="P385" s="1521"/>
      <c r="Q385" s="320"/>
      <c r="R385" s="320"/>
      <c r="S385" s="320"/>
      <c r="T385" s="320">
        <f t="shared" si="61"/>
        <v>0</v>
      </c>
      <c r="U385" s="320"/>
      <c r="V385" s="320"/>
      <c r="W385" s="1521"/>
      <c r="X385" s="1595">
        <v>7.3</v>
      </c>
      <c r="Y385" s="1595">
        <v>10</v>
      </c>
      <c r="Z385" s="1595">
        <v>10</v>
      </c>
      <c r="AA385" s="1595">
        <v>10</v>
      </c>
      <c r="AB385" s="1595">
        <v>10</v>
      </c>
      <c r="AC385" s="1521"/>
      <c r="AD385" s="1521"/>
      <c r="AE385" s="1521"/>
      <c r="AF385" s="1521"/>
      <c r="AG385" s="1521"/>
      <c r="AH385" s="1521"/>
      <c r="AI385" s="1521"/>
      <c r="AJ385" s="320"/>
      <c r="AK385" s="320"/>
      <c r="AL385" s="320"/>
      <c r="AM385" s="320"/>
      <c r="AN385" s="1523">
        <f t="shared" si="62"/>
        <v>0</v>
      </c>
      <c r="AO385" s="320"/>
      <c r="AP385" s="320"/>
      <c r="AQ385" s="1521"/>
      <c r="AR385" s="1595">
        <v>7.3</v>
      </c>
      <c r="AS385" s="1595">
        <v>10</v>
      </c>
      <c r="AT385" s="1595">
        <v>10</v>
      </c>
      <c r="AU385" s="1595">
        <v>10</v>
      </c>
      <c r="AV385" s="1595">
        <v>10</v>
      </c>
      <c r="AW385" s="320"/>
      <c r="AX385" s="161"/>
      <c r="AY385" s="1540"/>
      <c r="AZ385" s="1560" t="e">
        <f>#REF!-#REF!</f>
        <v>#REF!</v>
      </c>
      <c r="BA385" s="1560" t="e">
        <f>IF(C385="Scheme",IF(SUM(AJ385:AS385)&gt;0,IF(H385&lt;#REF!,H385-#REF!,0),0),0)</f>
        <v>#REF!</v>
      </c>
      <c r="BB385" s="1560">
        <f t="shared" si="63"/>
        <v>-17.3</v>
      </c>
      <c r="BC385" s="96" t="s">
        <v>256</v>
      </c>
      <c r="BD385" s="96" t="s">
        <v>1931</v>
      </c>
    </row>
    <row r="386" spans="1:56" ht="31" outlineLevel="1" x14ac:dyDescent="0.25">
      <c r="A386" s="1486">
        <v>2</v>
      </c>
      <c r="B386" s="1491" t="s">
        <v>1999</v>
      </c>
      <c r="C386" s="1486" t="s">
        <v>928</v>
      </c>
      <c r="D386" s="1488"/>
      <c r="E386" s="1495"/>
      <c r="F386" s="1413"/>
      <c r="G386" s="618"/>
      <c r="H386" s="1597">
        <f>H387+H388+H389</f>
        <v>25.679999999999996</v>
      </c>
      <c r="I386" s="161"/>
      <c r="J386" s="161"/>
      <c r="K386" s="1413"/>
      <c r="L386" s="1414"/>
      <c r="M386" s="1414"/>
      <c r="N386" s="1414"/>
      <c r="O386" s="1551"/>
      <c r="P386" s="1521"/>
      <c r="Q386" s="320"/>
      <c r="R386" s="320"/>
      <c r="S386" s="320"/>
      <c r="T386" s="320">
        <f t="shared" si="61"/>
        <v>0</v>
      </c>
      <c r="U386" s="320"/>
      <c r="V386" s="320"/>
      <c r="W386" s="1521"/>
      <c r="X386" s="1521"/>
      <c r="Y386" s="1521"/>
      <c r="Z386" s="1521"/>
      <c r="AA386" s="1521"/>
      <c r="AB386" s="1521"/>
      <c r="AC386" s="1521"/>
      <c r="AD386" s="1521"/>
      <c r="AE386" s="1521"/>
      <c r="AF386" s="1521"/>
      <c r="AG386" s="1521"/>
      <c r="AH386" s="1521"/>
      <c r="AI386" s="1521"/>
      <c r="AJ386" s="320"/>
      <c r="AK386" s="320"/>
      <c r="AL386" s="320"/>
      <c r="AM386" s="320"/>
      <c r="AN386" s="1523">
        <f t="shared" si="62"/>
        <v>0</v>
      </c>
      <c r="AO386" s="320"/>
      <c r="AP386" s="320"/>
      <c r="AQ386" s="1521"/>
      <c r="AR386" s="1521"/>
      <c r="AS386" s="1521"/>
      <c r="AT386" s="1521"/>
      <c r="AU386" s="1521"/>
      <c r="AV386" s="1521"/>
      <c r="AW386" s="320"/>
      <c r="AX386" s="161"/>
      <c r="AY386" s="1540"/>
      <c r="AZ386" s="1560" t="e">
        <f>#REF!-#REF!</f>
        <v>#REF!</v>
      </c>
      <c r="BA386" s="1560">
        <f>IF(C386="Scheme",IF(SUM(AJ386:AS386)&gt;0,IF(H386&lt;#REF!,H386-#REF!,0),0),0)</f>
        <v>0</v>
      </c>
      <c r="BB386" s="1560">
        <f t="shared" si="63"/>
        <v>0</v>
      </c>
    </row>
    <row r="387" spans="1:56" ht="189" customHeight="1" outlineLevel="1" x14ac:dyDescent="0.35">
      <c r="A387" s="1492"/>
      <c r="B387" s="1492" t="s">
        <v>2000</v>
      </c>
      <c r="C387" s="1492" t="s">
        <v>936</v>
      </c>
      <c r="D387" s="1488"/>
      <c r="E387" s="1495"/>
      <c r="F387" s="1413"/>
      <c r="G387" s="618"/>
      <c r="H387" s="1417">
        <f>SUM(W387:AB387)</f>
        <v>12.52</v>
      </c>
      <c r="I387" s="161"/>
      <c r="J387" s="161"/>
      <c r="K387" s="1413"/>
      <c r="L387" s="1414"/>
      <c r="M387" s="1414"/>
      <c r="N387" s="1414"/>
      <c r="O387" s="1596" t="s">
        <v>2319</v>
      </c>
      <c r="P387" s="1521"/>
      <c r="Q387" s="320"/>
      <c r="R387" s="320"/>
      <c r="S387" s="320"/>
      <c r="T387" s="320">
        <f t="shared" si="61"/>
        <v>0</v>
      </c>
      <c r="U387" s="320"/>
      <c r="V387" s="320"/>
      <c r="W387" s="1521"/>
      <c r="X387" s="1595">
        <v>12.52</v>
      </c>
      <c r="Y387" s="1521"/>
      <c r="Z387" s="1521"/>
      <c r="AA387" s="1521"/>
      <c r="AB387" s="1521"/>
      <c r="AC387" s="1521"/>
      <c r="AD387" s="1521"/>
      <c r="AE387" s="1521"/>
      <c r="AF387" s="1521"/>
      <c r="AG387" s="1521"/>
      <c r="AH387" s="1521"/>
      <c r="AI387" s="1521"/>
      <c r="AJ387" s="320"/>
      <c r="AK387" s="320"/>
      <c r="AL387" s="320"/>
      <c r="AM387" s="320"/>
      <c r="AN387" s="1523">
        <f t="shared" si="62"/>
        <v>0</v>
      </c>
      <c r="AO387" s="320"/>
      <c r="AP387" s="320"/>
      <c r="AQ387" s="1521"/>
      <c r="AR387" s="1595">
        <v>12.52</v>
      </c>
      <c r="AS387" s="1521"/>
      <c r="AT387" s="1521"/>
      <c r="AU387" s="1521"/>
      <c r="AV387" s="1521"/>
      <c r="AW387" s="320"/>
      <c r="AX387" s="161"/>
      <c r="AY387" s="1540"/>
      <c r="AZ387" s="1560" t="e">
        <f>#REF!-#REF!</f>
        <v>#REF!</v>
      </c>
      <c r="BA387" s="1560" t="e">
        <f>IF(C387="Scheme",IF(SUM(AJ387:AS387)&gt;0,IF(H387&lt;#REF!,H387-#REF!,0),0),0)</f>
        <v>#REF!</v>
      </c>
      <c r="BB387" s="1560">
        <f t="shared" si="63"/>
        <v>-12.52</v>
      </c>
      <c r="BC387" s="96" t="s">
        <v>256</v>
      </c>
      <c r="BD387" s="96" t="s">
        <v>1931</v>
      </c>
    </row>
    <row r="388" spans="1:56" ht="409.5" customHeight="1" outlineLevel="1" x14ac:dyDescent="0.35">
      <c r="A388" s="1492"/>
      <c r="B388" s="1492" t="s">
        <v>2001</v>
      </c>
      <c r="C388" s="1492" t="s">
        <v>936</v>
      </c>
      <c r="D388" s="1488"/>
      <c r="E388" s="1495"/>
      <c r="F388" s="1413"/>
      <c r="G388" s="618"/>
      <c r="H388" s="1417">
        <f>SUM(W388:AB388)</f>
        <v>12.35</v>
      </c>
      <c r="I388" s="161"/>
      <c r="J388" s="161"/>
      <c r="K388" s="1413"/>
      <c r="L388" s="1414"/>
      <c r="M388" s="1414"/>
      <c r="N388" s="1414"/>
      <c r="O388" s="1598" t="s">
        <v>2320</v>
      </c>
      <c r="P388" s="1521"/>
      <c r="Q388" s="320"/>
      <c r="R388" s="320"/>
      <c r="S388" s="320"/>
      <c r="T388" s="320">
        <f t="shared" si="61"/>
        <v>0</v>
      </c>
      <c r="U388" s="320"/>
      <c r="V388" s="320"/>
      <c r="W388" s="1521"/>
      <c r="X388" s="1595">
        <v>2</v>
      </c>
      <c r="Y388" s="1595">
        <v>4.3499999999999996</v>
      </c>
      <c r="Z388" s="1595">
        <v>1</v>
      </c>
      <c r="AA388" s="1595">
        <v>5</v>
      </c>
      <c r="AB388" s="1595"/>
      <c r="AC388" s="1521"/>
      <c r="AD388" s="1521"/>
      <c r="AE388" s="1521"/>
      <c r="AF388" s="1521"/>
      <c r="AG388" s="1521"/>
      <c r="AH388" s="1521"/>
      <c r="AI388" s="1521"/>
      <c r="AJ388" s="320"/>
      <c r="AK388" s="320"/>
      <c r="AL388" s="320"/>
      <c r="AM388" s="320"/>
      <c r="AN388" s="1523">
        <f t="shared" si="62"/>
        <v>0</v>
      </c>
      <c r="AO388" s="320"/>
      <c r="AP388" s="320"/>
      <c r="AQ388" s="1521"/>
      <c r="AR388" s="1595">
        <v>2</v>
      </c>
      <c r="AS388" s="1595">
        <v>4.3499999999999996</v>
      </c>
      <c r="AT388" s="1595">
        <v>1</v>
      </c>
      <c r="AU388" s="1595">
        <v>5</v>
      </c>
      <c r="AV388" s="1595"/>
      <c r="AW388" s="320"/>
      <c r="AX388" s="161"/>
      <c r="AY388" s="1540"/>
      <c r="AZ388" s="1560" t="e">
        <f>#REF!-#REF!</f>
        <v>#REF!</v>
      </c>
      <c r="BA388" s="1560" t="e">
        <f>IF(C388="Scheme",IF(SUM(AJ388:AS388)&gt;0,IF(H388&lt;#REF!,H388-#REF!,0),0),0)</f>
        <v>#REF!</v>
      </c>
      <c r="BB388" s="1560">
        <f t="shared" si="63"/>
        <v>-6.35</v>
      </c>
      <c r="BC388" s="96" t="s">
        <v>256</v>
      </c>
      <c r="BD388" s="96" t="s">
        <v>1931</v>
      </c>
    </row>
    <row r="389" spans="1:56" ht="409.5" customHeight="1" outlineLevel="1" x14ac:dyDescent="0.35">
      <c r="A389" s="1492"/>
      <c r="B389" s="1492" t="s">
        <v>2002</v>
      </c>
      <c r="C389" s="1492" t="s">
        <v>936</v>
      </c>
      <c r="D389" s="1488"/>
      <c r="E389" s="1495"/>
      <c r="F389" s="1413"/>
      <c r="G389" s="618"/>
      <c r="H389" s="1417">
        <f>SUM(W389:AB389)</f>
        <v>0.81</v>
      </c>
      <c r="I389" s="161"/>
      <c r="J389" s="161"/>
      <c r="K389" s="1413"/>
      <c r="L389" s="1414"/>
      <c r="M389" s="1414"/>
      <c r="N389" s="1414"/>
      <c r="O389" s="1596" t="s">
        <v>2321</v>
      </c>
      <c r="P389" s="1521"/>
      <c r="Q389" s="320"/>
      <c r="R389" s="320"/>
      <c r="S389" s="320"/>
      <c r="T389" s="320">
        <f t="shared" si="61"/>
        <v>0</v>
      </c>
      <c r="U389" s="320"/>
      <c r="V389" s="320"/>
      <c r="W389" s="1521"/>
      <c r="X389" s="1595">
        <v>0.81</v>
      </c>
      <c r="Y389" s="1595"/>
      <c r="Z389" s="1595"/>
      <c r="AA389" s="1595"/>
      <c r="AB389" s="1595"/>
      <c r="AC389" s="1521"/>
      <c r="AD389" s="1521"/>
      <c r="AE389" s="1521"/>
      <c r="AF389" s="1521"/>
      <c r="AG389" s="1521"/>
      <c r="AH389" s="1521"/>
      <c r="AI389" s="1521"/>
      <c r="AJ389" s="320"/>
      <c r="AK389" s="320"/>
      <c r="AL389" s="320"/>
      <c r="AM389" s="320"/>
      <c r="AN389" s="1523">
        <f t="shared" si="62"/>
        <v>0</v>
      </c>
      <c r="AO389" s="320"/>
      <c r="AP389" s="320"/>
      <c r="AQ389" s="1521"/>
      <c r="AR389" s="1595">
        <v>0.81</v>
      </c>
      <c r="AS389" s="1595"/>
      <c r="AT389" s="1595"/>
      <c r="AU389" s="1595"/>
      <c r="AV389" s="1595"/>
      <c r="AW389" s="320"/>
      <c r="AX389" s="161"/>
      <c r="AY389" s="1540"/>
      <c r="AZ389" s="1560" t="e">
        <f>#REF!-#REF!</f>
        <v>#REF!</v>
      </c>
      <c r="BA389" s="1560" t="e">
        <f>IF(C389="Scheme",IF(SUM(AJ389:AS389)&gt;0,IF(H389&lt;#REF!,H389-#REF!,0),0),0)</f>
        <v>#REF!</v>
      </c>
      <c r="BB389" s="1560">
        <f t="shared" si="63"/>
        <v>-0.81</v>
      </c>
      <c r="BC389" s="96" t="s">
        <v>256</v>
      </c>
      <c r="BD389" s="96" t="s">
        <v>1931</v>
      </c>
    </row>
    <row r="390" spans="1:56" ht="46.5" outlineLevel="1" x14ac:dyDescent="0.25">
      <c r="A390" s="1486">
        <v>3</v>
      </c>
      <c r="B390" s="1491" t="s">
        <v>2003</v>
      </c>
      <c r="C390" s="1486" t="s">
        <v>928</v>
      </c>
      <c r="D390" s="1488"/>
      <c r="E390" s="1495"/>
      <c r="F390" s="1413"/>
      <c r="G390" s="618"/>
      <c r="H390" s="1597">
        <f>H391+H392+H393+H394</f>
        <v>29</v>
      </c>
      <c r="I390" s="161"/>
      <c r="J390" s="161"/>
      <c r="K390" s="1413"/>
      <c r="L390" s="1414"/>
      <c r="M390" s="1414"/>
      <c r="N390" s="1414"/>
      <c r="O390" s="1551"/>
      <c r="P390" s="1521"/>
      <c r="Q390" s="320"/>
      <c r="R390" s="320"/>
      <c r="S390" s="320"/>
      <c r="T390" s="320">
        <f t="shared" si="61"/>
        <v>0</v>
      </c>
      <c r="U390" s="320"/>
      <c r="V390" s="320"/>
      <c r="W390" s="1521"/>
      <c r="X390" s="1521"/>
      <c r="Y390" s="1521"/>
      <c r="Z390" s="1521"/>
      <c r="AA390" s="1521"/>
      <c r="AB390" s="1521"/>
      <c r="AC390" s="1521"/>
      <c r="AD390" s="1521"/>
      <c r="AE390" s="1521"/>
      <c r="AF390" s="1521"/>
      <c r="AG390" s="1521"/>
      <c r="AH390" s="1521"/>
      <c r="AI390" s="1521"/>
      <c r="AJ390" s="320"/>
      <c r="AK390" s="320"/>
      <c r="AL390" s="320"/>
      <c r="AM390" s="320"/>
      <c r="AN390" s="1523">
        <f t="shared" si="62"/>
        <v>0</v>
      </c>
      <c r="AO390" s="320"/>
      <c r="AP390" s="320"/>
      <c r="AQ390" s="1521"/>
      <c r="AR390" s="1521"/>
      <c r="AS390" s="1521"/>
      <c r="AT390" s="1521"/>
      <c r="AU390" s="1521"/>
      <c r="AV390" s="1521"/>
      <c r="AW390" s="320"/>
      <c r="AX390" s="161"/>
      <c r="AY390" s="1540"/>
      <c r="AZ390" s="1560" t="e">
        <f>#REF!-#REF!</f>
        <v>#REF!</v>
      </c>
      <c r="BA390" s="1560">
        <f>IF(C390="Scheme",IF(SUM(AJ390:AS390)&gt;0,IF(H390&lt;#REF!,H390-#REF!,0),0),0)</f>
        <v>0</v>
      </c>
      <c r="BB390" s="1560">
        <f t="shared" si="63"/>
        <v>0</v>
      </c>
    </row>
    <row r="391" spans="1:56" ht="409.5" outlineLevel="1" x14ac:dyDescent="0.35">
      <c r="A391" s="1492"/>
      <c r="B391" s="1492" t="s">
        <v>2004</v>
      </c>
      <c r="C391" s="1492" t="s">
        <v>936</v>
      </c>
      <c r="D391" s="1488"/>
      <c r="E391" s="1495"/>
      <c r="F391" s="1413"/>
      <c r="G391" s="618"/>
      <c r="H391" s="1417">
        <f>SUM(W391:AB391)</f>
        <v>14</v>
      </c>
      <c r="I391" s="161"/>
      <c r="J391" s="161"/>
      <c r="K391" s="1413"/>
      <c r="L391" s="1414"/>
      <c r="M391" s="1414"/>
      <c r="N391" s="1414"/>
      <c r="O391" s="1598" t="s">
        <v>2322</v>
      </c>
      <c r="P391" s="1521"/>
      <c r="Q391" s="320"/>
      <c r="R391" s="320"/>
      <c r="S391" s="320"/>
      <c r="T391" s="320">
        <f t="shared" si="61"/>
        <v>0</v>
      </c>
      <c r="U391" s="320"/>
      <c r="V391" s="320"/>
      <c r="W391" s="1521"/>
      <c r="X391" s="1595">
        <v>14</v>
      </c>
      <c r="Y391" s="1595"/>
      <c r="Z391" s="1521"/>
      <c r="AA391" s="1521"/>
      <c r="AB391" s="1521"/>
      <c r="AC391" s="1521"/>
      <c r="AD391" s="1521"/>
      <c r="AE391" s="1521"/>
      <c r="AF391" s="1521"/>
      <c r="AG391" s="1521"/>
      <c r="AH391" s="1521"/>
      <c r="AI391" s="1521"/>
      <c r="AJ391" s="320"/>
      <c r="AK391" s="320"/>
      <c r="AL391" s="320"/>
      <c r="AM391" s="320"/>
      <c r="AN391" s="1523">
        <f t="shared" si="62"/>
        <v>0</v>
      </c>
      <c r="AO391" s="320"/>
      <c r="AP391" s="320"/>
      <c r="AQ391" s="1521"/>
      <c r="AR391" s="1595">
        <v>14</v>
      </c>
      <c r="AS391" s="1595"/>
      <c r="AT391" s="1521"/>
      <c r="AU391" s="1521"/>
      <c r="AV391" s="1521"/>
      <c r="AW391" s="320"/>
      <c r="AX391" s="161"/>
      <c r="AY391" s="1540"/>
      <c r="AZ391" s="1560" t="e">
        <f>#REF!-#REF!</f>
        <v>#REF!</v>
      </c>
      <c r="BA391" s="1560" t="e">
        <f>IF(C391="Scheme",IF(SUM(AJ391:AS391)&gt;0,IF(H391&lt;#REF!,H391-#REF!,0),0),0)</f>
        <v>#REF!</v>
      </c>
      <c r="BB391" s="1560">
        <f t="shared" si="63"/>
        <v>-14</v>
      </c>
      <c r="BC391" s="96" t="s">
        <v>847</v>
      </c>
      <c r="BD391" s="96" t="s">
        <v>1931</v>
      </c>
    </row>
    <row r="392" spans="1:56" ht="409.5" customHeight="1" outlineLevel="1" x14ac:dyDescent="0.35">
      <c r="A392" s="1492"/>
      <c r="B392" s="1492" t="s">
        <v>2005</v>
      </c>
      <c r="C392" s="1492" t="s">
        <v>936</v>
      </c>
      <c r="D392" s="1488"/>
      <c r="E392" s="1495"/>
      <c r="F392" s="1413"/>
      <c r="G392" s="618"/>
      <c r="H392" s="1417">
        <f>SUM(W392:AB392)</f>
        <v>6.8000000000000007</v>
      </c>
      <c r="I392" s="161"/>
      <c r="J392" s="161"/>
      <c r="K392" s="1413"/>
      <c r="L392" s="1414"/>
      <c r="M392" s="1414"/>
      <c r="N392" s="1414"/>
      <c r="O392" s="1596" t="s">
        <v>2323</v>
      </c>
      <c r="P392" s="1521"/>
      <c r="Q392" s="320"/>
      <c r="R392" s="320"/>
      <c r="S392" s="320"/>
      <c r="T392" s="320">
        <f t="shared" ref="T392:T455" si="64">SUM(P392:S392)</f>
        <v>0</v>
      </c>
      <c r="U392" s="320"/>
      <c r="V392" s="320"/>
      <c r="W392" s="1521"/>
      <c r="X392" s="1595">
        <v>1.1000000000000001</v>
      </c>
      <c r="Y392" s="1595">
        <v>5.7</v>
      </c>
      <c r="Z392" s="1595"/>
      <c r="AA392" s="1595"/>
      <c r="AB392" s="1595"/>
      <c r="AC392" s="1521"/>
      <c r="AD392" s="1521"/>
      <c r="AE392" s="1521"/>
      <c r="AF392" s="1521"/>
      <c r="AG392" s="1521"/>
      <c r="AH392" s="1521"/>
      <c r="AI392" s="1521"/>
      <c r="AJ392" s="320"/>
      <c r="AK392" s="320"/>
      <c r="AL392" s="320"/>
      <c r="AM392" s="320"/>
      <c r="AN392" s="1523">
        <f t="shared" ref="AN392:AN455" si="65">SUM(AJ392:AM392)</f>
        <v>0</v>
      </c>
      <c r="AO392" s="320"/>
      <c r="AP392" s="320"/>
      <c r="AQ392" s="1521"/>
      <c r="AR392" s="1595">
        <v>1.1000000000000001</v>
      </c>
      <c r="AS392" s="1595">
        <v>5.7</v>
      </c>
      <c r="AT392" s="1595"/>
      <c r="AU392" s="1595"/>
      <c r="AV392" s="1595"/>
      <c r="AW392" s="320"/>
      <c r="AX392" s="161"/>
      <c r="AY392" s="1540"/>
      <c r="AZ392" s="1560" t="e">
        <f>#REF!-#REF!</f>
        <v>#REF!</v>
      </c>
      <c r="BA392" s="1560" t="e">
        <f>IF(C392="Scheme",IF(SUM(AJ392:AS392)&gt;0,IF(H392&lt;#REF!,H392-#REF!,0),0),0)</f>
        <v>#REF!</v>
      </c>
      <c r="BB392" s="1560">
        <f t="shared" si="63"/>
        <v>-6.8000000000000007</v>
      </c>
      <c r="BC392" s="96" t="s">
        <v>256</v>
      </c>
      <c r="BD392" s="96" t="s">
        <v>1931</v>
      </c>
    </row>
    <row r="393" spans="1:56" ht="330.75" customHeight="1" outlineLevel="1" x14ac:dyDescent="0.35">
      <c r="A393" s="1492"/>
      <c r="B393" s="1492" t="s">
        <v>2006</v>
      </c>
      <c r="C393" s="1492" t="s">
        <v>936</v>
      </c>
      <c r="D393" s="1488"/>
      <c r="E393" s="1495"/>
      <c r="F393" s="1413"/>
      <c r="G393" s="618"/>
      <c r="H393" s="1417">
        <f>SUM(W393:AB393)</f>
        <v>1.8</v>
      </c>
      <c r="I393" s="161"/>
      <c r="J393" s="161"/>
      <c r="K393" s="1413"/>
      <c r="L393" s="1414"/>
      <c r="M393" s="1414"/>
      <c r="N393" s="1414"/>
      <c r="O393" s="1596" t="s">
        <v>2324</v>
      </c>
      <c r="P393" s="1521"/>
      <c r="Q393" s="320"/>
      <c r="R393" s="320"/>
      <c r="S393" s="320"/>
      <c r="T393" s="320">
        <f t="shared" si="64"/>
        <v>0</v>
      </c>
      <c r="U393" s="320"/>
      <c r="V393" s="320"/>
      <c r="W393" s="1521"/>
      <c r="X393" s="1595"/>
      <c r="Y393" s="1595">
        <v>1.8</v>
      </c>
      <c r="Z393" s="1521"/>
      <c r="AA393" s="1521"/>
      <c r="AB393" s="1521"/>
      <c r="AC393" s="1521"/>
      <c r="AD393" s="1521"/>
      <c r="AE393" s="1521"/>
      <c r="AF393" s="1521"/>
      <c r="AG393" s="1521"/>
      <c r="AH393" s="1521"/>
      <c r="AI393" s="1521"/>
      <c r="AJ393" s="320"/>
      <c r="AK393" s="320"/>
      <c r="AL393" s="320"/>
      <c r="AM393" s="320"/>
      <c r="AN393" s="1523">
        <f t="shared" si="65"/>
        <v>0</v>
      </c>
      <c r="AO393" s="320"/>
      <c r="AP393" s="320"/>
      <c r="AQ393" s="1521"/>
      <c r="AR393" s="1595"/>
      <c r="AS393" s="1595">
        <v>1.8</v>
      </c>
      <c r="AT393" s="1521"/>
      <c r="AU393" s="1521"/>
      <c r="AV393" s="1521"/>
      <c r="AW393" s="320"/>
      <c r="AX393" s="161"/>
      <c r="AY393" s="1540"/>
      <c r="AZ393" s="1560" t="e">
        <f>#REF!-#REF!</f>
        <v>#REF!</v>
      </c>
      <c r="BA393" s="1560" t="e">
        <f>IF(C393="Scheme",IF(SUM(AJ393:AS393)&gt;0,IF(H393&lt;#REF!,H393-#REF!,0),0),0)</f>
        <v>#REF!</v>
      </c>
      <c r="BB393" s="1560">
        <f t="shared" si="63"/>
        <v>-1.8</v>
      </c>
      <c r="BC393" s="96" t="s">
        <v>256</v>
      </c>
      <c r="BD393" s="96" t="s">
        <v>1931</v>
      </c>
    </row>
    <row r="394" spans="1:56" ht="46.5" outlineLevel="1" x14ac:dyDescent="0.25">
      <c r="A394" s="1492"/>
      <c r="B394" s="1492" t="s">
        <v>2007</v>
      </c>
      <c r="C394" s="1492" t="s">
        <v>936</v>
      </c>
      <c r="D394" s="166"/>
      <c r="E394" s="1413"/>
      <c r="F394" s="1413"/>
      <c r="G394" s="161"/>
      <c r="H394" s="1417">
        <f>SUM(W394:AB394)</f>
        <v>6.4</v>
      </c>
      <c r="I394" s="161"/>
      <c r="J394" s="161"/>
      <c r="K394" s="1413"/>
      <c r="L394" s="1414"/>
      <c r="M394" s="1414"/>
      <c r="N394" s="1414"/>
      <c r="O394" s="1551" t="s">
        <v>2325</v>
      </c>
      <c r="P394" s="320"/>
      <c r="Q394" s="1521"/>
      <c r="R394" s="1521"/>
      <c r="S394" s="1521"/>
      <c r="T394" s="1521">
        <f t="shared" si="64"/>
        <v>0</v>
      </c>
      <c r="U394" s="1521"/>
      <c r="V394" s="1521"/>
      <c r="W394" s="1521"/>
      <c r="X394" s="1521">
        <v>1.4</v>
      </c>
      <c r="Y394" s="1521">
        <v>5</v>
      </c>
      <c r="Z394" s="1521"/>
      <c r="AA394" s="1521"/>
      <c r="AB394" s="1521"/>
      <c r="AC394" s="1522"/>
      <c r="AD394" s="1522"/>
      <c r="AE394" s="1522"/>
      <c r="AF394" s="1522"/>
      <c r="AG394" s="1522"/>
      <c r="AH394" s="1522"/>
      <c r="AI394" s="1522"/>
      <c r="AJ394" s="320"/>
      <c r="AK394" s="161"/>
      <c r="AL394" s="161"/>
      <c r="AM394" s="161"/>
      <c r="AN394" s="1523">
        <f t="shared" si="65"/>
        <v>0</v>
      </c>
      <c r="AO394" s="161"/>
      <c r="AP394" s="161"/>
      <c r="AQ394" s="1521"/>
      <c r="AR394" s="1521">
        <v>1.4</v>
      </c>
      <c r="AS394" s="1521">
        <v>5</v>
      </c>
      <c r="AT394" s="1521"/>
      <c r="AU394" s="1521"/>
      <c r="AV394" s="1521"/>
      <c r="AW394" s="161"/>
      <c r="AX394" s="161"/>
      <c r="AY394" s="1636"/>
      <c r="AZ394" s="1560" t="e">
        <f>#REF!-#REF!</f>
        <v>#REF!</v>
      </c>
      <c r="BA394" s="1560" t="e">
        <f>IF(C394="Scheme",IF(SUM(AJ394:AS394)&gt;0,IF(H394&lt;#REF!,H394-#REF!,0),0),0)</f>
        <v>#REF!</v>
      </c>
      <c r="BB394" s="1560">
        <f t="shared" si="63"/>
        <v>-6.4</v>
      </c>
      <c r="BC394" s="96" t="s">
        <v>256</v>
      </c>
      <c r="BD394" s="96" t="s">
        <v>1931</v>
      </c>
    </row>
    <row r="395" spans="1:56" ht="15.5" outlineLevel="1" x14ac:dyDescent="0.25">
      <c r="A395" s="1504"/>
      <c r="B395" s="1504" t="s">
        <v>2008</v>
      </c>
      <c r="C395" s="1504"/>
      <c r="D395" s="1488"/>
      <c r="E395" s="1495"/>
      <c r="F395" s="1413"/>
      <c r="G395" s="618"/>
      <c r="H395" s="1594"/>
      <c r="I395" s="161"/>
      <c r="J395" s="161"/>
      <c r="K395" s="1413"/>
      <c r="L395" s="1414"/>
      <c r="M395" s="1414"/>
      <c r="N395" s="1414"/>
      <c r="O395" s="1551"/>
      <c r="P395" s="1521"/>
      <c r="Q395" s="320"/>
      <c r="R395" s="320"/>
      <c r="S395" s="320"/>
      <c r="T395" s="320">
        <f t="shared" si="64"/>
        <v>0</v>
      </c>
      <c r="U395" s="320"/>
      <c r="V395" s="320"/>
      <c r="W395" s="1521"/>
      <c r="X395" s="1521"/>
      <c r="Y395" s="1521"/>
      <c r="Z395" s="1521"/>
      <c r="AA395" s="1521"/>
      <c r="AB395" s="1521"/>
      <c r="AC395" s="1521"/>
      <c r="AD395" s="1521"/>
      <c r="AE395" s="1521"/>
      <c r="AF395" s="1521"/>
      <c r="AG395" s="1521"/>
      <c r="AH395" s="1521"/>
      <c r="AI395" s="1521"/>
      <c r="AJ395" s="320"/>
      <c r="AK395" s="320"/>
      <c r="AL395" s="320"/>
      <c r="AM395" s="320"/>
      <c r="AN395" s="1523">
        <f t="shared" si="65"/>
        <v>0</v>
      </c>
      <c r="AO395" s="320"/>
      <c r="AP395" s="320"/>
      <c r="AQ395" s="1521"/>
      <c r="AR395" s="1521"/>
      <c r="AS395" s="1521"/>
      <c r="AT395" s="1521"/>
      <c r="AU395" s="1521"/>
      <c r="AV395" s="1521"/>
      <c r="AW395" s="320"/>
      <c r="AX395" s="161"/>
      <c r="AY395" s="1540"/>
      <c r="AZ395" s="1560" t="e">
        <f>#REF!-#REF!</f>
        <v>#REF!</v>
      </c>
      <c r="BA395" s="1560">
        <f>IF(C395="Scheme",IF(SUM(AJ395:AS395)&gt;0,IF(H395&lt;#REF!,H395-#REF!,0),0),0)</f>
        <v>0</v>
      </c>
      <c r="BB395" s="1560">
        <f t="shared" si="63"/>
        <v>0</v>
      </c>
    </row>
    <row r="396" spans="1:56" ht="62" outlineLevel="1" x14ac:dyDescent="0.25">
      <c r="A396" s="1486">
        <v>1</v>
      </c>
      <c r="B396" s="1491" t="s">
        <v>2009</v>
      </c>
      <c r="C396" s="1486" t="s">
        <v>928</v>
      </c>
      <c r="D396" s="1488"/>
      <c r="E396" s="1495"/>
      <c r="F396" s="1413"/>
      <c r="G396" s="618"/>
      <c r="H396" s="1594">
        <f>H397</f>
        <v>48.607999999999997</v>
      </c>
      <c r="I396" s="161"/>
      <c r="J396" s="161"/>
      <c r="K396" s="1413"/>
      <c r="L396" s="1414"/>
      <c r="M396" s="1414"/>
      <c r="N396" s="1414"/>
      <c r="O396" s="1551"/>
      <c r="P396" s="1521"/>
      <c r="Q396" s="320"/>
      <c r="R396" s="320"/>
      <c r="S396" s="320"/>
      <c r="T396" s="320">
        <f t="shared" si="64"/>
        <v>0</v>
      </c>
      <c r="U396" s="320"/>
      <c r="V396" s="320"/>
      <c r="W396" s="1521"/>
      <c r="X396" s="1521"/>
      <c r="Y396" s="1521"/>
      <c r="Z396" s="1521"/>
      <c r="AA396" s="1521"/>
      <c r="AB396" s="1521"/>
      <c r="AC396" s="1521"/>
      <c r="AD396" s="1521"/>
      <c r="AE396" s="1521"/>
      <c r="AF396" s="1521"/>
      <c r="AG396" s="1521"/>
      <c r="AH396" s="1521"/>
      <c r="AI396" s="1521"/>
      <c r="AJ396" s="320"/>
      <c r="AK396" s="320"/>
      <c r="AL396" s="320"/>
      <c r="AM396" s="320"/>
      <c r="AN396" s="1523">
        <f t="shared" si="65"/>
        <v>0</v>
      </c>
      <c r="AO396" s="320"/>
      <c r="AP396" s="320"/>
      <c r="AQ396" s="1521"/>
      <c r="AR396" s="1521"/>
      <c r="AS396" s="1521"/>
      <c r="AT396" s="1521"/>
      <c r="AU396" s="1521"/>
      <c r="AV396" s="1521"/>
      <c r="AW396" s="320"/>
      <c r="AX396" s="161"/>
      <c r="AY396" s="1540"/>
      <c r="AZ396" s="1560" t="e">
        <f>#REF!-#REF!</f>
        <v>#REF!</v>
      </c>
      <c r="BA396" s="1560">
        <f>IF(C396="Scheme",IF(SUM(AJ396:AS396)&gt;0,IF(H396&lt;#REF!,H396-#REF!,0),0),0)</f>
        <v>0</v>
      </c>
      <c r="BB396" s="1560">
        <f t="shared" si="63"/>
        <v>0</v>
      </c>
    </row>
    <row r="397" spans="1:56" ht="409.5" customHeight="1" outlineLevel="1" x14ac:dyDescent="0.25">
      <c r="A397" s="1492"/>
      <c r="B397" s="1492" t="s">
        <v>2010</v>
      </c>
      <c r="C397" s="1492" t="s">
        <v>936</v>
      </c>
      <c r="D397" s="1488"/>
      <c r="E397" s="1495"/>
      <c r="F397" s="1413"/>
      <c r="G397" s="618"/>
      <c r="H397" s="1417">
        <f>SUM(W397:AB397)</f>
        <v>48.607999999999997</v>
      </c>
      <c r="I397" s="161"/>
      <c r="J397" s="161"/>
      <c r="K397" s="1413"/>
      <c r="L397" s="1414"/>
      <c r="M397" s="1414"/>
      <c r="N397" s="1414"/>
      <c r="O397" s="1599" t="s">
        <v>2326</v>
      </c>
      <c r="P397" s="1521"/>
      <c r="Q397" s="320"/>
      <c r="R397" s="320"/>
      <c r="S397" s="320"/>
      <c r="T397" s="320">
        <f t="shared" si="64"/>
        <v>0</v>
      </c>
      <c r="U397" s="320"/>
      <c r="V397" s="320"/>
      <c r="W397" s="1521"/>
      <c r="X397" s="1521"/>
      <c r="Y397" s="1600">
        <v>24.303999999999998</v>
      </c>
      <c r="Z397" s="1600">
        <v>24.303999999999998</v>
      </c>
      <c r="AA397" s="1521"/>
      <c r="AB397" s="1521"/>
      <c r="AC397" s="1521"/>
      <c r="AD397" s="1521"/>
      <c r="AE397" s="1521"/>
      <c r="AF397" s="1521"/>
      <c r="AG397" s="1521"/>
      <c r="AH397" s="1521"/>
      <c r="AI397" s="1521"/>
      <c r="AJ397" s="320"/>
      <c r="AK397" s="320"/>
      <c r="AL397" s="320"/>
      <c r="AM397" s="320"/>
      <c r="AN397" s="1523">
        <f t="shared" si="65"/>
        <v>0</v>
      </c>
      <c r="AO397" s="320"/>
      <c r="AP397" s="320"/>
      <c r="AQ397" s="1521"/>
      <c r="AR397" s="1521"/>
      <c r="AS397" s="1600">
        <v>24.303999999999998</v>
      </c>
      <c r="AT397" s="1600">
        <v>24.303999999999998</v>
      </c>
      <c r="AU397" s="1521"/>
      <c r="AV397" s="1521"/>
      <c r="AW397" s="320"/>
      <c r="AX397" s="161"/>
      <c r="AY397" s="1540"/>
      <c r="AZ397" s="1560" t="e">
        <f>#REF!-#REF!</f>
        <v>#REF!</v>
      </c>
      <c r="BA397" s="1560" t="e">
        <f>IF(C397="Scheme",IF(SUM(AJ397:AS397)&gt;0,IF(H397&lt;#REF!,H397-#REF!,0),0),0)</f>
        <v>#REF!</v>
      </c>
      <c r="BB397" s="1560">
        <f t="shared" si="63"/>
        <v>-24.303999999999998</v>
      </c>
      <c r="BC397" s="96" t="s">
        <v>256</v>
      </c>
      <c r="BD397" s="96" t="s">
        <v>1931</v>
      </c>
    </row>
    <row r="398" spans="1:56" ht="77.5" outlineLevel="1" x14ac:dyDescent="0.25">
      <c r="A398" s="1486">
        <v>2</v>
      </c>
      <c r="B398" s="1491" t="s">
        <v>2011</v>
      </c>
      <c r="C398" s="1486" t="s">
        <v>928</v>
      </c>
      <c r="D398" s="1488"/>
      <c r="E398" s="1495"/>
      <c r="F398" s="1413"/>
      <c r="G398" s="618"/>
      <c r="H398" s="1594">
        <f>SUM(H399:H405)</f>
        <v>25.39</v>
      </c>
      <c r="I398" s="161"/>
      <c r="J398" s="161"/>
      <c r="K398" s="1413"/>
      <c r="L398" s="1414"/>
      <c r="M398" s="1414"/>
      <c r="N398" s="1414"/>
      <c r="O398" s="1551"/>
      <c r="P398" s="1521"/>
      <c r="Q398" s="320"/>
      <c r="R398" s="320"/>
      <c r="S398" s="320"/>
      <c r="T398" s="320">
        <f t="shared" si="64"/>
        <v>0</v>
      </c>
      <c r="U398" s="320"/>
      <c r="V398" s="320"/>
      <c r="W398" s="1521"/>
      <c r="X398" s="1521"/>
      <c r="Y398" s="1521"/>
      <c r="Z398" s="1521"/>
      <c r="AA398" s="1521"/>
      <c r="AB398" s="1521"/>
      <c r="AC398" s="1521"/>
      <c r="AD398" s="1521"/>
      <c r="AE398" s="1521"/>
      <c r="AF398" s="1521"/>
      <c r="AG398" s="1521"/>
      <c r="AH398" s="1521"/>
      <c r="AI398" s="1521"/>
      <c r="AJ398" s="320"/>
      <c r="AK398" s="320"/>
      <c r="AL398" s="320"/>
      <c r="AM398" s="320"/>
      <c r="AN398" s="1523">
        <f t="shared" si="65"/>
        <v>0</v>
      </c>
      <c r="AO398" s="320"/>
      <c r="AP398" s="320"/>
      <c r="AQ398" s="1521"/>
      <c r="AR398" s="1521"/>
      <c r="AS398" s="1521"/>
      <c r="AT398" s="1521"/>
      <c r="AU398" s="1521"/>
      <c r="AV398" s="1521"/>
      <c r="AW398" s="320"/>
      <c r="AX398" s="161"/>
      <c r="AY398" s="1540"/>
      <c r="AZ398" s="1560" t="e">
        <f>#REF!-#REF!</f>
        <v>#REF!</v>
      </c>
      <c r="BA398" s="1560">
        <f>IF(C398="Scheme",IF(SUM(AJ398:AS398)&gt;0,IF(H398&lt;#REF!,H398-#REF!,0),0),0)</f>
        <v>0</v>
      </c>
      <c r="BB398" s="1560">
        <f t="shared" si="63"/>
        <v>0</v>
      </c>
    </row>
    <row r="399" spans="1:56" ht="378" customHeight="1" outlineLevel="1" x14ac:dyDescent="0.25">
      <c r="A399" s="1492"/>
      <c r="B399" s="1492" t="s">
        <v>2012</v>
      </c>
      <c r="C399" s="1492" t="s">
        <v>936</v>
      </c>
      <c r="D399" s="1488"/>
      <c r="E399" s="1495"/>
      <c r="F399" s="1413"/>
      <c r="G399" s="618"/>
      <c r="H399" s="1417">
        <f t="shared" ref="H399:H405" si="66">SUM(W399:AB399)</f>
        <v>6</v>
      </c>
      <c r="I399" s="161"/>
      <c r="J399" s="161"/>
      <c r="K399" s="1413"/>
      <c r="L399" s="1414"/>
      <c r="M399" s="1414"/>
      <c r="N399" s="1414"/>
      <c r="O399" s="1599" t="s">
        <v>2327</v>
      </c>
      <c r="P399" s="1521"/>
      <c r="Q399" s="320"/>
      <c r="R399" s="320"/>
      <c r="S399" s="320"/>
      <c r="T399" s="320">
        <f t="shared" si="64"/>
        <v>0</v>
      </c>
      <c r="U399" s="320"/>
      <c r="V399" s="320"/>
      <c r="W399" s="1521"/>
      <c r="X399" s="1521"/>
      <c r="Y399" s="1521"/>
      <c r="Z399" s="1595"/>
      <c r="AA399" s="1595">
        <v>3</v>
      </c>
      <c r="AB399" s="1595">
        <v>3</v>
      </c>
      <c r="AC399" s="1521"/>
      <c r="AD399" s="1521"/>
      <c r="AE399" s="1521"/>
      <c r="AF399" s="1521"/>
      <c r="AG399" s="1521"/>
      <c r="AH399" s="1521"/>
      <c r="AI399" s="1521"/>
      <c r="AJ399" s="320"/>
      <c r="AK399" s="320"/>
      <c r="AL399" s="320"/>
      <c r="AM399" s="320"/>
      <c r="AN399" s="1523">
        <f t="shared" si="65"/>
        <v>0</v>
      </c>
      <c r="AO399" s="320"/>
      <c r="AP399" s="320"/>
      <c r="AQ399" s="1521"/>
      <c r="AR399" s="1521"/>
      <c r="AS399" s="1521"/>
      <c r="AT399" s="1595"/>
      <c r="AU399" s="1595">
        <v>3</v>
      </c>
      <c r="AV399" s="1595">
        <v>3</v>
      </c>
      <c r="AW399" s="320"/>
      <c r="AX399" s="161"/>
      <c r="AY399" s="1540"/>
      <c r="AZ399" s="1560" t="e">
        <f>#REF!-#REF!</f>
        <v>#REF!</v>
      </c>
      <c r="BA399" s="1560">
        <f>IF(C399="Scheme",IF(SUM(AJ399:AS399)&gt;0,IF(H399&lt;#REF!,H399-#REF!,0),0),0)</f>
        <v>0</v>
      </c>
      <c r="BB399" s="1560">
        <f t="shared" si="63"/>
        <v>0</v>
      </c>
      <c r="BC399" s="96" t="s">
        <v>256</v>
      </c>
      <c r="BD399" s="96" t="s">
        <v>1931</v>
      </c>
    </row>
    <row r="400" spans="1:56" ht="378" customHeight="1" outlineLevel="1" x14ac:dyDescent="0.25">
      <c r="A400" s="1492"/>
      <c r="B400" s="1492" t="s">
        <v>2013</v>
      </c>
      <c r="C400" s="1492" t="s">
        <v>936</v>
      </c>
      <c r="D400" s="1488"/>
      <c r="E400" s="1495"/>
      <c r="F400" s="1413"/>
      <c r="G400" s="618"/>
      <c r="H400" s="1417">
        <f t="shared" si="66"/>
        <v>3.89</v>
      </c>
      <c r="I400" s="161"/>
      <c r="J400" s="161"/>
      <c r="K400" s="1413"/>
      <c r="L400" s="1414"/>
      <c r="M400" s="1414"/>
      <c r="N400" s="1414"/>
      <c r="O400" s="1599" t="s">
        <v>2327</v>
      </c>
      <c r="P400" s="1521"/>
      <c r="Q400" s="320"/>
      <c r="R400" s="320"/>
      <c r="S400" s="320"/>
      <c r="T400" s="320">
        <f t="shared" si="64"/>
        <v>0</v>
      </c>
      <c r="U400" s="320"/>
      <c r="V400" s="320"/>
      <c r="W400" s="1521"/>
      <c r="X400" s="1521"/>
      <c r="Y400" s="1595">
        <v>3.89</v>
      </c>
      <c r="Z400" s="1521"/>
      <c r="AA400" s="1521"/>
      <c r="AB400" s="1521"/>
      <c r="AC400" s="1521"/>
      <c r="AD400" s="1521"/>
      <c r="AE400" s="1521"/>
      <c r="AF400" s="1521"/>
      <c r="AG400" s="1521"/>
      <c r="AH400" s="1521"/>
      <c r="AI400" s="1521"/>
      <c r="AJ400" s="320"/>
      <c r="AK400" s="320"/>
      <c r="AL400" s="320"/>
      <c r="AM400" s="320"/>
      <c r="AN400" s="1523">
        <f t="shared" si="65"/>
        <v>0</v>
      </c>
      <c r="AO400" s="320"/>
      <c r="AP400" s="320"/>
      <c r="AQ400" s="1521"/>
      <c r="AR400" s="1521"/>
      <c r="AS400" s="1595">
        <v>3.89</v>
      </c>
      <c r="AT400" s="1521"/>
      <c r="AU400" s="1521"/>
      <c r="AV400" s="1521"/>
      <c r="AW400" s="320"/>
      <c r="AX400" s="161"/>
      <c r="AY400" s="1540"/>
      <c r="AZ400" s="1560" t="e">
        <f>#REF!-#REF!</f>
        <v>#REF!</v>
      </c>
      <c r="BA400" s="1560" t="e">
        <f>IF(C400="Scheme",IF(SUM(AJ400:AS400)&gt;0,IF(H400&lt;#REF!,H400-#REF!,0),0),0)</f>
        <v>#REF!</v>
      </c>
      <c r="BB400" s="1560">
        <f t="shared" si="63"/>
        <v>-3.89</v>
      </c>
      <c r="BC400" s="96" t="s">
        <v>256</v>
      </c>
      <c r="BD400" s="96" t="s">
        <v>1931</v>
      </c>
    </row>
    <row r="401" spans="1:56" ht="94.5" customHeight="1" outlineLevel="1" x14ac:dyDescent="0.35">
      <c r="A401" s="1492"/>
      <c r="B401" s="1492" t="s">
        <v>2014</v>
      </c>
      <c r="C401" s="1492" t="s">
        <v>936</v>
      </c>
      <c r="D401" s="1488"/>
      <c r="E401" s="1495"/>
      <c r="F401" s="1413"/>
      <c r="G401" s="618"/>
      <c r="H401" s="1417">
        <f t="shared" si="66"/>
        <v>3</v>
      </c>
      <c r="I401" s="161"/>
      <c r="J401" s="161"/>
      <c r="K401" s="1413"/>
      <c r="L401" s="1414"/>
      <c r="M401" s="1414"/>
      <c r="N401" s="1414"/>
      <c r="O401" s="1641" t="s">
        <v>2328</v>
      </c>
      <c r="P401" s="1521"/>
      <c r="Q401" s="320"/>
      <c r="R401" s="320"/>
      <c r="S401" s="320"/>
      <c r="T401" s="320">
        <f t="shared" si="64"/>
        <v>0</v>
      </c>
      <c r="U401" s="320"/>
      <c r="V401" s="320"/>
      <c r="W401" s="1521"/>
      <c r="X401" s="1521"/>
      <c r="Y401" s="1521">
        <v>3</v>
      </c>
      <c r="Z401" s="1521"/>
      <c r="AA401" s="1521"/>
      <c r="AB401" s="1521"/>
      <c r="AC401" s="1521"/>
      <c r="AD401" s="1521"/>
      <c r="AE401" s="1521"/>
      <c r="AF401" s="1521"/>
      <c r="AG401" s="1521"/>
      <c r="AH401" s="1521"/>
      <c r="AI401" s="1521"/>
      <c r="AJ401" s="320"/>
      <c r="AK401" s="320"/>
      <c r="AL401" s="320"/>
      <c r="AM401" s="320"/>
      <c r="AN401" s="1523">
        <f t="shared" si="65"/>
        <v>0</v>
      </c>
      <c r="AO401" s="320"/>
      <c r="AP401" s="320"/>
      <c r="AQ401" s="1521"/>
      <c r="AR401" s="1521"/>
      <c r="AS401" s="1521">
        <v>3</v>
      </c>
      <c r="AT401" s="1521"/>
      <c r="AU401" s="1521"/>
      <c r="AV401" s="1521"/>
      <c r="AW401" s="320"/>
      <c r="AX401" s="161"/>
      <c r="AY401" s="1540"/>
      <c r="AZ401" s="1560" t="e">
        <f>#REF!-#REF!</f>
        <v>#REF!</v>
      </c>
      <c r="BA401" s="1560" t="e">
        <f>IF(C401="Scheme",IF(SUM(AJ401:AS401)&gt;0,IF(H401&lt;#REF!,H401-#REF!,0),0),0)</f>
        <v>#REF!</v>
      </c>
      <c r="BB401" s="1560">
        <f t="shared" si="63"/>
        <v>-3</v>
      </c>
      <c r="BC401" s="96" t="s">
        <v>256</v>
      </c>
      <c r="BD401" s="96" t="s">
        <v>1931</v>
      </c>
    </row>
    <row r="402" spans="1:56" ht="378" customHeight="1" outlineLevel="1" x14ac:dyDescent="0.25">
      <c r="A402" s="1492"/>
      <c r="B402" s="1492" t="s">
        <v>2015</v>
      </c>
      <c r="C402" s="1492" t="s">
        <v>936</v>
      </c>
      <c r="D402" s="1488"/>
      <c r="E402" s="1495"/>
      <c r="F402" s="1413"/>
      <c r="G402" s="618"/>
      <c r="H402" s="1417">
        <f t="shared" si="66"/>
        <v>3.5</v>
      </c>
      <c r="I402" s="161"/>
      <c r="J402" s="161"/>
      <c r="K402" s="1413"/>
      <c r="L402" s="1414"/>
      <c r="M402" s="1414"/>
      <c r="N402" s="1414"/>
      <c r="O402" s="1599" t="s">
        <v>2327</v>
      </c>
      <c r="P402" s="1521"/>
      <c r="Q402" s="320"/>
      <c r="R402" s="320"/>
      <c r="S402" s="320"/>
      <c r="T402" s="320">
        <f t="shared" si="64"/>
        <v>0</v>
      </c>
      <c r="U402" s="320"/>
      <c r="V402" s="320"/>
      <c r="W402" s="1521"/>
      <c r="X402" s="1521"/>
      <c r="Y402" s="1521"/>
      <c r="Z402" s="1595">
        <v>3.5</v>
      </c>
      <c r="AA402" s="1521"/>
      <c r="AB402" s="1521"/>
      <c r="AC402" s="1521"/>
      <c r="AD402" s="1521"/>
      <c r="AE402" s="1521"/>
      <c r="AF402" s="1521"/>
      <c r="AG402" s="1521"/>
      <c r="AH402" s="1521"/>
      <c r="AI402" s="1521"/>
      <c r="AJ402" s="320"/>
      <c r="AK402" s="320"/>
      <c r="AL402" s="320"/>
      <c r="AM402" s="320"/>
      <c r="AN402" s="1523">
        <f t="shared" si="65"/>
        <v>0</v>
      </c>
      <c r="AO402" s="320"/>
      <c r="AP402" s="320"/>
      <c r="AQ402" s="1521"/>
      <c r="AR402" s="1521"/>
      <c r="AS402" s="1521"/>
      <c r="AT402" s="1595">
        <v>3.5</v>
      </c>
      <c r="AU402" s="1521"/>
      <c r="AV402" s="1521"/>
      <c r="AW402" s="320"/>
      <c r="AX402" s="161"/>
      <c r="AY402" s="1540"/>
      <c r="AZ402" s="1560" t="e">
        <f>#REF!-#REF!</f>
        <v>#REF!</v>
      </c>
      <c r="BA402" s="1560">
        <f>IF(C402="Scheme",IF(SUM(AJ402:AS402)&gt;0,IF(H402&lt;#REF!,H402-#REF!,0),0),0)</f>
        <v>0</v>
      </c>
      <c r="BB402" s="1560">
        <f t="shared" si="63"/>
        <v>0</v>
      </c>
      <c r="BC402" s="96" t="s">
        <v>256</v>
      </c>
      <c r="BD402" s="96" t="s">
        <v>1931</v>
      </c>
    </row>
    <row r="403" spans="1:56" ht="378" customHeight="1" outlineLevel="1" x14ac:dyDescent="0.25">
      <c r="A403" s="1492"/>
      <c r="B403" s="1492" t="s">
        <v>2016</v>
      </c>
      <c r="C403" s="1492" t="s">
        <v>936</v>
      </c>
      <c r="D403" s="1488"/>
      <c r="E403" s="1495"/>
      <c r="F403" s="1413"/>
      <c r="G403" s="618"/>
      <c r="H403" s="1417">
        <f t="shared" si="66"/>
        <v>3</v>
      </c>
      <c r="I403" s="161"/>
      <c r="J403" s="161"/>
      <c r="K403" s="1413"/>
      <c r="L403" s="1414"/>
      <c r="M403" s="1414"/>
      <c r="N403" s="1414"/>
      <c r="O403" s="1599" t="s">
        <v>2327</v>
      </c>
      <c r="P403" s="1521"/>
      <c r="Q403" s="320"/>
      <c r="R403" s="320"/>
      <c r="S403" s="320"/>
      <c r="T403" s="320">
        <f t="shared" si="64"/>
        <v>0</v>
      </c>
      <c r="U403" s="320"/>
      <c r="V403" s="320"/>
      <c r="W403" s="1521"/>
      <c r="X403" s="1521"/>
      <c r="Y403" s="1521"/>
      <c r="Z403" s="1521">
        <v>3</v>
      </c>
      <c r="AA403" s="1521"/>
      <c r="AB403" s="1521"/>
      <c r="AC403" s="1521"/>
      <c r="AD403" s="1521"/>
      <c r="AE403" s="1521"/>
      <c r="AF403" s="1521"/>
      <c r="AG403" s="1521"/>
      <c r="AH403" s="1521"/>
      <c r="AI403" s="1521"/>
      <c r="AJ403" s="320"/>
      <c r="AK403" s="320"/>
      <c r="AL403" s="320"/>
      <c r="AM403" s="320"/>
      <c r="AN403" s="1523">
        <f t="shared" si="65"/>
        <v>0</v>
      </c>
      <c r="AO403" s="320"/>
      <c r="AP403" s="320"/>
      <c r="AQ403" s="1521"/>
      <c r="AR403" s="1521"/>
      <c r="AS403" s="1521"/>
      <c r="AT403" s="1521">
        <v>3</v>
      </c>
      <c r="AU403" s="1521"/>
      <c r="AV403" s="1521"/>
      <c r="AW403" s="320"/>
      <c r="AX403" s="161"/>
      <c r="AY403" s="1540"/>
      <c r="AZ403" s="1560" t="e">
        <f>#REF!-#REF!</f>
        <v>#REF!</v>
      </c>
      <c r="BA403" s="1560">
        <f>IF(C403="Scheme",IF(SUM(AJ403:AS403)&gt;0,IF(H403&lt;#REF!,H403-#REF!,0),0),0)</f>
        <v>0</v>
      </c>
      <c r="BB403" s="1560">
        <f t="shared" si="63"/>
        <v>0</v>
      </c>
      <c r="BC403" s="96" t="s">
        <v>256</v>
      </c>
      <c r="BD403" s="96" t="s">
        <v>1931</v>
      </c>
    </row>
    <row r="404" spans="1:56" ht="94.5" customHeight="1" outlineLevel="1" x14ac:dyDescent="0.35">
      <c r="A404" s="1492"/>
      <c r="B404" s="1492" t="s">
        <v>2017</v>
      </c>
      <c r="C404" s="1492" t="s">
        <v>936</v>
      </c>
      <c r="D404" s="1488"/>
      <c r="E404" s="1495"/>
      <c r="F404" s="1413"/>
      <c r="G404" s="618"/>
      <c r="H404" s="1417">
        <f t="shared" si="66"/>
        <v>3</v>
      </c>
      <c r="I404" s="161"/>
      <c r="J404" s="161"/>
      <c r="K404" s="1413"/>
      <c r="L404" s="1414"/>
      <c r="M404" s="1414"/>
      <c r="N404" s="1414"/>
      <c r="O404" s="1641" t="s">
        <v>2328</v>
      </c>
      <c r="P404" s="1521"/>
      <c r="Q404" s="320"/>
      <c r="R404" s="320"/>
      <c r="S404" s="320"/>
      <c r="T404" s="320">
        <f t="shared" si="64"/>
        <v>0</v>
      </c>
      <c r="U404" s="320"/>
      <c r="V404" s="320"/>
      <c r="W404" s="1521"/>
      <c r="X404" s="1521"/>
      <c r="Y404" s="1521">
        <v>3</v>
      </c>
      <c r="Z404" s="1521"/>
      <c r="AA404" s="1521"/>
      <c r="AB404" s="1521"/>
      <c r="AC404" s="1521"/>
      <c r="AD404" s="1521"/>
      <c r="AE404" s="1521"/>
      <c r="AF404" s="1521"/>
      <c r="AG404" s="1521"/>
      <c r="AH404" s="1521"/>
      <c r="AI404" s="1521"/>
      <c r="AJ404" s="320"/>
      <c r="AK404" s="320"/>
      <c r="AL404" s="320"/>
      <c r="AM404" s="320"/>
      <c r="AN404" s="1523">
        <f t="shared" si="65"/>
        <v>0</v>
      </c>
      <c r="AO404" s="320"/>
      <c r="AP404" s="320"/>
      <c r="AQ404" s="1521"/>
      <c r="AR404" s="1521"/>
      <c r="AS404" s="1521">
        <v>3</v>
      </c>
      <c r="AT404" s="1521"/>
      <c r="AU404" s="1521"/>
      <c r="AV404" s="1521"/>
      <c r="AW404" s="320"/>
      <c r="AX404" s="161"/>
      <c r="AY404" s="1540"/>
      <c r="AZ404" s="1560" t="e">
        <f>#REF!-#REF!</f>
        <v>#REF!</v>
      </c>
      <c r="BA404" s="1560" t="e">
        <f>IF(C404="Scheme",IF(SUM(AJ404:AS404)&gt;0,IF(H404&lt;#REF!,H404-#REF!,0),0),0)</f>
        <v>#REF!</v>
      </c>
      <c r="BB404" s="1560">
        <f t="shared" si="63"/>
        <v>-3</v>
      </c>
      <c r="BC404" s="96" t="s">
        <v>256</v>
      </c>
      <c r="BD404" s="96" t="s">
        <v>1931</v>
      </c>
    </row>
    <row r="405" spans="1:56" ht="94.5" customHeight="1" outlineLevel="1" x14ac:dyDescent="0.35">
      <c r="A405" s="1492"/>
      <c r="B405" s="1492" t="s">
        <v>2018</v>
      </c>
      <c r="C405" s="1492" t="s">
        <v>936</v>
      </c>
      <c r="D405" s="1488"/>
      <c r="E405" s="1495"/>
      <c r="F405" s="1413"/>
      <c r="G405" s="618"/>
      <c r="H405" s="1417">
        <f t="shared" si="66"/>
        <v>3</v>
      </c>
      <c r="I405" s="161"/>
      <c r="J405" s="161"/>
      <c r="K405" s="1413"/>
      <c r="L405" s="1414"/>
      <c r="M405" s="1414"/>
      <c r="N405" s="1414"/>
      <c r="O405" s="1641" t="s">
        <v>2328</v>
      </c>
      <c r="P405" s="1521"/>
      <c r="Q405" s="320"/>
      <c r="R405" s="320"/>
      <c r="S405" s="320"/>
      <c r="T405" s="320">
        <f t="shared" si="64"/>
        <v>0</v>
      </c>
      <c r="U405" s="320"/>
      <c r="V405" s="320"/>
      <c r="W405" s="1521"/>
      <c r="X405" s="1521"/>
      <c r="Y405" s="1521">
        <v>3</v>
      </c>
      <c r="Z405" s="1521"/>
      <c r="AA405" s="1521"/>
      <c r="AB405" s="1521"/>
      <c r="AC405" s="1521"/>
      <c r="AD405" s="1521"/>
      <c r="AE405" s="1521"/>
      <c r="AF405" s="1521"/>
      <c r="AG405" s="1521"/>
      <c r="AH405" s="1521"/>
      <c r="AI405" s="1521"/>
      <c r="AJ405" s="320"/>
      <c r="AK405" s="320"/>
      <c r="AL405" s="320"/>
      <c r="AM405" s="320"/>
      <c r="AN405" s="1523">
        <f t="shared" si="65"/>
        <v>0</v>
      </c>
      <c r="AO405" s="320"/>
      <c r="AP405" s="320"/>
      <c r="AQ405" s="1521"/>
      <c r="AR405" s="1521"/>
      <c r="AS405" s="1521">
        <v>3</v>
      </c>
      <c r="AT405" s="1521"/>
      <c r="AU405" s="1521"/>
      <c r="AV405" s="1521"/>
      <c r="AW405" s="320"/>
      <c r="AX405" s="161"/>
      <c r="AY405" s="1540"/>
      <c r="AZ405" s="1560" t="e">
        <f>#REF!-#REF!</f>
        <v>#REF!</v>
      </c>
      <c r="BA405" s="1560" t="e">
        <f>IF(C405="Scheme",IF(SUM(AJ405:AS405)&gt;0,IF(H405&lt;#REF!,H405-#REF!,0),0),0)</f>
        <v>#REF!</v>
      </c>
      <c r="BB405" s="1560">
        <f t="shared" si="63"/>
        <v>-3</v>
      </c>
      <c r="BC405" s="96" t="s">
        <v>256</v>
      </c>
      <c r="BD405" s="96" t="s">
        <v>1931</v>
      </c>
    </row>
    <row r="406" spans="1:56" ht="46.5" outlineLevel="1" x14ac:dyDescent="0.25">
      <c r="A406" s="1486">
        <v>3</v>
      </c>
      <c r="B406" s="1491" t="s">
        <v>2019</v>
      </c>
      <c r="C406" s="1486" t="s">
        <v>928</v>
      </c>
      <c r="D406" s="1488"/>
      <c r="E406" s="1495"/>
      <c r="F406" s="1413"/>
      <c r="G406" s="618"/>
      <c r="H406" s="1594">
        <v>30</v>
      </c>
      <c r="I406" s="161"/>
      <c r="J406" s="161"/>
      <c r="K406" s="1413"/>
      <c r="L406" s="1414"/>
      <c r="M406" s="1414"/>
      <c r="N406" s="1414"/>
      <c r="O406" s="1551"/>
      <c r="P406" s="1521"/>
      <c r="Q406" s="320"/>
      <c r="R406" s="320"/>
      <c r="S406" s="320"/>
      <c r="T406" s="320">
        <f t="shared" si="64"/>
        <v>0</v>
      </c>
      <c r="U406" s="320"/>
      <c r="V406" s="320"/>
      <c r="W406" s="1521"/>
      <c r="X406" s="1521"/>
      <c r="Y406" s="1521"/>
      <c r="Z406" s="1521"/>
      <c r="AA406" s="1521"/>
      <c r="AB406" s="1521"/>
      <c r="AC406" s="1521"/>
      <c r="AD406" s="1521"/>
      <c r="AE406" s="1521"/>
      <c r="AF406" s="1521"/>
      <c r="AG406" s="1521"/>
      <c r="AH406" s="1521"/>
      <c r="AI406" s="1521"/>
      <c r="AJ406" s="320"/>
      <c r="AK406" s="320"/>
      <c r="AL406" s="320"/>
      <c r="AM406" s="320"/>
      <c r="AN406" s="1523">
        <f t="shared" si="65"/>
        <v>0</v>
      </c>
      <c r="AO406" s="320"/>
      <c r="AP406" s="320"/>
      <c r="AQ406" s="1521"/>
      <c r="AR406" s="1521"/>
      <c r="AS406" s="1521"/>
      <c r="AT406" s="1521"/>
      <c r="AU406" s="1521"/>
      <c r="AV406" s="1521"/>
      <c r="AW406" s="320"/>
      <c r="AX406" s="161"/>
      <c r="AY406" s="1540"/>
      <c r="AZ406" s="1560" t="e">
        <f>#REF!-#REF!</f>
        <v>#REF!</v>
      </c>
      <c r="BA406" s="1560">
        <f>IF(C406="Scheme",IF(SUM(AJ406:AS406)&gt;0,IF(H406&lt;#REF!,H406-#REF!,0),0),0)</f>
        <v>0</v>
      </c>
      <c r="BB406" s="1560">
        <f t="shared" si="63"/>
        <v>0</v>
      </c>
    </row>
    <row r="407" spans="1:56" ht="94.5" customHeight="1" outlineLevel="1" x14ac:dyDescent="0.35">
      <c r="A407" s="1492"/>
      <c r="B407" s="1492" t="s">
        <v>2019</v>
      </c>
      <c r="C407" s="1492" t="s">
        <v>936</v>
      </c>
      <c r="D407" s="1488"/>
      <c r="E407" s="1495"/>
      <c r="F407" s="1413"/>
      <c r="G407" s="618"/>
      <c r="H407" s="1417">
        <f>SUM(W407:AB407)</f>
        <v>30</v>
      </c>
      <c r="I407" s="161"/>
      <c r="J407" s="161"/>
      <c r="K407" s="1413"/>
      <c r="L407" s="1414"/>
      <c r="M407" s="1414"/>
      <c r="N407" s="1414"/>
      <c r="O407" s="1641" t="s">
        <v>2328</v>
      </c>
      <c r="P407" s="1521"/>
      <c r="Q407" s="320"/>
      <c r="R407" s="320"/>
      <c r="S407" s="320"/>
      <c r="T407" s="320">
        <f t="shared" si="64"/>
        <v>0</v>
      </c>
      <c r="U407" s="320"/>
      <c r="V407" s="320"/>
      <c r="W407" s="1521"/>
      <c r="X407" s="1521"/>
      <c r="Y407" s="1521"/>
      <c r="Z407" s="1521"/>
      <c r="AA407" s="1521">
        <v>30</v>
      </c>
      <c r="AB407" s="1521"/>
      <c r="AC407" s="1521"/>
      <c r="AD407" s="1521"/>
      <c r="AE407" s="1521"/>
      <c r="AF407" s="1521"/>
      <c r="AG407" s="1521"/>
      <c r="AH407" s="1521"/>
      <c r="AI407" s="1521"/>
      <c r="AJ407" s="320"/>
      <c r="AK407" s="320"/>
      <c r="AL407" s="320"/>
      <c r="AM407" s="320"/>
      <c r="AN407" s="1523">
        <f t="shared" si="65"/>
        <v>0</v>
      </c>
      <c r="AO407" s="320"/>
      <c r="AP407" s="320"/>
      <c r="AQ407" s="1521"/>
      <c r="AR407" s="1521"/>
      <c r="AS407" s="1521"/>
      <c r="AT407" s="1521"/>
      <c r="AU407" s="1521">
        <v>30</v>
      </c>
      <c r="AV407" s="1521"/>
      <c r="AW407" s="320"/>
      <c r="AX407" s="161"/>
      <c r="AY407" s="1540"/>
      <c r="AZ407" s="1560" t="e">
        <f>#REF!-#REF!</f>
        <v>#REF!</v>
      </c>
      <c r="BA407" s="1560">
        <f>IF(C407="Scheme",IF(SUM(AJ407:AS407)&gt;0,IF(H407&lt;#REF!,H407-#REF!,0),0),0)</f>
        <v>0</v>
      </c>
      <c r="BB407" s="1560">
        <f t="shared" si="63"/>
        <v>0</v>
      </c>
      <c r="BC407" s="96" t="s">
        <v>256</v>
      </c>
      <c r="BD407" s="96" t="s">
        <v>1931</v>
      </c>
    </row>
    <row r="408" spans="1:56" ht="31" outlineLevel="1" x14ac:dyDescent="0.25">
      <c r="A408" s="1486">
        <v>4</v>
      </c>
      <c r="B408" s="1491" t="s">
        <v>2020</v>
      </c>
      <c r="C408" s="1486" t="s">
        <v>936</v>
      </c>
      <c r="D408" s="1488"/>
      <c r="E408" s="1495"/>
      <c r="F408" s="1413"/>
      <c r="G408" s="618"/>
      <c r="H408" s="1594">
        <v>60</v>
      </c>
      <c r="I408" s="161"/>
      <c r="J408" s="161"/>
      <c r="K408" s="1413"/>
      <c r="L408" s="1414"/>
      <c r="M408" s="1414"/>
      <c r="N408" s="1414"/>
      <c r="O408" s="1551"/>
      <c r="P408" s="1521"/>
      <c r="Q408" s="320"/>
      <c r="R408" s="320"/>
      <c r="S408" s="320"/>
      <c r="T408" s="320">
        <f t="shared" si="64"/>
        <v>0</v>
      </c>
      <c r="U408" s="320"/>
      <c r="V408" s="320"/>
      <c r="W408" s="1521"/>
      <c r="X408" s="1521"/>
      <c r="Y408" s="1521"/>
      <c r="Z408" s="1521"/>
      <c r="AA408" s="1521"/>
      <c r="AB408" s="1521"/>
      <c r="AC408" s="1521"/>
      <c r="AD408" s="1521"/>
      <c r="AE408" s="1521"/>
      <c r="AF408" s="1521"/>
      <c r="AG408" s="1521"/>
      <c r="AH408" s="1521"/>
      <c r="AI408" s="1521"/>
      <c r="AJ408" s="320"/>
      <c r="AK408" s="320"/>
      <c r="AL408" s="320"/>
      <c r="AM408" s="320"/>
      <c r="AN408" s="1523">
        <f t="shared" si="65"/>
        <v>0</v>
      </c>
      <c r="AO408" s="320"/>
      <c r="AP408" s="320"/>
      <c r="AQ408" s="1521"/>
      <c r="AR408" s="1521"/>
      <c r="AS408" s="1521"/>
      <c r="AT408" s="1521"/>
      <c r="AU408" s="1521"/>
      <c r="AV408" s="1521"/>
      <c r="AW408" s="320"/>
      <c r="AX408" s="161"/>
      <c r="AY408" s="1540"/>
      <c r="AZ408" s="1560" t="e">
        <f>#REF!-#REF!</f>
        <v>#REF!</v>
      </c>
      <c r="BA408" s="1560">
        <f>IF(C408="Scheme",IF(SUM(AJ408:AS408)&gt;0,IF(H408&lt;#REF!,H408-#REF!,0),0),0)</f>
        <v>0</v>
      </c>
      <c r="BB408" s="1560">
        <f t="shared" si="63"/>
        <v>0</v>
      </c>
      <c r="BC408" s="96" t="s">
        <v>256</v>
      </c>
      <c r="BD408" s="96" t="s">
        <v>1931</v>
      </c>
    </row>
    <row r="409" spans="1:56" ht="31" outlineLevel="1" x14ac:dyDescent="0.25">
      <c r="A409" s="1492"/>
      <c r="B409" s="1492" t="s">
        <v>2020</v>
      </c>
      <c r="C409" s="1492" t="s">
        <v>936</v>
      </c>
      <c r="D409" s="1488"/>
      <c r="E409" s="1495"/>
      <c r="F409" s="1413"/>
      <c r="G409" s="618"/>
      <c r="H409" s="1417">
        <f>SUM(W409:AB409)</f>
        <v>60</v>
      </c>
      <c r="I409" s="161"/>
      <c r="J409" s="161"/>
      <c r="K409" s="1413"/>
      <c r="L409" s="1414"/>
      <c r="M409" s="1414"/>
      <c r="N409" s="1414"/>
      <c r="O409" s="1551" t="s">
        <v>2329</v>
      </c>
      <c r="P409" s="1521"/>
      <c r="Q409" s="320"/>
      <c r="R409" s="320"/>
      <c r="S409" s="320"/>
      <c r="T409" s="320">
        <f t="shared" si="64"/>
        <v>0</v>
      </c>
      <c r="U409" s="320"/>
      <c r="V409" s="320"/>
      <c r="W409" s="1521"/>
      <c r="X409" s="1521"/>
      <c r="Y409" s="1521"/>
      <c r="Z409" s="1521"/>
      <c r="AA409" s="1521"/>
      <c r="AB409" s="1521">
        <v>60</v>
      </c>
      <c r="AC409" s="1521"/>
      <c r="AD409" s="1521"/>
      <c r="AE409" s="1521"/>
      <c r="AF409" s="1521"/>
      <c r="AG409" s="1521"/>
      <c r="AH409" s="1521"/>
      <c r="AI409" s="1521"/>
      <c r="AJ409" s="320"/>
      <c r="AK409" s="320"/>
      <c r="AL409" s="320"/>
      <c r="AM409" s="320"/>
      <c r="AN409" s="1523">
        <f t="shared" si="65"/>
        <v>0</v>
      </c>
      <c r="AO409" s="320"/>
      <c r="AP409" s="320"/>
      <c r="AQ409" s="1521"/>
      <c r="AR409" s="1521"/>
      <c r="AS409" s="1521"/>
      <c r="AT409" s="1521"/>
      <c r="AU409" s="1521"/>
      <c r="AV409" s="1521">
        <v>60</v>
      </c>
      <c r="AW409" s="320"/>
      <c r="AX409" s="161"/>
      <c r="AY409" s="1540"/>
      <c r="AZ409" s="1560" t="e">
        <f>#REF!-#REF!</f>
        <v>#REF!</v>
      </c>
      <c r="BA409" s="1560">
        <f>IF(C409="Scheme",IF(SUM(AJ409:AS409)&gt;0,IF(H409&lt;#REF!,H409-#REF!,0),0),0)</f>
        <v>0</v>
      </c>
      <c r="BB409" s="1560">
        <f t="shared" si="63"/>
        <v>0</v>
      </c>
      <c r="BC409" s="96" t="s">
        <v>256</v>
      </c>
      <c r="BD409" s="96" t="s">
        <v>1931</v>
      </c>
    </row>
    <row r="410" spans="1:56" ht="15.5" outlineLevel="1" x14ac:dyDescent="0.25">
      <c r="A410" s="1486">
        <v>5</v>
      </c>
      <c r="B410" s="1491" t="s">
        <v>2021</v>
      </c>
      <c r="C410" s="1486" t="s">
        <v>928</v>
      </c>
      <c r="D410" s="1488"/>
      <c r="E410" s="1495"/>
      <c r="F410" s="1413"/>
      <c r="G410" s="618"/>
      <c r="H410" s="1594">
        <v>26.4</v>
      </c>
      <c r="I410" s="161"/>
      <c r="J410" s="161"/>
      <c r="K410" s="1413"/>
      <c r="L410" s="1414"/>
      <c r="M410" s="1414"/>
      <c r="N410" s="1414"/>
      <c r="O410" s="1551"/>
      <c r="P410" s="1521"/>
      <c r="Q410" s="320"/>
      <c r="R410" s="320"/>
      <c r="S410" s="320"/>
      <c r="T410" s="320">
        <f t="shared" si="64"/>
        <v>0</v>
      </c>
      <c r="U410" s="320"/>
      <c r="V410" s="320"/>
      <c r="W410" s="1521"/>
      <c r="X410" s="1521"/>
      <c r="Y410" s="1521"/>
      <c r="Z410" s="1521"/>
      <c r="AA410" s="1521"/>
      <c r="AB410" s="1521"/>
      <c r="AC410" s="1521"/>
      <c r="AD410" s="1521"/>
      <c r="AE410" s="1521"/>
      <c r="AF410" s="1521"/>
      <c r="AG410" s="1521"/>
      <c r="AH410" s="1521"/>
      <c r="AI410" s="1521"/>
      <c r="AJ410" s="320"/>
      <c r="AK410" s="320"/>
      <c r="AL410" s="320"/>
      <c r="AM410" s="320"/>
      <c r="AN410" s="1523">
        <f t="shared" si="65"/>
        <v>0</v>
      </c>
      <c r="AO410" s="320"/>
      <c r="AP410" s="320"/>
      <c r="AQ410" s="1521"/>
      <c r="AR410" s="1521"/>
      <c r="AS410" s="1521"/>
      <c r="AT410" s="1521"/>
      <c r="AU410" s="1521"/>
      <c r="AV410" s="1521"/>
      <c r="AW410" s="320"/>
      <c r="AX410" s="161"/>
      <c r="AY410" s="1540"/>
      <c r="AZ410" s="1560" t="e">
        <f>#REF!-#REF!</f>
        <v>#REF!</v>
      </c>
      <c r="BA410" s="1560">
        <f>IF(C410="Scheme",IF(SUM(AJ410:AS410)&gt;0,IF(H410&lt;#REF!,H410-#REF!,0),0),0)</f>
        <v>0</v>
      </c>
      <c r="BB410" s="1560">
        <f t="shared" si="63"/>
        <v>0</v>
      </c>
    </row>
    <row r="411" spans="1:56" ht="31" outlineLevel="1" x14ac:dyDescent="0.25">
      <c r="A411" s="1492"/>
      <c r="B411" s="1492" t="s">
        <v>2022</v>
      </c>
      <c r="C411" s="1492" t="s">
        <v>936</v>
      </c>
      <c r="D411" s="1488"/>
      <c r="E411" s="1495"/>
      <c r="F411" s="1413"/>
      <c r="G411" s="618"/>
      <c r="H411" s="1417">
        <f>SUM(W411:AB411)</f>
        <v>8.1999999999999993</v>
      </c>
      <c r="I411" s="161"/>
      <c r="J411" s="161"/>
      <c r="K411" s="1413"/>
      <c r="L411" s="1414"/>
      <c r="M411" s="1414"/>
      <c r="N411" s="1414"/>
      <c r="O411" s="1551" t="s">
        <v>2330</v>
      </c>
      <c r="P411" s="1521"/>
      <c r="Q411" s="320"/>
      <c r="R411" s="320"/>
      <c r="S411" s="320"/>
      <c r="T411" s="320">
        <f t="shared" si="64"/>
        <v>0</v>
      </c>
      <c r="U411" s="320"/>
      <c r="V411" s="320"/>
      <c r="W411" s="1521"/>
      <c r="X411" s="1521"/>
      <c r="Y411" s="1521"/>
      <c r="Z411" s="1521"/>
      <c r="AA411" s="1595">
        <v>8.1999999999999993</v>
      </c>
      <c r="AB411" s="1521"/>
      <c r="AC411" s="1521"/>
      <c r="AD411" s="1521"/>
      <c r="AE411" s="1521"/>
      <c r="AF411" s="1521"/>
      <c r="AG411" s="1521"/>
      <c r="AH411" s="1521"/>
      <c r="AI411" s="1521"/>
      <c r="AJ411" s="320"/>
      <c r="AK411" s="320"/>
      <c r="AL411" s="320"/>
      <c r="AM411" s="320"/>
      <c r="AN411" s="1523">
        <f t="shared" si="65"/>
        <v>0</v>
      </c>
      <c r="AO411" s="320"/>
      <c r="AP411" s="320"/>
      <c r="AQ411" s="1521"/>
      <c r="AR411" s="1521"/>
      <c r="AS411" s="1521"/>
      <c r="AT411" s="1521"/>
      <c r="AU411" s="1595">
        <v>8.1999999999999993</v>
      </c>
      <c r="AV411" s="1521"/>
      <c r="AW411" s="320"/>
      <c r="AX411" s="161"/>
      <c r="AY411" s="1540"/>
      <c r="AZ411" s="1560" t="e">
        <f>#REF!-#REF!</f>
        <v>#REF!</v>
      </c>
      <c r="BA411" s="1560">
        <f>IF(C411="Scheme",IF(SUM(AJ411:AS411)&gt;0,IF(H411&lt;#REF!,H411-#REF!,0),0),0)</f>
        <v>0</v>
      </c>
      <c r="BB411" s="1560">
        <f t="shared" si="63"/>
        <v>0</v>
      </c>
      <c r="BC411" s="96" t="s">
        <v>256</v>
      </c>
      <c r="BD411" s="96" t="s">
        <v>1931</v>
      </c>
    </row>
    <row r="412" spans="1:56" ht="31" outlineLevel="1" x14ac:dyDescent="0.25">
      <c r="A412" s="1492"/>
      <c r="B412" s="1492" t="s">
        <v>2023</v>
      </c>
      <c r="C412" s="1492" t="s">
        <v>936</v>
      </c>
      <c r="D412" s="1488"/>
      <c r="E412" s="1495"/>
      <c r="F412" s="1413"/>
      <c r="G412" s="618"/>
      <c r="H412" s="1417">
        <f>SUM(W412:AB412)</f>
        <v>2.4500000000000002</v>
      </c>
      <c r="I412" s="161"/>
      <c r="J412" s="161"/>
      <c r="K412" s="1413"/>
      <c r="L412" s="1414"/>
      <c r="M412" s="1414"/>
      <c r="N412" s="1414"/>
      <c r="O412" s="1551" t="s">
        <v>2330</v>
      </c>
      <c r="P412" s="1521"/>
      <c r="Q412" s="320"/>
      <c r="R412" s="320"/>
      <c r="S412" s="320"/>
      <c r="T412" s="320">
        <f t="shared" si="64"/>
        <v>0</v>
      </c>
      <c r="U412" s="320"/>
      <c r="V412" s="320"/>
      <c r="W412" s="1521"/>
      <c r="X412" s="1521"/>
      <c r="Y412" s="1521"/>
      <c r="Z412" s="1521"/>
      <c r="AA412" s="1595">
        <v>2.4500000000000002</v>
      </c>
      <c r="AB412" s="1521"/>
      <c r="AC412" s="1521"/>
      <c r="AD412" s="1521"/>
      <c r="AE412" s="1521"/>
      <c r="AF412" s="1521"/>
      <c r="AG412" s="1521"/>
      <c r="AH412" s="1521"/>
      <c r="AI412" s="1521"/>
      <c r="AJ412" s="320"/>
      <c r="AK412" s="320"/>
      <c r="AL412" s="320"/>
      <c r="AM412" s="320"/>
      <c r="AN412" s="1523">
        <f t="shared" si="65"/>
        <v>0</v>
      </c>
      <c r="AO412" s="320"/>
      <c r="AP412" s="320"/>
      <c r="AQ412" s="1521"/>
      <c r="AR412" s="1521"/>
      <c r="AS412" s="1521"/>
      <c r="AT412" s="1521"/>
      <c r="AU412" s="1595">
        <v>2.4500000000000002</v>
      </c>
      <c r="AV412" s="1521"/>
      <c r="AW412" s="320"/>
      <c r="AX412" s="161"/>
      <c r="AY412" s="1540"/>
      <c r="AZ412" s="1560" t="e">
        <f>#REF!-#REF!</f>
        <v>#REF!</v>
      </c>
      <c r="BA412" s="1560">
        <f>IF(C412="Scheme",IF(SUM(AJ412:AS412)&gt;0,IF(H412&lt;#REF!,H412-#REF!,0),0),0)</f>
        <v>0</v>
      </c>
      <c r="BB412" s="1560">
        <f t="shared" si="63"/>
        <v>0</v>
      </c>
      <c r="BC412" s="96" t="s">
        <v>256</v>
      </c>
      <c r="BD412" s="96" t="s">
        <v>1931</v>
      </c>
    </row>
    <row r="413" spans="1:56" ht="46.5" outlineLevel="1" x14ac:dyDescent="0.25">
      <c r="A413" s="1492"/>
      <c r="B413" s="1492" t="s">
        <v>2024</v>
      </c>
      <c r="C413" s="1492" t="s">
        <v>936</v>
      </c>
      <c r="D413" s="1488"/>
      <c r="E413" s="1495"/>
      <c r="F413" s="1413"/>
      <c r="G413" s="618"/>
      <c r="H413" s="1417">
        <f>SUM(W413:AB413)</f>
        <v>15.75</v>
      </c>
      <c r="I413" s="161"/>
      <c r="J413" s="161"/>
      <c r="K413" s="1413"/>
      <c r="L413" s="1414"/>
      <c r="M413" s="1414"/>
      <c r="N413" s="1414"/>
      <c r="O413" s="1551" t="s">
        <v>2330</v>
      </c>
      <c r="P413" s="1521"/>
      <c r="Q413" s="320"/>
      <c r="R413" s="320"/>
      <c r="S413" s="320"/>
      <c r="T413" s="320">
        <f t="shared" si="64"/>
        <v>0</v>
      </c>
      <c r="U413" s="320"/>
      <c r="V413" s="320"/>
      <c r="W413" s="1521"/>
      <c r="X413" s="1521"/>
      <c r="Y413" s="1521"/>
      <c r="Z413" s="1521"/>
      <c r="AA413" s="1595">
        <v>15.75</v>
      </c>
      <c r="AB413" s="1521"/>
      <c r="AC413" s="1521"/>
      <c r="AD413" s="1521"/>
      <c r="AE413" s="1521"/>
      <c r="AF413" s="1521"/>
      <c r="AG413" s="1521"/>
      <c r="AH413" s="1521"/>
      <c r="AI413" s="1521"/>
      <c r="AJ413" s="320"/>
      <c r="AK413" s="320"/>
      <c r="AL413" s="320"/>
      <c r="AM413" s="320"/>
      <c r="AN413" s="1523">
        <f t="shared" si="65"/>
        <v>0</v>
      </c>
      <c r="AO413" s="320"/>
      <c r="AP413" s="320"/>
      <c r="AQ413" s="1521"/>
      <c r="AR413" s="1521"/>
      <c r="AS413" s="1521"/>
      <c r="AT413" s="1521"/>
      <c r="AU413" s="1595">
        <v>15.75</v>
      </c>
      <c r="AV413" s="1521"/>
      <c r="AW413" s="320"/>
      <c r="AX413" s="161"/>
      <c r="AY413" s="1540"/>
      <c r="AZ413" s="1560" t="e">
        <f>#REF!-#REF!</f>
        <v>#REF!</v>
      </c>
      <c r="BA413" s="1560">
        <f>IF(C413="Scheme",IF(SUM(AJ413:AS413)&gt;0,IF(H413&lt;#REF!,H413-#REF!,0),0),0)</f>
        <v>0</v>
      </c>
      <c r="BB413" s="1560">
        <f t="shared" si="63"/>
        <v>0</v>
      </c>
      <c r="BC413" s="96" t="s">
        <v>256</v>
      </c>
      <c r="BD413" s="96" t="s">
        <v>1931</v>
      </c>
    </row>
    <row r="414" spans="1:56" ht="15.5" outlineLevel="1" x14ac:dyDescent="0.25">
      <c r="A414" s="1504"/>
      <c r="B414" s="1504" t="s">
        <v>2025</v>
      </c>
      <c r="C414" s="1504"/>
      <c r="D414" s="1488"/>
      <c r="E414" s="1495"/>
      <c r="F414" s="1413"/>
      <c r="G414" s="618"/>
      <c r="H414" s="1419"/>
      <c r="I414" s="161"/>
      <c r="J414" s="161"/>
      <c r="K414" s="1413"/>
      <c r="L414" s="1414"/>
      <c r="M414" s="1414"/>
      <c r="N414" s="1414"/>
      <c r="O414" s="1551"/>
      <c r="P414" s="1521"/>
      <c r="Q414" s="320"/>
      <c r="R414" s="320"/>
      <c r="S414" s="320"/>
      <c r="T414" s="320">
        <f t="shared" si="64"/>
        <v>0</v>
      </c>
      <c r="U414" s="320"/>
      <c r="V414" s="320"/>
      <c r="W414" s="1521"/>
      <c r="X414" s="1521"/>
      <c r="Y414" s="1521"/>
      <c r="Z414" s="1521"/>
      <c r="AA414" s="1521"/>
      <c r="AB414" s="1521"/>
      <c r="AC414" s="1521"/>
      <c r="AD414" s="1521"/>
      <c r="AE414" s="1521"/>
      <c r="AF414" s="1521"/>
      <c r="AG414" s="1521"/>
      <c r="AH414" s="1521"/>
      <c r="AI414" s="1521"/>
      <c r="AJ414" s="320"/>
      <c r="AK414" s="320"/>
      <c r="AL414" s="320"/>
      <c r="AM414" s="320"/>
      <c r="AN414" s="1523">
        <f t="shared" si="65"/>
        <v>0</v>
      </c>
      <c r="AO414" s="320"/>
      <c r="AP414" s="320"/>
      <c r="AQ414" s="1521"/>
      <c r="AR414" s="1521"/>
      <c r="AS414" s="1521"/>
      <c r="AT414" s="1521"/>
      <c r="AU414" s="1521"/>
      <c r="AV414" s="1521"/>
      <c r="AW414" s="320"/>
      <c r="AX414" s="161"/>
      <c r="AY414" s="1540"/>
      <c r="AZ414" s="1560" t="e">
        <f>#REF!-#REF!</f>
        <v>#REF!</v>
      </c>
      <c r="BA414" s="1560">
        <f>IF(C414="Scheme",IF(SUM(AJ414:AS414)&gt;0,IF(H414&lt;#REF!,H414-#REF!,0),0),0)</f>
        <v>0</v>
      </c>
      <c r="BB414" s="1560">
        <f t="shared" ref="BB414:BB477" si="67">IF(C414="scheme",G414-SUM(AJ414:AS414),0)</f>
        <v>0</v>
      </c>
    </row>
    <row r="415" spans="1:56" ht="46.5" outlineLevel="1" x14ac:dyDescent="0.25">
      <c r="A415" s="1486">
        <v>1</v>
      </c>
      <c r="B415" s="1491" t="s">
        <v>2026</v>
      </c>
      <c r="C415" s="1486" t="s">
        <v>928</v>
      </c>
      <c r="D415" s="1488"/>
      <c r="E415" s="1495"/>
      <c r="F415" s="1413"/>
      <c r="G415" s="618"/>
      <c r="H415" s="1594">
        <v>58</v>
      </c>
      <c r="I415" s="161"/>
      <c r="J415" s="161"/>
      <c r="K415" s="1413"/>
      <c r="L415" s="1414"/>
      <c r="M415" s="1414"/>
      <c r="N415" s="1414"/>
      <c r="O415" s="1551"/>
      <c r="P415" s="1521"/>
      <c r="Q415" s="320"/>
      <c r="R415" s="320"/>
      <c r="S415" s="320"/>
      <c r="T415" s="320">
        <f t="shared" si="64"/>
        <v>0</v>
      </c>
      <c r="U415" s="320"/>
      <c r="V415" s="320"/>
      <c r="W415" s="1521"/>
      <c r="X415" s="1521"/>
      <c r="Y415" s="1521"/>
      <c r="Z415" s="1521"/>
      <c r="AA415" s="1521"/>
      <c r="AB415" s="1521"/>
      <c r="AC415" s="1521"/>
      <c r="AD415" s="1521"/>
      <c r="AE415" s="1521"/>
      <c r="AF415" s="1521"/>
      <c r="AG415" s="1521"/>
      <c r="AH415" s="1521"/>
      <c r="AI415" s="1521"/>
      <c r="AJ415" s="320"/>
      <c r="AK415" s="320"/>
      <c r="AL415" s="320"/>
      <c r="AM415" s="320"/>
      <c r="AN415" s="1523">
        <f t="shared" si="65"/>
        <v>0</v>
      </c>
      <c r="AO415" s="320"/>
      <c r="AP415" s="320"/>
      <c r="AQ415" s="1521"/>
      <c r="AR415" s="1521"/>
      <c r="AS415" s="1521"/>
      <c r="AT415" s="1521"/>
      <c r="AU415" s="1521"/>
      <c r="AV415" s="1521"/>
      <c r="AW415" s="320"/>
      <c r="AX415" s="161"/>
      <c r="AY415" s="1540"/>
      <c r="AZ415" s="1560" t="e">
        <f>#REF!-#REF!</f>
        <v>#REF!</v>
      </c>
      <c r="BA415" s="1560">
        <f>IF(C415="Scheme",IF(SUM(AJ415:AS415)&gt;0,IF(H415&lt;#REF!,H415-#REF!,0),0),0)</f>
        <v>0</v>
      </c>
      <c r="BB415" s="1560">
        <f t="shared" si="67"/>
        <v>0</v>
      </c>
    </row>
    <row r="416" spans="1:56" ht="31" outlineLevel="1" x14ac:dyDescent="0.25">
      <c r="A416" s="1492"/>
      <c r="B416" s="1492" t="s">
        <v>2027</v>
      </c>
      <c r="C416" s="1492" t="s">
        <v>936</v>
      </c>
      <c r="D416" s="1488"/>
      <c r="E416" s="1495"/>
      <c r="F416" s="1413"/>
      <c r="G416" s="618"/>
      <c r="H416" s="1417">
        <f>SUM(W416:AB416)</f>
        <v>38</v>
      </c>
      <c r="I416" s="161"/>
      <c r="J416" s="161"/>
      <c r="K416" s="1413"/>
      <c r="L416" s="1414"/>
      <c r="M416" s="1414"/>
      <c r="N416" s="1414"/>
      <c r="O416" s="161" t="s">
        <v>2331</v>
      </c>
      <c r="P416" s="1521"/>
      <c r="Q416" s="320"/>
      <c r="R416" s="320"/>
      <c r="S416" s="320"/>
      <c r="T416" s="320">
        <f t="shared" si="64"/>
        <v>0</v>
      </c>
      <c r="U416" s="320"/>
      <c r="V416" s="320"/>
      <c r="W416" s="1521"/>
      <c r="X416" s="1595">
        <v>38</v>
      </c>
      <c r="Y416" s="1521"/>
      <c r="Z416" s="1521"/>
      <c r="AA416" s="1521"/>
      <c r="AB416" s="1521"/>
      <c r="AC416" s="1521"/>
      <c r="AD416" s="1521"/>
      <c r="AE416" s="1521"/>
      <c r="AF416" s="1521"/>
      <c r="AG416" s="1521"/>
      <c r="AH416" s="1521"/>
      <c r="AI416" s="1521"/>
      <c r="AJ416" s="320"/>
      <c r="AK416" s="320"/>
      <c r="AL416" s="320"/>
      <c r="AM416" s="320"/>
      <c r="AN416" s="1523">
        <f t="shared" si="65"/>
        <v>0</v>
      </c>
      <c r="AO416" s="320"/>
      <c r="AP416" s="320"/>
      <c r="AQ416" s="1521"/>
      <c r="AR416" s="1595">
        <v>38</v>
      </c>
      <c r="AS416" s="1521"/>
      <c r="AT416" s="1521"/>
      <c r="AU416" s="1521"/>
      <c r="AV416" s="1521"/>
      <c r="AW416" s="320"/>
      <c r="AX416" s="161"/>
      <c r="AY416" s="1540"/>
      <c r="AZ416" s="1560" t="e">
        <f>#REF!-#REF!</f>
        <v>#REF!</v>
      </c>
      <c r="BA416" s="1560" t="e">
        <f>IF(C416="Scheme",IF(SUM(AJ416:AS416)&gt;0,IF(H416&lt;#REF!,H416-#REF!,0),0),0)</f>
        <v>#REF!</v>
      </c>
      <c r="BB416" s="1560">
        <f t="shared" si="67"/>
        <v>-38</v>
      </c>
      <c r="BC416" s="96" t="s">
        <v>259</v>
      </c>
      <c r="BD416" s="96" t="s">
        <v>1931</v>
      </c>
    </row>
    <row r="417" spans="1:56" ht="31" outlineLevel="1" x14ac:dyDescent="0.25">
      <c r="A417" s="1492"/>
      <c r="B417" s="1492" t="s">
        <v>2028</v>
      </c>
      <c r="C417" s="1492" t="s">
        <v>936</v>
      </c>
      <c r="D417" s="1488"/>
      <c r="E417" s="1495"/>
      <c r="F417" s="1413"/>
      <c r="G417" s="618"/>
      <c r="H417" s="1417">
        <f>SUM(W417:AB417)</f>
        <v>15</v>
      </c>
      <c r="I417" s="161"/>
      <c r="J417" s="161"/>
      <c r="K417" s="1413"/>
      <c r="L417" s="1414"/>
      <c r="M417" s="1414"/>
      <c r="N417" s="1414"/>
      <c r="O417" s="161" t="s">
        <v>2332</v>
      </c>
      <c r="P417" s="1521"/>
      <c r="Q417" s="320"/>
      <c r="R417" s="320"/>
      <c r="S417" s="320"/>
      <c r="T417" s="320">
        <f t="shared" si="64"/>
        <v>0</v>
      </c>
      <c r="U417" s="320"/>
      <c r="V417" s="320"/>
      <c r="W417" s="1521"/>
      <c r="X417" s="1595">
        <v>15</v>
      </c>
      <c r="Y417" s="1521"/>
      <c r="Z417" s="1521"/>
      <c r="AA417" s="1521"/>
      <c r="AB417" s="1521"/>
      <c r="AC417" s="1521"/>
      <c r="AD417" s="1521"/>
      <c r="AE417" s="1521"/>
      <c r="AF417" s="1521"/>
      <c r="AG417" s="1521"/>
      <c r="AH417" s="1521"/>
      <c r="AI417" s="1521"/>
      <c r="AJ417" s="320"/>
      <c r="AK417" s="320"/>
      <c r="AL417" s="320"/>
      <c r="AM417" s="320"/>
      <c r="AN417" s="1523">
        <f t="shared" si="65"/>
        <v>0</v>
      </c>
      <c r="AO417" s="320"/>
      <c r="AP417" s="320"/>
      <c r="AQ417" s="1521"/>
      <c r="AR417" s="1595">
        <v>15</v>
      </c>
      <c r="AS417" s="1521"/>
      <c r="AT417" s="1521"/>
      <c r="AU417" s="1521"/>
      <c r="AV417" s="1521"/>
      <c r="AW417" s="320"/>
      <c r="AX417" s="161"/>
      <c r="AY417" s="1540"/>
      <c r="AZ417" s="1560" t="e">
        <f>#REF!-#REF!</f>
        <v>#REF!</v>
      </c>
      <c r="BA417" s="1560" t="e">
        <f>IF(C417="Scheme",IF(SUM(AJ417:AS417)&gt;0,IF(H417&lt;#REF!,H417-#REF!,0),0),0)</f>
        <v>#REF!</v>
      </c>
      <c r="BB417" s="1560">
        <f t="shared" si="67"/>
        <v>-15</v>
      </c>
      <c r="BC417" s="96" t="s">
        <v>256</v>
      </c>
      <c r="BD417" s="96" t="s">
        <v>1931</v>
      </c>
    </row>
    <row r="418" spans="1:56" ht="31" outlineLevel="1" x14ac:dyDescent="0.25">
      <c r="A418" s="1492"/>
      <c r="B418" s="1492" t="s">
        <v>2029</v>
      </c>
      <c r="C418" s="1492" t="s">
        <v>936</v>
      </c>
      <c r="D418" s="1488"/>
      <c r="E418" s="1495"/>
      <c r="F418" s="1413"/>
      <c r="G418" s="618"/>
      <c r="H418" s="1417">
        <f>SUM(W418:AB418)</f>
        <v>5</v>
      </c>
      <c r="I418" s="161"/>
      <c r="J418" s="161"/>
      <c r="K418" s="1413"/>
      <c r="L418" s="1414"/>
      <c r="M418" s="1414"/>
      <c r="N418" s="1414"/>
      <c r="O418" s="161" t="s">
        <v>2333</v>
      </c>
      <c r="P418" s="1521"/>
      <c r="Q418" s="320"/>
      <c r="R418" s="320"/>
      <c r="S418" s="320"/>
      <c r="T418" s="320">
        <f t="shared" si="64"/>
        <v>0</v>
      </c>
      <c r="U418" s="320"/>
      <c r="V418" s="320"/>
      <c r="W418" s="1521"/>
      <c r="X418" s="1595">
        <v>5</v>
      </c>
      <c r="Y418" s="1521"/>
      <c r="Z418" s="1521"/>
      <c r="AA418" s="1521"/>
      <c r="AB418" s="1521"/>
      <c r="AC418" s="1521"/>
      <c r="AD418" s="1521"/>
      <c r="AE418" s="1521"/>
      <c r="AF418" s="1521"/>
      <c r="AG418" s="1521"/>
      <c r="AH418" s="1521"/>
      <c r="AI418" s="1521"/>
      <c r="AJ418" s="320"/>
      <c r="AK418" s="320"/>
      <c r="AL418" s="320"/>
      <c r="AM418" s="320"/>
      <c r="AN418" s="1523">
        <f t="shared" si="65"/>
        <v>0</v>
      </c>
      <c r="AO418" s="320"/>
      <c r="AP418" s="320"/>
      <c r="AQ418" s="1521"/>
      <c r="AR418" s="1595">
        <v>5</v>
      </c>
      <c r="AS418" s="1521"/>
      <c r="AT418" s="1521"/>
      <c r="AU418" s="1521"/>
      <c r="AV418" s="1521"/>
      <c r="AW418" s="320"/>
      <c r="AX418" s="161"/>
      <c r="AY418" s="1540"/>
      <c r="AZ418" s="1560" t="e">
        <f>#REF!-#REF!</f>
        <v>#REF!</v>
      </c>
      <c r="BA418" s="1560" t="e">
        <f>IF(C418="Scheme",IF(SUM(AJ418:AS418)&gt;0,IF(H418&lt;#REF!,H418-#REF!,0),0),0)</f>
        <v>#REF!</v>
      </c>
      <c r="BB418" s="1560">
        <f t="shared" si="67"/>
        <v>-5</v>
      </c>
      <c r="BC418" s="96" t="s">
        <v>256</v>
      </c>
      <c r="BD418" s="96" t="s">
        <v>1931</v>
      </c>
    </row>
    <row r="419" spans="1:56" ht="77.5" outlineLevel="1" x14ac:dyDescent="0.25">
      <c r="A419" s="1486">
        <v>2</v>
      </c>
      <c r="B419" s="1491" t="s">
        <v>2030</v>
      </c>
      <c r="C419" s="1486" t="s">
        <v>928</v>
      </c>
      <c r="D419" s="1488"/>
      <c r="E419" s="1495"/>
      <c r="F419" s="1413"/>
      <c r="G419" s="618"/>
      <c r="H419" s="1594">
        <v>33</v>
      </c>
      <c r="I419" s="161"/>
      <c r="J419" s="161"/>
      <c r="K419" s="1413"/>
      <c r="L419" s="1414"/>
      <c r="M419" s="1414"/>
      <c r="N419" s="1414"/>
      <c r="O419" s="1551"/>
      <c r="P419" s="1521"/>
      <c r="Q419" s="320"/>
      <c r="R419" s="320"/>
      <c r="S419" s="320"/>
      <c r="T419" s="320">
        <f t="shared" si="64"/>
        <v>0</v>
      </c>
      <c r="U419" s="320"/>
      <c r="V419" s="320"/>
      <c r="W419" s="1521"/>
      <c r="X419" s="1595"/>
      <c r="Y419" s="1521"/>
      <c r="Z419" s="1521"/>
      <c r="AA419" s="1521"/>
      <c r="AB419" s="1521"/>
      <c r="AC419" s="1521"/>
      <c r="AD419" s="1521"/>
      <c r="AE419" s="1521"/>
      <c r="AF419" s="1521"/>
      <c r="AG419" s="1521"/>
      <c r="AH419" s="1521"/>
      <c r="AI419" s="1521"/>
      <c r="AJ419" s="320"/>
      <c r="AK419" s="320"/>
      <c r="AL419" s="320"/>
      <c r="AM419" s="320"/>
      <c r="AN419" s="1523">
        <f t="shared" si="65"/>
        <v>0</v>
      </c>
      <c r="AO419" s="320"/>
      <c r="AP419" s="320"/>
      <c r="AQ419" s="1521"/>
      <c r="AR419" s="1595"/>
      <c r="AS419" s="1521"/>
      <c r="AT419" s="1521"/>
      <c r="AU419" s="1521"/>
      <c r="AV419" s="1521"/>
      <c r="AW419" s="320"/>
      <c r="AX419" s="161"/>
      <c r="AY419" s="1540"/>
      <c r="AZ419" s="1560" t="e">
        <f>#REF!-#REF!</f>
        <v>#REF!</v>
      </c>
      <c r="BA419" s="1560">
        <f>IF(C419="Scheme",IF(SUM(AJ419:AS419)&gt;0,IF(H419&lt;#REF!,H419-#REF!,0),0),0)</f>
        <v>0</v>
      </c>
      <c r="BB419" s="1560">
        <f t="shared" si="67"/>
        <v>0</v>
      </c>
    </row>
    <row r="420" spans="1:56" ht="46.5" outlineLevel="1" x14ac:dyDescent="0.25">
      <c r="A420" s="1492"/>
      <c r="B420" s="1492" t="s">
        <v>2031</v>
      </c>
      <c r="C420" s="1492" t="s">
        <v>936</v>
      </c>
      <c r="D420" s="1488"/>
      <c r="E420" s="1495"/>
      <c r="F420" s="1413"/>
      <c r="G420" s="618"/>
      <c r="H420" s="1417">
        <f>SUM(W420:AB420)</f>
        <v>12</v>
      </c>
      <c r="I420" s="161"/>
      <c r="J420" s="161"/>
      <c r="K420" s="1413"/>
      <c r="L420" s="1414"/>
      <c r="M420" s="1414"/>
      <c r="N420" s="1414"/>
      <c r="O420" s="161" t="s">
        <v>2334</v>
      </c>
      <c r="P420" s="1521"/>
      <c r="Q420" s="320"/>
      <c r="R420" s="320"/>
      <c r="S420" s="320"/>
      <c r="T420" s="320">
        <f t="shared" si="64"/>
        <v>0</v>
      </c>
      <c r="U420" s="320"/>
      <c r="V420" s="320"/>
      <c r="W420" s="1521"/>
      <c r="X420" s="1521"/>
      <c r="Y420" s="1595">
        <v>12</v>
      </c>
      <c r="Z420" s="1521"/>
      <c r="AA420" s="1521"/>
      <c r="AB420" s="1521"/>
      <c r="AC420" s="1521"/>
      <c r="AD420" s="1521"/>
      <c r="AE420" s="1521"/>
      <c r="AF420" s="1521"/>
      <c r="AG420" s="1521"/>
      <c r="AH420" s="1521"/>
      <c r="AI420" s="1521"/>
      <c r="AJ420" s="320"/>
      <c r="AK420" s="320"/>
      <c r="AL420" s="320"/>
      <c r="AM420" s="320"/>
      <c r="AN420" s="1523">
        <f t="shared" si="65"/>
        <v>0</v>
      </c>
      <c r="AO420" s="320"/>
      <c r="AP420" s="320"/>
      <c r="AQ420" s="1521"/>
      <c r="AR420" s="1521"/>
      <c r="AS420" s="1595">
        <v>12</v>
      </c>
      <c r="AT420" s="1521"/>
      <c r="AU420" s="1521"/>
      <c r="AV420" s="1521"/>
      <c r="AW420" s="320"/>
      <c r="AX420" s="161"/>
      <c r="AY420" s="1540"/>
      <c r="AZ420" s="1560" t="e">
        <f>#REF!-#REF!</f>
        <v>#REF!</v>
      </c>
      <c r="BA420" s="1560" t="e">
        <f>IF(C420="Scheme",IF(SUM(AJ420:AS420)&gt;0,IF(H420&lt;#REF!,H420-#REF!,0),0),0)</f>
        <v>#REF!</v>
      </c>
      <c r="BB420" s="1560">
        <f t="shared" si="67"/>
        <v>-12</v>
      </c>
      <c r="BC420" s="96" t="s">
        <v>256</v>
      </c>
      <c r="BD420" s="96" t="s">
        <v>1931</v>
      </c>
    </row>
    <row r="421" spans="1:56" ht="31" outlineLevel="1" x14ac:dyDescent="0.25">
      <c r="A421" s="1492"/>
      <c r="B421" s="1492" t="s">
        <v>2032</v>
      </c>
      <c r="C421" s="1492" t="s">
        <v>936</v>
      </c>
      <c r="D421" s="1488"/>
      <c r="E421" s="1495"/>
      <c r="F421" s="1413"/>
      <c r="G421" s="618"/>
      <c r="H421" s="1417">
        <f>SUM(W421:AB421)</f>
        <v>10</v>
      </c>
      <c r="I421" s="161"/>
      <c r="J421" s="161"/>
      <c r="K421" s="1413"/>
      <c r="L421" s="1414"/>
      <c r="M421" s="1414"/>
      <c r="N421" s="1414"/>
      <c r="O421" s="161" t="s">
        <v>2335</v>
      </c>
      <c r="P421" s="1521"/>
      <c r="Q421" s="320"/>
      <c r="R421" s="320"/>
      <c r="S421" s="320"/>
      <c r="T421" s="320">
        <f t="shared" si="64"/>
        <v>0</v>
      </c>
      <c r="U421" s="320"/>
      <c r="V421" s="320"/>
      <c r="W421" s="1521"/>
      <c r="X421" s="1521"/>
      <c r="Y421" s="1595">
        <v>10</v>
      </c>
      <c r="Z421" s="1521"/>
      <c r="AA421" s="1521"/>
      <c r="AB421" s="1521"/>
      <c r="AC421" s="1521"/>
      <c r="AD421" s="1521"/>
      <c r="AE421" s="1521"/>
      <c r="AF421" s="1521"/>
      <c r="AG421" s="1521"/>
      <c r="AH421" s="1521"/>
      <c r="AI421" s="1521"/>
      <c r="AJ421" s="320"/>
      <c r="AK421" s="320"/>
      <c r="AL421" s="320"/>
      <c r="AM421" s="320"/>
      <c r="AN421" s="1523">
        <f t="shared" si="65"/>
        <v>0</v>
      </c>
      <c r="AO421" s="320"/>
      <c r="AP421" s="320"/>
      <c r="AQ421" s="1521"/>
      <c r="AR421" s="1521"/>
      <c r="AS421" s="1595">
        <v>10</v>
      </c>
      <c r="AT421" s="1521"/>
      <c r="AU421" s="1521"/>
      <c r="AV421" s="1521"/>
      <c r="AW421" s="320"/>
      <c r="AX421" s="161"/>
      <c r="AY421" s="1540"/>
      <c r="AZ421" s="1560" t="e">
        <f>#REF!-#REF!</f>
        <v>#REF!</v>
      </c>
      <c r="BA421" s="1560" t="e">
        <f>IF(C421="Scheme",IF(SUM(AJ421:AS421)&gt;0,IF(H421&lt;#REF!,H421-#REF!,0),0),0)</f>
        <v>#REF!</v>
      </c>
      <c r="BB421" s="1560">
        <f t="shared" si="67"/>
        <v>-10</v>
      </c>
      <c r="BC421" s="96" t="s">
        <v>256</v>
      </c>
      <c r="BD421" s="96" t="s">
        <v>1931</v>
      </c>
    </row>
    <row r="422" spans="1:56" ht="31" outlineLevel="1" x14ac:dyDescent="0.25">
      <c r="A422" s="1492"/>
      <c r="B422" s="1492" t="s">
        <v>2033</v>
      </c>
      <c r="C422" s="1492" t="s">
        <v>936</v>
      </c>
      <c r="D422" s="1488"/>
      <c r="E422" s="1495"/>
      <c r="F422" s="1413"/>
      <c r="G422" s="618"/>
      <c r="H422" s="1417">
        <f>SUM(W422:AB422)</f>
        <v>5.5</v>
      </c>
      <c r="I422" s="161"/>
      <c r="J422" s="161"/>
      <c r="K422" s="1413"/>
      <c r="L422" s="1414"/>
      <c r="M422" s="1414"/>
      <c r="N422" s="1414"/>
      <c r="O422" s="161" t="s">
        <v>2336</v>
      </c>
      <c r="P422" s="1521"/>
      <c r="Q422" s="320"/>
      <c r="R422" s="320"/>
      <c r="S422" s="320"/>
      <c r="T422" s="320">
        <f t="shared" si="64"/>
        <v>0</v>
      </c>
      <c r="U422" s="320"/>
      <c r="V422" s="320"/>
      <c r="W422" s="1521"/>
      <c r="X422" s="1521"/>
      <c r="Y422" s="1595">
        <v>5.5</v>
      </c>
      <c r="Z422" s="1521"/>
      <c r="AA422" s="1521"/>
      <c r="AB422" s="1521"/>
      <c r="AC422" s="1521"/>
      <c r="AD422" s="1521"/>
      <c r="AE422" s="1521"/>
      <c r="AF422" s="1521"/>
      <c r="AG422" s="1521"/>
      <c r="AH422" s="1521"/>
      <c r="AI422" s="1521"/>
      <c r="AJ422" s="320"/>
      <c r="AK422" s="320"/>
      <c r="AL422" s="320"/>
      <c r="AM422" s="320"/>
      <c r="AN422" s="1523">
        <f t="shared" si="65"/>
        <v>0</v>
      </c>
      <c r="AO422" s="320"/>
      <c r="AP422" s="320"/>
      <c r="AQ422" s="1521"/>
      <c r="AR422" s="1521"/>
      <c r="AS422" s="1595">
        <v>5.5</v>
      </c>
      <c r="AT422" s="1521"/>
      <c r="AU422" s="1521"/>
      <c r="AV422" s="1521"/>
      <c r="AW422" s="320"/>
      <c r="AX422" s="161"/>
      <c r="AY422" s="1540"/>
      <c r="AZ422" s="1560" t="e">
        <f>#REF!-#REF!</f>
        <v>#REF!</v>
      </c>
      <c r="BA422" s="1560" t="e">
        <f>IF(C422="Scheme",IF(SUM(AJ422:AS422)&gt;0,IF(H422&lt;#REF!,H422-#REF!,0),0),0)</f>
        <v>#REF!</v>
      </c>
      <c r="BB422" s="1560">
        <f t="shared" si="67"/>
        <v>-5.5</v>
      </c>
      <c r="BC422" s="96" t="s">
        <v>256</v>
      </c>
      <c r="BD422" s="96" t="s">
        <v>1931</v>
      </c>
    </row>
    <row r="423" spans="1:56" ht="46.5" outlineLevel="1" x14ac:dyDescent="0.25">
      <c r="A423" s="1492"/>
      <c r="B423" s="1492" t="s">
        <v>2034</v>
      </c>
      <c r="C423" s="1492" t="s">
        <v>936</v>
      </c>
      <c r="D423" s="1488"/>
      <c r="E423" s="1495"/>
      <c r="F423" s="1413"/>
      <c r="G423" s="618"/>
      <c r="H423" s="1417">
        <f>SUM(W423:AB423)</f>
        <v>5.5</v>
      </c>
      <c r="I423" s="161"/>
      <c r="J423" s="161"/>
      <c r="K423" s="1413"/>
      <c r="L423" s="1414"/>
      <c r="M423" s="1414"/>
      <c r="N423" s="1414"/>
      <c r="O423" s="161" t="s">
        <v>2337</v>
      </c>
      <c r="P423" s="1521"/>
      <c r="Q423" s="320"/>
      <c r="R423" s="320"/>
      <c r="S423" s="320"/>
      <c r="T423" s="320">
        <f t="shared" si="64"/>
        <v>0</v>
      </c>
      <c r="U423" s="320"/>
      <c r="V423" s="320"/>
      <c r="W423" s="1521"/>
      <c r="X423" s="1521"/>
      <c r="Y423" s="1595">
        <v>5.5</v>
      </c>
      <c r="Z423" s="1521"/>
      <c r="AA423" s="1521"/>
      <c r="AB423" s="1521"/>
      <c r="AC423" s="1521"/>
      <c r="AD423" s="1521"/>
      <c r="AE423" s="1521"/>
      <c r="AF423" s="1521"/>
      <c r="AG423" s="1521"/>
      <c r="AH423" s="1521"/>
      <c r="AI423" s="1521"/>
      <c r="AJ423" s="320"/>
      <c r="AK423" s="320"/>
      <c r="AL423" s="320"/>
      <c r="AM423" s="320"/>
      <c r="AN423" s="1523">
        <f t="shared" si="65"/>
        <v>0</v>
      </c>
      <c r="AO423" s="320"/>
      <c r="AP423" s="320"/>
      <c r="AQ423" s="1521"/>
      <c r="AR423" s="1521"/>
      <c r="AS423" s="1595">
        <v>5.5</v>
      </c>
      <c r="AT423" s="1521"/>
      <c r="AU423" s="1521"/>
      <c r="AV423" s="1521"/>
      <c r="AW423" s="320"/>
      <c r="AX423" s="161"/>
      <c r="AY423" s="1540"/>
      <c r="AZ423" s="1560" t="e">
        <f>#REF!-#REF!</f>
        <v>#REF!</v>
      </c>
      <c r="BA423" s="1560" t="e">
        <f>IF(C423="Scheme",IF(SUM(AJ423:AS423)&gt;0,IF(H423&lt;#REF!,H423-#REF!,0),0),0)</f>
        <v>#REF!</v>
      </c>
      <c r="BB423" s="1560">
        <f t="shared" si="67"/>
        <v>-5.5</v>
      </c>
      <c r="BC423" s="96" t="s">
        <v>256</v>
      </c>
      <c r="BD423" s="96" t="s">
        <v>1931</v>
      </c>
    </row>
    <row r="424" spans="1:56" ht="31" outlineLevel="1" x14ac:dyDescent="0.25">
      <c r="A424" s="1486">
        <v>3</v>
      </c>
      <c r="B424" s="1491" t="s">
        <v>2035</v>
      </c>
      <c r="C424" s="1486" t="s">
        <v>928</v>
      </c>
      <c r="D424" s="1488"/>
      <c r="E424" s="1495"/>
      <c r="F424" s="1413"/>
      <c r="G424" s="618"/>
      <c r="H424" s="1594">
        <v>32</v>
      </c>
      <c r="I424" s="161"/>
      <c r="J424" s="161"/>
      <c r="K424" s="1413"/>
      <c r="L424" s="1414"/>
      <c r="M424" s="1414"/>
      <c r="N424" s="1414"/>
      <c r="O424" s="1551"/>
      <c r="P424" s="1521"/>
      <c r="Q424" s="320"/>
      <c r="R424" s="320"/>
      <c r="S424" s="320"/>
      <c r="T424" s="320">
        <f t="shared" si="64"/>
        <v>0</v>
      </c>
      <c r="U424" s="320"/>
      <c r="V424" s="320"/>
      <c r="W424" s="1521"/>
      <c r="X424" s="1521"/>
      <c r="Y424" s="1521"/>
      <c r="Z424" s="1521"/>
      <c r="AA424" s="1521"/>
      <c r="AB424" s="1521"/>
      <c r="AC424" s="1521"/>
      <c r="AD424" s="1521"/>
      <c r="AE424" s="1521"/>
      <c r="AF424" s="1521"/>
      <c r="AG424" s="1521"/>
      <c r="AH424" s="1521"/>
      <c r="AI424" s="1521"/>
      <c r="AJ424" s="320"/>
      <c r="AK424" s="320"/>
      <c r="AL424" s="320"/>
      <c r="AM424" s="320"/>
      <c r="AN424" s="1523">
        <f t="shared" si="65"/>
        <v>0</v>
      </c>
      <c r="AO424" s="320"/>
      <c r="AP424" s="320"/>
      <c r="AQ424" s="1521"/>
      <c r="AR424" s="1521"/>
      <c r="AS424" s="1521"/>
      <c r="AT424" s="1521"/>
      <c r="AU424" s="1521"/>
      <c r="AV424" s="1521"/>
      <c r="AW424" s="320"/>
      <c r="AX424" s="161"/>
      <c r="AY424" s="1540"/>
      <c r="AZ424" s="1560" t="e">
        <f>#REF!-#REF!</f>
        <v>#REF!</v>
      </c>
      <c r="BA424" s="1560">
        <f>IF(C424="Scheme",IF(SUM(AJ424:AS424)&gt;0,IF(H424&lt;#REF!,H424-#REF!,0),0),0)</f>
        <v>0</v>
      </c>
      <c r="BB424" s="1560">
        <f t="shared" si="67"/>
        <v>0</v>
      </c>
    </row>
    <row r="425" spans="1:56" ht="31" outlineLevel="1" x14ac:dyDescent="0.25">
      <c r="A425" s="1492"/>
      <c r="B425" s="1492" t="s">
        <v>2036</v>
      </c>
      <c r="C425" s="1492" t="s">
        <v>936</v>
      </c>
      <c r="D425" s="1488"/>
      <c r="E425" s="1495"/>
      <c r="F425" s="1413"/>
      <c r="G425" s="618"/>
      <c r="H425" s="1417">
        <f>SUM(W425:AB425)</f>
        <v>12</v>
      </c>
      <c r="I425" s="161"/>
      <c r="J425" s="161"/>
      <c r="K425" s="1413"/>
      <c r="L425" s="1414"/>
      <c r="M425" s="1414"/>
      <c r="N425" s="1414"/>
      <c r="O425" s="161" t="s">
        <v>2338</v>
      </c>
      <c r="P425" s="1521"/>
      <c r="Q425" s="320"/>
      <c r="R425" s="320"/>
      <c r="S425" s="320"/>
      <c r="T425" s="320">
        <f t="shared" si="64"/>
        <v>0</v>
      </c>
      <c r="U425" s="320"/>
      <c r="V425" s="320"/>
      <c r="W425" s="1521"/>
      <c r="X425" s="1521"/>
      <c r="Y425" s="1521"/>
      <c r="Z425" s="1521">
        <v>12</v>
      </c>
      <c r="AA425" s="1521"/>
      <c r="AB425" s="1521"/>
      <c r="AC425" s="1521"/>
      <c r="AD425" s="1521"/>
      <c r="AE425" s="1521"/>
      <c r="AF425" s="1521"/>
      <c r="AG425" s="1521"/>
      <c r="AH425" s="1521"/>
      <c r="AI425" s="1521"/>
      <c r="AJ425" s="320"/>
      <c r="AK425" s="320"/>
      <c r="AL425" s="320"/>
      <c r="AM425" s="320"/>
      <c r="AN425" s="1523">
        <f t="shared" si="65"/>
        <v>0</v>
      </c>
      <c r="AO425" s="320"/>
      <c r="AP425" s="320"/>
      <c r="AQ425" s="1521"/>
      <c r="AR425" s="1521"/>
      <c r="AS425" s="1521"/>
      <c r="AT425" s="1521">
        <v>12</v>
      </c>
      <c r="AU425" s="1521"/>
      <c r="AV425" s="1521"/>
      <c r="AW425" s="320"/>
      <c r="AX425" s="161"/>
      <c r="AY425" s="1540"/>
      <c r="AZ425" s="1560" t="e">
        <f>#REF!-#REF!</f>
        <v>#REF!</v>
      </c>
      <c r="BA425" s="1560">
        <f>IF(C425="Scheme",IF(SUM(AJ425:AS425)&gt;0,IF(H425&lt;#REF!,H425-#REF!,0),0),0)</f>
        <v>0</v>
      </c>
      <c r="BB425" s="1560">
        <f t="shared" si="67"/>
        <v>0</v>
      </c>
      <c r="BC425" s="96" t="s">
        <v>259</v>
      </c>
      <c r="BD425" s="96" t="s">
        <v>1931</v>
      </c>
    </row>
    <row r="426" spans="1:56" ht="31" outlineLevel="1" x14ac:dyDescent="0.25">
      <c r="A426" s="1492"/>
      <c r="B426" s="1492" t="s">
        <v>2037</v>
      </c>
      <c r="C426" s="1492" t="s">
        <v>936</v>
      </c>
      <c r="D426" s="1488"/>
      <c r="E426" s="1495"/>
      <c r="F426" s="1413"/>
      <c r="G426" s="618"/>
      <c r="H426" s="1417">
        <f>SUM(W426:AB426)</f>
        <v>9</v>
      </c>
      <c r="I426" s="161"/>
      <c r="J426" s="161"/>
      <c r="K426" s="1413"/>
      <c r="L426" s="1414"/>
      <c r="M426" s="1414"/>
      <c r="N426" s="1414"/>
      <c r="O426" s="161" t="s">
        <v>2339</v>
      </c>
      <c r="P426" s="1521"/>
      <c r="Q426" s="320"/>
      <c r="R426" s="320"/>
      <c r="S426" s="320"/>
      <c r="T426" s="320">
        <f t="shared" si="64"/>
        <v>0</v>
      </c>
      <c r="U426" s="320"/>
      <c r="V426" s="320"/>
      <c r="W426" s="1521"/>
      <c r="X426" s="1521"/>
      <c r="Y426" s="1521"/>
      <c r="Z426" s="1521">
        <v>9</v>
      </c>
      <c r="AA426" s="1521"/>
      <c r="AB426" s="1521"/>
      <c r="AC426" s="1521"/>
      <c r="AD426" s="1521"/>
      <c r="AE426" s="1521"/>
      <c r="AF426" s="1521"/>
      <c r="AG426" s="1521"/>
      <c r="AH426" s="1521"/>
      <c r="AI426" s="1521"/>
      <c r="AJ426" s="320"/>
      <c r="AK426" s="320"/>
      <c r="AL426" s="320"/>
      <c r="AM426" s="320"/>
      <c r="AN426" s="1523">
        <f t="shared" si="65"/>
        <v>0</v>
      </c>
      <c r="AO426" s="320"/>
      <c r="AP426" s="320"/>
      <c r="AQ426" s="1521"/>
      <c r="AR426" s="1521"/>
      <c r="AS426" s="1521"/>
      <c r="AT426" s="1521">
        <v>9</v>
      </c>
      <c r="AU426" s="1521"/>
      <c r="AV426" s="1521"/>
      <c r="AW426" s="320"/>
      <c r="AX426" s="161"/>
      <c r="AY426" s="1540"/>
      <c r="AZ426" s="1560" t="e">
        <f>#REF!-#REF!</f>
        <v>#REF!</v>
      </c>
      <c r="BA426" s="1560">
        <f>IF(C426="Scheme",IF(SUM(AJ426:AS426)&gt;0,IF(H426&lt;#REF!,H426-#REF!,0),0),0)</f>
        <v>0</v>
      </c>
      <c r="BB426" s="1560">
        <f t="shared" si="67"/>
        <v>0</v>
      </c>
      <c r="BC426" s="96" t="s">
        <v>256</v>
      </c>
      <c r="BD426" s="96" t="s">
        <v>1931</v>
      </c>
    </row>
    <row r="427" spans="1:56" ht="31" outlineLevel="1" x14ac:dyDescent="0.25">
      <c r="A427" s="1492"/>
      <c r="B427" s="1492" t="s">
        <v>2038</v>
      </c>
      <c r="C427" s="1492" t="s">
        <v>936</v>
      </c>
      <c r="D427" s="1488"/>
      <c r="E427" s="1495"/>
      <c r="F427" s="1413"/>
      <c r="G427" s="618"/>
      <c r="H427" s="1417">
        <f>SUM(W427:AB427)</f>
        <v>5</v>
      </c>
      <c r="I427" s="161"/>
      <c r="J427" s="161"/>
      <c r="K427" s="1413"/>
      <c r="L427" s="1414"/>
      <c r="M427" s="1414"/>
      <c r="N427" s="1414"/>
      <c r="O427" s="161" t="s">
        <v>2336</v>
      </c>
      <c r="P427" s="1521"/>
      <c r="Q427" s="320"/>
      <c r="R427" s="320"/>
      <c r="S427" s="320"/>
      <c r="T427" s="320">
        <f t="shared" si="64"/>
        <v>0</v>
      </c>
      <c r="U427" s="320"/>
      <c r="V427" s="320"/>
      <c r="W427" s="1521"/>
      <c r="X427" s="1521"/>
      <c r="Y427" s="1521"/>
      <c r="Z427" s="1521">
        <v>5</v>
      </c>
      <c r="AA427" s="1521"/>
      <c r="AB427" s="1521"/>
      <c r="AC427" s="1521"/>
      <c r="AD427" s="1521"/>
      <c r="AE427" s="1521"/>
      <c r="AF427" s="1521"/>
      <c r="AG427" s="1521"/>
      <c r="AH427" s="1521"/>
      <c r="AI427" s="1521"/>
      <c r="AJ427" s="320"/>
      <c r="AK427" s="320"/>
      <c r="AL427" s="320"/>
      <c r="AM427" s="320"/>
      <c r="AN427" s="1523">
        <f t="shared" si="65"/>
        <v>0</v>
      </c>
      <c r="AO427" s="320"/>
      <c r="AP427" s="320"/>
      <c r="AQ427" s="1521"/>
      <c r="AR427" s="1521"/>
      <c r="AS427" s="1521"/>
      <c r="AT427" s="1521">
        <v>5</v>
      </c>
      <c r="AU427" s="1521"/>
      <c r="AV427" s="1521"/>
      <c r="AW427" s="320"/>
      <c r="AX427" s="161"/>
      <c r="AY427" s="1540"/>
      <c r="AZ427" s="1560" t="e">
        <f>#REF!-#REF!</f>
        <v>#REF!</v>
      </c>
      <c r="BA427" s="1560">
        <f>IF(C427="Scheme",IF(SUM(AJ427:AS427)&gt;0,IF(H427&lt;#REF!,H427-#REF!,0),0),0)</f>
        <v>0</v>
      </c>
      <c r="BB427" s="1560">
        <f t="shared" si="67"/>
        <v>0</v>
      </c>
      <c r="BC427" s="96" t="s">
        <v>256</v>
      </c>
      <c r="BD427" s="96" t="s">
        <v>1931</v>
      </c>
    </row>
    <row r="428" spans="1:56" ht="31" outlineLevel="1" x14ac:dyDescent="0.25">
      <c r="A428" s="1492"/>
      <c r="B428" s="1492" t="s">
        <v>2039</v>
      </c>
      <c r="C428" s="1492" t="s">
        <v>936</v>
      </c>
      <c r="D428" s="1488"/>
      <c r="E428" s="1495"/>
      <c r="F428" s="1413"/>
      <c r="G428" s="618"/>
      <c r="H428" s="1417">
        <f>SUM(W428:AB428)</f>
        <v>6</v>
      </c>
      <c r="I428" s="161"/>
      <c r="J428" s="161"/>
      <c r="K428" s="1413"/>
      <c r="L428" s="1414"/>
      <c r="M428" s="1414"/>
      <c r="N428" s="1414"/>
      <c r="O428" s="161" t="s">
        <v>2340</v>
      </c>
      <c r="P428" s="1521"/>
      <c r="Q428" s="320"/>
      <c r="R428" s="320"/>
      <c r="S428" s="320"/>
      <c r="T428" s="320">
        <f t="shared" si="64"/>
        <v>0</v>
      </c>
      <c r="U428" s="320"/>
      <c r="V428" s="320"/>
      <c r="W428" s="1521"/>
      <c r="X428" s="1521"/>
      <c r="Y428" s="1521"/>
      <c r="Z428" s="1521"/>
      <c r="AA428" s="1521">
        <v>6</v>
      </c>
      <c r="AB428" s="1521"/>
      <c r="AC428" s="1521"/>
      <c r="AD428" s="1521"/>
      <c r="AE428" s="1521"/>
      <c r="AF428" s="1521"/>
      <c r="AG428" s="1521"/>
      <c r="AH428" s="1521"/>
      <c r="AI428" s="1521"/>
      <c r="AJ428" s="320"/>
      <c r="AK428" s="320"/>
      <c r="AL428" s="320"/>
      <c r="AM428" s="320"/>
      <c r="AN428" s="1523">
        <f t="shared" si="65"/>
        <v>0</v>
      </c>
      <c r="AO428" s="320"/>
      <c r="AP428" s="320"/>
      <c r="AQ428" s="1521"/>
      <c r="AR428" s="1521"/>
      <c r="AS428" s="1521"/>
      <c r="AT428" s="1521"/>
      <c r="AU428" s="1521">
        <v>6</v>
      </c>
      <c r="AV428" s="1521"/>
      <c r="AW428" s="320"/>
      <c r="AX428" s="161"/>
      <c r="AY428" s="1540"/>
      <c r="AZ428" s="1560" t="e">
        <f>#REF!-#REF!</f>
        <v>#REF!</v>
      </c>
      <c r="BA428" s="1560">
        <f>IF(C428="Scheme",IF(SUM(AJ428:AS428)&gt;0,IF(H428&lt;#REF!,H428-#REF!,0),0),0)</f>
        <v>0</v>
      </c>
      <c r="BB428" s="1560">
        <f t="shared" si="67"/>
        <v>0</v>
      </c>
      <c r="BC428" s="96" t="s">
        <v>256</v>
      </c>
      <c r="BD428" s="96" t="s">
        <v>1931</v>
      </c>
    </row>
    <row r="429" spans="1:56" ht="15.5" outlineLevel="1" x14ac:dyDescent="0.25">
      <c r="A429" s="1504"/>
      <c r="B429" s="1504" t="s">
        <v>2040</v>
      </c>
      <c r="C429" s="1504"/>
      <c r="D429" s="1488"/>
      <c r="E429" s="1495"/>
      <c r="F429" s="1413"/>
      <c r="G429" s="618"/>
      <c r="H429" s="1594"/>
      <c r="I429" s="161"/>
      <c r="J429" s="161"/>
      <c r="K429" s="1413"/>
      <c r="L429" s="1414"/>
      <c r="M429" s="1414"/>
      <c r="N429" s="1414"/>
      <c r="O429" s="1551"/>
      <c r="P429" s="1521"/>
      <c r="Q429" s="320"/>
      <c r="R429" s="320"/>
      <c r="S429" s="320"/>
      <c r="T429" s="320">
        <f t="shared" si="64"/>
        <v>0</v>
      </c>
      <c r="U429" s="320"/>
      <c r="V429" s="320"/>
      <c r="W429" s="1521"/>
      <c r="X429" s="1521"/>
      <c r="Y429" s="1521"/>
      <c r="Z429" s="1521"/>
      <c r="AA429" s="1521"/>
      <c r="AB429" s="1521"/>
      <c r="AC429" s="1521"/>
      <c r="AD429" s="1521"/>
      <c r="AE429" s="1521"/>
      <c r="AF429" s="1521"/>
      <c r="AG429" s="1521"/>
      <c r="AH429" s="1521"/>
      <c r="AI429" s="1521"/>
      <c r="AJ429" s="320"/>
      <c r="AK429" s="320"/>
      <c r="AL429" s="320"/>
      <c r="AM429" s="320"/>
      <c r="AN429" s="1523">
        <f t="shared" si="65"/>
        <v>0</v>
      </c>
      <c r="AO429" s="320"/>
      <c r="AP429" s="320"/>
      <c r="AQ429" s="1521"/>
      <c r="AR429" s="1521"/>
      <c r="AS429" s="1521"/>
      <c r="AT429" s="1521"/>
      <c r="AU429" s="1521"/>
      <c r="AV429" s="1521"/>
      <c r="AW429" s="320"/>
      <c r="AX429" s="161"/>
      <c r="AY429" s="1540"/>
      <c r="AZ429" s="1560" t="e">
        <f>#REF!-#REF!</f>
        <v>#REF!</v>
      </c>
      <c r="BA429" s="1560">
        <f>IF(C429="Scheme",IF(SUM(AJ429:AS429)&gt;0,IF(H429&lt;#REF!,H429-#REF!,0),0),0)</f>
        <v>0</v>
      </c>
      <c r="BB429" s="1560">
        <f t="shared" si="67"/>
        <v>0</v>
      </c>
    </row>
    <row r="430" spans="1:56" ht="46.5" outlineLevel="1" x14ac:dyDescent="0.25">
      <c r="A430" s="1486">
        <v>1</v>
      </c>
      <c r="B430" s="1491" t="s">
        <v>2041</v>
      </c>
      <c r="C430" s="1486" t="s">
        <v>928</v>
      </c>
      <c r="D430" s="1488"/>
      <c r="E430" s="1495"/>
      <c r="F430" s="1413"/>
      <c r="G430" s="618"/>
      <c r="H430" s="1594">
        <v>85.69</v>
      </c>
      <c r="I430" s="161"/>
      <c r="J430" s="161"/>
      <c r="K430" s="1413"/>
      <c r="L430" s="1414"/>
      <c r="M430" s="1414"/>
      <c r="N430" s="1414"/>
      <c r="O430" s="1551"/>
      <c r="P430" s="1521"/>
      <c r="Q430" s="320"/>
      <c r="R430" s="320"/>
      <c r="S430" s="320"/>
      <c r="T430" s="320">
        <f t="shared" si="64"/>
        <v>0</v>
      </c>
      <c r="U430" s="320"/>
      <c r="V430" s="320"/>
      <c r="W430" s="1521"/>
      <c r="X430" s="1521"/>
      <c r="Y430" s="1521"/>
      <c r="Z430" s="1521"/>
      <c r="AA430" s="1521"/>
      <c r="AB430" s="1521"/>
      <c r="AC430" s="1521"/>
      <c r="AD430" s="1521"/>
      <c r="AE430" s="1521"/>
      <c r="AF430" s="1521"/>
      <c r="AG430" s="1521"/>
      <c r="AH430" s="1521"/>
      <c r="AI430" s="1521"/>
      <c r="AJ430" s="320"/>
      <c r="AK430" s="320"/>
      <c r="AL430" s="320"/>
      <c r="AM430" s="320"/>
      <c r="AN430" s="1523">
        <f t="shared" si="65"/>
        <v>0</v>
      </c>
      <c r="AO430" s="320"/>
      <c r="AP430" s="320"/>
      <c r="AQ430" s="1521"/>
      <c r="AR430" s="1521"/>
      <c r="AS430" s="1521"/>
      <c r="AT430" s="1521"/>
      <c r="AU430" s="1521"/>
      <c r="AV430" s="1521"/>
      <c r="AW430" s="320"/>
      <c r="AX430" s="161"/>
      <c r="AY430" s="1540"/>
      <c r="AZ430" s="1560" t="e">
        <f>#REF!-#REF!</f>
        <v>#REF!</v>
      </c>
      <c r="BA430" s="1560">
        <f>IF(C430="Scheme",IF(SUM(AJ430:AS430)&gt;0,IF(H430&lt;#REF!,H430-#REF!,0),0),0)</f>
        <v>0</v>
      </c>
      <c r="BB430" s="1560">
        <f t="shared" si="67"/>
        <v>0</v>
      </c>
    </row>
    <row r="431" spans="1:56" ht="46.5" outlineLevel="1" x14ac:dyDescent="0.25">
      <c r="A431" s="1492"/>
      <c r="B431" s="1492" t="s">
        <v>2041</v>
      </c>
      <c r="C431" s="1492" t="s">
        <v>936</v>
      </c>
      <c r="D431" s="1488"/>
      <c r="E431" s="1495"/>
      <c r="F431" s="1413"/>
      <c r="G431" s="618"/>
      <c r="H431" s="1417">
        <f>SUM(W431:AB431)</f>
        <v>85.679999999999993</v>
      </c>
      <c r="I431" s="161"/>
      <c r="J431" s="161"/>
      <c r="K431" s="1413"/>
      <c r="L431" s="1414"/>
      <c r="M431" s="1414"/>
      <c r="N431" s="1414"/>
      <c r="O431" s="1551" t="s">
        <v>2341</v>
      </c>
      <c r="P431" s="1521"/>
      <c r="Q431" s="320"/>
      <c r="R431" s="320"/>
      <c r="S431" s="320"/>
      <c r="T431" s="320">
        <f t="shared" si="64"/>
        <v>0</v>
      </c>
      <c r="U431" s="320"/>
      <c r="V431" s="320"/>
      <c r="W431" s="1521"/>
      <c r="X431" s="1595">
        <v>28.56</v>
      </c>
      <c r="Y431" s="1595">
        <v>28.56</v>
      </c>
      <c r="Z431" s="1595">
        <v>28.56</v>
      </c>
      <c r="AA431" s="1521"/>
      <c r="AB431" s="1521"/>
      <c r="AC431" s="1521"/>
      <c r="AD431" s="1521"/>
      <c r="AE431" s="1521"/>
      <c r="AF431" s="1521"/>
      <c r="AG431" s="1521"/>
      <c r="AH431" s="1521"/>
      <c r="AI431" s="1521"/>
      <c r="AJ431" s="320"/>
      <c r="AK431" s="320"/>
      <c r="AL431" s="320"/>
      <c r="AM431" s="320"/>
      <c r="AN431" s="1523">
        <f t="shared" si="65"/>
        <v>0</v>
      </c>
      <c r="AO431" s="320"/>
      <c r="AP431" s="320"/>
      <c r="AQ431" s="1521"/>
      <c r="AR431" s="1595">
        <v>28.56</v>
      </c>
      <c r="AS431" s="1595">
        <v>28.56</v>
      </c>
      <c r="AT431" s="1595">
        <v>28.56</v>
      </c>
      <c r="AU431" s="1521"/>
      <c r="AV431" s="1521"/>
      <c r="AW431" s="320"/>
      <c r="AX431" s="161"/>
      <c r="AY431" s="1540"/>
      <c r="AZ431" s="1560" t="e">
        <f>#REF!-#REF!</f>
        <v>#REF!</v>
      </c>
      <c r="BA431" s="1560" t="e">
        <f>IF(C431="Scheme",IF(SUM(AJ431:AS431)&gt;0,IF(H431&lt;#REF!,H431-#REF!,0),0),0)</f>
        <v>#REF!</v>
      </c>
      <c r="BB431" s="1560">
        <f t="shared" si="67"/>
        <v>-57.12</v>
      </c>
      <c r="BC431" s="96" t="s">
        <v>256</v>
      </c>
      <c r="BD431" s="96" t="s">
        <v>1931</v>
      </c>
    </row>
    <row r="432" spans="1:56" ht="62" outlineLevel="1" x14ac:dyDescent="0.25">
      <c r="A432" s="1486">
        <v>2</v>
      </c>
      <c r="B432" s="1491" t="s">
        <v>2042</v>
      </c>
      <c r="C432" s="1486" t="s">
        <v>928</v>
      </c>
      <c r="D432" s="1488"/>
      <c r="E432" s="1495"/>
      <c r="F432" s="1413"/>
      <c r="G432" s="618"/>
      <c r="H432" s="1594">
        <v>32.28</v>
      </c>
      <c r="I432" s="161"/>
      <c r="J432" s="161"/>
      <c r="K432" s="1413"/>
      <c r="L432" s="1414"/>
      <c r="M432" s="1414"/>
      <c r="N432" s="1414"/>
      <c r="O432" s="1551"/>
      <c r="P432" s="1521"/>
      <c r="Q432" s="320"/>
      <c r="R432" s="320"/>
      <c r="S432" s="320"/>
      <c r="T432" s="320">
        <f t="shared" si="64"/>
        <v>0</v>
      </c>
      <c r="U432" s="320"/>
      <c r="V432" s="320"/>
      <c r="W432" s="1521"/>
      <c r="X432" s="1521"/>
      <c r="Y432" s="1521"/>
      <c r="Z432" s="1521"/>
      <c r="AA432" s="1521"/>
      <c r="AB432" s="1521"/>
      <c r="AC432" s="1521"/>
      <c r="AD432" s="1521"/>
      <c r="AE432" s="1521"/>
      <c r="AF432" s="1521"/>
      <c r="AG432" s="1521"/>
      <c r="AH432" s="1521"/>
      <c r="AI432" s="1521"/>
      <c r="AJ432" s="320"/>
      <c r="AK432" s="320"/>
      <c r="AL432" s="320"/>
      <c r="AM432" s="320"/>
      <c r="AN432" s="1523">
        <f t="shared" si="65"/>
        <v>0</v>
      </c>
      <c r="AO432" s="320"/>
      <c r="AP432" s="320"/>
      <c r="AQ432" s="1521"/>
      <c r="AR432" s="1521"/>
      <c r="AS432" s="1521"/>
      <c r="AT432" s="1521"/>
      <c r="AU432" s="1521"/>
      <c r="AV432" s="1521"/>
      <c r="AW432" s="320"/>
      <c r="AX432" s="161"/>
      <c r="AY432" s="1540"/>
      <c r="AZ432" s="1560" t="e">
        <f>#REF!-#REF!</f>
        <v>#REF!</v>
      </c>
      <c r="BA432" s="1560">
        <f>IF(C432="Scheme",IF(SUM(AJ432:AS432)&gt;0,IF(H432&lt;#REF!,H432-#REF!,0),0),0)</f>
        <v>0</v>
      </c>
      <c r="BB432" s="1560">
        <f t="shared" si="67"/>
        <v>0</v>
      </c>
    </row>
    <row r="433" spans="1:56" ht="62" outlineLevel="1" x14ac:dyDescent="0.25">
      <c r="A433" s="1492"/>
      <c r="B433" s="1492" t="s">
        <v>2042</v>
      </c>
      <c r="C433" s="1492" t="s">
        <v>936</v>
      </c>
      <c r="D433" s="1488"/>
      <c r="E433" s="1495"/>
      <c r="F433" s="1413"/>
      <c r="G433" s="618"/>
      <c r="H433" s="1417">
        <f>SUM(W433:AB433)</f>
        <v>32.28</v>
      </c>
      <c r="I433" s="161"/>
      <c r="J433" s="161"/>
      <c r="K433" s="1413"/>
      <c r="L433" s="1414"/>
      <c r="M433" s="1414"/>
      <c r="N433" s="1414"/>
      <c r="O433" s="1551" t="s">
        <v>2342</v>
      </c>
      <c r="P433" s="1521"/>
      <c r="Q433" s="320"/>
      <c r="R433" s="320"/>
      <c r="S433" s="320"/>
      <c r="T433" s="320">
        <f t="shared" si="64"/>
        <v>0</v>
      </c>
      <c r="U433" s="320"/>
      <c r="V433" s="320"/>
      <c r="W433" s="1521"/>
      <c r="X433" s="1595">
        <v>32.28</v>
      </c>
      <c r="Y433" s="1521"/>
      <c r="Z433" s="1521"/>
      <c r="AA433" s="1521"/>
      <c r="AB433" s="1521"/>
      <c r="AC433" s="1521"/>
      <c r="AD433" s="1521"/>
      <c r="AE433" s="1521"/>
      <c r="AF433" s="1521"/>
      <c r="AG433" s="1521"/>
      <c r="AH433" s="1521"/>
      <c r="AI433" s="1521"/>
      <c r="AJ433" s="320"/>
      <c r="AK433" s="320"/>
      <c r="AL433" s="320"/>
      <c r="AM433" s="320"/>
      <c r="AN433" s="1523">
        <f t="shared" si="65"/>
        <v>0</v>
      </c>
      <c r="AO433" s="320"/>
      <c r="AP433" s="320"/>
      <c r="AQ433" s="1521"/>
      <c r="AR433" s="1595">
        <v>32.28</v>
      </c>
      <c r="AS433" s="1521"/>
      <c r="AT433" s="1521"/>
      <c r="AU433" s="1521"/>
      <c r="AV433" s="1521"/>
      <c r="AW433" s="320"/>
      <c r="AX433" s="161"/>
      <c r="AY433" s="1540"/>
      <c r="AZ433" s="1560" t="e">
        <f>#REF!-#REF!</f>
        <v>#REF!</v>
      </c>
      <c r="BA433" s="1560" t="e">
        <f>IF(C433="Scheme",IF(SUM(AJ433:AS433)&gt;0,IF(H433&lt;#REF!,H433-#REF!,0),0),0)</f>
        <v>#REF!</v>
      </c>
      <c r="BB433" s="1560">
        <f t="shared" si="67"/>
        <v>-32.28</v>
      </c>
      <c r="BC433" s="96" t="s">
        <v>256</v>
      </c>
      <c r="BD433" s="96" t="s">
        <v>1931</v>
      </c>
    </row>
    <row r="434" spans="1:56" ht="31" outlineLevel="1" x14ac:dyDescent="0.25">
      <c r="A434" s="1486">
        <v>3</v>
      </c>
      <c r="B434" s="1491" t="s">
        <v>2043</v>
      </c>
      <c r="C434" s="1486" t="s">
        <v>928</v>
      </c>
      <c r="D434" s="1488"/>
      <c r="E434" s="1495"/>
      <c r="F434" s="1413"/>
      <c r="G434" s="618"/>
      <c r="H434" s="1594">
        <v>30</v>
      </c>
      <c r="I434" s="161"/>
      <c r="J434" s="161"/>
      <c r="K434" s="1413"/>
      <c r="L434" s="1414"/>
      <c r="M434" s="1414"/>
      <c r="N434" s="1414"/>
      <c r="O434" s="1551"/>
      <c r="P434" s="1521"/>
      <c r="Q434" s="320"/>
      <c r="R434" s="320"/>
      <c r="S434" s="320"/>
      <c r="T434" s="320">
        <f t="shared" si="64"/>
        <v>0</v>
      </c>
      <c r="U434" s="320"/>
      <c r="V434" s="320"/>
      <c r="W434" s="1521"/>
      <c r="X434" s="1521"/>
      <c r="Y434" s="1521"/>
      <c r="Z434" s="1521"/>
      <c r="AA434" s="1521"/>
      <c r="AB434" s="1521"/>
      <c r="AC434" s="1521"/>
      <c r="AD434" s="1521"/>
      <c r="AE434" s="1521"/>
      <c r="AF434" s="1521"/>
      <c r="AG434" s="1521"/>
      <c r="AH434" s="1521"/>
      <c r="AI434" s="1521"/>
      <c r="AJ434" s="320"/>
      <c r="AK434" s="320"/>
      <c r="AL434" s="320"/>
      <c r="AM434" s="320"/>
      <c r="AN434" s="1523">
        <f t="shared" si="65"/>
        <v>0</v>
      </c>
      <c r="AO434" s="320"/>
      <c r="AP434" s="320"/>
      <c r="AQ434" s="1521"/>
      <c r="AR434" s="1521"/>
      <c r="AS434" s="1521"/>
      <c r="AT434" s="1521"/>
      <c r="AU434" s="1521"/>
      <c r="AV434" s="1521"/>
      <c r="AW434" s="320"/>
      <c r="AX434" s="161"/>
      <c r="AY434" s="1540"/>
      <c r="AZ434" s="1560" t="e">
        <f>#REF!-#REF!</f>
        <v>#REF!</v>
      </c>
      <c r="BA434" s="1560">
        <f>IF(C434="Scheme",IF(SUM(AJ434:AS434)&gt;0,IF(H434&lt;#REF!,H434-#REF!,0),0),0)</f>
        <v>0</v>
      </c>
      <c r="BB434" s="1560">
        <f t="shared" si="67"/>
        <v>0</v>
      </c>
    </row>
    <row r="435" spans="1:56" ht="31" outlineLevel="1" x14ac:dyDescent="0.25">
      <c r="A435" s="1492"/>
      <c r="B435" s="1492" t="s">
        <v>2043</v>
      </c>
      <c r="C435" s="1492" t="s">
        <v>936</v>
      </c>
      <c r="D435" s="1488"/>
      <c r="E435" s="1495"/>
      <c r="F435" s="1413"/>
      <c r="G435" s="618"/>
      <c r="H435" s="1417">
        <f>SUM(W435:AB435)</f>
        <v>30</v>
      </c>
      <c r="I435" s="161"/>
      <c r="J435" s="161"/>
      <c r="K435" s="1413"/>
      <c r="L435" s="1414"/>
      <c r="M435" s="1414"/>
      <c r="N435" s="1414"/>
      <c r="O435" s="1551" t="s">
        <v>2295</v>
      </c>
      <c r="P435" s="1521"/>
      <c r="Q435" s="320"/>
      <c r="R435" s="320"/>
      <c r="S435" s="320"/>
      <c r="T435" s="320">
        <f t="shared" si="64"/>
        <v>0</v>
      </c>
      <c r="U435" s="320"/>
      <c r="V435" s="320"/>
      <c r="W435" s="1521"/>
      <c r="X435" s="1595">
        <v>30</v>
      </c>
      <c r="Y435" s="1521"/>
      <c r="Z435" s="1521"/>
      <c r="AA435" s="1521"/>
      <c r="AB435" s="1521"/>
      <c r="AC435" s="1521"/>
      <c r="AD435" s="1521"/>
      <c r="AE435" s="1521"/>
      <c r="AF435" s="1521"/>
      <c r="AG435" s="1521"/>
      <c r="AH435" s="1521"/>
      <c r="AI435" s="1521"/>
      <c r="AJ435" s="320"/>
      <c r="AK435" s="320"/>
      <c r="AL435" s="320"/>
      <c r="AM435" s="320"/>
      <c r="AN435" s="1523">
        <f t="shared" si="65"/>
        <v>0</v>
      </c>
      <c r="AO435" s="320"/>
      <c r="AP435" s="320"/>
      <c r="AQ435" s="1521"/>
      <c r="AR435" s="1595">
        <v>30</v>
      </c>
      <c r="AS435" s="1521"/>
      <c r="AT435" s="1521"/>
      <c r="AU435" s="1521"/>
      <c r="AV435" s="1521"/>
      <c r="AW435" s="320"/>
      <c r="AX435" s="161"/>
      <c r="AY435" s="1540"/>
      <c r="AZ435" s="1560" t="e">
        <f>#REF!-#REF!</f>
        <v>#REF!</v>
      </c>
      <c r="BA435" s="1560" t="e">
        <f>IF(C435="Scheme",IF(SUM(AJ435:AS435)&gt;0,IF(H435&lt;#REF!,H435-#REF!,0),0),0)</f>
        <v>#REF!</v>
      </c>
      <c r="BB435" s="1560">
        <f t="shared" si="67"/>
        <v>-30</v>
      </c>
      <c r="BC435" s="96" t="s">
        <v>256</v>
      </c>
      <c r="BD435" s="96" t="s">
        <v>1931</v>
      </c>
    </row>
    <row r="436" spans="1:56" ht="77.5" outlineLevel="1" x14ac:dyDescent="0.25">
      <c r="A436" s="1486">
        <v>4</v>
      </c>
      <c r="B436" s="1491" t="s">
        <v>2044</v>
      </c>
      <c r="C436" s="1486" t="s">
        <v>928</v>
      </c>
      <c r="D436" s="1488"/>
      <c r="E436" s="1495"/>
      <c r="F436" s="1413"/>
      <c r="G436" s="618"/>
      <c r="H436" s="1594">
        <v>25</v>
      </c>
      <c r="I436" s="161"/>
      <c r="J436" s="161"/>
      <c r="K436" s="1413"/>
      <c r="L436" s="1414"/>
      <c r="M436" s="1414"/>
      <c r="N436" s="1414"/>
      <c r="O436" s="1551"/>
      <c r="P436" s="1521"/>
      <c r="Q436" s="320"/>
      <c r="R436" s="320"/>
      <c r="S436" s="320"/>
      <c r="T436" s="320">
        <f t="shared" si="64"/>
        <v>0</v>
      </c>
      <c r="U436" s="320"/>
      <c r="V436" s="320"/>
      <c r="W436" s="1521"/>
      <c r="X436" s="1521"/>
      <c r="Y436" s="1521"/>
      <c r="Z436" s="1521"/>
      <c r="AA436" s="1521"/>
      <c r="AB436" s="1521"/>
      <c r="AC436" s="1521"/>
      <c r="AD436" s="1521"/>
      <c r="AE436" s="1521"/>
      <c r="AF436" s="1521"/>
      <c r="AG436" s="1521"/>
      <c r="AH436" s="1521"/>
      <c r="AI436" s="1521"/>
      <c r="AJ436" s="320"/>
      <c r="AK436" s="320"/>
      <c r="AL436" s="320"/>
      <c r="AM436" s="320"/>
      <c r="AN436" s="1523">
        <f t="shared" si="65"/>
        <v>0</v>
      </c>
      <c r="AO436" s="320"/>
      <c r="AP436" s="320"/>
      <c r="AQ436" s="1521"/>
      <c r="AR436" s="1521"/>
      <c r="AS436" s="1521"/>
      <c r="AT436" s="1521"/>
      <c r="AU436" s="1521"/>
      <c r="AV436" s="1521"/>
      <c r="AW436" s="320"/>
      <c r="AX436" s="161"/>
      <c r="AY436" s="1540"/>
      <c r="AZ436" s="1560" t="e">
        <f>#REF!-#REF!</f>
        <v>#REF!</v>
      </c>
      <c r="BA436" s="1560">
        <f>IF(C436="Scheme",IF(SUM(AJ436:AS436)&gt;0,IF(H436&lt;#REF!,H436-#REF!,0),0),0)</f>
        <v>0</v>
      </c>
      <c r="BB436" s="1560">
        <f t="shared" si="67"/>
        <v>0</v>
      </c>
    </row>
    <row r="437" spans="1:56" ht="77.5" outlineLevel="1" x14ac:dyDescent="0.25">
      <c r="A437" s="1492"/>
      <c r="B437" s="1492" t="s">
        <v>2044</v>
      </c>
      <c r="C437" s="1492" t="s">
        <v>936</v>
      </c>
      <c r="D437" s="1488"/>
      <c r="E437" s="1495"/>
      <c r="F437" s="1413"/>
      <c r="G437" s="618"/>
      <c r="H437" s="1417">
        <f>SUM(W437:AB437)</f>
        <v>25</v>
      </c>
      <c r="I437" s="161"/>
      <c r="J437" s="161"/>
      <c r="K437" s="1413"/>
      <c r="L437" s="1414"/>
      <c r="M437" s="1414"/>
      <c r="N437" s="1414"/>
      <c r="O437" s="1551" t="s">
        <v>2301</v>
      </c>
      <c r="P437" s="1521"/>
      <c r="Q437" s="320"/>
      <c r="R437" s="320"/>
      <c r="S437" s="320"/>
      <c r="T437" s="320">
        <f t="shared" si="64"/>
        <v>0</v>
      </c>
      <c r="U437" s="320"/>
      <c r="V437" s="320"/>
      <c r="W437" s="1521"/>
      <c r="X437" s="1595">
        <v>25</v>
      </c>
      <c r="Y437" s="1521"/>
      <c r="Z437" s="1521"/>
      <c r="AA437" s="1521"/>
      <c r="AB437" s="1521"/>
      <c r="AC437" s="1521"/>
      <c r="AD437" s="1521"/>
      <c r="AE437" s="1521"/>
      <c r="AF437" s="1521"/>
      <c r="AG437" s="1521"/>
      <c r="AH437" s="1521"/>
      <c r="AI437" s="1521"/>
      <c r="AJ437" s="320"/>
      <c r="AK437" s="320"/>
      <c r="AL437" s="320"/>
      <c r="AM437" s="320"/>
      <c r="AN437" s="1523">
        <f t="shared" si="65"/>
        <v>0</v>
      </c>
      <c r="AO437" s="320"/>
      <c r="AP437" s="320"/>
      <c r="AQ437" s="1521"/>
      <c r="AR437" s="1595">
        <v>25</v>
      </c>
      <c r="AS437" s="1521"/>
      <c r="AT437" s="1521"/>
      <c r="AU437" s="1521"/>
      <c r="AV437" s="1521"/>
      <c r="AW437" s="320"/>
      <c r="AX437" s="161"/>
      <c r="AY437" s="1540"/>
      <c r="AZ437" s="1560" t="e">
        <f>#REF!-#REF!</f>
        <v>#REF!</v>
      </c>
      <c r="BA437" s="1560" t="e">
        <f>IF(C437="Scheme",IF(SUM(AJ437:AS437)&gt;0,IF(H437&lt;#REF!,H437-#REF!,0),0),0)</f>
        <v>#REF!</v>
      </c>
      <c r="BB437" s="1560">
        <f t="shared" si="67"/>
        <v>-25</v>
      </c>
      <c r="BC437" s="96" t="s">
        <v>256</v>
      </c>
      <c r="BD437" s="96" t="s">
        <v>1931</v>
      </c>
    </row>
    <row r="438" spans="1:56" ht="31" outlineLevel="1" x14ac:dyDescent="0.25">
      <c r="A438" s="1486">
        <v>5</v>
      </c>
      <c r="B438" s="1491" t="s">
        <v>2045</v>
      </c>
      <c r="C438" s="1486" t="s">
        <v>928</v>
      </c>
      <c r="D438" s="1488"/>
      <c r="E438" s="1495"/>
      <c r="F438" s="1413"/>
      <c r="G438" s="618"/>
      <c r="H438" s="1594">
        <v>25</v>
      </c>
      <c r="I438" s="161"/>
      <c r="J438" s="161"/>
      <c r="K438" s="1413"/>
      <c r="L438" s="1414"/>
      <c r="M438" s="1414"/>
      <c r="N438" s="1414"/>
      <c r="O438" s="1551"/>
      <c r="P438" s="1521"/>
      <c r="Q438" s="320"/>
      <c r="R438" s="320"/>
      <c r="S438" s="320"/>
      <c r="T438" s="320">
        <f t="shared" si="64"/>
        <v>0</v>
      </c>
      <c r="U438" s="320"/>
      <c r="V438" s="320"/>
      <c r="W438" s="1521"/>
      <c r="X438" s="1521"/>
      <c r="Y438" s="1521"/>
      <c r="Z438" s="1521"/>
      <c r="AA438" s="1521"/>
      <c r="AB438" s="1521"/>
      <c r="AC438" s="1521"/>
      <c r="AD438" s="1521"/>
      <c r="AE438" s="1521"/>
      <c r="AF438" s="1521"/>
      <c r="AG438" s="1521"/>
      <c r="AH438" s="1521"/>
      <c r="AI438" s="1521"/>
      <c r="AJ438" s="320"/>
      <c r="AK438" s="320"/>
      <c r="AL438" s="320"/>
      <c r="AM438" s="320"/>
      <c r="AN438" s="1523">
        <f t="shared" si="65"/>
        <v>0</v>
      </c>
      <c r="AO438" s="320"/>
      <c r="AP438" s="320"/>
      <c r="AQ438" s="1521"/>
      <c r="AR438" s="1521"/>
      <c r="AS438" s="1521"/>
      <c r="AT438" s="1521"/>
      <c r="AU438" s="1521"/>
      <c r="AV438" s="1521"/>
      <c r="AW438" s="320"/>
      <c r="AX438" s="161"/>
      <c r="AY438" s="1540"/>
      <c r="AZ438" s="1560" t="e">
        <f>#REF!-#REF!</f>
        <v>#REF!</v>
      </c>
      <c r="BA438" s="1560">
        <f>IF(C438="Scheme",IF(SUM(AJ438:AS438)&gt;0,IF(H438&lt;#REF!,H438-#REF!,0),0),0)</f>
        <v>0</v>
      </c>
      <c r="BB438" s="1560">
        <f t="shared" si="67"/>
        <v>0</v>
      </c>
    </row>
    <row r="439" spans="1:56" ht="46.5" outlineLevel="1" x14ac:dyDescent="0.25">
      <c r="A439" s="1492"/>
      <c r="B439" s="1492" t="s">
        <v>2045</v>
      </c>
      <c r="C439" s="1492" t="s">
        <v>936</v>
      </c>
      <c r="D439" s="1488"/>
      <c r="E439" s="1495"/>
      <c r="F439" s="1413"/>
      <c r="G439" s="618"/>
      <c r="H439" s="1417">
        <f>SUM(W439:AB439)</f>
        <v>25</v>
      </c>
      <c r="I439" s="161"/>
      <c r="J439" s="161"/>
      <c r="K439" s="1413"/>
      <c r="L439" s="1414"/>
      <c r="M439" s="1414"/>
      <c r="N439" s="1414"/>
      <c r="O439" s="1551" t="s">
        <v>2343</v>
      </c>
      <c r="P439" s="1521"/>
      <c r="Q439" s="320"/>
      <c r="R439" s="320"/>
      <c r="S439" s="320"/>
      <c r="T439" s="320">
        <f t="shared" si="64"/>
        <v>0</v>
      </c>
      <c r="U439" s="320"/>
      <c r="V439" s="320"/>
      <c r="W439" s="1521"/>
      <c r="X439" s="1595">
        <v>25</v>
      </c>
      <c r="Y439" s="1521"/>
      <c r="Z439" s="1521"/>
      <c r="AA439" s="1521"/>
      <c r="AB439" s="1521"/>
      <c r="AC439" s="1521"/>
      <c r="AD439" s="1521"/>
      <c r="AE439" s="1521"/>
      <c r="AF439" s="1521"/>
      <c r="AG439" s="1521"/>
      <c r="AH439" s="1521"/>
      <c r="AI439" s="1521"/>
      <c r="AJ439" s="320"/>
      <c r="AK439" s="320"/>
      <c r="AL439" s="320"/>
      <c r="AM439" s="320"/>
      <c r="AN439" s="1523">
        <f t="shared" si="65"/>
        <v>0</v>
      </c>
      <c r="AO439" s="320"/>
      <c r="AP439" s="320"/>
      <c r="AQ439" s="1521"/>
      <c r="AR439" s="1595">
        <v>25</v>
      </c>
      <c r="AS439" s="1521"/>
      <c r="AT439" s="1521"/>
      <c r="AU439" s="1521"/>
      <c r="AV439" s="1521"/>
      <c r="AW439" s="320"/>
      <c r="AX439" s="161"/>
      <c r="AY439" s="1540"/>
      <c r="AZ439" s="1560" t="e">
        <f>#REF!-#REF!</f>
        <v>#REF!</v>
      </c>
      <c r="BA439" s="1560" t="e">
        <f>IF(C439="Scheme",IF(SUM(AJ439:AS439)&gt;0,IF(H439&lt;#REF!,H439-#REF!,0),0),0)</f>
        <v>#REF!</v>
      </c>
      <c r="BB439" s="1560">
        <f t="shared" si="67"/>
        <v>-25</v>
      </c>
      <c r="BC439" s="96" t="s">
        <v>256</v>
      </c>
      <c r="BD439" s="96" t="s">
        <v>1931</v>
      </c>
    </row>
    <row r="440" spans="1:56" ht="124" outlineLevel="1" x14ac:dyDescent="0.25">
      <c r="A440" s="1486">
        <v>6</v>
      </c>
      <c r="B440" s="1491" t="s">
        <v>2046</v>
      </c>
      <c r="C440" s="1486" t="s">
        <v>928</v>
      </c>
      <c r="D440" s="1488"/>
      <c r="E440" s="1495"/>
      <c r="F440" s="1413"/>
      <c r="G440" s="618"/>
      <c r="H440" s="1594">
        <v>40</v>
      </c>
      <c r="I440" s="161"/>
      <c r="J440" s="161"/>
      <c r="K440" s="1413"/>
      <c r="L440" s="1414"/>
      <c r="M440" s="1414"/>
      <c r="N440" s="1414"/>
      <c r="O440" s="1551"/>
      <c r="P440" s="1521"/>
      <c r="Q440" s="320"/>
      <c r="R440" s="320"/>
      <c r="S440" s="320"/>
      <c r="T440" s="320">
        <f t="shared" si="64"/>
        <v>0</v>
      </c>
      <c r="U440" s="320"/>
      <c r="V440" s="320"/>
      <c r="W440" s="1521"/>
      <c r="X440" s="1521"/>
      <c r="Y440" s="1521"/>
      <c r="Z440" s="1521"/>
      <c r="AA440" s="1521"/>
      <c r="AB440" s="1521"/>
      <c r="AC440" s="1521"/>
      <c r="AD440" s="1521"/>
      <c r="AE440" s="1521"/>
      <c r="AF440" s="1521"/>
      <c r="AG440" s="1521"/>
      <c r="AH440" s="1521"/>
      <c r="AI440" s="1521"/>
      <c r="AJ440" s="320"/>
      <c r="AK440" s="320"/>
      <c r="AL440" s="320"/>
      <c r="AM440" s="320"/>
      <c r="AN440" s="1523">
        <f t="shared" si="65"/>
        <v>0</v>
      </c>
      <c r="AO440" s="320"/>
      <c r="AP440" s="320"/>
      <c r="AQ440" s="1521"/>
      <c r="AR440" s="1521"/>
      <c r="AS440" s="1521"/>
      <c r="AT440" s="1521"/>
      <c r="AU440" s="1521"/>
      <c r="AV440" s="1521"/>
      <c r="AW440" s="320"/>
      <c r="AX440" s="161"/>
      <c r="AY440" s="1540"/>
      <c r="AZ440" s="1560" t="e">
        <f>#REF!-#REF!</f>
        <v>#REF!</v>
      </c>
      <c r="BA440" s="1560">
        <f>IF(C440="Scheme",IF(SUM(AJ440:AS440)&gt;0,IF(H440&lt;#REF!,H440-#REF!,0),0),0)</f>
        <v>0</v>
      </c>
      <c r="BB440" s="1560">
        <f t="shared" si="67"/>
        <v>0</v>
      </c>
    </row>
    <row r="441" spans="1:56" ht="124" outlineLevel="1" x14ac:dyDescent="0.25">
      <c r="A441" s="1492"/>
      <c r="B441" s="1492" t="s">
        <v>2046</v>
      </c>
      <c r="C441" s="1492" t="s">
        <v>936</v>
      </c>
      <c r="D441" s="1488"/>
      <c r="E441" s="1495"/>
      <c r="F441" s="1413"/>
      <c r="G441" s="618"/>
      <c r="H441" s="1417">
        <f>SUM(W441:AB441)</f>
        <v>40</v>
      </c>
      <c r="I441" s="161"/>
      <c r="J441" s="161"/>
      <c r="K441" s="1413"/>
      <c r="L441" s="1414"/>
      <c r="M441" s="1414"/>
      <c r="N441" s="1414"/>
      <c r="O441" s="1551" t="s">
        <v>2301</v>
      </c>
      <c r="P441" s="1521"/>
      <c r="Q441" s="320"/>
      <c r="R441" s="320"/>
      <c r="S441" s="320"/>
      <c r="T441" s="320">
        <f t="shared" si="64"/>
        <v>0</v>
      </c>
      <c r="U441" s="320"/>
      <c r="V441" s="320"/>
      <c r="W441" s="1521"/>
      <c r="X441" s="1595">
        <v>40</v>
      </c>
      <c r="Y441" s="1521"/>
      <c r="Z441" s="1521"/>
      <c r="AA441" s="1521"/>
      <c r="AB441" s="1521"/>
      <c r="AC441" s="1521"/>
      <c r="AD441" s="1521"/>
      <c r="AE441" s="1521"/>
      <c r="AF441" s="1521"/>
      <c r="AG441" s="1521"/>
      <c r="AH441" s="1521"/>
      <c r="AI441" s="1521"/>
      <c r="AJ441" s="320"/>
      <c r="AK441" s="320"/>
      <c r="AL441" s="320"/>
      <c r="AM441" s="320"/>
      <c r="AN441" s="1523">
        <f t="shared" si="65"/>
        <v>0</v>
      </c>
      <c r="AO441" s="320"/>
      <c r="AP441" s="320"/>
      <c r="AQ441" s="1521"/>
      <c r="AR441" s="1595">
        <v>40</v>
      </c>
      <c r="AS441" s="1521"/>
      <c r="AT441" s="1521"/>
      <c r="AU441" s="1521"/>
      <c r="AV441" s="1521"/>
      <c r="AW441" s="320"/>
      <c r="AX441" s="161"/>
      <c r="AY441" s="1540"/>
      <c r="AZ441" s="1560" t="e">
        <f>#REF!-#REF!</f>
        <v>#REF!</v>
      </c>
      <c r="BA441" s="1560" t="e">
        <f>IF(C441="Scheme",IF(SUM(AJ441:AS441)&gt;0,IF(H441&lt;#REF!,H441-#REF!,0),0),0)</f>
        <v>#REF!</v>
      </c>
      <c r="BB441" s="1560">
        <f t="shared" si="67"/>
        <v>-40</v>
      </c>
      <c r="BC441" s="96" t="s">
        <v>256</v>
      </c>
      <c r="BD441" s="96" t="s">
        <v>1931</v>
      </c>
    </row>
    <row r="442" spans="1:56" ht="46.5" outlineLevel="1" x14ac:dyDescent="0.25">
      <c r="A442" s="1486">
        <v>7</v>
      </c>
      <c r="B442" s="1491" t="s">
        <v>2047</v>
      </c>
      <c r="C442" s="1486" t="s">
        <v>928</v>
      </c>
      <c r="D442" s="1488"/>
      <c r="E442" s="1495"/>
      <c r="F442" s="1413"/>
      <c r="G442" s="618"/>
      <c r="H442" s="1594">
        <v>40</v>
      </c>
      <c r="I442" s="161"/>
      <c r="J442" s="161"/>
      <c r="K442" s="1413"/>
      <c r="L442" s="1414"/>
      <c r="M442" s="1414"/>
      <c r="N442" s="1414"/>
      <c r="O442" s="1551"/>
      <c r="P442" s="1521"/>
      <c r="Q442" s="320"/>
      <c r="R442" s="320"/>
      <c r="S442" s="320"/>
      <c r="T442" s="320">
        <f t="shared" si="64"/>
        <v>0</v>
      </c>
      <c r="U442" s="320"/>
      <c r="V442" s="320"/>
      <c r="W442" s="1521"/>
      <c r="X442" s="1521"/>
      <c r="Y442" s="1521"/>
      <c r="Z442" s="1521"/>
      <c r="AA442" s="1521"/>
      <c r="AB442" s="1521"/>
      <c r="AC442" s="1521"/>
      <c r="AD442" s="1521"/>
      <c r="AE442" s="1521"/>
      <c r="AF442" s="1521"/>
      <c r="AG442" s="1521"/>
      <c r="AH442" s="1521"/>
      <c r="AI442" s="1521"/>
      <c r="AJ442" s="320"/>
      <c r="AK442" s="320"/>
      <c r="AL442" s="320"/>
      <c r="AM442" s="320"/>
      <c r="AN442" s="1523">
        <f t="shared" si="65"/>
        <v>0</v>
      </c>
      <c r="AO442" s="320"/>
      <c r="AP442" s="320"/>
      <c r="AQ442" s="1521"/>
      <c r="AR442" s="1521"/>
      <c r="AS442" s="1521"/>
      <c r="AT442" s="1521"/>
      <c r="AU442" s="1521"/>
      <c r="AV442" s="1521"/>
      <c r="AW442" s="320"/>
      <c r="AX442" s="161"/>
      <c r="AY442" s="1540"/>
      <c r="AZ442" s="1560" t="e">
        <f>#REF!-#REF!</f>
        <v>#REF!</v>
      </c>
      <c r="BA442" s="1560">
        <f>IF(C442="Scheme",IF(SUM(AJ442:AS442)&gt;0,IF(H442&lt;#REF!,H442-#REF!,0),0),0)</f>
        <v>0</v>
      </c>
      <c r="BB442" s="1560">
        <f t="shared" si="67"/>
        <v>0</v>
      </c>
    </row>
    <row r="443" spans="1:56" ht="46.5" outlineLevel="1" x14ac:dyDescent="0.25">
      <c r="A443" s="1492"/>
      <c r="B443" s="1492" t="s">
        <v>2047</v>
      </c>
      <c r="C443" s="1492" t="s">
        <v>936</v>
      </c>
      <c r="D443" s="1488"/>
      <c r="E443" s="1495"/>
      <c r="F443" s="1413"/>
      <c r="G443" s="618"/>
      <c r="H443" s="1417">
        <f>SUM(W443:AB443)</f>
        <v>40</v>
      </c>
      <c r="I443" s="161"/>
      <c r="J443" s="161"/>
      <c r="K443" s="1413"/>
      <c r="L443" s="1414"/>
      <c r="M443" s="1414"/>
      <c r="N443" s="1414"/>
      <c r="O443" s="1551" t="s">
        <v>2344</v>
      </c>
      <c r="P443" s="1521"/>
      <c r="Q443" s="320"/>
      <c r="R443" s="320"/>
      <c r="S443" s="320"/>
      <c r="T443" s="320">
        <f t="shared" si="64"/>
        <v>0</v>
      </c>
      <c r="U443" s="320"/>
      <c r="V443" s="320"/>
      <c r="W443" s="1521"/>
      <c r="X443" s="1595">
        <v>40</v>
      </c>
      <c r="Y443" s="1521"/>
      <c r="Z443" s="1521"/>
      <c r="AA443" s="1521"/>
      <c r="AB443" s="1521"/>
      <c r="AC443" s="1521"/>
      <c r="AD443" s="1521"/>
      <c r="AE443" s="1521"/>
      <c r="AF443" s="1521"/>
      <c r="AG443" s="1521"/>
      <c r="AH443" s="1521"/>
      <c r="AI443" s="1521"/>
      <c r="AJ443" s="320"/>
      <c r="AK443" s="320"/>
      <c r="AL443" s="320"/>
      <c r="AM443" s="320"/>
      <c r="AN443" s="1523">
        <f t="shared" si="65"/>
        <v>0</v>
      </c>
      <c r="AO443" s="320"/>
      <c r="AP443" s="320"/>
      <c r="AQ443" s="1521"/>
      <c r="AR443" s="1595">
        <v>40</v>
      </c>
      <c r="AS443" s="1521"/>
      <c r="AT443" s="1521"/>
      <c r="AU443" s="1521"/>
      <c r="AV443" s="1521"/>
      <c r="AW443" s="320"/>
      <c r="AX443" s="161"/>
      <c r="AY443" s="1540"/>
      <c r="AZ443" s="1560" t="e">
        <f>#REF!-#REF!</f>
        <v>#REF!</v>
      </c>
      <c r="BA443" s="1560" t="e">
        <f>IF(C443="Scheme",IF(SUM(AJ443:AS443)&gt;0,IF(H443&lt;#REF!,H443-#REF!,0),0),0)</f>
        <v>#REF!</v>
      </c>
      <c r="BB443" s="1560">
        <f t="shared" si="67"/>
        <v>-40</v>
      </c>
      <c r="BC443" s="96" t="s">
        <v>256</v>
      </c>
      <c r="BD443" s="96" t="s">
        <v>1931</v>
      </c>
    </row>
    <row r="444" spans="1:56" ht="62" outlineLevel="1" x14ac:dyDescent="0.25">
      <c r="A444" s="1486">
        <v>8</v>
      </c>
      <c r="B444" s="1491" t="s">
        <v>2048</v>
      </c>
      <c r="C444" s="1486" t="s">
        <v>928</v>
      </c>
      <c r="D444" s="1488"/>
      <c r="E444" s="1495"/>
      <c r="F444" s="1413"/>
      <c r="G444" s="618"/>
      <c r="H444" s="1594">
        <v>52</v>
      </c>
      <c r="I444" s="161"/>
      <c r="J444" s="161"/>
      <c r="K444" s="1413"/>
      <c r="L444" s="1414"/>
      <c r="M444" s="1414"/>
      <c r="N444" s="1414"/>
      <c r="O444" s="1551"/>
      <c r="P444" s="1521"/>
      <c r="Q444" s="320"/>
      <c r="R444" s="320"/>
      <c r="S444" s="320"/>
      <c r="T444" s="320">
        <f t="shared" si="64"/>
        <v>0</v>
      </c>
      <c r="U444" s="320"/>
      <c r="V444" s="320"/>
      <c r="W444" s="1521"/>
      <c r="X444" s="1521"/>
      <c r="Y444" s="1521"/>
      <c r="Z444" s="1521"/>
      <c r="AA444" s="1521"/>
      <c r="AB444" s="1521"/>
      <c r="AC444" s="1521"/>
      <c r="AD444" s="1521"/>
      <c r="AE444" s="1521"/>
      <c r="AF444" s="1521"/>
      <c r="AG444" s="1521"/>
      <c r="AH444" s="1521"/>
      <c r="AI444" s="1521"/>
      <c r="AJ444" s="320"/>
      <c r="AK444" s="320"/>
      <c r="AL444" s="320"/>
      <c r="AM444" s="320"/>
      <c r="AN444" s="1523">
        <f t="shared" si="65"/>
        <v>0</v>
      </c>
      <c r="AO444" s="320"/>
      <c r="AP444" s="320"/>
      <c r="AQ444" s="1521"/>
      <c r="AR444" s="1521"/>
      <c r="AS444" s="1521"/>
      <c r="AT444" s="1521"/>
      <c r="AU444" s="1521"/>
      <c r="AV444" s="1521"/>
      <c r="AW444" s="320"/>
      <c r="AX444" s="161"/>
      <c r="AY444" s="1540"/>
      <c r="AZ444" s="1560" t="e">
        <f>#REF!-#REF!</f>
        <v>#REF!</v>
      </c>
      <c r="BA444" s="1560">
        <f>IF(C444="Scheme",IF(SUM(AJ444:AS444)&gt;0,IF(H444&lt;#REF!,H444-#REF!,0),0),0)</f>
        <v>0</v>
      </c>
      <c r="BB444" s="1560">
        <f t="shared" si="67"/>
        <v>0</v>
      </c>
    </row>
    <row r="445" spans="1:56" ht="62" outlineLevel="1" x14ac:dyDescent="0.25">
      <c r="A445" s="1492"/>
      <c r="B445" s="1492" t="s">
        <v>2048</v>
      </c>
      <c r="C445" s="1492" t="s">
        <v>936</v>
      </c>
      <c r="D445" s="1488"/>
      <c r="E445" s="1495"/>
      <c r="F445" s="1413"/>
      <c r="G445" s="618"/>
      <c r="H445" s="1417">
        <f>SUM(W445:AB445)</f>
        <v>52</v>
      </c>
      <c r="I445" s="161"/>
      <c r="J445" s="161"/>
      <c r="K445" s="1413"/>
      <c r="L445" s="1414"/>
      <c r="M445" s="1414"/>
      <c r="N445" s="1414"/>
      <c r="O445" s="1551" t="s">
        <v>2344</v>
      </c>
      <c r="P445" s="1521"/>
      <c r="Q445" s="320"/>
      <c r="R445" s="320"/>
      <c r="S445" s="320"/>
      <c r="T445" s="320">
        <f t="shared" si="64"/>
        <v>0</v>
      </c>
      <c r="U445" s="320"/>
      <c r="V445" s="320"/>
      <c r="W445" s="1521"/>
      <c r="X445" s="1595">
        <v>52</v>
      </c>
      <c r="Y445" s="1521"/>
      <c r="Z445" s="1521"/>
      <c r="AA445" s="1521"/>
      <c r="AB445" s="1521"/>
      <c r="AC445" s="1521"/>
      <c r="AD445" s="1521"/>
      <c r="AE445" s="1521"/>
      <c r="AF445" s="1521"/>
      <c r="AG445" s="1521"/>
      <c r="AH445" s="1521"/>
      <c r="AI445" s="1521"/>
      <c r="AJ445" s="320"/>
      <c r="AK445" s="320"/>
      <c r="AL445" s="320"/>
      <c r="AM445" s="320"/>
      <c r="AN445" s="1523">
        <f t="shared" si="65"/>
        <v>0</v>
      </c>
      <c r="AO445" s="320"/>
      <c r="AP445" s="320"/>
      <c r="AQ445" s="1521"/>
      <c r="AR445" s="1595">
        <v>52</v>
      </c>
      <c r="AS445" s="1521"/>
      <c r="AT445" s="1521"/>
      <c r="AU445" s="1521"/>
      <c r="AV445" s="1521"/>
      <c r="AW445" s="320"/>
      <c r="AX445" s="161"/>
      <c r="AY445" s="1540"/>
      <c r="AZ445" s="1560" t="e">
        <f>#REF!-#REF!</f>
        <v>#REF!</v>
      </c>
      <c r="BA445" s="1560" t="e">
        <f>IF(C445="Scheme",IF(SUM(AJ445:AS445)&gt;0,IF(H445&lt;#REF!,H445-#REF!,0),0),0)</f>
        <v>#REF!</v>
      </c>
      <c r="BB445" s="1560">
        <f t="shared" si="67"/>
        <v>-52</v>
      </c>
      <c r="BC445" s="96" t="s">
        <v>256</v>
      </c>
      <c r="BD445" s="96" t="s">
        <v>1931</v>
      </c>
    </row>
    <row r="446" spans="1:56" ht="46.5" outlineLevel="1" x14ac:dyDescent="0.25">
      <c r="A446" s="1486">
        <v>9</v>
      </c>
      <c r="B446" s="1491" t="s">
        <v>2049</v>
      </c>
      <c r="C446" s="1486" t="s">
        <v>928</v>
      </c>
      <c r="D446" s="1488"/>
      <c r="E446" s="1495"/>
      <c r="F446" s="1413"/>
      <c r="G446" s="618"/>
      <c r="H446" s="1594">
        <v>30</v>
      </c>
      <c r="I446" s="161"/>
      <c r="J446" s="161"/>
      <c r="K446" s="1413"/>
      <c r="L446" s="1414"/>
      <c r="M446" s="1414"/>
      <c r="N446" s="1414"/>
      <c r="O446" s="1551"/>
      <c r="P446" s="1521"/>
      <c r="Q446" s="320"/>
      <c r="R446" s="320"/>
      <c r="S446" s="320"/>
      <c r="T446" s="320">
        <f t="shared" si="64"/>
        <v>0</v>
      </c>
      <c r="U446" s="320"/>
      <c r="V446" s="320"/>
      <c r="W446" s="1521"/>
      <c r="X446" s="1521"/>
      <c r="Y446" s="1521"/>
      <c r="Z446" s="1521"/>
      <c r="AA446" s="1521"/>
      <c r="AB446" s="1521"/>
      <c r="AC446" s="1521"/>
      <c r="AD446" s="1521"/>
      <c r="AE446" s="1521"/>
      <c r="AF446" s="1521"/>
      <c r="AG446" s="1521"/>
      <c r="AH446" s="1521"/>
      <c r="AI446" s="1521"/>
      <c r="AJ446" s="320"/>
      <c r="AK446" s="320"/>
      <c r="AL446" s="320"/>
      <c r="AM446" s="320"/>
      <c r="AN446" s="1523">
        <f t="shared" si="65"/>
        <v>0</v>
      </c>
      <c r="AO446" s="320"/>
      <c r="AP446" s="320"/>
      <c r="AQ446" s="1521"/>
      <c r="AR446" s="1521"/>
      <c r="AS446" s="1521"/>
      <c r="AT446" s="1521"/>
      <c r="AU446" s="1521"/>
      <c r="AV446" s="1521"/>
      <c r="AW446" s="320"/>
      <c r="AX446" s="161"/>
      <c r="AY446" s="1540"/>
      <c r="AZ446" s="1560" t="e">
        <f>#REF!-#REF!</f>
        <v>#REF!</v>
      </c>
      <c r="BA446" s="1560">
        <f>IF(C446="Scheme",IF(SUM(AJ446:AS446)&gt;0,IF(H446&lt;#REF!,H446-#REF!,0),0),0)</f>
        <v>0</v>
      </c>
      <c r="BB446" s="1560">
        <f t="shared" si="67"/>
        <v>0</v>
      </c>
    </row>
    <row r="447" spans="1:56" ht="46.5" outlineLevel="1" x14ac:dyDescent="0.25">
      <c r="A447" s="1492"/>
      <c r="B447" s="1492" t="s">
        <v>2050</v>
      </c>
      <c r="C447" s="1492" t="s">
        <v>936</v>
      </c>
      <c r="D447" s="1488"/>
      <c r="E447" s="1495"/>
      <c r="F447" s="1413"/>
      <c r="G447" s="618"/>
      <c r="H447" s="1417">
        <f>SUM(W447:AB447)</f>
        <v>30</v>
      </c>
      <c r="I447" s="161"/>
      <c r="J447" s="161"/>
      <c r="K447" s="1413"/>
      <c r="L447" s="1414"/>
      <c r="M447" s="1414"/>
      <c r="N447" s="1414"/>
      <c r="O447" s="1551" t="s">
        <v>2344</v>
      </c>
      <c r="P447" s="1521"/>
      <c r="Q447" s="320"/>
      <c r="R447" s="320"/>
      <c r="S447" s="320"/>
      <c r="T447" s="320">
        <f t="shared" si="64"/>
        <v>0</v>
      </c>
      <c r="U447" s="320"/>
      <c r="V447" s="320"/>
      <c r="W447" s="1521"/>
      <c r="X447" s="1595">
        <v>30</v>
      </c>
      <c r="Y447" s="1521"/>
      <c r="Z447" s="1521"/>
      <c r="AA447" s="1521"/>
      <c r="AB447" s="1521"/>
      <c r="AC447" s="1521"/>
      <c r="AD447" s="1521"/>
      <c r="AE447" s="1521"/>
      <c r="AF447" s="1521"/>
      <c r="AG447" s="1521"/>
      <c r="AH447" s="1521"/>
      <c r="AI447" s="1521"/>
      <c r="AJ447" s="320"/>
      <c r="AK447" s="320"/>
      <c r="AL447" s="320"/>
      <c r="AM447" s="320"/>
      <c r="AN447" s="1523">
        <f t="shared" si="65"/>
        <v>0</v>
      </c>
      <c r="AO447" s="320"/>
      <c r="AP447" s="320"/>
      <c r="AQ447" s="1521"/>
      <c r="AR447" s="1595">
        <v>30</v>
      </c>
      <c r="AS447" s="1521"/>
      <c r="AT447" s="1521"/>
      <c r="AU447" s="1521"/>
      <c r="AV447" s="1521"/>
      <c r="AW447" s="320"/>
      <c r="AX447" s="161"/>
      <c r="AY447" s="1540"/>
      <c r="AZ447" s="1560" t="e">
        <f>#REF!-#REF!</f>
        <v>#REF!</v>
      </c>
      <c r="BA447" s="1560" t="e">
        <f>IF(C447="Scheme",IF(SUM(AJ447:AS447)&gt;0,IF(H447&lt;#REF!,H447-#REF!,0),0),0)</f>
        <v>#REF!</v>
      </c>
      <c r="BB447" s="1560">
        <f t="shared" si="67"/>
        <v>-30</v>
      </c>
      <c r="BC447" s="96" t="s">
        <v>256</v>
      </c>
      <c r="BD447" s="96" t="s">
        <v>1931</v>
      </c>
    </row>
    <row r="448" spans="1:56" ht="46.5" outlineLevel="1" x14ac:dyDescent="0.25">
      <c r="A448" s="1486">
        <v>10</v>
      </c>
      <c r="B448" s="1491" t="s">
        <v>2051</v>
      </c>
      <c r="C448" s="1486" t="s">
        <v>928</v>
      </c>
      <c r="D448" s="1488"/>
      <c r="E448" s="1495"/>
      <c r="F448" s="1413"/>
      <c r="G448" s="618"/>
      <c r="H448" s="1594">
        <v>52.62</v>
      </c>
      <c r="I448" s="161"/>
      <c r="J448" s="161"/>
      <c r="K448" s="1413"/>
      <c r="L448" s="1414"/>
      <c r="M448" s="1414"/>
      <c r="N448" s="1414"/>
      <c r="O448" s="1551"/>
      <c r="P448" s="1521"/>
      <c r="Q448" s="320"/>
      <c r="R448" s="320"/>
      <c r="S448" s="320"/>
      <c r="T448" s="320">
        <f t="shared" si="64"/>
        <v>0</v>
      </c>
      <c r="U448" s="320"/>
      <c r="V448" s="320"/>
      <c r="W448" s="1521"/>
      <c r="X448" s="1595"/>
      <c r="Y448" s="1521"/>
      <c r="Z448" s="1521"/>
      <c r="AA448" s="1521"/>
      <c r="AB448" s="1521"/>
      <c r="AC448" s="1521"/>
      <c r="AD448" s="1521"/>
      <c r="AE448" s="1521"/>
      <c r="AF448" s="1521"/>
      <c r="AG448" s="1521"/>
      <c r="AH448" s="1521"/>
      <c r="AI448" s="1521"/>
      <c r="AJ448" s="320"/>
      <c r="AK448" s="320"/>
      <c r="AL448" s="320"/>
      <c r="AM448" s="320"/>
      <c r="AN448" s="1523">
        <f t="shared" si="65"/>
        <v>0</v>
      </c>
      <c r="AO448" s="320"/>
      <c r="AP448" s="320"/>
      <c r="AQ448" s="1521"/>
      <c r="AR448" s="1595"/>
      <c r="AS448" s="1521"/>
      <c r="AT448" s="1521"/>
      <c r="AU448" s="1521"/>
      <c r="AV448" s="1521"/>
      <c r="AW448" s="320"/>
      <c r="AX448" s="161"/>
      <c r="AY448" s="1540"/>
      <c r="AZ448" s="1560" t="e">
        <f>#REF!-#REF!</f>
        <v>#REF!</v>
      </c>
      <c r="BA448" s="1560">
        <f>IF(C448="Scheme",IF(SUM(AJ448:AS448)&gt;0,IF(H448&lt;#REF!,H448-#REF!,0),0),0)</f>
        <v>0</v>
      </c>
      <c r="BB448" s="1560">
        <f t="shared" si="67"/>
        <v>0</v>
      </c>
    </row>
    <row r="449" spans="1:56" ht="46.5" outlineLevel="1" x14ac:dyDescent="0.25">
      <c r="A449" s="1492"/>
      <c r="B449" s="1492" t="s">
        <v>2051</v>
      </c>
      <c r="C449" s="1492" t="s">
        <v>936</v>
      </c>
      <c r="D449" s="1488"/>
      <c r="E449" s="1495"/>
      <c r="F449" s="1413"/>
      <c r="G449" s="618"/>
      <c r="H449" s="1417">
        <f>SUM(W449:AB449)</f>
        <v>52.62</v>
      </c>
      <c r="I449" s="161"/>
      <c r="J449" s="161"/>
      <c r="K449" s="1413"/>
      <c r="L449" s="1414"/>
      <c r="M449" s="1414"/>
      <c r="N449" s="1414"/>
      <c r="O449" s="1551" t="s">
        <v>2301</v>
      </c>
      <c r="P449" s="1521"/>
      <c r="Q449" s="320"/>
      <c r="R449" s="320"/>
      <c r="S449" s="320"/>
      <c r="T449" s="320">
        <f t="shared" si="64"/>
        <v>0</v>
      </c>
      <c r="U449" s="320"/>
      <c r="V449" s="320"/>
      <c r="W449" s="1521"/>
      <c r="X449" s="1595">
        <v>52.62</v>
      </c>
      <c r="Y449" s="1521"/>
      <c r="Z449" s="1521"/>
      <c r="AA449" s="1521"/>
      <c r="AB449" s="1521"/>
      <c r="AC449" s="1521"/>
      <c r="AD449" s="1521"/>
      <c r="AE449" s="1521"/>
      <c r="AF449" s="1521"/>
      <c r="AG449" s="1521"/>
      <c r="AH449" s="1521"/>
      <c r="AI449" s="1521"/>
      <c r="AJ449" s="320"/>
      <c r="AK449" s="320"/>
      <c r="AL449" s="320"/>
      <c r="AM449" s="320"/>
      <c r="AN449" s="1523">
        <f t="shared" si="65"/>
        <v>0</v>
      </c>
      <c r="AO449" s="320"/>
      <c r="AP449" s="320"/>
      <c r="AQ449" s="1521"/>
      <c r="AR449" s="1595">
        <v>52.62</v>
      </c>
      <c r="AS449" s="1521"/>
      <c r="AT449" s="1521"/>
      <c r="AU449" s="1521"/>
      <c r="AV449" s="1521"/>
      <c r="AW449" s="320"/>
      <c r="AX449" s="161"/>
      <c r="AY449" s="1540"/>
      <c r="AZ449" s="1560" t="e">
        <f>#REF!-#REF!</f>
        <v>#REF!</v>
      </c>
      <c r="BA449" s="1560" t="e">
        <f>IF(C449="Scheme",IF(SUM(AJ449:AS449)&gt;0,IF(H449&lt;#REF!,H449-#REF!,0),0),0)</f>
        <v>#REF!</v>
      </c>
      <c r="BB449" s="1560">
        <f t="shared" si="67"/>
        <v>-52.62</v>
      </c>
      <c r="BC449" s="96" t="s">
        <v>256</v>
      </c>
      <c r="BD449" s="96" t="s">
        <v>1931</v>
      </c>
    </row>
    <row r="450" spans="1:56" ht="15.5" outlineLevel="1" x14ac:dyDescent="0.25">
      <c r="A450" s="1504"/>
      <c r="B450" s="1504" t="s">
        <v>2052</v>
      </c>
      <c r="C450" s="1504"/>
      <c r="D450" s="1488"/>
      <c r="E450" s="1495"/>
      <c r="F450" s="1413"/>
      <c r="G450" s="618"/>
      <c r="H450" s="1419"/>
      <c r="I450" s="161"/>
      <c r="J450" s="161"/>
      <c r="K450" s="1413"/>
      <c r="L450" s="1414"/>
      <c r="M450" s="1414"/>
      <c r="N450" s="1414"/>
      <c r="O450" s="1551"/>
      <c r="P450" s="1521"/>
      <c r="Q450" s="320"/>
      <c r="R450" s="320"/>
      <c r="S450" s="320"/>
      <c r="T450" s="320">
        <f t="shared" si="64"/>
        <v>0</v>
      </c>
      <c r="U450" s="320"/>
      <c r="V450" s="320"/>
      <c r="W450" s="1521"/>
      <c r="X450" s="1521"/>
      <c r="Y450" s="1521"/>
      <c r="Z450" s="1521"/>
      <c r="AA450" s="1521"/>
      <c r="AB450" s="1521"/>
      <c r="AC450" s="1521"/>
      <c r="AD450" s="1521"/>
      <c r="AE450" s="1521"/>
      <c r="AF450" s="1521"/>
      <c r="AG450" s="1521"/>
      <c r="AH450" s="1521"/>
      <c r="AI450" s="1521"/>
      <c r="AJ450" s="320"/>
      <c r="AK450" s="320"/>
      <c r="AL450" s="320"/>
      <c r="AM450" s="320"/>
      <c r="AN450" s="1523">
        <f t="shared" si="65"/>
        <v>0</v>
      </c>
      <c r="AO450" s="320"/>
      <c r="AP450" s="320"/>
      <c r="AQ450" s="1521"/>
      <c r="AR450" s="1521"/>
      <c r="AS450" s="1521"/>
      <c r="AT450" s="1521"/>
      <c r="AU450" s="1521"/>
      <c r="AV450" s="1521"/>
      <c r="AW450" s="320"/>
      <c r="AX450" s="161"/>
      <c r="AY450" s="1540"/>
      <c r="AZ450" s="1560" t="e">
        <f>#REF!-#REF!</f>
        <v>#REF!</v>
      </c>
      <c r="BA450" s="1560">
        <f>IF(C450="Scheme",IF(SUM(AJ450:AS450)&gt;0,IF(H450&lt;#REF!,H450-#REF!,0),0),0)</f>
        <v>0</v>
      </c>
      <c r="BB450" s="1560">
        <f t="shared" si="67"/>
        <v>0</v>
      </c>
    </row>
    <row r="451" spans="1:56" ht="62" outlineLevel="1" x14ac:dyDescent="0.25">
      <c r="A451" s="1486">
        <v>1</v>
      </c>
      <c r="B451" s="1491" t="s">
        <v>2053</v>
      </c>
      <c r="C451" s="1486" t="s">
        <v>928</v>
      </c>
      <c r="D451" s="166"/>
      <c r="E451" s="1413"/>
      <c r="F451" s="1413"/>
      <c r="G451" s="161"/>
      <c r="H451" s="1594">
        <v>25.42</v>
      </c>
      <c r="I451" s="161"/>
      <c r="J451" s="161"/>
      <c r="K451" s="1413"/>
      <c r="L451" s="1414"/>
      <c r="M451" s="1414"/>
      <c r="N451" s="1414"/>
      <c r="O451" s="1551"/>
      <c r="P451" s="320"/>
      <c r="Q451" s="1521"/>
      <c r="R451" s="1521"/>
      <c r="S451" s="1521"/>
      <c r="T451" s="1521">
        <f t="shared" si="64"/>
        <v>0</v>
      </c>
      <c r="U451" s="1521"/>
      <c r="V451" s="1521"/>
      <c r="W451" s="1141"/>
      <c r="X451" s="1141"/>
      <c r="Y451" s="1141"/>
      <c r="Z451" s="1141"/>
      <c r="AA451" s="1141"/>
      <c r="AB451" s="1141"/>
      <c r="AC451" s="1522"/>
      <c r="AD451" s="1522"/>
      <c r="AE451" s="1522"/>
      <c r="AF451" s="1522"/>
      <c r="AG451" s="1522"/>
      <c r="AH451" s="1522"/>
      <c r="AI451" s="1522"/>
      <c r="AJ451" s="320"/>
      <c r="AK451" s="161"/>
      <c r="AL451" s="161"/>
      <c r="AM451" s="161"/>
      <c r="AN451" s="1523">
        <f t="shared" si="65"/>
        <v>0</v>
      </c>
      <c r="AO451" s="161"/>
      <c r="AP451" s="161"/>
      <c r="AQ451" s="1141"/>
      <c r="AR451" s="1141"/>
      <c r="AS451" s="1141"/>
      <c r="AT451" s="1141"/>
      <c r="AU451" s="1141"/>
      <c r="AV451" s="1141"/>
      <c r="AW451" s="161"/>
      <c r="AX451" s="161"/>
      <c r="AY451" s="1636"/>
      <c r="AZ451" s="1560" t="e">
        <f>#REF!-#REF!</f>
        <v>#REF!</v>
      </c>
      <c r="BA451" s="1560">
        <f>IF(C451="Scheme",IF(SUM(AJ451:AS451)&gt;0,IF(H451&lt;#REF!,H451-#REF!,0),0),0)</f>
        <v>0</v>
      </c>
      <c r="BB451" s="1560">
        <f t="shared" si="67"/>
        <v>0</v>
      </c>
    </row>
    <row r="452" spans="1:56" ht="135" customHeight="1" outlineLevel="1" x14ac:dyDescent="0.25">
      <c r="A452" s="1492"/>
      <c r="B452" s="1492" t="s">
        <v>2053</v>
      </c>
      <c r="C452" s="1492" t="s">
        <v>936</v>
      </c>
      <c r="D452" s="166"/>
      <c r="E452" s="1413"/>
      <c r="F452" s="1413"/>
      <c r="G452" s="161"/>
      <c r="H452" s="618">
        <v>25.42</v>
      </c>
      <c r="I452" s="161"/>
      <c r="J452" s="161"/>
      <c r="K452" s="1413"/>
      <c r="L452" s="1414"/>
      <c r="M452" s="1414"/>
      <c r="N452" s="1414"/>
      <c r="O452" s="1551" t="s">
        <v>2345</v>
      </c>
      <c r="P452" s="320"/>
      <c r="Q452" s="1521"/>
      <c r="R452" s="1521"/>
      <c r="S452" s="1521"/>
      <c r="T452" s="1521">
        <f t="shared" si="64"/>
        <v>0</v>
      </c>
      <c r="U452" s="1521"/>
      <c r="V452" s="1521"/>
      <c r="W452" s="1141">
        <v>25.42</v>
      </c>
      <c r="X452" s="1141"/>
      <c r="Y452" s="1141"/>
      <c r="Z452" s="1141"/>
      <c r="AA452" s="1141"/>
      <c r="AB452" s="1141"/>
      <c r="AC452" s="1522"/>
      <c r="AD452" s="1522"/>
      <c r="AE452" s="1522"/>
      <c r="AF452" s="1522"/>
      <c r="AG452" s="1522"/>
      <c r="AH452" s="1522"/>
      <c r="AI452" s="1522"/>
      <c r="AJ452" s="320"/>
      <c r="AK452" s="161"/>
      <c r="AL452" s="161"/>
      <c r="AM452" s="161"/>
      <c r="AN452" s="1523">
        <f t="shared" si="65"/>
        <v>0</v>
      </c>
      <c r="AO452" s="161"/>
      <c r="AP452" s="161"/>
      <c r="AQ452" s="1141">
        <v>25.42</v>
      </c>
      <c r="AR452" s="1141"/>
      <c r="AS452" s="1141"/>
      <c r="AT452" s="1141"/>
      <c r="AU452" s="1141"/>
      <c r="AV452" s="1141"/>
      <c r="AW452" s="161"/>
      <c r="AX452" s="161"/>
      <c r="AY452" s="1636"/>
      <c r="AZ452" s="1560" t="e">
        <f>#REF!-#REF!</f>
        <v>#REF!</v>
      </c>
      <c r="BA452" s="1560" t="e">
        <f>IF(C452="Scheme",IF(SUM(AJ452:AS452)&gt;0,IF(H452&lt;#REF!,H452-#REF!,0),0),0)</f>
        <v>#REF!</v>
      </c>
      <c r="BB452" s="1560">
        <f t="shared" si="67"/>
        <v>-25.42</v>
      </c>
      <c r="BC452" s="96" t="s">
        <v>256</v>
      </c>
      <c r="BD452" s="96" t="s">
        <v>1931</v>
      </c>
    </row>
    <row r="453" spans="1:56" ht="31" outlineLevel="1" x14ac:dyDescent="0.25">
      <c r="A453" s="1486">
        <v>2</v>
      </c>
      <c r="B453" s="1491" t="s">
        <v>2054</v>
      </c>
      <c r="C453" s="1486" t="s">
        <v>928</v>
      </c>
      <c r="D453" s="1488"/>
      <c r="E453" s="1495"/>
      <c r="F453" s="1413"/>
      <c r="G453" s="618"/>
      <c r="H453" s="1594">
        <v>25</v>
      </c>
      <c r="I453" s="161"/>
      <c r="J453" s="161"/>
      <c r="K453" s="1413"/>
      <c r="L453" s="1414"/>
      <c r="M453" s="1414"/>
      <c r="N453" s="1414"/>
      <c r="O453" s="1551"/>
      <c r="P453" s="1521"/>
      <c r="Q453" s="320"/>
      <c r="R453" s="320"/>
      <c r="S453" s="320"/>
      <c r="T453" s="320">
        <f t="shared" si="64"/>
        <v>0</v>
      </c>
      <c r="U453" s="320"/>
      <c r="V453" s="320"/>
      <c r="W453" s="1521"/>
      <c r="X453" s="1521"/>
      <c r="Y453" s="1521"/>
      <c r="Z453" s="1521"/>
      <c r="AA453" s="1521"/>
      <c r="AB453" s="1521"/>
      <c r="AC453" s="1521"/>
      <c r="AD453" s="1521"/>
      <c r="AE453" s="1521"/>
      <c r="AF453" s="1521"/>
      <c r="AG453" s="1521"/>
      <c r="AH453" s="1521"/>
      <c r="AI453" s="1521"/>
      <c r="AJ453" s="320"/>
      <c r="AK453" s="320"/>
      <c r="AL453" s="320"/>
      <c r="AM453" s="320"/>
      <c r="AN453" s="1523">
        <f t="shared" si="65"/>
        <v>0</v>
      </c>
      <c r="AO453" s="320"/>
      <c r="AP453" s="320"/>
      <c r="AQ453" s="1521"/>
      <c r="AR453" s="1521"/>
      <c r="AS453" s="1521"/>
      <c r="AT453" s="1521"/>
      <c r="AU453" s="1521"/>
      <c r="AV453" s="1521"/>
      <c r="AW453" s="320"/>
      <c r="AX453" s="161"/>
      <c r="AY453" s="1540"/>
      <c r="AZ453" s="1560" t="e">
        <f>#REF!-#REF!</f>
        <v>#REF!</v>
      </c>
      <c r="BA453" s="1560">
        <f>IF(C453="Scheme",IF(SUM(AJ453:AS453)&gt;0,IF(H453&lt;#REF!,H453-#REF!,0),0),0)</f>
        <v>0</v>
      </c>
      <c r="BB453" s="1560">
        <f t="shared" si="67"/>
        <v>0</v>
      </c>
    </row>
    <row r="454" spans="1:56" ht="135" customHeight="1" outlineLevel="1" x14ac:dyDescent="0.25">
      <c r="A454" s="1492"/>
      <c r="B454" s="1492" t="s">
        <v>2055</v>
      </c>
      <c r="C454" s="1492" t="s">
        <v>936</v>
      </c>
      <c r="D454" s="1488"/>
      <c r="E454" s="1495"/>
      <c r="F454" s="1413"/>
      <c r="G454" s="618"/>
      <c r="H454" s="1417">
        <f>SUM(W454:AB454)</f>
        <v>25</v>
      </c>
      <c r="I454" s="161"/>
      <c r="J454" s="161"/>
      <c r="K454" s="1413"/>
      <c r="L454" s="1414"/>
      <c r="M454" s="1414"/>
      <c r="N454" s="1414"/>
      <c r="O454" s="1601" t="s">
        <v>2346</v>
      </c>
      <c r="P454" s="1521"/>
      <c r="Q454" s="320"/>
      <c r="R454" s="320"/>
      <c r="S454" s="320"/>
      <c r="T454" s="320">
        <f t="shared" si="64"/>
        <v>0</v>
      </c>
      <c r="U454" s="320"/>
      <c r="V454" s="320"/>
      <c r="W454" s="1521"/>
      <c r="X454" s="1521"/>
      <c r="Y454" s="1521">
        <v>6.25</v>
      </c>
      <c r="Z454" s="1521">
        <v>6.25</v>
      </c>
      <c r="AA454" s="1521">
        <v>6.25</v>
      </c>
      <c r="AB454" s="1521">
        <v>6.25</v>
      </c>
      <c r="AC454" s="1521"/>
      <c r="AD454" s="1521"/>
      <c r="AE454" s="1521"/>
      <c r="AF454" s="1521"/>
      <c r="AG454" s="1521"/>
      <c r="AH454" s="1521"/>
      <c r="AI454" s="1521"/>
      <c r="AJ454" s="320"/>
      <c r="AK454" s="320"/>
      <c r="AL454" s="320"/>
      <c r="AM454" s="320"/>
      <c r="AN454" s="1523">
        <f t="shared" si="65"/>
        <v>0</v>
      </c>
      <c r="AO454" s="320"/>
      <c r="AP454" s="320"/>
      <c r="AQ454" s="1521"/>
      <c r="AR454" s="1521"/>
      <c r="AS454" s="1521">
        <v>6.25</v>
      </c>
      <c r="AT454" s="1521">
        <v>6.25</v>
      </c>
      <c r="AU454" s="1521">
        <v>6.25</v>
      </c>
      <c r="AV454" s="1521">
        <v>6.25</v>
      </c>
      <c r="AW454" s="320"/>
      <c r="AX454" s="161"/>
      <c r="AY454" s="1540"/>
      <c r="AZ454" s="1560" t="e">
        <f>#REF!-#REF!</f>
        <v>#REF!</v>
      </c>
      <c r="BA454" s="1560" t="e">
        <f>IF(C454="Scheme",IF(SUM(AJ454:AS454)&gt;0,IF(H454&lt;#REF!,H454-#REF!,0),0),0)</f>
        <v>#REF!</v>
      </c>
      <c r="BB454" s="1560">
        <f t="shared" si="67"/>
        <v>-6.25</v>
      </c>
      <c r="BC454" s="96" t="s">
        <v>256</v>
      </c>
      <c r="BD454" s="96" t="s">
        <v>1931</v>
      </c>
    </row>
    <row r="455" spans="1:56" ht="31" outlineLevel="1" x14ac:dyDescent="0.25">
      <c r="A455" s="1486">
        <v>3</v>
      </c>
      <c r="B455" s="1491" t="s">
        <v>2056</v>
      </c>
      <c r="C455" s="1486" t="s">
        <v>928</v>
      </c>
      <c r="D455" s="1488"/>
      <c r="E455" s="1495"/>
      <c r="F455" s="1413"/>
      <c r="G455" s="618"/>
      <c r="H455" s="1594">
        <v>44.25</v>
      </c>
      <c r="I455" s="161"/>
      <c r="J455" s="161"/>
      <c r="K455" s="1413"/>
      <c r="L455" s="1414"/>
      <c r="M455" s="1414"/>
      <c r="N455" s="1414"/>
      <c r="O455" s="1602"/>
      <c r="P455" s="1521"/>
      <c r="Q455" s="320"/>
      <c r="R455" s="320"/>
      <c r="S455" s="320"/>
      <c r="T455" s="320">
        <f t="shared" si="64"/>
        <v>0</v>
      </c>
      <c r="U455" s="320"/>
      <c r="V455" s="320"/>
      <c r="W455" s="1521"/>
      <c r="X455" s="1521"/>
      <c r="Y455" s="1521"/>
      <c r="Z455" s="1521"/>
      <c r="AA455" s="1521"/>
      <c r="AB455" s="1521"/>
      <c r="AC455" s="1521"/>
      <c r="AD455" s="1521"/>
      <c r="AE455" s="1521"/>
      <c r="AF455" s="1521"/>
      <c r="AG455" s="1521"/>
      <c r="AH455" s="1521"/>
      <c r="AI455" s="1521"/>
      <c r="AJ455" s="320"/>
      <c r="AK455" s="320"/>
      <c r="AL455" s="320"/>
      <c r="AM455" s="320"/>
      <c r="AN455" s="1523">
        <f t="shared" si="65"/>
        <v>0</v>
      </c>
      <c r="AO455" s="320"/>
      <c r="AP455" s="320"/>
      <c r="AQ455" s="1521"/>
      <c r="AR455" s="1521"/>
      <c r="AS455" s="1521"/>
      <c r="AT455" s="1521"/>
      <c r="AU455" s="1521"/>
      <c r="AV455" s="1521"/>
      <c r="AW455" s="320"/>
      <c r="AX455" s="161"/>
      <c r="AY455" s="1540"/>
      <c r="AZ455" s="1560" t="e">
        <f>#REF!-#REF!</f>
        <v>#REF!</v>
      </c>
      <c r="BA455" s="1560">
        <f>IF(C455="Scheme",IF(SUM(AJ455:AS455)&gt;0,IF(H455&lt;#REF!,H455-#REF!,0),0),0)</f>
        <v>0</v>
      </c>
      <c r="BB455" s="1560">
        <f t="shared" si="67"/>
        <v>0</v>
      </c>
    </row>
    <row r="456" spans="1:56" ht="31.5" customHeight="1" outlineLevel="1" x14ac:dyDescent="0.25">
      <c r="A456" s="1492"/>
      <c r="B456" s="1492" t="s">
        <v>2057</v>
      </c>
      <c r="C456" s="1492" t="s">
        <v>936</v>
      </c>
      <c r="D456" s="1488"/>
      <c r="E456" s="1495"/>
      <c r="F456" s="1413"/>
      <c r="G456" s="618"/>
      <c r="H456" s="1417">
        <f>SUM(W456:AB456)</f>
        <v>7.2</v>
      </c>
      <c r="I456" s="161"/>
      <c r="J456" s="161"/>
      <c r="K456" s="1413"/>
      <c r="L456" s="1414"/>
      <c r="M456" s="1414"/>
      <c r="N456" s="1414"/>
      <c r="O456" s="1809" t="s">
        <v>2347</v>
      </c>
      <c r="P456" s="1521"/>
      <c r="Q456" s="320"/>
      <c r="R456" s="320"/>
      <c r="S456" s="320"/>
      <c r="T456" s="320">
        <f t="shared" ref="T456:T519" si="68">SUM(P456:S456)</f>
        <v>0</v>
      </c>
      <c r="U456" s="320"/>
      <c r="V456" s="320"/>
      <c r="W456" s="1521"/>
      <c r="X456" s="1521"/>
      <c r="Y456" s="1521">
        <v>3.2</v>
      </c>
      <c r="Z456" s="1521"/>
      <c r="AA456" s="1521"/>
      <c r="AB456" s="1521">
        <v>4</v>
      </c>
      <c r="AC456" s="1521"/>
      <c r="AD456" s="1521"/>
      <c r="AE456" s="1521"/>
      <c r="AF456" s="1521"/>
      <c r="AG456" s="1521"/>
      <c r="AH456" s="1521"/>
      <c r="AI456" s="1521"/>
      <c r="AJ456" s="320"/>
      <c r="AK456" s="320"/>
      <c r="AL456" s="320"/>
      <c r="AM456" s="320"/>
      <c r="AN456" s="1523">
        <f t="shared" ref="AN456:AN519" si="69">SUM(AJ456:AM456)</f>
        <v>0</v>
      </c>
      <c r="AO456" s="320"/>
      <c r="AP456" s="320"/>
      <c r="AQ456" s="1521"/>
      <c r="AR456" s="1521"/>
      <c r="AS456" s="1521">
        <v>3.2</v>
      </c>
      <c r="AT456" s="1521"/>
      <c r="AU456" s="1521"/>
      <c r="AV456" s="1521">
        <v>4</v>
      </c>
      <c r="AW456" s="320"/>
      <c r="AX456" s="161"/>
      <c r="AY456" s="1540"/>
      <c r="AZ456" s="1560" t="e">
        <f>#REF!-#REF!</f>
        <v>#REF!</v>
      </c>
      <c r="BA456" s="1560" t="e">
        <f>IF(C456="Scheme",IF(SUM(AJ456:AS456)&gt;0,IF(H456&lt;#REF!,H456-#REF!,0),0),0)</f>
        <v>#REF!</v>
      </c>
      <c r="BB456" s="1560">
        <f t="shared" si="67"/>
        <v>-3.2</v>
      </c>
      <c r="BC456" s="96" t="s">
        <v>256</v>
      </c>
      <c r="BD456" s="96" t="s">
        <v>1931</v>
      </c>
    </row>
    <row r="457" spans="1:56" ht="31" outlineLevel="1" x14ac:dyDescent="0.25">
      <c r="A457" s="1492"/>
      <c r="B457" s="1492" t="s">
        <v>2058</v>
      </c>
      <c r="C457" s="1492" t="s">
        <v>936</v>
      </c>
      <c r="D457" s="1488"/>
      <c r="E457" s="1495"/>
      <c r="F457" s="1413"/>
      <c r="G457" s="618"/>
      <c r="H457" s="1417">
        <f>SUM(W457:AB457)</f>
        <v>11.2</v>
      </c>
      <c r="I457" s="161"/>
      <c r="J457" s="161"/>
      <c r="K457" s="1413"/>
      <c r="L457" s="1414"/>
      <c r="M457" s="1414"/>
      <c r="N457" s="1414"/>
      <c r="O457" s="1809"/>
      <c r="P457" s="1521"/>
      <c r="Q457" s="320"/>
      <c r="R457" s="320"/>
      <c r="S457" s="320"/>
      <c r="T457" s="320">
        <f t="shared" si="68"/>
        <v>0</v>
      </c>
      <c r="U457" s="320"/>
      <c r="V457" s="320"/>
      <c r="W457" s="1521"/>
      <c r="X457" s="1521"/>
      <c r="Y457" s="1521">
        <v>5.2</v>
      </c>
      <c r="Z457" s="1521"/>
      <c r="AA457" s="1521"/>
      <c r="AB457" s="1521">
        <v>6</v>
      </c>
      <c r="AC457" s="1521"/>
      <c r="AD457" s="1521"/>
      <c r="AE457" s="1521"/>
      <c r="AF457" s="1521"/>
      <c r="AG457" s="1521"/>
      <c r="AH457" s="1521"/>
      <c r="AI457" s="1521"/>
      <c r="AJ457" s="320"/>
      <c r="AK457" s="320"/>
      <c r="AL457" s="320"/>
      <c r="AM457" s="320"/>
      <c r="AN457" s="1523">
        <f t="shared" si="69"/>
        <v>0</v>
      </c>
      <c r="AO457" s="320"/>
      <c r="AP457" s="320"/>
      <c r="AQ457" s="1521"/>
      <c r="AR457" s="1521"/>
      <c r="AS457" s="1521">
        <v>5.2</v>
      </c>
      <c r="AT457" s="1521"/>
      <c r="AU457" s="1521"/>
      <c r="AV457" s="1521">
        <v>6</v>
      </c>
      <c r="AW457" s="320"/>
      <c r="AX457" s="161"/>
      <c r="AY457" s="1540"/>
      <c r="AZ457" s="1560" t="e">
        <f>#REF!-#REF!</f>
        <v>#REF!</v>
      </c>
      <c r="BA457" s="1560" t="e">
        <f>IF(C457="Scheme",IF(SUM(AJ457:AS457)&gt;0,IF(H457&lt;#REF!,H457-#REF!,0),0),0)</f>
        <v>#REF!</v>
      </c>
      <c r="BB457" s="1560">
        <f t="shared" si="67"/>
        <v>-5.2</v>
      </c>
      <c r="BC457" s="96" t="s">
        <v>256</v>
      </c>
      <c r="BD457" s="96" t="s">
        <v>1931</v>
      </c>
    </row>
    <row r="458" spans="1:56" ht="31" outlineLevel="1" x14ac:dyDescent="0.25">
      <c r="A458" s="1492"/>
      <c r="B458" s="1492" t="s">
        <v>2059</v>
      </c>
      <c r="C458" s="1492" t="s">
        <v>936</v>
      </c>
      <c r="D458" s="1488"/>
      <c r="E458" s="1495"/>
      <c r="F458" s="1413"/>
      <c r="G458" s="618"/>
      <c r="H458" s="1417">
        <f>SUM(W458:AB458)</f>
        <v>15.85</v>
      </c>
      <c r="I458" s="161"/>
      <c r="J458" s="161"/>
      <c r="K458" s="1413"/>
      <c r="L458" s="1414"/>
      <c r="M458" s="1414"/>
      <c r="N458" s="1414"/>
      <c r="O458" s="1809"/>
      <c r="P458" s="1521"/>
      <c r="Q458" s="320"/>
      <c r="R458" s="320"/>
      <c r="S458" s="320"/>
      <c r="T458" s="320">
        <f t="shared" si="68"/>
        <v>0</v>
      </c>
      <c r="U458" s="320"/>
      <c r="V458" s="320"/>
      <c r="W458" s="1521"/>
      <c r="X458" s="1521"/>
      <c r="Y458" s="1521"/>
      <c r="Z458" s="1521">
        <v>15.85</v>
      </c>
      <c r="AA458" s="1521"/>
      <c r="AB458" s="1521"/>
      <c r="AC458" s="1521"/>
      <c r="AD458" s="1521"/>
      <c r="AE458" s="1521"/>
      <c r="AF458" s="1521"/>
      <c r="AG458" s="1521"/>
      <c r="AH458" s="1521"/>
      <c r="AI458" s="1521"/>
      <c r="AJ458" s="320"/>
      <c r="AK458" s="320"/>
      <c r="AL458" s="320"/>
      <c r="AM458" s="320"/>
      <c r="AN458" s="1523">
        <f t="shared" si="69"/>
        <v>0</v>
      </c>
      <c r="AO458" s="320"/>
      <c r="AP458" s="320"/>
      <c r="AQ458" s="1521"/>
      <c r="AR458" s="1521"/>
      <c r="AS458" s="1521"/>
      <c r="AT458" s="1521">
        <v>15.85</v>
      </c>
      <c r="AU458" s="1521"/>
      <c r="AV458" s="1521"/>
      <c r="AW458" s="320"/>
      <c r="AX458" s="161"/>
      <c r="AY458" s="1540"/>
      <c r="AZ458" s="1560" t="e">
        <f>#REF!-#REF!</f>
        <v>#REF!</v>
      </c>
      <c r="BA458" s="1560">
        <f>IF(C458="Scheme",IF(SUM(AJ458:AS458)&gt;0,IF(H458&lt;#REF!,H458-#REF!,0),0),0)</f>
        <v>0</v>
      </c>
      <c r="BB458" s="1560">
        <f t="shared" si="67"/>
        <v>0</v>
      </c>
      <c r="BC458" s="96" t="s">
        <v>256</v>
      </c>
      <c r="BD458" s="96" t="s">
        <v>1931</v>
      </c>
    </row>
    <row r="459" spans="1:56" ht="46.5" outlineLevel="1" x14ac:dyDescent="0.25">
      <c r="A459" s="1492"/>
      <c r="B459" s="1492" t="s">
        <v>2060</v>
      </c>
      <c r="C459" s="1492" t="s">
        <v>936</v>
      </c>
      <c r="D459" s="1488"/>
      <c r="E459" s="1495"/>
      <c r="F459" s="1413"/>
      <c r="G459" s="618"/>
      <c r="H459" s="1417">
        <f>SUM(W459:AB459)</f>
        <v>8.5</v>
      </c>
      <c r="I459" s="161"/>
      <c r="J459" s="161"/>
      <c r="K459" s="1413"/>
      <c r="L459" s="1414"/>
      <c r="M459" s="1414"/>
      <c r="N459" s="1414"/>
      <c r="O459" s="1809"/>
      <c r="P459" s="1521"/>
      <c r="Q459" s="320"/>
      <c r="R459" s="320"/>
      <c r="S459" s="320"/>
      <c r="T459" s="320">
        <f t="shared" si="68"/>
        <v>0</v>
      </c>
      <c r="U459" s="320"/>
      <c r="V459" s="320"/>
      <c r="W459" s="1521"/>
      <c r="X459" s="1521"/>
      <c r="Y459" s="1521"/>
      <c r="Z459" s="1521"/>
      <c r="AA459" s="1521">
        <v>8.5</v>
      </c>
      <c r="AB459" s="1521"/>
      <c r="AC459" s="1521"/>
      <c r="AD459" s="1521"/>
      <c r="AE459" s="1521"/>
      <c r="AF459" s="1521"/>
      <c r="AG459" s="1521"/>
      <c r="AH459" s="1521"/>
      <c r="AI459" s="1521"/>
      <c r="AJ459" s="320"/>
      <c r="AK459" s="320"/>
      <c r="AL459" s="320"/>
      <c r="AM459" s="320"/>
      <c r="AN459" s="1523">
        <f t="shared" si="69"/>
        <v>0</v>
      </c>
      <c r="AO459" s="320"/>
      <c r="AP459" s="320"/>
      <c r="AQ459" s="1521"/>
      <c r="AR459" s="1521"/>
      <c r="AS459" s="1521"/>
      <c r="AT459" s="1521"/>
      <c r="AU459" s="1521">
        <v>8.5</v>
      </c>
      <c r="AV459" s="1521"/>
      <c r="AW459" s="320"/>
      <c r="AX459" s="161"/>
      <c r="AY459" s="1540"/>
      <c r="AZ459" s="1560" t="e">
        <f>#REF!-#REF!</f>
        <v>#REF!</v>
      </c>
      <c r="BA459" s="1560">
        <f>IF(C459="Scheme",IF(SUM(AJ459:AS459)&gt;0,IF(H459&lt;#REF!,H459-#REF!,0),0),0)</f>
        <v>0</v>
      </c>
      <c r="BB459" s="1560">
        <f t="shared" si="67"/>
        <v>0</v>
      </c>
      <c r="BC459" s="96" t="s">
        <v>256</v>
      </c>
      <c r="BD459" s="96" t="s">
        <v>1931</v>
      </c>
    </row>
    <row r="460" spans="1:56" ht="31" outlineLevel="1" x14ac:dyDescent="0.25">
      <c r="A460" s="1492"/>
      <c r="B460" s="1492" t="s">
        <v>2061</v>
      </c>
      <c r="C460" s="1492" t="s">
        <v>936</v>
      </c>
      <c r="D460" s="1488"/>
      <c r="E460" s="1495"/>
      <c r="F460" s="1413"/>
      <c r="G460" s="618"/>
      <c r="H460" s="1417">
        <f>SUM(W460:AB460)</f>
        <v>1.5</v>
      </c>
      <c r="I460" s="161"/>
      <c r="J460" s="161"/>
      <c r="K460" s="1413"/>
      <c r="L460" s="1414"/>
      <c r="M460" s="1414"/>
      <c r="N460" s="1414"/>
      <c r="O460" s="1809"/>
      <c r="P460" s="1521"/>
      <c r="Q460" s="320"/>
      <c r="R460" s="320"/>
      <c r="S460" s="320"/>
      <c r="T460" s="320">
        <f t="shared" si="68"/>
        <v>0</v>
      </c>
      <c r="U460" s="320"/>
      <c r="V460" s="320"/>
      <c r="W460" s="1521"/>
      <c r="X460" s="1521"/>
      <c r="Y460" s="1521">
        <v>0.75</v>
      </c>
      <c r="Z460" s="1521">
        <v>0.75</v>
      </c>
      <c r="AA460" s="1521"/>
      <c r="AB460" s="1521"/>
      <c r="AC460" s="1521"/>
      <c r="AD460" s="1521"/>
      <c r="AE460" s="1521"/>
      <c r="AF460" s="1521"/>
      <c r="AG460" s="1521"/>
      <c r="AH460" s="1521"/>
      <c r="AI460" s="1521"/>
      <c r="AJ460" s="320"/>
      <c r="AK460" s="320"/>
      <c r="AL460" s="320"/>
      <c r="AM460" s="320"/>
      <c r="AN460" s="1523">
        <f t="shared" si="69"/>
        <v>0</v>
      </c>
      <c r="AO460" s="320"/>
      <c r="AP460" s="320"/>
      <c r="AQ460" s="1521"/>
      <c r="AR460" s="1521"/>
      <c r="AS460" s="1521">
        <v>0.75</v>
      </c>
      <c r="AT460" s="1521">
        <v>0.75</v>
      </c>
      <c r="AU460" s="1521"/>
      <c r="AV460" s="1521"/>
      <c r="AW460" s="320"/>
      <c r="AX460" s="161"/>
      <c r="AY460" s="1540"/>
      <c r="AZ460" s="1560" t="e">
        <f>#REF!-#REF!</f>
        <v>#REF!</v>
      </c>
      <c r="BA460" s="1560" t="e">
        <f>IF(C460="Scheme",IF(SUM(AJ460:AS460)&gt;0,IF(H460&lt;#REF!,H460-#REF!,0),0),0)</f>
        <v>#REF!</v>
      </c>
      <c r="BB460" s="1560">
        <f t="shared" si="67"/>
        <v>-0.75</v>
      </c>
      <c r="BC460" s="96" t="s">
        <v>256</v>
      </c>
      <c r="BD460" s="96" t="s">
        <v>1931</v>
      </c>
    </row>
    <row r="461" spans="1:56" ht="31" outlineLevel="1" x14ac:dyDescent="0.25">
      <c r="A461" s="1486">
        <v>4</v>
      </c>
      <c r="B461" s="1491" t="s">
        <v>2062</v>
      </c>
      <c r="C461" s="1486" t="s">
        <v>928</v>
      </c>
      <c r="D461" s="1488"/>
      <c r="E461" s="1495"/>
      <c r="F461" s="1413"/>
      <c r="G461" s="618"/>
      <c r="H461" s="1594">
        <f>H462+H463+H464</f>
        <v>36.81</v>
      </c>
      <c r="I461" s="161"/>
      <c r="J461" s="161"/>
      <c r="K461" s="1413"/>
      <c r="L461" s="1414"/>
      <c r="M461" s="1414"/>
      <c r="N461" s="1414"/>
      <c r="O461" s="1602"/>
      <c r="P461" s="1521"/>
      <c r="Q461" s="320"/>
      <c r="R461" s="320"/>
      <c r="S461" s="320"/>
      <c r="T461" s="320">
        <f t="shared" si="68"/>
        <v>0</v>
      </c>
      <c r="U461" s="320"/>
      <c r="V461" s="320"/>
      <c r="W461" s="1521"/>
      <c r="X461" s="1521"/>
      <c r="Y461" s="1521"/>
      <c r="Z461" s="1521"/>
      <c r="AA461" s="1521"/>
      <c r="AB461" s="1521"/>
      <c r="AC461" s="1521"/>
      <c r="AD461" s="1521"/>
      <c r="AE461" s="1521"/>
      <c r="AF461" s="1521"/>
      <c r="AG461" s="1521"/>
      <c r="AH461" s="1521"/>
      <c r="AI461" s="1521"/>
      <c r="AJ461" s="320"/>
      <c r="AK461" s="320"/>
      <c r="AL461" s="320"/>
      <c r="AM461" s="320"/>
      <c r="AN461" s="1523">
        <f t="shared" si="69"/>
        <v>0</v>
      </c>
      <c r="AO461" s="320"/>
      <c r="AP461" s="320"/>
      <c r="AQ461" s="1521"/>
      <c r="AR461" s="1521"/>
      <c r="AS461" s="1521"/>
      <c r="AT461" s="1521"/>
      <c r="AU461" s="1521"/>
      <c r="AV461" s="1521"/>
      <c r="AW461" s="320"/>
      <c r="AX461" s="161"/>
      <c r="AY461" s="1540"/>
      <c r="AZ461" s="1560" t="e">
        <f>#REF!-#REF!</f>
        <v>#REF!</v>
      </c>
      <c r="BA461" s="1560">
        <f>IF(C461="Scheme",IF(SUM(AJ461:AS461)&gt;0,IF(H461&lt;#REF!,H461-#REF!,0),0),0)</f>
        <v>0</v>
      </c>
      <c r="BB461" s="1560">
        <f t="shared" si="67"/>
        <v>0</v>
      </c>
    </row>
    <row r="462" spans="1:56" ht="345" customHeight="1" outlineLevel="1" x14ac:dyDescent="0.25">
      <c r="A462" s="1492"/>
      <c r="B462" s="1492" t="s">
        <v>2063</v>
      </c>
      <c r="C462" s="1492" t="s">
        <v>936</v>
      </c>
      <c r="D462" s="1488"/>
      <c r="E462" s="1495"/>
      <c r="F462" s="1413"/>
      <c r="G462" s="618"/>
      <c r="H462" s="1417">
        <f>SUM(W462:AB462)</f>
        <v>24</v>
      </c>
      <c r="I462" s="161"/>
      <c r="J462" s="161"/>
      <c r="K462" s="1413"/>
      <c r="L462" s="1414"/>
      <c r="M462" s="1414"/>
      <c r="N462" s="1414"/>
      <c r="O462" s="1602" t="s">
        <v>2348</v>
      </c>
      <c r="P462" s="1521"/>
      <c r="Q462" s="320"/>
      <c r="R462" s="320"/>
      <c r="S462" s="320"/>
      <c r="T462" s="320">
        <f t="shared" si="68"/>
        <v>0</v>
      </c>
      <c r="U462" s="320"/>
      <c r="V462" s="320"/>
      <c r="W462" s="1521"/>
      <c r="X462" s="1521"/>
      <c r="Y462" s="1521">
        <v>24</v>
      </c>
      <c r="Z462" s="1521"/>
      <c r="AA462" s="1521"/>
      <c r="AB462" s="1521"/>
      <c r="AC462" s="1521"/>
      <c r="AD462" s="1521"/>
      <c r="AE462" s="1521"/>
      <c r="AF462" s="1521"/>
      <c r="AG462" s="1521"/>
      <c r="AH462" s="1521"/>
      <c r="AI462" s="1521"/>
      <c r="AJ462" s="320"/>
      <c r="AK462" s="320"/>
      <c r="AL462" s="320"/>
      <c r="AM462" s="320"/>
      <c r="AN462" s="1523">
        <f t="shared" si="69"/>
        <v>0</v>
      </c>
      <c r="AO462" s="320"/>
      <c r="AP462" s="320"/>
      <c r="AQ462" s="1521"/>
      <c r="AR462" s="1521"/>
      <c r="AS462" s="1521">
        <v>24</v>
      </c>
      <c r="AT462" s="1521"/>
      <c r="AU462" s="1521"/>
      <c r="AV462" s="1521"/>
      <c r="AW462" s="320"/>
      <c r="AX462" s="161"/>
      <c r="AY462" s="1540"/>
      <c r="AZ462" s="1560" t="e">
        <f>#REF!-#REF!</f>
        <v>#REF!</v>
      </c>
      <c r="BA462" s="1560" t="e">
        <f>IF(C462="Scheme",IF(SUM(AJ462:AS462)&gt;0,IF(H462&lt;#REF!,H462-#REF!,0),0),0)</f>
        <v>#REF!</v>
      </c>
      <c r="BB462" s="1560">
        <f t="shared" si="67"/>
        <v>-24</v>
      </c>
      <c r="BC462" s="96" t="s">
        <v>256</v>
      </c>
      <c r="BD462" s="96" t="s">
        <v>1931</v>
      </c>
    </row>
    <row r="463" spans="1:56" ht="375" customHeight="1" outlineLevel="1" x14ac:dyDescent="0.25">
      <c r="A463" s="1492"/>
      <c r="B463" s="1492" t="s">
        <v>2064</v>
      </c>
      <c r="C463" s="1492" t="s">
        <v>936</v>
      </c>
      <c r="D463" s="1488"/>
      <c r="E463" s="1495"/>
      <c r="F463" s="1413"/>
      <c r="G463" s="618"/>
      <c r="H463" s="1417">
        <f>SUM(W463:AB463)</f>
        <v>9.81</v>
      </c>
      <c r="I463" s="161"/>
      <c r="J463" s="161"/>
      <c r="K463" s="1413"/>
      <c r="L463" s="1414"/>
      <c r="M463" s="1414"/>
      <c r="N463" s="1414"/>
      <c r="O463" s="1603" t="s">
        <v>2349</v>
      </c>
      <c r="P463" s="1521"/>
      <c r="Q463" s="320"/>
      <c r="R463" s="320"/>
      <c r="S463" s="320"/>
      <c r="T463" s="320">
        <f t="shared" si="68"/>
        <v>0</v>
      </c>
      <c r="U463" s="320"/>
      <c r="V463" s="320"/>
      <c r="W463" s="1521"/>
      <c r="X463" s="1521">
        <v>9.81</v>
      </c>
      <c r="Y463" s="1521"/>
      <c r="Z463" s="1521"/>
      <c r="AA463" s="1521"/>
      <c r="AB463" s="1521"/>
      <c r="AC463" s="1521"/>
      <c r="AD463" s="1521"/>
      <c r="AE463" s="1521"/>
      <c r="AF463" s="1521"/>
      <c r="AG463" s="1521"/>
      <c r="AH463" s="1521"/>
      <c r="AI463" s="1521"/>
      <c r="AJ463" s="320"/>
      <c r="AK463" s="320"/>
      <c r="AL463" s="320"/>
      <c r="AM463" s="320"/>
      <c r="AN463" s="1523">
        <f t="shared" si="69"/>
        <v>0</v>
      </c>
      <c r="AO463" s="320"/>
      <c r="AP463" s="320"/>
      <c r="AQ463" s="1521"/>
      <c r="AR463" s="1521">
        <v>9.81</v>
      </c>
      <c r="AS463" s="1521"/>
      <c r="AT463" s="1521"/>
      <c r="AU463" s="1521"/>
      <c r="AV463" s="1521"/>
      <c r="AW463" s="320"/>
      <c r="AX463" s="161"/>
      <c r="AY463" s="1540"/>
      <c r="AZ463" s="1560" t="e">
        <f>#REF!-#REF!</f>
        <v>#REF!</v>
      </c>
      <c r="BA463" s="1560" t="e">
        <f>IF(C463="Scheme",IF(SUM(AJ463:AS463)&gt;0,IF(H463&lt;#REF!,H463-#REF!,0),0),0)</f>
        <v>#REF!</v>
      </c>
      <c r="BB463" s="1560">
        <f t="shared" si="67"/>
        <v>-9.81</v>
      </c>
      <c r="BC463" s="96" t="s">
        <v>256</v>
      </c>
      <c r="BD463" s="96" t="s">
        <v>1931</v>
      </c>
    </row>
    <row r="464" spans="1:56" ht="255" customHeight="1" outlineLevel="1" x14ac:dyDescent="0.25">
      <c r="A464" s="1492"/>
      <c r="B464" s="1492" t="s">
        <v>2065</v>
      </c>
      <c r="C464" s="1492" t="s">
        <v>936</v>
      </c>
      <c r="D464" s="1488"/>
      <c r="E464" s="1495"/>
      <c r="F464" s="1413"/>
      <c r="G464" s="618"/>
      <c r="H464" s="1417">
        <f>SUM(W464:AB464)</f>
        <v>3</v>
      </c>
      <c r="I464" s="161"/>
      <c r="J464" s="161"/>
      <c r="K464" s="1413"/>
      <c r="L464" s="1414"/>
      <c r="M464" s="1414"/>
      <c r="N464" s="1414"/>
      <c r="O464" s="1551" t="s">
        <v>2350</v>
      </c>
      <c r="P464" s="1521"/>
      <c r="Q464" s="320"/>
      <c r="R464" s="320"/>
      <c r="S464" s="320"/>
      <c r="T464" s="320">
        <f t="shared" si="68"/>
        <v>0</v>
      </c>
      <c r="U464" s="320"/>
      <c r="V464" s="320"/>
      <c r="W464" s="1521"/>
      <c r="X464" s="1521"/>
      <c r="Y464" s="1521">
        <v>1.5</v>
      </c>
      <c r="Z464" s="1521">
        <v>1.5</v>
      </c>
      <c r="AA464" s="1521"/>
      <c r="AB464" s="1521"/>
      <c r="AC464" s="1521"/>
      <c r="AD464" s="1521"/>
      <c r="AE464" s="1521"/>
      <c r="AF464" s="1521"/>
      <c r="AG464" s="1521"/>
      <c r="AH464" s="1521"/>
      <c r="AI464" s="1521"/>
      <c r="AJ464" s="320"/>
      <c r="AK464" s="320"/>
      <c r="AL464" s="320"/>
      <c r="AM464" s="320"/>
      <c r="AN464" s="1523">
        <f t="shared" si="69"/>
        <v>0</v>
      </c>
      <c r="AO464" s="320"/>
      <c r="AP464" s="320"/>
      <c r="AQ464" s="1521"/>
      <c r="AR464" s="1521"/>
      <c r="AS464" s="1521">
        <v>1.5</v>
      </c>
      <c r="AT464" s="1521">
        <v>1.5</v>
      </c>
      <c r="AU464" s="1521"/>
      <c r="AV464" s="1521"/>
      <c r="AW464" s="320"/>
      <c r="AX464" s="161"/>
      <c r="AY464" s="1540"/>
      <c r="AZ464" s="1560" t="e">
        <f>#REF!-#REF!</f>
        <v>#REF!</v>
      </c>
      <c r="BA464" s="1560" t="e">
        <f>IF(C464="Scheme",IF(SUM(AJ464:AS464)&gt;0,IF(H464&lt;#REF!,H464-#REF!,0),0),0)</f>
        <v>#REF!</v>
      </c>
      <c r="BB464" s="1560">
        <f t="shared" si="67"/>
        <v>-1.5</v>
      </c>
      <c r="BC464" s="96" t="s">
        <v>256</v>
      </c>
      <c r="BD464" s="96" t="s">
        <v>1931</v>
      </c>
    </row>
    <row r="465" spans="1:56" ht="15.5" outlineLevel="1" x14ac:dyDescent="0.25">
      <c r="A465" s="1486">
        <v>5</v>
      </c>
      <c r="B465" s="1491" t="s">
        <v>2066</v>
      </c>
      <c r="C465" s="1486" t="s">
        <v>936</v>
      </c>
      <c r="D465" s="1488"/>
      <c r="E465" s="1495"/>
      <c r="F465" s="1413"/>
      <c r="G465" s="618"/>
      <c r="H465" s="1594">
        <f>H466+H467</f>
        <v>45</v>
      </c>
      <c r="I465" s="161"/>
      <c r="J465" s="161"/>
      <c r="K465" s="1413"/>
      <c r="L465" s="1414"/>
      <c r="M465" s="1414"/>
      <c r="N465" s="1414"/>
      <c r="O465" s="1551"/>
      <c r="P465" s="1521"/>
      <c r="Q465" s="320"/>
      <c r="R465" s="320"/>
      <c r="S465" s="320"/>
      <c r="T465" s="320">
        <f t="shared" si="68"/>
        <v>0</v>
      </c>
      <c r="U465" s="320"/>
      <c r="V465" s="320"/>
      <c r="W465" s="1521"/>
      <c r="X465" s="1521"/>
      <c r="Y465" s="1521"/>
      <c r="Z465" s="1521"/>
      <c r="AA465" s="1521"/>
      <c r="AB465" s="1521"/>
      <c r="AC465" s="1521"/>
      <c r="AD465" s="1521"/>
      <c r="AE465" s="1521"/>
      <c r="AF465" s="1521"/>
      <c r="AG465" s="1521"/>
      <c r="AH465" s="1521"/>
      <c r="AI465" s="1521"/>
      <c r="AJ465" s="320"/>
      <c r="AK465" s="320"/>
      <c r="AL465" s="320"/>
      <c r="AM465" s="320"/>
      <c r="AN465" s="1523">
        <f t="shared" si="69"/>
        <v>0</v>
      </c>
      <c r="AO465" s="320"/>
      <c r="AP465" s="320"/>
      <c r="AQ465" s="1521"/>
      <c r="AR465" s="1521"/>
      <c r="AS465" s="1521"/>
      <c r="AT465" s="1521"/>
      <c r="AU465" s="1521"/>
      <c r="AV465" s="1521"/>
      <c r="AW465" s="320"/>
      <c r="AX465" s="161"/>
      <c r="AY465" s="1540"/>
      <c r="AZ465" s="1560" t="e">
        <f>#REF!-#REF!</f>
        <v>#REF!</v>
      </c>
      <c r="BA465" s="1560">
        <f>IF(C465="Scheme",IF(SUM(AJ465:AS465)&gt;0,IF(H465&lt;#REF!,H465-#REF!,0),0),0)</f>
        <v>0</v>
      </c>
      <c r="BB465" s="1560">
        <f t="shared" si="67"/>
        <v>0</v>
      </c>
      <c r="BC465" s="96" t="s">
        <v>256</v>
      </c>
      <c r="BD465" s="96" t="s">
        <v>1931</v>
      </c>
    </row>
    <row r="466" spans="1:56" ht="345" customHeight="1" outlineLevel="1" x14ac:dyDescent="0.25">
      <c r="A466" s="1492"/>
      <c r="B466" s="1492" t="s">
        <v>2067</v>
      </c>
      <c r="C466" s="1492" t="s">
        <v>936</v>
      </c>
      <c r="D466" s="1488"/>
      <c r="E466" s="1495"/>
      <c r="F466" s="1413"/>
      <c r="G466" s="618"/>
      <c r="H466" s="1417">
        <f>SUM(W466:AB466)</f>
        <v>10</v>
      </c>
      <c r="I466" s="161"/>
      <c r="J466" s="161"/>
      <c r="K466" s="1413"/>
      <c r="L466" s="1414"/>
      <c r="M466" s="1414"/>
      <c r="N466" s="1414"/>
      <c r="O466" s="1551" t="s">
        <v>2348</v>
      </c>
      <c r="P466" s="1521"/>
      <c r="Q466" s="320"/>
      <c r="R466" s="320"/>
      <c r="S466" s="320"/>
      <c r="T466" s="320">
        <f t="shared" si="68"/>
        <v>0</v>
      </c>
      <c r="U466" s="320"/>
      <c r="V466" s="320"/>
      <c r="W466" s="1521"/>
      <c r="X466" s="1521">
        <v>10</v>
      </c>
      <c r="Y466" s="1521"/>
      <c r="Z466" s="1521"/>
      <c r="AA466" s="1521"/>
      <c r="AB466" s="1521"/>
      <c r="AC466" s="1521"/>
      <c r="AD466" s="1521"/>
      <c r="AE466" s="1521"/>
      <c r="AF466" s="1521"/>
      <c r="AG466" s="1521"/>
      <c r="AH466" s="1521"/>
      <c r="AI466" s="1521"/>
      <c r="AJ466" s="320"/>
      <c r="AK466" s="320"/>
      <c r="AL466" s="320"/>
      <c r="AM466" s="320"/>
      <c r="AN466" s="1523">
        <f t="shared" si="69"/>
        <v>0</v>
      </c>
      <c r="AO466" s="320"/>
      <c r="AP466" s="320"/>
      <c r="AQ466" s="1521"/>
      <c r="AR466" s="1521">
        <v>10</v>
      </c>
      <c r="AS466" s="1521"/>
      <c r="AT466" s="1521"/>
      <c r="AU466" s="1521"/>
      <c r="AV466" s="1521"/>
      <c r="AW466" s="320"/>
      <c r="AX466" s="161"/>
      <c r="AY466" s="1540"/>
      <c r="AZ466" s="1560" t="e">
        <f>#REF!-#REF!</f>
        <v>#REF!</v>
      </c>
      <c r="BA466" s="1560" t="e">
        <f>IF(C466="Scheme",IF(SUM(AJ466:AS466)&gt;0,IF(H466&lt;#REF!,H466-#REF!,0),0),0)</f>
        <v>#REF!</v>
      </c>
      <c r="BB466" s="1560">
        <f t="shared" si="67"/>
        <v>-10</v>
      </c>
      <c r="BC466" s="96" t="s">
        <v>256</v>
      </c>
      <c r="BD466" s="96" t="s">
        <v>1931</v>
      </c>
    </row>
    <row r="467" spans="1:56" ht="330" customHeight="1" outlineLevel="1" x14ac:dyDescent="0.25">
      <c r="A467" s="1492"/>
      <c r="B467" s="1492" t="s">
        <v>2068</v>
      </c>
      <c r="C467" s="1492" t="s">
        <v>936</v>
      </c>
      <c r="D467" s="1488"/>
      <c r="E467" s="1495"/>
      <c r="F467" s="1413"/>
      <c r="G467" s="618"/>
      <c r="H467" s="1417">
        <f>SUM(W467:AB467)</f>
        <v>35</v>
      </c>
      <c r="I467" s="161"/>
      <c r="J467" s="161"/>
      <c r="K467" s="1413"/>
      <c r="L467" s="1414"/>
      <c r="M467" s="1414"/>
      <c r="N467" s="1414"/>
      <c r="O467" s="1551" t="s">
        <v>2351</v>
      </c>
      <c r="P467" s="1521"/>
      <c r="Q467" s="320"/>
      <c r="R467" s="320"/>
      <c r="S467" s="320"/>
      <c r="T467" s="320">
        <f t="shared" si="68"/>
        <v>0</v>
      </c>
      <c r="U467" s="320"/>
      <c r="V467" s="320"/>
      <c r="W467" s="1521"/>
      <c r="X467" s="1521">
        <v>35</v>
      </c>
      <c r="Y467" s="1521"/>
      <c r="Z467" s="1521"/>
      <c r="AA467" s="1521"/>
      <c r="AB467" s="1521"/>
      <c r="AC467" s="1521"/>
      <c r="AD467" s="1521"/>
      <c r="AE467" s="1521"/>
      <c r="AF467" s="1521"/>
      <c r="AG467" s="1521"/>
      <c r="AH467" s="1521"/>
      <c r="AI467" s="1521"/>
      <c r="AJ467" s="320"/>
      <c r="AK467" s="320"/>
      <c r="AL467" s="320"/>
      <c r="AM467" s="320"/>
      <c r="AN467" s="1523">
        <f t="shared" si="69"/>
        <v>0</v>
      </c>
      <c r="AO467" s="320"/>
      <c r="AP467" s="320"/>
      <c r="AQ467" s="1521"/>
      <c r="AR467" s="1521">
        <v>35</v>
      </c>
      <c r="AS467" s="1521"/>
      <c r="AT467" s="1521"/>
      <c r="AU467" s="1521"/>
      <c r="AV467" s="1521"/>
      <c r="AW467" s="320"/>
      <c r="AX467" s="161"/>
      <c r="AY467" s="1540"/>
      <c r="AZ467" s="1560" t="e">
        <f>#REF!-#REF!</f>
        <v>#REF!</v>
      </c>
      <c r="BA467" s="1560" t="e">
        <f>IF(C467="Scheme",IF(SUM(AJ467:AS467)&gt;0,IF(H467&lt;#REF!,H467-#REF!,0),0),0)</f>
        <v>#REF!</v>
      </c>
      <c r="BB467" s="1560">
        <f t="shared" si="67"/>
        <v>-35</v>
      </c>
      <c r="BC467" s="96" t="s">
        <v>256</v>
      </c>
      <c r="BD467" s="96" t="s">
        <v>1931</v>
      </c>
    </row>
    <row r="468" spans="1:56" ht="31" outlineLevel="1" x14ac:dyDescent="0.25">
      <c r="A468" s="1486">
        <v>6</v>
      </c>
      <c r="B468" s="1491" t="s">
        <v>2069</v>
      </c>
      <c r="C468" s="1486" t="s">
        <v>928</v>
      </c>
      <c r="D468" s="1488"/>
      <c r="E468" s="1495"/>
      <c r="F468" s="1413"/>
      <c r="G468" s="618"/>
      <c r="H468" s="1594">
        <v>35</v>
      </c>
      <c r="I468" s="161"/>
      <c r="J468" s="161"/>
      <c r="K468" s="1413"/>
      <c r="L468" s="1414"/>
      <c r="M468" s="1414"/>
      <c r="N468" s="1414"/>
      <c r="O468" s="1551"/>
      <c r="P468" s="1521"/>
      <c r="Q468" s="320"/>
      <c r="R468" s="320"/>
      <c r="S468" s="320"/>
      <c r="T468" s="320">
        <f t="shared" si="68"/>
        <v>0</v>
      </c>
      <c r="U468" s="320"/>
      <c r="V468" s="320"/>
      <c r="W468" s="1521"/>
      <c r="X468" s="1521"/>
      <c r="Y468" s="1521"/>
      <c r="Z468" s="1521"/>
      <c r="AA468" s="1521"/>
      <c r="AB468" s="1521"/>
      <c r="AC468" s="1521"/>
      <c r="AD468" s="1521"/>
      <c r="AE468" s="1521"/>
      <c r="AF468" s="1521"/>
      <c r="AG468" s="1521"/>
      <c r="AH468" s="1521"/>
      <c r="AI468" s="1521"/>
      <c r="AJ468" s="320"/>
      <c r="AK468" s="320"/>
      <c r="AL468" s="320"/>
      <c r="AM468" s="320"/>
      <c r="AN468" s="1523">
        <f t="shared" si="69"/>
        <v>0</v>
      </c>
      <c r="AO468" s="320"/>
      <c r="AP468" s="320"/>
      <c r="AQ468" s="1521"/>
      <c r="AR468" s="1521"/>
      <c r="AS468" s="1521"/>
      <c r="AT468" s="1521"/>
      <c r="AU468" s="1521"/>
      <c r="AV468" s="1521"/>
      <c r="AW468" s="320"/>
      <c r="AX468" s="161"/>
      <c r="AY468" s="1540"/>
      <c r="AZ468" s="1560" t="e">
        <f>#REF!-#REF!</f>
        <v>#REF!</v>
      </c>
      <c r="BA468" s="1560">
        <f>IF(C468="Scheme",IF(SUM(AJ468:AS468)&gt;0,IF(H468&lt;#REF!,H468-#REF!,0),0),0)</f>
        <v>0</v>
      </c>
      <c r="BB468" s="1560">
        <f t="shared" si="67"/>
        <v>0</v>
      </c>
    </row>
    <row r="469" spans="1:56" ht="315" customHeight="1" outlineLevel="1" x14ac:dyDescent="0.25">
      <c r="A469" s="1492"/>
      <c r="B469" s="1492" t="s">
        <v>2070</v>
      </c>
      <c r="C469" s="1492" t="s">
        <v>936</v>
      </c>
      <c r="D469" s="1488"/>
      <c r="E469" s="1495"/>
      <c r="F469" s="1413"/>
      <c r="G469" s="618"/>
      <c r="H469" s="1417">
        <f>SUM(W469:AB469)</f>
        <v>35</v>
      </c>
      <c r="I469" s="161"/>
      <c r="J469" s="161"/>
      <c r="K469" s="1413"/>
      <c r="L469" s="1414"/>
      <c r="M469" s="1414"/>
      <c r="N469" s="1414"/>
      <c r="O469" s="1551" t="s">
        <v>2352</v>
      </c>
      <c r="P469" s="1521"/>
      <c r="Q469" s="320"/>
      <c r="R469" s="320"/>
      <c r="S469" s="320"/>
      <c r="T469" s="320">
        <f t="shared" si="68"/>
        <v>0</v>
      </c>
      <c r="U469" s="320"/>
      <c r="V469" s="320"/>
      <c r="W469" s="1521"/>
      <c r="X469" s="1521"/>
      <c r="Y469" s="1521"/>
      <c r="Z469" s="1595">
        <v>35</v>
      </c>
      <c r="AA469" s="1521"/>
      <c r="AB469" s="1521"/>
      <c r="AC469" s="1521"/>
      <c r="AD469" s="1521"/>
      <c r="AE469" s="1521"/>
      <c r="AF469" s="1521"/>
      <c r="AG469" s="1521"/>
      <c r="AH469" s="1521"/>
      <c r="AI469" s="1521"/>
      <c r="AJ469" s="320"/>
      <c r="AK469" s="320"/>
      <c r="AL469" s="320"/>
      <c r="AM469" s="320"/>
      <c r="AN469" s="1523">
        <f t="shared" si="69"/>
        <v>0</v>
      </c>
      <c r="AO469" s="320"/>
      <c r="AP469" s="320"/>
      <c r="AQ469" s="1521"/>
      <c r="AR469" s="1521"/>
      <c r="AS469" s="1521"/>
      <c r="AT469" s="1595">
        <v>35</v>
      </c>
      <c r="AU469" s="1521"/>
      <c r="AV469" s="1521"/>
      <c r="AW469" s="320"/>
      <c r="AX469" s="161"/>
      <c r="AY469" s="1540"/>
      <c r="AZ469" s="1560" t="e">
        <f>#REF!-#REF!</f>
        <v>#REF!</v>
      </c>
      <c r="BA469" s="1560">
        <f>IF(C469="Scheme",IF(SUM(AJ469:AS469)&gt;0,IF(H469&lt;#REF!,H469-#REF!,0),0),0)</f>
        <v>0</v>
      </c>
      <c r="BB469" s="1560">
        <f t="shared" si="67"/>
        <v>0</v>
      </c>
      <c r="BC469" s="96" t="s">
        <v>256</v>
      </c>
      <c r="BD469" s="96" t="s">
        <v>1931</v>
      </c>
    </row>
    <row r="470" spans="1:56" ht="15.5" outlineLevel="1" x14ac:dyDescent="0.25">
      <c r="A470" s="1486">
        <v>7</v>
      </c>
      <c r="B470" s="1491" t="s">
        <v>2071</v>
      </c>
      <c r="C470" s="1486" t="s">
        <v>928</v>
      </c>
      <c r="D470" s="1488"/>
      <c r="E470" s="1495"/>
      <c r="F470" s="1413"/>
      <c r="G470" s="618"/>
      <c r="H470" s="1594">
        <v>30</v>
      </c>
      <c r="I470" s="161"/>
      <c r="J470" s="161"/>
      <c r="K470" s="1413"/>
      <c r="L470" s="1414"/>
      <c r="M470" s="1414"/>
      <c r="N470" s="1414"/>
      <c r="O470" s="1551"/>
      <c r="P470" s="1521"/>
      <c r="Q470" s="320"/>
      <c r="R470" s="320"/>
      <c r="S470" s="320"/>
      <c r="T470" s="320">
        <f t="shared" si="68"/>
        <v>0</v>
      </c>
      <c r="U470" s="320"/>
      <c r="V470" s="320"/>
      <c r="W470" s="1521"/>
      <c r="X470" s="1521"/>
      <c r="Y470" s="1521"/>
      <c r="Z470" s="1521"/>
      <c r="AA470" s="1521"/>
      <c r="AB470" s="1521"/>
      <c r="AC470" s="1521"/>
      <c r="AD470" s="1521"/>
      <c r="AE470" s="1521"/>
      <c r="AF470" s="1521"/>
      <c r="AG470" s="1521"/>
      <c r="AH470" s="1521"/>
      <c r="AI470" s="1521"/>
      <c r="AJ470" s="320"/>
      <c r="AK470" s="320"/>
      <c r="AL470" s="320"/>
      <c r="AM470" s="320"/>
      <c r="AN470" s="1523">
        <f t="shared" si="69"/>
        <v>0</v>
      </c>
      <c r="AO470" s="320"/>
      <c r="AP470" s="320"/>
      <c r="AQ470" s="1521"/>
      <c r="AR470" s="1521"/>
      <c r="AS470" s="1521"/>
      <c r="AT470" s="1521"/>
      <c r="AU470" s="1521"/>
      <c r="AV470" s="1521"/>
      <c r="AW470" s="320"/>
      <c r="AX470" s="161"/>
      <c r="AY470" s="1540"/>
      <c r="AZ470" s="1560" t="e">
        <f>#REF!-#REF!</f>
        <v>#REF!</v>
      </c>
      <c r="BA470" s="1560">
        <f>IF(C470="Scheme",IF(SUM(AJ470:AS470)&gt;0,IF(H470&lt;#REF!,H470-#REF!,0),0),0)</f>
        <v>0</v>
      </c>
      <c r="BB470" s="1560">
        <f t="shared" si="67"/>
        <v>0</v>
      </c>
    </row>
    <row r="471" spans="1:56" ht="210" customHeight="1" outlineLevel="1" x14ac:dyDescent="0.25">
      <c r="A471" s="1492"/>
      <c r="B471" s="1492" t="s">
        <v>2072</v>
      </c>
      <c r="C471" s="1492" t="s">
        <v>936</v>
      </c>
      <c r="D471" s="1488"/>
      <c r="E471" s="1495"/>
      <c r="F471" s="1413"/>
      <c r="G471" s="618"/>
      <c r="H471" s="1417">
        <f>SUM(W471:AB471)</f>
        <v>30</v>
      </c>
      <c r="I471" s="161"/>
      <c r="J471" s="161"/>
      <c r="K471" s="1413"/>
      <c r="L471" s="1414"/>
      <c r="M471" s="1414"/>
      <c r="N471" s="1414"/>
      <c r="O471" s="1551" t="s">
        <v>2353</v>
      </c>
      <c r="P471" s="1521"/>
      <c r="Q471" s="320"/>
      <c r="R471" s="320"/>
      <c r="S471" s="320"/>
      <c r="T471" s="320">
        <f t="shared" si="68"/>
        <v>0</v>
      </c>
      <c r="U471" s="320"/>
      <c r="V471" s="320"/>
      <c r="W471" s="1521"/>
      <c r="X471" s="1521"/>
      <c r="Y471" s="1521"/>
      <c r="Z471" s="1521"/>
      <c r="AA471" s="1521"/>
      <c r="AB471" s="1595">
        <v>30</v>
      </c>
      <c r="AC471" s="1521"/>
      <c r="AD471" s="1521"/>
      <c r="AE471" s="1521"/>
      <c r="AF471" s="1521"/>
      <c r="AG471" s="1521"/>
      <c r="AH471" s="1521"/>
      <c r="AI471" s="1521"/>
      <c r="AJ471" s="320"/>
      <c r="AK471" s="320"/>
      <c r="AL471" s="320"/>
      <c r="AM471" s="320"/>
      <c r="AN471" s="1523">
        <f t="shared" si="69"/>
        <v>0</v>
      </c>
      <c r="AO471" s="320"/>
      <c r="AP471" s="320"/>
      <c r="AQ471" s="1521"/>
      <c r="AR471" s="1521"/>
      <c r="AS471" s="1521"/>
      <c r="AT471" s="1521"/>
      <c r="AU471" s="1521"/>
      <c r="AV471" s="1595">
        <v>30</v>
      </c>
      <c r="AW471" s="320"/>
      <c r="AX471" s="161"/>
      <c r="AY471" s="1540"/>
      <c r="AZ471" s="1560" t="e">
        <f>#REF!-#REF!</f>
        <v>#REF!</v>
      </c>
      <c r="BA471" s="1560">
        <f>IF(C471="Scheme",IF(SUM(AJ471:AS471)&gt;0,IF(H471&lt;#REF!,H471-#REF!,0),0),0)</f>
        <v>0</v>
      </c>
      <c r="BB471" s="1560">
        <f t="shared" si="67"/>
        <v>0</v>
      </c>
      <c r="BC471" s="96" t="s">
        <v>256</v>
      </c>
      <c r="BD471" s="96" t="s">
        <v>1931</v>
      </c>
    </row>
    <row r="472" spans="1:56" ht="15.5" outlineLevel="1" x14ac:dyDescent="0.25">
      <c r="A472" s="1486">
        <v>8</v>
      </c>
      <c r="B472" s="1491" t="s">
        <v>2073</v>
      </c>
      <c r="C472" s="1486" t="s">
        <v>928</v>
      </c>
      <c r="D472" s="1488"/>
      <c r="E472" s="1495"/>
      <c r="F472" s="1413"/>
      <c r="G472" s="618"/>
      <c r="H472" s="1594">
        <v>50</v>
      </c>
      <c r="I472" s="161"/>
      <c r="J472" s="161"/>
      <c r="K472" s="1413"/>
      <c r="L472" s="1414"/>
      <c r="M472" s="1414"/>
      <c r="N472" s="1414"/>
      <c r="O472" s="1551"/>
      <c r="P472" s="1521"/>
      <c r="Q472" s="320"/>
      <c r="R472" s="320"/>
      <c r="S472" s="320"/>
      <c r="T472" s="320">
        <f t="shared" si="68"/>
        <v>0</v>
      </c>
      <c r="U472" s="320"/>
      <c r="V472" s="320"/>
      <c r="W472" s="1521"/>
      <c r="X472" s="1521"/>
      <c r="Y472" s="1521"/>
      <c r="Z472" s="1521"/>
      <c r="AA472" s="1521"/>
      <c r="AB472" s="1521"/>
      <c r="AC472" s="1521"/>
      <c r="AD472" s="1521"/>
      <c r="AE472" s="1521"/>
      <c r="AF472" s="1521"/>
      <c r="AG472" s="1521"/>
      <c r="AH472" s="1521"/>
      <c r="AI472" s="1521"/>
      <c r="AJ472" s="320"/>
      <c r="AK472" s="320"/>
      <c r="AL472" s="320"/>
      <c r="AM472" s="320"/>
      <c r="AN472" s="1523">
        <f t="shared" si="69"/>
        <v>0</v>
      </c>
      <c r="AO472" s="320"/>
      <c r="AP472" s="320"/>
      <c r="AQ472" s="1521"/>
      <c r="AR472" s="1521"/>
      <c r="AS472" s="1521"/>
      <c r="AT472" s="1521"/>
      <c r="AU472" s="1521"/>
      <c r="AV472" s="1521"/>
      <c r="AW472" s="320"/>
      <c r="AX472" s="161"/>
      <c r="AY472" s="1540"/>
      <c r="AZ472" s="1560" t="e">
        <f>#REF!-#REF!</f>
        <v>#REF!</v>
      </c>
      <c r="BA472" s="1560">
        <f>IF(C472="Scheme",IF(SUM(AJ472:AS472)&gt;0,IF(H472&lt;#REF!,H472-#REF!,0),0),0)</f>
        <v>0</v>
      </c>
      <c r="BB472" s="1560">
        <f t="shared" si="67"/>
        <v>0</v>
      </c>
    </row>
    <row r="473" spans="1:56" ht="225" customHeight="1" outlineLevel="1" x14ac:dyDescent="0.25">
      <c r="A473" s="1492"/>
      <c r="B473" s="1492" t="s">
        <v>2074</v>
      </c>
      <c r="C473" s="1492" t="s">
        <v>936</v>
      </c>
      <c r="D473" s="1488"/>
      <c r="E473" s="1495"/>
      <c r="F473" s="1413"/>
      <c r="G473" s="618"/>
      <c r="H473" s="1417">
        <f>SUM(W473:AB473)</f>
        <v>50</v>
      </c>
      <c r="I473" s="161"/>
      <c r="J473" s="161"/>
      <c r="K473" s="1413"/>
      <c r="L473" s="1414"/>
      <c r="M473" s="1414"/>
      <c r="N473" s="1414"/>
      <c r="O473" s="1551" t="s">
        <v>2354</v>
      </c>
      <c r="P473" s="1521"/>
      <c r="Q473" s="320"/>
      <c r="R473" s="320"/>
      <c r="S473" s="320"/>
      <c r="T473" s="320">
        <f t="shared" si="68"/>
        <v>0</v>
      </c>
      <c r="U473" s="320"/>
      <c r="V473" s="320"/>
      <c r="W473" s="1521"/>
      <c r="X473" s="1521"/>
      <c r="Y473" s="1521"/>
      <c r="Z473" s="1521"/>
      <c r="AA473" s="1595">
        <v>25</v>
      </c>
      <c r="AB473" s="1595">
        <v>25</v>
      </c>
      <c r="AC473" s="1521"/>
      <c r="AD473" s="1521"/>
      <c r="AE473" s="1521"/>
      <c r="AF473" s="1521"/>
      <c r="AG473" s="1521"/>
      <c r="AH473" s="1521"/>
      <c r="AI473" s="1521"/>
      <c r="AJ473" s="320"/>
      <c r="AK473" s="320"/>
      <c r="AL473" s="320"/>
      <c r="AM473" s="320"/>
      <c r="AN473" s="1523">
        <f t="shared" si="69"/>
        <v>0</v>
      </c>
      <c r="AO473" s="320"/>
      <c r="AP473" s="320"/>
      <c r="AQ473" s="1521"/>
      <c r="AR473" s="1521"/>
      <c r="AS473" s="1521"/>
      <c r="AT473" s="1521"/>
      <c r="AU473" s="1595">
        <v>25</v>
      </c>
      <c r="AV473" s="1595">
        <v>25</v>
      </c>
      <c r="AW473" s="320"/>
      <c r="AX473" s="161"/>
      <c r="AY473" s="1540"/>
      <c r="AZ473" s="1560" t="e">
        <f>#REF!-#REF!</f>
        <v>#REF!</v>
      </c>
      <c r="BA473" s="1560">
        <f>IF(C473="Scheme",IF(SUM(AJ473:AS473)&gt;0,IF(H473&lt;#REF!,H473-#REF!,0),0),0)</f>
        <v>0</v>
      </c>
      <c r="BB473" s="1560">
        <f t="shared" si="67"/>
        <v>0</v>
      </c>
      <c r="BC473" s="96" t="s">
        <v>256</v>
      </c>
      <c r="BD473" s="96" t="s">
        <v>1931</v>
      </c>
    </row>
    <row r="474" spans="1:56" ht="15.5" outlineLevel="1" x14ac:dyDescent="0.25">
      <c r="A474" s="1504"/>
      <c r="B474" s="1504" t="s">
        <v>2075</v>
      </c>
      <c r="C474" s="1504"/>
      <c r="D474" s="1488"/>
      <c r="E474" s="1495"/>
      <c r="F474" s="1413"/>
      <c r="G474" s="618"/>
      <c r="H474" s="161"/>
      <c r="I474" s="161"/>
      <c r="J474" s="161"/>
      <c r="K474" s="1413"/>
      <c r="L474" s="1414"/>
      <c r="M474" s="1414"/>
      <c r="N474" s="1414"/>
      <c r="O474" s="1551"/>
      <c r="P474" s="1521"/>
      <c r="Q474" s="320"/>
      <c r="R474" s="320"/>
      <c r="S474" s="320"/>
      <c r="T474" s="320">
        <f t="shared" si="68"/>
        <v>0</v>
      </c>
      <c r="U474" s="320"/>
      <c r="V474" s="320"/>
      <c r="W474" s="1521"/>
      <c r="X474" s="1521"/>
      <c r="Y474" s="1521"/>
      <c r="Z474" s="1521"/>
      <c r="AA474" s="1521"/>
      <c r="AB474" s="1521"/>
      <c r="AC474" s="1521"/>
      <c r="AD474" s="1521"/>
      <c r="AE474" s="1521"/>
      <c r="AF474" s="1521"/>
      <c r="AG474" s="1521"/>
      <c r="AH474" s="1521"/>
      <c r="AI474" s="1521"/>
      <c r="AJ474" s="320"/>
      <c r="AK474" s="320"/>
      <c r="AL474" s="320"/>
      <c r="AM474" s="320"/>
      <c r="AN474" s="1523">
        <f t="shared" si="69"/>
        <v>0</v>
      </c>
      <c r="AO474" s="320"/>
      <c r="AP474" s="320"/>
      <c r="AQ474" s="1521"/>
      <c r="AR474" s="1521"/>
      <c r="AS474" s="1521"/>
      <c r="AT474" s="1521"/>
      <c r="AU474" s="1521"/>
      <c r="AV474" s="1521"/>
      <c r="AW474" s="320"/>
      <c r="AX474" s="161"/>
      <c r="AY474" s="1540"/>
      <c r="AZ474" s="1560" t="e">
        <f>#REF!-#REF!</f>
        <v>#REF!</v>
      </c>
      <c r="BA474" s="1560">
        <f>IF(C474="Scheme",IF(SUM(AJ474:AS474)&gt;0,IF(H474&lt;#REF!,H474-#REF!,0),0),0)</f>
        <v>0</v>
      </c>
      <c r="BB474" s="1560">
        <f t="shared" si="67"/>
        <v>0</v>
      </c>
    </row>
    <row r="475" spans="1:56" ht="170.5" outlineLevel="1" x14ac:dyDescent="0.25">
      <c r="A475" s="1486">
        <v>1</v>
      </c>
      <c r="B475" s="1491" t="s">
        <v>2076</v>
      </c>
      <c r="C475" s="1486" t="s">
        <v>928</v>
      </c>
      <c r="D475" s="1488"/>
      <c r="E475" s="1495"/>
      <c r="F475" s="1413"/>
      <c r="G475" s="618"/>
      <c r="H475" s="1594">
        <v>25.07</v>
      </c>
      <c r="I475" s="161"/>
      <c r="J475" s="161"/>
      <c r="K475" s="1413"/>
      <c r="L475" s="1414"/>
      <c r="M475" s="1414"/>
      <c r="N475" s="1414"/>
      <c r="O475" s="1551"/>
      <c r="P475" s="1521"/>
      <c r="Q475" s="320"/>
      <c r="R475" s="320"/>
      <c r="S475" s="320"/>
      <c r="T475" s="320">
        <f t="shared" si="68"/>
        <v>0</v>
      </c>
      <c r="U475" s="320"/>
      <c r="V475" s="320"/>
      <c r="W475" s="1521"/>
      <c r="X475" s="1521"/>
      <c r="Y475" s="1521"/>
      <c r="Z475" s="1521"/>
      <c r="AA475" s="1521"/>
      <c r="AB475" s="1521"/>
      <c r="AC475" s="1521"/>
      <c r="AD475" s="1521"/>
      <c r="AE475" s="1521"/>
      <c r="AF475" s="1521"/>
      <c r="AG475" s="1521"/>
      <c r="AH475" s="1521"/>
      <c r="AI475" s="1521"/>
      <c r="AJ475" s="320"/>
      <c r="AK475" s="320"/>
      <c r="AL475" s="320"/>
      <c r="AM475" s="320"/>
      <c r="AN475" s="1523">
        <f t="shared" si="69"/>
        <v>0</v>
      </c>
      <c r="AO475" s="320"/>
      <c r="AP475" s="320"/>
      <c r="AQ475" s="1521"/>
      <c r="AR475" s="1521"/>
      <c r="AS475" s="1521"/>
      <c r="AT475" s="1521"/>
      <c r="AU475" s="1521"/>
      <c r="AV475" s="1521"/>
      <c r="AW475" s="320"/>
      <c r="AX475" s="161"/>
      <c r="AY475" s="1540"/>
      <c r="AZ475" s="1560" t="e">
        <f>#REF!-#REF!</f>
        <v>#REF!</v>
      </c>
      <c r="BA475" s="1560">
        <f>IF(C475="Scheme",IF(SUM(AJ475:AS475)&gt;0,IF(H475&lt;#REF!,H475-#REF!,0),0),0)</f>
        <v>0</v>
      </c>
      <c r="BB475" s="1560">
        <f t="shared" si="67"/>
        <v>0</v>
      </c>
    </row>
    <row r="476" spans="1:56" ht="84" outlineLevel="1" x14ac:dyDescent="0.3">
      <c r="A476" s="1492"/>
      <c r="B476" s="1492" t="s">
        <v>2077</v>
      </c>
      <c r="C476" s="1492" t="s">
        <v>936</v>
      </c>
      <c r="D476" s="1488"/>
      <c r="E476" s="1495"/>
      <c r="F476" s="1413"/>
      <c r="G476" s="618"/>
      <c r="H476" s="1417">
        <f>SUM(W476:AB476)</f>
        <v>15.07</v>
      </c>
      <c r="I476" s="161"/>
      <c r="J476" s="161"/>
      <c r="K476" s="1413"/>
      <c r="L476" s="1414"/>
      <c r="M476" s="1414"/>
      <c r="N476" s="1414"/>
      <c r="O476" s="1604" t="s">
        <v>2355</v>
      </c>
      <c r="P476" s="1521"/>
      <c r="Q476" s="320"/>
      <c r="R476" s="320"/>
      <c r="S476" s="320"/>
      <c r="T476" s="320">
        <f t="shared" si="68"/>
        <v>0</v>
      </c>
      <c r="U476" s="320"/>
      <c r="V476" s="320"/>
      <c r="W476" s="1521"/>
      <c r="X476" s="1595">
        <v>15.07</v>
      </c>
      <c r="Y476" s="1521"/>
      <c r="Z476" s="1521"/>
      <c r="AA476" s="1521"/>
      <c r="AB476" s="1521"/>
      <c r="AC476" s="1521"/>
      <c r="AD476" s="1521"/>
      <c r="AE476" s="1521"/>
      <c r="AF476" s="1521"/>
      <c r="AG476" s="1521"/>
      <c r="AH476" s="1521"/>
      <c r="AI476" s="1521"/>
      <c r="AJ476" s="320"/>
      <c r="AK476" s="320"/>
      <c r="AL476" s="320"/>
      <c r="AM476" s="320"/>
      <c r="AN476" s="1523">
        <f t="shared" si="69"/>
        <v>0</v>
      </c>
      <c r="AO476" s="320"/>
      <c r="AP476" s="320"/>
      <c r="AQ476" s="1521"/>
      <c r="AR476" s="1595">
        <v>15.07</v>
      </c>
      <c r="AS476" s="1521"/>
      <c r="AT476" s="1521"/>
      <c r="AU476" s="1521"/>
      <c r="AV476" s="1521"/>
      <c r="AW476" s="320"/>
      <c r="AX476" s="161"/>
      <c r="AY476" s="1540"/>
      <c r="AZ476" s="1560" t="e">
        <f>#REF!-#REF!</f>
        <v>#REF!</v>
      </c>
      <c r="BA476" s="1560" t="e">
        <f>IF(C476="Scheme",IF(SUM(AJ476:AS476)&gt;0,IF(H476&lt;#REF!,H476-#REF!,0),0),0)</f>
        <v>#REF!</v>
      </c>
      <c r="BB476" s="1560">
        <f t="shared" si="67"/>
        <v>-15.07</v>
      </c>
      <c r="BC476" s="96" t="s">
        <v>256</v>
      </c>
      <c r="BD476" s="96" t="s">
        <v>1931</v>
      </c>
    </row>
    <row r="477" spans="1:56" ht="139.5" outlineLevel="1" x14ac:dyDescent="0.3">
      <c r="A477" s="1492"/>
      <c r="B477" s="1492" t="s">
        <v>2078</v>
      </c>
      <c r="C477" s="1492" t="s">
        <v>936</v>
      </c>
      <c r="D477" s="1488"/>
      <c r="E477" s="1495"/>
      <c r="F477" s="1413"/>
      <c r="G477" s="618"/>
      <c r="H477" s="1417">
        <f>SUM(W477:AB477)</f>
        <v>10</v>
      </c>
      <c r="I477" s="161"/>
      <c r="J477" s="161"/>
      <c r="K477" s="1413"/>
      <c r="L477" s="1414"/>
      <c r="M477" s="1414"/>
      <c r="N477" s="1414"/>
      <c r="O477" s="1605" t="s">
        <v>2356</v>
      </c>
      <c r="P477" s="1521"/>
      <c r="Q477" s="320"/>
      <c r="R477" s="320"/>
      <c r="S477" s="320"/>
      <c r="T477" s="320">
        <f t="shared" si="68"/>
        <v>0</v>
      </c>
      <c r="U477" s="320"/>
      <c r="V477" s="320"/>
      <c r="W477" s="1521"/>
      <c r="X477" s="1521">
        <v>10</v>
      </c>
      <c r="Y477" s="1521"/>
      <c r="Z477" s="1521"/>
      <c r="AA477" s="1521"/>
      <c r="AB477" s="1521"/>
      <c r="AC477" s="1521"/>
      <c r="AD477" s="1521"/>
      <c r="AE477" s="1521"/>
      <c r="AF477" s="1521"/>
      <c r="AG477" s="1521"/>
      <c r="AH477" s="1521"/>
      <c r="AI477" s="1521"/>
      <c r="AJ477" s="320"/>
      <c r="AK477" s="320"/>
      <c r="AL477" s="320"/>
      <c r="AM477" s="320"/>
      <c r="AN477" s="1523">
        <f t="shared" si="69"/>
        <v>0</v>
      </c>
      <c r="AO477" s="320"/>
      <c r="AP477" s="320"/>
      <c r="AQ477" s="1521"/>
      <c r="AR477" s="1521">
        <v>10</v>
      </c>
      <c r="AS477" s="1521"/>
      <c r="AT477" s="1521"/>
      <c r="AU477" s="1521"/>
      <c r="AV477" s="1521"/>
      <c r="AW477" s="320"/>
      <c r="AX477" s="161"/>
      <c r="AY477" s="1540"/>
      <c r="AZ477" s="1560" t="e">
        <f>#REF!-#REF!</f>
        <v>#REF!</v>
      </c>
      <c r="BA477" s="1560" t="e">
        <f>IF(C477="Scheme",IF(SUM(AJ477:AS477)&gt;0,IF(H477&lt;#REF!,H477-#REF!,0),0),0)</f>
        <v>#REF!</v>
      </c>
      <c r="BB477" s="1560">
        <f t="shared" si="67"/>
        <v>-10</v>
      </c>
      <c r="BC477" s="96" t="s">
        <v>256</v>
      </c>
      <c r="BD477" s="96" t="s">
        <v>1931</v>
      </c>
    </row>
    <row r="478" spans="1:56" ht="31" outlineLevel="1" x14ac:dyDescent="0.25">
      <c r="A478" s="1486">
        <v>2</v>
      </c>
      <c r="B478" s="1491" t="s">
        <v>2079</v>
      </c>
      <c r="C478" s="1486" t="s">
        <v>928</v>
      </c>
      <c r="D478" s="1488"/>
      <c r="E478" s="1495"/>
      <c r="F478" s="1413"/>
      <c r="G478" s="618"/>
      <c r="H478" s="1594">
        <v>44.31</v>
      </c>
      <c r="I478" s="161"/>
      <c r="J478" s="161"/>
      <c r="K478" s="1413"/>
      <c r="L478" s="1414"/>
      <c r="M478" s="1414"/>
      <c r="N478" s="1414"/>
      <c r="O478" s="1551"/>
      <c r="P478" s="1521"/>
      <c r="Q478" s="320"/>
      <c r="R478" s="320"/>
      <c r="S478" s="320"/>
      <c r="T478" s="320">
        <f t="shared" si="68"/>
        <v>0</v>
      </c>
      <c r="U478" s="320"/>
      <c r="V478" s="320"/>
      <c r="W478" s="1521"/>
      <c r="X478" s="1521"/>
      <c r="Y478" s="1521"/>
      <c r="Z478" s="1521"/>
      <c r="AA478" s="1521"/>
      <c r="AB478" s="1521"/>
      <c r="AC478" s="1521"/>
      <c r="AD478" s="1521"/>
      <c r="AE478" s="1521"/>
      <c r="AF478" s="1521"/>
      <c r="AG478" s="1521"/>
      <c r="AH478" s="1521"/>
      <c r="AI478" s="1521"/>
      <c r="AJ478" s="320"/>
      <c r="AK478" s="320"/>
      <c r="AL478" s="320"/>
      <c r="AM478" s="320"/>
      <c r="AN478" s="1523">
        <f t="shared" si="69"/>
        <v>0</v>
      </c>
      <c r="AO478" s="320"/>
      <c r="AP478" s="320"/>
      <c r="AQ478" s="1521"/>
      <c r="AR478" s="1521"/>
      <c r="AS478" s="1521"/>
      <c r="AT478" s="1521"/>
      <c r="AU478" s="1521"/>
      <c r="AV478" s="1521"/>
      <c r="AW478" s="320"/>
      <c r="AX478" s="161"/>
      <c r="AY478" s="1540"/>
      <c r="AZ478" s="1560" t="e">
        <f>#REF!-#REF!</f>
        <v>#REF!</v>
      </c>
      <c r="BA478" s="1560">
        <f>IF(C478="Scheme",IF(SUM(AJ478:AS478)&gt;0,IF(H478&lt;#REF!,H478-#REF!,0),0),0)</f>
        <v>0</v>
      </c>
      <c r="BB478" s="1560">
        <f t="shared" ref="BB478:BB491" si="70">IF(C478="scheme",G478-SUM(AJ478:AS478),0)</f>
        <v>0</v>
      </c>
    </row>
    <row r="479" spans="1:56" ht="300" customHeight="1" outlineLevel="1" x14ac:dyDescent="0.3">
      <c r="A479" s="1492"/>
      <c r="B479" s="1492" t="s">
        <v>2080</v>
      </c>
      <c r="C479" s="1492" t="s">
        <v>936</v>
      </c>
      <c r="D479" s="1488"/>
      <c r="E479" s="1495"/>
      <c r="F479" s="1413"/>
      <c r="G479" s="618"/>
      <c r="H479" s="1417">
        <f>SUM(W479:AB479)</f>
        <v>44.31</v>
      </c>
      <c r="I479" s="161"/>
      <c r="J479" s="161"/>
      <c r="K479" s="1413"/>
      <c r="L479" s="1414"/>
      <c r="M479" s="1414"/>
      <c r="N479" s="1414"/>
      <c r="O479" s="1604" t="s">
        <v>2357</v>
      </c>
      <c r="P479" s="1521"/>
      <c r="Q479" s="320"/>
      <c r="R479" s="320"/>
      <c r="S479" s="320"/>
      <c r="T479" s="320">
        <f t="shared" si="68"/>
        <v>0</v>
      </c>
      <c r="U479" s="320"/>
      <c r="V479" s="320"/>
      <c r="W479" s="1521"/>
      <c r="X479" s="1521">
        <v>44.31</v>
      </c>
      <c r="Y479" s="1521"/>
      <c r="Z479" s="1521"/>
      <c r="AA479" s="1521"/>
      <c r="AB479" s="1521"/>
      <c r="AC479" s="1521"/>
      <c r="AD479" s="1521"/>
      <c r="AE479" s="1521"/>
      <c r="AF479" s="1521"/>
      <c r="AG479" s="1521"/>
      <c r="AH479" s="1521"/>
      <c r="AI479" s="1521"/>
      <c r="AJ479" s="320"/>
      <c r="AK479" s="320"/>
      <c r="AL479" s="320"/>
      <c r="AM479" s="320"/>
      <c r="AN479" s="1523">
        <f t="shared" si="69"/>
        <v>0</v>
      </c>
      <c r="AO479" s="320"/>
      <c r="AP479" s="320"/>
      <c r="AQ479" s="1521"/>
      <c r="AR479" s="1521">
        <v>44.31</v>
      </c>
      <c r="AS479" s="1521"/>
      <c r="AT479" s="1521"/>
      <c r="AU479" s="1521"/>
      <c r="AV479" s="1521"/>
      <c r="AW479" s="320"/>
      <c r="AX479" s="161"/>
      <c r="AY479" s="1540"/>
      <c r="AZ479" s="1560" t="e">
        <f>#REF!-#REF!</f>
        <v>#REF!</v>
      </c>
      <c r="BA479" s="1560" t="e">
        <f>IF(C479="Scheme",IF(SUM(AJ479:AS479)&gt;0,IF(H479&lt;#REF!,H479-#REF!,0),0),0)</f>
        <v>#REF!</v>
      </c>
      <c r="BB479" s="1560">
        <f t="shared" si="70"/>
        <v>-44.31</v>
      </c>
      <c r="BC479" s="96" t="s">
        <v>256</v>
      </c>
      <c r="BD479" s="96" t="s">
        <v>1931</v>
      </c>
    </row>
    <row r="480" spans="1:56" ht="46.5" outlineLevel="1" x14ac:dyDescent="0.25">
      <c r="A480" s="1486">
        <v>3</v>
      </c>
      <c r="B480" s="1491" t="s">
        <v>2081</v>
      </c>
      <c r="C480" s="1486" t="s">
        <v>928</v>
      </c>
      <c r="D480" s="1488"/>
      <c r="E480" s="1495"/>
      <c r="F480" s="1413"/>
      <c r="G480" s="618"/>
      <c r="H480" s="1594">
        <v>25</v>
      </c>
      <c r="I480" s="161"/>
      <c r="J480" s="161"/>
      <c r="K480" s="1413"/>
      <c r="L480" s="1414"/>
      <c r="M480" s="1414"/>
      <c r="N480" s="1414"/>
      <c r="O480" s="1551"/>
      <c r="P480" s="1521"/>
      <c r="Q480" s="320"/>
      <c r="R480" s="320"/>
      <c r="S480" s="320"/>
      <c r="T480" s="320">
        <f t="shared" si="68"/>
        <v>0</v>
      </c>
      <c r="U480" s="320"/>
      <c r="V480" s="320"/>
      <c r="W480" s="1521"/>
      <c r="X480" s="1521"/>
      <c r="Y480" s="1521"/>
      <c r="Z480" s="1521"/>
      <c r="AA480" s="1521"/>
      <c r="AB480" s="1521"/>
      <c r="AC480" s="1521"/>
      <c r="AD480" s="1521"/>
      <c r="AE480" s="1521"/>
      <c r="AF480" s="1521"/>
      <c r="AG480" s="1521"/>
      <c r="AH480" s="1521"/>
      <c r="AI480" s="1521"/>
      <c r="AJ480" s="320"/>
      <c r="AK480" s="320"/>
      <c r="AL480" s="320"/>
      <c r="AM480" s="320"/>
      <c r="AN480" s="1523">
        <f t="shared" si="69"/>
        <v>0</v>
      </c>
      <c r="AO480" s="320"/>
      <c r="AP480" s="320"/>
      <c r="AQ480" s="1521"/>
      <c r="AR480" s="1521"/>
      <c r="AS480" s="1521"/>
      <c r="AT480" s="1521"/>
      <c r="AU480" s="1521"/>
      <c r="AV480" s="1521"/>
      <c r="AW480" s="320"/>
      <c r="AX480" s="161"/>
      <c r="AY480" s="1540"/>
      <c r="AZ480" s="1560" t="e">
        <f>#REF!-#REF!</f>
        <v>#REF!</v>
      </c>
      <c r="BA480" s="1560">
        <f>IF(C480="Scheme",IF(SUM(AJ480:AS480)&gt;0,IF(H480&lt;#REF!,H480-#REF!,0),0),0)</f>
        <v>0</v>
      </c>
      <c r="BB480" s="1560">
        <f t="shared" si="70"/>
        <v>0</v>
      </c>
    </row>
    <row r="481" spans="1:56" ht="46.5" outlineLevel="1" x14ac:dyDescent="0.3">
      <c r="A481" s="1492"/>
      <c r="B481" s="1492" t="s">
        <v>2082</v>
      </c>
      <c r="C481" s="1492" t="s">
        <v>936</v>
      </c>
      <c r="D481" s="1488"/>
      <c r="E481" s="1495"/>
      <c r="F481" s="1413"/>
      <c r="G481" s="618"/>
      <c r="H481" s="1417">
        <f>SUM(W481:AB481)</f>
        <v>25</v>
      </c>
      <c r="I481" s="161"/>
      <c r="J481" s="161"/>
      <c r="K481" s="1413"/>
      <c r="L481" s="1414"/>
      <c r="M481" s="1414"/>
      <c r="N481" s="1414"/>
      <c r="O481" s="1093" t="s">
        <v>2358</v>
      </c>
      <c r="P481" s="1521"/>
      <c r="Q481" s="320"/>
      <c r="R481" s="320"/>
      <c r="S481" s="320"/>
      <c r="T481" s="320">
        <f t="shared" si="68"/>
        <v>0</v>
      </c>
      <c r="U481" s="320"/>
      <c r="V481" s="320"/>
      <c r="W481" s="1521"/>
      <c r="X481" s="1521"/>
      <c r="Y481" s="1521"/>
      <c r="Z481" s="1521"/>
      <c r="AA481" s="1521"/>
      <c r="AB481" s="1521">
        <v>25</v>
      </c>
      <c r="AC481" s="1521"/>
      <c r="AD481" s="1521"/>
      <c r="AE481" s="1521"/>
      <c r="AF481" s="1521"/>
      <c r="AG481" s="1521"/>
      <c r="AH481" s="1521"/>
      <c r="AI481" s="1521"/>
      <c r="AJ481" s="320"/>
      <c r="AK481" s="320"/>
      <c r="AL481" s="320"/>
      <c r="AM481" s="320"/>
      <c r="AN481" s="1523">
        <f t="shared" si="69"/>
        <v>0</v>
      </c>
      <c r="AO481" s="320"/>
      <c r="AP481" s="320"/>
      <c r="AQ481" s="1521"/>
      <c r="AR481" s="1521"/>
      <c r="AS481" s="1521"/>
      <c r="AT481" s="1521"/>
      <c r="AU481" s="1521"/>
      <c r="AV481" s="1521">
        <v>25</v>
      </c>
      <c r="AW481" s="320"/>
      <c r="AX481" s="161"/>
      <c r="AY481" s="1540"/>
      <c r="AZ481" s="1560" t="e">
        <f>#REF!-#REF!</f>
        <v>#REF!</v>
      </c>
      <c r="BA481" s="1560">
        <f>IF(C481="Scheme",IF(SUM(AJ481:AS481)&gt;0,IF(H481&lt;#REF!,H481-#REF!,0),0),0)</f>
        <v>0</v>
      </c>
      <c r="BB481" s="1560">
        <f t="shared" si="70"/>
        <v>0</v>
      </c>
      <c r="BC481" s="96" t="s">
        <v>256</v>
      </c>
      <c r="BD481" s="96" t="s">
        <v>1931</v>
      </c>
    </row>
    <row r="482" spans="1:56" ht="108.5" outlineLevel="1" x14ac:dyDescent="0.25">
      <c r="A482" s="1486">
        <v>4</v>
      </c>
      <c r="B482" s="1491" t="s">
        <v>2083</v>
      </c>
      <c r="C482" s="1486" t="s">
        <v>928</v>
      </c>
      <c r="D482" s="1488"/>
      <c r="E482" s="1495"/>
      <c r="F482" s="1413"/>
      <c r="G482" s="618"/>
      <c r="H482" s="1597">
        <f>H483+H484+H485</f>
        <v>38</v>
      </c>
      <c r="I482" s="161"/>
      <c r="J482" s="161"/>
      <c r="K482" s="1413"/>
      <c r="L482" s="1414"/>
      <c r="M482" s="1414"/>
      <c r="N482" s="1414"/>
      <c r="O482" s="1551"/>
      <c r="P482" s="1521"/>
      <c r="Q482" s="320"/>
      <c r="R482" s="320"/>
      <c r="S482" s="320"/>
      <c r="T482" s="320">
        <f t="shared" si="68"/>
        <v>0</v>
      </c>
      <c r="U482" s="320"/>
      <c r="V482" s="320"/>
      <c r="W482" s="1521"/>
      <c r="X482" s="1521"/>
      <c r="Y482" s="1521"/>
      <c r="Z482" s="1521"/>
      <c r="AA482" s="1521"/>
      <c r="AB482" s="1521"/>
      <c r="AC482" s="1521"/>
      <c r="AD482" s="1521"/>
      <c r="AE482" s="1521"/>
      <c r="AF482" s="1521"/>
      <c r="AG482" s="1521"/>
      <c r="AH482" s="1521"/>
      <c r="AI482" s="1521"/>
      <c r="AJ482" s="320"/>
      <c r="AK482" s="320"/>
      <c r="AL482" s="320"/>
      <c r="AM482" s="320"/>
      <c r="AN482" s="1523">
        <f t="shared" si="69"/>
        <v>0</v>
      </c>
      <c r="AO482" s="320"/>
      <c r="AP482" s="320"/>
      <c r="AQ482" s="1521"/>
      <c r="AR482" s="1521"/>
      <c r="AS482" s="1521"/>
      <c r="AT482" s="1521"/>
      <c r="AU482" s="1521"/>
      <c r="AV482" s="1521"/>
      <c r="AW482" s="320"/>
      <c r="AX482" s="161"/>
      <c r="AY482" s="1540"/>
      <c r="AZ482" s="1560" t="e">
        <f>#REF!-#REF!</f>
        <v>#REF!</v>
      </c>
      <c r="BA482" s="1560">
        <f>IF(C482="Scheme",IF(SUM(AJ482:AS482)&gt;0,IF(H482&lt;#REF!,H482-#REF!,0),0),0)</f>
        <v>0</v>
      </c>
      <c r="BB482" s="1560">
        <f t="shared" si="70"/>
        <v>0</v>
      </c>
    </row>
    <row r="483" spans="1:56" ht="270" customHeight="1" outlineLevel="1" x14ac:dyDescent="0.3">
      <c r="A483" s="1492"/>
      <c r="B483" s="1492" t="s">
        <v>2084</v>
      </c>
      <c r="C483" s="1492" t="s">
        <v>936</v>
      </c>
      <c r="D483" s="1488"/>
      <c r="E483" s="1495"/>
      <c r="F483" s="1413"/>
      <c r="G483" s="618"/>
      <c r="H483" s="1417">
        <f>SUM(W483:AB483)</f>
        <v>10</v>
      </c>
      <c r="I483" s="161"/>
      <c r="J483" s="161"/>
      <c r="K483" s="1413"/>
      <c r="L483" s="1414"/>
      <c r="M483" s="1414"/>
      <c r="N483" s="1414"/>
      <c r="O483" s="1606" t="s">
        <v>2359</v>
      </c>
      <c r="P483" s="1521"/>
      <c r="Q483" s="320"/>
      <c r="R483" s="320"/>
      <c r="S483" s="320"/>
      <c r="T483" s="320">
        <f t="shared" si="68"/>
        <v>0</v>
      </c>
      <c r="U483" s="320"/>
      <c r="V483" s="320"/>
      <c r="W483" s="1521"/>
      <c r="X483" s="1521"/>
      <c r="Y483" s="1521"/>
      <c r="Z483" s="1521">
        <v>10</v>
      </c>
      <c r="AA483" s="1521"/>
      <c r="AB483" s="1521"/>
      <c r="AC483" s="1521"/>
      <c r="AD483" s="1521"/>
      <c r="AE483" s="1521"/>
      <c r="AF483" s="1521"/>
      <c r="AG483" s="1521"/>
      <c r="AH483" s="1521"/>
      <c r="AI483" s="1521"/>
      <c r="AJ483" s="320"/>
      <c r="AK483" s="320"/>
      <c r="AL483" s="320"/>
      <c r="AM483" s="320"/>
      <c r="AN483" s="1523">
        <f t="shared" si="69"/>
        <v>0</v>
      </c>
      <c r="AO483" s="320"/>
      <c r="AP483" s="320"/>
      <c r="AQ483" s="1521"/>
      <c r="AR483" s="1521"/>
      <c r="AS483" s="1521"/>
      <c r="AT483" s="1521">
        <v>10</v>
      </c>
      <c r="AU483" s="1521"/>
      <c r="AV483" s="1521"/>
      <c r="AW483" s="320"/>
      <c r="AX483" s="161"/>
      <c r="AY483" s="1540"/>
      <c r="AZ483" s="1560" t="e">
        <f>#REF!-#REF!</f>
        <v>#REF!</v>
      </c>
      <c r="BA483" s="1560">
        <f>IF(C483="Scheme",IF(SUM(AJ483:AS483)&gt;0,IF(H483&lt;#REF!,H483-#REF!,0),0),0)</f>
        <v>0</v>
      </c>
      <c r="BB483" s="1560">
        <f t="shared" si="70"/>
        <v>0</v>
      </c>
      <c r="BC483" s="96" t="s">
        <v>256</v>
      </c>
      <c r="BD483" s="96" t="s">
        <v>1931</v>
      </c>
    </row>
    <row r="484" spans="1:56" ht="98" outlineLevel="1" x14ac:dyDescent="0.3">
      <c r="A484" s="1492"/>
      <c r="B484" s="1492" t="s">
        <v>2085</v>
      </c>
      <c r="C484" s="1492" t="s">
        <v>936</v>
      </c>
      <c r="D484" s="1488"/>
      <c r="E484" s="1495"/>
      <c r="F484" s="1413"/>
      <c r="G484" s="618"/>
      <c r="H484" s="1417">
        <f>SUM(W484:AB484)</f>
        <v>3</v>
      </c>
      <c r="I484" s="161"/>
      <c r="J484" s="161"/>
      <c r="K484" s="1413"/>
      <c r="L484" s="1414"/>
      <c r="M484" s="1414"/>
      <c r="N484" s="1414"/>
      <c r="O484" s="1604" t="s">
        <v>2360</v>
      </c>
      <c r="P484" s="1521"/>
      <c r="Q484" s="320"/>
      <c r="R484" s="320"/>
      <c r="S484" s="320"/>
      <c r="T484" s="320">
        <f t="shared" si="68"/>
        <v>0</v>
      </c>
      <c r="U484" s="320"/>
      <c r="V484" s="320"/>
      <c r="W484" s="1521"/>
      <c r="X484" s="1521">
        <v>3</v>
      </c>
      <c r="Y484" s="1521"/>
      <c r="Z484" s="1521"/>
      <c r="AA484" s="1521"/>
      <c r="AB484" s="1521"/>
      <c r="AC484" s="1521"/>
      <c r="AD484" s="1521"/>
      <c r="AE484" s="1521"/>
      <c r="AF484" s="1521"/>
      <c r="AG484" s="1521"/>
      <c r="AH484" s="1521"/>
      <c r="AI484" s="1521"/>
      <c r="AJ484" s="320"/>
      <c r="AK484" s="320"/>
      <c r="AL484" s="320"/>
      <c r="AM484" s="320"/>
      <c r="AN484" s="1523">
        <f t="shared" si="69"/>
        <v>0</v>
      </c>
      <c r="AO484" s="320"/>
      <c r="AP484" s="320"/>
      <c r="AQ484" s="1521"/>
      <c r="AR484" s="1521">
        <v>3</v>
      </c>
      <c r="AS484" s="1521"/>
      <c r="AT484" s="1521"/>
      <c r="AU484" s="1521"/>
      <c r="AV484" s="1521"/>
      <c r="AW484" s="320"/>
      <c r="AX484" s="161"/>
      <c r="AY484" s="1540"/>
      <c r="AZ484" s="1560" t="e">
        <f>#REF!-#REF!</f>
        <v>#REF!</v>
      </c>
      <c r="BA484" s="1560" t="e">
        <f>IF(C484="Scheme",IF(SUM(AJ484:AS484)&gt;0,IF(H484&lt;#REF!,H484-#REF!,0),0),0)</f>
        <v>#REF!</v>
      </c>
      <c r="BB484" s="1560">
        <f t="shared" si="70"/>
        <v>-3</v>
      </c>
      <c r="BC484" s="96" t="s">
        <v>256</v>
      </c>
      <c r="BD484" s="96" t="s">
        <v>1931</v>
      </c>
    </row>
    <row r="485" spans="1:56" ht="90" customHeight="1" outlineLevel="1" x14ac:dyDescent="0.3">
      <c r="A485" s="1492"/>
      <c r="B485" s="1492" t="s">
        <v>2086</v>
      </c>
      <c r="C485" s="1492" t="s">
        <v>936</v>
      </c>
      <c r="D485" s="1488"/>
      <c r="E485" s="1495"/>
      <c r="F485" s="1413"/>
      <c r="G485" s="618"/>
      <c r="H485" s="1417">
        <f>SUM(W485:AB485)</f>
        <v>25</v>
      </c>
      <c r="I485" s="161"/>
      <c r="J485" s="161"/>
      <c r="K485" s="1413"/>
      <c r="L485" s="1414"/>
      <c r="M485" s="1414"/>
      <c r="N485" s="1414"/>
      <c r="O485" s="1605" t="s">
        <v>2361</v>
      </c>
      <c r="P485" s="1521"/>
      <c r="Q485" s="320"/>
      <c r="R485" s="320"/>
      <c r="S485" s="320"/>
      <c r="T485" s="320">
        <f t="shared" si="68"/>
        <v>0</v>
      </c>
      <c r="U485" s="320"/>
      <c r="V485" s="320"/>
      <c r="W485" s="1521"/>
      <c r="X485" s="1521"/>
      <c r="Y485" s="1521">
        <v>25</v>
      </c>
      <c r="Z485" s="1521"/>
      <c r="AA485" s="1521"/>
      <c r="AB485" s="1521"/>
      <c r="AC485" s="1521"/>
      <c r="AD485" s="1521"/>
      <c r="AE485" s="1521"/>
      <c r="AF485" s="1521"/>
      <c r="AG485" s="1521"/>
      <c r="AH485" s="1521"/>
      <c r="AI485" s="1521"/>
      <c r="AJ485" s="320"/>
      <c r="AK485" s="320"/>
      <c r="AL485" s="320"/>
      <c r="AM485" s="320"/>
      <c r="AN485" s="1523">
        <f t="shared" si="69"/>
        <v>0</v>
      </c>
      <c r="AO485" s="320"/>
      <c r="AP485" s="320"/>
      <c r="AQ485" s="1521"/>
      <c r="AR485" s="1521"/>
      <c r="AS485" s="1521">
        <v>25</v>
      </c>
      <c r="AT485" s="1521"/>
      <c r="AU485" s="1521"/>
      <c r="AV485" s="1521"/>
      <c r="AW485" s="320"/>
      <c r="AX485" s="161"/>
      <c r="AY485" s="1540"/>
      <c r="AZ485" s="1560" t="e">
        <f>#REF!-#REF!</f>
        <v>#REF!</v>
      </c>
      <c r="BA485" s="1560" t="e">
        <f>IF(C485="Scheme",IF(SUM(AJ485:AS485)&gt;0,IF(H485&lt;#REF!,H485-#REF!,0),0),0)</f>
        <v>#REF!</v>
      </c>
      <c r="BB485" s="1560">
        <f t="shared" si="70"/>
        <v>-25</v>
      </c>
      <c r="BC485" s="96" t="s">
        <v>256</v>
      </c>
      <c r="BD485" s="96" t="s">
        <v>1931</v>
      </c>
    </row>
    <row r="486" spans="1:56" ht="62" outlineLevel="1" x14ac:dyDescent="0.25">
      <c r="A486" s="1486">
        <v>5</v>
      </c>
      <c r="B486" s="1491" t="s">
        <v>2087</v>
      </c>
      <c r="C486" s="1486" t="s">
        <v>928</v>
      </c>
      <c r="D486" s="1488"/>
      <c r="E486" s="1495"/>
      <c r="F486" s="1413"/>
      <c r="G486" s="618"/>
      <c r="H486" s="1594">
        <v>26</v>
      </c>
      <c r="I486" s="161"/>
      <c r="J486" s="161"/>
      <c r="K486" s="1413"/>
      <c r="L486" s="1414"/>
      <c r="M486" s="1414"/>
      <c r="N486" s="1414"/>
      <c r="O486" s="1551"/>
      <c r="P486" s="1521"/>
      <c r="Q486" s="320"/>
      <c r="R486" s="320"/>
      <c r="S486" s="320"/>
      <c r="T486" s="320">
        <f t="shared" si="68"/>
        <v>0</v>
      </c>
      <c r="U486" s="320"/>
      <c r="V486" s="320"/>
      <c r="W486" s="1521"/>
      <c r="X486" s="1521"/>
      <c r="Y486" s="1521"/>
      <c r="Z486" s="1521"/>
      <c r="AA486" s="1521"/>
      <c r="AB486" s="1521"/>
      <c r="AC486" s="1521"/>
      <c r="AD486" s="1521"/>
      <c r="AE486" s="1521"/>
      <c r="AF486" s="1521"/>
      <c r="AG486" s="1521"/>
      <c r="AH486" s="1521"/>
      <c r="AI486" s="1521"/>
      <c r="AJ486" s="320"/>
      <c r="AK486" s="320"/>
      <c r="AL486" s="320"/>
      <c r="AM486" s="320"/>
      <c r="AN486" s="1523">
        <f t="shared" si="69"/>
        <v>0</v>
      </c>
      <c r="AO486" s="320"/>
      <c r="AP486" s="320"/>
      <c r="AQ486" s="1521"/>
      <c r="AR486" s="1521"/>
      <c r="AS486" s="1521"/>
      <c r="AT486" s="1521"/>
      <c r="AU486" s="1521"/>
      <c r="AV486" s="1521"/>
      <c r="AW486" s="320"/>
      <c r="AX486" s="161"/>
      <c r="AY486" s="1540"/>
      <c r="AZ486" s="1560" t="e">
        <f>#REF!-#REF!</f>
        <v>#REF!</v>
      </c>
      <c r="BA486" s="1560">
        <f>IF(C486="Scheme",IF(SUM(AJ486:AS486)&gt;0,IF(H486&lt;#REF!,H486-#REF!,0),0),0)</f>
        <v>0</v>
      </c>
      <c r="BB486" s="1560">
        <f t="shared" si="70"/>
        <v>0</v>
      </c>
    </row>
    <row r="487" spans="1:56" ht="84" outlineLevel="1" x14ac:dyDescent="0.3">
      <c r="A487" s="1492"/>
      <c r="B487" s="1492" t="s">
        <v>2088</v>
      </c>
      <c r="C487" s="1492" t="s">
        <v>936</v>
      </c>
      <c r="D487" s="1488"/>
      <c r="E487" s="1495"/>
      <c r="F487" s="1413"/>
      <c r="G487" s="618"/>
      <c r="H487" s="1417">
        <f>SUM(W487:AB487)</f>
        <v>26</v>
      </c>
      <c r="I487" s="161"/>
      <c r="J487" s="161"/>
      <c r="K487" s="1413"/>
      <c r="L487" s="1414"/>
      <c r="M487" s="1414"/>
      <c r="N487" s="1414"/>
      <c r="O487" s="1604" t="s">
        <v>2362</v>
      </c>
      <c r="P487" s="1521"/>
      <c r="Q487" s="320"/>
      <c r="R487" s="320"/>
      <c r="S487" s="320"/>
      <c r="T487" s="320">
        <f t="shared" si="68"/>
        <v>0</v>
      </c>
      <c r="U487" s="320"/>
      <c r="V487" s="320"/>
      <c r="W487" s="1521"/>
      <c r="X487" s="1521"/>
      <c r="Y487" s="1521">
        <v>26</v>
      </c>
      <c r="Z487" s="1521"/>
      <c r="AA487" s="1521"/>
      <c r="AB487" s="1521"/>
      <c r="AC487" s="1521"/>
      <c r="AD487" s="1521"/>
      <c r="AE487" s="1521"/>
      <c r="AF487" s="1521"/>
      <c r="AG487" s="1521"/>
      <c r="AH487" s="1521"/>
      <c r="AI487" s="1521"/>
      <c r="AJ487" s="320"/>
      <c r="AK487" s="320"/>
      <c r="AL487" s="320"/>
      <c r="AM487" s="320"/>
      <c r="AN487" s="1523">
        <f t="shared" si="69"/>
        <v>0</v>
      </c>
      <c r="AO487" s="320"/>
      <c r="AP487" s="320"/>
      <c r="AQ487" s="1521"/>
      <c r="AR487" s="1521"/>
      <c r="AS487" s="1521">
        <v>26</v>
      </c>
      <c r="AT487" s="1521"/>
      <c r="AU487" s="1521"/>
      <c r="AV487" s="1521"/>
      <c r="AW487" s="320"/>
      <c r="AX487" s="161"/>
      <c r="AY487" s="1540"/>
      <c r="AZ487" s="1560" t="e">
        <f>#REF!-#REF!</f>
        <v>#REF!</v>
      </c>
      <c r="BA487" s="1560" t="e">
        <f>IF(C487="Scheme",IF(SUM(AJ487:AS487)&gt;0,IF(H487&lt;#REF!,H487-#REF!,0),0),0)</f>
        <v>#REF!</v>
      </c>
      <c r="BB487" s="1560">
        <f t="shared" si="70"/>
        <v>-26</v>
      </c>
      <c r="BC487" s="96" t="s">
        <v>256</v>
      </c>
      <c r="BD487" s="96" t="s">
        <v>1931</v>
      </c>
    </row>
    <row r="488" spans="1:56" ht="31" outlineLevel="1" x14ac:dyDescent="0.25">
      <c r="A488" s="1486">
        <v>6</v>
      </c>
      <c r="B488" s="1491" t="s">
        <v>2089</v>
      </c>
      <c r="C488" s="1486" t="s">
        <v>928</v>
      </c>
      <c r="D488" s="1488"/>
      <c r="E488" s="1495"/>
      <c r="F488" s="1413"/>
      <c r="G488" s="618"/>
      <c r="H488" s="1594">
        <v>25</v>
      </c>
      <c r="I488" s="161"/>
      <c r="J488" s="161"/>
      <c r="K488" s="1413"/>
      <c r="L488" s="1414"/>
      <c r="M488" s="1414"/>
      <c r="N488" s="1414"/>
      <c r="O488" s="1551"/>
      <c r="P488" s="1521"/>
      <c r="Q488" s="320"/>
      <c r="R488" s="320"/>
      <c r="S488" s="320"/>
      <c r="T488" s="320">
        <f t="shared" si="68"/>
        <v>0</v>
      </c>
      <c r="U488" s="320"/>
      <c r="V488" s="320"/>
      <c r="W488" s="1521"/>
      <c r="X488" s="1521"/>
      <c r="Y488" s="1521"/>
      <c r="Z488" s="1521"/>
      <c r="AA488" s="1521"/>
      <c r="AB488" s="1521"/>
      <c r="AC488" s="1521"/>
      <c r="AD488" s="1521"/>
      <c r="AE488" s="1521"/>
      <c r="AF488" s="1521"/>
      <c r="AG488" s="1521"/>
      <c r="AH488" s="1521"/>
      <c r="AI488" s="1521"/>
      <c r="AJ488" s="320"/>
      <c r="AK488" s="320"/>
      <c r="AL488" s="320"/>
      <c r="AM488" s="320"/>
      <c r="AN488" s="1523">
        <f t="shared" si="69"/>
        <v>0</v>
      </c>
      <c r="AO488" s="320"/>
      <c r="AP488" s="320"/>
      <c r="AQ488" s="1521"/>
      <c r="AR488" s="1521"/>
      <c r="AS488" s="1521"/>
      <c r="AT488" s="1521"/>
      <c r="AU488" s="1521"/>
      <c r="AV488" s="1521"/>
      <c r="AW488" s="320"/>
      <c r="AX488" s="161"/>
      <c r="AY488" s="1540"/>
      <c r="AZ488" s="1560" t="e">
        <f>#REF!-#REF!</f>
        <v>#REF!</v>
      </c>
      <c r="BA488" s="1560">
        <f>IF(C488="Scheme",IF(SUM(AJ488:AS488)&gt;0,IF(H488&lt;#REF!,H488-#REF!,0),0),0)</f>
        <v>0</v>
      </c>
      <c r="BB488" s="1560">
        <f t="shared" si="70"/>
        <v>0</v>
      </c>
    </row>
    <row r="489" spans="1:56" ht="84" outlineLevel="1" x14ac:dyDescent="0.3">
      <c r="A489" s="1492"/>
      <c r="B489" s="1492" t="s">
        <v>2090</v>
      </c>
      <c r="C489" s="1492" t="s">
        <v>936</v>
      </c>
      <c r="D489" s="1488"/>
      <c r="E489" s="1495"/>
      <c r="F489" s="1413"/>
      <c r="G489" s="618"/>
      <c r="H489" s="1417">
        <f>SUM(W489:AB489)</f>
        <v>25</v>
      </c>
      <c r="I489" s="161"/>
      <c r="J489" s="161"/>
      <c r="K489" s="1413"/>
      <c r="L489" s="1414"/>
      <c r="M489" s="1414"/>
      <c r="N489" s="1414"/>
      <c r="O489" s="1604" t="s">
        <v>2362</v>
      </c>
      <c r="P489" s="1521"/>
      <c r="Q489" s="320"/>
      <c r="R489" s="320"/>
      <c r="S489" s="320"/>
      <c r="T489" s="320">
        <f t="shared" si="68"/>
        <v>0</v>
      </c>
      <c r="U489" s="320"/>
      <c r="V489" s="320"/>
      <c r="W489" s="1521"/>
      <c r="X489" s="1521"/>
      <c r="Y489" s="1521"/>
      <c r="Z489" s="1521">
        <v>25</v>
      </c>
      <c r="AA489" s="1521"/>
      <c r="AB489" s="1521"/>
      <c r="AC489" s="1521"/>
      <c r="AD489" s="1521"/>
      <c r="AE489" s="1521"/>
      <c r="AF489" s="1521"/>
      <c r="AG489" s="1521"/>
      <c r="AH489" s="1521"/>
      <c r="AI489" s="1521"/>
      <c r="AJ489" s="320"/>
      <c r="AK489" s="320"/>
      <c r="AL489" s="320"/>
      <c r="AM489" s="320"/>
      <c r="AN489" s="1523">
        <f t="shared" si="69"/>
        <v>0</v>
      </c>
      <c r="AO489" s="320"/>
      <c r="AP489" s="320"/>
      <c r="AQ489" s="1521"/>
      <c r="AR489" s="1521"/>
      <c r="AS489" s="1521"/>
      <c r="AT489" s="1521">
        <v>25</v>
      </c>
      <c r="AU489" s="1521"/>
      <c r="AV489" s="1521"/>
      <c r="AW489" s="320"/>
      <c r="AX489" s="161"/>
      <c r="AY489" s="1540"/>
      <c r="AZ489" s="1560" t="e">
        <f>#REF!-#REF!</f>
        <v>#REF!</v>
      </c>
      <c r="BA489" s="1560">
        <f>IF(C489="Scheme",IF(SUM(AJ489:AS489)&gt;0,IF(H489&lt;#REF!,H489-#REF!,0),0),0)</f>
        <v>0</v>
      </c>
      <c r="BB489" s="1560">
        <f t="shared" si="70"/>
        <v>0</v>
      </c>
      <c r="BC489" s="96" t="s">
        <v>256</v>
      </c>
      <c r="BD489" s="96" t="s">
        <v>1931</v>
      </c>
    </row>
    <row r="490" spans="1:56" ht="31" outlineLevel="1" x14ac:dyDescent="0.25">
      <c r="A490" s="1486">
        <v>7</v>
      </c>
      <c r="B490" s="1491" t="s">
        <v>2091</v>
      </c>
      <c r="C490" s="1486" t="s">
        <v>928</v>
      </c>
      <c r="D490" s="1488"/>
      <c r="E490" s="1495"/>
      <c r="F490" s="1413"/>
      <c r="G490" s="618"/>
      <c r="H490" s="1594">
        <v>25</v>
      </c>
      <c r="I490" s="161"/>
      <c r="J490" s="161"/>
      <c r="K490" s="1413"/>
      <c r="L490" s="1414"/>
      <c r="M490" s="1414"/>
      <c r="N490" s="1414"/>
      <c r="O490" s="1551"/>
      <c r="P490" s="1521"/>
      <c r="Q490" s="320"/>
      <c r="R490" s="320"/>
      <c r="S490" s="320"/>
      <c r="T490" s="320">
        <f t="shared" si="68"/>
        <v>0</v>
      </c>
      <c r="U490" s="320"/>
      <c r="V490" s="320"/>
      <c r="W490" s="1521"/>
      <c r="X490" s="1521"/>
      <c r="Y490" s="1521"/>
      <c r="Z490" s="1521"/>
      <c r="AA490" s="1521"/>
      <c r="AB490" s="1521"/>
      <c r="AC490" s="1521"/>
      <c r="AD490" s="1521"/>
      <c r="AE490" s="1521"/>
      <c r="AF490" s="1521"/>
      <c r="AG490" s="1521"/>
      <c r="AH490" s="1521"/>
      <c r="AI490" s="1521"/>
      <c r="AJ490" s="320"/>
      <c r="AK490" s="320"/>
      <c r="AL490" s="320"/>
      <c r="AM490" s="320"/>
      <c r="AN490" s="1523">
        <f t="shared" si="69"/>
        <v>0</v>
      </c>
      <c r="AO490" s="320"/>
      <c r="AP490" s="320"/>
      <c r="AQ490" s="1521"/>
      <c r="AR490" s="1521"/>
      <c r="AS490" s="1521"/>
      <c r="AT490" s="1521"/>
      <c r="AU490" s="1521"/>
      <c r="AV490" s="1521"/>
      <c r="AW490" s="320"/>
      <c r="AX490" s="161"/>
      <c r="AY490" s="1540"/>
      <c r="AZ490" s="1560" t="e">
        <f>#REF!-#REF!</f>
        <v>#REF!</v>
      </c>
      <c r="BA490" s="1560">
        <f>IF(C490="Scheme",IF(SUM(AJ490:AS490)&gt;0,IF(H490&lt;#REF!,H490-#REF!,0),0),0)</f>
        <v>0</v>
      </c>
      <c r="BB490" s="1560">
        <f t="shared" si="70"/>
        <v>0</v>
      </c>
    </row>
    <row r="491" spans="1:56" ht="105" customHeight="1" outlineLevel="1" x14ac:dyDescent="0.3">
      <c r="A491" s="1492"/>
      <c r="B491" s="1492" t="s">
        <v>2092</v>
      </c>
      <c r="C491" s="1492" t="s">
        <v>936</v>
      </c>
      <c r="D491" s="1488"/>
      <c r="E491" s="1495"/>
      <c r="F491" s="1413"/>
      <c r="G491" s="618"/>
      <c r="H491" s="1417">
        <f>SUM(W491:AB491)</f>
        <v>25</v>
      </c>
      <c r="I491" s="161"/>
      <c r="J491" s="161"/>
      <c r="K491" s="1413"/>
      <c r="L491" s="1414"/>
      <c r="M491" s="1414"/>
      <c r="N491" s="1414"/>
      <c r="O491" s="1604" t="s">
        <v>2363</v>
      </c>
      <c r="P491" s="1521"/>
      <c r="Q491" s="320"/>
      <c r="R491" s="320"/>
      <c r="S491" s="320"/>
      <c r="T491" s="320">
        <f t="shared" si="68"/>
        <v>0</v>
      </c>
      <c r="U491" s="320"/>
      <c r="V491" s="320"/>
      <c r="W491" s="1521"/>
      <c r="X491" s="1521"/>
      <c r="Y491" s="1521"/>
      <c r="Z491" s="1521"/>
      <c r="AA491" s="1521">
        <v>25</v>
      </c>
      <c r="AB491" s="1521"/>
      <c r="AC491" s="1521"/>
      <c r="AD491" s="1521"/>
      <c r="AE491" s="1521"/>
      <c r="AF491" s="1521"/>
      <c r="AG491" s="1521"/>
      <c r="AH491" s="1521"/>
      <c r="AI491" s="1521"/>
      <c r="AJ491" s="320"/>
      <c r="AK491" s="320"/>
      <c r="AL491" s="320"/>
      <c r="AM491" s="320"/>
      <c r="AN491" s="1523">
        <f t="shared" si="69"/>
        <v>0</v>
      </c>
      <c r="AO491" s="320"/>
      <c r="AP491" s="320"/>
      <c r="AQ491" s="1521"/>
      <c r="AR491" s="1521"/>
      <c r="AS491" s="1521"/>
      <c r="AT491" s="1521"/>
      <c r="AU491" s="1521">
        <v>25</v>
      </c>
      <c r="AV491" s="1521"/>
      <c r="AW491" s="320"/>
      <c r="AX491" s="161"/>
      <c r="AY491" s="1540"/>
      <c r="AZ491" s="1560" t="e">
        <f>#REF!-#REF!</f>
        <v>#REF!</v>
      </c>
      <c r="BA491" s="1560">
        <f>IF(C491="Scheme",IF(SUM(AJ491:AS491)&gt;0,IF(H491&lt;#REF!,H491-#REF!,0),0),0)</f>
        <v>0</v>
      </c>
      <c r="BB491" s="1560">
        <f t="shared" si="70"/>
        <v>0</v>
      </c>
      <c r="BC491" s="96" t="s">
        <v>256</v>
      </c>
      <c r="BD491" s="96" t="s">
        <v>1931</v>
      </c>
    </row>
    <row r="492" spans="1:56" ht="46.5" outlineLevel="1" x14ac:dyDescent="0.25">
      <c r="A492" s="1486">
        <v>8</v>
      </c>
      <c r="B492" s="1491" t="s">
        <v>2093</v>
      </c>
      <c r="C492" s="1486" t="s">
        <v>928</v>
      </c>
      <c r="D492" s="1488"/>
      <c r="E492" s="1495"/>
      <c r="F492" s="1413"/>
      <c r="G492" s="618"/>
      <c r="H492" s="1594">
        <v>30</v>
      </c>
      <c r="I492" s="161"/>
      <c r="J492" s="161"/>
      <c r="K492" s="1413"/>
      <c r="L492" s="1414"/>
      <c r="M492" s="1414"/>
      <c r="N492" s="1414"/>
      <c r="O492" s="1551"/>
      <c r="P492" s="1521"/>
      <c r="Q492" s="320"/>
      <c r="R492" s="320"/>
      <c r="S492" s="320"/>
      <c r="T492" s="320">
        <f t="shared" si="68"/>
        <v>0</v>
      </c>
      <c r="U492" s="320"/>
      <c r="V492" s="320"/>
      <c r="W492" s="1521"/>
      <c r="X492" s="1521"/>
      <c r="Y492" s="1521"/>
      <c r="Z492" s="1521"/>
      <c r="AA492" s="1521"/>
      <c r="AB492" s="1521"/>
      <c r="AC492" s="1521"/>
      <c r="AD492" s="1521"/>
      <c r="AE492" s="1521"/>
      <c r="AF492" s="1521"/>
      <c r="AG492" s="1521"/>
      <c r="AH492" s="1521"/>
      <c r="AI492" s="1521"/>
      <c r="AJ492" s="320"/>
      <c r="AK492" s="320"/>
      <c r="AL492" s="320"/>
      <c r="AM492" s="320"/>
      <c r="AN492" s="1523">
        <f t="shared" si="69"/>
        <v>0</v>
      </c>
      <c r="AO492" s="320"/>
      <c r="AP492" s="320"/>
      <c r="AQ492" s="1521"/>
      <c r="AR492" s="1521"/>
      <c r="AS492" s="1521"/>
      <c r="AT492" s="1521"/>
      <c r="AU492" s="1521"/>
      <c r="AV492" s="1521"/>
      <c r="AW492" s="320"/>
      <c r="AX492" s="161"/>
      <c r="AY492" s="1540"/>
      <c r="AZ492" s="1560"/>
      <c r="BA492" s="1560"/>
      <c r="BB492" s="1560"/>
      <c r="BC492" s="96" t="s">
        <v>256</v>
      </c>
      <c r="BD492" s="96" t="s">
        <v>1931</v>
      </c>
    </row>
    <row r="493" spans="1:56" ht="195" customHeight="1" outlineLevel="1" x14ac:dyDescent="0.3">
      <c r="A493" s="1492"/>
      <c r="B493" s="1492" t="s">
        <v>2093</v>
      </c>
      <c r="C493" s="1492" t="s">
        <v>936</v>
      </c>
      <c r="D493" s="1488"/>
      <c r="E493" s="1495"/>
      <c r="F493" s="1413"/>
      <c r="G493" s="618"/>
      <c r="H493" s="1417">
        <f>SUM(W493:AB493)</f>
        <v>30</v>
      </c>
      <c r="I493" s="161"/>
      <c r="J493" s="161"/>
      <c r="K493" s="1413"/>
      <c r="L493" s="1414"/>
      <c r="M493" s="1414"/>
      <c r="N493" s="1414"/>
      <c r="O493" s="1604" t="s">
        <v>2364</v>
      </c>
      <c r="P493" s="1521"/>
      <c r="Q493" s="320"/>
      <c r="R493" s="320"/>
      <c r="S493" s="320"/>
      <c r="T493" s="320">
        <f t="shared" si="68"/>
        <v>0</v>
      </c>
      <c r="U493" s="320"/>
      <c r="V493" s="320"/>
      <c r="W493" s="1521"/>
      <c r="X493" s="1521"/>
      <c r="Y493" s="1521">
        <v>30</v>
      </c>
      <c r="Z493" s="1521"/>
      <c r="AA493" s="1521"/>
      <c r="AB493" s="1521"/>
      <c r="AC493" s="1521"/>
      <c r="AD493" s="1521"/>
      <c r="AE493" s="1521"/>
      <c r="AF493" s="1521"/>
      <c r="AG493" s="1521"/>
      <c r="AH493" s="1521"/>
      <c r="AI493" s="1521"/>
      <c r="AJ493" s="320"/>
      <c r="AK493" s="320"/>
      <c r="AL493" s="320"/>
      <c r="AM493" s="320"/>
      <c r="AN493" s="1523">
        <f t="shared" si="69"/>
        <v>0</v>
      </c>
      <c r="AO493" s="320"/>
      <c r="AP493" s="320"/>
      <c r="AQ493" s="1521"/>
      <c r="AR493" s="1521"/>
      <c r="AS493" s="1521">
        <v>30</v>
      </c>
      <c r="AT493" s="1521"/>
      <c r="AU493" s="1521"/>
      <c r="AV493" s="1521"/>
      <c r="AW493" s="320"/>
      <c r="AX493" s="161"/>
      <c r="AY493" s="1540"/>
      <c r="AZ493" s="1560"/>
      <c r="BA493" s="1560"/>
      <c r="BB493" s="1560"/>
      <c r="BC493" s="96" t="s">
        <v>256</v>
      </c>
      <c r="BD493" s="96" t="s">
        <v>1931</v>
      </c>
    </row>
    <row r="494" spans="1:56" ht="15.5" outlineLevel="1" x14ac:dyDescent="0.25">
      <c r="A494" s="1504"/>
      <c r="B494" s="1504" t="s">
        <v>2094</v>
      </c>
      <c r="C494" s="1504"/>
      <c r="D494" s="1488"/>
      <c r="E494" s="1495"/>
      <c r="F494" s="1413"/>
      <c r="G494" s="618"/>
      <c r="H494" s="161"/>
      <c r="I494" s="161"/>
      <c r="J494" s="161"/>
      <c r="K494" s="1413"/>
      <c r="L494" s="1414"/>
      <c r="M494" s="1414"/>
      <c r="N494" s="1414"/>
      <c r="O494" s="1551"/>
      <c r="P494" s="1521"/>
      <c r="Q494" s="320"/>
      <c r="R494" s="320"/>
      <c r="S494" s="320"/>
      <c r="T494" s="320">
        <f t="shared" si="68"/>
        <v>0</v>
      </c>
      <c r="U494" s="320"/>
      <c r="V494" s="320"/>
      <c r="W494" s="1521"/>
      <c r="X494" s="1521"/>
      <c r="Y494" s="1521"/>
      <c r="Z494" s="1521"/>
      <c r="AA494" s="1521"/>
      <c r="AB494" s="1521"/>
      <c r="AC494" s="1521"/>
      <c r="AD494" s="1521"/>
      <c r="AE494" s="1521"/>
      <c r="AF494" s="1521"/>
      <c r="AG494" s="1521"/>
      <c r="AH494" s="1521"/>
      <c r="AI494" s="1521"/>
      <c r="AJ494" s="320"/>
      <c r="AK494" s="320"/>
      <c r="AL494" s="320"/>
      <c r="AM494" s="320"/>
      <c r="AN494" s="1523">
        <f t="shared" si="69"/>
        <v>0</v>
      </c>
      <c r="AO494" s="320"/>
      <c r="AP494" s="320"/>
      <c r="AQ494" s="1521"/>
      <c r="AR494" s="1521"/>
      <c r="AS494" s="1521"/>
      <c r="AT494" s="1521"/>
      <c r="AU494" s="1521"/>
      <c r="AV494" s="1521"/>
      <c r="AW494" s="320"/>
      <c r="AX494" s="161"/>
      <c r="AY494" s="1540"/>
      <c r="AZ494" s="1560" t="e">
        <f>#REF!-#REF!</f>
        <v>#REF!</v>
      </c>
      <c r="BA494" s="1560">
        <f>IF(C494="Scheme",IF(SUM(AJ494:AS494)&gt;0,IF(H494&lt;#REF!,H494-#REF!,0),0),0)</f>
        <v>0</v>
      </c>
      <c r="BB494" s="1560">
        <f t="shared" ref="BB494:BB513" si="71">IF(C494="scheme",G494-SUM(AJ494:AS494),0)</f>
        <v>0</v>
      </c>
    </row>
    <row r="495" spans="1:56" ht="31" outlineLevel="1" x14ac:dyDescent="0.25">
      <c r="A495" s="1486">
        <v>1</v>
      </c>
      <c r="B495" s="1491" t="s">
        <v>2095</v>
      </c>
      <c r="C495" s="1486" t="s">
        <v>928</v>
      </c>
      <c r="D495" s="1488"/>
      <c r="E495" s="1495"/>
      <c r="F495" s="1413"/>
      <c r="G495" s="618"/>
      <c r="H495" s="1594">
        <v>30</v>
      </c>
      <c r="I495" s="161"/>
      <c r="J495" s="161"/>
      <c r="K495" s="1413"/>
      <c r="L495" s="1414"/>
      <c r="M495" s="1414"/>
      <c r="N495" s="1414"/>
      <c r="O495" s="1551"/>
      <c r="P495" s="1521"/>
      <c r="Q495" s="320"/>
      <c r="R495" s="320"/>
      <c r="S495" s="320"/>
      <c r="T495" s="320">
        <f t="shared" si="68"/>
        <v>0</v>
      </c>
      <c r="U495" s="320"/>
      <c r="V495" s="320"/>
      <c r="W495" s="1521"/>
      <c r="X495" s="1521"/>
      <c r="Y495" s="1521"/>
      <c r="Z495" s="1521"/>
      <c r="AA495" s="1521"/>
      <c r="AB495" s="1521"/>
      <c r="AC495" s="1521"/>
      <c r="AD495" s="1521"/>
      <c r="AE495" s="1521"/>
      <c r="AF495" s="1521"/>
      <c r="AG495" s="1521"/>
      <c r="AH495" s="1521"/>
      <c r="AI495" s="1521"/>
      <c r="AJ495" s="320"/>
      <c r="AK495" s="320"/>
      <c r="AL495" s="320"/>
      <c r="AM495" s="320"/>
      <c r="AN495" s="1523">
        <f t="shared" si="69"/>
        <v>0</v>
      </c>
      <c r="AO495" s="320"/>
      <c r="AP495" s="320"/>
      <c r="AQ495" s="1521"/>
      <c r="AR495" s="1521"/>
      <c r="AS495" s="1521"/>
      <c r="AT495" s="1521"/>
      <c r="AU495" s="1521"/>
      <c r="AV495" s="1521"/>
      <c r="AW495" s="320"/>
      <c r="AX495" s="161"/>
      <c r="AY495" s="1540"/>
      <c r="AZ495" s="1560" t="e">
        <f>#REF!-#REF!</f>
        <v>#REF!</v>
      </c>
      <c r="BA495" s="1560">
        <f>IF(C495="Scheme",IF(SUM(AJ495:AS495)&gt;0,IF(H495&lt;#REF!,H495-#REF!,0),0),0)</f>
        <v>0</v>
      </c>
      <c r="BB495" s="1560">
        <f t="shared" si="71"/>
        <v>0</v>
      </c>
    </row>
    <row r="496" spans="1:56" ht="31" outlineLevel="1" x14ac:dyDescent="0.25">
      <c r="A496" s="1492"/>
      <c r="B496" s="1492" t="s">
        <v>2096</v>
      </c>
      <c r="C496" s="1492" t="s">
        <v>936</v>
      </c>
      <c r="D496" s="1488"/>
      <c r="E496" s="1495"/>
      <c r="F496" s="1413"/>
      <c r="G496" s="618"/>
      <c r="H496" s="1417">
        <f>SUM(W496:AB496)</f>
        <v>30</v>
      </c>
      <c r="I496" s="161"/>
      <c r="J496" s="161"/>
      <c r="K496" s="1413"/>
      <c r="L496" s="1414"/>
      <c r="M496" s="1414"/>
      <c r="N496" s="1414"/>
      <c r="O496" s="1551" t="s">
        <v>2365</v>
      </c>
      <c r="P496" s="1521"/>
      <c r="Q496" s="320"/>
      <c r="R496" s="320"/>
      <c r="S496" s="320"/>
      <c r="T496" s="320">
        <f t="shared" si="68"/>
        <v>0</v>
      </c>
      <c r="U496" s="320"/>
      <c r="V496" s="320"/>
      <c r="W496" s="1521"/>
      <c r="X496" s="1521">
        <v>30</v>
      </c>
      <c r="Y496" s="1521"/>
      <c r="Z496" s="1521"/>
      <c r="AA496" s="1521"/>
      <c r="AB496" s="1521"/>
      <c r="AC496" s="1521"/>
      <c r="AD496" s="1521"/>
      <c r="AE496" s="1521"/>
      <c r="AF496" s="1521"/>
      <c r="AG496" s="1521"/>
      <c r="AH496" s="1521"/>
      <c r="AI496" s="1521"/>
      <c r="AJ496" s="320"/>
      <c r="AK496" s="320"/>
      <c r="AL496" s="320"/>
      <c r="AM496" s="320"/>
      <c r="AN496" s="1523">
        <f t="shared" si="69"/>
        <v>0</v>
      </c>
      <c r="AO496" s="320"/>
      <c r="AP496" s="320"/>
      <c r="AQ496" s="1521"/>
      <c r="AR496" s="1521">
        <v>30</v>
      </c>
      <c r="AS496" s="1521"/>
      <c r="AT496" s="1521"/>
      <c r="AU496" s="1521"/>
      <c r="AV496" s="1521"/>
      <c r="AW496" s="320"/>
      <c r="AX496" s="161"/>
      <c r="AY496" s="1540"/>
      <c r="AZ496" s="1560" t="e">
        <f>#REF!-#REF!</f>
        <v>#REF!</v>
      </c>
      <c r="BA496" s="1560" t="e">
        <f>IF(C496="Scheme",IF(SUM(AJ496:AS496)&gt;0,IF(H496&lt;#REF!,H496-#REF!,0),0),0)</f>
        <v>#REF!</v>
      </c>
      <c r="BB496" s="1560">
        <f t="shared" si="71"/>
        <v>-30</v>
      </c>
      <c r="BC496" s="96" t="s">
        <v>256</v>
      </c>
      <c r="BD496" s="96" t="s">
        <v>1931</v>
      </c>
    </row>
    <row r="497" spans="1:56" ht="31" outlineLevel="1" x14ac:dyDescent="0.25">
      <c r="A497" s="1486">
        <v>2</v>
      </c>
      <c r="B497" s="1491" t="s">
        <v>2097</v>
      </c>
      <c r="C497" s="1486" t="s">
        <v>928</v>
      </c>
      <c r="D497" s="1488"/>
      <c r="E497" s="1495"/>
      <c r="F497" s="1413"/>
      <c r="G497" s="618"/>
      <c r="H497" s="1594">
        <v>40</v>
      </c>
      <c r="I497" s="161"/>
      <c r="J497" s="161"/>
      <c r="K497" s="1413"/>
      <c r="L497" s="1414"/>
      <c r="M497" s="1414"/>
      <c r="N497" s="1414"/>
      <c r="O497" s="1551"/>
      <c r="P497" s="1521"/>
      <c r="Q497" s="320"/>
      <c r="R497" s="320"/>
      <c r="S497" s="320"/>
      <c r="T497" s="320">
        <f t="shared" si="68"/>
        <v>0</v>
      </c>
      <c r="U497" s="320"/>
      <c r="V497" s="320"/>
      <c r="W497" s="1521"/>
      <c r="X497" s="1521"/>
      <c r="Y497" s="1595"/>
      <c r="Z497" s="1595"/>
      <c r="AA497" s="1521"/>
      <c r="AB497" s="1521"/>
      <c r="AC497" s="1521"/>
      <c r="AD497" s="1521"/>
      <c r="AE497" s="1521"/>
      <c r="AF497" s="1521"/>
      <c r="AG497" s="1521"/>
      <c r="AH497" s="1521"/>
      <c r="AI497" s="1521"/>
      <c r="AJ497" s="320"/>
      <c r="AK497" s="320"/>
      <c r="AL497" s="320"/>
      <c r="AM497" s="320"/>
      <c r="AN497" s="1523">
        <f t="shared" si="69"/>
        <v>0</v>
      </c>
      <c r="AO497" s="320"/>
      <c r="AP497" s="320"/>
      <c r="AQ497" s="1521"/>
      <c r="AR497" s="1521"/>
      <c r="AS497" s="1595"/>
      <c r="AT497" s="1595"/>
      <c r="AU497" s="1521"/>
      <c r="AV497" s="1521"/>
      <c r="AW497" s="320"/>
      <c r="AX497" s="161"/>
      <c r="AY497" s="1540"/>
      <c r="AZ497" s="1560" t="e">
        <f>#REF!-#REF!</f>
        <v>#REF!</v>
      </c>
      <c r="BA497" s="1560">
        <f>IF(C497="Scheme",IF(SUM(AJ497:AS497)&gt;0,IF(H497&lt;#REF!,H497-#REF!,0),0),0)</f>
        <v>0</v>
      </c>
      <c r="BB497" s="1560">
        <f t="shared" si="71"/>
        <v>0</v>
      </c>
    </row>
    <row r="498" spans="1:56" ht="31" outlineLevel="1" x14ac:dyDescent="0.25">
      <c r="A498" s="1492"/>
      <c r="B498" s="1492" t="s">
        <v>2097</v>
      </c>
      <c r="C498" s="1492" t="s">
        <v>936</v>
      </c>
      <c r="D498" s="1488"/>
      <c r="E498" s="1495"/>
      <c r="F498" s="1413"/>
      <c r="G498" s="618"/>
      <c r="H498" s="1417">
        <f>SUM(W498:AB498)</f>
        <v>40</v>
      </c>
      <c r="I498" s="161"/>
      <c r="J498" s="161"/>
      <c r="K498" s="1413"/>
      <c r="L498" s="1414"/>
      <c r="M498" s="1414"/>
      <c r="N498" s="1414"/>
      <c r="O498" s="1551" t="s">
        <v>2366</v>
      </c>
      <c r="P498" s="1521"/>
      <c r="Q498" s="320"/>
      <c r="R498" s="320"/>
      <c r="S498" s="320"/>
      <c r="T498" s="320">
        <f t="shared" si="68"/>
        <v>0</v>
      </c>
      <c r="U498" s="320"/>
      <c r="V498" s="320"/>
      <c r="W498" s="1521"/>
      <c r="X498" s="1521"/>
      <c r="Y498" s="1595"/>
      <c r="Z498" s="1595">
        <v>40</v>
      </c>
      <c r="AA498" s="1521"/>
      <c r="AB498" s="1521"/>
      <c r="AC498" s="1521"/>
      <c r="AD498" s="1521"/>
      <c r="AE498" s="1521"/>
      <c r="AF498" s="1521"/>
      <c r="AG498" s="1521"/>
      <c r="AH498" s="1521"/>
      <c r="AI498" s="1521"/>
      <c r="AJ498" s="320"/>
      <c r="AK498" s="320"/>
      <c r="AL498" s="320"/>
      <c r="AM498" s="320"/>
      <c r="AN498" s="1523">
        <f t="shared" si="69"/>
        <v>0</v>
      </c>
      <c r="AO498" s="320"/>
      <c r="AP498" s="320"/>
      <c r="AQ498" s="1521"/>
      <c r="AR498" s="1521"/>
      <c r="AS498" s="1595"/>
      <c r="AT498" s="1595">
        <v>40</v>
      </c>
      <c r="AU498" s="1521"/>
      <c r="AV498" s="1521"/>
      <c r="AW498" s="320"/>
      <c r="AX498" s="161"/>
      <c r="AY498" s="1540"/>
      <c r="AZ498" s="1560" t="e">
        <f>#REF!-#REF!</f>
        <v>#REF!</v>
      </c>
      <c r="BA498" s="1560">
        <f>IF(C498="Scheme",IF(SUM(AJ498:AS498)&gt;0,IF(H498&lt;#REF!,H498-#REF!,0),0),0)</f>
        <v>0</v>
      </c>
      <c r="BB498" s="1560">
        <f t="shared" si="71"/>
        <v>0</v>
      </c>
      <c r="BC498" s="96" t="s">
        <v>256</v>
      </c>
      <c r="BD498" s="96" t="s">
        <v>1931</v>
      </c>
    </row>
    <row r="499" spans="1:56" ht="62" outlineLevel="1" x14ac:dyDescent="0.25">
      <c r="A499" s="1486">
        <v>3</v>
      </c>
      <c r="B499" s="1491" t="s">
        <v>2098</v>
      </c>
      <c r="C499" s="1486" t="s">
        <v>928</v>
      </c>
      <c r="D499" s="1488"/>
      <c r="E499" s="1495"/>
      <c r="F499" s="1413"/>
      <c r="G499" s="618"/>
      <c r="H499" s="1597">
        <f>SUM(H500:H504)</f>
        <v>26.1</v>
      </c>
      <c r="I499" s="161"/>
      <c r="J499" s="161"/>
      <c r="K499" s="1413"/>
      <c r="L499" s="1414"/>
      <c r="M499" s="1414"/>
      <c r="N499" s="1414"/>
      <c r="O499" s="1551"/>
      <c r="P499" s="1521"/>
      <c r="Q499" s="320"/>
      <c r="R499" s="320"/>
      <c r="S499" s="320"/>
      <c r="T499" s="320">
        <f t="shared" si="68"/>
        <v>0</v>
      </c>
      <c r="U499" s="320"/>
      <c r="V499" s="320"/>
      <c r="W499" s="1521"/>
      <c r="X499" s="1521"/>
      <c r="Y499" s="1521"/>
      <c r="Z499" s="1521"/>
      <c r="AA499" s="1521"/>
      <c r="AB499" s="1521"/>
      <c r="AC499" s="1521"/>
      <c r="AD499" s="1521"/>
      <c r="AE499" s="1521"/>
      <c r="AF499" s="1521"/>
      <c r="AG499" s="1521"/>
      <c r="AH499" s="1521"/>
      <c r="AI499" s="1521"/>
      <c r="AJ499" s="320"/>
      <c r="AK499" s="320"/>
      <c r="AL499" s="320"/>
      <c r="AM499" s="320"/>
      <c r="AN499" s="1523">
        <f t="shared" si="69"/>
        <v>0</v>
      </c>
      <c r="AO499" s="320"/>
      <c r="AP499" s="320"/>
      <c r="AQ499" s="1521"/>
      <c r="AR499" s="1521"/>
      <c r="AS499" s="1521"/>
      <c r="AT499" s="1521"/>
      <c r="AU499" s="1521"/>
      <c r="AV499" s="1521"/>
      <c r="AW499" s="320"/>
      <c r="AX499" s="161"/>
      <c r="AY499" s="1540"/>
      <c r="AZ499" s="1560" t="e">
        <f>#REF!-#REF!</f>
        <v>#REF!</v>
      </c>
      <c r="BA499" s="1560">
        <f>IF(C499="Scheme",IF(SUM(AJ499:AS499)&gt;0,IF(H499&lt;#REF!,H499-#REF!,0),0),0)</f>
        <v>0</v>
      </c>
      <c r="BB499" s="1560">
        <f t="shared" si="71"/>
        <v>0</v>
      </c>
    </row>
    <row r="500" spans="1:56" ht="150" customHeight="1" outlineLevel="1" x14ac:dyDescent="0.25">
      <c r="A500" s="1492"/>
      <c r="B500" s="1492" t="s">
        <v>2099</v>
      </c>
      <c r="C500" s="1492" t="s">
        <v>936</v>
      </c>
      <c r="D500" s="1488"/>
      <c r="E500" s="1495"/>
      <c r="F500" s="1413"/>
      <c r="G500" s="618"/>
      <c r="H500" s="1417">
        <f>SUM(W500:AB500)</f>
        <v>4.5</v>
      </c>
      <c r="I500" s="161"/>
      <c r="J500" s="161"/>
      <c r="K500" s="1413"/>
      <c r="L500" s="1414"/>
      <c r="M500" s="1414"/>
      <c r="N500" s="1414"/>
      <c r="O500" s="1551" t="s">
        <v>2367</v>
      </c>
      <c r="P500" s="1521"/>
      <c r="Q500" s="320"/>
      <c r="R500" s="320"/>
      <c r="S500" s="320"/>
      <c r="T500" s="320">
        <f t="shared" si="68"/>
        <v>0</v>
      </c>
      <c r="U500" s="320"/>
      <c r="V500" s="320"/>
      <c r="W500" s="1521"/>
      <c r="X500" s="1521"/>
      <c r="Y500" s="1595">
        <v>4.5</v>
      </c>
      <c r="Z500" s="1521"/>
      <c r="AA500" s="1521"/>
      <c r="AB500" s="1521"/>
      <c r="AC500" s="1521"/>
      <c r="AD500" s="1521"/>
      <c r="AE500" s="1521"/>
      <c r="AF500" s="1521"/>
      <c r="AG500" s="1521"/>
      <c r="AH500" s="1521"/>
      <c r="AI500" s="1521"/>
      <c r="AJ500" s="320"/>
      <c r="AK500" s="320"/>
      <c r="AL500" s="320"/>
      <c r="AM500" s="320"/>
      <c r="AN500" s="1523">
        <f t="shared" si="69"/>
        <v>0</v>
      </c>
      <c r="AO500" s="320"/>
      <c r="AP500" s="320"/>
      <c r="AQ500" s="1521"/>
      <c r="AR500" s="1521"/>
      <c r="AS500" s="1595">
        <v>4.5</v>
      </c>
      <c r="AT500" s="1521"/>
      <c r="AU500" s="1521"/>
      <c r="AV500" s="1521"/>
      <c r="AW500" s="320"/>
      <c r="AX500" s="161"/>
      <c r="AY500" s="1540"/>
      <c r="AZ500" s="1560" t="e">
        <f>#REF!-#REF!</f>
        <v>#REF!</v>
      </c>
      <c r="BA500" s="1560" t="e">
        <f>IF(C500="Scheme",IF(SUM(AJ500:AS500)&gt;0,IF(H500&lt;#REF!,H500-#REF!,0),0),0)</f>
        <v>#REF!</v>
      </c>
      <c r="BB500" s="1560">
        <f t="shared" si="71"/>
        <v>-4.5</v>
      </c>
      <c r="BC500" s="96" t="s">
        <v>256</v>
      </c>
      <c r="BD500" s="96" t="s">
        <v>1931</v>
      </c>
    </row>
    <row r="501" spans="1:56" ht="409.5" customHeight="1" outlineLevel="1" x14ac:dyDescent="0.25">
      <c r="A501" s="1492"/>
      <c r="B501" s="1492" t="s">
        <v>2100</v>
      </c>
      <c r="C501" s="1492" t="s">
        <v>936</v>
      </c>
      <c r="D501" s="1488"/>
      <c r="E501" s="1495"/>
      <c r="F501" s="1413"/>
      <c r="G501" s="618"/>
      <c r="H501" s="1417">
        <f>SUM(W501:AB501)</f>
        <v>5.5</v>
      </c>
      <c r="I501" s="161"/>
      <c r="J501" s="161"/>
      <c r="K501" s="1413"/>
      <c r="L501" s="1414"/>
      <c r="M501" s="1414"/>
      <c r="N501" s="1414"/>
      <c r="O501" s="1551" t="s">
        <v>2368</v>
      </c>
      <c r="P501" s="1521"/>
      <c r="Q501" s="320"/>
      <c r="R501" s="320"/>
      <c r="S501" s="320"/>
      <c r="T501" s="320">
        <f t="shared" si="68"/>
        <v>0</v>
      </c>
      <c r="U501" s="320"/>
      <c r="V501" s="320"/>
      <c r="W501" s="1521"/>
      <c r="X501" s="1521"/>
      <c r="Y501" s="1595">
        <v>5.5</v>
      </c>
      <c r="Z501" s="1521"/>
      <c r="AA501" s="1521"/>
      <c r="AB501" s="1521"/>
      <c r="AC501" s="1521"/>
      <c r="AD501" s="1521"/>
      <c r="AE501" s="1521"/>
      <c r="AF501" s="1521"/>
      <c r="AG501" s="1521"/>
      <c r="AH501" s="1521"/>
      <c r="AI501" s="1521"/>
      <c r="AJ501" s="320"/>
      <c r="AK501" s="320"/>
      <c r="AL501" s="320"/>
      <c r="AM501" s="320"/>
      <c r="AN501" s="1523">
        <f t="shared" si="69"/>
        <v>0</v>
      </c>
      <c r="AO501" s="320"/>
      <c r="AP501" s="320"/>
      <c r="AQ501" s="1521"/>
      <c r="AR501" s="1521"/>
      <c r="AS501" s="1595">
        <v>5.5</v>
      </c>
      <c r="AT501" s="1521"/>
      <c r="AU501" s="1521"/>
      <c r="AV501" s="1521"/>
      <c r="AW501" s="320"/>
      <c r="AX501" s="161"/>
      <c r="AY501" s="1540"/>
      <c r="AZ501" s="1560" t="e">
        <f>#REF!-#REF!</f>
        <v>#REF!</v>
      </c>
      <c r="BA501" s="1560" t="e">
        <f>IF(C501="Scheme",IF(SUM(AJ501:AS501)&gt;0,IF(H501&lt;#REF!,H501-#REF!,0),0),0)</f>
        <v>#REF!</v>
      </c>
      <c r="BB501" s="1560">
        <f t="shared" si="71"/>
        <v>-5.5</v>
      </c>
      <c r="BC501" s="96" t="s">
        <v>256</v>
      </c>
      <c r="BD501" s="96" t="s">
        <v>1931</v>
      </c>
    </row>
    <row r="502" spans="1:56" ht="240" customHeight="1" outlineLevel="1" x14ac:dyDescent="0.25">
      <c r="A502" s="1492"/>
      <c r="B502" s="1492" t="s">
        <v>2101</v>
      </c>
      <c r="C502" s="1492" t="s">
        <v>936</v>
      </c>
      <c r="D502" s="1488"/>
      <c r="E502" s="1495"/>
      <c r="F502" s="1413"/>
      <c r="G502" s="618"/>
      <c r="H502" s="1417">
        <f>SUM(W502:AB502)</f>
        <v>8.1</v>
      </c>
      <c r="I502" s="161"/>
      <c r="J502" s="161"/>
      <c r="K502" s="1413"/>
      <c r="L502" s="1414"/>
      <c r="M502" s="1414"/>
      <c r="N502" s="1414"/>
      <c r="O502" s="1551" t="s">
        <v>2369</v>
      </c>
      <c r="P502" s="1521"/>
      <c r="Q502" s="320"/>
      <c r="R502" s="320"/>
      <c r="S502" s="320"/>
      <c r="T502" s="320">
        <f t="shared" si="68"/>
        <v>0</v>
      </c>
      <c r="U502" s="320"/>
      <c r="V502" s="320"/>
      <c r="W502" s="1521"/>
      <c r="X502" s="1521"/>
      <c r="Y502" s="1595">
        <v>8.1</v>
      </c>
      <c r="Z502" s="1521"/>
      <c r="AA502" s="1521"/>
      <c r="AB502" s="1521"/>
      <c r="AC502" s="1521"/>
      <c r="AD502" s="1521"/>
      <c r="AE502" s="1521"/>
      <c r="AF502" s="1521"/>
      <c r="AG502" s="1521"/>
      <c r="AH502" s="1521"/>
      <c r="AI502" s="1521"/>
      <c r="AJ502" s="320"/>
      <c r="AK502" s="320"/>
      <c r="AL502" s="320"/>
      <c r="AM502" s="320"/>
      <c r="AN502" s="1523">
        <f t="shared" si="69"/>
        <v>0</v>
      </c>
      <c r="AO502" s="320"/>
      <c r="AP502" s="320"/>
      <c r="AQ502" s="1521"/>
      <c r="AR502" s="1521"/>
      <c r="AS502" s="1595">
        <v>8.1</v>
      </c>
      <c r="AT502" s="1521"/>
      <c r="AU502" s="1521"/>
      <c r="AV502" s="1521"/>
      <c r="AW502" s="320"/>
      <c r="AX502" s="161"/>
      <c r="AY502" s="1540"/>
      <c r="AZ502" s="1560" t="e">
        <f>#REF!-#REF!</f>
        <v>#REF!</v>
      </c>
      <c r="BA502" s="1560" t="e">
        <f>IF(C502="Scheme",IF(SUM(AJ502:AS502)&gt;0,IF(H502&lt;#REF!,H502-#REF!,0),0),0)</f>
        <v>#REF!</v>
      </c>
      <c r="BB502" s="1560">
        <f t="shared" si="71"/>
        <v>-8.1</v>
      </c>
      <c r="BC502" s="96" t="s">
        <v>256</v>
      </c>
      <c r="BD502" s="96" t="s">
        <v>1931</v>
      </c>
    </row>
    <row r="503" spans="1:56" ht="409.5" customHeight="1" outlineLevel="1" x14ac:dyDescent="0.25">
      <c r="A503" s="1492"/>
      <c r="B503" s="1492" t="s">
        <v>2102</v>
      </c>
      <c r="C503" s="1492" t="s">
        <v>936</v>
      </c>
      <c r="D503" s="1488"/>
      <c r="E503" s="1495"/>
      <c r="F503" s="1413"/>
      <c r="G503" s="618"/>
      <c r="H503" s="1417">
        <f>SUM(W503:AB503)</f>
        <v>2</v>
      </c>
      <c r="I503" s="161"/>
      <c r="J503" s="161"/>
      <c r="K503" s="1413"/>
      <c r="L503" s="1414"/>
      <c r="M503" s="1414"/>
      <c r="N503" s="1414"/>
      <c r="O503" s="1551" t="s">
        <v>2370</v>
      </c>
      <c r="P503" s="1521"/>
      <c r="Q503" s="320"/>
      <c r="R503" s="320"/>
      <c r="S503" s="320"/>
      <c r="T503" s="320">
        <f t="shared" si="68"/>
        <v>0</v>
      </c>
      <c r="U503" s="320"/>
      <c r="V503" s="320"/>
      <c r="W503" s="1521"/>
      <c r="X503" s="1521"/>
      <c r="Y503" s="1595">
        <v>2</v>
      </c>
      <c r="Z503" s="1521"/>
      <c r="AA503" s="1521"/>
      <c r="AB503" s="1521"/>
      <c r="AC503" s="1521"/>
      <c r="AD503" s="1521"/>
      <c r="AE503" s="1521"/>
      <c r="AF503" s="1521"/>
      <c r="AG503" s="1521"/>
      <c r="AH503" s="1521"/>
      <c r="AI503" s="1521"/>
      <c r="AJ503" s="320"/>
      <c r="AK503" s="320"/>
      <c r="AL503" s="320"/>
      <c r="AM503" s="320"/>
      <c r="AN503" s="1523">
        <f t="shared" si="69"/>
        <v>0</v>
      </c>
      <c r="AO503" s="320"/>
      <c r="AP503" s="320"/>
      <c r="AQ503" s="1521"/>
      <c r="AR503" s="1521"/>
      <c r="AS503" s="1595">
        <v>2</v>
      </c>
      <c r="AT503" s="1521"/>
      <c r="AU503" s="1521"/>
      <c r="AV503" s="1521"/>
      <c r="AW503" s="320"/>
      <c r="AX503" s="161"/>
      <c r="AY503" s="1540"/>
      <c r="AZ503" s="1560" t="e">
        <f>#REF!-#REF!</f>
        <v>#REF!</v>
      </c>
      <c r="BA503" s="1560" t="e">
        <f>IF(C503="Scheme",IF(SUM(AJ503:AS503)&gt;0,IF(H503&lt;#REF!,H503-#REF!,0),0),0)</f>
        <v>#REF!</v>
      </c>
      <c r="BB503" s="1560">
        <f t="shared" si="71"/>
        <v>-2</v>
      </c>
      <c r="BC503" s="96" t="s">
        <v>256</v>
      </c>
      <c r="BD503" s="96" t="s">
        <v>1931</v>
      </c>
    </row>
    <row r="504" spans="1:56" ht="255" customHeight="1" outlineLevel="1" x14ac:dyDescent="0.25">
      <c r="A504" s="1492"/>
      <c r="B504" s="1492" t="s">
        <v>2103</v>
      </c>
      <c r="C504" s="1492" t="s">
        <v>936</v>
      </c>
      <c r="D504" s="1488"/>
      <c r="E504" s="1495"/>
      <c r="F504" s="1413"/>
      <c r="G504" s="618"/>
      <c r="H504" s="1417">
        <f>SUM(W504:AB504)</f>
        <v>6</v>
      </c>
      <c r="I504" s="161"/>
      <c r="J504" s="161"/>
      <c r="K504" s="1413"/>
      <c r="L504" s="1414"/>
      <c r="M504" s="1414"/>
      <c r="N504" s="1414"/>
      <c r="O504" s="1551" t="s">
        <v>2371</v>
      </c>
      <c r="P504" s="1521"/>
      <c r="Q504" s="320"/>
      <c r="R504" s="320"/>
      <c r="S504" s="320"/>
      <c r="T504" s="320">
        <f t="shared" si="68"/>
        <v>0</v>
      </c>
      <c r="U504" s="320"/>
      <c r="V504" s="320"/>
      <c r="W504" s="1521"/>
      <c r="X504" s="1521"/>
      <c r="Y504" s="1595"/>
      <c r="Z504" s="1595">
        <v>6</v>
      </c>
      <c r="AA504" s="1521"/>
      <c r="AB504" s="1521"/>
      <c r="AC504" s="1521"/>
      <c r="AD504" s="1521"/>
      <c r="AE504" s="1521"/>
      <c r="AF504" s="1521"/>
      <c r="AG504" s="1521"/>
      <c r="AH504" s="1521"/>
      <c r="AI504" s="1521"/>
      <c r="AJ504" s="320"/>
      <c r="AK504" s="320"/>
      <c r="AL504" s="320"/>
      <c r="AM504" s="320"/>
      <c r="AN504" s="1523">
        <f t="shared" si="69"/>
        <v>0</v>
      </c>
      <c r="AO504" s="320"/>
      <c r="AP504" s="320"/>
      <c r="AQ504" s="1521"/>
      <c r="AR504" s="1521"/>
      <c r="AS504" s="1595"/>
      <c r="AT504" s="1595">
        <v>6</v>
      </c>
      <c r="AU504" s="1521"/>
      <c r="AV504" s="1521"/>
      <c r="AW504" s="320"/>
      <c r="AX504" s="161"/>
      <c r="AY504" s="1540"/>
      <c r="AZ504" s="1560" t="e">
        <f>#REF!-#REF!</f>
        <v>#REF!</v>
      </c>
      <c r="BA504" s="1560">
        <f>IF(C504="Scheme",IF(SUM(AJ504:AS504)&gt;0,IF(H504&lt;#REF!,H504-#REF!,0),0),0)</f>
        <v>0</v>
      </c>
      <c r="BB504" s="1560">
        <f t="shared" si="71"/>
        <v>0</v>
      </c>
      <c r="BC504" s="96" t="s">
        <v>256</v>
      </c>
      <c r="BD504" s="96" t="s">
        <v>1931</v>
      </c>
    </row>
    <row r="505" spans="1:56" ht="77.5" outlineLevel="1" x14ac:dyDescent="0.25">
      <c r="A505" s="1486">
        <v>4</v>
      </c>
      <c r="B505" s="1491" t="s">
        <v>2104</v>
      </c>
      <c r="C505" s="1486" t="s">
        <v>928</v>
      </c>
      <c r="D505" s="1488"/>
      <c r="E505" s="1495"/>
      <c r="F505" s="1413"/>
      <c r="G505" s="618"/>
      <c r="H505" s="1607">
        <f>SUM(H506:H510)</f>
        <v>26</v>
      </c>
      <c r="I505" s="161"/>
      <c r="J505" s="161"/>
      <c r="K505" s="1413"/>
      <c r="L505" s="1414"/>
      <c r="M505" s="1414"/>
      <c r="N505" s="1414"/>
      <c r="O505" s="1551"/>
      <c r="P505" s="1521"/>
      <c r="Q505" s="320"/>
      <c r="R505" s="320"/>
      <c r="S505" s="320"/>
      <c r="T505" s="320">
        <f t="shared" si="68"/>
        <v>0</v>
      </c>
      <c r="U505" s="320"/>
      <c r="V505" s="320"/>
      <c r="W505" s="1521"/>
      <c r="X505" s="1521"/>
      <c r="Y505" s="1521"/>
      <c r="Z505" s="1521"/>
      <c r="AA505" s="1521"/>
      <c r="AB505" s="1521"/>
      <c r="AC505" s="1521"/>
      <c r="AD505" s="1521"/>
      <c r="AE505" s="1521"/>
      <c r="AF505" s="1521"/>
      <c r="AG505" s="1521"/>
      <c r="AH505" s="1521"/>
      <c r="AI505" s="1521"/>
      <c r="AJ505" s="320"/>
      <c r="AK505" s="320"/>
      <c r="AL505" s="320"/>
      <c r="AM505" s="320"/>
      <c r="AN505" s="1523">
        <f t="shared" si="69"/>
        <v>0</v>
      </c>
      <c r="AO505" s="320"/>
      <c r="AP505" s="320"/>
      <c r="AQ505" s="1521"/>
      <c r="AR505" s="1521"/>
      <c r="AS505" s="1521"/>
      <c r="AT505" s="1521"/>
      <c r="AU505" s="1521"/>
      <c r="AV505" s="1521"/>
      <c r="AW505" s="320"/>
      <c r="AX505" s="161"/>
      <c r="AY505" s="1540"/>
      <c r="AZ505" s="1560" t="e">
        <f>#REF!-#REF!</f>
        <v>#REF!</v>
      </c>
      <c r="BA505" s="1560">
        <f>IF(C505="Scheme",IF(SUM(AJ505:AS505)&gt;0,IF(H505&lt;#REF!,H505-#REF!,0),0),0)</f>
        <v>0</v>
      </c>
      <c r="BB505" s="1560">
        <f t="shared" si="71"/>
        <v>0</v>
      </c>
    </row>
    <row r="506" spans="1:56" ht="409.5" customHeight="1" outlineLevel="1" x14ac:dyDescent="0.25">
      <c r="A506" s="1492"/>
      <c r="B506" s="1492" t="s">
        <v>2105</v>
      </c>
      <c r="C506" s="1492" t="s">
        <v>936</v>
      </c>
      <c r="D506" s="1488"/>
      <c r="E506" s="1495"/>
      <c r="F506" s="1413"/>
      <c r="G506" s="618"/>
      <c r="H506" s="1417">
        <f>SUM(W506:AB506)</f>
        <v>9</v>
      </c>
      <c r="I506" s="161"/>
      <c r="J506" s="161"/>
      <c r="K506" s="1413"/>
      <c r="L506" s="1414"/>
      <c r="M506" s="1414"/>
      <c r="N506" s="1414"/>
      <c r="O506" s="1551" t="s">
        <v>2372</v>
      </c>
      <c r="P506" s="1521"/>
      <c r="Q506" s="320"/>
      <c r="R506" s="320"/>
      <c r="S506" s="320"/>
      <c r="T506" s="320">
        <f t="shared" si="68"/>
        <v>0</v>
      </c>
      <c r="U506" s="320"/>
      <c r="V506" s="320"/>
      <c r="W506" s="1521"/>
      <c r="X506" s="1521"/>
      <c r="Y506" s="1521"/>
      <c r="Z506" s="1521">
        <v>9</v>
      </c>
      <c r="AA506" s="1521"/>
      <c r="AB506" s="1521"/>
      <c r="AC506" s="1521"/>
      <c r="AD506" s="1521"/>
      <c r="AE506" s="1521"/>
      <c r="AF506" s="1521"/>
      <c r="AG506" s="1521"/>
      <c r="AH506" s="1521"/>
      <c r="AI506" s="1521"/>
      <c r="AJ506" s="320"/>
      <c r="AK506" s="320"/>
      <c r="AL506" s="320"/>
      <c r="AM506" s="320"/>
      <c r="AN506" s="1523">
        <f t="shared" si="69"/>
        <v>0</v>
      </c>
      <c r="AO506" s="320"/>
      <c r="AP506" s="320"/>
      <c r="AQ506" s="1521"/>
      <c r="AR506" s="1521"/>
      <c r="AS506" s="1521"/>
      <c r="AT506" s="1521">
        <v>9</v>
      </c>
      <c r="AU506" s="1521"/>
      <c r="AV506" s="1521"/>
      <c r="AW506" s="320"/>
      <c r="AX506" s="161"/>
      <c r="AY506" s="1540"/>
      <c r="AZ506" s="1560" t="e">
        <f>#REF!-#REF!</f>
        <v>#REF!</v>
      </c>
      <c r="BA506" s="1560">
        <f>IF(C506="Scheme",IF(SUM(AJ506:AS506)&gt;0,IF(H506&lt;#REF!,H506-#REF!,0),0),0)</f>
        <v>0</v>
      </c>
      <c r="BB506" s="1560">
        <f t="shared" si="71"/>
        <v>0</v>
      </c>
      <c r="BC506" s="96" t="s">
        <v>256</v>
      </c>
      <c r="BD506" s="96" t="s">
        <v>1931</v>
      </c>
    </row>
    <row r="507" spans="1:56" ht="409.5" customHeight="1" outlineLevel="1" x14ac:dyDescent="0.25">
      <c r="A507" s="1492"/>
      <c r="B507" s="1492" t="s">
        <v>2106</v>
      </c>
      <c r="C507" s="1492" t="s">
        <v>936</v>
      </c>
      <c r="D507" s="1488"/>
      <c r="E507" s="1495"/>
      <c r="F507" s="1413"/>
      <c r="G507" s="618"/>
      <c r="H507" s="1417">
        <f>SUM(W507:AB507)</f>
        <v>7</v>
      </c>
      <c r="I507" s="161"/>
      <c r="J507" s="161"/>
      <c r="K507" s="1413"/>
      <c r="L507" s="1414"/>
      <c r="M507" s="1414"/>
      <c r="N507" s="1414"/>
      <c r="O507" s="1601" t="s">
        <v>2373</v>
      </c>
      <c r="P507" s="1521"/>
      <c r="Q507" s="320"/>
      <c r="R507" s="320"/>
      <c r="S507" s="320"/>
      <c r="T507" s="320">
        <f t="shared" si="68"/>
        <v>0</v>
      </c>
      <c r="U507" s="320"/>
      <c r="V507" s="320"/>
      <c r="W507" s="1521"/>
      <c r="X507" s="1521"/>
      <c r="Y507" s="1521"/>
      <c r="Z507" s="1521">
        <v>7</v>
      </c>
      <c r="AA507" s="1521"/>
      <c r="AB507" s="1521"/>
      <c r="AC507" s="1521"/>
      <c r="AD507" s="1521"/>
      <c r="AE507" s="1521"/>
      <c r="AF507" s="1521"/>
      <c r="AG507" s="1521"/>
      <c r="AH507" s="1521"/>
      <c r="AI507" s="1521"/>
      <c r="AJ507" s="320"/>
      <c r="AK507" s="320"/>
      <c r="AL507" s="320"/>
      <c r="AM507" s="320"/>
      <c r="AN507" s="1523">
        <f t="shared" si="69"/>
        <v>0</v>
      </c>
      <c r="AO507" s="320"/>
      <c r="AP507" s="320"/>
      <c r="AQ507" s="1521"/>
      <c r="AR507" s="1521"/>
      <c r="AS507" s="1521"/>
      <c r="AT507" s="1521">
        <v>7</v>
      </c>
      <c r="AU507" s="1521"/>
      <c r="AV507" s="1521"/>
      <c r="AW507" s="320"/>
      <c r="AX507" s="161"/>
      <c r="AY507" s="1540"/>
      <c r="AZ507" s="1560" t="e">
        <f>#REF!-#REF!</f>
        <v>#REF!</v>
      </c>
      <c r="BA507" s="1560">
        <f>IF(C507="Scheme",IF(SUM(AJ507:AS507)&gt;0,IF(H507&lt;#REF!,H507-#REF!,0),0),0)</f>
        <v>0</v>
      </c>
      <c r="BB507" s="1560">
        <f t="shared" si="71"/>
        <v>0</v>
      </c>
      <c r="BC507" s="96" t="s">
        <v>256</v>
      </c>
      <c r="BD507" s="96" t="s">
        <v>1931</v>
      </c>
    </row>
    <row r="508" spans="1:56" ht="270" customHeight="1" outlineLevel="1" x14ac:dyDescent="0.25">
      <c r="A508" s="1492"/>
      <c r="B508" s="1492" t="s">
        <v>2107</v>
      </c>
      <c r="C508" s="1492" t="s">
        <v>936</v>
      </c>
      <c r="D508" s="1488"/>
      <c r="E508" s="1495"/>
      <c r="F508" s="1413"/>
      <c r="G508" s="618"/>
      <c r="H508" s="1417">
        <f>SUM(W508:AB508)</f>
        <v>4</v>
      </c>
      <c r="I508" s="161"/>
      <c r="J508" s="161"/>
      <c r="K508" s="1413"/>
      <c r="L508" s="1414"/>
      <c r="M508" s="1414"/>
      <c r="N508" s="1414"/>
      <c r="O508" s="1602" t="s">
        <v>2374</v>
      </c>
      <c r="P508" s="1521"/>
      <c r="Q508" s="320"/>
      <c r="R508" s="320"/>
      <c r="S508" s="320"/>
      <c r="T508" s="320">
        <f t="shared" si="68"/>
        <v>0</v>
      </c>
      <c r="U508" s="320"/>
      <c r="V508" s="320"/>
      <c r="W508" s="1521"/>
      <c r="X508" s="1521"/>
      <c r="Y508" s="1595">
        <v>4</v>
      </c>
      <c r="Z508" s="1595"/>
      <c r="AA508" s="1521"/>
      <c r="AB508" s="1521"/>
      <c r="AC508" s="1521"/>
      <c r="AD508" s="1521"/>
      <c r="AE508" s="1521"/>
      <c r="AF508" s="1521"/>
      <c r="AG508" s="1521"/>
      <c r="AH508" s="1521"/>
      <c r="AI508" s="1521"/>
      <c r="AJ508" s="320"/>
      <c r="AK508" s="320"/>
      <c r="AL508" s="320"/>
      <c r="AM508" s="320"/>
      <c r="AN508" s="1523">
        <f t="shared" si="69"/>
        <v>0</v>
      </c>
      <c r="AO508" s="320"/>
      <c r="AP508" s="320"/>
      <c r="AQ508" s="1521"/>
      <c r="AR508" s="1521"/>
      <c r="AS508" s="1595">
        <v>4</v>
      </c>
      <c r="AT508" s="1595"/>
      <c r="AU508" s="1521"/>
      <c r="AV508" s="1521"/>
      <c r="AW508" s="320"/>
      <c r="AX508" s="161"/>
      <c r="AY508" s="1540"/>
      <c r="AZ508" s="1560" t="e">
        <f>#REF!-#REF!</f>
        <v>#REF!</v>
      </c>
      <c r="BA508" s="1560" t="e">
        <f>IF(C508="Scheme",IF(SUM(AJ508:AS508)&gt;0,IF(H508&lt;#REF!,H508-#REF!,0),0),0)</f>
        <v>#REF!</v>
      </c>
      <c r="BB508" s="1560">
        <f t="shared" si="71"/>
        <v>-4</v>
      </c>
      <c r="BC508" s="96" t="s">
        <v>256</v>
      </c>
      <c r="BD508" s="96" t="s">
        <v>1931</v>
      </c>
    </row>
    <row r="509" spans="1:56" ht="120" customHeight="1" outlineLevel="1" x14ac:dyDescent="0.25">
      <c r="A509" s="1492"/>
      <c r="B509" s="1492" t="s">
        <v>2108</v>
      </c>
      <c r="C509" s="1492" t="s">
        <v>936</v>
      </c>
      <c r="D509" s="1488"/>
      <c r="E509" s="1495"/>
      <c r="F509" s="1413"/>
      <c r="G509" s="618"/>
      <c r="H509" s="1417">
        <f>SUM(W509:AB509)</f>
        <v>2</v>
      </c>
      <c r="I509" s="161"/>
      <c r="J509" s="161"/>
      <c r="K509" s="1413"/>
      <c r="L509" s="1414"/>
      <c r="M509" s="1414"/>
      <c r="N509" s="1414"/>
      <c r="O509" s="1603" t="s">
        <v>2375</v>
      </c>
      <c r="P509" s="1521"/>
      <c r="Q509" s="320"/>
      <c r="R509" s="320"/>
      <c r="S509" s="320"/>
      <c r="T509" s="320">
        <f t="shared" si="68"/>
        <v>0</v>
      </c>
      <c r="U509" s="320"/>
      <c r="V509" s="320"/>
      <c r="W509" s="1521"/>
      <c r="X509" s="1521"/>
      <c r="Y509" s="1595">
        <v>2</v>
      </c>
      <c r="Z509" s="1595"/>
      <c r="AA509" s="1521"/>
      <c r="AB509" s="1521"/>
      <c r="AC509" s="1521"/>
      <c r="AD509" s="1521"/>
      <c r="AE509" s="1521"/>
      <c r="AF509" s="1521"/>
      <c r="AG509" s="1521"/>
      <c r="AH509" s="1521"/>
      <c r="AI509" s="1521"/>
      <c r="AJ509" s="320"/>
      <c r="AK509" s="320"/>
      <c r="AL509" s="320"/>
      <c r="AM509" s="320"/>
      <c r="AN509" s="1523">
        <f t="shared" si="69"/>
        <v>0</v>
      </c>
      <c r="AO509" s="320"/>
      <c r="AP509" s="320"/>
      <c r="AQ509" s="1521"/>
      <c r="AR509" s="1521"/>
      <c r="AS509" s="1595">
        <v>2</v>
      </c>
      <c r="AT509" s="1595"/>
      <c r="AU509" s="1521"/>
      <c r="AV509" s="1521"/>
      <c r="AW509" s="320"/>
      <c r="AX509" s="161"/>
      <c r="AY509" s="1540"/>
      <c r="AZ509" s="1560" t="e">
        <f>#REF!-#REF!</f>
        <v>#REF!</v>
      </c>
      <c r="BA509" s="1560" t="e">
        <f>IF(C509="Scheme",IF(SUM(AJ509:AS509)&gt;0,IF(H509&lt;#REF!,H509-#REF!,0),0),0)</f>
        <v>#REF!</v>
      </c>
      <c r="BB509" s="1560">
        <f t="shared" si="71"/>
        <v>-2</v>
      </c>
      <c r="BC509" s="96" t="s">
        <v>256</v>
      </c>
      <c r="BD509" s="96" t="s">
        <v>1931</v>
      </c>
    </row>
    <row r="510" spans="1:56" ht="255" customHeight="1" outlineLevel="1" x14ac:dyDescent="0.25">
      <c r="A510" s="1492"/>
      <c r="B510" s="1492" t="s">
        <v>2109</v>
      </c>
      <c r="C510" s="1492" t="s">
        <v>936</v>
      </c>
      <c r="D510" s="1488"/>
      <c r="E510" s="1495"/>
      <c r="F510" s="1413"/>
      <c r="G510" s="618"/>
      <c r="H510" s="1417">
        <f>SUM(W510:AB510)</f>
        <v>4</v>
      </c>
      <c r="I510" s="161"/>
      <c r="J510" s="161"/>
      <c r="K510" s="1413"/>
      <c r="L510" s="1414"/>
      <c r="M510" s="1414"/>
      <c r="N510" s="1414"/>
      <c r="O510" s="1551" t="s">
        <v>2371</v>
      </c>
      <c r="P510" s="1521"/>
      <c r="Q510" s="320"/>
      <c r="R510" s="320"/>
      <c r="S510" s="320"/>
      <c r="T510" s="320">
        <f t="shared" si="68"/>
        <v>0</v>
      </c>
      <c r="U510" s="320"/>
      <c r="V510" s="320"/>
      <c r="W510" s="1521"/>
      <c r="X510" s="1521"/>
      <c r="Y510" s="1595"/>
      <c r="Z510" s="1595">
        <v>4</v>
      </c>
      <c r="AA510" s="1521"/>
      <c r="AB510" s="1521"/>
      <c r="AC510" s="1521"/>
      <c r="AD510" s="1521"/>
      <c r="AE510" s="1521"/>
      <c r="AF510" s="1521"/>
      <c r="AG510" s="1521"/>
      <c r="AH510" s="1521"/>
      <c r="AI510" s="1521"/>
      <c r="AJ510" s="320"/>
      <c r="AK510" s="320"/>
      <c r="AL510" s="320"/>
      <c r="AM510" s="320"/>
      <c r="AN510" s="1523">
        <f t="shared" si="69"/>
        <v>0</v>
      </c>
      <c r="AO510" s="320"/>
      <c r="AP510" s="320"/>
      <c r="AQ510" s="1521"/>
      <c r="AR510" s="1521"/>
      <c r="AS510" s="1595"/>
      <c r="AT510" s="1595">
        <v>4</v>
      </c>
      <c r="AU510" s="1521"/>
      <c r="AV510" s="1521"/>
      <c r="AW510" s="320"/>
      <c r="AX510" s="161"/>
      <c r="AY510" s="1540"/>
      <c r="AZ510" s="1560" t="e">
        <f>#REF!-#REF!</f>
        <v>#REF!</v>
      </c>
      <c r="BA510" s="1560">
        <f>IF(C510="Scheme",IF(SUM(AJ510:AS510)&gt;0,IF(H510&lt;#REF!,H510-#REF!,0),0),0)</f>
        <v>0</v>
      </c>
      <c r="BB510" s="1560">
        <f t="shared" si="71"/>
        <v>0</v>
      </c>
      <c r="BC510" s="96" t="s">
        <v>256</v>
      </c>
      <c r="BD510" s="96" t="s">
        <v>1931</v>
      </c>
    </row>
    <row r="511" spans="1:56" ht="15.5" outlineLevel="1" x14ac:dyDescent="0.25">
      <c r="A511" s="1504"/>
      <c r="B511" s="1504" t="s">
        <v>2110</v>
      </c>
      <c r="C511" s="1504"/>
      <c r="D511" s="1488"/>
      <c r="E511" s="1495"/>
      <c r="F511" s="1413"/>
      <c r="G511" s="618"/>
      <c r="H511" s="161"/>
      <c r="I511" s="161"/>
      <c r="J511" s="161"/>
      <c r="K511" s="1413"/>
      <c r="L511" s="1414"/>
      <c r="M511" s="1414"/>
      <c r="N511" s="1414"/>
      <c r="O511" s="1551"/>
      <c r="P511" s="1521"/>
      <c r="Q511" s="320"/>
      <c r="R511" s="320"/>
      <c r="S511" s="320"/>
      <c r="T511" s="320">
        <f t="shared" si="68"/>
        <v>0</v>
      </c>
      <c r="U511" s="320"/>
      <c r="V511" s="320"/>
      <c r="W511" s="1521"/>
      <c r="X511" s="1521"/>
      <c r="Y511" s="1521"/>
      <c r="Z511" s="1521"/>
      <c r="AA511" s="1521"/>
      <c r="AB511" s="1521"/>
      <c r="AC511" s="1521"/>
      <c r="AD511" s="1521"/>
      <c r="AE511" s="1521"/>
      <c r="AF511" s="1521"/>
      <c r="AG511" s="1521"/>
      <c r="AH511" s="1521"/>
      <c r="AI511" s="1521"/>
      <c r="AJ511" s="320"/>
      <c r="AK511" s="320"/>
      <c r="AL511" s="320"/>
      <c r="AM511" s="320"/>
      <c r="AN511" s="1523">
        <f t="shared" si="69"/>
        <v>0</v>
      </c>
      <c r="AO511" s="320"/>
      <c r="AP511" s="320"/>
      <c r="AQ511" s="1521"/>
      <c r="AR511" s="1521"/>
      <c r="AS511" s="1521"/>
      <c r="AT511" s="1521"/>
      <c r="AU511" s="1521"/>
      <c r="AV511" s="1521"/>
      <c r="AW511" s="320"/>
      <c r="AX511" s="161"/>
      <c r="AY511" s="1540"/>
      <c r="AZ511" s="1560" t="e">
        <f>#REF!-#REF!</f>
        <v>#REF!</v>
      </c>
      <c r="BA511" s="1560">
        <f>IF(C511="Scheme",IF(SUM(AJ511:AS511)&gt;0,IF(H511&lt;#REF!,H511-#REF!,0),0),0)</f>
        <v>0</v>
      </c>
      <c r="BB511" s="1560">
        <f t="shared" si="71"/>
        <v>0</v>
      </c>
    </row>
    <row r="512" spans="1:56" ht="46.5" outlineLevel="1" x14ac:dyDescent="0.25">
      <c r="A512" s="1486">
        <v>1</v>
      </c>
      <c r="B512" s="1491" t="s">
        <v>2111</v>
      </c>
      <c r="C512" s="1486" t="s">
        <v>928</v>
      </c>
      <c r="D512" s="1488"/>
      <c r="E512" s="1495"/>
      <c r="F512" s="1413"/>
      <c r="G512" s="618"/>
      <c r="H512" s="1607">
        <f>H513+H514</f>
        <v>92</v>
      </c>
      <c r="I512" s="161"/>
      <c r="J512" s="161"/>
      <c r="K512" s="1413"/>
      <c r="L512" s="1414"/>
      <c r="M512" s="1414"/>
      <c r="N512" s="1414"/>
      <c r="O512" s="1551"/>
      <c r="P512" s="1521"/>
      <c r="Q512" s="320"/>
      <c r="R512" s="320"/>
      <c r="S512" s="320"/>
      <c r="T512" s="320">
        <f t="shared" si="68"/>
        <v>0</v>
      </c>
      <c r="U512" s="320"/>
      <c r="V512" s="320"/>
      <c r="W512" s="1521"/>
      <c r="X512" s="1521"/>
      <c r="Y512" s="1521"/>
      <c r="Z512" s="1521"/>
      <c r="AA512" s="1521"/>
      <c r="AB512" s="1521"/>
      <c r="AC512" s="1521"/>
      <c r="AD512" s="1521"/>
      <c r="AE512" s="1521"/>
      <c r="AF512" s="1521"/>
      <c r="AG512" s="1521"/>
      <c r="AH512" s="1521"/>
      <c r="AI512" s="1521"/>
      <c r="AJ512" s="320"/>
      <c r="AK512" s="320"/>
      <c r="AL512" s="320"/>
      <c r="AM512" s="320"/>
      <c r="AN512" s="1523">
        <f t="shared" si="69"/>
        <v>0</v>
      </c>
      <c r="AO512" s="320"/>
      <c r="AP512" s="320"/>
      <c r="AQ512" s="1521"/>
      <c r="AR512" s="1521"/>
      <c r="AS512" s="1521"/>
      <c r="AT512" s="1521"/>
      <c r="AU512" s="1521"/>
      <c r="AV512" s="1521"/>
      <c r="AW512" s="320"/>
      <c r="AX512" s="161"/>
      <c r="AY512" s="1540"/>
      <c r="AZ512" s="1560" t="e">
        <f>#REF!-#REF!</f>
        <v>#REF!</v>
      </c>
      <c r="BA512" s="1560">
        <f>IF(C512="Scheme",IF(SUM(AJ512:AS512)&gt;0,IF(H512&lt;#REF!,H512-#REF!,0),0),0)</f>
        <v>0</v>
      </c>
      <c r="BB512" s="1560">
        <f t="shared" si="71"/>
        <v>0</v>
      </c>
    </row>
    <row r="513" spans="1:56" ht="140" outlineLevel="1" x14ac:dyDescent="0.25">
      <c r="A513" s="1492"/>
      <c r="B513" s="1492" t="s">
        <v>2112</v>
      </c>
      <c r="C513" s="1492" t="s">
        <v>936</v>
      </c>
      <c r="D513" s="1488"/>
      <c r="E513" s="1495"/>
      <c r="F513" s="1413"/>
      <c r="G513" s="618"/>
      <c r="H513" s="1417">
        <f>SUM(W513:AB513)</f>
        <v>45</v>
      </c>
      <c r="I513" s="161"/>
      <c r="J513" s="161"/>
      <c r="K513" s="1413"/>
      <c r="L513" s="1414"/>
      <c r="M513" s="1414"/>
      <c r="N513" s="1414"/>
      <c r="O513" s="1551" t="s">
        <v>2376</v>
      </c>
      <c r="P513" s="1521"/>
      <c r="Q513" s="320"/>
      <c r="R513" s="320"/>
      <c r="S513" s="320"/>
      <c r="T513" s="320">
        <f t="shared" si="68"/>
        <v>0</v>
      </c>
      <c r="U513" s="320"/>
      <c r="V513" s="320"/>
      <c r="W513" s="1521"/>
      <c r="X513" s="1521">
        <v>15</v>
      </c>
      <c r="Y513" s="1521">
        <v>15</v>
      </c>
      <c r="Z513" s="1521">
        <v>15</v>
      </c>
      <c r="AA513" s="1521"/>
      <c r="AB513" s="1521"/>
      <c r="AC513" s="1521"/>
      <c r="AD513" s="1521"/>
      <c r="AE513" s="1521"/>
      <c r="AF513" s="1521"/>
      <c r="AG513" s="1521"/>
      <c r="AH513" s="1521"/>
      <c r="AI513" s="1521"/>
      <c r="AJ513" s="320"/>
      <c r="AK513" s="320"/>
      <c r="AL513" s="320"/>
      <c r="AM513" s="320"/>
      <c r="AN513" s="1523">
        <f t="shared" si="69"/>
        <v>0</v>
      </c>
      <c r="AO513" s="320"/>
      <c r="AP513" s="320"/>
      <c r="AQ513" s="1521"/>
      <c r="AR513" s="1521">
        <v>15</v>
      </c>
      <c r="AS513" s="1521">
        <v>15</v>
      </c>
      <c r="AT513" s="1521">
        <v>15</v>
      </c>
      <c r="AU513" s="1521"/>
      <c r="AV513" s="1521"/>
      <c r="AW513" s="320"/>
      <c r="AX513" s="161"/>
      <c r="AY513" s="1540"/>
      <c r="AZ513" s="1560" t="e">
        <f>#REF!-#REF!</f>
        <v>#REF!</v>
      </c>
      <c r="BA513" s="1560" t="e">
        <f>IF(C513="Scheme",IF(SUM(AJ513:AS513)&gt;0,IF(H513&lt;#REF!,H513-#REF!,0),0),0)</f>
        <v>#REF!</v>
      </c>
      <c r="BB513" s="1560">
        <f t="shared" si="71"/>
        <v>-30</v>
      </c>
      <c r="BC513" s="96" t="s">
        <v>844</v>
      </c>
      <c r="BD513" s="96" t="s">
        <v>1931</v>
      </c>
    </row>
    <row r="514" spans="1:56" ht="154" outlineLevel="1" x14ac:dyDescent="0.25">
      <c r="A514" s="1492"/>
      <c r="B514" s="1492" t="s">
        <v>2113</v>
      </c>
      <c r="C514" s="1492" t="s">
        <v>936</v>
      </c>
      <c r="D514" s="1488"/>
      <c r="E514" s="1495"/>
      <c r="F514" s="1413"/>
      <c r="G514" s="618"/>
      <c r="H514" s="1417">
        <v>47</v>
      </c>
      <c r="I514" s="161"/>
      <c r="J514" s="161"/>
      <c r="K514" s="1413"/>
      <c r="L514" s="1414"/>
      <c r="M514" s="1414"/>
      <c r="N514" s="1414"/>
      <c r="O514" s="1551" t="s">
        <v>2377</v>
      </c>
      <c r="P514" s="1521"/>
      <c r="Q514" s="320"/>
      <c r="R514" s="320"/>
      <c r="S514" s="320"/>
      <c r="T514" s="320">
        <f t="shared" si="68"/>
        <v>0</v>
      </c>
      <c r="U514" s="320"/>
      <c r="V514" s="320"/>
      <c r="W514" s="1521"/>
      <c r="X514" s="1521"/>
      <c r="Y514" s="1521">
        <f>47/2</f>
        <v>23.5</v>
      </c>
      <c r="Z514" s="1521">
        <f>47/2</f>
        <v>23.5</v>
      </c>
      <c r="AA514" s="1521"/>
      <c r="AB514" s="1521"/>
      <c r="AC514" s="1521"/>
      <c r="AD514" s="1521"/>
      <c r="AE514" s="1521"/>
      <c r="AF514" s="1521"/>
      <c r="AG514" s="1521"/>
      <c r="AH514" s="1521"/>
      <c r="AI514" s="1521"/>
      <c r="AJ514" s="320"/>
      <c r="AK514" s="320"/>
      <c r="AL514" s="320"/>
      <c r="AM514" s="320"/>
      <c r="AN514" s="1523">
        <f t="shared" si="69"/>
        <v>0</v>
      </c>
      <c r="AO514" s="320"/>
      <c r="AP514" s="320"/>
      <c r="AQ514" s="1521"/>
      <c r="AR514" s="1521"/>
      <c r="AS514" s="1521">
        <v>23.5</v>
      </c>
      <c r="AT514" s="1521">
        <v>23.5</v>
      </c>
      <c r="AU514" s="1521"/>
      <c r="AV514" s="1521"/>
      <c r="AW514" s="320"/>
      <c r="AX514" s="161"/>
      <c r="AY514" s="1540"/>
      <c r="AZ514" s="1560"/>
      <c r="BA514" s="1560"/>
      <c r="BB514" s="1560"/>
      <c r="BC514" s="96" t="s">
        <v>844</v>
      </c>
      <c r="BD514" s="96" t="s">
        <v>1931</v>
      </c>
    </row>
    <row r="515" spans="1:56" ht="31" outlineLevel="1" x14ac:dyDescent="0.25">
      <c r="A515" s="1486">
        <v>2</v>
      </c>
      <c r="B515" s="1491" t="s">
        <v>2114</v>
      </c>
      <c r="C515" s="1486" t="s">
        <v>928</v>
      </c>
      <c r="D515" s="1488"/>
      <c r="E515" s="1495"/>
      <c r="F515" s="1413"/>
      <c r="G515" s="618"/>
      <c r="H515" s="1607">
        <f>SUM(H516:H519)</f>
        <v>121</v>
      </c>
      <c r="I515" s="161"/>
      <c r="J515" s="161"/>
      <c r="K515" s="1413"/>
      <c r="L515" s="1414"/>
      <c r="M515" s="1414"/>
      <c r="N515" s="1414"/>
      <c r="O515" s="1551"/>
      <c r="P515" s="1521"/>
      <c r="Q515" s="320"/>
      <c r="R515" s="320"/>
      <c r="S515" s="320"/>
      <c r="T515" s="320">
        <f t="shared" si="68"/>
        <v>0</v>
      </c>
      <c r="U515" s="320"/>
      <c r="V515" s="320"/>
      <c r="W515" s="1521"/>
      <c r="X515" s="1521"/>
      <c r="Y515" s="1521"/>
      <c r="Z515" s="1521"/>
      <c r="AA515" s="1521"/>
      <c r="AB515" s="1521"/>
      <c r="AC515" s="1521"/>
      <c r="AD515" s="1521"/>
      <c r="AE515" s="1521"/>
      <c r="AF515" s="1521"/>
      <c r="AG515" s="1521"/>
      <c r="AH515" s="1521"/>
      <c r="AI515" s="1521"/>
      <c r="AJ515" s="320"/>
      <c r="AK515" s="320"/>
      <c r="AL515" s="320"/>
      <c r="AM515" s="320"/>
      <c r="AN515" s="1523">
        <f t="shared" si="69"/>
        <v>0</v>
      </c>
      <c r="AO515" s="320"/>
      <c r="AP515" s="320"/>
      <c r="AQ515" s="1521"/>
      <c r="AR515" s="1521"/>
      <c r="AS515" s="1521"/>
      <c r="AT515" s="1521"/>
      <c r="AU515" s="1521"/>
      <c r="AV515" s="1521"/>
      <c r="AW515" s="320"/>
      <c r="AX515" s="161"/>
      <c r="AY515" s="1540"/>
      <c r="AZ515" s="1560"/>
      <c r="BA515" s="1560"/>
      <c r="BB515" s="1560"/>
      <c r="BC515" s="96" t="s">
        <v>256</v>
      </c>
      <c r="BD515" s="96" t="s">
        <v>1931</v>
      </c>
    </row>
    <row r="516" spans="1:56" ht="196" outlineLevel="1" x14ac:dyDescent="0.25">
      <c r="A516" s="1492"/>
      <c r="B516" s="1492" t="s">
        <v>2115</v>
      </c>
      <c r="C516" s="1492" t="s">
        <v>936</v>
      </c>
      <c r="D516" s="1488"/>
      <c r="E516" s="1495"/>
      <c r="F516" s="1413"/>
      <c r="G516" s="618"/>
      <c r="H516" s="1417">
        <f>SUM(W516:AB516)</f>
        <v>100</v>
      </c>
      <c r="I516" s="161"/>
      <c r="J516" s="161"/>
      <c r="K516" s="1413"/>
      <c r="L516" s="1414"/>
      <c r="M516" s="1414"/>
      <c r="N516" s="1414"/>
      <c r="O516" s="1551" t="s">
        <v>2378</v>
      </c>
      <c r="P516" s="1521"/>
      <c r="Q516" s="320"/>
      <c r="R516" s="320"/>
      <c r="S516" s="320"/>
      <c r="T516" s="320">
        <f t="shared" si="68"/>
        <v>0</v>
      </c>
      <c r="U516" s="320"/>
      <c r="V516" s="320"/>
      <c r="W516" s="1521"/>
      <c r="X516" s="1521">
        <v>20</v>
      </c>
      <c r="Y516" s="1521">
        <v>20</v>
      </c>
      <c r="Z516" s="1521">
        <v>20</v>
      </c>
      <c r="AA516" s="1521">
        <v>20</v>
      </c>
      <c r="AB516" s="1521">
        <v>20</v>
      </c>
      <c r="AC516" s="1521"/>
      <c r="AD516" s="1521"/>
      <c r="AE516" s="1521"/>
      <c r="AF516" s="1521"/>
      <c r="AG516" s="1521"/>
      <c r="AH516" s="1521"/>
      <c r="AI516" s="1521"/>
      <c r="AJ516" s="320"/>
      <c r="AK516" s="320"/>
      <c r="AL516" s="320"/>
      <c r="AM516" s="320"/>
      <c r="AN516" s="1523">
        <f t="shared" si="69"/>
        <v>0</v>
      </c>
      <c r="AO516" s="320"/>
      <c r="AP516" s="320"/>
      <c r="AQ516" s="1521"/>
      <c r="AR516" s="1521">
        <v>20</v>
      </c>
      <c r="AS516" s="1521">
        <v>20</v>
      </c>
      <c r="AT516" s="1521">
        <v>20</v>
      </c>
      <c r="AU516" s="1521">
        <v>20</v>
      </c>
      <c r="AV516" s="1521">
        <v>20</v>
      </c>
      <c r="AW516" s="320"/>
      <c r="AX516" s="161"/>
      <c r="AY516" s="1540"/>
      <c r="AZ516" s="1560" t="e">
        <f>#REF!-#REF!</f>
        <v>#REF!</v>
      </c>
      <c r="BA516" s="1560" t="e">
        <f>IF(C516="Scheme",IF(SUM(AJ516:AS516)&gt;0,IF(H516&lt;#REF!,H516-#REF!,0),0),0)</f>
        <v>#REF!</v>
      </c>
      <c r="BB516" s="1560">
        <f t="shared" ref="BB516:BB557" si="72">IF(C516="scheme",G516-SUM(AJ516:AS516),0)</f>
        <v>-40</v>
      </c>
      <c r="BC516" s="96" t="s">
        <v>256</v>
      </c>
      <c r="BD516" s="96" t="s">
        <v>1931</v>
      </c>
    </row>
    <row r="517" spans="1:56" ht="31" outlineLevel="1" x14ac:dyDescent="0.25">
      <c r="A517" s="1492"/>
      <c r="B517" s="1492" t="s">
        <v>2116</v>
      </c>
      <c r="C517" s="1492" t="s">
        <v>936</v>
      </c>
      <c r="D517" s="1488"/>
      <c r="E517" s="1495"/>
      <c r="F517" s="1413"/>
      <c r="G517" s="618"/>
      <c r="H517" s="1417">
        <f>SUM(W517:AB517)</f>
        <v>11</v>
      </c>
      <c r="I517" s="161"/>
      <c r="J517" s="161"/>
      <c r="K517" s="1413"/>
      <c r="L517" s="1414"/>
      <c r="M517" s="1414"/>
      <c r="N517" s="1414"/>
      <c r="O517" s="1551" t="s">
        <v>2379</v>
      </c>
      <c r="P517" s="1521"/>
      <c r="Q517" s="320"/>
      <c r="R517" s="320"/>
      <c r="S517" s="320"/>
      <c r="T517" s="320">
        <f t="shared" si="68"/>
        <v>0</v>
      </c>
      <c r="U517" s="320"/>
      <c r="V517" s="320"/>
      <c r="W517" s="1521"/>
      <c r="X517" s="1521">
        <v>5.5</v>
      </c>
      <c r="Y517" s="1521">
        <v>5.5</v>
      </c>
      <c r="Z517" s="1521"/>
      <c r="AA517" s="1521"/>
      <c r="AB517" s="1521"/>
      <c r="AC517" s="1521"/>
      <c r="AD517" s="1521"/>
      <c r="AE517" s="1521"/>
      <c r="AF517" s="1521"/>
      <c r="AG517" s="1521"/>
      <c r="AH517" s="1521"/>
      <c r="AI517" s="1521"/>
      <c r="AJ517" s="320"/>
      <c r="AK517" s="320"/>
      <c r="AL517" s="320"/>
      <c r="AM517" s="320"/>
      <c r="AN517" s="1523">
        <f t="shared" si="69"/>
        <v>0</v>
      </c>
      <c r="AO517" s="320"/>
      <c r="AP517" s="320"/>
      <c r="AQ517" s="1521"/>
      <c r="AR517" s="1521">
        <v>5.5</v>
      </c>
      <c r="AS517" s="1521">
        <v>5.5</v>
      </c>
      <c r="AT517" s="1521"/>
      <c r="AU517" s="1521"/>
      <c r="AV517" s="1521"/>
      <c r="AW517" s="320"/>
      <c r="AX517" s="161"/>
      <c r="AY517" s="1540"/>
      <c r="AZ517" s="1560" t="e">
        <f>#REF!-#REF!</f>
        <v>#REF!</v>
      </c>
      <c r="BA517" s="1560" t="e">
        <f>IF(C517="Scheme",IF(SUM(AJ517:AS517)&gt;0,IF(H517&lt;#REF!,H517-#REF!,0),0),0)</f>
        <v>#REF!</v>
      </c>
      <c r="BB517" s="1560">
        <f t="shared" si="72"/>
        <v>-11</v>
      </c>
      <c r="BC517" s="96" t="s">
        <v>256</v>
      </c>
      <c r="BD517" s="96" t="s">
        <v>1931</v>
      </c>
    </row>
    <row r="518" spans="1:56" ht="31" outlineLevel="1" x14ac:dyDescent="0.25">
      <c r="A518" s="1492"/>
      <c r="B518" s="1492" t="s">
        <v>2117</v>
      </c>
      <c r="C518" s="1492" t="s">
        <v>936</v>
      </c>
      <c r="D518" s="1488"/>
      <c r="E518" s="1495"/>
      <c r="F518" s="1413"/>
      <c r="G518" s="618"/>
      <c r="H518" s="1417">
        <f>SUM(W518:AB518)</f>
        <v>8</v>
      </c>
      <c r="I518" s="161"/>
      <c r="J518" s="161"/>
      <c r="K518" s="1413"/>
      <c r="L518" s="1414"/>
      <c r="M518" s="1414"/>
      <c r="N518" s="1414"/>
      <c r="O518" s="1551" t="s">
        <v>2380</v>
      </c>
      <c r="P518" s="1521"/>
      <c r="Q518" s="320"/>
      <c r="R518" s="320"/>
      <c r="S518" s="320"/>
      <c r="T518" s="320">
        <f t="shared" si="68"/>
        <v>0</v>
      </c>
      <c r="U518" s="320"/>
      <c r="V518" s="320"/>
      <c r="W518" s="1521"/>
      <c r="X518" s="1521">
        <v>5</v>
      </c>
      <c r="Y518" s="1521">
        <v>3</v>
      </c>
      <c r="Z518" s="1521"/>
      <c r="AA518" s="1521"/>
      <c r="AB518" s="1521"/>
      <c r="AC518" s="1521"/>
      <c r="AD518" s="1521"/>
      <c r="AE518" s="1521"/>
      <c r="AF518" s="1521"/>
      <c r="AG518" s="1521"/>
      <c r="AH518" s="1521"/>
      <c r="AI518" s="1521"/>
      <c r="AJ518" s="320"/>
      <c r="AK518" s="320"/>
      <c r="AL518" s="320"/>
      <c r="AM518" s="320"/>
      <c r="AN518" s="1523">
        <f t="shared" si="69"/>
        <v>0</v>
      </c>
      <c r="AO518" s="320"/>
      <c r="AP518" s="320"/>
      <c r="AQ518" s="1521"/>
      <c r="AR518" s="1521">
        <v>5</v>
      </c>
      <c r="AS518" s="1521">
        <v>3</v>
      </c>
      <c r="AT518" s="1521"/>
      <c r="AU518" s="1521"/>
      <c r="AV518" s="1521"/>
      <c r="AW518" s="320"/>
      <c r="AX518" s="161"/>
      <c r="AY518" s="1540"/>
      <c r="AZ518" s="1560" t="e">
        <f>#REF!-#REF!</f>
        <v>#REF!</v>
      </c>
      <c r="BA518" s="1560" t="e">
        <f>IF(C518="Scheme",IF(SUM(AJ518:AS518)&gt;0,IF(H518&lt;#REF!,H518-#REF!,0),0),0)</f>
        <v>#REF!</v>
      </c>
      <c r="BB518" s="1560">
        <f t="shared" si="72"/>
        <v>-8</v>
      </c>
      <c r="BC518" s="96" t="s">
        <v>256</v>
      </c>
      <c r="BD518" s="96" t="s">
        <v>1931</v>
      </c>
    </row>
    <row r="519" spans="1:56" ht="31" outlineLevel="1" x14ac:dyDescent="0.25">
      <c r="A519" s="1492"/>
      <c r="B519" s="1492" t="s">
        <v>2118</v>
      </c>
      <c r="C519" s="1492" t="s">
        <v>936</v>
      </c>
      <c r="D519" s="1488"/>
      <c r="E519" s="1495"/>
      <c r="F519" s="1413"/>
      <c r="G519" s="618"/>
      <c r="H519" s="1417">
        <f>SUM(W519:AB519)</f>
        <v>2</v>
      </c>
      <c r="I519" s="161"/>
      <c r="J519" s="161"/>
      <c r="K519" s="1413"/>
      <c r="L519" s="1414"/>
      <c r="M519" s="1414"/>
      <c r="N519" s="1414"/>
      <c r="O519" s="1551" t="s">
        <v>2380</v>
      </c>
      <c r="P519" s="1521"/>
      <c r="Q519" s="320"/>
      <c r="R519" s="320"/>
      <c r="S519" s="320"/>
      <c r="T519" s="320">
        <f t="shared" si="68"/>
        <v>0</v>
      </c>
      <c r="U519" s="320"/>
      <c r="V519" s="320"/>
      <c r="W519" s="1521"/>
      <c r="X519" s="1521">
        <v>2</v>
      </c>
      <c r="Y519" s="1521"/>
      <c r="Z519" s="1521"/>
      <c r="AA519" s="1521"/>
      <c r="AB519" s="1521"/>
      <c r="AC519" s="1521"/>
      <c r="AD519" s="1521"/>
      <c r="AE519" s="1521"/>
      <c r="AF519" s="1521"/>
      <c r="AG519" s="1521"/>
      <c r="AH519" s="1521"/>
      <c r="AI519" s="1521"/>
      <c r="AJ519" s="320"/>
      <c r="AK519" s="320"/>
      <c r="AL519" s="320"/>
      <c r="AM519" s="320"/>
      <c r="AN519" s="1523">
        <f t="shared" si="69"/>
        <v>0</v>
      </c>
      <c r="AO519" s="320"/>
      <c r="AP519" s="320"/>
      <c r="AQ519" s="1521"/>
      <c r="AR519" s="1521">
        <v>2</v>
      </c>
      <c r="AS519" s="1521"/>
      <c r="AT519" s="1521"/>
      <c r="AU519" s="1521"/>
      <c r="AV519" s="1521"/>
      <c r="AW519" s="320"/>
      <c r="AX519" s="161"/>
      <c r="AY519" s="1540"/>
      <c r="AZ519" s="1560" t="e">
        <f>#REF!-#REF!</f>
        <v>#REF!</v>
      </c>
      <c r="BA519" s="1560" t="e">
        <f>IF(C519="Scheme",IF(SUM(AJ519:AS519)&gt;0,IF(H519&lt;#REF!,H519-#REF!,0),0),0)</f>
        <v>#REF!</v>
      </c>
      <c r="BB519" s="1560">
        <f t="shared" si="72"/>
        <v>-2</v>
      </c>
      <c r="BC519" s="96" t="s">
        <v>256</v>
      </c>
      <c r="BD519" s="96" t="s">
        <v>1931</v>
      </c>
    </row>
    <row r="520" spans="1:56" ht="93" outlineLevel="1" x14ac:dyDescent="0.25">
      <c r="A520" s="1486">
        <v>3</v>
      </c>
      <c r="B520" s="1491" t="s">
        <v>2119</v>
      </c>
      <c r="C520" s="1486" t="s">
        <v>928</v>
      </c>
      <c r="D520" s="1488"/>
      <c r="E520" s="1495"/>
      <c r="F520" s="1413"/>
      <c r="G520" s="618"/>
      <c r="H520" s="1608">
        <v>56</v>
      </c>
      <c r="I520" s="161"/>
      <c r="J520" s="161"/>
      <c r="K520" s="1413"/>
      <c r="L520" s="1414"/>
      <c r="M520" s="1414"/>
      <c r="N520" s="1414"/>
      <c r="O520" s="1551"/>
      <c r="P520" s="1521"/>
      <c r="Q520" s="320"/>
      <c r="R520" s="320"/>
      <c r="S520" s="320"/>
      <c r="T520" s="320">
        <f t="shared" ref="T520:T583" si="73">SUM(P520:S520)</f>
        <v>0</v>
      </c>
      <c r="U520" s="320"/>
      <c r="V520" s="320"/>
      <c r="W520" s="1521"/>
      <c r="X520" s="1521"/>
      <c r="Y520" s="1521"/>
      <c r="Z520" s="1521"/>
      <c r="AA520" s="1521"/>
      <c r="AB520" s="1521"/>
      <c r="AC520" s="1521"/>
      <c r="AD520" s="1521"/>
      <c r="AE520" s="1521"/>
      <c r="AF520" s="1521"/>
      <c r="AG520" s="1521"/>
      <c r="AH520" s="1521"/>
      <c r="AI520" s="1521"/>
      <c r="AJ520" s="320"/>
      <c r="AK520" s="320"/>
      <c r="AL520" s="320"/>
      <c r="AM520" s="320"/>
      <c r="AN520" s="1523">
        <f t="shared" ref="AN520:AN583" si="74">SUM(AJ520:AM520)</f>
        <v>0</v>
      </c>
      <c r="AO520" s="320"/>
      <c r="AP520" s="320"/>
      <c r="AQ520" s="1521"/>
      <c r="AR520" s="1521"/>
      <c r="AS520" s="1521"/>
      <c r="AT520" s="1521"/>
      <c r="AU520" s="1521"/>
      <c r="AV520" s="1521"/>
      <c r="AW520" s="320"/>
      <c r="AX520" s="161"/>
      <c r="AY520" s="1540"/>
      <c r="AZ520" s="1560" t="e">
        <f>#REF!-#REF!</f>
        <v>#REF!</v>
      </c>
      <c r="BA520" s="1560">
        <f>IF(C520="Scheme",IF(SUM(AJ520:AS520)&gt;0,IF(H520&lt;#REF!,H520-#REF!,0),0),0)</f>
        <v>0</v>
      </c>
      <c r="BB520" s="1560">
        <f t="shared" si="72"/>
        <v>0</v>
      </c>
    </row>
    <row r="521" spans="1:56" ht="266" outlineLevel="1" x14ac:dyDescent="0.25">
      <c r="A521" s="1492"/>
      <c r="B521" s="1492" t="s">
        <v>2119</v>
      </c>
      <c r="C521" s="1492" t="s">
        <v>936</v>
      </c>
      <c r="D521" s="1488"/>
      <c r="E521" s="1495"/>
      <c r="F521" s="1413"/>
      <c r="G521" s="618"/>
      <c r="H521" s="1417">
        <f>SUM(W521:AB521)</f>
        <v>56</v>
      </c>
      <c r="I521" s="161"/>
      <c r="J521" s="161"/>
      <c r="K521" s="1413"/>
      <c r="L521" s="1414"/>
      <c r="M521" s="1414"/>
      <c r="N521" s="1414"/>
      <c r="O521" s="1551" t="s">
        <v>2381</v>
      </c>
      <c r="P521" s="1521"/>
      <c r="Q521" s="320"/>
      <c r="R521" s="320"/>
      <c r="S521" s="320"/>
      <c r="T521" s="320">
        <f t="shared" si="73"/>
        <v>0</v>
      </c>
      <c r="U521" s="320"/>
      <c r="V521" s="320"/>
      <c r="W521" s="1521"/>
      <c r="X521" s="1521">
        <v>28</v>
      </c>
      <c r="Y521" s="1521">
        <v>28</v>
      </c>
      <c r="Z521" s="1521"/>
      <c r="AA521" s="1521"/>
      <c r="AB521" s="1521"/>
      <c r="AC521" s="1521"/>
      <c r="AD521" s="1521"/>
      <c r="AE521" s="1521"/>
      <c r="AF521" s="1521"/>
      <c r="AG521" s="1521"/>
      <c r="AH521" s="1521"/>
      <c r="AI521" s="1521"/>
      <c r="AJ521" s="320"/>
      <c r="AK521" s="320"/>
      <c r="AL521" s="320"/>
      <c r="AM521" s="320"/>
      <c r="AN521" s="1523">
        <f t="shared" si="74"/>
        <v>0</v>
      </c>
      <c r="AO521" s="320"/>
      <c r="AP521" s="320"/>
      <c r="AQ521" s="1521"/>
      <c r="AR521" s="1521">
        <v>28</v>
      </c>
      <c r="AS521" s="1521">
        <v>28</v>
      </c>
      <c r="AT521" s="1521"/>
      <c r="AU521" s="1521"/>
      <c r="AV521" s="1521"/>
      <c r="AW521" s="320"/>
      <c r="AX521" s="161"/>
      <c r="AY521" s="1540"/>
      <c r="AZ521" s="1560" t="e">
        <f>#REF!-#REF!</f>
        <v>#REF!</v>
      </c>
      <c r="BA521" s="1560" t="e">
        <f>IF(C521="Scheme",IF(SUM(AJ521:AS521)&gt;0,IF(H521&lt;#REF!,H521-#REF!,0),0),0)</f>
        <v>#REF!</v>
      </c>
      <c r="BB521" s="1560">
        <f t="shared" si="72"/>
        <v>-56</v>
      </c>
      <c r="BC521" s="96" t="s">
        <v>256</v>
      </c>
      <c r="BD521" s="96" t="s">
        <v>1931</v>
      </c>
    </row>
    <row r="522" spans="1:56" ht="46.5" outlineLevel="1" x14ac:dyDescent="0.25">
      <c r="A522" s="1486">
        <v>4</v>
      </c>
      <c r="B522" s="1491" t="s">
        <v>2120</v>
      </c>
      <c r="C522" s="1486" t="s">
        <v>928</v>
      </c>
      <c r="D522" s="1488"/>
      <c r="E522" s="1495"/>
      <c r="F522" s="1413"/>
      <c r="G522" s="618"/>
      <c r="H522" s="1609">
        <v>58.37</v>
      </c>
      <c r="I522" s="161"/>
      <c r="J522" s="161"/>
      <c r="K522" s="1413"/>
      <c r="L522" s="1414"/>
      <c r="M522" s="1414"/>
      <c r="N522" s="1414"/>
      <c r="O522" s="1551" t="s">
        <v>2382</v>
      </c>
      <c r="P522" s="1521"/>
      <c r="Q522" s="320"/>
      <c r="R522" s="320"/>
      <c r="S522" s="320"/>
      <c r="T522" s="320">
        <f t="shared" si="73"/>
        <v>0</v>
      </c>
      <c r="U522" s="320"/>
      <c r="V522" s="320"/>
      <c r="W522" s="1521"/>
      <c r="X522" s="1521"/>
      <c r="Y522" s="1521"/>
      <c r="Z522" s="1521"/>
      <c r="AA522" s="1521"/>
      <c r="AB522" s="1521"/>
      <c r="AC522" s="1521"/>
      <c r="AD522" s="1521"/>
      <c r="AE522" s="1521"/>
      <c r="AF522" s="1521"/>
      <c r="AG522" s="1521"/>
      <c r="AH522" s="1521"/>
      <c r="AI522" s="1521"/>
      <c r="AJ522" s="320"/>
      <c r="AK522" s="320"/>
      <c r="AL522" s="320"/>
      <c r="AM522" s="320"/>
      <c r="AN522" s="1523">
        <f t="shared" si="74"/>
        <v>0</v>
      </c>
      <c r="AO522" s="320"/>
      <c r="AP522" s="320"/>
      <c r="AQ522" s="1521"/>
      <c r="AR522" s="1521"/>
      <c r="AS522" s="1521"/>
      <c r="AT522" s="1521"/>
      <c r="AU522" s="1521"/>
      <c r="AV522" s="1521"/>
      <c r="AW522" s="320"/>
      <c r="AX522" s="161"/>
      <c r="AY522" s="1540"/>
      <c r="AZ522" s="1560" t="e">
        <f>#REF!-#REF!</f>
        <v>#REF!</v>
      </c>
      <c r="BA522" s="1560">
        <f>IF(C522="Scheme",IF(SUM(AJ522:AS522)&gt;0,IF(H522&lt;#REF!,H522-#REF!,0),0),0)</f>
        <v>0</v>
      </c>
      <c r="BB522" s="1560">
        <f t="shared" si="72"/>
        <v>0</v>
      </c>
    </row>
    <row r="523" spans="1:56" ht="409.5" customHeight="1" outlineLevel="1" x14ac:dyDescent="0.25">
      <c r="A523" s="1492"/>
      <c r="B523" s="1492" t="s">
        <v>2121</v>
      </c>
      <c r="C523" s="1492" t="s">
        <v>936</v>
      </c>
      <c r="D523" s="1488"/>
      <c r="E523" s="1495"/>
      <c r="F523" s="1413"/>
      <c r="G523" s="618"/>
      <c r="H523" s="1417">
        <f>SUM(W523:AB523)</f>
        <v>20.190000000000001</v>
      </c>
      <c r="I523" s="161"/>
      <c r="J523" s="161"/>
      <c r="K523" s="1413"/>
      <c r="L523" s="1414"/>
      <c r="M523" s="1414"/>
      <c r="N523" s="1414"/>
      <c r="O523" s="1551" t="s">
        <v>2383</v>
      </c>
      <c r="P523" s="1521"/>
      <c r="Q523" s="320"/>
      <c r="R523" s="320"/>
      <c r="S523" s="320"/>
      <c r="T523" s="320">
        <f t="shared" si="73"/>
        <v>0</v>
      </c>
      <c r="U523" s="320"/>
      <c r="V523" s="320"/>
      <c r="W523" s="1521"/>
      <c r="X523" s="1521">
        <v>20.190000000000001</v>
      </c>
      <c r="Y523" s="1521"/>
      <c r="Z523" s="1521"/>
      <c r="AA523" s="1521"/>
      <c r="AB523" s="1521"/>
      <c r="AC523" s="1521"/>
      <c r="AD523" s="1521"/>
      <c r="AE523" s="1521"/>
      <c r="AF523" s="1521"/>
      <c r="AG523" s="1521"/>
      <c r="AH523" s="1521"/>
      <c r="AI523" s="1521"/>
      <c r="AJ523" s="320"/>
      <c r="AK523" s="320"/>
      <c r="AL523" s="320"/>
      <c r="AM523" s="320"/>
      <c r="AN523" s="1523">
        <f t="shared" si="74"/>
        <v>0</v>
      </c>
      <c r="AO523" s="320"/>
      <c r="AP523" s="320"/>
      <c r="AQ523" s="1521"/>
      <c r="AR523" s="1521">
        <v>20.190000000000001</v>
      </c>
      <c r="AS523" s="1521"/>
      <c r="AT523" s="1521"/>
      <c r="AU523" s="1521"/>
      <c r="AV523" s="1521"/>
      <c r="AW523" s="320"/>
      <c r="AX523" s="161"/>
      <c r="AY523" s="1540"/>
      <c r="AZ523" s="1560" t="e">
        <f>#REF!-#REF!</f>
        <v>#REF!</v>
      </c>
      <c r="BA523" s="1560" t="e">
        <f>IF(C523="Scheme",IF(SUM(AJ523:AS523)&gt;0,IF(H523&lt;#REF!,H523-#REF!,0),0),0)</f>
        <v>#REF!</v>
      </c>
      <c r="BB523" s="1560">
        <f t="shared" si="72"/>
        <v>-20.190000000000001</v>
      </c>
      <c r="BC523" s="96" t="s">
        <v>256</v>
      </c>
      <c r="BD523" s="96" t="s">
        <v>1931</v>
      </c>
    </row>
    <row r="524" spans="1:56" ht="308" outlineLevel="1" x14ac:dyDescent="0.25">
      <c r="A524" s="1492"/>
      <c r="B524" s="1492" t="s">
        <v>2122</v>
      </c>
      <c r="C524" s="1492" t="s">
        <v>936</v>
      </c>
      <c r="D524" s="1488"/>
      <c r="E524" s="1495"/>
      <c r="F524" s="1413"/>
      <c r="G524" s="618"/>
      <c r="H524" s="1417">
        <f>SUM(W524:AB524)</f>
        <v>38.18</v>
      </c>
      <c r="I524" s="161"/>
      <c r="J524" s="161"/>
      <c r="K524" s="1413"/>
      <c r="L524" s="1414"/>
      <c r="M524" s="1414"/>
      <c r="N524" s="1414"/>
      <c r="O524" s="1551" t="s">
        <v>2384</v>
      </c>
      <c r="P524" s="1521"/>
      <c r="Q524" s="320"/>
      <c r="R524" s="320"/>
      <c r="S524" s="320"/>
      <c r="T524" s="320">
        <f t="shared" si="73"/>
        <v>0</v>
      </c>
      <c r="U524" s="320"/>
      <c r="V524" s="320"/>
      <c r="W524" s="1521"/>
      <c r="X524" s="1521">
        <v>18.809999999999999</v>
      </c>
      <c r="Y524" s="1521">
        <v>19.37</v>
      </c>
      <c r="Z524" s="1521"/>
      <c r="AA524" s="1521"/>
      <c r="AB524" s="1521"/>
      <c r="AC524" s="1521"/>
      <c r="AD524" s="1521"/>
      <c r="AE524" s="1521"/>
      <c r="AF524" s="1521"/>
      <c r="AG524" s="1521"/>
      <c r="AH524" s="1521"/>
      <c r="AI524" s="1521"/>
      <c r="AJ524" s="320"/>
      <c r="AK524" s="320"/>
      <c r="AL524" s="320"/>
      <c r="AM524" s="320"/>
      <c r="AN524" s="1523">
        <f t="shared" si="74"/>
        <v>0</v>
      </c>
      <c r="AO524" s="320"/>
      <c r="AP524" s="320"/>
      <c r="AQ524" s="1521"/>
      <c r="AR524" s="1521">
        <v>18.809999999999999</v>
      </c>
      <c r="AS524" s="1521">
        <v>19.37</v>
      </c>
      <c r="AT524" s="1521"/>
      <c r="AU524" s="1521"/>
      <c r="AV524" s="1521"/>
      <c r="AW524" s="320"/>
      <c r="AX524" s="161"/>
      <c r="AY524" s="1540"/>
      <c r="AZ524" s="1560" t="e">
        <f>#REF!-#REF!</f>
        <v>#REF!</v>
      </c>
      <c r="BA524" s="1560" t="e">
        <f>IF(C524="Scheme",IF(SUM(AJ524:AS524)&gt;0,IF(H524&lt;#REF!,H524-#REF!,0),0),0)</f>
        <v>#REF!</v>
      </c>
      <c r="BB524" s="1560">
        <f t="shared" si="72"/>
        <v>-38.18</v>
      </c>
      <c r="BC524" s="96" t="s">
        <v>256</v>
      </c>
      <c r="BD524" s="96" t="s">
        <v>1931</v>
      </c>
    </row>
    <row r="525" spans="1:56" ht="62" outlineLevel="1" x14ac:dyDescent="0.25">
      <c r="A525" s="1486">
        <v>5</v>
      </c>
      <c r="B525" s="1491" t="s">
        <v>2123</v>
      </c>
      <c r="C525" s="1486" t="s">
        <v>928</v>
      </c>
      <c r="D525" s="1488"/>
      <c r="E525" s="1495"/>
      <c r="F525" s="1413"/>
      <c r="G525" s="618"/>
      <c r="H525" s="1607">
        <f>H526</f>
        <v>27.55</v>
      </c>
      <c r="I525" s="161"/>
      <c r="J525" s="161"/>
      <c r="K525" s="1413"/>
      <c r="L525" s="1414"/>
      <c r="M525" s="1414"/>
      <c r="N525" s="1414"/>
      <c r="O525" s="1551"/>
      <c r="P525" s="1521"/>
      <c r="Q525" s="320"/>
      <c r="R525" s="320"/>
      <c r="S525" s="320"/>
      <c r="T525" s="320">
        <f t="shared" si="73"/>
        <v>0</v>
      </c>
      <c r="U525" s="320"/>
      <c r="V525" s="320"/>
      <c r="W525" s="1521"/>
      <c r="X525" s="1521"/>
      <c r="Y525" s="1521"/>
      <c r="Z525" s="1521"/>
      <c r="AA525" s="1521"/>
      <c r="AB525" s="1521"/>
      <c r="AC525" s="1521"/>
      <c r="AD525" s="1521"/>
      <c r="AE525" s="1521"/>
      <c r="AF525" s="1521"/>
      <c r="AG525" s="1521"/>
      <c r="AH525" s="1521"/>
      <c r="AI525" s="1521"/>
      <c r="AJ525" s="320"/>
      <c r="AK525" s="320"/>
      <c r="AL525" s="320"/>
      <c r="AM525" s="320"/>
      <c r="AN525" s="1523">
        <f t="shared" si="74"/>
        <v>0</v>
      </c>
      <c r="AO525" s="320"/>
      <c r="AP525" s="320"/>
      <c r="AQ525" s="1521"/>
      <c r="AR525" s="1521"/>
      <c r="AS525" s="1521"/>
      <c r="AT525" s="1521"/>
      <c r="AU525" s="1521"/>
      <c r="AV525" s="1521"/>
      <c r="AW525" s="320"/>
      <c r="AX525" s="161"/>
      <c r="AY525" s="1540"/>
      <c r="AZ525" s="1560" t="e">
        <f>#REF!-#REF!</f>
        <v>#REF!</v>
      </c>
      <c r="BA525" s="1560">
        <f>IF(C525="Scheme",IF(SUM(AJ525:AS525)&gt;0,IF(H525&lt;#REF!,H525-#REF!,0),0),0)</f>
        <v>0</v>
      </c>
      <c r="BB525" s="1560">
        <f t="shared" si="72"/>
        <v>0</v>
      </c>
    </row>
    <row r="526" spans="1:56" ht="392" outlineLevel="1" x14ac:dyDescent="0.25">
      <c r="A526" s="1492"/>
      <c r="B526" s="1492" t="s">
        <v>2123</v>
      </c>
      <c r="C526" s="1492" t="s">
        <v>936</v>
      </c>
      <c r="D526" s="1488"/>
      <c r="E526" s="1495"/>
      <c r="F526" s="1413"/>
      <c r="G526" s="618"/>
      <c r="H526" s="1417">
        <f>SUM(W526:AB526)</f>
        <v>27.55</v>
      </c>
      <c r="I526" s="161"/>
      <c r="J526" s="161"/>
      <c r="K526" s="1413"/>
      <c r="L526" s="1414"/>
      <c r="M526" s="1414"/>
      <c r="N526" s="1414"/>
      <c r="O526" s="1551" t="s">
        <v>2385</v>
      </c>
      <c r="P526" s="1521"/>
      <c r="Q526" s="320"/>
      <c r="R526" s="320"/>
      <c r="S526" s="320"/>
      <c r="T526" s="320">
        <f t="shared" si="73"/>
        <v>0</v>
      </c>
      <c r="U526" s="320"/>
      <c r="V526" s="320"/>
      <c r="W526" s="1521"/>
      <c r="X526" s="1521">
        <v>17.55</v>
      </c>
      <c r="Y526" s="1521">
        <v>10</v>
      </c>
      <c r="Z526" s="1521"/>
      <c r="AA526" s="1521"/>
      <c r="AB526" s="1521"/>
      <c r="AC526" s="1521"/>
      <c r="AD526" s="1521"/>
      <c r="AE526" s="1521"/>
      <c r="AF526" s="1521"/>
      <c r="AG526" s="1521"/>
      <c r="AH526" s="1521"/>
      <c r="AI526" s="1521"/>
      <c r="AJ526" s="320"/>
      <c r="AK526" s="320"/>
      <c r="AL526" s="320"/>
      <c r="AM526" s="320"/>
      <c r="AN526" s="1523">
        <f t="shared" si="74"/>
        <v>0</v>
      </c>
      <c r="AO526" s="320"/>
      <c r="AP526" s="320"/>
      <c r="AQ526" s="1521"/>
      <c r="AR526" s="1521">
        <v>17.55</v>
      </c>
      <c r="AS526" s="1521">
        <v>10</v>
      </c>
      <c r="AT526" s="1521"/>
      <c r="AU526" s="1521"/>
      <c r="AV526" s="1521"/>
      <c r="AW526" s="320"/>
      <c r="AX526" s="161"/>
      <c r="AY526" s="1540"/>
      <c r="AZ526" s="1560" t="e">
        <f>#REF!-#REF!</f>
        <v>#REF!</v>
      </c>
      <c r="BA526" s="1560" t="e">
        <f>IF(C526="Scheme",IF(SUM(AJ526:AS526)&gt;0,IF(H526&lt;#REF!,H526-#REF!,0),0),0)</f>
        <v>#REF!</v>
      </c>
      <c r="BB526" s="1560">
        <f t="shared" si="72"/>
        <v>-27.55</v>
      </c>
      <c r="BC526" s="96" t="s">
        <v>256</v>
      </c>
      <c r="BD526" s="96" t="s">
        <v>1931</v>
      </c>
    </row>
    <row r="527" spans="1:56" ht="46.5" outlineLevel="1" x14ac:dyDescent="0.25">
      <c r="A527" s="1486">
        <v>6</v>
      </c>
      <c r="B527" s="1491" t="s">
        <v>2124</v>
      </c>
      <c r="C527" s="1486" t="s">
        <v>928</v>
      </c>
      <c r="D527" s="1488"/>
      <c r="E527" s="1495"/>
      <c r="F527" s="1413"/>
      <c r="G527" s="618"/>
      <c r="H527" s="1608">
        <v>81.06</v>
      </c>
      <c r="I527" s="161"/>
      <c r="J527" s="161"/>
      <c r="K527" s="1413"/>
      <c r="L527" s="1414"/>
      <c r="M527" s="1414"/>
      <c r="N527" s="1414"/>
      <c r="O527" s="1551"/>
      <c r="P527" s="1521"/>
      <c r="Q527" s="320"/>
      <c r="R527" s="320"/>
      <c r="S527" s="320"/>
      <c r="T527" s="320">
        <f t="shared" si="73"/>
        <v>0</v>
      </c>
      <c r="U527" s="320"/>
      <c r="V527" s="320"/>
      <c r="W527" s="1521"/>
      <c r="X527" s="1521"/>
      <c r="Y527" s="1521"/>
      <c r="Z527" s="1521"/>
      <c r="AA527" s="1521"/>
      <c r="AB527" s="1521"/>
      <c r="AC527" s="1521"/>
      <c r="AD527" s="1521"/>
      <c r="AE527" s="1521"/>
      <c r="AF527" s="1521"/>
      <c r="AG527" s="1521"/>
      <c r="AH527" s="1521"/>
      <c r="AI527" s="1521"/>
      <c r="AJ527" s="320"/>
      <c r="AK527" s="320"/>
      <c r="AL527" s="320"/>
      <c r="AM527" s="320"/>
      <c r="AN527" s="1523">
        <f t="shared" si="74"/>
        <v>0</v>
      </c>
      <c r="AO527" s="320"/>
      <c r="AP527" s="320"/>
      <c r="AQ527" s="1521"/>
      <c r="AR527" s="1521"/>
      <c r="AS527" s="1521"/>
      <c r="AT527" s="1521"/>
      <c r="AU527" s="1521"/>
      <c r="AV527" s="1521"/>
      <c r="AW527" s="320"/>
      <c r="AX527" s="161"/>
      <c r="AY527" s="1540"/>
      <c r="AZ527" s="1560" t="e">
        <f>#REF!-#REF!</f>
        <v>#REF!</v>
      </c>
      <c r="BA527" s="1560">
        <f>IF(C527="Scheme",IF(SUM(AJ527:AS527)&gt;0,IF(H527&lt;#REF!,H527-#REF!,0),0),0)</f>
        <v>0</v>
      </c>
      <c r="BB527" s="1560">
        <f t="shared" si="72"/>
        <v>0</v>
      </c>
    </row>
    <row r="528" spans="1:56" ht="409.5" customHeight="1" outlineLevel="1" x14ac:dyDescent="0.25">
      <c r="A528" s="1492"/>
      <c r="B528" s="1492" t="s">
        <v>2125</v>
      </c>
      <c r="C528" s="1492" t="s">
        <v>936</v>
      </c>
      <c r="D528" s="1488"/>
      <c r="E528" s="1495"/>
      <c r="F528" s="1413"/>
      <c r="G528" s="618"/>
      <c r="H528" s="1417">
        <f>SUM(W528:AB528)</f>
        <v>81.06</v>
      </c>
      <c r="I528" s="161"/>
      <c r="J528" s="161"/>
      <c r="K528" s="1413"/>
      <c r="L528" s="1414"/>
      <c r="M528" s="1414"/>
      <c r="N528" s="1414"/>
      <c r="O528" s="1551" t="s">
        <v>2386</v>
      </c>
      <c r="P528" s="1521"/>
      <c r="Q528" s="320"/>
      <c r="R528" s="320"/>
      <c r="S528" s="320"/>
      <c r="T528" s="320">
        <f t="shared" si="73"/>
        <v>0</v>
      </c>
      <c r="U528" s="320"/>
      <c r="V528" s="320"/>
      <c r="W528" s="1521"/>
      <c r="X528" s="1521"/>
      <c r="Y528" s="1521">
        <v>18.809999999999999</v>
      </c>
      <c r="Z528" s="1521">
        <v>19.75</v>
      </c>
      <c r="AA528" s="1521">
        <v>20.73</v>
      </c>
      <c r="AB528" s="1521">
        <v>21.77</v>
      </c>
      <c r="AC528" s="1521"/>
      <c r="AD528" s="1521"/>
      <c r="AE528" s="1521"/>
      <c r="AF528" s="1521"/>
      <c r="AG528" s="1521"/>
      <c r="AH528" s="1521"/>
      <c r="AI528" s="1521"/>
      <c r="AJ528" s="320"/>
      <c r="AK528" s="320"/>
      <c r="AL528" s="320"/>
      <c r="AM528" s="320"/>
      <c r="AN528" s="1523">
        <f t="shared" si="74"/>
        <v>0</v>
      </c>
      <c r="AO528" s="320"/>
      <c r="AP528" s="320"/>
      <c r="AQ528" s="1521"/>
      <c r="AR528" s="1521"/>
      <c r="AS528" s="1521">
        <v>18.809999999999999</v>
      </c>
      <c r="AT528" s="1521">
        <v>19.75</v>
      </c>
      <c r="AU528" s="1521">
        <v>20.73</v>
      </c>
      <c r="AV528" s="1521">
        <v>21.77</v>
      </c>
      <c r="AW528" s="320"/>
      <c r="AX528" s="161"/>
      <c r="AY528" s="1540"/>
      <c r="AZ528" s="1560" t="e">
        <f>#REF!-#REF!</f>
        <v>#REF!</v>
      </c>
      <c r="BA528" s="1560" t="e">
        <f>IF(C528="Scheme",IF(SUM(AJ528:AS528)&gt;0,IF(H528&lt;#REF!,H528-#REF!,0),0),0)</f>
        <v>#REF!</v>
      </c>
      <c r="BB528" s="1560">
        <f t="shared" si="72"/>
        <v>-18.809999999999999</v>
      </c>
      <c r="BC528" s="96" t="s">
        <v>256</v>
      </c>
      <c r="BD528" s="96" t="s">
        <v>1931</v>
      </c>
    </row>
    <row r="529" spans="1:56" ht="15.5" outlineLevel="1" x14ac:dyDescent="0.25">
      <c r="A529" s="1504"/>
      <c r="B529" s="1504" t="s">
        <v>2126</v>
      </c>
      <c r="C529" s="1504"/>
      <c r="D529" s="1488"/>
      <c r="E529" s="1495"/>
      <c r="F529" s="1413"/>
      <c r="G529" s="618"/>
      <c r="H529" s="161"/>
      <c r="I529" s="161"/>
      <c r="J529" s="161"/>
      <c r="K529" s="1413"/>
      <c r="L529" s="1414"/>
      <c r="M529" s="1414"/>
      <c r="N529" s="1414"/>
      <c r="O529" s="1551"/>
      <c r="P529" s="1521"/>
      <c r="Q529" s="320"/>
      <c r="R529" s="320"/>
      <c r="S529" s="320"/>
      <c r="T529" s="320">
        <f t="shared" si="73"/>
        <v>0</v>
      </c>
      <c r="U529" s="320"/>
      <c r="V529" s="320"/>
      <c r="W529" s="1521"/>
      <c r="X529" s="1521"/>
      <c r="Y529" s="1521"/>
      <c r="Z529" s="1521"/>
      <c r="AA529" s="1521"/>
      <c r="AB529" s="1521"/>
      <c r="AC529" s="1521"/>
      <c r="AD529" s="1521"/>
      <c r="AE529" s="1521"/>
      <c r="AF529" s="1521"/>
      <c r="AG529" s="1521"/>
      <c r="AH529" s="1521"/>
      <c r="AI529" s="1521"/>
      <c r="AJ529" s="320"/>
      <c r="AK529" s="320"/>
      <c r="AL529" s="320"/>
      <c r="AM529" s="320"/>
      <c r="AN529" s="1523">
        <f t="shared" si="74"/>
        <v>0</v>
      </c>
      <c r="AO529" s="320"/>
      <c r="AP529" s="320"/>
      <c r="AQ529" s="1521"/>
      <c r="AR529" s="1521"/>
      <c r="AS529" s="1521"/>
      <c r="AT529" s="1521"/>
      <c r="AU529" s="1521"/>
      <c r="AV529" s="1521"/>
      <c r="AW529" s="320"/>
      <c r="AX529" s="161"/>
      <c r="AY529" s="1540"/>
      <c r="AZ529" s="1560" t="e">
        <f>#REF!-#REF!</f>
        <v>#REF!</v>
      </c>
      <c r="BA529" s="1560">
        <f>IF(C529="Scheme",IF(SUM(AJ529:AS529)&gt;0,IF(H529&lt;#REF!,H529-#REF!,0),0),0)</f>
        <v>0</v>
      </c>
      <c r="BB529" s="1560">
        <f t="shared" si="72"/>
        <v>0</v>
      </c>
    </row>
    <row r="530" spans="1:56" ht="31" outlineLevel="1" x14ac:dyDescent="0.25">
      <c r="A530" s="1486">
        <v>1</v>
      </c>
      <c r="B530" s="1491" t="s">
        <v>2127</v>
      </c>
      <c r="C530" s="1486" t="s">
        <v>928</v>
      </c>
      <c r="D530" s="1488"/>
      <c r="E530" s="1495"/>
      <c r="F530" s="1413"/>
      <c r="G530" s="618"/>
      <c r="H530" s="1610">
        <v>95.65</v>
      </c>
      <c r="I530" s="161"/>
      <c r="J530" s="161"/>
      <c r="K530" s="1413"/>
      <c r="L530" s="1414"/>
      <c r="M530" s="1414"/>
      <c r="N530" s="1414"/>
      <c r="O530" s="1551"/>
      <c r="P530" s="1521"/>
      <c r="Q530" s="320"/>
      <c r="R530" s="320"/>
      <c r="S530" s="320"/>
      <c r="T530" s="320">
        <f t="shared" si="73"/>
        <v>0</v>
      </c>
      <c r="U530" s="320"/>
      <c r="V530" s="320"/>
      <c r="W530" s="1521"/>
      <c r="X530" s="1521"/>
      <c r="Y530" s="1521"/>
      <c r="Z530" s="1521"/>
      <c r="AA530" s="1521"/>
      <c r="AB530" s="1521"/>
      <c r="AC530" s="1521"/>
      <c r="AD530" s="1521"/>
      <c r="AE530" s="1521"/>
      <c r="AF530" s="1521"/>
      <c r="AG530" s="1521"/>
      <c r="AH530" s="1521"/>
      <c r="AI530" s="1521"/>
      <c r="AJ530" s="320"/>
      <c r="AK530" s="320"/>
      <c r="AL530" s="320"/>
      <c r="AM530" s="320"/>
      <c r="AN530" s="1523">
        <f t="shared" si="74"/>
        <v>0</v>
      </c>
      <c r="AO530" s="320"/>
      <c r="AP530" s="320"/>
      <c r="AQ530" s="1521"/>
      <c r="AR530" s="1521"/>
      <c r="AS530" s="1521"/>
      <c r="AT530" s="1521"/>
      <c r="AU530" s="1521"/>
      <c r="AV530" s="1521"/>
      <c r="AW530" s="320"/>
      <c r="AX530" s="161"/>
      <c r="AY530" s="1540"/>
      <c r="AZ530" s="1560" t="e">
        <f>#REF!-#REF!</f>
        <v>#REF!</v>
      </c>
      <c r="BA530" s="1560">
        <f>IF(C530="Scheme",IF(SUM(AJ530:AS530)&gt;0,IF(H530&lt;#REF!,H530-#REF!,0),0),0)</f>
        <v>0</v>
      </c>
      <c r="BB530" s="1560">
        <f t="shared" si="72"/>
        <v>0</v>
      </c>
    </row>
    <row r="531" spans="1:56" ht="31" outlineLevel="1" x14ac:dyDescent="0.25">
      <c r="A531" s="1492"/>
      <c r="B531" s="1492" t="s">
        <v>2128</v>
      </c>
      <c r="C531" s="1492" t="s">
        <v>936</v>
      </c>
      <c r="D531" s="1488"/>
      <c r="E531" s="1495"/>
      <c r="F531" s="1413"/>
      <c r="G531" s="618"/>
      <c r="H531" s="1417">
        <v>16</v>
      </c>
      <c r="I531" s="161"/>
      <c r="J531" s="161"/>
      <c r="K531" s="1413"/>
      <c r="L531" s="1414"/>
      <c r="M531" s="1414"/>
      <c r="N531" s="1414"/>
      <c r="O531" s="1551" t="s">
        <v>2387</v>
      </c>
      <c r="P531" s="1521"/>
      <c r="Q531" s="320"/>
      <c r="R531" s="320"/>
      <c r="S531" s="320"/>
      <c r="T531" s="320">
        <f t="shared" si="73"/>
        <v>0</v>
      </c>
      <c r="U531" s="320"/>
      <c r="V531" s="320"/>
      <c r="W531" s="1521"/>
      <c r="X531" s="1521"/>
      <c r="Y531" s="1521"/>
      <c r="Z531" s="1521">
        <v>16</v>
      </c>
      <c r="AA531" s="1521"/>
      <c r="AB531" s="1521"/>
      <c r="AC531" s="1521"/>
      <c r="AD531" s="1521"/>
      <c r="AE531" s="1521"/>
      <c r="AF531" s="1521"/>
      <c r="AG531" s="1521"/>
      <c r="AH531" s="1521"/>
      <c r="AI531" s="1521"/>
      <c r="AJ531" s="320"/>
      <c r="AK531" s="320"/>
      <c r="AL531" s="320"/>
      <c r="AM531" s="320"/>
      <c r="AN531" s="1523">
        <f t="shared" si="74"/>
        <v>0</v>
      </c>
      <c r="AO531" s="320"/>
      <c r="AP531" s="320"/>
      <c r="AQ531" s="1521"/>
      <c r="AR531" s="1521"/>
      <c r="AS531" s="1521"/>
      <c r="AT531" s="1521">
        <v>16</v>
      </c>
      <c r="AU531" s="1521"/>
      <c r="AV531" s="1521"/>
      <c r="AW531" s="320"/>
      <c r="AX531" s="161"/>
      <c r="AY531" s="1540"/>
      <c r="AZ531" s="1560" t="e">
        <f>#REF!-#REF!</f>
        <v>#REF!</v>
      </c>
      <c r="BA531" s="1560">
        <f>IF(C531="Scheme",IF(SUM(AJ531:AS531)&gt;0,IF(H531&lt;#REF!,H531-#REF!,0),0),0)</f>
        <v>0</v>
      </c>
      <c r="BB531" s="1560">
        <f t="shared" si="72"/>
        <v>0</v>
      </c>
      <c r="BC531" s="96" t="s">
        <v>256</v>
      </c>
      <c r="BD531" s="96" t="s">
        <v>1931</v>
      </c>
    </row>
    <row r="532" spans="1:56" ht="31" outlineLevel="1" x14ac:dyDescent="0.25">
      <c r="A532" s="1492"/>
      <c r="B532" s="1492" t="s">
        <v>2129</v>
      </c>
      <c r="C532" s="1492" t="s">
        <v>936</v>
      </c>
      <c r="D532" s="1488"/>
      <c r="E532" s="1495"/>
      <c r="F532" s="1413"/>
      <c r="G532" s="618"/>
      <c r="H532" s="1417">
        <f>SUM(W532:AB532)</f>
        <v>85.529939999999996</v>
      </c>
      <c r="I532" s="161"/>
      <c r="J532" s="161"/>
      <c r="K532" s="1413"/>
      <c r="L532" s="1414"/>
      <c r="M532" s="1414"/>
      <c r="N532" s="1414"/>
      <c r="O532" s="1551" t="s">
        <v>2388</v>
      </c>
      <c r="P532" s="1521"/>
      <c r="Q532" s="320"/>
      <c r="R532" s="320"/>
      <c r="S532" s="320"/>
      <c r="T532" s="320">
        <f t="shared" si="73"/>
        <v>0</v>
      </c>
      <c r="U532" s="320"/>
      <c r="V532" s="320"/>
      <c r="W532" s="1521"/>
      <c r="X532" s="1521"/>
      <c r="Y532" s="1521"/>
      <c r="Z532" s="1521"/>
      <c r="AA532" s="1521">
        <v>85.529939999999996</v>
      </c>
      <c r="AB532" s="1521"/>
      <c r="AC532" s="1521"/>
      <c r="AD532" s="1521"/>
      <c r="AE532" s="1521"/>
      <c r="AF532" s="1521"/>
      <c r="AG532" s="1521"/>
      <c r="AH532" s="1521"/>
      <c r="AI532" s="1521"/>
      <c r="AJ532" s="320"/>
      <c r="AK532" s="320"/>
      <c r="AL532" s="320"/>
      <c r="AM532" s="320"/>
      <c r="AN532" s="1523">
        <f t="shared" si="74"/>
        <v>0</v>
      </c>
      <c r="AO532" s="320"/>
      <c r="AP532" s="320"/>
      <c r="AQ532" s="1521"/>
      <c r="AR532" s="1521"/>
      <c r="AS532" s="1521"/>
      <c r="AT532" s="1521"/>
      <c r="AU532" s="1521">
        <v>85.529939999999996</v>
      </c>
      <c r="AV532" s="1521"/>
      <c r="AW532" s="320"/>
      <c r="AX532" s="161"/>
      <c r="AY532" s="1540"/>
      <c r="AZ532" s="1560" t="e">
        <f>#REF!-#REF!</f>
        <v>#REF!</v>
      </c>
      <c r="BA532" s="1560">
        <f>IF(C532="Scheme",IF(SUM(AJ532:AS532)&gt;0,IF(H532&lt;#REF!,H532-#REF!,0),0),0)</f>
        <v>0</v>
      </c>
      <c r="BB532" s="1560">
        <f t="shared" si="72"/>
        <v>0</v>
      </c>
      <c r="BC532" s="96" t="s">
        <v>844</v>
      </c>
      <c r="BD532" s="96" t="s">
        <v>1931</v>
      </c>
    </row>
    <row r="533" spans="1:56" ht="15.5" outlineLevel="1" x14ac:dyDescent="0.25">
      <c r="A533" s="1504"/>
      <c r="B533" s="1504" t="s">
        <v>2130</v>
      </c>
      <c r="C533" s="1504"/>
      <c r="D533" s="1488"/>
      <c r="E533" s="1495"/>
      <c r="F533" s="1413"/>
      <c r="G533" s="618"/>
      <c r="H533" s="1610"/>
      <c r="I533" s="161"/>
      <c r="J533" s="161"/>
      <c r="K533" s="1413"/>
      <c r="L533" s="1414"/>
      <c r="M533" s="1414"/>
      <c r="N533" s="1414"/>
      <c r="O533" s="1551"/>
      <c r="P533" s="1521"/>
      <c r="Q533" s="320"/>
      <c r="R533" s="320"/>
      <c r="S533" s="320"/>
      <c r="T533" s="320">
        <f t="shared" si="73"/>
        <v>0</v>
      </c>
      <c r="U533" s="320"/>
      <c r="V533" s="320"/>
      <c r="W533" s="1521"/>
      <c r="X533" s="1521"/>
      <c r="Y533" s="1521"/>
      <c r="Z533" s="1521"/>
      <c r="AA533" s="1521"/>
      <c r="AB533" s="1521"/>
      <c r="AC533" s="1521"/>
      <c r="AD533" s="1521"/>
      <c r="AE533" s="1521"/>
      <c r="AF533" s="1521"/>
      <c r="AG533" s="1521"/>
      <c r="AH533" s="1521"/>
      <c r="AI533" s="1521"/>
      <c r="AJ533" s="320"/>
      <c r="AK533" s="320"/>
      <c r="AL533" s="320"/>
      <c r="AM533" s="320"/>
      <c r="AN533" s="1523">
        <f t="shared" si="74"/>
        <v>0</v>
      </c>
      <c r="AO533" s="320"/>
      <c r="AP533" s="320"/>
      <c r="AQ533" s="1521"/>
      <c r="AR533" s="1521"/>
      <c r="AS533" s="1521"/>
      <c r="AT533" s="1521"/>
      <c r="AU533" s="1521"/>
      <c r="AV533" s="1521"/>
      <c r="AW533" s="320"/>
      <c r="AX533" s="161"/>
      <c r="AY533" s="1540"/>
      <c r="AZ533" s="1560" t="e">
        <f>#REF!-#REF!</f>
        <v>#REF!</v>
      </c>
      <c r="BA533" s="1560">
        <f>IF(C533="Scheme",IF(SUM(AJ533:AS533)&gt;0,IF(H533&lt;#REF!,H533-#REF!,0),0),0)</f>
        <v>0</v>
      </c>
      <c r="BB533" s="1560">
        <f t="shared" si="72"/>
        <v>0</v>
      </c>
    </row>
    <row r="534" spans="1:56" ht="62" outlineLevel="1" x14ac:dyDescent="0.25">
      <c r="A534" s="1486">
        <v>1</v>
      </c>
      <c r="B534" s="1491" t="s">
        <v>2131</v>
      </c>
      <c r="C534" s="1486" t="s">
        <v>928</v>
      </c>
      <c r="D534" s="1488"/>
      <c r="E534" s="1495"/>
      <c r="F534" s="1413"/>
      <c r="G534" s="618"/>
      <c r="H534" s="1610">
        <v>38</v>
      </c>
      <c r="I534" s="161"/>
      <c r="J534" s="161"/>
      <c r="K534" s="1413"/>
      <c r="L534" s="1414"/>
      <c r="M534" s="1414"/>
      <c r="N534" s="1414"/>
      <c r="O534" s="1551"/>
      <c r="P534" s="1521"/>
      <c r="Q534" s="320"/>
      <c r="R534" s="320"/>
      <c r="S534" s="320"/>
      <c r="T534" s="320">
        <f t="shared" si="73"/>
        <v>0</v>
      </c>
      <c r="U534" s="320"/>
      <c r="V534" s="320"/>
      <c r="W534" s="1521"/>
      <c r="X534" s="1521"/>
      <c r="Y534" s="1521"/>
      <c r="Z534" s="1521"/>
      <c r="AA534" s="1521"/>
      <c r="AB534" s="1521"/>
      <c r="AC534" s="1521"/>
      <c r="AD534" s="1521"/>
      <c r="AE534" s="1521"/>
      <c r="AF534" s="1521"/>
      <c r="AG534" s="1521"/>
      <c r="AH534" s="1521"/>
      <c r="AI534" s="1521"/>
      <c r="AJ534" s="320"/>
      <c r="AK534" s="320"/>
      <c r="AL534" s="320"/>
      <c r="AM534" s="320"/>
      <c r="AN534" s="1523">
        <f t="shared" si="74"/>
        <v>0</v>
      </c>
      <c r="AO534" s="320"/>
      <c r="AP534" s="320"/>
      <c r="AQ534" s="1521"/>
      <c r="AR534" s="1521"/>
      <c r="AS534" s="1521"/>
      <c r="AT534" s="1521"/>
      <c r="AU534" s="1521"/>
      <c r="AV534" s="1521"/>
      <c r="AW534" s="320"/>
      <c r="AX534" s="161"/>
      <c r="AY534" s="1540"/>
      <c r="AZ534" s="1560" t="e">
        <f>#REF!-#REF!</f>
        <v>#REF!</v>
      </c>
      <c r="BA534" s="1560">
        <f>IF(C534="Scheme",IF(SUM(AJ534:AS534)&gt;0,IF(H534&lt;#REF!,H534-#REF!,0),0),0)</f>
        <v>0</v>
      </c>
      <c r="BB534" s="1560">
        <f t="shared" si="72"/>
        <v>0</v>
      </c>
    </row>
    <row r="535" spans="1:56" ht="46.5" outlineLevel="1" x14ac:dyDescent="0.25">
      <c r="A535" s="1492"/>
      <c r="B535" s="1492" t="s">
        <v>2132</v>
      </c>
      <c r="C535" s="1492" t="s">
        <v>936</v>
      </c>
      <c r="D535" s="1488"/>
      <c r="E535" s="1495"/>
      <c r="F535" s="1413"/>
      <c r="G535" s="618"/>
      <c r="H535" s="1417">
        <f>SUM(W535:AB535)</f>
        <v>16</v>
      </c>
      <c r="I535" s="161"/>
      <c r="J535" s="161"/>
      <c r="K535" s="1413"/>
      <c r="L535" s="1414"/>
      <c r="M535" s="1414"/>
      <c r="N535" s="1414"/>
      <c r="O535" s="1551" t="s">
        <v>2389</v>
      </c>
      <c r="P535" s="1521"/>
      <c r="Q535" s="320"/>
      <c r="R535" s="320"/>
      <c r="S535" s="320"/>
      <c r="T535" s="320">
        <f t="shared" si="73"/>
        <v>0</v>
      </c>
      <c r="U535" s="320"/>
      <c r="V535" s="320"/>
      <c r="W535" s="1521"/>
      <c r="X535" s="1595">
        <v>16</v>
      </c>
      <c r="Y535" s="1521"/>
      <c r="Z535" s="1521"/>
      <c r="AA535" s="1521"/>
      <c r="AB535" s="1521"/>
      <c r="AC535" s="1521"/>
      <c r="AD535" s="1521"/>
      <c r="AE535" s="1521"/>
      <c r="AF535" s="1521"/>
      <c r="AG535" s="1521"/>
      <c r="AH535" s="1521"/>
      <c r="AI535" s="1521"/>
      <c r="AJ535" s="320"/>
      <c r="AK535" s="320"/>
      <c r="AL535" s="320"/>
      <c r="AM535" s="320"/>
      <c r="AN535" s="1523">
        <f t="shared" si="74"/>
        <v>0</v>
      </c>
      <c r="AO535" s="320"/>
      <c r="AP535" s="320"/>
      <c r="AQ535" s="1521"/>
      <c r="AR535" s="1595">
        <v>16</v>
      </c>
      <c r="AS535" s="1521"/>
      <c r="AT535" s="1521"/>
      <c r="AU535" s="1521"/>
      <c r="AV535" s="1521"/>
      <c r="AW535" s="320"/>
      <c r="AX535" s="161"/>
      <c r="AY535" s="1540"/>
      <c r="AZ535" s="1560" t="e">
        <f>#REF!-#REF!</f>
        <v>#REF!</v>
      </c>
      <c r="BA535" s="1560" t="e">
        <f>IF(C535="Scheme",IF(SUM(AJ535:AS535)&gt;0,IF(H535&lt;#REF!,H535-#REF!,0),0),0)</f>
        <v>#REF!</v>
      </c>
      <c r="BB535" s="1560">
        <f t="shared" si="72"/>
        <v>-16</v>
      </c>
      <c r="BC535" s="96" t="s">
        <v>256</v>
      </c>
      <c r="BD535" s="96" t="s">
        <v>1931</v>
      </c>
    </row>
    <row r="536" spans="1:56" ht="31" outlineLevel="1" x14ac:dyDescent="0.25">
      <c r="A536" s="1492"/>
      <c r="B536" s="1492" t="s">
        <v>2133</v>
      </c>
      <c r="C536" s="1492" t="s">
        <v>936</v>
      </c>
      <c r="D536" s="1488"/>
      <c r="E536" s="1495"/>
      <c r="F536" s="1413"/>
      <c r="G536" s="618"/>
      <c r="H536" s="1417">
        <f>SUM(W536:AB536)</f>
        <v>7</v>
      </c>
      <c r="I536" s="161"/>
      <c r="J536" s="161"/>
      <c r="K536" s="1413"/>
      <c r="L536" s="1414"/>
      <c r="M536" s="1414"/>
      <c r="N536" s="1414"/>
      <c r="O536" s="1551" t="s">
        <v>2389</v>
      </c>
      <c r="P536" s="1521"/>
      <c r="Q536" s="320"/>
      <c r="R536" s="320"/>
      <c r="S536" s="320"/>
      <c r="T536" s="320">
        <f t="shared" si="73"/>
        <v>0</v>
      </c>
      <c r="U536" s="320"/>
      <c r="V536" s="320"/>
      <c r="W536" s="1521"/>
      <c r="X536" s="1595">
        <v>7</v>
      </c>
      <c r="Y536" s="1521"/>
      <c r="Z536" s="1521"/>
      <c r="AA536" s="1521"/>
      <c r="AB536" s="1521"/>
      <c r="AC536" s="1521"/>
      <c r="AD536" s="1521"/>
      <c r="AE536" s="1521"/>
      <c r="AF536" s="1521"/>
      <c r="AG536" s="1521"/>
      <c r="AH536" s="1521"/>
      <c r="AI536" s="1521"/>
      <c r="AJ536" s="320"/>
      <c r="AK536" s="320"/>
      <c r="AL536" s="320"/>
      <c r="AM536" s="320"/>
      <c r="AN536" s="1523">
        <f t="shared" si="74"/>
        <v>0</v>
      </c>
      <c r="AO536" s="320"/>
      <c r="AP536" s="320"/>
      <c r="AQ536" s="1521"/>
      <c r="AR536" s="1595">
        <v>7</v>
      </c>
      <c r="AS536" s="1521"/>
      <c r="AT536" s="1521"/>
      <c r="AU536" s="1521"/>
      <c r="AV536" s="1521"/>
      <c r="AW536" s="320"/>
      <c r="AX536" s="161"/>
      <c r="AY536" s="1540"/>
      <c r="AZ536" s="1560" t="e">
        <f>#REF!-#REF!</f>
        <v>#REF!</v>
      </c>
      <c r="BA536" s="1560" t="e">
        <f>IF(C536="Scheme",IF(SUM(AJ536:AS536)&gt;0,IF(H536&lt;#REF!,H536-#REF!,0),0),0)</f>
        <v>#REF!</v>
      </c>
      <c r="BB536" s="1560">
        <f t="shared" si="72"/>
        <v>-7</v>
      </c>
      <c r="BC536" s="96" t="s">
        <v>256</v>
      </c>
      <c r="BD536" s="96" t="s">
        <v>1931</v>
      </c>
    </row>
    <row r="537" spans="1:56" ht="62" outlineLevel="1" x14ac:dyDescent="0.25">
      <c r="A537" s="1492"/>
      <c r="B537" s="1492" t="s">
        <v>2134</v>
      </c>
      <c r="C537" s="1492" t="s">
        <v>936</v>
      </c>
      <c r="D537" s="1488"/>
      <c r="E537" s="1495"/>
      <c r="F537" s="1413"/>
      <c r="G537" s="618"/>
      <c r="H537" s="1417">
        <f>SUM(W537:AB537)</f>
        <v>5</v>
      </c>
      <c r="I537" s="161"/>
      <c r="J537" s="161"/>
      <c r="K537" s="1413"/>
      <c r="L537" s="1414"/>
      <c r="M537" s="1414"/>
      <c r="N537" s="1414"/>
      <c r="O537" s="1551" t="s">
        <v>2389</v>
      </c>
      <c r="P537" s="1521"/>
      <c r="Q537" s="320"/>
      <c r="R537" s="320"/>
      <c r="S537" s="320"/>
      <c r="T537" s="320">
        <f t="shared" si="73"/>
        <v>0</v>
      </c>
      <c r="U537" s="320"/>
      <c r="V537" s="320"/>
      <c r="W537" s="1521"/>
      <c r="X537" s="1595">
        <v>5</v>
      </c>
      <c r="Y537" s="1521"/>
      <c r="Z537" s="1521"/>
      <c r="AA537" s="1521"/>
      <c r="AB537" s="1521"/>
      <c r="AC537" s="1521"/>
      <c r="AD537" s="1521"/>
      <c r="AE537" s="1521"/>
      <c r="AF537" s="1521"/>
      <c r="AG537" s="1521"/>
      <c r="AH537" s="1521"/>
      <c r="AI537" s="1521"/>
      <c r="AJ537" s="320"/>
      <c r="AK537" s="320"/>
      <c r="AL537" s="320"/>
      <c r="AM537" s="320"/>
      <c r="AN537" s="1523">
        <f t="shared" si="74"/>
        <v>0</v>
      </c>
      <c r="AO537" s="320"/>
      <c r="AP537" s="320"/>
      <c r="AQ537" s="1521"/>
      <c r="AR537" s="1595">
        <v>5</v>
      </c>
      <c r="AS537" s="1521"/>
      <c r="AT537" s="1521"/>
      <c r="AU537" s="1521"/>
      <c r="AV537" s="1521"/>
      <c r="AW537" s="320"/>
      <c r="AX537" s="161"/>
      <c r="AY537" s="1540"/>
      <c r="AZ537" s="1560" t="e">
        <f>#REF!-#REF!</f>
        <v>#REF!</v>
      </c>
      <c r="BA537" s="1560" t="e">
        <f>IF(C537="Scheme",IF(SUM(AJ537:AS537)&gt;0,IF(H537&lt;#REF!,H537-#REF!,0),0),0)</f>
        <v>#REF!</v>
      </c>
      <c r="BB537" s="1560">
        <f t="shared" si="72"/>
        <v>-5</v>
      </c>
      <c r="BC537" s="96" t="s">
        <v>256</v>
      </c>
      <c r="BD537" s="96" t="s">
        <v>1931</v>
      </c>
    </row>
    <row r="538" spans="1:56" ht="46.5" outlineLevel="1" x14ac:dyDescent="0.25">
      <c r="A538" s="1486">
        <v>2</v>
      </c>
      <c r="B538" s="1491" t="s">
        <v>2135</v>
      </c>
      <c r="C538" s="1486" t="s">
        <v>928</v>
      </c>
      <c r="D538" s="1488"/>
      <c r="E538" s="1495"/>
      <c r="F538" s="1413"/>
      <c r="G538" s="618"/>
      <c r="H538" s="1610">
        <v>75</v>
      </c>
      <c r="I538" s="161"/>
      <c r="J538" s="161"/>
      <c r="K538" s="1413"/>
      <c r="L538" s="1414"/>
      <c r="M538" s="1414"/>
      <c r="N538" s="1414"/>
      <c r="O538" s="1551"/>
      <c r="P538" s="1521"/>
      <c r="Q538" s="320"/>
      <c r="R538" s="320"/>
      <c r="S538" s="320"/>
      <c r="T538" s="320">
        <f t="shared" si="73"/>
        <v>0</v>
      </c>
      <c r="U538" s="320"/>
      <c r="V538" s="320"/>
      <c r="W538" s="1521"/>
      <c r="X538" s="1521"/>
      <c r="Y538" s="1521"/>
      <c r="Z538" s="1521"/>
      <c r="AA538" s="1521"/>
      <c r="AB538" s="1521"/>
      <c r="AC538" s="1521"/>
      <c r="AD538" s="1521"/>
      <c r="AE538" s="1521"/>
      <c r="AF538" s="1521"/>
      <c r="AG538" s="1521"/>
      <c r="AH538" s="1521"/>
      <c r="AI538" s="1521"/>
      <c r="AJ538" s="320"/>
      <c r="AK538" s="320"/>
      <c r="AL538" s="320"/>
      <c r="AM538" s="320"/>
      <c r="AN538" s="1523">
        <f t="shared" si="74"/>
        <v>0</v>
      </c>
      <c r="AO538" s="320"/>
      <c r="AP538" s="320"/>
      <c r="AQ538" s="1521"/>
      <c r="AR538" s="1521"/>
      <c r="AS538" s="1521"/>
      <c r="AT538" s="1521"/>
      <c r="AU538" s="1521"/>
      <c r="AV538" s="1521"/>
      <c r="AW538" s="320"/>
      <c r="AX538" s="161"/>
      <c r="AY538" s="1540"/>
      <c r="AZ538" s="1560" t="e">
        <f>#REF!-#REF!</f>
        <v>#REF!</v>
      </c>
      <c r="BA538" s="1560">
        <f>IF(C538="Scheme",IF(SUM(AJ538:AS538)&gt;0,IF(H538&lt;#REF!,H538-#REF!,0),0),0)</f>
        <v>0</v>
      </c>
      <c r="BB538" s="1560">
        <f t="shared" si="72"/>
        <v>0</v>
      </c>
    </row>
    <row r="539" spans="1:56" ht="31" outlineLevel="1" x14ac:dyDescent="0.25">
      <c r="A539" s="1492"/>
      <c r="B539" s="1492" t="s">
        <v>2136</v>
      </c>
      <c r="C539" s="1492" t="s">
        <v>936</v>
      </c>
      <c r="D539" s="1488"/>
      <c r="E539" s="1495"/>
      <c r="F539" s="1413"/>
      <c r="G539" s="618"/>
      <c r="H539" s="1417">
        <f>SUM(W539:AB539)</f>
        <v>39</v>
      </c>
      <c r="I539" s="161"/>
      <c r="J539" s="161"/>
      <c r="K539" s="1413"/>
      <c r="L539" s="1414"/>
      <c r="M539" s="1414"/>
      <c r="N539" s="1414"/>
      <c r="O539" s="1551" t="s">
        <v>2389</v>
      </c>
      <c r="P539" s="1521"/>
      <c r="Q539" s="320"/>
      <c r="R539" s="320"/>
      <c r="S539" s="320"/>
      <c r="T539" s="320">
        <f t="shared" si="73"/>
        <v>0</v>
      </c>
      <c r="U539" s="320"/>
      <c r="V539" s="320"/>
      <c r="W539" s="1521"/>
      <c r="X539" s="1595">
        <v>39</v>
      </c>
      <c r="Y539" s="1521"/>
      <c r="Z539" s="1521"/>
      <c r="AA539" s="1521"/>
      <c r="AB539" s="1521"/>
      <c r="AC539" s="1521"/>
      <c r="AD539" s="1521"/>
      <c r="AE539" s="1521"/>
      <c r="AF539" s="1521"/>
      <c r="AG539" s="1521"/>
      <c r="AH539" s="1521"/>
      <c r="AI539" s="1521"/>
      <c r="AJ539" s="320"/>
      <c r="AK539" s="320"/>
      <c r="AL539" s="320"/>
      <c r="AM539" s="320"/>
      <c r="AN539" s="1523">
        <f t="shared" si="74"/>
        <v>0</v>
      </c>
      <c r="AO539" s="320"/>
      <c r="AP539" s="320"/>
      <c r="AQ539" s="1521"/>
      <c r="AR539" s="1595">
        <v>39</v>
      </c>
      <c r="AS539" s="1521"/>
      <c r="AT539" s="1521"/>
      <c r="AU539" s="1521"/>
      <c r="AV539" s="1521"/>
      <c r="AW539" s="320"/>
      <c r="AX539" s="161"/>
      <c r="AY539" s="1540"/>
      <c r="AZ539" s="1560" t="e">
        <f>#REF!-#REF!</f>
        <v>#REF!</v>
      </c>
      <c r="BA539" s="1560" t="e">
        <f>IF(C539="Scheme",IF(SUM(AJ539:AS539)&gt;0,IF(H539&lt;#REF!,H539-#REF!,0),0),0)</f>
        <v>#REF!</v>
      </c>
      <c r="BB539" s="1560">
        <f t="shared" si="72"/>
        <v>-39</v>
      </c>
      <c r="BC539" s="96" t="s">
        <v>256</v>
      </c>
      <c r="BD539" s="96" t="s">
        <v>1931</v>
      </c>
    </row>
    <row r="540" spans="1:56" ht="31" outlineLevel="1" x14ac:dyDescent="0.25">
      <c r="A540" s="1492"/>
      <c r="B540" s="1492" t="s">
        <v>2137</v>
      </c>
      <c r="C540" s="1492" t="s">
        <v>936</v>
      </c>
      <c r="D540" s="1488"/>
      <c r="E540" s="1495"/>
      <c r="F540" s="1413"/>
      <c r="G540" s="618"/>
      <c r="H540" s="1417">
        <f>SUM(W540:AB540)</f>
        <v>15</v>
      </c>
      <c r="I540" s="161"/>
      <c r="J540" s="161"/>
      <c r="K540" s="1413"/>
      <c r="L540" s="1414"/>
      <c r="M540" s="1414"/>
      <c r="N540" s="1414"/>
      <c r="O540" s="1551" t="s">
        <v>2389</v>
      </c>
      <c r="P540" s="1521"/>
      <c r="Q540" s="320"/>
      <c r="R540" s="320"/>
      <c r="S540" s="320"/>
      <c r="T540" s="320">
        <f t="shared" si="73"/>
        <v>0</v>
      </c>
      <c r="U540" s="320"/>
      <c r="V540" s="320"/>
      <c r="W540" s="1521"/>
      <c r="X540" s="1595">
        <v>15</v>
      </c>
      <c r="Y540" s="1521"/>
      <c r="Z540" s="1521"/>
      <c r="AA540" s="1521"/>
      <c r="AB540" s="1521"/>
      <c r="AC540" s="1521"/>
      <c r="AD540" s="1521"/>
      <c r="AE540" s="1521"/>
      <c r="AF540" s="1521"/>
      <c r="AG540" s="1521"/>
      <c r="AH540" s="1521"/>
      <c r="AI540" s="1521"/>
      <c r="AJ540" s="320"/>
      <c r="AK540" s="320"/>
      <c r="AL540" s="320"/>
      <c r="AM540" s="320"/>
      <c r="AN540" s="1523">
        <f t="shared" si="74"/>
        <v>0</v>
      </c>
      <c r="AO540" s="320"/>
      <c r="AP540" s="320"/>
      <c r="AQ540" s="1521"/>
      <c r="AR540" s="1595">
        <v>15</v>
      </c>
      <c r="AS540" s="1521"/>
      <c r="AT540" s="1521"/>
      <c r="AU540" s="1521"/>
      <c r="AV540" s="1521"/>
      <c r="AW540" s="320"/>
      <c r="AX540" s="161"/>
      <c r="AY540" s="1540"/>
      <c r="AZ540" s="1560" t="e">
        <f>#REF!-#REF!</f>
        <v>#REF!</v>
      </c>
      <c r="BA540" s="1560" t="e">
        <f>IF(C540="Scheme",IF(SUM(AJ540:AS540)&gt;0,IF(H540&lt;#REF!,H540-#REF!,0),0),0)</f>
        <v>#REF!</v>
      </c>
      <c r="BB540" s="1560">
        <f t="shared" si="72"/>
        <v>-15</v>
      </c>
      <c r="BC540" s="96" t="s">
        <v>256</v>
      </c>
      <c r="BD540" s="96" t="s">
        <v>1931</v>
      </c>
    </row>
    <row r="541" spans="1:56" ht="46.5" outlineLevel="1" x14ac:dyDescent="0.25">
      <c r="A541" s="1492"/>
      <c r="B541" s="1492" t="s">
        <v>2138</v>
      </c>
      <c r="C541" s="1492" t="s">
        <v>936</v>
      </c>
      <c r="D541" s="1488"/>
      <c r="E541" s="1495"/>
      <c r="F541" s="1413"/>
      <c r="G541" s="618"/>
      <c r="H541" s="1417">
        <f>SUM(W541:AB541)</f>
        <v>11</v>
      </c>
      <c r="I541" s="161"/>
      <c r="J541" s="161"/>
      <c r="K541" s="1413"/>
      <c r="L541" s="1414"/>
      <c r="M541" s="1414"/>
      <c r="N541" s="1414"/>
      <c r="O541" s="1551" t="s">
        <v>2389</v>
      </c>
      <c r="P541" s="1521"/>
      <c r="Q541" s="320"/>
      <c r="R541" s="320"/>
      <c r="S541" s="320"/>
      <c r="T541" s="320">
        <f t="shared" si="73"/>
        <v>0</v>
      </c>
      <c r="U541" s="320"/>
      <c r="V541" s="320"/>
      <c r="W541" s="1521"/>
      <c r="X541" s="1595">
        <v>11</v>
      </c>
      <c r="Y541" s="1521"/>
      <c r="Z541" s="1521"/>
      <c r="AA541" s="1521"/>
      <c r="AB541" s="1521"/>
      <c r="AC541" s="1521"/>
      <c r="AD541" s="1521"/>
      <c r="AE541" s="1521"/>
      <c r="AF541" s="1521"/>
      <c r="AG541" s="1521"/>
      <c r="AH541" s="1521"/>
      <c r="AI541" s="1521"/>
      <c r="AJ541" s="320"/>
      <c r="AK541" s="320"/>
      <c r="AL541" s="320"/>
      <c r="AM541" s="320"/>
      <c r="AN541" s="1523">
        <f t="shared" si="74"/>
        <v>0</v>
      </c>
      <c r="AO541" s="320"/>
      <c r="AP541" s="320"/>
      <c r="AQ541" s="1521"/>
      <c r="AR541" s="1595">
        <v>11</v>
      </c>
      <c r="AS541" s="1521"/>
      <c r="AT541" s="1521"/>
      <c r="AU541" s="1521"/>
      <c r="AV541" s="1521"/>
      <c r="AW541" s="320"/>
      <c r="AX541" s="161"/>
      <c r="AY541" s="1540"/>
      <c r="AZ541" s="1560" t="e">
        <f>#REF!-#REF!</f>
        <v>#REF!</v>
      </c>
      <c r="BA541" s="1560" t="e">
        <f>IF(C541="Scheme",IF(SUM(AJ541:AS541)&gt;0,IF(H541&lt;#REF!,H541-#REF!,0),0),0)</f>
        <v>#REF!</v>
      </c>
      <c r="BB541" s="1560">
        <f t="shared" si="72"/>
        <v>-11</v>
      </c>
      <c r="BC541" s="96" t="s">
        <v>256</v>
      </c>
      <c r="BD541" s="96" t="s">
        <v>1931</v>
      </c>
    </row>
    <row r="542" spans="1:56" ht="31" outlineLevel="1" x14ac:dyDescent="0.25">
      <c r="A542" s="1492"/>
      <c r="B542" s="1492" t="s">
        <v>2139</v>
      </c>
      <c r="C542" s="1492" t="s">
        <v>936</v>
      </c>
      <c r="D542" s="1488"/>
      <c r="E542" s="1495"/>
      <c r="F542" s="1413"/>
      <c r="G542" s="618"/>
      <c r="H542" s="1417">
        <f>SUM(W542:AB542)</f>
        <v>10</v>
      </c>
      <c r="I542" s="161"/>
      <c r="J542" s="161"/>
      <c r="K542" s="1413"/>
      <c r="L542" s="1414"/>
      <c r="M542" s="1414"/>
      <c r="N542" s="1414"/>
      <c r="O542" s="1551" t="s">
        <v>2389</v>
      </c>
      <c r="P542" s="1521"/>
      <c r="Q542" s="320"/>
      <c r="R542" s="320"/>
      <c r="S542" s="320"/>
      <c r="T542" s="320">
        <f t="shared" si="73"/>
        <v>0</v>
      </c>
      <c r="U542" s="320"/>
      <c r="V542" s="320"/>
      <c r="W542" s="1521"/>
      <c r="X542" s="1595">
        <v>10</v>
      </c>
      <c r="Y542" s="1521"/>
      <c r="Z542" s="1521"/>
      <c r="AA542" s="1521"/>
      <c r="AB542" s="1521"/>
      <c r="AC542" s="1521"/>
      <c r="AD542" s="1521"/>
      <c r="AE542" s="1521"/>
      <c r="AF542" s="1521"/>
      <c r="AG542" s="1521"/>
      <c r="AH542" s="1521"/>
      <c r="AI542" s="1521"/>
      <c r="AJ542" s="320"/>
      <c r="AK542" s="320"/>
      <c r="AL542" s="320"/>
      <c r="AM542" s="320"/>
      <c r="AN542" s="1523">
        <f t="shared" si="74"/>
        <v>0</v>
      </c>
      <c r="AO542" s="320"/>
      <c r="AP542" s="320"/>
      <c r="AQ542" s="1521"/>
      <c r="AR542" s="1595">
        <v>10</v>
      </c>
      <c r="AS542" s="1521"/>
      <c r="AT542" s="1521"/>
      <c r="AU542" s="1521"/>
      <c r="AV542" s="1521"/>
      <c r="AW542" s="320"/>
      <c r="AX542" s="161"/>
      <c r="AY542" s="1540"/>
      <c r="AZ542" s="1560" t="e">
        <f>#REF!-#REF!</f>
        <v>#REF!</v>
      </c>
      <c r="BA542" s="1560" t="e">
        <f>IF(C542="Scheme",IF(SUM(AJ542:AS542)&gt;0,IF(H542&lt;#REF!,H542-#REF!,0),0),0)</f>
        <v>#REF!</v>
      </c>
      <c r="BB542" s="1560">
        <f t="shared" si="72"/>
        <v>-10</v>
      </c>
      <c r="BC542" s="96" t="s">
        <v>256</v>
      </c>
      <c r="BD542" s="96" t="s">
        <v>1931</v>
      </c>
    </row>
    <row r="543" spans="1:56" ht="62" outlineLevel="1" x14ac:dyDescent="0.25">
      <c r="A543" s="1486">
        <v>3</v>
      </c>
      <c r="B543" s="1491" t="s">
        <v>2140</v>
      </c>
      <c r="C543" s="1486" t="s">
        <v>928</v>
      </c>
      <c r="D543" s="1488"/>
      <c r="E543" s="1495"/>
      <c r="F543" s="1413"/>
      <c r="G543" s="618"/>
      <c r="H543" s="1610">
        <v>29</v>
      </c>
      <c r="I543" s="161"/>
      <c r="J543" s="161"/>
      <c r="K543" s="1413"/>
      <c r="L543" s="1414"/>
      <c r="M543" s="1414"/>
      <c r="N543" s="1414"/>
      <c r="O543" s="1551"/>
      <c r="P543" s="1521"/>
      <c r="Q543" s="320"/>
      <c r="R543" s="320"/>
      <c r="S543" s="320"/>
      <c r="T543" s="320">
        <f t="shared" si="73"/>
        <v>0</v>
      </c>
      <c r="U543" s="320"/>
      <c r="V543" s="320"/>
      <c r="W543" s="1521"/>
      <c r="X543" s="1521"/>
      <c r="Y543" s="1521"/>
      <c r="Z543" s="1521"/>
      <c r="AA543" s="1521"/>
      <c r="AB543" s="1521"/>
      <c r="AC543" s="1521"/>
      <c r="AD543" s="1521"/>
      <c r="AE543" s="1521"/>
      <c r="AF543" s="1521"/>
      <c r="AG543" s="1521"/>
      <c r="AH543" s="1521"/>
      <c r="AI543" s="1521"/>
      <c r="AJ543" s="320"/>
      <c r="AK543" s="320"/>
      <c r="AL543" s="320"/>
      <c r="AM543" s="320"/>
      <c r="AN543" s="1523">
        <f t="shared" si="74"/>
        <v>0</v>
      </c>
      <c r="AO543" s="320"/>
      <c r="AP543" s="320"/>
      <c r="AQ543" s="1521"/>
      <c r="AR543" s="1521"/>
      <c r="AS543" s="1521"/>
      <c r="AT543" s="1521"/>
      <c r="AU543" s="1521"/>
      <c r="AV543" s="1521"/>
      <c r="AW543" s="320"/>
      <c r="AX543" s="161"/>
      <c r="AY543" s="1540"/>
      <c r="AZ543" s="1560" t="e">
        <f>#REF!-#REF!</f>
        <v>#REF!</v>
      </c>
      <c r="BA543" s="1560">
        <f>IF(C543="Scheme",IF(SUM(AJ543:AS543)&gt;0,IF(H543&lt;#REF!,H543-#REF!,0),0),0)</f>
        <v>0</v>
      </c>
      <c r="BB543" s="1560">
        <f t="shared" si="72"/>
        <v>0</v>
      </c>
    </row>
    <row r="544" spans="1:56" ht="31" outlineLevel="1" x14ac:dyDescent="0.25">
      <c r="A544" s="1492"/>
      <c r="B544" s="1492" t="s">
        <v>2141</v>
      </c>
      <c r="C544" s="1492" t="s">
        <v>936</v>
      </c>
      <c r="D544" s="1488"/>
      <c r="E544" s="1495"/>
      <c r="F544" s="1413"/>
      <c r="G544" s="618"/>
      <c r="H544" s="1417">
        <f>SUM(W544:AB544)</f>
        <v>9</v>
      </c>
      <c r="I544" s="161"/>
      <c r="J544" s="161"/>
      <c r="K544" s="1413"/>
      <c r="L544" s="1414"/>
      <c r="M544" s="1414"/>
      <c r="N544" s="1414"/>
      <c r="O544" s="1551" t="s">
        <v>2389</v>
      </c>
      <c r="P544" s="1521"/>
      <c r="Q544" s="320"/>
      <c r="R544" s="320"/>
      <c r="S544" s="320"/>
      <c r="T544" s="320">
        <f t="shared" si="73"/>
        <v>0</v>
      </c>
      <c r="U544" s="320"/>
      <c r="V544" s="320"/>
      <c r="W544" s="1521"/>
      <c r="X544" s="1595">
        <v>9</v>
      </c>
      <c r="Y544" s="1521"/>
      <c r="Z544" s="1521"/>
      <c r="AA544" s="1521"/>
      <c r="AB544" s="1521"/>
      <c r="AC544" s="1521"/>
      <c r="AD544" s="1521"/>
      <c r="AE544" s="1521"/>
      <c r="AF544" s="1521"/>
      <c r="AG544" s="1521"/>
      <c r="AH544" s="1521"/>
      <c r="AI544" s="1521"/>
      <c r="AJ544" s="320"/>
      <c r="AK544" s="320"/>
      <c r="AL544" s="320"/>
      <c r="AM544" s="320"/>
      <c r="AN544" s="1523">
        <f t="shared" si="74"/>
        <v>0</v>
      </c>
      <c r="AO544" s="320"/>
      <c r="AP544" s="320"/>
      <c r="AQ544" s="1521"/>
      <c r="AR544" s="1595">
        <v>9</v>
      </c>
      <c r="AS544" s="1521"/>
      <c r="AT544" s="1521"/>
      <c r="AU544" s="1521"/>
      <c r="AV544" s="1521"/>
      <c r="AW544" s="320"/>
      <c r="AX544" s="161"/>
      <c r="AY544" s="1540"/>
      <c r="AZ544" s="1560" t="e">
        <f>#REF!-#REF!</f>
        <v>#REF!</v>
      </c>
      <c r="BA544" s="1560" t="e">
        <f>IF(C544="Scheme",IF(SUM(AJ544:AS544)&gt;0,IF(H544&lt;#REF!,H544-#REF!,0),0),0)</f>
        <v>#REF!</v>
      </c>
      <c r="BB544" s="1560">
        <f t="shared" si="72"/>
        <v>-9</v>
      </c>
      <c r="BC544" s="96" t="s">
        <v>256</v>
      </c>
      <c r="BD544" s="96" t="s">
        <v>1931</v>
      </c>
    </row>
    <row r="545" spans="1:56" ht="46.5" outlineLevel="1" x14ac:dyDescent="0.25">
      <c r="A545" s="1492"/>
      <c r="B545" s="1492" t="s">
        <v>2142</v>
      </c>
      <c r="C545" s="1492" t="s">
        <v>936</v>
      </c>
      <c r="D545" s="1488"/>
      <c r="E545" s="1495"/>
      <c r="F545" s="1413"/>
      <c r="G545" s="618"/>
      <c r="H545" s="1417">
        <f>SUM(W545:AB545)</f>
        <v>20</v>
      </c>
      <c r="I545" s="161"/>
      <c r="J545" s="161"/>
      <c r="K545" s="1413"/>
      <c r="L545" s="1414"/>
      <c r="M545" s="1414"/>
      <c r="N545" s="1414"/>
      <c r="O545" s="1551" t="s">
        <v>2389</v>
      </c>
      <c r="P545" s="1521"/>
      <c r="Q545" s="320"/>
      <c r="R545" s="320"/>
      <c r="S545" s="320"/>
      <c r="T545" s="320">
        <f t="shared" si="73"/>
        <v>0</v>
      </c>
      <c r="U545" s="320"/>
      <c r="V545" s="320"/>
      <c r="W545" s="1521"/>
      <c r="X545" s="1595">
        <v>20</v>
      </c>
      <c r="Y545" s="1521"/>
      <c r="Z545" s="1521"/>
      <c r="AA545" s="1521"/>
      <c r="AB545" s="1521"/>
      <c r="AC545" s="1521"/>
      <c r="AD545" s="1521"/>
      <c r="AE545" s="1521"/>
      <c r="AF545" s="1521"/>
      <c r="AG545" s="1521"/>
      <c r="AH545" s="1521"/>
      <c r="AI545" s="1521"/>
      <c r="AJ545" s="320"/>
      <c r="AK545" s="320"/>
      <c r="AL545" s="320"/>
      <c r="AM545" s="320"/>
      <c r="AN545" s="1523">
        <f t="shared" si="74"/>
        <v>0</v>
      </c>
      <c r="AO545" s="320"/>
      <c r="AP545" s="320"/>
      <c r="AQ545" s="1521"/>
      <c r="AR545" s="1595">
        <v>20</v>
      </c>
      <c r="AS545" s="1521"/>
      <c r="AT545" s="1521"/>
      <c r="AU545" s="1521"/>
      <c r="AV545" s="1521"/>
      <c r="AW545" s="320"/>
      <c r="AX545" s="161"/>
      <c r="AY545" s="1540"/>
      <c r="AZ545" s="1560" t="e">
        <f>#REF!-#REF!</f>
        <v>#REF!</v>
      </c>
      <c r="BA545" s="1560" t="e">
        <f>IF(C545="Scheme",IF(SUM(AJ545:AS545)&gt;0,IF(H545&lt;#REF!,H545-#REF!,0),0),0)</f>
        <v>#REF!</v>
      </c>
      <c r="BB545" s="1560">
        <f t="shared" si="72"/>
        <v>-20</v>
      </c>
      <c r="BC545" s="96" t="s">
        <v>256</v>
      </c>
      <c r="BD545" s="96" t="s">
        <v>1931</v>
      </c>
    </row>
    <row r="546" spans="1:56" ht="46.5" outlineLevel="1" x14ac:dyDescent="0.25">
      <c r="A546" s="1486">
        <v>4</v>
      </c>
      <c r="B546" s="1491" t="s">
        <v>2143</v>
      </c>
      <c r="C546" s="1486" t="s">
        <v>928</v>
      </c>
      <c r="D546" s="1488"/>
      <c r="E546" s="1495"/>
      <c r="F546" s="1413"/>
      <c r="G546" s="618"/>
      <c r="H546" s="1608">
        <v>29</v>
      </c>
      <c r="I546" s="161"/>
      <c r="J546" s="161"/>
      <c r="K546" s="1413"/>
      <c r="L546" s="1414"/>
      <c r="M546" s="1414"/>
      <c r="N546" s="1414"/>
      <c r="O546" s="1551"/>
      <c r="P546" s="1521"/>
      <c r="Q546" s="320"/>
      <c r="R546" s="320"/>
      <c r="S546" s="320"/>
      <c r="T546" s="320">
        <f t="shared" si="73"/>
        <v>0</v>
      </c>
      <c r="U546" s="320"/>
      <c r="V546" s="320"/>
      <c r="W546" s="1521"/>
      <c r="X546" s="1521"/>
      <c r="Y546" s="1521"/>
      <c r="Z546" s="1521"/>
      <c r="AA546" s="1521"/>
      <c r="AB546" s="1521"/>
      <c r="AC546" s="1521"/>
      <c r="AD546" s="1521"/>
      <c r="AE546" s="1521"/>
      <c r="AF546" s="1521"/>
      <c r="AG546" s="1521"/>
      <c r="AH546" s="1521"/>
      <c r="AI546" s="1521"/>
      <c r="AJ546" s="320"/>
      <c r="AK546" s="320"/>
      <c r="AL546" s="320"/>
      <c r="AM546" s="320"/>
      <c r="AN546" s="1523">
        <f t="shared" si="74"/>
        <v>0</v>
      </c>
      <c r="AO546" s="320"/>
      <c r="AP546" s="320"/>
      <c r="AQ546" s="1521"/>
      <c r="AR546" s="1521"/>
      <c r="AS546" s="1521"/>
      <c r="AT546" s="1521"/>
      <c r="AU546" s="1521"/>
      <c r="AV546" s="1521"/>
      <c r="AW546" s="320"/>
      <c r="AX546" s="161"/>
      <c r="AY546" s="1540"/>
      <c r="AZ546" s="1560" t="e">
        <f>#REF!-#REF!</f>
        <v>#REF!</v>
      </c>
      <c r="BA546" s="1560">
        <f>IF(C546="Scheme",IF(SUM(AJ546:AS546)&gt;0,IF(H546&lt;#REF!,H546-#REF!,0),0),0)</f>
        <v>0</v>
      </c>
      <c r="BB546" s="1560">
        <f t="shared" si="72"/>
        <v>0</v>
      </c>
    </row>
    <row r="547" spans="1:56" ht="31" outlineLevel="1" x14ac:dyDescent="0.25">
      <c r="A547" s="1492"/>
      <c r="B547" s="1492" t="s">
        <v>2144</v>
      </c>
      <c r="C547" s="1492" t="s">
        <v>936</v>
      </c>
      <c r="D547" s="1488"/>
      <c r="E547" s="1495"/>
      <c r="F547" s="1413"/>
      <c r="G547" s="618"/>
      <c r="H547" s="1417">
        <f>SUM(W547:AB547)</f>
        <v>8</v>
      </c>
      <c r="I547" s="161"/>
      <c r="J547" s="161"/>
      <c r="K547" s="1413"/>
      <c r="L547" s="1414"/>
      <c r="M547" s="1414"/>
      <c r="N547" s="1414"/>
      <c r="O547" s="1551" t="s">
        <v>2389</v>
      </c>
      <c r="P547" s="1521"/>
      <c r="Q547" s="320"/>
      <c r="R547" s="320"/>
      <c r="S547" s="320"/>
      <c r="T547" s="320">
        <f t="shared" si="73"/>
        <v>0</v>
      </c>
      <c r="U547" s="320"/>
      <c r="V547" s="320"/>
      <c r="W547" s="1521"/>
      <c r="X547" s="1595">
        <v>8</v>
      </c>
      <c r="Y547" s="1521"/>
      <c r="Z547" s="1521"/>
      <c r="AA547" s="1521"/>
      <c r="AB547" s="1521"/>
      <c r="AC547" s="1521"/>
      <c r="AD547" s="1521"/>
      <c r="AE547" s="1521"/>
      <c r="AF547" s="1521"/>
      <c r="AG547" s="1521"/>
      <c r="AH547" s="1521"/>
      <c r="AI547" s="1521"/>
      <c r="AJ547" s="320"/>
      <c r="AK547" s="320"/>
      <c r="AL547" s="320"/>
      <c r="AM547" s="320"/>
      <c r="AN547" s="1523">
        <f t="shared" si="74"/>
        <v>0</v>
      </c>
      <c r="AO547" s="320"/>
      <c r="AP547" s="320"/>
      <c r="AQ547" s="1521"/>
      <c r="AR547" s="1595">
        <v>8</v>
      </c>
      <c r="AS547" s="1521"/>
      <c r="AT547" s="1521"/>
      <c r="AU547" s="1521"/>
      <c r="AV547" s="1521"/>
      <c r="AW547" s="320"/>
      <c r="AX547" s="161"/>
      <c r="AY547" s="1540"/>
      <c r="AZ547" s="1560" t="e">
        <f>#REF!-#REF!</f>
        <v>#REF!</v>
      </c>
      <c r="BA547" s="1560" t="e">
        <f>IF(C547="Scheme",IF(SUM(AJ547:AS547)&gt;0,IF(H547&lt;#REF!,H547-#REF!,0),0),0)</f>
        <v>#REF!</v>
      </c>
      <c r="BB547" s="1560">
        <f t="shared" si="72"/>
        <v>-8</v>
      </c>
      <c r="BC547" s="96" t="s">
        <v>256</v>
      </c>
      <c r="BD547" s="96" t="s">
        <v>1931</v>
      </c>
    </row>
    <row r="548" spans="1:56" ht="63" customHeight="1" outlineLevel="1" x14ac:dyDescent="0.25">
      <c r="A548" s="1492"/>
      <c r="B548" s="1492" t="s">
        <v>2145</v>
      </c>
      <c r="C548" s="1492" t="s">
        <v>936</v>
      </c>
      <c r="D548" s="1488"/>
      <c r="E548" s="1495"/>
      <c r="F548" s="1413"/>
      <c r="G548" s="618"/>
      <c r="H548" s="1417">
        <f>SUM(W548:AB548)</f>
        <v>4</v>
      </c>
      <c r="I548" s="161"/>
      <c r="J548" s="161"/>
      <c r="K548" s="1413"/>
      <c r="L548" s="1414"/>
      <c r="M548" s="1414"/>
      <c r="N548" s="1414"/>
      <c r="O548" s="1551" t="s">
        <v>2389</v>
      </c>
      <c r="P548" s="1521"/>
      <c r="Q548" s="320"/>
      <c r="R548" s="320"/>
      <c r="S548" s="320"/>
      <c r="T548" s="320">
        <f t="shared" si="73"/>
        <v>0</v>
      </c>
      <c r="U548" s="320"/>
      <c r="V548" s="320"/>
      <c r="W548" s="1521"/>
      <c r="X548" s="1595">
        <v>4</v>
      </c>
      <c r="Y548" s="1521"/>
      <c r="Z548" s="1521"/>
      <c r="AA548" s="1521"/>
      <c r="AB548" s="1521"/>
      <c r="AC548" s="1521"/>
      <c r="AD548" s="1521"/>
      <c r="AE548" s="1521"/>
      <c r="AF548" s="1521"/>
      <c r="AG548" s="1521"/>
      <c r="AH548" s="1521"/>
      <c r="AI548" s="1521"/>
      <c r="AJ548" s="320"/>
      <c r="AK548" s="320"/>
      <c r="AL548" s="320"/>
      <c r="AM548" s="320"/>
      <c r="AN548" s="1523">
        <f t="shared" si="74"/>
        <v>0</v>
      </c>
      <c r="AO548" s="320"/>
      <c r="AP548" s="320"/>
      <c r="AQ548" s="1521"/>
      <c r="AR548" s="1595">
        <v>4</v>
      </c>
      <c r="AS548" s="1521"/>
      <c r="AT548" s="1521"/>
      <c r="AU548" s="1521"/>
      <c r="AV548" s="1521"/>
      <c r="AW548" s="320"/>
      <c r="AX548" s="161"/>
      <c r="AY548" s="1540"/>
      <c r="AZ548" s="1560" t="e">
        <f>#REF!-#REF!</f>
        <v>#REF!</v>
      </c>
      <c r="BA548" s="1560" t="e">
        <f>IF(C548="Scheme",IF(SUM(AJ548:AS548)&gt;0,IF(H548&lt;#REF!,H548-#REF!,0),0),0)</f>
        <v>#REF!</v>
      </c>
      <c r="BB548" s="1560">
        <f t="shared" si="72"/>
        <v>-4</v>
      </c>
      <c r="BC548" s="96" t="s">
        <v>256</v>
      </c>
      <c r="BD548" s="96" t="s">
        <v>1931</v>
      </c>
    </row>
    <row r="549" spans="1:56" ht="46.5" outlineLevel="1" x14ac:dyDescent="0.25">
      <c r="A549" s="1492"/>
      <c r="B549" s="1492" t="s">
        <v>2146</v>
      </c>
      <c r="C549" s="1492" t="s">
        <v>936</v>
      </c>
      <c r="D549" s="1488"/>
      <c r="E549" s="1495"/>
      <c r="F549" s="1413"/>
      <c r="G549" s="618"/>
      <c r="H549" s="1417">
        <f>SUM(W549:AB549)</f>
        <v>8</v>
      </c>
      <c r="I549" s="161"/>
      <c r="J549" s="161"/>
      <c r="K549" s="1413"/>
      <c r="L549" s="1414"/>
      <c r="M549" s="1414"/>
      <c r="N549" s="1414"/>
      <c r="O549" s="1551" t="s">
        <v>2389</v>
      </c>
      <c r="P549" s="1521"/>
      <c r="Q549" s="320"/>
      <c r="R549" s="320"/>
      <c r="S549" s="320"/>
      <c r="T549" s="320">
        <f t="shared" si="73"/>
        <v>0</v>
      </c>
      <c r="U549" s="320"/>
      <c r="V549" s="320"/>
      <c r="W549" s="1521"/>
      <c r="X549" s="1595">
        <v>5</v>
      </c>
      <c r="Y549" s="1521"/>
      <c r="Z549" s="1595">
        <v>3</v>
      </c>
      <c r="AA549" s="1521"/>
      <c r="AB549" s="1521"/>
      <c r="AC549" s="1521"/>
      <c r="AD549" s="1521"/>
      <c r="AE549" s="1521"/>
      <c r="AF549" s="1521"/>
      <c r="AG549" s="1521"/>
      <c r="AH549" s="1521"/>
      <c r="AI549" s="1521"/>
      <c r="AJ549" s="320"/>
      <c r="AK549" s="320"/>
      <c r="AL549" s="320"/>
      <c r="AM549" s="320"/>
      <c r="AN549" s="1523">
        <f t="shared" si="74"/>
        <v>0</v>
      </c>
      <c r="AO549" s="320"/>
      <c r="AP549" s="320"/>
      <c r="AQ549" s="1521"/>
      <c r="AR549" s="1595">
        <v>5</v>
      </c>
      <c r="AS549" s="1521"/>
      <c r="AT549" s="1595">
        <v>3</v>
      </c>
      <c r="AU549" s="1521"/>
      <c r="AV549" s="1521"/>
      <c r="AW549" s="320"/>
      <c r="AX549" s="161"/>
      <c r="AY549" s="1540"/>
      <c r="AZ549" s="1560" t="e">
        <f>#REF!-#REF!</f>
        <v>#REF!</v>
      </c>
      <c r="BA549" s="1560" t="e">
        <f>IF(C549="Scheme",IF(SUM(AJ549:AS549)&gt;0,IF(H549&lt;#REF!,H549-#REF!,0),0),0)</f>
        <v>#REF!</v>
      </c>
      <c r="BB549" s="1560">
        <f t="shared" si="72"/>
        <v>-5</v>
      </c>
      <c r="BC549" s="96" t="s">
        <v>256</v>
      </c>
      <c r="BD549" s="96" t="s">
        <v>1931</v>
      </c>
    </row>
    <row r="550" spans="1:56" ht="46.5" outlineLevel="1" x14ac:dyDescent="0.25">
      <c r="A550" s="1492"/>
      <c r="B550" s="1492" t="s">
        <v>2147</v>
      </c>
      <c r="C550" s="1492" t="s">
        <v>936</v>
      </c>
      <c r="D550" s="1488"/>
      <c r="E550" s="1495"/>
      <c r="F550" s="1413"/>
      <c r="G550" s="618"/>
      <c r="H550" s="1417">
        <f>SUM(W550:AB550)</f>
        <v>4</v>
      </c>
      <c r="I550" s="161"/>
      <c r="J550" s="161"/>
      <c r="K550" s="1413"/>
      <c r="L550" s="1414"/>
      <c r="M550" s="1414"/>
      <c r="N550" s="1414"/>
      <c r="O550" s="1551" t="s">
        <v>2389</v>
      </c>
      <c r="P550" s="1521"/>
      <c r="Q550" s="320"/>
      <c r="R550" s="320"/>
      <c r="S550" s="320"/>
      <c r="T550" s="320">
        <f t="shared" si="73"/>
        <v>0</v>
      </c>
      <c r="U550" s="320"/>
      <c r="V550" s="320"/>
      <c r="W550" s="1521"/>
      <c r="X550" s="1595">
        <v>4</v>
      </c>
      <c r="Y550" s="1521"/>
      <c r="Z550" s="1521"/>
      <c r="AA550" s="1521"/>
      <c r="AB550" s="1521"/>
      <c r="AC550" s="1521"/>
      <c r="AD550" s="1521"/>
      <c r="AE550" s="1521"/>
      <c r="AF550" s="1521"/>
      <c r="AG550" s="1521"/>
      <c r="AH550" s="1521"/>
      <c r="AI550" s="1521"/>
      <c r="AJ550" s="320"/>
      <c r="AK550" s="320"/>
      <c r="AL550" s="320"/>
      <c r="AM550" s="320"/>
      <c r="AN550" s="1523">
        <f t="shared" si="74"/>
        <v>0</v>
      </c>
      <c r="AO550" s="320"/>
      <c r="AP550" s="320"/>
      <c r="AQ550" s="1521"/>
      <c r="AR550" s="1595">
        <v>4</v>
      </c>
      <c r="AS550" s="1521"/>
      <c r="AT550" s="1521"/>
      <c r="AU550" s="1521"/>
      <c r="AV550" s="1521"/>
      <c r="AW550" s="320"/>
      <c r="AX550" s="161"/>
      <c r="AY550" s="1540"/>
      <c r="AZ550" s="1560" t="e">
        <f>#REF!-#REF!</f>
        <v>#REF!</v>
      </c>
      <c r="BA550" s="1560" t="e">
        <f>IF(C550="Scheme",IF(SUM(AJ550:AS550)&gt;0,IF(H550&lt;#REF!,H550-#REF!,0),0),0)</f>
        <v>#REF!</v>
      </c>
      <c r="BB550" s="1560">
        <f t="shared" si="72"/>
        <v>-4</v>
      </c>
      <c r="BC550" s="96" t="s">
        <v>256</v>
      </c>
      <c r="BD550" s="96" t="s">
        <v>1931</v>
      </c>
    </row>
    <row r="551" spans="1:56" ht="46.5" outlineLevel="1" x14ac:dyDescent="0.25">
      <c r="A551" s="1492"/>
      <c r="B551" s="1492" t="s">
        <v>2148</v>
      </c>
      <c r="C551" s="1492" t="s">
        <v>936</v>
      </c>
      <c r="D551" s="1488"/>
      <c r="E551" s="1495"/>
      <c r="F551" s="1413"/>
      <c r="G551" s="618"/>
      <c r="H551" s="1417">
        <f>SUM(W551:AB551)</f>
        <v>5</v>
      </c>
      <c r="I551" s="161"/>
      <c r="J551" s="161"/>
      <c r="K551" s="1413"/>
      <c r="L551" s="1414"/>
      <c r="M551" s="1414"/>
      <c r="N551" s="1414"/>
      <c r="O551" s="1551" t="s">
        <v>2389</v>
      </c>
      <c r="P551" s="1521"/>
      <c r="Q551" s="320"/>
      <c r="R551" s="320"/>
      <c r="S551" s="320"/>
      <c r="T551" s="320">
        <f t="shared" si="73"/>
        <v>0</v>
      </c>
      <c r="U551" s="320"/>
      <c r="V551" s="320"/>
      <c r="W551" s="1521"/>
      <c r="X551" s="1595">
        <v>5</v>
      </c>
      <c r="Y551" s="1521"/>
      <c r="Z551" s="1521"/>
      <c r="AA551" s="1521"/>
      <c r="AB551" s="1521"/>
      <c r="AC551" s="1521"/>
      <c r="AD551" s="1521"/>
      <c r="AE551" s="1521"/>
      <c r="AF551" s="1521"/>
      <c r="AG551" s="1521"/>
      <c r="AH551" s="1521"/>
      <c r="AI551" s="1521"/>
      <c r="AJ551" s="320"/>
      <c r="AK551" s="320"/>
      <c r="AL551" s="320"/>
      <c r="AM551" s="320"/>
      <c r="AN551" s="1523">
        <f t="shared" si="74"/>
        <v>0</v>
      </c>
      <c r="AO551" s="320"/>
      <c r="AP551" s="320"/>
      <c r="AQ551" s="1521"/>
      <c r="AR551" s="1595">
        <v>5</v>
      </c>
      <c r="AS551" s="1521"/>
      <c r="AT551" s="1521"/>
      <c r="AU551" s="1521"/>
      <c r="AV551" s="1521"/>
      <c r="AW551" s="320"/>
      <c r="AX551" s="161"/>
      <c r="AY551" s="1540"/>
      <c r="AZ551" s="1560" t="e">
        <f>#REF!-#REF!</f>
        <v>#REF!</v>
      </c>
      <c r="BA551" s="1560" t="e">
        <f>IF(C551="Scheme",IF(SUM(AJ551:AS551)&gt;0,IF(H551&lt;#REF!,H551-#REF!,0),0),0)</f>
        <v>#REF!</v>
      </c>
      <c r="BB551" s="1560">
        <f t="shared" si="72"/>
        <v>-5</v>
      </c>
      <c r="BC551" s="96" t="s">
        <v>256</v>
      </c>
      <c r="BD551" s="96" t="s">
        <v>1931</v>
      </c>
    </row>
    <row r="552" spans="1:56" ht="31" outlineLevel="1" x14ac:dyDescent="0.25">
      <c r="A552" s="1486">
        <v>5</v>
      </c>
      <c r="B552" s="1491" t="s">
        <v>2149</v>
      </c>
      <c r="C552" s="1486" t="s">
        <v>928</v>
      </c>
      <c r="D552" s="1488"/>
      <c r="E552" s="1495"/>
      <c r="F552" s="1413"/>
      <c r="G552" s="618"/>
      <c r="H552" s="1610">
        <v>29</v>
      </c>
      <c r="I552" s="161"/>
      <c r="J552" s="161"/>
      <c r="K552" s="1413"/>
      <c r="L552" s="1414"/>
      <c r="M552" s="1414"/>
      <c r="N552" s="1414"/>
      <c r="O552" s="1551"/>
      <c r="P552" s="1521"/>
      <c r="Q552" s="320"/>
      <c r="R552" s="320"/>
      <c r="S552" s="320"/>
      <c r="T552" s="320">
        <f t="shared" si="73"/>
        <v>0</v>
      </c>
      <c r="U552" s="320"/>
      <c r="V552" s="320"/>
      <c r="W552" s="1521"/>
      <c r="X552" s="1521"/>
      <c r="Y552" s="1521"/>
      <c r="Z552" s="1521"/>
      <c r="AA552" s="1521"/>
      <c r="AB552" s="1521"/>
      <c r="AC552" s="1521"/>
      <c r="AD552" s="1521"/>
      <c r="AE552" s="1521"/>
      <c r="AF552" s="1521"/>
      <c r="AG552" s="1521"/>
      <c r="AH552" s="1521"/>
      <c r="AI552" s="1521"/>
      <c r="AJ552" s="320"/>
      <c r="AK552" s="320"/>
      <c r="AL552" s="320"/>
      <c r="AM552" s="320"/>
      <c r="AN552" s="1523">
        <f t="shared" si="74"/>
        <v>0</v>
      </c>
      <c r="AO552" s="320"/>
      <c r="AP552" s="320"/>
      <c r="AQ552" s="1521"/>
      <c r="AR552" s="1521"/>
      <c r="AS552" s="1521"/>
      <c r="AT552" s="1521"/>
      <c r="AU552" s="1521"/>
      <c r="AV552" s="1521"/>
      <c r="AW552" s="320"/>
      <c r="AX552" s="161"/>
      <c r="AY552" s="1540"/>
      <c r="AZ552" s="1560" t="e">
        <f>#REF!-#REF!</f>
        <v>#REF!</v>
      </c>
      <c r="BA552" s="1560">
        <f>IF(C552="Scheme",IF(SUM(AJ552:AS552)&gt;0,IF(H552&lt;#REF!,H552-#REF!,0),0),0)</f>
        <v>0</v>
      </c>
      <c r="BB552" s="1560">
        <f t="shared" si="72"/>
        <v>0</v>
      </c>
    </row>
    <row r="553" spans="1:56" ht="77.5" outlineLevel="1" x14ac:dyDescent="0.25">
      <c r="A553" s="1492"/>
      <c r="B553" s="1492" t="s">
        <v>2150</v>
      </c>
      <c r="C553" s="1492" t="s">
        <v>936</v>
      </c>
      <c r="D553" s="1488"/>
      <c r="E553" s="1495"/>
      <c r="F553" s="1413"/>
      <c r="G553" s="618"/>
      <c r="H553" s="1417">
        <f>SUM(W553:AB553)</f>
        <v>14</v>
      </c>
      <c r="I553" s="161"/>
      <c r="J553" s="161"/>
      <c r="K553" s="1413"/>
      <c r="L553" s="1414"/>
      <c r="M553" s="1414"/>
      <c r="N553" s="1414"/>
      <c r="O553" s="1551" t="s">
        <v>2389</v>
      </c>
      <c r="P553" s="1521"/>
      <c r="Q553" s="320"/>
      <c r="R553" s="320"/>
      <c r="S553" s="320"/>
      <c r="T553" s="320">
        <f t="shared" si="73"/>
        <v>0</v>
      </c>
      <c r="U553" s="320"/>
      <c r="V553" s="320"/>
      <c r="W553" s="1521"/>
      <c r="X553" s="1521"/>
      <c r="Y553" s="1595">
        <v>14</v>
      </c>
      <c r="Z553" s="1521"/>
      <c r="AA553" s="1521"/>
      <c r="AB553" s="1521"/>
      <c r="AC553" s="1521"/>
      <c r="AD553" s="1521"/>
      <c r="AE553" s="1521"/>
      <c r="AF553" s="1521"/>
      <c r="AG553" s="1521"/>
      <c r="AH553" s="1521"/>
      <c r="AI553" s="1521"/>
      <c r="AJ553" s="320"/>
      <c r="AK553" s="320"/>
      <c r="AL553" s="320"/>
      <c r="AM553" s="320"/>
      <c r="AN553" s="1523">
        <f t="shared" si="74"/>
        <v>0</v>
      </c>
      <c r="AO553" s="320"/>
      <c r="AP553" s="320"/>
      <c r="AQ553" s="1521"/>
      <c r="AR553" s="1521"/>
      <c r="AS553" s="1595">
        <v>14</v>
      </c>
      <c r="AT553" s="1521"/>
      <c r="AU553" s="1521"/>
      <c r="AV553" s="1521"/>
      <c r="AW553" s="320"/>
      <c r="AX553" s="161"/>
      <c r="AY553" s="1540"/>
      <c r="AZ553" s="1560" t="e">
        <f>#REF!-#REF!</f>
        <v>#REF!</v>
      </c>
      <c r="BA553" s="1560" t="e">
        <f>IF(C553="Scheme",IF(SUM(AJ553:AS553)&gt;0,IF(H553&lt;#REF!,H553-#REF!,0),0),0)</f>
        <v>#REF!</v>
      </c>
      <c r="BB553" s="1560">
        <f t="shared" si="72"/>
        <v>-14</v>
      </c>
      <c r="BC553" s="96" t="s">
        <v>256</v>
      </c>
      <c r="BD553" s="96" t="s">
        <v>1931</v>
      </c>
    </row>
    <row r="554" spans="1:56" ht="62" outlineLevel="1" x14ac:dyDescent="0.25">
      <c r="A554" s="1492"/>
      <c r="B554" s="1492" t="s">
        <v>2151</v>
      </c>
      <c r="C554" s="1492" t="s">
        <v>936</v>
      </c>
      <c r="D554" s="1488"/>
      <c r="E554" s="1495"/>
      <c r="F554" s="1413"/>
      <c r="G554" s="618"/>
      <c r="H554" s="1417">
        <f>SUM(W554:AB554)</f>
        <v>15</v>
      </c>
      <c r="I554" s="161"/>
      <c r="J554" s="161"/>
      <c r="K554" s="1413"/>
      <c r="L554" s="1414"/>
      <c r="M554" s="1414"/>
      <c r="N554" s="1414"/>
      <c r="O554" s="1551" t="s">
        <v>2389</v>
      </c>
      <c r="P554" s="1521"/>
      <c r="Q554" s="320"/>
      <c r="R554" s="320"/>
      <c r="S554" s="320"/>
      <c r="T554" s="320">
        <f t="shared" si="73"/>
        <v>0</v>
      </c>
      <c r="U554" s="320"/>
      <c r="V554" s="320"/>
      <c r="W554" s="1521"/>
      <c r="X554" s="1521"/>
      <c r="Y554" s="1595">
        <v>15</v>
      </c>
      <c r="Z554" s="1521"/>
      <c r="AA554" s="1521"/>
      <c r="AB554" s="1521"/>
      <c r="AC554" s="1521"/>
      <c r="AD554" s="1521"/>
      <c r="AE554" s="1521"/>
      <c r="AF554" s="1521"/>
      <c r="AG554" s="1521"/>
      <c r="AH554" s="1521"/>
      <c r="AI554" s="1521"/>
      <c r="AJ554" s="320"/>
      <c r="AK554" s="320"/>
      <c r="AL554" s="320"/>
      <c r="AM554" s="320"/>
      <c r="AN554" s="1523">
        <f t="shared" si="74"/>
        <v>0</v>
      </c>
      <c r="AO554" s="320"/>
      <c r="AP554" s="320"/>
      <c r="AQ554" s="1521"/>
      <c r="AR554" s="1521"/>
      <c r="AS554" s="1595">
        <v>15</v>
      </c>
      <c r="AT554" s="1521"/>
      <c r="AU554" s="1521"/>
      <c r="AV554" s="1521"/>
      <c r="AW554" s="320"/>
      <c r="AX554" s="161"/>
      <c r="AY554" s="1540"/>
      <c r="AZ554" s="1560" t="e">
        <f>#REF!-#REF!</f>
        <v>#REF!</v>
      </c>
      <c r="BA554" s="1560" t="e">
        <f>IF(C554="Scheme",IF(SUM(AJ554:AS554)&gt;0,IF(H554&lt;#REF!,H554-#REF!,0),0),0)</f>
        <v>#REF!</v>
      </c>
      <c r="BB554" s="1560">
        <f t="shared" si="72"/>
        <v>-15</v>
      </c>
      <c r="BC554" s="96" t="s">
        <v>256</v>
      </c>
      <c r="BD554" s="96" t="s">
        <v>1931</v>
      </c>
    </row>
    <row r="555" spans="1:56" ht="46.5" outlineLevel="1" x14ac:dyDescent="0.25">
      <c r="A555" s="1486">
        <v>6</v>
      </c>
      <c r="B555" s="1491" t="s">
        <v>2152</v>
      </c>
      <c r="C555" s="1486" t="s">
        <v>928</v>
      </c>
      <c r="D555" s="1488"/>
      <c r="E555" s="1495"/>
      <c r="F555" s="1413"/>
      <c r="G555" s="618"/>
      <c r="H555" s="1608">
        <v>100</v>
      </c>
      <c r="I555" s="161"/>
      <c r="J555" s="161"/>
      <c r="K555" s="1413"/>
      <c r="L555" s="1414"/>
      <c r="M555" s="1414"/>
      <c r="N555" s="1414"/>
      <c r="O555" s="1551"/>
      <c r="P555" s="1521"/>
      <c r="Q555" s="320"/>
      <c r="R555" s="320"/>
      <c r="S555" s="320"/>
      <c r="T555" s="320">
        <f t="shared" si="73"/>
        <v>0</v>
      </c>
      <c r="U555" s="320"/>
      <c r="V555" s="320"/>
      <c r="W555" s="1521"/>
      <c r="X555" s="1521"/>
      <c r="Y555" s="1521"/>
      <c r="Z555" s="1521"/>
      <c r="AA555" s="1521"/>
      <c r="AB555" s="1521"/>
      <c r="AC555" s="1521"/>
      <c r="AD555" s="1521"/>
      <c r="AE555" s="1521"/>
      <c r="AF555" s="1521"/>
      <c r="AG555" s="1521"/>
      <c r="AH555" s="1521"/>
      <c r="AI555" s="1521"/>
      <c r="AJ555" s="320"/>
      <c r="AK555" s="320"/>
      <c r="AL555" s="320"/>
      <c r="AM555" s="320"/>
      <c r="AN555" s="1523">
        <f t="shared" si="74"/>
        <v>0</v>
      </c>
      <c r="AO555" s="320"/>
      <c r="AP555" s="320"/>
      <c r="AQ555" s="1521"/>
      <c r="AR555" s="1521"/>
      <c r="AS555" s="1521"/>
      <c r="AT555" s="1521"/>
      <c r="AU555" s="1521"/>
      <c r="AV555" s="1521"/>
      <c r="AW555" s="320"/>
      <c r="AX555" s="161"/>
      <c r="AY555" s="1540"/>
      <c r="AZ555" s="1560" t="e">
        <f>#REF!-#REF!</f>
        <v>#REF!</v>
      </c>
      <c r="BA555" s="1560">
        <f>IF(C555="Scheme",IF(SUM(AJ555:AS555)&gt;0,IF(H555&lt;#REF!,H555-#REF!,0),0),0)</f>
        <v>0</v>
      </c>
      <c r="BB555" s="1560">
        <f t="shared" si="72"/>
        <v>0</v>
      </c>
    </row>
    <row r="556" spans="1:56" ht="62" outlineLevel="1" x14ac:dyDescent="0.25">
      <c r="A556" s="1492"/>
      <c r="B556" s="1492" t="s">
        <v>2153</v>
      </c>
      <c r="C556" s="1492" t="s">
        <v>936</v>
      </c>
      <c r="D556" s="1488"/>
      <c r="E556" s="1495"/>
      <c r="F556" s="1413"/>
      <c r="G556" s="618"/>
      <c r="H556" s="1417">
        <v>100</v>
      </c>
      <c r="I556" s="161"/>
      <c r="J556" s="161"/>
      <c r="K556" s="1413"/>
      <c r="L556" s="1414"/>
      <c r="M556" s="1414"/>
      <c r="N556" s="1414"/>
      <c r="O556" s="1551" t="s">
        <v>2390</v>
      </c>
      <c r="P556" s="1521"/>
      <c r="Q556" s="320"/>
      <c r="R556" s="320"/>
      <c r="S556" s="320"/>
      <c r="T556" s="320">
        <f t="shared" si="73"/>
        <v>0</v>
      </c>
      <c r="U556" s="320"/>
      <c r="V556" s="320"/>
      <c r="W556" s="1521"/>
      <c r="X556" s="1521"/>
      <c r="Y556" s="1521"/>
      <c r="Z556" s="1521">
        <v>100</v>
      </c>
      <c r="AA556" s="1521"/>
      <c r="AB556" s="1521"/>
      <c r="AC556" s="1521"/>
      <c r="AD556" s="1521"/>
      <c r="AE556" s="1521"/>
      <c r="AF556" s="1521"/>
      <c r="AG556" s="1521"/>
      <c r="AH556" s="1521"/>
      <c r="AI556" s="1521"/>
      <c r="AJ556" s="320"/>
      <c r="AK556" s="320"/>
      <c r="AL556" s="320"/>
      <c r="AM556" s="320"/>
      <c r="AN556" s="1523">
        <f t="shared" si="74"/>
        <v>0</v>
      </c>
      <c r="AO556" s="320"/>
      <c r="AP556" s="320"/>
      <c r="AQ556" s="1521"/>
      <c r="AR556" s="1521"/>
      <c r="AS556" s="1521"/>
      <c r="AT556" s="1521">
        <v>100</v>
      </c>
      <c r="AU556" s="1521"/>
      <c r="AV556" s="1521"/>
      <c r="AW556" s="320"/>
      <c r="AX556" s="161"/>
      <c r="AY556" s="1540"/>
      <c r="AZ556" s="1560" t="e">
        <f>#REF!-#REF!</f>
        <v>#REF!</v>
      </c>
      <c r="BA556" s="1560">
        <f>IF(C556="Scheme",IF(SUM(AJ556:AS556)&gt;0,IF(H556&lt;#REF!,H556-#REF!,0),0),0)</f>
        <v>0</v>
      </c>
      <c r="BB556" s="1560">
        <f t="shared" si="72"/>
        <v>0</v>
      </c>
      <c r="BC556" s="96" t="s">
        <v>256</v>
      </c>
      <c r="BD556" s="96" t="s">
        <v>1931</v>
      </c>
    </row>
    <row r="557" spans="1:56" ht="15.5" outlineLevel="1" x14ac:dyDescent="0.25">
      <c r="A557" s="1504"/>
      <c r="B557" s="1504" t="s">
        <v>2154</v>
      </c>
      <c r="C557" s="1504"/>
      <c r="D557" s="1488"/>
      <c r="E557" s="1495"/>
      <c r="F557" s="1413"/>
      <c r="G557" s="618"/>
      <c r="H557" s="161"/>
      <c r="I557" s="161"/>
      <c r="J557" s="161"/>
      <c r="K557" s="1413"/>
      <c r="L557" s="1414"/>
      <c r="M557" s="1414"/>
      <c r="N557" s="1414"/>
      <c r="O557" s="1551"/>
      <c r="P557" s="1521"/>
      <c r="Q557" s="320"/>
      <c r="R557" s="320"/>
      <c r="S557" s="320"/>
      <c r="T557" s="320">
        <f t="shared" si="73"/>
        <v>0</v>
      </c>
      <c r="U557" s="320"/>
      <c r="V557" s="320"/>
      <c r="W557" s="1521"/>
      <c r="X557" s="1521"/>
      <c r="Y557" s="1521"/>
      <c r="Z557" s="1521"/>
      <c r="AA557" s="1521"/>
      <c r="AB557" s="1521"/>
      <c r="AC557" s="1521"/>
      <c r="AD557" s="1521"/>
      <c r="AE557" s="1521"/>
      <c r="AF557" s="1521"/>
      <c r="AG557" s="1521"/>
      <c r="AH557" s="1521"/>
      <c r="AI557" s="1521"/>
      <c r="AJ557" s="320"/>
      <c r="AK557" s="320"/>
      <c r="AL557" s="320"/>
      <c r="AM557" s="320"/>
      <c r="AN557" s="1523">
        <f t="shared" si="74"/>
        <v>0</v>
      </c>
      <c r="AO557" s="320"/>
      <c r="AP557" s="320"/>
      <c r="AQ557" s="1521"/>
      <c r="AR557" s="1521"/>
      <c r="AS557" s="1521"/>
      <c r="AT557" s="1521"/>
      <c r="AU557" s="1521"/>
      <c r="AV557" s="1521"/>
      <c r="AW557" s="320"/>
      <c r="AX557" s="161"/>
      <c r="AY557" s="1540"/>
      <c r="AZ557" s="1560" t="e">
        <f>#REF!-#REF!</f>
        <v>#REF!</v>
      </c>
      <c r="BA557" s="1560">
        <f>IF(C557="Scheme",IF(SUM(AJ557:AS557)&gt;0,IF(H557&lt;#REF!,H557-#REF!,0),0),0)</f>
        <v>0</v>
      </c>
      <c r="BB557" s="1560">
        <f t="shared" si="72"/>
        <v>0</v>
      </c>
    </row>
    <row r="558" spans="1:56" ht="46.5" outlineLevel="1" x14ac:dyDescent="0.25">
      <c r="A558" s="1486">
        <v>1</v>
      </c>
      <c r="B558" s="1491" t="s">
        <v>2155</v>
      </c>
      <c r="C558" s="1486" t="s">
        <v>928</v>
      </c>
      <c r="D558" s="1488"/>
      <c r="E558" s="1495"/>
      <c r="F558" s="1413"/>
      <c r="G558" s="618"/>
      <c r="H558" s="1608">
        <v>25</v>
      </c>
      <c r="I558" s="161"/>
      <c r="J558" s="161"/>
      <c r="K558" s="1413"/>
      <c r="L558" s="1414"/>
      <c r="M558" s="1414"/>
      <c r="N558" s="1414"/>
      <c r="O558" s="1551"/>
      <c r="P558" s="1521"/>
      <c r="Q558" s="320"/>
      <c r="R558" s="320"/>
      <c r="S558" s="320"/>
      <c r="T558" s="320">
        <f t="shared" si="73"/>
        <v>0</v>
      </c>
      <c r="U558" s="320"/>
      <c r="V558" s="320"/>
      <c r="W558" s="1521"/>
      <c r="X558" s="1521"/>
      <c r="Y558" s="1521"/>
      <c r="Z558" s="1521"/>
      <c r="AA558" s="1521"/>
      <c r="AB558" s="1521"/>
      <c r="AC558" s="1521"/>
      <c r="AD558" s="1521"/>
      <c r="AE558" s="1521"/>
      <c r="AF558" s="1521"/>
      <c r="AG558" s="1521"/>
      <c r="AH558" s="1521"/>
      <c r="AI558" s="1521"/>
      <c r="AJ558" s="320"/>
      <c r="AK558" s="320"/>
      <c r="AL558" s="320"/>
      <c r="AM558" s="320"/>
      <c r="AN558" s="1523">
        <f t="shared" si="74"/>
        <v>0</v>
      </c>
      <c r="AO558" s="320"/>
      <c r="AP558" s="320"/>
      <c r="AQ558" s="1521"/>
      <c r="AR558" s="1521"/>
      <c r="AS558" s="1521"/>
      <c r="AT558" s="1521"/>
      <c r="AU558" s="1521"/>
      <c r="AV558" s="1521"/>
      <c r="AW558" s="320"/>
      <c r="AX558" s="161"/>
      <c r="AY558" s="1540"/>
      <c r="AZ558" s="1560"/>
      <c r="BA558" s="1560"/>
      <c r="BB558" s="1560"/>
    </row>
    <row r="559" spans="1:56" ht="46.5" outlineLevel="1" x14ac:dyDescent="0.25">
      <c r="A559" s="1492"/>
      <c r="B559" s="1492" t="s">
        <v>2155</v>
      </c>
      <c r="C559" s="1492" t="s">
        <v>936</v>
      </c>
      <c r="D559" s="1488"/>
      <c r="E559" s="1495"/>
      <c r="F559" s="1413"/>
      <c r="G559" s="618"/>
      <c r="H559" s="1417">
        <v>25</v>
      </c>
      <c r="I559" s="161"/>
      <c r="J559" s="161"/>
      <c r="K559" s="1413"/>
      <c r="L559" s="1414"/>
      <c r="M559" s="1414"/>
      <c r="N559" s="1414"/>
      <c r="O559" s="1551" t="s">
        <v>2391</v>
      </c>
      <c r="P559" s="1521"/>
      <c r="Q559" s="320"/>
      <c r="R559" s="320"/>
      <c r="S559" s="320"/>
      <c r="T559" s="320">
        <f t="shared" si="73"/>
        <v>0</v>
      </c>
      <c r="U559" s="320"/>
      <c r="V559" s="320"/>
      <c r="W559" s="1521"/>
      <c r="X559" s="1521">
        <v>25</v>
      </c>
      <c r="Y559" s="1521"/>
      <c r="Z559" s="1521"/>
      <c r="AA559" s="1521"/>
      <c r="AB559" s="1521"/>
      <c r="AC559" s="1521"/>
      <c r="AD559" s="1521"/>
      <c r="AE559" s="1521"/>
      <c r="AF559" s="1521"/>
      <c r="AG559" s="1521"/>
      <c r="AH559" s="1521"/>
      <c r="AI559" s="1521"/>
      <c r="AJ559" s="320"/>
      <c r="AK559" s="320"/>
      <c r="AL559" s="320"/>
      <c r="AM559" s="320"/>
      <c r="AN559" s="1523">
        <f t="shared" si="74"/>
        <v>0</v>
      </c>
      <c r="AO559" s="320"/>
      <c r="AP559" s="320"/>
      <c r="AQ559" s="1521"/>
      <c r="AR559" s="1521"/>
      <c r="AS559" s="1521"/>
      <c r="AT559" s="1521"/>
      <c r="AU559" s="1521"/>
      <c r="AV559" s="1521"/>
      <c r="AW559" s="320"/>
      <c r="AX559" s="161"/>
      <c r="AY559" s="1540"/>
      <c r="AZ559" s="1560"/>
      <c r="BA559" s="1560"/>
      <c r="BB559" s="1560"/>
    </row>
    <row r="560" spans="1:56" ht="46.5" outlineLevel="1" x14ac:dyDescent="0.25">
      <c r="A560" s="1486">
        <v>2</v>
      </c>
      <c r="B560" s="1491" t="s">
        <v>2156</v>
      </c>
      <c r="C560" s="1486" t="s">
        <v>928</v>
      </c>
      <c r="D560" s="1488"/>
      <c r="E560" s="1495"/>
      <c r="F560" s="1413"/>
      <c r="G560" s="618"/>
      <c r="H560" s="1608">
        <v>15</v>
      </c>
      <c r="I560" s="161"/>
      <c r="J560" s="161"/>
      <c r="K560" s="1413"/>
      <c r="L560" s="1414"/>
      <c r="M560" s="1414"/>
      <c r="N560" s="1414"/>
      <c r="O560" s="1551"/>
      <c r="P560" s="1521"/>
      <c r="Q560" s="320"/>
      <c r="R560" s="320"/>
      <c r="S560" s="320"/>
      <c r="T560" s="320">
        <f t="shared" si="73"/>
        <v>0</v>
      </c>
      <c r="U560" s="320"/>
      <c r="V560" s="320"/>
      <c r="W560" s="1521"/>
      <c r="X560" s="1521"/>
      <c r="Y560" s="1521"/>
      <c r="Z560" s="1521"/>
      <c r="AA560" s="1521"/>
      <c r="AB560" s="1521"/>
      <c r="AC560" s="1521"/>
      <c r="AD560" s="1521"/>
      <c r="AE560" s="1521"/>
      <c r="AF560" s="1521"/>
      <c r="AG560" s="1521"/>
      <c r="AH560" s="1521"/>
      <c r="AI560" s="1521"/>
      <c r="AJ560" s="320"/>
      <c r="AK560" s="320"/>
      <c r="AL560" s="320"/>
      <c r="AM560" s="320"/>
      <c r="AN560" s="1523">
        <f t="shared" si="74"/>
        <v>0</v>
      </c>
      <c r="AO560" s="320"/>
      <c r="AP560" s="320"/>
      <c r="AQ560" s="1521"/>
      <c r="AR560" s="1521"/>
      <c r="AS560" s="1521"/>
      <c r="AT560" s="1521"/>
      <c r="AU560" s="1521"/>
      <c r="AV560" s="1521"/>
      <c r="AW560" s="320"/>
      <c r="AX560" s="161"/>
      <c r="AY560" s="1540"/>
      <c r="AZ560" s="1560"/>
      <c r="BA560" s="1560"/>
      <c r="BB560" s="1560"/>
    </row>
    <row r="561" spans="1:56" ht="46.5" outlineLevel="1" x14ac:dyDescent="0.25">
      <c r="A561" s="1492"/>
      <c r="B561" s="1492" t="s">
        <v>2156</v>
      </c>
      <c r="C561" s="1492" t="s">
        <v>936</v>
      </c>
      <c r="D561" s="1488"/>
      <c r="E561" s="1495"/>
      <c r="F561" s="1413"/>
      <c r="G561" s="618"/>
      <c r="H561" s="1417">
        <v>15</v>
      </c>
      <c r="I561" s="161"/>
      <c r="J561" s="161"/>
      <c r="K561" s="1413"/>
      <c r="L561" s="1414"/>
      <c r="M561" s="1414"/>
      <c r="N561" s="1414"/>
      <c r="O561" s="1551" t="s">
        <v>2392</v>
      </c>
      <c r="P561" s="1521"/>
      <c r="Q561" s="320"/>
      <c r="R561" s="320"/>
      <c r="S561" s="320"/>
      <c r="T561" s="320">
        <f t="shared" si="73"/>
        <v>0</v>
      </c>
      <c r="U561" s="320"/>
      <c r="V561" s="320"/>
      <c r="W561" s="1521"/>
      <c r="X561" s="1521"/>
      <c r="Y561" s="1521"/>
      <c r="Z561" s="1521">
        <v>15</v>
      </c>
      <c r="AA561" s="1521"/>
      <c r="AB561" s="1521"/>
      <c r="AC561" s="1521"/>
      <c r="AD561" s="1521"/>
      <c r="AE561" s="1521"/>
      <c r="AF561" s="1521"/>
      <c r="AG561" s="1521"/>
      <c r="AH561" s="1521"/>
      <c r="AI561" s="1521"/>
      <c r="AJ561" s="320"/>
      <c r="AK561" s="320"/>
      <c r="AL561" s="320"/>
      <c r="AM561" s="320"/>
      <c r="AN561" s="1523">
        <f t="shared" si="74"/>
        <v>0</v>
      </c>
      <c r="AO561" s="320"/>
      <c r="AP561" s="320"/>
      <c r="AQ561" s="1521"/>
      <c r="AR561" s="1521"/>
      <c r="AS561" s="1521"/>
      <c r="AT561" s="1521"/>
      <c r="AU561" s="1521"/>
      <c r="AV561" s="1521"/>
      <c r="AW561" s="320"/>
      <c r="AX561" s="161"/>
      <c r="AY561" s="1540"/>
      <c r="AZ561" s="1560"/>
      <c r="BA561" s="1560"/>
      <c r="BB561" s="1560"/>
    </row>
    <row r="562" spans="1:56" ht="31" outlineLevel="1" x14ac:dyDescent="0.25">
      <c r="A562" s="1486">
        <v>3</v>
      </c>
      <c r="B562" s="1491" t="s">
        <v>2157</v>
      </c>
      <c r="C562" s="1486" t="s">
        <v>928</v>
      </c>
      <c r="D562" s="1488"/>
      <c r="E562" s="1495"/>
      <c r="F562" s="1413"/>
      <c r="G562" s="618"/>
      <c r="H562" s="1608">
        <v>6</v>
      </c>
      <c r="I562" s="161"/>
      <c r="J562" s="161"/>
      <c r="K562" s="1413"/>
      <c r="L562" s="1414"/>
      <c r="M562" s="1414"/>
      <c r="N562" s="1414"/>
      <c r="O562" s="1551"/>
      <c r="P562" s="1521"/>
      <c r="Q562" s="320"/>
      <c r="R562" s="320"/>
      <c r="S562" s="320"/>
      <c r="T562" s="320">
        <f t="shared" si="73"/>
        <v>0</v>
      </c>
      <c r="U562" s="320"/>
      <c r="V562" s="320"/>
      <c r="W562" s="1521"/>
      <c r="X562" s="1521"/>
      <c r="Y562" s="1521"/>
      <c r="Z562" s="1521"/>
      <c r="AA562" s="1521"/>
      <c r="AB562" s="1521"/>
      <c r="AC562" s="1521"/>
      <c r="AD562" s="1521"/>
      <c r="AE562" s="1521"/>
      <c r="AF562" s="1521"/>
      <c r="AG562" s="1521"/>
      <c r="AH562" s="1521"/>
      <c r="AI562" s="1521"/>
      <c r="AJ562" s="320"/>
      <c r="AK562" s="320"/>
      <c r="AL562" s="320"/>
      <c r="AM562" s="320"/>
      <c r="AN562" s="1523">
        <f t="shared" si="74"/>
        <v>0</v>
      </c>
      <c r="AO562" s="320"/>
      <c r="AP562" s="320"/>
      <c r="AQ562" s="1521"/>
      <c r="AR562" s="1521"/>
      <c r="AS562" s="1521"/>
      <c r="AT562" s="1521"/>
      <c r="AU562" s="1521"/>
      <c r="AV562" s="1521"/>
      <c r="AW562" s="320"/>
      <c r="AX562" s="161"/>
      <c r="AY562" s="1540"/>
      <c r="AZ562" s="1560"/>
      <c r="BA562" s="1560"/>
      <c r="BB562" s="1560"/>
    </row>
    <row r="563" spans="1:56" ht="31" outlineLevel="1" x14ac:dyDescent="0.25">
      <c r="A563" s="1492"/>
      <c r="B563" s="1492" t="s">
        <v>2157</v>
      </c>
      <c r="C563" s="1492" t="s">
        <v>936</v>
      </c>
      <c r="D563" s="1488"/>
      <c r="E563" s="1495"/>
      <c r="F563" s="1413"/>
      <c r="G563" s="618"/>
      <c r="H563" s="1417">
        <v>6</v>
      </c>
      <c r="I563" s="161"/>
      <c r="J563" s="161"/>
      <c r="K563" s="1413"/>
      <c r="L563" s="1414"/>
      <c r="M563" s="1414"/>
      <c r="N563" s="1414"/>
      <c r="O563" s="1551" t="s">
        <v>2393</v>
      </c>
      <c r="P563" s="1521"/>
      <c r="Q563" s="320"/>
      <c r="R563" s="320"/>
      <c r="S563" s="320"/>
      <c r="T563" s="320">
        <f t="shared" si="73"/>
        <v>0</v>
      </c>
      <c r="U563" s="320"/>
      <c r="V563" s="320"/>
      <c r="W563" s="1521"/>
      <c r="X563" s="1521">
        <v>6</v>
      </c>
      <c r="Y563" s="1521"/>
      <c r="Z563" s="1521"/>
      <c r="AA563" s="1521"/>
      <c r="AB563" s="1521"/>
      <c r="AC563" s="1521"/>
      <c r="AD563" s="1521"/>
      <c r="AE563" s="1521"/>
      <c r="AF563" s="1521"/>
      <c r="AG563" s="1521"/>
      <c r="AH563" s="1521"/>
      <c r="AI563" s="1521"/>
      <c r="AJ563" s="320"/>
      <c r="AK563" s="320"/>
      <c r="AL563" s="320"/>
      <c r="AM563" s="320"/>
      <c r="AN563" s="1523">
        <f t="shared" si="74"/>
        <v>0</v>
      </c>
      <c r="AO563" s="320"/>
      <c r="AP563" s="320"/>
      <c r="AQ563" s="1521"/>
      <c r="AR563" s="1521"/>
      <c r="AS563" s="1521"/>
      <c r="AT563" s="1521"/>
      <c r="AU563" s="1521"/>
      <c r="AV563" s="1521"/>
      <c r="AW563" s="320"/>
      <c r="AX563" s="161"/>
      <c r="AY563" s="1540"/>
      <c r="AZ563" s="1560"/>
      <c r="BA563" s="1560"/>
      <c r="BB563" s="1560"/>
    </row>
    <row r="564" spans="1:56" ht="31" outlineLevel="1" x14ac:dyDescent="0.25">
      <c r="A564" s="1486">
        <v>4</v>
      </c>
      <c r="B564" s="1491" t="s">
        <v>2158</v>
      </c>
      <c r="C564" s="1486" t="s">
        <v>928</v>
      </c>
      <c r="D564" s="1488"/>
      <c r="E564" s="1495"/>
      <c r="F564" s="1413"/>
      <c r="G564" s="618"/>
      <c r="H564" s="1608">
        <v>10</v>
      </c>
      <c r="I564" s="161"/>
      <c r="J564" s="161"/>
      <c r="K564" s="1413"/>
      <c r="L564" s="1414"/>
      <c r="M564" s="1414"/>
      <c r="N564" s="1414"/>
      <c r="O564" s="1551"/>
      <c r="P564" s="1521"/>
      <c r="Q564" s="320"/>
      <c r="R564" s="320"/>
      <c r="S564" s="320"/>
      <c r="T564" s="320">
        <f t="shared" si="73"/>
        <v>0</v>
      </c>
      <c r="U564" s="320"/>
      <c r="V564" s="320"/>
      <c r="W564" s="1521"/>
      <c r="X564" s="1521"/>
      <c r="Y564" s="1521"/>
      <c r="Z564" s="1521"/>
      <c r="AA564" s="1521"/>
      <c r="AB564" s="1521"/>
      <c r="AC564" s="1521"/>
      <c r="AD564" s="1521"/>
      <c r="AE564" s="1521"/>
      <c r="AF564" s="1521"/>
      <c r="AG564" s="1521"/>
      <c r="AH564" s="1521"/>
      <c r="AI564" s="1521"/>
      <c r="AJ564" s="320"/>
      <c r="AK564" s="320"/>
      <c r="AL564" s="320"/>
      <c r="AM564" s="320"/>
      <c r="AN564" s="1523">
        <f t="shared" si="74"/>
        <v>0</v>
      </c>
      <c r="AO564" s="320"/>
      <c r="AP564" s="320"/>
      <c r="AQ564" s="1521"/>
      <c r="AR564" s="1521"/>
      <c r="AS564" s="1521"/>
      <c r="AT564" s="1521"/>
      <c r="AU564" s="1521"/>
      <c r="AV564" s="1521"/>
      <c r="AW564" s="320"/>
      <c r="AX564" s="161"/>
      <c r="AY564" s="1540"/>
      <c r="AZ564" s="1560"/>
      <c r="BA564" s="1560"/>
      <c r="BB564" s="1560"/>
    </row>
    <row r="565" spans="1:56" ht="31" outlineLevel="1" x14ac:dyDescent="0.25">
      <c r="A565" s="1492"/>
      <c r="B565" s="1492" t="s">
        <v>2158</v>
      </c>
      <c r="C565" s="1492" t="s">
        <v>936</v>
      </c>
      <c r="D565" s="1488"/>
      <c r="E565" s="1495"/>
      <c r="F565" s="1413"/>
      <c r="G565" s="618"/>
      <c r="H565" s="1417">
        <v>10</v>
      </c>
      <c r="I565" s="161"/>
      <c r="J565" s="161"/>
      <c r="K565" s="1413"/>
      <c r="L565" s="1414"/>
      <c r="M565" s="1414"/>
      <c r="N565" s="1414"/>
      <c r="O565" s="1551" t="s">
        <v>2393</v>
      </c>
      <c r="P565" s="1521"/>
      <c r="Q565" s="320"/>
      <c r="R565" s="320"/>
      <c r="S565" s="320"/>
      <c r="T565" s="320">
        <f t="shared" si="73"/>
        <v>0</v>
      </c>
      <c r="U565" s="320"/>
      <c r="V565" s="320"/>
      <c r="W565" s="1521"/>
      <c r="X565" s="1521"/>
      <c r="Y565" s="1521"/>
      <c r="Z565" s="1521">
        <v>10</v>
      </c>
      <c r="AA565" s="1521"/>
      <c r="AB565" s="1521"/>
      <c r="AC565" s="1521"/>
      <c r="AD565" s="1521"/>
      <c r="AE565" s="1521"/>
      <c r="AF565" s="1521"/>
      <c r="AG565" s="1521"/>
      <c r="AH565" s="1521"/>
      <c r="AI565" s="1521"/>
      <c r="AJ565" s="320"/>
      <c r="AK565" s="320"/>
      <c r="AL565" s="320"/>
      <c r="AM565" s="320"/>
      <c r="AN565" s="1523">
        <f t="shared" si="74"/>
        <v>0</v>
      </c>
      <c r="AO565" s="320"/>
      <c r="AP565" s="320"/>
      <c r="AQ565" s="1521"/>
      <c r="AR565" s="1521"/>
      <c r="AS565" s="1521"/>
      <c r="AT565" s="1521"/>
      <c r="AU565" s="1521"/>
      <c r="AV565" s="1521"/>
      <c r="AW565" s="320"/>
      <c r="AX565" s="161"/>
      <c r="AY565" s="1540"/>
      <c r="AZ565" s="1560"/>
      <c r="BA565" s="1560"/>
      <c r="BB565" s="1560"/>
    </row>
    <row r="566" spans="1:56" ht="15.5" outlineLevel="1" x14ac:dyDescent="0.25">
      <c r="A566" s="1504"/>
      <c r="B566" s="1504" t="s">
        <v>2159</v>
      </c>
      <c r="C566" s="1504"/>
      <c r="D566" s="1488"/>
      <c r="E566" s="1495"/>
      <c r="F566" s="1413"/>
      <c r="G566" s="618"/>
      <c r="H566" s="161"/>
      <c r="I566" s="161"/>
      <c r="J566" s="161"/>
      <c r="K566" s="1413"/>
      <c r="L566" s="1414"/>
      <c r="M566" s="1414"/>
      <c r="N566" s="1414"/>
      <c r="O566" s="1551"/>
      <c r="P566" s="1521"/>
      <c r="Q566" s="320"/>
      <c r="R566" s="320"/>
      <c r="S566" s="320"/>
      <c r="T566" s="320">
        <f t="shared" si="73"/>
        <v>0</v>
      </c>
      <c r="U566" s="320"/>
      <c r="V566" s="320"/>
      <c r="W566" s="1521"/>
      <c r="X566" s="1521"/>
      <c r="Y566" s="1521"/>
      <c r="Z566" s="1521"/>
      <c r="AA566" s="1521"/>
      <c r="AB566" s="1521"/>
      <c r="AC566" s="1521"/>
      <c r="AD566" s="1521"/>
      <c r="AE566" s="1521"/>
      <c r="AF566" s="1521"/>
      <c r="AG566" s="1521"/>
      <c r="AH566" s="1521"/>
      <c r="AI566" s="1521"/>
      <c r="AJ566" s="320"/>
      <c r="AK566" s="320"/>
      <c r="AL566" s="320"/>
      <c r="AM566" s="320"/>
      <c r="AN566" s="1523">
        <f t="shared" si="74"/>
        <v>0</v>
      </c>
      <c r="AO566" s="320"/>
      <c r="AP566" s="320"/>
      <c r="AQ566" s="1521"/>
      <c r="AR566" s="1521"/>
      <c r="AS566" s="1521"/>
      <c r="AT566" s="1521"/>
      <c r="AU566" s="1521"/>
      <c r="AV566" s="1521"/>
      <c r="AW566" s="320"/>
      <c r="AX566" s="161"/>
      <c r="AY566" s="1540"/>
      <c r="AZ566" s="1560" t="e">
        <f>#REF!-#REF!</f>
        <v>#REF!</v>
      </c>
      <c r="BA566" s="1560">
        <f>IF(C566="Scheme",IF(SUM(AJ566:AS566)&gt;0,IF(H566&lt;#REF!,H566-#REF!,0),0),0)</f>
        <v>0</v>
      </c>
      <c r="BB566" s="1560">
        <f t="shared" ref="BB566:BB608" si="75">IF(C566="scheme",G566-SUM(AJ566:AS566),0)</f>
        <v>0</v>
      </c>
    </row>
    <row r="567" spans="1:56" ht="31" outlineLevel="1" x14ac:dyDescent="0.25">
      <c r="A567" s="1486">
        <v>1</v>
      </c>
      <c r="B567" s="1491" t="s">
        <v>2160</v>
      </c>
      <c r="C567" s="1486" t="s">
        <v>928</v>
      </c>
      <c r="D567" s="1488"/>
      <c r="E567" s="1495"/>
      <c r="F567" s="1413"/>
      <c r="G567" s="618"/>
      <c r="H567" s="1608">
        <v>37.57</v>
      </c>
      <c r="I567" s="161"/>
      <c r="J567" s="161"/>
      <c r="K567" s="1413"/>
      <c r="L567" s="1414"/>
      <c r="M567" s="1414"/>
      <c r="N567" s="1414"/>
      <c r="O567" s="1551"/>
      <c r="P567" s="1521"/>
      <c r="Q567" s="320"/>
      <c r="R567" s="320"/>
      <c r="S567" s="320"/>
      <c r="T567" s="320">
        <f t="shared" si="73"/>
        <v>0</v>
      </c>
      <c r="U567" s="320"/>
      <c r="V567" s="320"/>
      <c r="W567" s="1521"/>
      <c r="X567" s="1521"/>
      <c r="Y567" s="1521"/>
      <c r="Z567" s="1521"/>
      <c r="AA567" s="1521"/>
      <c r="AB567" s="1521"/>
      <c r="AC567" s="1521"/>
      <c r="AD567" s="1521"/>
      <c r="AE567" s="1521"/>
      <c r="AF567" s="1521"/>
      <c r="AG567" s="1521"/>
      <c r="AH567" s="1521"/>
      <c r="AI567" s="1521"/>
      <c r="AJ567" s="320"/>
      <c r="AK567" s="320"/>
      <c r="AL567" s="320"/>
      <c r="AM567" s="320"/>
      <c r="AN567" s="1523">
        <f t="shared" si="74"/>
        <v>0</v>
      </c>
      <c r="AO567" s="320"/>
      <c r="AP567" s="320"/>
      <c r="AQ567" s="1521"/>
      <c r="AR567" s="1521"/>
      <c r="AS567" s="1521"/>
      <c r="AT567" s="1521"/>
      <c r="AU567" s="1521"/>
      <c r="AV567" s="1521"/>
      <c r="AW567" s="320"/>
      <c r="AX567" s="161"/>
      <c r="AY567" s="1540"/>
      <c r="AZ567" s="1560" t="e">
        <f>#REF!-#REF!</f>
        <v>#REF!</v>
      </c>
      <c r="BA567" s="1560">
        <f>IF(C567="Scheme",IF(SUM(AJ567:AS567)&gt;0,IF(H567&lt;#REF!,H567-#REF!,0),0),0)</f>
        <v>0</v>
      </c>
      <c r="BB567" s="1560">
        <f t="shared" si="75"/>
        <v>0</v>
      </c>
    </row>
    <row r="568" spans="1:56" ht="409.5" customHeight="1" outlineLevel="1" x14ac:dyDescent="0.25">
      <c r="A568" s="1492"/>
      <c r="B568" s="1492" t="s">
        <v>2161</v>
      </c>
      <c r="C568" s="1492" t="s">
        <v>936</v>
      </c>
      <c r="D568" s="1488"/>
      <c r="E568" s="1495"/>
      <c r="F568" s="1413"/>
      <c r="G568" s="618"/>
      <c r="H568" s="1417">
        <f>SUM(W568:AB568)</f>
        <v>37.57</v>
      </c>
      <c r="I568" s="161"/>
      <c r="J568" s="161"/>
      <c r="K568" s="1413"/>
      <c r="L568" s="1414"/>
      <c r="M568" s="1414"/>
      <c r="N568" s="1414"/>
      <c r="O568" s="1551" t="s">
        <v>2394</v>
      </c>
      <c r="P568" s="1521"/>
      <c r="Q568" s="320"/>
      <c r="R568" s="320"/>
      <c r="S568" s="320"/>
      <c r="T568" s="320">
        <f t="shared" si="73"/>
        <v>0</v>
      </c>
      <c r="U568" s="320"/>
      <c r="V568" s="320"/>
      <c r="W568" s="1595"/>
      <c r="X568" s="1595">
        <v>10</v>
      </c>
      <c r="Y568" s="1595">
        <v>27.57</v>
      </c>
      <c r="Z568" s="1595"/>
      <c r="AA568" s="1521"/>
      <c r="AB568" s="1521"/>
      <c r="AC568" s="1521"/>
      <c r="AD568" s="1521"/>
      <c r="AE568" s="1521"/>
      <c r="AF568" s="1521"/>
      <c r="AG568" s="1521"/>
      <c r="AH568" s="1521"/>
      <c r="AI568" s="1521"/>
      <c r="AJ568" s="320"/>
      <c r="AK568" s="320"/>
      <c r="AL568" s="320"/>
      <c r="AM568" s="320"/>
      <c r="AN568" s="1523">
        <f t="shared" si="74"/>
        <v>0</v>
      </c>
      <c r="AO568" s="320"/>
      <c r="AP568" s="320"/>
      <c r="AQ568" s="1595"/>
      <c r="AR568" s="1595">
        <v>10</v>
      </c>
      <c r="AS568" s="1595">
        <v>27.57</v>
      </c>
      <c r="AT568" s="1595"/>
      <c r="AU568" s="1521"/>
      <c r="AV568" s="1521"/>
      <c r="AW568" s="320"/>
      <c r="AX568" s="161"/>
      <c r="AY568" s="1540"/>
      <c r="AZ568" s="1560" t="e">
        <f>#REF!-#REF!</f>
        <v>#REF!</v>
      </c>
      <c r="BA568" s="1560" t="e">
        <f>IF(C568="Scheme",IF(SUM(AJ568:AS568)&gt;0,IF(H568&lt;#REF!,H568-#REF!,0),0),0)</f>
        <v>#REF!</v>
      </c>
      <c r="BB568" s="1560">
        <f t="shared" si="75"/>
        <v>-37.57</v>
      </c>
      <c r="BC568" s="96" t="s">
        <v>256</v>
      </c>
      <c r="BD568" s="96" t="s">
        <v>1931</v>
      </c>
    </row>
    <row r="569" spans="1:56" ht="31" outlineLevel="1" x14ac:dyDescent="0.25">
      <c r="A569" s="1486">
        <v>2</v>
      </c>
      <c r="B569" s="1491" t="s">
        <v>2162</v>
      </c>
      <c r="C569" s="1486" t="s">
        <v>928</v>
      </c>
      <c r="D569" s="1488"/>
      <c r="E569" s="1495"/>
      <c r="F569" s="1413"/>
      <c r="G569" s="618"/>
      <c r="H569" s="1608">
        <v>47.15</v>
      </c>
      <c r="I569" s="161"/>
      <c r="J569" s="161"/>
      <c r="K569" s="1413"/>
      <c r="L569" s="1414"/>
      <c r="M569" s="1414"/>
      <c r="N569" s="1414"/>
      <c r="O569" s="1551"/>
      <c r="P569" s="1521"/>
      <c r="Q569" s="320"/>
      <c r="R569" s="320"/>
      <c r="S569" s="320"/>
      <c r="T569" s="320">
        <f t="shared" si="73"/>
        <v>0</v>
      </c>
      <c r="U569" s="320"/>
      <c r="V569" s="320"/>
      <c r="W569" s="1521"/>
      <c r="X569" s="1521"/>
      <c r="Y569" s="1521"/>
      <c r="Z569" s="1521"/>
      <c r="AA569" s="1521"/>
      <c r="AB569" s="1521"/>
      <c r="AC569" s="1521"/>
      <c r="AD569" s="1521"/>
      <c r="AE569" s="1521"/>
      <c r="AF569" s="1521"/>
      <c r="AG569" s="1521"/>
      <c r="AH569" s="1521"/>
      <c r="AI569" s="1521"/>
      <c r="AJ569" s="320"/>
      <c r="AK569" s="320"/>
      <c r="AL569" s="320"/>
      <c r="AM569" s="320"/>
      <c r="AN569" s="1523">
        <f t="shared" si="74"/>
        <v>0</v>
      </c>
      <c r="AO569" s="320"/>
      <c r="AP569" s="320"/>
      <c r="AQ569" s="1521"/>
      <c r="AR569" s="1521"/>
      <c r="AS569" s="1521"/>
      <c r="AT569" s="1521"/>
      <c r="AU569" s="1521"/>
      <c r="AV569" s="1521"/>
      <c r="AW569" s="320"/>
      <c r="AX569" s="161"/>
      <c r="AY569" s="1540"/>
      <c r="AZ569" s="1560" t="e">
        <f>#REF!-#REF!</f>
        <v>#REF!</v>
      </c>
      <c r="BA569" s="1560">
        <f>IF(C569="Scheme",IF(SUM(AJ569:AS569)&gt;0,IF(H569&lt;#REF!,H569-#REF!,0),0),0)</f>
        <v>0</v>
      </c>
      <c r="BB569" s="1560">
        <f t="shared" si="75"/>
        <v>0</v>
      </c>
    </row>
    <row r="570" spans="1:56" ht="409.5" customHeight="1" outlineLevel="1" x14ac:dyDescent="0.25">
      <c r="A570" s="1492"/>
      <c r="B570" s="1492" t="s">
        <v>2163</v>
      </c>
      <c r="C570" s="1492" t="s">
        <v>936</v>
      </c>
      <c r="D570" s="1488"/>
      <c r="E570" s="1495"/>
      <c r="F570" s="1413"/>
      <c r="G570" s="618"/>
      <c r="H570" s="1417">
        <f>SUM(W570:AB570)</f>
        <v>47.15</v>
      </c>
      <c r="I570" s="161"/>
      <c r="J570" s="161"/>
      <c r="K570" s="1413"/>
      <c r="L570" s="1414"/>
      <c r="M570" s="1414"/>
      <c r="N570" s="1414"/>
      <c r="O570" s="1551" t="s">
        <v>2395</v>
      </c>
      <c r="P570" s="1521"/>
      <c r="Q570" s="320"/>
      <c r="R570" s="320"/>
      <c r="S570" s="320"/>
      <c r="T570" s="320">
        <f t="shared" si="73"/>
        <v>0</v>
      </c>
      <c r="U570" s="320"/>
      <c r="V570" s="320"/>
      <c r="W570" s="1521"/>
      <c r="X570" s="1595">
        <v>15</v>
      </c>
      <c r="Y570" s="1595">
        <v>32.15</v>
      </c>
      <c r="Z570" s="1521"/>
      <c r="AA570" s="1521"/>
      <c r="AB570" s="1521"/>
      <c r="AC570" s="1521"/>
      <c r="AD570" s="1521"/>
      <c r="AE570" s="1521"/>
      <c r="AF570" s="1521"/>
      <c r="AG570" s="1521"/>
      <c r="AH570" s="1521"/>
      <c r="AI570" s="1521"/>
      <c r="AJ570" s="320"/>
      <c r="AK570" s="320"/>
      <c r="AL570" s="320"/>
      <c r="AM570" s="320"/>
      <c r="AN570" s="1523">
        <f t="shared" si="74"/>
        <v>0</v>
      </c>
      <c r="AO570" s="320"/>
      <c r="AP570" s="320"/>
      <c r="AQ570" s="1521"/>
      <c r="AR570" s="1595">
        <v>15</v>
      </c>
      <c r="AS570" s="1595">
        <v>32.15</v>
      </c>
      <c r="AT570" s="1521"/>
      <c r="AU570" s="1521"/>
      <c r="AV570" s="1521"/>
      <c r="AW570" s="320"/>
      <c r="AX570" s="161"/>
      <c r="AY570" s="1540"/>
      <c r="AZ570" s="1560" t="e">
        <f>#REF!-#REF!</f>
        <v>#REF!</v>
      </c>
      <c r="BA570" s="1560" t="e">
        <f>IF(C570="Scheme",IF(SUM(AJ570:AS570)&gt;0,IF(H570&lt;#REF!,H570-#REF!,0),0),0)</f>
        <v>#REF!</v>
      </c>
      <c r="BB570" s="1560">
        <f t="shared" si="75"/>
        <v>-47.15</v>
      </c>
      <c r="BC570" s="96" t="s">
        <v>256</v>
      </c>
      <c r="BD570" s="96" t="s">
        <v>1931</v>
      </c>
    </row>
    <row r="571" spans="1:56" ht="31" outlineLevel="1" x14ac:dyDescent="0.25">
      <c r="A571" s="1486">
        <v>3</v>
      </c>
      <c r="B571" s="1491" t="s">
        <v>2164</v>
      </c>
      <c r="C571" s="1486" t="s">
        <v>928</v>
      </c>
      <c r="D571" s="1488"/>
      <c r="E571" s="1495"/>
      <c r="F571" s="1413"/>
      <c r="G571" s="618"/>
      <c r="H571" s="1608">
        <v>27.05</v>
      </c>
      <c r="I571" s="161"/>
      <c r="J571" s="161"/>
      <c r="K571" s="1413"/>
      <c r="L571" s="1414"/>
      <c r="M571" s="1414"/>
      <c r="N571" s="1414"/>
      <c r="O571" s="1551"/>
      <c r="P571" s="1521"/>
      <c r="Q571" s="320"/>
      <c r="R571" s="320"/>
      <c r="S571" s="320"/>
      <c r="T571" s="320">
        <f t="shared" si="73"/>
        <v>0</v>
      </c>
      <c r="U571" s="320"/>
      <c r="V571" s="320"/>
      <c r="W571" s="1521"/>
      <c r="X571" s="1521"/>
      <c r="Y571" s="1521"/>
      <c r="Z571" s="1521"/>
      <c r="AA571" s="1521"/>
      <c r="AB571" s="1521"/>
      <c r="AC571" s="1521"/>
      <c r="AD571" s="1521"/>
      <c r="AE571" s="1521"/>
      <c r="AF571" s="1521"/>
      <c r="AG571" s="1521"/>
      <c r="AH571" s="1521"/>
      <c r="AI571" s="1521"/>
      <c r="AJ571" s="320"/>
      <c r="AK571" s="320"/>
      <c r="AL571" s="320"/>
      <c r="AM571" s="320"/>
      <c r="AN571" s="1523">
        <f t="shared" si="74"/>
        <v>0</v>
      </c>
      <c r="AO571" s="320"/>
      <c r="AP571" s="320"/>
      <c r="AQ571" s="1521"/>
      <c r="AR571" s="1521"/>
      <c r="AS571" s="1521"/>
      <c r="AT571" s="1521"/>
      <c r="AU571" s="1521"/>
      <c r="AV571" s="1521"/>
      <c r="AW571" s="320"/>
      <c r="AX571" s="161"/>
      <c r="AY571" s="1540"/>
      <c r="AZ571" s="1560" t="e">
        <f>#REF!-#REF!</f>
        <v>#REF!</v>
      </c>
      <c r="BA571" s="1560">
        <f>IF(C571="Scheme",IF(SUM(AJ571:AS571)&gt;0,IF(H571&lt;#REF!,H571-#REF!,0),0),0)</f>
        <v>0</v>
      </c>
      <c r="BB571" s="1560">
        <f t="shared" si="75"/>
        <v>0</v>
      </c>
    </row>
    <row r="572" spans="1:56" ht="409.5" customHeight="1" outlineLevel="1" x14ac:dyDescent="0.25">
      <c r="A572" s="1492"/>
      <c r="B572" s="1492" t="s">
        <v>2164</v>
      </c>
      <c r="C572" s="1492" t="s">
        <v>936</v>
      </c>
      <c r="D572" s="1488"/>
      <c r="E572" s="1495"/>
      <c r="F572" s="1413"/>
      <c r="G572" s="618"/>
      <c r="H572" s="1417">
        <f>SUM(W572:AB572)</f>
        <v>27.05</v>
      </c>
      <c r="I572" s="161"/>
      <c r="J572" s="161"/>
      <c r="K572" s="1413"/>
      <c r="L572" s="1414"/>
      <c r="M572" s="1414"/>
      <c r="N572" s="1414"/>
      <c r="O572" s="1551" t="s">
        <v>2396</v>
      </c>
      <c r="P572" s="1521"/>
      <c r="Q572" s="320"/>
      <c r="R572" s="320"/>
      <c r="S572" s="320"/>
      <c r="T572" s="320">
        <f t="shared" si="73"/>
        <v>0</v>
      </c>
      <c r="U572" s="320"/>
      <c r="V572" s="320"/>
      <c r="W572" s="1521"/>
      <c r="X572" s="1521">
        <v>15</v>
      </c>
      <c r="Y572" s="1521">
        <v>12.05</v>
      </c>
      <c r="Z572" s="1521"/>
      <c r="AA572" s="1521"/>
      <c r="AB572" s="1521"/>
      <c r="AC572" s="1521"/>
      <c r="AD572" s="1521"/>
      <c r="AE572" s="1521"/>
      <c r="AF572" s="1521"/>
      <c r="AG572" s="1521"/>
      <c r="AH572" s="1521"/>
      <c r="AI572" s="1521"/>
      <c r="AJ572" s="320"/>
      <c r="AK572" s="320"/>
      <c r="AL572" s="320"/>
      <c r="AM572" s="320"/>
      <c r="AN572" s="1523">
        <f t="shared" si="74"/>
        <v>0</v>
      </c>
      <c r="AO572" s="320"/>
      <c r="AP572" s="320"/>
      <c r="AQ572" s="1521"/>
      <c r="AR572" s="1521">
        <v>15</v>
      </c>
      <c r="AS572" s="1521">
        <v>12.05</v>
      </c>
      <c r="AT572" s="1521"/>
      <c r="AU572" s="1521"/>
      <c r="AV572" s="1521"/>
      <c r="AW572" s="320"/>
      <c r="AX572" s="161"/>
      <c r="AY572" s="1540"/>
      <c r="AZ572" s="1560" t="e">
        <f>#REF!-#REF!</f>
        <v>#REF!</v>
      </c>
      <c r="BA572" s="1560" t="e">
        <f>IF(C572="Scheme",IF(SUM(AJ572:AS572)&gt;0,IF(H572&lt;#REF!,H572-#REF!,0),0),0)</f>
        <v>#REF!</v>
      </c>
      <c r="BB572" s="1560">
        <f t="shared" si="75"/>
        <v>-27.05</v>
      </c>
      <c r="BC572" s="96" t="s">
        <v>256</v>
      </c>
      <c r="BD572" s="96" t="s">
        <v>1931</v>
      </c>
    </row>
    <row r="573" spans="1:56" ht="31" outlineLevel="1" x14ac:dyDescent="0.25">
      <c r="A573" s="1486">
        <v>4</v>
      </c>
      <c r="B573" s="1491" t="s">
        <v>2165</v>
      </c>
      <c r="C573" s="1486" t="s">
        <v>928</v>
      </c>
      <c r="D573" s="1488"/>
      <c r="E573" s="1495"/>
      <c r="F573" s="1413"/>
      <c r="G573" s="618"/>
      <c r="H573" s="1608">
        <v>30</v>
      </c>
      <c r="I573" s="161"/>
      <c r="J573" s="161"/>
      <c r="K573" s="1413"/>
      <c r="L573" s="1414"/>
      <c r="M573" s="1414"/>
      <c r="N573" s="1414"/>
      <c r="O573" s="1551"/>
      <c r="P573" s="1521"/>
      <c r="Q573" s="320"/>
      <c r="R573" s="320"/>
      <c r="S573" s="320"/>
      <c r="T573" s="320">
        <f t="shared" si="73"/>
        <v>0</v>
      </c>
      <c r="U573" s="320"/>
      <c r="V573" s="320"/>
      <c r="W573" s="1521"/>
      <c r="X573" s="1521"/>
      <c r="Y573" s="1521"/>
      <c r="Z573" s="1521"/>
      <c r="AA573" s="1521"/>
      <c r="AB573" s="1521"/>
      <c r="AC573" s="1521"/>
      <c r="AD573" s="1521"/>
      <c r="AE573" s="1521"/>
      <c r="AF573" s="1521"/>
      <c r="AG573" s="1521"/>
      <c r="AH573" s="1521"/>
      <c r="AI573" s="1521"/>
      <c r="AJ573" s="320"/>
      <c r="AK573" s="320"/>
      <c r="AL573" s="320"/>
      <c r="AM573" s="320"/>
      <c r="AN573" s="1523">
        <f t="shared" si="74"/>
        <v>0</v>
      </c>
      <c r="AO573" s="320"/>
      <c r="AP573" s="320"/>
      <c r="AQ573" s="1521"/>
      <c r="AR573" s="1521"/>
      <c r="AS573" s="1521"/>
      <c r="AT573" s="1521"/>
      <c r="AU573" s="1521"/>
      <c r="AV573" s="1521"/>
      <c r="AW573" s="320"/>
      <c r="AX573" s="161"/>
      <c r="AY573" s="1540"/>
      <c r="AZ573" s="1560" t="e">
        <f>#REF!-#REF!</f>
        <v>#REF!</v>
      </c>
      <c r="BA573" s="1560">
        <f>IF(C573="Scheme",IF(SUM(AJ573:AS573)&gt;0,IF(H573&lt;#REF!,H573-#REF!,0),0),0)</f>
        <v>0</v>
      </c>
      <c r="BB573" s="1560">
        <f t="shared" si="75"/>
        <v>0</v>
      </c>
    </row>
    <row r="574" spans="1:56" ht="409.5" customHeight="1" outlineLevel="1" x14ac:dyDescent="0.25">
      <c r="A574" s="1492"/>
      <c r="B574" s="1492" t="s">
        <v>2166</v>
      </c>
      <c r="C574" s="1492" t="s">
        <v>936</v>
      </c>
      <c r="D574" s="1488"/>
      <c r="E574" s="1495"/>
      <c r="F574" s="1413"/>
      <c r="G574" s="618"/>
      <c r="H574" s="1417">
        <f>SUM(W574:AB574)</f>
        <v>30</v>
      </c>
      <c r="I574" s="161"/>
      <c r="J574" s="161"/>
      <c r="K574" s="1413"/>
      <c r="L574" s="1414"/>
      <c r="M574" s="1414"/>
      <c r="N574" s="1414"/>
      <c r="O574" s="1551" t="s">
        <v>2397</v>
      </c>
      <c r="P574" s="1521"/>
      <c r="Q574" s="320"/>
      <c r="R574" s="320"/>
      <c r="S574" s="320"/>
      <c r="T574" s="320">
        <f t="shared" si="73"/>
        <v>0</v>
      </c>
      <c r="U574" s="320"/>
      <c r="V574" s="320"/>
      <c r="W574" s="1521"/>
      <c r="X574" s="1595">
        <v>15</v>
      </c>
      <c r="Y574" s="1595">
        <v>15</v>
      </c>
      <c r="Z574" s="1521"/>
      <c r="AA574" s="1521"/>
      <c r="AB574" s="1521"/>
      <c r="AC574" s="1521"/>
      <c r="AD574" s="1521"/>
      <c r="AE574" s="1521"/>
      <c r="AF574" s="1521"/>
      <c r="AG574" s="1521"/>
      <c r="AH574" s="1521"/>
      <c r="AI574" s="1521"/>
      <c r="AJ574" s="320"/>
      <c r="AK574" s="320"/>
      <c r="AL574" s="320"/>
      <c r="AM574" s="320"/>
      <c r="AN574" s="1523">
        <f t="shared" si="74"/>
        <v>0</v>
      </c>
      <c r="AO574" s="320"/>
      <c r="AP574" s="320"/>
      <c r="AQ574" s="1521"/>
      <c r="AR574" s="1595">
        <v>15</v>
      </c>
      <c r="AS574" s="1595">
        <v>15</v>
      </c>
      <c r="AT574" s="1521"/>
      <c r="AU574" s="1521"/>
      <c r="AV574" s="1521"/>
      <c r="AW574" s="320"/>
      <c r="AX574" s="161"/>
      <c r="AY574" s="1540"/>
      <c r="AZ574" s="1560" t="e">
        <f>#REF!-#REF!</f>
        <v>#REF!</v>
      </c>
      <c r="BA574" s="1560" t="e">
        <f>IF(C574="Scheme",IF(SUM(AJ574:AS574)&gt;0,IF(H574&lt;#REF!,H574-#REF!,0),0),0)</f>
        <v>#REF!</v>
      </c>
      <c r="BB574" s="1560">
        <f t="shared" si="75"/>
        <v>-30</v>
      </c>
      <c r="BC574" s="96" t="s">
        <v>256</v>
      </c>
      <c r="BD574" s="96" t="s">
        <v>1931</v>
      </c>
    </row>
    <row r="575" spans="1:56" ht="31" outlineLevel="1" x14ac:dyDescent="0.25">
      <c r="A575" s="1486">
        <v>5</v>
      </c>
      <c r="B575" s="1491" t="s">
        <v>2167</v>
      </c>
      <c r="C575" s="1486" t="s">
        <v>928</v>
      </c>
      <c r="D575" s="1488"/>
      <c r="E575" s="1495"/>
      <c r="F575" s="1413"/>
      <c r="G575" s="618"/>
      <c r="H575" s="1608">
        <v>40</v>
      </c>
      <c r="I575" s="161"/>
      <c r="J575" s="161"/>
      <c r="K575" s="1413"/>
      <c r="L575" s="1414"/>
      <c r="M575" s="1414"/>
      <c r="N575" s="1414"/>
      <c r="O575" s="1551"/>
      <c r="P575" s="1521"/>
      <c r="Q575" s="320"/>
      <c r="R575" s="320"/>
      <c r="S575" s="320"/>
      <c r="T575" s="320">
        <f t="shared" si="73"/>
        <v>0</v>
      </c>
      <c r="U575" s="320"/>
      <c r="V575" s="320"/>
      <c r="W575" s="1521"/>
      <c r="X575" s="1521"/>
      <c r="Y575" s="1521"/>
      <c r="Z575" s="1521"/>
      <c r="AA575" s="1521"/>
      <c r="AB575" s="1521"/>
      <c r="AC575" s="1521"/>
      <c r="AD575" s="1521"/>
      <c r="AE575" s="1521"/>
      <c r="AF575" s="1521"/>
      <c r="AG575" s="1521"/>
      <c r="AH575" s="1521"/>
      <c r="AI575" s="1521"/>
      <c r="AJ575" s="320"/>
      <c r="AK575" s="320"/>
      <c r="AL575" s="320"/>
      <c r="AM575" s="320"/>
      <c r="AN575" s="1523">
        <f t="shared" si="74"/>
        <v>0</v>
      </c>
      <c r="AO575" s="320"/>
      <c r="AP575" s="320"/>
      <c r="AQ575" s="1521"/>
      <c r="AR575" s="1521"/>
      <c r="AS575" s="1521"/>
      <c r="AT575" s="1521"/>
      <c r="AU575" s="1521"/>
      <c r="AV575" s="1521"/>
      <c r="AW575" s="320"/>
      <c r="AX575" s="161"/>
      <c r="AY575" s="1540"/>
      <c r="AZ575" s="1560" t="e">
        <f>#REF!-#REF!</f>
        <v>#REF!</v>
      </c>
      <c r="BA575" s="1560">
        <f>IF(C575="Scheme",IF(SUM(AJ575:AS575)&gt;0,IF(H575&lt;#REF!,H575-#REF!,0),0),0)</f>
        <v>0</v>
      </c>
      <c r="BB575" s="1560">
        <f t="shared" si="75"/>
        <v>0</v>
      </c>
    </row>
    <row r="576" spans="1:56" ht="409.5" customHeight="1" outlineLevel="1" x14ac:dyDescent="0.25">
      <c r="A576" s="1492"/>
      <c r="B576" s="1492" t="s">
        <v>2167</v>
      </c>
      <c r="C576" s="1492" t="s">
        <v>936</v>
      </c>
      <c r="D576" s="1488"/>
      <c r="E576" s="1495"/>
      <c r="F576" s="1413"/>
      <c r="G576" s="618"/>
      <c r="H576" s="1417">
        <f>SUM(W576:AB576)</f>
        <v>30</v>
      </c>
      <c r="I576" s="161"/>
      <c r="J576" s="161"/>
      <c r="K576" s="1413"/>
      <c r="L576" s="1414"/>
      <c r="M576" s="1414"/>
      <c r="N576" s="1414"/>
      <c r="O576" s="1551" t="s">
        <v>2398</v>
      </c>
      <c r="P576" s="1521"/>
      <c r="Q576" s="320"/>
      <c r="R576" s="320"/>
      <c r="S576" s="320"/>
      <c r="T576" s="320">
        <f t="shared" si="73"/>
        <v>0</v>
      </c>
      <c r="U576" s="320"/>
      <c r="V576" s="320"/>
      <c r="W576" s="1521"/>
      <c r="X576" s="1521">
        <v>15</v>
      </c>
      <c r="Y576" s="1521">
        <v>15</v>
      </c>
      <c r="Z576" s="1521"/>
      <c r="AA576" s="1521"/>
      <c r="AB576" s="1521"/>
      <c r="AC576" s="1521"/>
      <c r="AD576" s="1521"/>
      <c r="AE576" s="1521"/>
      <c r="AF576" s="1521"/>
      <c r="AG576" s="1521"/>
      <c r="AH576" s="1521"/>
      <c r="AI576" s="1521"/>
      <c r="AJ576" s="320"/>
      <c r="AK576" s="320"/>
      <c r="AL576" s="320"/>
      <c r="AM576" s="320"/>
      <c r="AN576" s="1523">
        <f t="shared" si="74"/>
        <v>0</v>
      </c>
      <c r="AO576" s="320"/>
      <c r="AP576" s="320"/>
      <c r="AQ576" s="1521"/>
      <c r="AR576" s="1521">
        <v>15</v>
      </c>
      <c r="AS576" s="1521">
        <v>15</v>
      </c>
      <c r="AT576" s="1521"/>
      <c r="AU576" s="1521"/>
      <c r="AV576" s="1521"/>
      <c r="AW576" s="320"/>
      <c r="AX576" s="161"/>
      <c r="AY576" s="1540"/>
      <c r="AZ576" s="1560" t="e">
        <f>#REF!-#REF!</f>
        <v>#REF!</v>
      </c>
      <c r="BA576" s="1560" t="e">
        <f>IF(C576="Scheme",IF(SUM(AJ576:AS576)&gt;0,IF(H576&lt;#REF!,H576-#REF!,0),0),0)</f>
        <v>#REF!</v>
      </c>
      <c r="BB576" s="1560">
        <f t="shared" si="75"/>
        <v>-30</v>
      </c>
      <c r="BC576" s="96" t="s">
        <v>256</v>
      </c>
      <c r="BD576" s="96" t="s">
        <v>1931</v>
      </c>
    </row>
    <row r="577" spans="1:56" ht="168" outlineLevel="1" x14ac:dyDescent="0.25">
      <c r="A577" s="1492"/>
      <c r="B577" s="1492" t="s">
        <v>2168</v>
      </c>
      <c r="C577" s="1492" t="s">
        <v>936</v>
      </c>
      <c r="D577" s="1488"/>
      <c r="E577" s="1495"/>
      <c r="F577" s="1413"/>
      <c r="G577" s="618"/>
      <c r="H577" s="1417">
        <f>SUM(W577:AB577)</f>
        <v>10</v>
      </c>
      <c r="I577" s="161"/>
      <c r="J577" s="161"/>
      <c r="K577" s="1413"/>
      <c r="L577" s="1414"/>
      <c r="M577" s="1414"/>
      <c r="N577" s="1414"/>
      <c r="O577" s="1551" t="s">
        <v>2398</v>
      </c>
      <c r="P577" s="1521"/>
      <c r="Q577" s="320"/>
      <c r="R577" s="320"/>
      <c r="S577" s="320"/>
      <c r="T577" s="320">
        <f t="shared" si="73"/>
        <v>0</v>
      </c>
      <c r="U577" s="320"/>
      <c r="V577" s="320"/>
      <c r="W577" s="1521"/>
      <c r="X577" s="1521">
        <v>6</v>
      </c>
      <c r="Y577" s="1521">
        <v>4</v>
      </c>
      <c r="Z577" s="1521"/>
      <c r="AA577" s="1521"/>
      <c r="AB577" s="1521"/>
      <c r="AC577" s="1521"/>
      <c r="AD577" s="1521"/>
      <c r="AE577" s="1521"/>
      <c r="AF577" s="1521"/>
      <c r="AG577" s="1521"/>
      <c r="AH577" s="1521"/>
      <c r="AI577" s="1521"/>
      <c r="AJ577" s="320"/>
      <c r="AK577" s="320"/>
      <c r="AL577" s="320"/>
      <c r="AM577" s="320"/>
      <c r="AN577" s="1523">
        <f t="shared" si="74"/>
        <v>0</v>
      </c>
      <c r="AO577" s="320"/>
      <c r="AP577" s="320"/>
      <c r="AQ577" s="1521"/>
      <c r="AR577" s="1521">
        <v>6</v>
      </c>
      <c r="AS577" s="1521">
        <v>4</v>
      </c>
      <c r="AT577" s="1521"/>
      <c r="AU577" s="1521"/>
      <c r="AV577" s="1521"/>
      <c r="AW577" s="320"/>
      <c r="AX577" s="161"/>
      <c r="AY577" s="1540"/>
      <c r="AZ577" s="1560" t="e">
        <f>#REF!-#REF!</f>
        <v>#REF!</v>
      </c>
      <c r="BA577" s="1560" t="e">
        <f>IF(C577="Scheme",IF(SUM(AJ577:AS577)&gt;0,IF(H577&lt;#REF!,H577-#REF!,0),0),0)</f>
        <v>#REF!</v>
      </c>
      <c r="BB577" s="1560">
        <f t="shared" si="75"/>
        <v>-10</v>
      </c>
      <c r="BC577" s="96" t="s">
        <v>256</v>
      </c>
      <c r="BD577" s="96" t="s">
        <v>1931</v>
      </c>
    </row>
    <row r="578" spans="1:56" ht="31" outlineLevel="1" x14ac:dyDescent="0.25">
      <c r="A578" s="1486">
        <v>6</v>
      </c>
      <c r="B578" s="1491" t="s">
        <v>2169</v>
      </c>
      <c r="C578" s="1486" t="s">
        <v>928</v>
      </c>
      <c r="D578" s="1488"/>
      <c r="E578" s="1495"/>
      <c r="F578" s="1413"/>
      <c r="G578" s="618"/>
      <c r="H578" s="1610">
        <v>67.900000000000006</v>
      </c>
      <c r="I578" s="161"/>
      <c r="J578" s="161"/>
      <c r="K578" s="1413"/>
      <c r="L578" s="1414"/>
      <c r="M578" s="1414"/>
      <c r="N578" s="1414"/>
      <c r="O578" s="1551"/>
      <c r="P578" s="1521"/>
      <c r="Q578" s="320"/>
      <c r="R578" s="320"/>
      <c r="S578" s="320"/>
      <c r="T578" s="320">
        <f t="shared" si="73"/>
        <v>0</v>
      </c>
      <c r="U578" s="320"/>
      <c r="V578" s="320"/>
      <c r="W578" s="1521"/>
      <c r="X578" s="1521"/>
      <c r="Y578" s="1521"/>
      <c r="Z578" s="1521"/>
      <c r="AA578" s="1521"/>
      <c r="AB578" s="1521"/>
      <c r="AC578" s="1521"/>
      <c r="AD578" s="1521"/>
      <c r="AE578" s="1521"/>
      <c r="AF578" s="1521"/>
      <c r="AG578" s="1521"/>
      <c r="AH578" s="1521"/>
      <c r="AI578" s="1521"/>
      <c r="AJ578" s="320"/>
      <c r="AK578" s="320"/>
      <c r="AL578" s="320"/>
      <c r="AM578" s="320"/>
      <c r="AN578" s="1523">
        <f t="shared" si="74"/>
        <v>0</v>
      </c>
      <c r="AO578" s="320"/>
      <c r="AP578" s="320"/>
      <c r="AQ578" s="1521"/>
      <c r="AR578" s="1521"/>
      <c r="AS578" s="1521"/>
      <c r="AT578" s="1521"/>
      <c r="AU578" s="1521"/>
      <c r="AV578" s="1521"/>
      <c r="AW578" s="320"/>
      <c r="AX578" s="161"/>
      <c r="AY578" s="1540"/>
      <c r="AZ578" s="1560" t="e">
        <f>#REF!-#REF!</f>
        <v>#REF!</v>
      </c>
      <c r="BA578" s="1560">
        <f>IF(C578="Scheme",IF(SUM(AJ578:AS578)&gt;0,IF(H578&lt;#REF!,H578-#REF!,0),0),0)</f>
        <v>0</v>
      </c>
      <c r="BB578" s="1560">
        <f t="shared" si="75"/>
        <v>0</v>
      </c>
    </row>
    <row r="579" spans="1:56" ht="98" outlineLevel="1" x14ac:dyDescent="0.25">
      <c r="A579" s="1492"/>
      <c r="B579" s="1492" t="s">
        <v>2170</v>
      </c>
      <c r="C579" s="1492" t="s">
        <v>936</v>
      </c>
      <c r="D579" s="1488"/>
      <c r="E579" s="1495"/>
      <c r="F579" s="1413"/>
      <c r="G579" s="618"/>
      <c r="H579" s="1417">
        <f t="shared" ref="H579:H584" si="76">SUM(W579:AB579)</f>
        <v>3.78</v>
      </c>
      <c r="I579" s="161"/>
      <c r="J579" s="161"/>
      <c r="K579" s="1413"/>
      <c r="L579" s="1414"/>
      <c r="M579" s="1414"/>
      <c r="N579" s="1414"/>
      <c r="O579" s="1551" t="s">
        <v>2399</v>
      </c>
      <c r="P579" s="1521"/>
      <c r="Q579" s="320"/>
      <c r="R579" s="320"/>
      <c r="S579" s="320"/>
      <c r="T579" s="320">
        <f t="shared" si="73"/>
        <v>0</v>
      </c>
      <c r="U579" s="320"/>
      <c r="V579" s="320"/>
      <c r="W579" s="1521"/>
      <c r="X579" s="1521">
        <v>3.78</v>
      </c>
      <c r="Y579" s="1521"/>
      <c r="Z579" s="1521"/>
      <c r="AA579" s="1521"/>
      <c r="AB579" s="1521"/>
      <c r="AC579" s="1521"/>
      <c r="AD579" s="1521"/>
      <c r="AE579" s="1521"/>
      <c r="AF579" s="1521"/>
      <c r="AG579" s="1521"/>
      <c r="AH579" s="1521"/>
      <c r="AI579" s="1521"/>
      <c r="AJ579" s="320"/>
      <c r="AK579" s="320"/>
      <c r="AL579" s="320"/>
      <c r="AM579" s="320"/>
      <c r="AN579" s="1523">
        <f t="shared" si="74"/>
        <v>0</v>
      </c>
      <c r="AO579" s="320"/>
      <c r="AP579" s="320"/>
      <c r="AQ579" s="1521"/>
      <c r="AR579" s="1521">
        <v>3.78</v>
      </c>
      <c r="AS579" s="1521"/>
      <c r="AT579" s="1521"/>
      <c r="AU579" s="1521"/>
      <c r="AV579" s="1521"/>
      <c r="AW579" s="320"/>
      <c r="AX579" s="161"/>
      <c r="AY579" s="1540"/>
      <c r="AZ579" s="1560" t="e">
        <f>#REF!-#REF!</f>
        <v>#REF!</v>
      </c>
      <c r="BA579" s="1560" t="e">
        <f>IF(C579="Scheme",IF(SUM(AJ579:AS579)&gt;0,IF(H579&lt;#REF!,H579-#REF!,0),0),0)</f>
        <v>#REF!</v>
      </c>
      <c r="BB579" s="1560">
        <f t="shared" si="75"/>
        <v>-3.78</v>
      </c>
      <c r="BC579" s="96" t="s">
        <v>256</v>
      </c>
      <c r="BD579" s="96" t="s">
        <v>1931</v>
      </c>
    </row>
    <row r="580" spans="1:56" ht="56" outlineLevel="1" x14ac:dyDescent="0.25">
      <c r="A580" s="1492"/>
      <c r="B580" s="1492" t="s">
        <v>2171</v>
      </c>
      <c r="C580" s="1492" t="s">
        <v>936</v>
      </c>
      <c r="D580" s="1488"/>
      <c r="E580" s="1495"/>
      <c r="F580" s="1413"/>
      <c r="G580" s="618"/>
      <c r="H580" s="1417">
        <f t="shared" si="76"/>
        <v>4.05</v>
      </c>
      <c r="I580" s="161"/>
      <c r="J580" s="161"/>
      <c r="K580" s="1413"/>
      <c r="L580" s="1414"/>
      <c r="M580" s="1414"/>
      <c r="N580" s="1414"/>
      <c r="O580" s="1551" t="s">
        <v>2400</v>
      </c>
      <c r="P580" s="1521"/>
      <c r="Q580" s="320"/>
      <c r="R580" s="320"/>
      <c r="S580" s="320"/>
      <c r="T580" s="320">
        <f t="shared" si="73"/>
        <v>0</v>
      </c>
      <c r="U580" s="320"/>
      <c r="V580" s="320"/>
      <c r="W580" s="1521"/>
      <c r="X580" s="1521">
        <v>4.05</v>
      </c>
      <c r="Y580" s="1521"/>
      <c r="Z580" s="1521"/>
      <c r="AA580" s="1595"/>
      <c r="AB580" s="1521"/>
      <c r="AC580" s="1521"/>
      <c r="AD580" s="1521"/>
      <c r="AE580" s="1521"/>
      <c r="AF580" s="1521"/>
      <c r="AG580" s="1521"/>
      <c r="AH580" s="1521"/>
      <c r="AI580" s="1521"/>
      <c r="AJ580" s="320"/>
      <c r="AK580" s="320"/>
      <c r="AL580" s="320"/>
      <c r="AM580" s="320"/>
      <c r="AN580" s="1523">
        <f t="shared" si="74"/>
        <v>0</v>
      </c>
      <c r="AO580" s="320"/>
      <c r="AP580" s="320"/>
      <c r="AQ580" s="1521"/>
      <c r="AR580" s="1521">
        <v>4.05</v>
      </c>
      <c r="AS580" s="1521"/>
      <c r="AT580" s="1521"/>
      <c r="AU580" s="1595"/>
      <c r="AV580" s="1521"/>
      <c r="AW580" s="320"/>
      <c r="AX580" s="161"/>
      <c r="AY580" s="1540"/>
      <c r="AZ580" s="1560" t="e">
        <f>#REF!-#REF!</f>
        <v>#REF!</v>
      </c>
      <c r="BA580" s="1560" t="e">
        <f>IF(C580="Scheme",IF(SUM(AJ580:AS580)&gt;0,IF(H580&lt;#REF!,H580-#REF!,0),0),0)</f>
        <v>#REF!</v>
      </c>
      <c r="BB580" s="1560">
        <f t="shared" si="75"/>
        <v>-4.05</v>
      </c>
      <c r="BC580" s="96" t="s">
        <v>256</v>
      </c>
      <c r="BD580" s="96" t="s">
        <v>1931</v>
      </c>
    </row>
    <row r="581" spans="1:56" ht="56" outlineLevel="1" x14ac:dyDescent="0.25">
      <c r="A581" s="1492"/>
      <c r="B581" s="1492" t="s">
        <v>2172</v>
      </c>
      <c r="C581" s="1492" t="s">
        <v>936</v>
      </c>
      <c r="D581" s="1488"/>
      <c r="E581" s="1495"/>
      <c r="F581" s="1413"/>
      <c r="G581" s="618"/>
      <c r="H581" s="1417">
        <f t="shared" si="76"/>
        <v>7.01</v>
      </c>
      <c r="I581" s="161"/>
      <c r="J581" s="161"/>
      <c r="K581" s="1413"/>
      <c r="L581" s="1414"/>
      <c r="M581" s="1414"/>
      <c r="N581" s="1414"/>
      <c r="O581" s="1551" t="s">
        <v>2400</v>
      </c>
      <c r="P581" s="1521"/>
      <c r="Q581" s="320"/>
      <c r="R581" s="320"/>
      <c r="S581" s="320"/>
      <c r="T581" s="320">
        <f t="shared" si="73"/>
        <v>0</v>
      </c>
      <c r="U581" s="320"/>
      <c r="V581" s="320"/>
      <c r="W581" s="1521"/>
      <c r="X581" s="1521">
        <v>7.01</v>
      </c>
      <c r="Y581" s="1521"/>
      <c r="Z581" s="1521"/>
      <c r="AA581" s="1521"/>
      <c r="AB581" s="1521"/>
      <c r="AC581" s="1521"/>
      <c r="AD581" s="1521"/>
      <c r="AE581" s="1521"/>
      <c r="AF581" s="1521"/>
      <c r="AG581" s="1521"/>
      <c r="AH581" s="1521"/>
      <c r="AI581" s="1521"/>
      <c r="AJ581" s="320"/>
      <c r="AK581" s="320"/>
      <c r="AL581" s="320"/>
      <c r="AM581" s="320"/>
      <c r="AN581" s="1523">
        <f t="shared" si="74"/>
        <v>0</v>
      </c>
      <c r="AO581" s="320"/>
      <c r="AP581" s="320"/>
      <c r="AQ581" s="1521"/>
      <c r="AR581" s="1521">
        <v>7.01</v>
      </c>
      <c r="AS581" s="1521"/>
      <c r="AT581" s="1521"/>
      <c r="AU581" s="1521"/>
      <c r="AV581" s="1521"/>
      <c r="AW581" s="320"/>
      <c r="AX581" s="161"/>
      <c r="AY581" s="1540"/>
      <c r="AZ581" s="1560" t="e">
        <f>#REF!-#REF!</f>
        <v>#REF!</v>
      </c>
      <c r="BA581" s="1560" t="e">
        <f>IF(C581="Scheme",IF(SUM(AJ581:AS581)&gt;0,IF(H581&lt;#REF!,H581-#REF!,0),0),0)</f>
        <v>#REF!</v>
      </c>
      <c r="BB581" s="1560">
        <f t="shared" si="75"/>
        <v>-7.01</v>
      </c>
      <c r="BC581" s="96" t="s">
        <v>256</v>
      </c>
      <c r="BD581" s="96" t="s">
        <v>1931</v>
      </c>
    </row>
    <row r="582" spans="1:56" ht="70" outlineLevel="1" x14ac:dyDescent="0.25">
      <c r="A582" s="1492"/>
      <c r="B582" s="1492" t="s">
        <v>2173</v>
      </c>
      <c r="C582" s="1492" t="s">
        <v>936</v>
      </c>
      <c r="D582" s="1488"/>
      <c r="E582" s="1495"/>
      <c r="F582" s="1413"/>
      <c r="G582" s="618"/>
      <c r="H582" s="1417">
        <f t="shared" si="76"/>
        <v>6.34</v>
      </c>
      <c r="I582" s="161"/>
      <c r="J582" s="161"/>
      <c r="K582" s="1413"/>
      <c r="L582" s="1414"/>
      <c r="M582" s="1414"/>
      <c r="N582" s="1414"/>
      <c r="O582" s="1551" t="s">
        <v>2401</v>
      </c>
      <c r="P582" s="1521"/>
      <c r="Q582" s="320"/>
      <c r="R582" s="320"/>
      <c r="S582" s="320"/>
      <c r="T582" s="320">
        <f t="shared" si="73"/>
        <v>0</v>
      </c>
      <c r="U582" s="320"/>
      <c r="V582" s="320"/>
      <c r="W582" s="1521"/>
      <c r="X582" s="1521">
        <v>6.34</v>
      </c>
      <c r="Y582" s="1521"/>
      <c r="Z582" s="1521"/>
      <c r="AA582" s="1521"/>
      <c r="AB582" s="1521"/>
      <c r="AC582" s="1521"/>
      <c r="AD582" s="1521"/>
      <c r="AE582" s="1521"/>
      <c r="AF582" s="1521"/>
      <c r="AG582" s="1521"/>
      <c r="AH582" s="1521"/>
      <c r="AI582" s="1521"/>
      <c r="AJ582" s="320"/>
      <c r="AK582" s="320"/>
      <c r="AL582" s="320"/>
      <c r="AM582" s="320"/>
      <c r="AN582" s="1523">
        <f t="shared" si="74"/>
        <v>0</v>
      </c>
      <c r="AO582" s="320"/>
      <c r="AP582" s="320"/>
      <c r="AQ582" s="1521"/>
      <c r="AR582" s="1521">
        <v>6.34</v>
      </c>
      <c r="AS582" s="1521"/>
      <c r="AT582" s="1521"/>
      <c r="AU582" s="1521"/>
      <c r="AV582" s="1521"/>
      <c r="AW582" s="320"/>
      <c r="AX582" s="161"/>
      <c r="AY582" s="1540"/>
      <c r="AZ582" s="1560" t="e">
        <f>#REF!-#REF!</f>
        <v>#REF!</v>
      </c>
      <c r="BA582" s="1560" t="e">
        <f>IF(C582="Scheme",IF(SUM(AJ582:AS582)&gt;0,IF(H582&lt;#REF!,H582-#REF!,0),0),0)</f>
        <v>#REF!</v>
      </c>
      <c r="BB582" s="1560">
        <f t="shared" si="75"/>
        <v>-6.34</v>
      </c>
      <c r="BC582" s="96" t="s">
        <v>256</v>
      </c>
      <c r="BD582" s="96" t="s">
        <v>1931</v>
      </c>
    </row>
    <row r="583" spans="1:56" ht="112" outlineLevel="1" x14ac:dyDescent="0.25">
      <c r="A583" s="1492"/>
      <c r="B583" s="1492" t="s">
        <v>2174</v>
      </c>
      <c r="C583" s="1492" t="s">
        <v>936</v>
      </c>
      <c r="D583" s="1488"/>
      <c r="E583" s="1495"/>
      <c r="F583" s="1413"/>
      <c r="G583" s="618"/>
      <c r="H583" s="1417">
        <f t="shared" si="76"/>
        <v>16.86</v>
      </c>
      <c r="I583" s="161"/>
      <c r="J583" s="161"/>
      <c r="K583" s="1413"/>
      <c r="L583" s="1414"/>
      <c r="M583" s="1414"/>
      <c r="N583" s="1414"/>
      <c r="O583" s="1551" t="s">
        <v>2402</v>
      </c>
      <c r="P583" s="1521"/>
      <c r="Q583" s="320"/>
      <c r="R583" s="320"/>
      <c r="S583" s="320"/>
      <c r="T583" s="320">
        <f t="shared" si="73"/>
        <v>0</v>
      </c>
      <c r="U583" s="320"/>
      <c r="V583" s="320"/>
      <c r="W583" s="1521"/>
      <c r="X583" s="1521">
        <f>16.86/2</f>
        <v>8.43</v>
      </c>
      <c r="Y583" s="1521">
        <f>16.86/2</f>
        <v>8.43</v>
      </c>
      <c r="Z583" s="1521"/>
      <c r="AA583" s="1521"/>
      <c r="AB583" s="1521"/>
      <c r="AC583" s="1521"/>
      <c r="AD583" s="1521"/>
      <c r="AE583" s="1521"/>
      <c r="AF583" s="1521"/>
      <c r="AG583" s="1521"/>
      <c r="AH583" s="1521"/>
      <c r="AI583" s="1521"/>
      <c r="AJ583" s="320"/>
      <c r="AK583" s="320"/>
      <c r="AL583" s="320"/>
      <c r="AM583" s="320"/>
      <c r="AN583" s="1523">
        <f t="shared" si="74"/>
        <v>0</v>
      </c>
      <c r="AO583" s="320"/>
      <c r="AP583" s="320"/>
      <c r="AQ583" s="1521"/>
      <c r="AR583" s="1521">
        <v>8.43</v>
      </c>
      <c r="AS583" s="1521">
        <v>8.43</v>
      </c>
      <c r="AT583" s="1521"/>
      <c r="AU583" s="1521"/>
      <c r="AV583" s="1521"/>
      <c r="AW583" s="320"/>
      <c r="AX583" s="161"/>
      <c r="AY583" s="1540"/>
      <c r="AZ583" s="1560" t="e">
        <f>#REF!-#REF!</f>
        <v>#REF!</v>
      </c>
      <c r="BA583" s="1560" t="e">
        <f>IF(C583="Scheme",IF(SUM(AJ583:AS583)&gt;0,IF(H583&lt;#REF!,H583-#REF!,0),0),0)</f>
        <v>#REF!</v>
      </c>
      <c r="BB583" s="1560">
        <f t="shared" si="75"/>
        <v>-16.86</v>
      </c>
      <c r="BC583" s="96" t="s">
        <v>256</v>
      </c>
      <c r="BD583" s="96" t="s">
        <v>1931</v>
      </c>
    </row>
    <row r="584" spans="1:56" ht="112" outlineLevel="1" x14ac:dyDescent="0.25">
      <c r="A584" s="1492"/>
      <c r="B584" s="1492" t="s">
        <v>2175</v>
      </c>
      <c r="C584" s="1492" t="s">
        <v>936</v>
      </c>
      <c r="D584" s="1488"/>
      <c r="E584" s="1495"/>
      <c r="F584" s="1413"/>
      <c r="G584" s="618"/>
      <c r="H584" s="1417">
        <f t="shared" si="76"/>
        <v>29.81</v>
      </c>
      <c r="I584" s="161"/>
      <c r="J584" s="161"/>
      <c r="K584" s="1413"/>
      <c r="L584" s="1414"/>
      <c r="M584" s="1414"/>
      <c r="N584" s="1414"/>
      <c r="O584" s="1551" t="s">
        <v>2403</v>
      </c>
      <c r="P584" s="1521"/>
      <c r="Q584" s="320"/>
      <c r="R584" s="320"/>
      <c r="S584" s="320"/>
      <c r="T584" s="320">
        <f t="shared" ref="T584:T647" si="77">SUM(P584:S584)</f>
        <v>0</v>
      </c>
      <c r="U584" s="320"/>
      <c r="V584" s="320"/>
      <c r="W584" s="1521"/>
      <c r="X584" s="1521">
        <f>29.81/2</f>
        <v>14.904999999999999</v>
      </c>
      <c r="Y584" s="1521">
        <f>29.81/2</f>
        <v>14.904999999999999</v>
      </c>
      <c r="Z584" s="1521"/>
      <c r="AA584" s="1521"/>
      <c r="AB584" s="1521"/>
      <c r="AC584" s="1521"/>
      <c r="AD584" s="1521"/>
      <c r="AE584" s="1521"/>
      <c r="AF584" s="1521"/>
      <c r="AG584" s="1521"/>
      <c r="AH584" s="1521"/>
      <c r="AI584" s="1521"/>
      <c r="AJ584" s="320"/>
      <c r="AK584" s="320"/>
      <c r="AL584" s="320"/>
      <c r="AM584" s="320"/>
      <c r="AN584" s="1523">
        <f t="shared" ref="AN584:AN647" si="78">SUM(AJ584:AM584)</f>
        <v>0</v>
      </c>
      <c r="AO584" s="320"/>
      <c r="AP584" s="320"/>
      <c r="AQ584" s="1521"/>
      <c r="AR584" s="1521">
        <v>14.904999999999999</v>
      </c>
      <c r="AS584" s="1521">
        <v>14.904999999999999</v>
      </c>
      <c r="AT584" s="1521"/>
      <c r="AU584" s="1521"/>
      <c r="AV584" s="1521"/>
      <c r="AW584" s="320"/>
      <c r="AX584" s="161"/>
      <c r="AY584" s="1540"/>
      <c r="AZ584" s="1560" t="e">
        <f>#REF!-#REF!</f>
        <v>#REF!</v>
      </c>
      <c r="BA584" s="1560" t="e">
        <f>IF(C584="Scheme",IF(SUM(AJ584:AS584)&gt;0,IF(H584&lt;#REF!,H584-#REF!,0),0),0)</f>
        <v>#REF!</v>
      </c>
      <c r="BB584" s="1560">
        <f t="shared" si="75"/>
        <v>-29.81</v>
      </c>
      <c r="BC584" s="96" t="s">
        <v>256</v>
      </c>
      <c r="BD584" s="96" t="s">
        <v>1931</v>
      </c>
    </row>
    <row r="585" spans="1:56" ht="46.5" outlineLevel="1" x14ac:dyDescent="0.25">
      <c r="A585" s="1486">
        <v>7</v>
      </c>
      <c r="B585" s="1491" t="s">
        <v>2176</v>
      </c>
      <c r="C585" s="1486" t="s">
        <v>928</v>
      </c>
      <c r="D585" s="1488"/>
      <c r="E585" s="1495"/>
      <c r="F585" s="1413"/>
      <c r="G585" s="618"/>
      <c r="H585" s="1610">
        <v>209</v>
      </c>
      <c r="I585" s="161"/>
      <c r="J585" s="161"/>
      <c r="K585" s="1413"/>
      <c r="L585" s="1414"/>
      <c r="M585" s="1414"/>
      <c r="N585" s="1414"/>
      <c r="O585" s="1551"/>
      <c r="P585" s="1521"/>
      <c r="Q585" s="320"/>
      <c r="R585" s="320"/>
      <c r="S585" s="320"/>
      <c r="T585" s="320">
        <f t="shared" si="77"/>
        <v>0</v>
      </c>
      <c r="U585" s="320"/>
      <c r="V585" s="320"/>
      <c r="W585" s="1521"/>
      <c r="X585" s="1521"/>
      <c r="Y585" s="1521"/>
      <c r="Z585" s="1521"/>
      <c r="AA585" s="1521"/>
      <c r="AB585" s="1521"/>
      <c r="AC585" s="1521"/>
      <c r="AD585" s="1521"/>
      <c r="AE585" s="1521"/>
      <c r="AF585" s="1521"/>
      <c r="AG585" s="1521"/>
      <c r="AH585" s="1521"/>
      <c r="AI585" s="1521"/>
      <c r="AJ585" s="320"/>
      <c r="AK585" s="320"/>
      <c r="AL585" s="320"/>
      <c r="AM585" s="320"/>
      <c r="AN585" s="1523">
        <f t="shared" si="78"/>
        <v>0</v>
      </c>
      <c r="AO585" s="320"/>
      <c r="AP585" s="320"/>
      <c r="AQ585" s="1521"/>
      <c r="AR585" s="1521"/>
      <c r="AS585" s="1521"/>
      <c r="AT585" s="1521"/>
      <c r="AU585" s="1521"/>
      <c r="AV585" s="1521"/>
      <c r="AW585" s="320"/>
      <c r="AX585" s="161"/>
      <c r="AY585" s="1540"/>
      <c r="AZ585" s="1560" t="e">
        <f>#REF!-#REF!</f>
        <v>#REF!</v>
      </c>
      <c r="BA585" s="1560">
        <f>IF(C585="Scheme",IF(SUM(AJ585:AS585)&gt;0,IF(H585&lt;#REF!,H585-#REF!,0),0),0)</f>
        <v>0</v>
      </c>
      <c r="BB585" s="1560">
        <f t="shared" si="75"/>
        <v>0</v>
      </c>
    </row>
    <row r="586" spans="1:56" ht="98" outlineLevel="1" x14ac:dyDescent="0.25">
      <c r="A586" s="1492"/>
      <c r="B586" s="1492" t="s">
        <v>2177</v>
      </c>
      <c r="C586" s="1492" t="s">
        <v>936</v>
      </c>
      <c r="D586" s="1488"/>
      <c r="E586" s="1495"/>
      <c r="F586" s="1413"/>
      <c r="G586" s="618"/>
      <c r="H586" s="1417">
        <f t="shared" ref="H586:H592" si="79">SUM(W586:AB586)</f>
        <v>132</v>
      </c>
      <c r="I586" s="161"/>
      <c r="J586" s="161"/>
      <c r="K586" s="1413"/>
      <c r="L586" s="1414"/>
      <c r="M586" s="1414"/>
      <c r="N586" s="1414"/>
      <c r="O586" s="1551" t="s">
        <v>2404</v>
      </c>
      <c r="P586" s="1521"/>
      <c r="Q586" s="320"/>
      <c r="R586" s="320"/>
      <c r="S586" s="320"/>
      <c r="T586" s="320">
        <f t="shared" si="77"/>
        <v>0</v>
      </c>
      <c r="U586" s="320"/>
      <c r="V586" s="320"/>
      <c r="W586" s="1521"/>
      <c r="X586" s="1521"/>
      <c r="Y586" s="1521">
        <f>132/3</f>
        <v>44</v>
      </c>
      <c r="Z586" s="1521">
        <f>132/3</f>
        <v>44</v>
      </c>
      <c r="AA586" s="1521">
        <f>132/3</f>
        <v>44</v>
      </c>
      <c r="AB586" s="1521"/>
      <c r="AC586" s="1521"/>
      <c r="AD586" s="1521"/>
      <c r="AE586" s="1521"/>
      <c r="AF586" s="1521"/>
      <c r="AG586" s="1521"/>
      <c r="AH586" s="1521"/>
      <c r="AI586" s="1521"/>
      <c r="AJ586" s="320"/>
      <c r="AK586" s="320"/>
      <c r="AL586" s="320"/>
      <c r="AM586" s="320"/>
      <c r="AN586" s="1523">
        <f t="shared" si="78"/>
        <v>0</v>
      </c>
      <c r="AO586" s="320"/>
      <c r="AP586" s="320"/>
      <c r="AQ586" s="1521"/>
      <c r="AR586" s="1521"/>
      <c r="AS586" s="1521">
        <v>44</v>
      </c>
      <c r="AT586" s="1521">
        <v>44</v>
      </c>
      <c r="AU586" s="1521">
        <v>44</v>
      </c>
      <c r="AV586" s="1521"/>
      <c r="AW586" s="320"/>
      <c r="AX586" s="161"/>
      <c r="AY586" s="1540"/>
      <c r="AZ586" s="1560" t="e">
        <f>#REF!-#REF!</f>
        <v>#REF!</v>
      </c>
      <c r="BA586" s="1560" t="e">
        <f>IF(C586="Scheme",IF(SUM(AJ586:AS586)&gt;0,IF(H586&lt;#REF!,H586-#REF!,0),0),0)</f>
        <v>#REF!</v>
      </c>
      <c r="BB586" s="1560">
        <f t="shared" si="75"/>
        <v>-44</v>
      </c>
      <c r="BC586" s="96" t="s">
        <v>843</v>
      </c>
      <c r="BD586" s="96" t="s">
        <v>1931</v>
      </c>
    </row>
    <row r="587" spans="1:56" ht="98" outlineLevel="1" x14ac:dyDescent="0.25">
      <c r="A587" s="1492"/>
      <c r="B587" s="1492" t="s">
        <v>2178</v>
      </c>
      <c r="C587" s="1492" t="s">
        <v>936</v>
      </c>
      <c r="D587" s="1488"/>
      <c r="E587" s="1495"/>
      <c r="F587" s="1413"/>
      <c r="G587" s="618"/>
      <c r="H587" s="1417">
        <f t="shared" si="79"/>
        <v>2</v>
      </c>
      <c r="I587" s="161"/>
      <c r="J587" s="161"/>
      <c r="K587" s="1413"/>
      <c r="L587" s="1414"/>
      <c r="M587" s="1414"/>
      <c r="N587" s="1414"/>
      <c r="O587" s="1551" t="s">
        <v>2404</v>
      </c>
      <c r="P587" s="1521"/>
      <c r="Q587" s="320"/>
      <c r="R587" s="320"/>
      <c r="S587" s="320"/>
      <c r="T587" s="320">
        <f t="shared" si="77"/>
        <v>0</v>
      </c>
      <c r="U587" s="320"/>
      <c r="V587" s="320"/>
      <c r="W587" s="1521"/>
      <c r="X587" s="1521"/>
      <c r="Y587" s="1521">
        <v>2</v>
      </c>
      <c r="Z587" s="1521"/>
      <c r="AA587" s="1521"/>
      <c r="AB587" s="1521"/>
      <c r="AC587" s="1521"/>
      <c r="AD587" s="1521"/>
      <c r="AE587" s="1521"/>
      <c r="AF587" s="1521"/>
      <c r="AG587" s="1521"/>
      <c r="AH587" s="1521"/>
      <c r="AI587" s="1521"/>
      <c r="AJ587" s="320"/>
      <c r="AK587" s="320"/>
      <c r="AL587" s="320"/>
      <c r="AM587" s="320"/>
      <c r="AN587" s="1523">
        <f t="shared" si="78"/>
        <v>0</v>
      </c>
      <c r="AO587" s="320"/>
      <c r="AP587" s="320"/>
      <c r="AQ587" s="1521"/>
      <c r="AR587" s="1521"/>
      <c r="AS587" s="1521">
        <v>2</v>
      </c>
      <c r="AT587" s="1521"/>
      <c r="AU587" s="1521"/>
      <c r="AV587" s="1521"/>
      <c r="AW587" s="320"/>
      <c r="AX587" s="161"/>
      <c r="AY587" s="1540"/>
      <c r="AZ587" s="1560" t="e">
        <f>#REF!-#REF!</f>
        <v>#REF!</v>
      </c>
      <c r="BA587" s="1560" t="e">
        <f>IF(C587="Scheme",IF(SUM(AJ587:AS587)&gt;0,IF(H587&lt;#REF!,H587-#REF!,0),0),0)</f>
        <v>#REF!</v>
      </c>
      <c r="BB587" s="1560">
        <f t="shared" si="75"/>
        <v>-2</v>
      </c>
      <c r="BC587" s="96" t="s">
        <v>256</v>
      </c>
      <c r="BD587" s="96" t="s">
        <v>1931</v>
      </c>
    </row>
    <row r="588" spans="1:56" ht="112" outlineLevel="1" x14ac:dyDescent="0.25">
      <c r="A588" s="1492"/>
      <c r="B588" s="1492" t="s">
        <v>2179</v>
      </c>
      <c r="C588" s="1492" t="s">
        <v>936</v>
      </c>
      <c r="D588" s="1488"/>
      <c r="E588" s="1495"/>
      <c r="F588" s="1413"/>
      <c r="G588" s="618"/>
      <c r="H588" s="1417">
        <f t="shared" si="79"/>
        <v>55</v>
      </c>
      <c r="I588" s="161"/>
      <c r="J588" s="161"/>
      <c r="K588" s="1413"/>
      <c r="L588" s="1414"/>
      <c r="M588" s="1414"/>
      <c r="N588" s="1414"/>
      <c r="O588" s="1551" t="s">
        <v>2403</v>
      </c>
      <c r="P588" s="1521"/>
      <c r="Q588" s="320"/>
      <c r="R588" s="320"/>
      <c r="S588" s="320"/>
      <c r="T588" s="320">
        <f t="shared" si="77"/>
        <v>0</v>
      </c>
      <c r="U588" s="320"/>
      <c r="V588" s="320"/>
      <c r="W588" s="1521"/>
      <c r="X588" s="1521"/>
      <c r="Y588" s="1521"/>
      <c r="Z588" s="1521">
        <f>55/2</f>
        <v>27.5</v>
      </c>
      <c r="AA588" s="1521">
        <f>55/2</f>
        <v>27.5</v>
      </c>
      <c r="AB588" s="1521"/>
      <c r="AC588" s="1521"/>
      <c r="AD588" s="1521"/>
      <c r="AE588" s="1521"/>
      <c r="AF588" s="1521"/>
      <c r="AG588" s="1521"/>
      <c r="AH588" s="1521"/>
      <c r="AI588" s="1521"/>
      <c r="AJ588" s="320"/>
      <c r="AK588" s="320"/>
      <c r="AL588" s="320"/>
      <c r="AM588" s="320"/>
      <c r="AN588" s="1523">
        <f t="shared" si="78"/>
        <v>0</v>
      </c>
      <c r="AO588" s="320"/>
      <c r="AP588" s="320"/>
      <c r="AQ588" s="1521"/>
      <c r="AR588" s="1521"/>
      <c r="AS588" s="1521"/>
      <c r="AT588" s="1521">
        <v>27.5</v>
      </c>
      <c r="AU588" s="1521">
        <v>27.5</v>
      </c>
      <c r="AV588" s="1521"/>
      <c r="AW588" s="320"/>
      <c r="AX588" s="161"/>
      <c r="AY588" s="1540"/>
      <c r="AZ588" s="1560" t="e">
        <f>#REF!-#REF!</f>
        <v>#REF!</v>
      </c>
      <c r="BA588" s="1560">
        <f>IF(C588="Scheme",IF(SUM(AJ588:AS588)&gt;0,IF(H588&lt;#REF!,H588-#REF!,0),0),0)</f>
        <v>0</v>
      </c>
      <c r="BB588" s="1560">
        <f t="shared" si="75"/>
        <v>0</v>
      </c>
      <c r="BC588" s="96" t="s">
        <v>256</v>
      </c>
      <c r="BD588" s="96" t="s">
        <v>1931</v>
      </c>
    </row>
    <row r="589" spans="1:56" ht="98" outlineLevel="1" x14ac:dyDescent="0.25">
      <c r="A589" s="1492"/>
      <c r="B589" s="1492" t="s">
        <v>2180</v>
      </c>
      <c r="C589" s="1492" t="s">
        <v>936</v>
      </c>
      <c r="D589" s="1488"/>
      <c r="E589" s="1495"/>
      <c r="F589" s="1413"/>
      <c r="G589" s="618"/>
      <c r="H589" s="1417">
        <f t="shared" si="79"/>
        <v>1.5</v>
      </c>
      <c r="I589" s="161"/>
      <c r="J589" s="161"/>
      <c r="K589" s="1413"/>
      <c r="L589" s="1414"/>
      <c r="M589" s="1414"/>
      <c r="N589" s="1414"/>
      <c r="O589" s="1551" t="s">
        <v>2404</v>
      </c>
      <c r="P589" s="1521"/>
      <c r="Q589" s="320"/>
      <c r="R589" s="320"/>
      <c r="S589" s="320"/>
      <c r="T589" s="320">
        <f t="shared" si="77"/>
        <v>0</v>
      </c>
      <c r="U589" s="320"/>
      <c r="V589" s="320"/>
      <c r="W589" s="1521"/>
      <c r="X589" s="1521"/>
      <c r="Y589" s="1521"/>
      <c r="Z589" s="1521">
        <v>1.5</v>
      </c>
      <c r="AA589" s="1521"/>
      <c r="AB589" s="1521"/>
      <c r="AC589" s="1521"/>
      <c r="AD589" s="1521"/>
      <c r="AE589" s="1521"/>
      <c r="AF589" s="1521"/>
      <c r="AG589" s="1521"/>
      <c r="AH589" s="1521"/>
      <c r="AI589" s="1521"/>
      <c r="AJ589" s="320"/>
      <c r="AK589" s="320"/>
      <c r="AL589" s="320"/>
      <c r="AM589" s="320"/>
      <c r="AN589" s="1523">
        <f t="shared" si="78"/>
        <v>0</v>
      </c>
      <c r="AO589" s="320"/>
      <c r="AP589" s="320"/>
      <c r="AQ589" s="1521"/>
      <c r="AR589" s="1521"/>
      <c r="AS589" s="1521"/>
      <c r="AT589" s="1521">
        <v>1.5</v>
      </c>
      <c r="AU589" s="1521"/>
      <c r="AV589" s="1521"/>
      <c r="AW589" s="320"/>
      <c r="AX589" s="161"/>
      <c r="AY589" s="1540"/>
      <c r="AZ589" s="1560" t="e">
        <f>#REF!-#REF!</f>
        <v>#REF!</v>
      </c>
      <c r="BA589" s="1560">
        <f>IF(C589="Scheme",IF(SUM(AJ589:AS589)&gt;0,IF(H589&lt;#REF!,H589-#REF!,0),0),0)</f>
        <v>0</v>
      </c>
      <c r="BB589" s="1560">
        <f t="shared" si="75"/>
        <v>0</v>
      </c>
      <c r="BC589" s="96" t="s">
        <v>843</v>
      </c>
      <c r="BD589" s="96" t="s">
        <v>1931</v>
      </c>
    </row>
    <row r="590" spans="1:56" ht="98" outlineLevel="1" x14ac:dyDescent="0.25">
      <c r="A590" s="1492"/>
      <c r="B590" s="1492" t="s">
        <v>2181</v>
      </c>
      <c r="C590" s="1492" t="s">
        <v>936</v>
      </c>
      <c r="D590" s="1488"/>
      <c r="E590" s="1495"/>
      <c r="F590" s="1413"/>
      <c r="G590" s="618"/>
      <c r="H590" s="1417">
        <f t="shared" si="79"/>
        <v>1.5</v>
      </c>
      <c r="I590" s="161"/>
      <c r="J590" s="161"/>
      <c r="K590" s="1413"/>
      <c r="L590" s="1414"/>
      <c r="M590" s="1414"/>
      <c r="N590" s="1414"/>
      <c r="O590" s="1551" t="s">
        <v>2404</v>
      </c>
      <c r="P590" s="1521"/>
      <c r="Q590" s="320"/>
      <c r="R590" s="320"/>
      <c r="S590" s="320"/>
      <c r="T590" s="320">
        <f t="shared" si="77"/>
        <v>0</v>
      </c>
      <c r="U590" s="320"/>
      <c r="V590" s="320"/>
      <c r="W590" s="1521"/>
      <c r="X590" s="1521"/>
      <c r="Y590" s="1521"/>
      <c r="Z590" s="1521">
        <v>1.5</v>
      </c>
      <c r="AA590" s="1521"/>
      <c r="AB590" s="1521"/>
      <c r="AC590" s="1521"/>
      <c r="AD590" s="1521"/>
      <c r="AE590" s="1521"/>
      <c r="AF590" s="1521"/>
      <c r="AG590" s="1521"/>
      <c r="AH590" s="1521"/>
      <c r="AI590" s="1521"/>
      <c r="AJ590" s="320"/>
      <c r="AK590" s="320"/>
      <c r="AL590" s="320"/>
      <c r="AM590" s="320"/>
      <c r="AN590" s="1523">
        <f t="shared" si="78"/>
        <v>0</v>
      </c>
      <c r="AO590" s="320"/>
      <c r="AP590" s="320"/>
      <c r="AQ590" s="1521"/>
      <c r="AR590" s="1521"/>
      <c r="AS590" s="1521"/>
      <c r="AT590" s="1521">
        <v>1.5</v>
      </c>
      <c r="AU590" s="1521"/>
      <c r="AV590" s="1521"/>
      <c r="AW590" s="320"/>
      <c r="AX590" s="161"/>
      <c r="AY590" s="1540"/>
      <c r="AZ590" s="1560" t="e">
        <f>#REF!-#REF!</f>
        <v>#REF!</v>
      </c>
      <c r="BA590" s="1560">
        <f>IF(C590="Scheme",IF(SUM(AJ590:AS590)&gt;0,IF(H590&lt;#REF!,H590-#REF!,0),0),0)</f>
        <v>0</v>
      </c>
      <c r="BB590" s="1560">
        <f t="shared" si="75"/>
        <v>0</v>
      </c>
      <c r="BC590" s="96" t="s">
        <v>843</v>
      </c>
      <c r="BD590" s="96" t="s">
        <v>1931</v>
      </c>
    </row>
    <row r="591" spans="1:56" ht="98" outlineLevel="1" x14ac:dyDescent="0.25">
      <c r="A591" s="1492"/>
      <c r="B591" s="1492" t="s">
        <v>2182</v>
      </c>
      <c r="C591" s="1492" t="s">
        <v>936</v>
      </c>
      <c r="D591" s="1488"/>
      <c r="E591" s="1495"/>
      <c r="F591" s="1413"/>
      <c r="G591" s="618"/>
      <c r="H591" s="1417">
        <f t="shared" si="79"/>
        <v>2</v>
      </c>
      <c r="I591" s="161"/>
      <c r="J591" s="161"/>
      <c r="K591" s="1413"/>
      <c r="L591" s="1414"/>
      <c r="M591" s="1414"/>
      <c r="N591" s="1414"/>
      <c r="O591" s="1551" t="s">
        <v>2404</v>
      </c>
      <c r="P591" s="1521"/>
      <c r="Q591" s="320"/>
      <c r="R591" s="320"/>
      <c r="S591" s="320"/>
      <c r="T591" s="320">
        <f t="shared" si="77"/>
        <v>0</v>
      </c>
      <c r="U591" s="320"/>
      <c r="V591" s="320"/>
      <c r="W591" s="1521"/>
      <c r="X591" s="1521"/>
      <c r="Y591" s="1521"/>
      <c r="Z591" s="1521">
        <v>2</v>
      </c>
      <c r="AA591" s="1521"/>
      <c r="AB591" s="1521"/>
      <c r="AC591" s="1521"/>
      <c r="AD591" s="1521"/>
      <c r="AE591" s="1521"/>
      <c r="AF591" s="1521"/>
      <c r="AG591" s="1521"/>
      <c r="AH591" s="1521"/>
      <c r="AI591" s="1521"/>
      <c r="AJ591" s="320"/>
      <c r="AK591" s="320"/>
      <c r="AL591" s="320"/>
      <c r="AM591" s="320"/>
      <c r="AN591" s="1523">
        <f t="shared" si="78"/>
        <v>0</v>
      </c>
      <c r="AO591" s="320"/>
      <c r="AP591" s="320"/>
      <c r="AQ591" s="1521"/>
      <c r="AR591" s="1521"/>
      <c r="AS591" s="1521"/>
      <c r="AT591" s="1521">
        <v>2</v>
      </c>
      <c r="AU591" s="1521"/>
      <c r="AV591" s="1521"/>
      <c r="AW591" s="320"/>
      <c r="AX591" s="161"/>
      <c r="AY591" s="1540"/>
      <c r="AZ591" s="1560" t="e">
        <f>#REF!-#REF!</f>
        <v>#REF!</v>
      </c>
      <c r="BA591" s="1560">
        <f>IF(C591="Scheme",IF(SUM(AJ591:AS591)&gt;0,IF(H591&lt;#REF!,H591-#REF!,0),0),0)</f>
        <v>0</v>
      </c>
      <c r="BB591" s="1560">
        <f t="shared" si="75"/>
        <v>0</v>
      </c>
      <c r="BC591" s="96" t="s">
        <v>256</v>
      </c>
      <c r="BD591" s="96" t="s">
        <v>1931</v>
      </c>
    </row>
    <row r="592" spans="1:56" ht="112" outlineLevel="1" x14ac:dyDescent="0.25">
      <c r="A592" s="1492"/>
      <c r="B592" s="1492" t="s">
        <v>2183</v>
      </c>
      <c r="C592" s="1492" t="s">
        <v>936</v>
      </c>
      <c r="D592" s="1488"/>
      <c r="E592" s="1495"/>
      <c r="F592" s="1413"/>
      <c r="G592" s="618"/>
      <c r="H592" s="1417">
        <f t="shared" si="79"/>
        <v>15</v>
      </c>
      <c r="I592" s="161"/>
      <c r="J592" s="161"/>
      <c r="K592" s="1413"/>
      <c r="L592" s="1414"/>
      <c r="M592" s="1414"/>
      <c r="N592" s="1414"/>
      <c r="O592" s="1551" t="s">
        <v>2403</v>
      </c>
      <c r="P592" s="1521"/>
      <c r="Q592" s="320"/>
      <c r="R592" s="320"/>
      <c r="S592" s="320"/>
      <c r="T592" s="320">
        <f t="shared" si="77"/>
        <v>0</v>
      </c>
      <c r="U592" s="320"/>
      <c r="V592" s="320"/>
      <c r="W592" s="1521"/>
      <c r="X592" s="1521"/>
      <c r="Y592" s="1521"/>
      <c r="Z592" s="1521">
        <v>15</v>
      </c>
      <c r="AA592" s="1521"/>
      <c r="AB592" s="1521"/>
      <c r="AC592" s="1521"/>
      <c r="AD592" s="1521"/>
      <c r="AE592" s="1521"/>
      <c r="AF592" s="1521"/>
      <c r="AG592" s="1521"/>
      <c r="AH592" s="1521"/>
      <c r="AI592" s="1521"/>
      <c r="AJ592" s="320"/>
      <c r="AK592" s="320"/>
      <c r="AL592" s="320"/>
      <c r="AM592" s="320"/>
      <c r="AN592" s="1523">
        <f t="shared" si="78"/>
        <v>0</v>
      </c>
      <c r="AO592" s="320"/>
      <c r="AP592" s="320"/>
      <c r="AQ592" s="1521"/>
      <c r="AR592" s="1521"/>
      <c r="AS592" s="1521"/>
      <c r="AT592" s="1521">
        <v>15</v>
      </c>
      <c r="AU592" s="1521"/>
      <c r="AV592" s="1521"/>
      <c r="AW592" s="320"/>
      <c r="AX592" s="161"/>
      <c r="AY592" s="1540"/>
      <c r="AZ592" s="1560" t="e">
        <f>#REF!-#REF!</f>
        <v>#REF!</v>
      </c>
      <c r="BA592" s="1560">
        <f>IF(C592="Scheme",IF(SUM(AJ592:AS592)&gt;0,IF(H592&lt;#REF!,H592-#REF!,0),0),0)</f>
        <v>0</v>
      </c>
      <c r="BB592" s="1560">
        <f t="shared" si="75"/>
        <v>0</v>
      </c>
      <c r="BC592" s="96" t="s">
        <v>256</v>
      </c>
      <c r="BD592" s="96" t="s">
        <v>1931</v>
      </c>
    </row>
    <row r="593" spans="1:56" ht="62" outlineLevel="1" x14ac:dyDescent="0.25">
      <c r="A593" s="1486">
        <v>8</v>
      </c>
      <c r="B593" s="1491" t="s">
        <v>2184</v>
      </c>
      <c r="C593" s="1486" t="s">
        <v>928</v>
      </c>
      <c r="D593" s="1488"/>
      <c r="E593" s="1495"/>
      <c r="F593" s="1413"/>
      <c r="G593" s="618"/>
      <c r="H593" s="1610">
        <v>76.25</v>
      </c>
      <c r="I593" s="161"/>
      <c r="J593" s="161"/>
      <c r="K593" s="1413"/>
      <c r="L593" s="1414"/>
      <c r="M593" s="1414"/>
      <c r="N593" s="1414"/>
      <c r="O593" s="1551"/>
      <c r="P593" s="1521"/>
      <c r="Q593" s="320"/>
      <c r="R593" s="320"/>
      <c r="S593" s="320"/>
      <c r="T593" s="320">
        <f t="shared" si="77"/>
        <v>0</v>
      </c>
      <c r="U593" s="320"/>
      <c r="V593" s="320"/>
      <c r="W593" s="1521"/>
      <c r="X593" s="1521"/>
      <c r="Y593" s="1521"/>
      <c r="Z593" s="1521"/>
      <c r="AA593" s="1521"/>
      <c r="AB593" s="1521"/>
      <c r="AC593" s="1521"/>
      <c r="AD593" s="1521"/>
      <c r="AE593" s="1521"/>
      <c r="AF593" s="1521"/>
      <c r="AG593" s="1521"/>
      <c r="AH593" s="1521"/>
      <c r="AI593" s="1521"/>
      <c r="AJ593" s="320"/>
      <c r="AK593" s="320"/>
      <c r="AL593" s="320"/>
      <c r="AM593" s="320"/>
      <c r="AN593" s="1523">
        <f t="shared" si="78"/>
        <v>0</v>
      </c>
      <c r="AO593" s="320"/>
      <c r="AP593" s="320"/>
      <c r="AQ593" s="1521"/>
      <c r="AR593" s="1521"/>
      <c r="AS593" s="1521"/>
      <c r="AT593" s="1521"/>
      <c r="AU593" s="1521"/>
      <c r="AV593" s="1521"/>
      <c r="AW593" s="320"/>
      <c r="AX593" s="161"/>
      <c r="AY593" s="1540"/>
      <c r="AZ593" s="1560" t="e">
        <f>#REF!-#REF!</f>
        <v>#REF!</v>
      </c>
      <c r="BA593" s="1560">
        <f>IF(C593="Scheme",IF(SUM(AJ593:AS593)&gt;0,IF(H593&lt;#REF!,H593-#REF!,0),0),0)</f>
        <v>0</v>
      </c>
      <c r="BB593" s="1560">
        <f t="shared" si="75"/>
        <v>0</v>
      </c>
    </row>
    <row r="594" spans="1:56" ht="112" outlineLevel="1" x14ac:dyDescent="0.25">
      <c r="A594" s="1492"/>
      <c r="B594" s="1492" t="s">
        <v>2185</v>
      </c>
      <c r="C594" s="1492" t="s">
        <v>936</v>
      </c>
      <c r="D594" s="1488"/>
      <c r="E594" s="1495"/>
      <c r="F594" s="1413"/>
      <c r="G594" s="618"/>
      <c r="H594" s="1417">
        <f t="shared" ref="H594:H600" si="80">SUM(W594:AB594)</f>
        <v>60</v>
      </c>
      <c r="I594" s="161"/>
      <c r="J594" s="161"/>
      <c r="K594" s="1413"/>
      <c r="L594" s="1414"/>
      <c r="M594" s="1414"/>
      <c r="N594" s="1414"/>
      <c r="O594" s="1406" t="s">
        <v>2405</v>
      </c>
      <c r="P594" s="1521"/>
      <c r="Q594" s="320"/>
      <c r="R594" s="320"/>
      <c r="S594" s="320"/>
      <c r="T594" s="320">
        <f t="shared" si="77"/>
        <v>0</v>
      </c>
      <c r="U594" s="320"/>
      <c r="V594" s="320"/>
      <c r="W594" s="1521"/>
      <c r="X594" s="1521"/>
      <c r="Y594" s="1521"/>
      <c r="Z594" s="1521">
        <v>30</v>
      </c>
      <c r="AA594" s="1521">
        <v>30</v>
      </c>
      <c r="AB594" s="1521"/>
      <c r="AC594" s="1521"/>
      <c r="AD594" s="1521"/>
      <c r="AE594" s="1521"/>
      <c r="AF594" s="1521"/>
      <c r="AG594" s="1521"/>
      <c r="AH594" s="1521"/>
      <c r="AI594" s="1521"/>
      <c r="AJ594" s="320"/>
      <c r="AK594" s="320"/>
      <c r="AL594" s="320"/>
      <c r="AM594" s="320"/>
      <c r="AN594" s="1523">
        <f t="shared" si="78"/>
        <v>0</v>
      </c>
      <c r="AO594" s="320"/>
      <c r="AP594" s="320"/>
      <c r="AQ594" s="1521"/>
      <c r="AR594" s="1521"/>
      <c r="AS594" s="1521"/>
      <c r="AT594" s="1521">
        <v>30</v>
      </c>
      <c r="AU594" s="1521">
        <v>30</v>
      </c>
      <c r="AV594" s="1521"/>
      <c r="AW594" s="320"/>
      <c r="AX594" s="161"/>
      <c r="AY594" s="1540"/>
      <c r="AZ594" s="1560" t="e">
        <f>#REF!-#REF!</f>
        <v>#REF!</v>
      </c>
      <c r="BA594" s="1560">
        <f>IF(C594="Scheme",IF(SUM(AJ594:AS594)&gt;0,IF(H594&lt;#REF!,H594-#REF!,0),0),0)</f>
        <v>0</v>
      </c>
      <c r="BB594" s="1560">
        <f t="shared" si="75"/>
        <v>0</v>
      </c>
      <c r="BC594" s="96" t="s">
        <v>843</v>
      </c>
      <c r="BD594" s="96" t="s">
        <v>1931</v>
      </c>
    </row>
    <row r="595" spans="1:56" ht="112" outlineLevel="1" x14ac:dyDescent="0.25">
      <c r="A595" s="1492"/>
      <c r="B595" s="1492" t="s">
        <v>2186</v>
      </c>
      <c r="C595" s="1492" t="s">
        <v>936</v>
      </c>
      <c r="D595" s="1488"/>
      <c r="E595" s="1495"/>
      <c r="F595" s="1413"/>
      <c r="G595" s="618"/>
      <c r="H595" s="1417">
        <f t="shared" si="80"/>
        <v>2</v>
      </c>
      <c r="I595" s="161"/>
      <c r="J595" s="161"/>
      <c r="K595" s="1413"/>
      <c r="L595" s="1414"/>
      <c r="M595" s="1414"/>
      <c r="N595" s="1414"/>
      <c r="O595" s="1406" t="s">
        <v>2405</v>
      </c>
      <c r="P595" s="1521"/>
      <c r="Q595" s="320"/>
      <c r="R595" s="320"/>
      <c r="S595" s="320"/>
      <c r="T595" s="320">
        <f t="shared" si="77"/>
        <v>0</v>
      </c>
      <c r="U595" s="320"/>
      <c r="V595" s="320"/>
      <c r="W595" s="1521"/>
      <c r="X595" s="1521"/>
      <c r="Y595" s="1521"/>
      <c r="Z595" s="1521"/>
      <c r="AA595" s="1521">
        <v>2</v>
      </c>
      <c r="AB595" s="1521"/>
      <c r="AC595" s="1521"/>
      <c r="AD595" s="1521"/>
      <c r="AE595" s="1521"/>
      <c r="AF595" s="1521"/>
      <c r="AG595" s="1521"/>
      <c r="AH595" s="1521"/>
      <c r="AI595" s="1521"/>
      <c r="AJ595" s="320"/>
      <c r="AK595" s="320"/>
      <c r="AL595" s="320"/>
      <c r="AM595" s="320"/>
      <c r="AN595" s="1523">
        <f t="shared" si="78"/>
        <v>0</v>
      </c>
      <c r="AO595" s="320"/>
      <c r="AP595" s="320"/>
      <c r="AQ595" s="1521"/>
      <c r="AR595" s="1521"/>
      <c r="AS595" s="1521"/>
      <c r="AT595" s="1521"/>
      <c r="AU595" s="1521">
        <v>2</v>
      </c>
      <c r="AV595" s="1521"/>
      <c r="AW595" s="320"/>
      <c r="AX595" s="161"/>
      <c r="AY595" s="1540"/>
      <c r="AZ595" s="1560" t="e">
        <f>#REF!-#REF!</f>
        <v>#REF!</v>
      </c>
      <c r="BA595" s="1560">
        <f>IF(C595="Scheme",IF(SUM(AJ595:AS595)&gt;0,IF(H595&lt;#REF!,H595-#REF!,0),0),0)</f>
        <v>0</v>
      </c>
      <c r="BB595" s="1560">
        <f t="shared" si="75"/>
        <v>0</v>
      </c>
      <c r="BC595" s="96" t="s">
        <v>843</v>
      </c>
      <c r="BD595" s="96" t="s">
        <v>1931</v>
      </c>
    </row>
    <row r="596" spans="1:56" ht="112" outlineLevel="1" x14ac:dyDescent="0.25">
      <c r="A596" s="1492"/>
      <c r="B596" s="1492" t="s">
        <v>2187</v>
      </c>
      <c r="C596" s="1492" t="s">
        <v>936</v>
      </c>
      <c r="D596" s="1488"/>
      <c r="E596" s="1495"/>
      <c r="F596" s="1413"/>
      <c r="G596" s="618"/>
      <c r="H596" s="1417">
        <f t="shared" si="80"/>
        <v>7.5</v>
      </c>
      <c r="I596" s="161"/>
      <c r="J596" s="161"/>
      <c r="K596" s="1413"/>
      <c r="L596" s="1414"/>
      <c r="M596" s="1414"/>
      <c r="N596" s="1414"/>
      <c r="O596" s="1406" t="s">
        <v>2405</v>
      </c>
      <c r="P596" s="1521"/>
      <c r="Q596" s="320"/>
      <c r="R596" s="320"/>
      <c r="S596" s="320"/>
      <c r="T596" s="320">
        <f t="shared" si="77"/>
        <v>0</v>
      </c>
      <c r="U596" s="320"/>
      <c r="V596" s="320"/>
      <c r="W596" s="1521"/>
      <c r="X596" s="1521"/>
      <c r="Y596" s="1521"/>
      <c r="Z596" s="1521"/>
      <c r="AA596" s="1521">
        <v>7.5</v>
      </c>
      <c r="AB596" s="1521"/>
      <c r="AC596" s="1521"/>
      <c r="AD596" s="1521"/>
      <c r="AE596" s="1521"/>
      <c r="AF596" s="1521"/>
      <c r="AG596" s="1521"/>
      <c r="AH596" s="1521"/>
      <c r="AI596" s="1521"/>
      <c r="AJ596" s="320"/>
      <c r="AK596" s="320"/>
      <c r="AL596" s="320"/>
      <c r="AM596" s="320"/>
      <c r="AN596" s="1523">
        <f t="shared" si="78"/>
        <v>0</v>
      </c>
      <c r="AO596" s="320"/>
      <c r="AP596" s="320"/>
      <c r="AQ596" s="1521"/>
      <c r="AR596" s="1521"/>
      <c r="AS596" s="1521"/>
      <c r="AT596" s="1521"/>
      <c r="AU596" s="1521">
        <v>7.5</v>
      </c>
      <c r="AV596" s="1521"/>
      <c r="AW596" s="320"/>
      <c r="AX596" s="161"/>
      <c r="AY596" s="1540"/>
      <c r="AZ596" s="1560" t="e">
        <f>#REF!-#REF!</f>
        <v>#REF!</v>
      </c>
      <c r="BA596" s="1560">
        <f>IF(C596="Scheme",IF(SUM(AJ596:AS596)&gt;0,IF(H596&lt;#REF!,H596-#REF!,0),0),0)</f>
        <v>0</v>
      </c>
      <c r="BB596" s="1560">
        <f t="shared" si="75"/>
        <v>0</v>
      </c>
      <c r="BC596" s="96" t="s">
        <v>843</v>
      </c>
      <c r="BD596" s="96" t="s">
        <v>1931</v>
      </c>
    </row>
    <row r="597" spans="1:56" ht="112" outlineLevel="1" x14ac:dyDescent="0.25">
      <c r="A597" s="1492"/>
      <c r="B597" s="1492" t="s">
        <v>2188</v>
      </c>
      <c r="C597" s="1492" t="s">
        <v>936</v>
      </c>
      <c r="D597" s="1488"/>
      <c r="E597" s="1495"/>
      <c r="F597" s="1413"/>
      <c r="G597" s="618"/>
      <c r="H597" s="1417">
        <f t="shared" si="80"/>
        <v>0.75</v>
      </c>
      <c r="I597" s="161"/>
      <c r="J597" s="161"/>
      <c r="K597" s="1413"/>
      <c r="L597" s="1414"/>
      <c r="M597" s="1414"/>
      <c r="N597" s="1414"/>
      <c r="O597" s="1406" t="s">
        <v>2405</v>
      </c>
      <c r="P597" s="1521"/>
      <c r="Q597" s="320"/>
      <c r="R597" s="320"/>
      <c r="S597" s="320"/>
      <c r="T597" s="320">
        <f t="shared" si="77"/>
        <v>0</v>
      </c>
      <c r="U597" s="320"/>
      <c r="V597" s="320"/>
      <c r="W597" s="1521"/>
      <c r="X597" s="1521"/>
      <c r="Y597" s="1521"/>
      <c r="Z597" s="1521"/>
      <c r="AA597" s="1521">
        <v>0.75</v>
      </c>
      <c r="AB597" s="1521"/>
      <c r="AC597" s="1521"/>
      <c r="AD597" s="1521"/>
      <c r="AE597" s="1521"/>
      <c r="AF597" s="1521"/>
      <c r="AG597" s="1521"/>
      <c r="AH597" s="1521"/>
      <c r="AI597" s="1521"/>
      <c r="AJ597" s="320"/>
      <c r="AK597" s="320"/>
      <c r="AL597" s="320"/>
      <c r="AM597" s="320"/>
      <c r="AN597" s="1523">
        <f t="shared" si="78"/>
        <v>0</v>
      </c>
      <c r="AO597" s="320"/>
      <c r="AP597" s="320"/>
      <c r="AQ597" s="1521"/>
      <c r="AR597" s="1521"/>
      <c r="AS597" s="1521"/>
      <c r="AT597" s="1521"/>
      <c r="AU597" s="1521">
        <v>0.75</v>
      </c>
      <c r="AV597" s="1521"/>
      <c r="AW597" s="320"/>
      <c r="AX597" s="161"/>
      <c r="AY597" s="1540"/>
      <c r="AZ597" s="1560" t="e">
        <f>#REF!-#REF!</f>
        <v>#REF!</v>
      </c>
      <c r="BA597" s="1560">
        <f>IF(C597="Scheme",IF(SUM(AJ597:AS597)&gt;0,IF(H597&lt;#REF!,H597-#REF!,0),0),0)</f>
        <v>0</v>
      </c>
      <c r="BB597" s="1560">
        <f t="shared" si="75"/>
        <v>0</v>
      </c>
      <c r="BC597" s="96" t="s">
        <v>256</v>
      </c>
      <c r="BD597" s="96" t="s">
        <v>1931</v>
      </c>
    </row>
    <row r="598" spans="1:56" ht="70" outlineLevel="1" x14ac:dyDescent="0.25">
      <c r="A598" s="1492"/>
      <c r="B598" s="1492" t="s">
        <v>2189</v>
      </c>
      <c r="C598" s="1492" t="s">
        <v>936</v>
      </c>
      <c r="D598" s="1488"/>
      <c r="E598" s="1495"/>
      <c r="F598" s="1413"/>
      <c r="G598" s="618"/>
      <c r="H598" s="1417">
        <f t="shared" si="80"/>
        <v>2</v>
      </c>
      <c r="I598" s="161"/>
      <c r="J598" s="161"/>
      <c r="K598" s="1413"/>
      <c r="L598" s="1414"/>
      <c r="M598" s="1414"/>
      <c r="N598" s="1414"/>
      <c r="O598" s="1551" t="s">
        <v>2406</v>
      </c>
      <c r="P598" s="1521"/>
      <c r="Q598" s="320"/>
      <c r="R598" s="320"/>
      <c r="S598" s="320"/>
      <c r="T598" s="320">
        <f t="shared" si="77"/>
        <v>0</v>
      </c>
      <c r="U598" s="320"/>
      <c r="V598" s="320"/>
      <c r="W598" s="1521"/>
      <c r="X598" s="1521"/>
      <c r="Y598" s="1521"/>
      <c r="Z598" s="1521"/>
      <c r="AA598" s="1521">
        <v>2</v>
      </c>
      <c r="AB598" s="1521"/>
      <c r="AC598" s="1521"/>
      <c r="AD598" s="1521"/>
      <c r="AE598" s="1521"/>
      <c r="AF598" s="1521"/>
      <c r="AG598" s="1521"/>
      <c r="AH598" s="1521"/>
      <c r="AI598" s="1521"/>
      <c r="AJ598" s="320"/>
      <c r="AK598" s="320"/>
      <c r="AL598" s="320"/>
      <c r="AM598" s="320"/>
      <c r="AN598" s="1523">
        <f t="shared" si="78"/>
        <v>0</v>
      </c>
      <c r="AO598" s="320"/>
      <c r="AP598" s="320"/>
      <c r="AQ598" s="1521"/>
      <c r="AR598" s="1521"/>
      <c r="AS598" s="1521"/>
      <c r="AT598" s="1521"/>
      <c r="AU598" s="1521">
        <v>2</v>
      </c>
      <c r="AV598" s="1521"/>
      <c r="AW598" s="320"/>
      <c r="AX598" s="161"/>
      <c r="AY598" s="1540"/>
      <c r="AZ598" s="1560" t="e">
        <f>#REF!-#REF!</f>
        <v>#REF!</v>
      </c>
      <c r="BA598" s="1560">
        <f>IF(C598="Scheme",IF(SUM(AJ598:AS598)&gt;0,IF(H598&lt;#REF!,H598-#REF!,0),0),0)</f>
        <v>0</v>
      </c>
      <c r="BB598" s="1560">
        <f t="shared" si="75"/>
        <v>0</v>
      </c>
      <c r="BC598" s="96" t="s">
        <v>256</v>
      </c>
      <c r="BD598" s="96" t="s">
        <v>1931</v>
      </c>
    </row>
    <row r="599" spans="1:56" ht="56" outlineLevel="1" x14ac:dyDescent="0.25">
      <c r="A599" s="1492"/>
      <c r="B599" s="1492" t="s">
        <v>2190</v>
      </c>
      <c r="C599" s="1492" t="s">
        <v>936</v>
      </c>
      <c r="D599" s="1488"/>
      <c r="E599" s="1495"/>
      <c r="F599" s="1413"/>
      <c r="G599" s="618"/>
      <c r="H599" s="1417">
        <f t="shared" si="80"/>
        <v>2</v>
      </c>
      <c r="I599" s="161"/>
      <c r="J599" s="161"/>
      <c r="K599" s="1413"/>
      <c r="L599" s="1414"/>
      <c r="M599" s="1414"/>
      <c r="N599" s="1414"/>
      <c r="O599" s="1551" t="s">
        <v>2400</v>
      </c>
      <c r="P599" s="1521"/>
      <c r="Q599" s="320"/>
      <c r="R599" s="320"/>
      <c r="S599" s="320"/>
      <c r="T599" s="320">
        <f t="shared" si="77"/>
        <v>0</v>
      </c>
      <c r="U599" s="320"/>
      <c r="V599" s="320"/>
      <c r="W599" s="1521"/>
      <c r="X599" s="1521"/>
      <c r="Y599" s="1521"/>
      <c r="Z599" s="1521"/>
      <c r="AA599" s="1521">
        <v>2</v>
      </c>
      <c r="AB599" s="1521"/>
      <c r="AC599" s="1521"/>
      <c r="AD599" s="1521"/>
      <c r="AE599" s="1521"/>
      <c r="AF599" s="1521"/>
      <c r="AG599" s="1521"/>
      <c r="AH599" s="1521"/>
      <c r="AI599" s="1521"/>
      <c r="AJ599" s="320"/>
      <c r="AK599" s="320"/>
      <c r="AL599" s="320"/>
      <c r="AM599" s="320"/>
      <c r="AN599" s="1523">
        <f t="shared" si="78"/>
        <v>0</v>
      </c>
      <c r="AO599" s="320"/>
      <c r="AP599" s="320"/>
      <c r="AQ599" s="1521"/>
      <c r="AR599" s="1521"/>
      <c r="AS599" s="1521"/>
      <c r="AT599" s="1521"/>
      <c r="AU599" s="1521">
        <v>2</v>
      </c>
      <c r="AV599" s="1521"/>
      <c r="AW599" s="320"/>
      <c r="AX599" s="161"/>
      <c r="AY599" s="1540"/>
      <c r="AZ599" s="1560" t="e">
        <f>#REF!-#REF!</f>
        <v>#REF!</v>
      </c>
      <c r="BA599" s="1560">
        <f>IF(C599="Scheme",IF(SUM(AJ599:AS599)&gt;0,IF(H599&lt;#REF!,H599-#REF!,0),0),0)</f>
        <v>0</v>
      </c>
      <c r="BB599" s="1560">
        <f t="shared" si="75"/>
        <v>0</v>
      </c>
      <c r="BC599" s="96" t="s">
        <v>256</v>
      </c>
      <c r="BD599" s="96" t="s">
        <v>1931</v>
      </c>
    </row>
    <row r="600" spans="1:56" ht="56" outlineLevel="1" x14ac:dyDescent="0.25">
      <c r="A600" s="1492"/>
      <c r="B600" s="1492" t="s">
        <v>2191</v>
      </c>
      <c r="C600" s="1492" t="s">
        <v>936</v>
      </c>
      <c r="D600" s="1488"/>
      <c r="E600" s="1495"/>
      <c r="F600" s="1413"/>
      <c r="G600" s="618"/>
      <c r="H600" s="1417">
        <f t="shared" si="80"/>
        <v>2</v>
      </c>
      <c r="I600" s="161"/>
      <c r="J600" s="161"/>
      <c r="K600" s="1413"/>
      <c r="L600" s="1414"/>
      <c r="M600" s="1414"/>
      <c r="N600" s="1414"/>
      <c r="O600" s="1551" t="s">
        <v>2407</v>
      </c>
      <c r="P600" s="1521"/>
      <c r="Q600" s="320"/>
      <c r="R600" s="320"/>
      <c r="S600" s="320"/>
      <c r="T600" s="320">
        <f t="shared" si="77"/>
        <v>0</v>
      </c>
      <c r="U600" s="320"/>
      <c r="V600" s="320"/>
      <c r="W600" s="1521"/>
      <c r="X600" s="1521"/>
      <c r="Y600" s="1521"/>
      <c r="Z600" s="1521"/>
      <c r="AA600" s="1521">
        <v>2</v>
      </c>
      <c r="AB600" s="1521"/>
      <c r="AC600" s="1521"/>
      <c r="AD600" s="1521"/>
      <c r="AE600" s="1521"/>
      <c r="AF600" s="1521"/>
      <c r="AG600" s="1521"/>
      <c r="AH600" s="1521"/>
      <c r="AI600" s="1521"/>
      <c r="AJ600" s="320"/>
      <c r="AK600" s="320"/>
      <c r="AL600" s="320"/>
      <c r="AM600" s="320"/>
      <c r="AN600" s="1523">
        <f t="shared" si="78"/>
        <v>0</v>
      </c>
      <c r="AO600" s="320"/>
      <c r="AP600" s="320"/>
      <c r="AQ600" s="1521"/>
      <c r="AR600" s="1521"/>
      <c r="AS600" s="1521"/>
      <c r="AT600" s="1521"/>
      <c r="AU600" s="1521">
        <v>2</v>
      </c>
      <c r="AV600" s="1521"/>
      <c r="AW600" s="320"/>
      <c r="AX600" s="161"/>
      <c r="AY600" s="1540"/>
      <c r="AZ600" s="1560" t="e">
        <f>#REF!-#REF!</f>
        <v>#REF!</v>
      </c>
      <c r="BA600" s="1560">
        <f>IF(C600="Scheme",IF(SUM(AJ600:AS600)&gt;0,IF(H600&lt;#REF!,H600-#REF!,0),0),0)</f>
        <v>0</v>
      </c>
      <c r="BB600" s="1560">
        <f t="shared" si="75"/>
        <v>0</v>
      </c>
      <c r="BC600" s="96" t="s">
        <v>843</v>
      </c>
      <c r="BD600" s="96" t="s">
        <v>1931</v>
      </c>
    </row>
    <row r="601" spans="1:56" ht="31" outlineLevel="1" x14ac:dyDescent="0.25">
      <c r="A601" s="1486">
        <v>9</v>
      </c>
      <c r="B601" s="1491" t="s">
        <v>2192</v>
      </c>
      <c r="C601" s="1486" t="s">
        <v>928</v>
      </c>
      <c r="D601" s="1488"/>
      <c r="E601" s="1495"/>
      <c r="F601" s="1413"/>
      <c r="G601" s="618"/>
      <c r="H601" s="1610">
        <f>SUM(H602:H605)</f>
        <v>29.950000000000003</v>
      </c>
      <c r="I601" s="161"/>
      <c r="J601" s="161"/>
      <c r="K601" s="1413"/>
      <c r="L601" s="1414"/>
      <c r="M601" s="1414"/>
      <c r="N601" s="1414"/>
      <c r="O601" s="1551"/>
      <c r="P601" s="1521"/>
      <c r="Q601" s="320"/>
      <c r="R601" s="320"/>
      <c r="S601" s="320"/>
      <c r="T601" s="320">
        <f t="shared" si="77"/>
        <v>0</v>
      </c>
      <c r="U601" s="320"/>
      <c r="V601" s="320"/>
      <c r="W601" s="1521"/>
      <c r="X601" s="1521"/>
      <c r="Y601" s="1521"/>
      <c r="Z601" s="1521"/>
      <c r="AA601" s="1521"/>
      <c r="AB601" s="1521"/>
      <c r="AC601" s="1521"/>
      <c r="AD601" s="1521"/>
      <c r="AE601" s="1521"/>
      <c r="AF601" s="1521"/>
      <c r="AG601" s="1521"/>
      <c r="AH601" s="1521"/>
      <c r="AI601" s="1521"/>
      <c r="AJ601" s="320"/>
      <c r="AK601" s="320"/>
      <c r="AL601" s="320"/>
      <c r="AM601" s="320"/>
      <c r="AN601" s="1523">
        <f t="shared" si="78"/>
        <v>0</v>
      </c>
      <c r="AO601" s="320"/>
      <c r="AP601" s="320"/>
      <c r="AQ601" s="1521"/>
      <c r="AR601" s="1521"/>
      <c r="AS601" s="1521"/>
      <c r="AT601" s="1521"/>
      <c r="AU601" s="1521"/>
      <c r="AV601" s="1521"/>
      <c r="AW601" s="320"/>
      <c r="AX601" s="161"/>
      <c r="AY601" s="1540"/>
      <c r="AZ601" s="1560" t="e">
        <f>#REF!-#REF!</f>
        <v>#REF!</v>
      </c>
      <c r="BA601" s="1560">
        <f>IF(C601="Scheme",IF(SUM(AJ601:AS601)&gt;0,IF(H601&lt;#REF!,H601-#REF!,0),0),0)</f>
        <v>0</v>
      </c>
      <c r="BB601" s="1560">
        <f t="shared" si="75"/>
        <v>0</v>
      </c>
    </row>
    <row r="602" spans="1:56" ht="56" outlineLevel="1" x14ac:dyDescent="0.25">
      <c r="A602" s="1492"/>
      <c r="B602" s="1492" t="s">
        <v>2193</v>
      </c>
      <c r="C602" s="1492" t="s">
        <v>936</v>
      </c>
      <c r="D602" s="1488"/>
      <c r="E602" s="1495"/>
      <c r="F602" s="1413"/>
      <c r="G602" s="618"/>
      <c r="H602" s="1417">
        <f>SUM(W602:AB602)</f>
        <v>7.51</v>
      </c>
      <c r="I602" s="161"/>
      <c r="J602" s="161"/>
      <c r="K602" s="1413"/>
      <c r="L602" s="1414"/>
      <c r="M602" s="1414"/>
      <c r="N602" s="1414"/>
      <c r="O602" s="1551" t="s">
        <v>2408</v>
      </c>
      <c r="P602" s="1521"/>
      <c r="Q602" s="320"/>
      <c r="R602" s="320"/>
      <c r="S602" s="320"/>
      <c r="T602" s="320">
        <f t="shared" si="77"/>
        <v>0</v>
      </c>
      <c r="U602" s="320"/>
      <c r="V602" s="320"/>
      <c r="W602" s="1521"/>
      <c r="X602" s="1521">
        <v>3.7549999999999999</v>
      </c>
      <c r="Y602" s="1521">
        <v>3.7549999999999999</v>
      </c>
      <c r="Z602" s="1521"/>
      <c r="AA602" s="1521"/>
      <c r="AB602" s="1521"/>
      <c r="AC602" s="1521"/>
      <c r="AD602" s="1521"/>
      <c r="AE602" s="1521"/>
      <c r="AF602" s="1521"/>
      <c r="AG602" s="1521"/>
      <c r="AH602" s="1521"/>
      <c r="AI602" s="1521"/>
      <c r="AJ602" s="320"/>
      <c r="AK602" s="320"/>
      <c r="AL602" s="320"/>
      <c r="AM602" s="320"/>
      <c r="AN602" s="1523">
        <f t="shared" si="78"/>
        <v>0</v>
      </c>
      <c r="AO602" s="320"/>
      <c r="AP602" s="320"/>
      <c r="AQ602" s="1521"/>
      <c r="AR602" s="1521">
        <v>3.7549999999999999</v>
      </c>
      <c r="AS602" s="1521">
        <v>3.7549999999999999</v>
      </c>
      <c r="AT602" s="1521"/>
      <c r="AU602" s="1521"/>
      <c r="AV602" s="1521"/>
      <c r="AW602" s="320"/>
      <c r="AX602" s="161"/>
      <c r="AY602" s="1540"/>
      <c r="AZ602" s="1560" t="e">
        <f>#REF!-#REF!</f>
        <v>#REF!</v>
      </c>
      <c r="BA602" s="1560" t="e">
        <f>IF(C602="Scheme",IF(SUM(AJ602:AS602)&gt;0,IF(H602&lt;#REF!,H602-#REF!,0),0),0)</f>
        <v>#REF!</v>
      </c>
      <c r="BB602" s="1560">
        <f t="shared" si="75"/>
        <v>-7.51</v>
      </c>
      <c r="BC602" s="96" t="s">
        <v>256</v>
      </c>
      <c r="BD602" s="96" t="s">
        <v>1931</v>
      </c>
    </row>
    <row r="603" spans="1:56" ht="56" outlineLevel="1" x14ac:dyDescent="0.25">
      <c r="A603" s="1492"/>
      <c r="B603" s="1492" t="s">
        <v>2194</v>
      </c>
      <c r="C603" s="1492" t="s">
        <v>936</v>
      </c>
      <c r="D603" s="1488"/>
      <c r="E603" s="1495"/>
      <c r="F603" s="1413"/>
      <c r="G603" s="618"/>
      <c r="H603" s="1417">
        <f>SUM(W603:AB603)</f>
        <v>12.22</v>
      </c>
      <c r="I603" s="161"/>
      <c r="J603" s="161"/>
      <c r="K603" s="1413"/>
      <c r="L603" s="1414"/>
      <c r="M603" s="1414"/>
      <c r="N603" s="1414"/>
      <c r="O603" s="1551" t="s">
        <v>2408</v>
      </c>
      <c r="P603" s="1521"/>
      <c r="Q603" s="320"/>
      <c r="R603" s="320"/>
      <c r="S603" s="320"/>
      <c r="T603" s="320">
        <f t="shared" si="77"/>
        <v>0</v>
      </c>
      <c r="U603" s="320"/>
      <c r="V603" s="320"/>
      <c r="W603" s="1521"/>
      <c r="X603" s="1521">
        <v>6.11</v>
      </c>
      <c r="Y603" s="1521">
        <v>6.11</v>
      </c>
      <c r="Z603" s="1521"/>
      <c r="AA603" s="1521"/>
      <c r="AB603" s="1521"/>
      <c r="AC603" s="1521"/>
      <c r="AD603" s="1521"/>
      <c r="AE603" s="1521"/>
      <c r="AF603" s="1521"/>
      <c r="AG603" s="1521"/>
      <c r="AH603" s="1521"/>
      <c r="AI603" s="1521"/>
      <c r="AJ603" s="320"/>
      <c r="AK603" s="320"/>
      <c r="AL603" s="320"/>
      <c r="AM603" s="320"/>
      <c r="AN603" s="1523">
        <f t="shared" si="78"/>
        <v>0</v>
      </c>
      <c r="AO603" s="320"/>
      <c r="AP603" s="320"/>
      <c r="AQ603" s="1521"/>
      <c r="AR603" s="1521">
        <v>6.11</v>
      </c>
      <c r="AS603" s="1521">
        <v>6.11</v>
      </c>
      <c r="AT603" s="1521"/>
      <c r="AU603" s="1521"/>
      <c r="AV603" s="1521"/>
      <c r="AW603" s="320"/>
      <c r="AX603" s="161"/>
      <c r="AY603" s="1540"/>
      <c r="AZ603" s="1560" t="e">
        <f>#REF!-#REF!</f>
        <v>#REF!</v>
      </c>
      <c r="BA603" s="1560" t="e">
        <f>IF(C603="Scheme",IF(SUM(AJ603:AS603)&gt;0,IF(H603&lt;#REF!,H603-#REF!,0),0),0)</f>
        <v>#REF!</v>
      </c>
      <c r="BB603" s="1560">
        <f t="shared" si="75"/>
        <v>-12.22</v>
      </c>
      <c r="BC603" s="96" t="s">
        <v>256</v>
      </c>
      <c r="BD603" s="96" t="s">
        <v>1931</v>
      </c>
    </row>
    <row r="604" spans="1:56" ht="56" outlineLevel="1" x14ac:dyDescent="0.25">
      <c r="A604" s="1492"/>
      <c r="B604" s="1492" t="s">
        <v>2195</v>
      </c>
      <c r="C604" s="1492" t="s">
        <v>936</v>
      </c>
      <c r="D604" s="1488"/>
      <c r="E604" s="1495"/>
      <c r="F604" s="1413"/>
      <c r="G604" s="618"/>
      <c r="H604" s="1417">
        <f>SUM(W604:AB604)</f>
        <v>6.65</v>
      </c>
      <c r="I604" s="161"/>
      <c r="J604" s="161"/>
      <c r="K604" s="1413"/>
      <c r="L604" s="1414"/>
      <c r="M604" s="1414"/>
      <c r="N604" s="1414"/>
      <c r="O604" s="1551" t="s">
        <v>2408</v>
      </c>
      <c r="P604" s="1521"/>
      <c r="Q604" s="320"/>
      <c r="R604" s="320"/>
      <c r="S604" s="320"/>
      <c r="T604" s="320">
        <f t="shared" si="77"/>
        <v>0</v>
      </c>
      <c r="U604" s="320"/>
      <c r="V604" s="320"/>
      <c r="W604" s="1521"/>
      <c r="X604" s="1521">
        <v>3.3250000000000002</v>
      </c>
      <c r="Y604" s="1521">
        <v>3.3250000000000002</v>
      </c>
      <c r="Z604" s="1521"/>
      <c r="AA604" s="1521"/>
      <c r="AB604" s="1521"/>
      <c r="AC604" s="1521"/>
      <c r="AD604" s="1521"/>
      <c r="AE604" s="1521"/>
      <c r="AF604" s="1521"/>
      <c r="AG604" s="1521"/>
      <c r="AH604" s="1521"/>
      <c r="AI604" s="1521"/>
      <c r="AJ604" s="320"/>
      <c r="AK604" s="320"/>
      <c r="AL604" s="320"/>
      <c r="AM604" s="320"/>
      <c r="AN604" s="1523">
        <f t="shared" si="78"/>
        <v>0</v>
      </c>
      <c r="AO604" s="320"/>
      <c r="AP604" s="320"/>
      <c r="AQ604" s="1521"/>
      <c r="AR604" s="1521">
        <v>3.3250000000000002</v>
      </c>
      <c r="AS604" s="1521">
        <v>3.3250000000000002</v>
      </c>
      <c r="AT604" s="1521"/>
      <c r="AU604" s="1521"/>
      <c r="AV604" s="1521"/>
      <c r="AW604" s="320"/>
      <c r="AX604" s="161"/>
      <c r="AY604" s="1540"/>
      <c r="AZ604" s="1560" t="e">
        <f>#REF!-#REF!</f>
        <v>#REF!</v>
      </c>
      <c r="BA604" s="1560" t="e">
        <f>IF(C604="Scheme",IF(SUM(AJ604:AS604)&gt;0,IF(H604&lt;#REF!,H604-#REF!,0),0),0)</f>
        <v>#REF!</v>
      </c>
      <c r="BB604" s="1560">
        <f t="shared" si="75"/>
        <v>-6.65</v>
      </c>
      <c r="BC604" s="96" t="s">
        <v>256</v>
      </c>
      <c r="BD604" s="96" t="s">
        <v>1931</v>
      </c>
    </row>
    <row r="605" spans="1:56" ht="56" outlineLevel="1" x14ac:dyDescent="0.25">
      <c r="A605" s="1492"/>
      <c r="B605" s="1492" t="s">
        <v>2196</v>
      </c>
      <c r="C605" s="1492" t="s">
        <v>936</v>
      </c>
      <c r="D605" s="1488"/>
      <c r="E605" s="1495"/>
      <c r="F605" s="1413"/>
      <c r="G605" s="618"/>
      <c r="H605" s="1417">
        <f>SUM(W605:AB605)</f>
        <v>3.57</v>
      </c>
      <c r="I605" s="161"/>
      <c r="J605" s="161"/>
      <c r="K605" s="1413"/>
      <c r="L605" s="1414"/>
      <c r="M605" s="1414"/>
      <c r="N605" s="1414"/>
      <c r="O605" s="1551" t="s">
        <v>2408</v>
      </c>
      <c r="P605" s="1521"/>
      <c r="Q605" s="320"/>
      <c r="R605" s="320"/>
      <c r="S605" s="320"/>
      <c r="T605" s="320">
        <f t="shared" si="77"/>
        <v>0</v>
      </c>
      <c r="U605" s="320"/>
      <c r="V605" s="320"/>
      <c r="W605" s="1521"/>
      <c r="X605" s="1521">
        <v>1.7849999999999999</v>
      </c>
      <c r="Y605" s="1521">
        <v>1.7849999999999999</v>
      </c>
      <c r="Z605" s="1521"/>
      <c r="AA605" s="1521"/>
      <c r="AB605" s="1521"/>
      <c r="AC605" s="1521"/>
      <c r="AD605" s="1521"/>
      <c r="AE605" s="1521"/>
      <c r="AF605" s="1521"/>
      <c r="AG605" s="1521"/>
      <c r="AH605" s="1521"/>
      <c r="AI605" s="1521"/>
      <c r="AJ605" s="320"/>
      <c r="AK605" s="320"/>
      <c r="AL605" s="320"/>
      <c r="AM605" s="320"/>
      <c r="AN605" s="1523">
        <f t="shared" si="78"/>
        <v>0</v>
      </c>
      <c r="AO605" s="320"/>
      <c r="AP605" s="320"/>
      <c r="AQ605" s="1521"/>
      <c r="AR605" s="1521">
        <v>1.7849999999999999</v>
      </c>
      <c r="AS605" s="1521">
        <v>1.7849999999999999</v>
      </c>
      <c r="AT605" s="1521"/>
      <c r="AU605" s="1521"/>
      <c r="AV605" s="1521"/>
      <c r="AW605" s="320"/>
      <c r="AX605" s="161"/>
      <c r="AY605" s="1540"/>
      <c r="AZ605" s="1560" t="e">
        <f>#REF!-#REF!</f>
        <v>#REF!</v>
      </c>
      <c r="BA605" s="1560" t="e">
        <f>IF(C605="Scheme",IF(SUM(AJ605:AS605)&gt;0,IF(H605&lt;#REF!,H605-#REF!,0),0),0)</f>
        <v>#REF!</v>
      </c>
      <c r="BB605" s="1560">
        <f t="shared" si="75"/>
        <v>-3.57</v>
      </c>
      <c r="BC605" s="96" t="s">
        <v>843</v>
      </c>
      <c r="BD605" s="96" t="s">
        <v>1931</v>
      </c>
    </row>
    <row r="606" spans="1:56" ht="15.5" outlineLevel="1" x14ac:dyDescent="0.25">
      <c r="A606" s="1486">
        <v>10</v>
      </c>
      <c r="B606" s="1491" t="s">
        <v>2197</v>
      </c>
      <c r="C606" s="1486" t="s">
        <v>928</v>
      </c>
      <c r="D606" s="1488"/>
      <c r="E606" s="1495"/>
      <c r="F606" s="1413"/>
      <c r="G606" s="618"/>
      <c r="H606" s="1610">
        <v>400</v>
      </c>
      <c r="I606" s="161"/>
      <c r="J606" s="161"/>
      <c r="K606" s="1413"/>
      <c r="L606" s="1414"/>
      <c r="M606" s="1414"/>
      <c r="N606" s="1414"/>
      <c r="O606" s="1551"/>
      <c r="P606" s="1521"/>
      <c r="Q606" s="320"/>
      <c r="R606" s="320"/>
      <c r="S606" s="320"/>
      <c r="T606" s="320">
        <f t="shared" si="77"/>
        <v>0</v>
      </c>
      <c r="U606" s="320"/>
      <c r="V606" s="320"/>
      <c r="W606" s="1521"/>
      <c r="X606" s="1521"/>
      <c r="Y606" s="1521"/>
      <c r="Z606" s="1521"/>
      <c r="AA606" s="1521"/>
      <c r="AB606" s="1521"/>
      <c r="AC606" s="1521"/>
      <c r="AD606" s="1521"/>
      <c r="AE606" s="1521"/>
      <c r="AF606" s="1521"/>
      <c r="AG606" s="1521"/>
      <c r="AH606" s="1521"/>
      <c r="AI606" s="1521"/>
      <c r="AJ606" s="320"/>
      <c r="AK606" s="320"/>
      <c r="AL606" s="320"/>
      <c r="AM606" s="320"/>
      <c r="AN606" s="1523">
        <f t="shared" si="78"/>
        <v>0</v>
      </c>
      <c r="AO606" s="320"/>
      <c r="AP606" s="320"/>
      <c r="AQ606" s="1521"/>
      <c r="AR606" s="1521"/>
      <c r="AS606" s="1521"/>
      <c r="AT606" s="1521"/>
      <c r="AU606" s="1521"/>
      <c r="AV606" s="1521"/>
      <c r="AW606" s="320"/>
      <c r="AX606" s="161"/>
      <c r="AY606" s="1540"/>
      <c r="AZ606" s="1560" t="e">
        <f>#REF!-#REF!</f>
        <v>#REF!</v>
      </c>
      <c r="BA606" s="1560">
        <f>IF(C606="Scheme",IF(SUM(AJ606:AS606)&gt;0,IF(H606&lt;#REF!,H606-#REF!,0),0),0)</f>
        <v>0</v>
      </c>
      <c r="BB606" s="1560">
        <f t="shared" si="75"/>
        <v>0</v>
      </c>
    </row>
    <row r="607" spans="1:56" ht="31" outlineLevel="1" x14ac:dyDescent="0.25">
      <c r="A607" s="1492"/>
      <c r="B607" s="1492" t="s">
        <v>2198</v>
      </c>
      <c r="C607" s="1492" t="s">
        <v>936</v>
      </c>
      <c r="D607" s="1488"/>
      <c r="E607" s="1495"/>
      <c r="F607" s="1413"/>
      <c r="G607" s="618"/>
      <c r="H607" s="1417">
        <f>SUM(W607:AB607)</f>
        <v>293</v>
      </c>
      <c r="I607" s="161"/>
      <c r="J607" s="161"/>
      <c r="K607" s="1413"/>
      <c r="L607" s="1414"/>
      <c r="M607" s="1414"/>
      <c r="N607" s="1414"/>
      <c r="O607" s="1551" t="s">
        <v>2409</v>
      </c>
      <c r="P607" s="1521"/>
      <c r="Q607" s="320"/>
      <c r="R607" s="320"/>
      <c r="S607" s="320"/>
      <c r="T607" s="320">
        <f t="shared" si="77"/>
        <v>0</v>
      </c>
      <c r="U607" s="320"/>
      <c r="V607" s="320"/>
      <c r="W607" s="1521"/>
      <c r="X607" s="1521"/>
      <c r="Y607" s="1521">
        <v>293</v>
      </c>
      <c r="Z607" s="1521"/>
      <c r="AA607" s="1521"/>
      <c r="AB607" s="1521"/>
      <c r="AC607" s="1521"/>
      <c r="AD607" s="1521"/>
      <c r="AE607" s="1521"/>
      <c r="AF607" s="1521"/>
      <c r="AG607" s="1521"/>
      <c r="AH607" s="1521"/>
      <c r="AI607" s="1521"/>
      <c r="AJ607" s="320"/>
      <c r="AK607" s="320"/>
      <c r="AL607" s="320"/>
      <c r="AM607" s="320"/>
      <c r="AN607" s="1523">
        <f t="shared" si="78"/>
        <v>0</v>
      </c>
      <c r="AO607" s="320"/>
      <c r="AP607" s="320"/>
      <c r="AQ607" s="1521"/>
      <c r="AR607" s="1521"/>
      <c r="AS607" s="1521">
        <v>293</v>
      </c>
      <c r="AT607" s="1521"/>
      <c r="AU607" s="1521"/>
      <c r="AV607" s="1521"/>
      <c r="AW607" s="320"/>
      <c r="AX607" s="161"/>
      <c r="AY607" s="1540"/>
      <c r="AZ607" s="1560" t="e">
        <f>#REF!-#REF!</f>
        <v>#REF!</v>
      </c>
      <c r="BA607" s="1560" t="e">
        <f>IF(C607="Scheme",IF(SUM(AJ607:AS607)&gt;0,IF(H607&lt;#REF!,H607-#REF!,0),0),0)</f>
        <v>#REF!</v>
      </c>
      <c r="BB607" s="1560">
        <f t="shared" si="75"/>
        <v>-293</v>
      </c>
      <c r="BC607" s="96" t="s">
        <v>256</v>
      </c>
      <c r="BD607" s="96" t="s">
        <v>1931</v>
      </c>
    </row>
    <row r="608" spans="1:56" ht="31" outlineLevel="1" x14ac:dyDescent="0.25">
      <c r="A608" s="1492"/>
      <c r="B608" s="1492" t="s">
        <v>2199</v>
      </c>
      <c r="C608" s="1492" t="s">
        <v>936</v>
      </c>
      <c r="D608" s="1488"/>
      <c r="E608" s="1495"/>
      <c r="F608" s="1413"/>
      <c r="G608" s="618"/>
      <c r="H608" s="1417">
        <f>SUM(W608:AB608)</f>
        <v>300</v>
      </c>
      <c r="I608" s="161"/>
      <c r="J608" s="161"/>
      <c r="K608" s="1413"/>
      <c r="L608" s="1414"/>
      <c r="M608" s="1414"/>
      <c r="N608" s="1414"/>
      <c r="O608" s="1551" t="s">
        <v>2409</v>
      </c>
      <c r="P608" s="1521"/>
      <c r="Q608" s="320"/>
      <c r="R608" s="320"/>
      <c r="S608" s="320"/>
      <c r="T608" s="320">
        <f t="shared" si="77"/>
        <v>0</v>
      </c>
      <c r="U608" s="320"/>
      <c r="V608" s="320"/>
      <c r="W608" s="1521"/>
      <c r="X608" s="1521"/>
      <c r="Y608" s="1521"/>
      <c r="Z608" s="1521"/>
      <c r="AA608" s="1521">
        <v>300</v>
      </c>
      <c r="AB608" s="1521"/>
      <c r="AC608" s="1521"/>
      <c r="AD608" s="1521"/>
      <c r="AE608" s="1521"/>
      <c r="AF608" s="1521"/>
      <c r="AG608" s="1521"/>
      <c r="AH608" s="1521"/>
      <c r="AI608" s="1521"/>
      <c r="AJ608" s="320"/>
      <c r="AK608" s="320"/>
      <c r="AL608" s="320"/>
      <c r="AM608" s="320"/>
      <c r="AN608" s="1523">
        <f t="shared" si="78"/>
        <v>0</v>
      </c>
      <c r="AO608" s="320"/>
      <c r="AP608" s="320"/>
      <c r="AQ608" s="1521"/>
      <c r="AR608" s="1521"/>
      <c r="AS608" s="1521"/>
      <c r="AT608" s="1521"/>
      <c r="AU608" s="1521">
        <v>300</v>
      </c>
      <c r="AV608" s="1521"/>
      <c r="AW608" s="320"/>
      <c r="AX608" s="161"/>
      <c r="AY608" s="1540"/>
      <c r="AZ608" s="1560" t="e">
        <f>#REF!-#REF!</f>
        <v>#REF!</v>
      </c>
      <c r="BA608" s="1560">
        <f>IF(C608="Scheme",IF(SUM(AJ608:AS608)&gt;0,IF(H608&lt;#REF!,H608-#REF!,0),0),0)</f>
        <v>0</v>
      </c>
      <c r="BB608" s="1560">
        <f t="shared" si="75"/>
        <v>0</v>
      </c>
      <c r="BC608" s="96" t="s">
        <v>256</v>
      </c>
      <c r="BD608" s="96" t="s">
        <v>1931</v>
      </c>
    </row>
    <row r="609" spans="1:56" ht="15.5" outlineLevel="1" x14ac:dyDescent="0.25">
      <c r="A609" s="1486">
        <v>11</v>
      </c>
      <c r="B609" s="1491" t="s">
        <v>2200</v>
      </c>
      <c r="C609" s="1486" t="s">
        <v>928</v>
      </c>
      <c r="D609" s="1488"/>
      <c r="E609" s="1495"/>
      <c r="F609" s="1413"/>
      <c r="G609" s="618"/>
      <c r="H609" s="1610">
        <v>100</v>
      </c>
      <c r="I609" s="161"/>
      <c r="J609" s="161"/>
      <c r="K609" s="1413"/>
      <c r="L609" s="1414"/>
      <c r="M609" s="1414"/>
      <c r="N609" s="1414"/>
      <c r="O609" s="1551"/>
      <c r="P609" s="1521"/>
      <c r="Q609" s="320"/>
      <c r="R609" s="320"/>
      <c r="S609" s="320"/>
      <c r="T609" s="320">
        <f t="shared" si="77"/>
        <v>0</v>
      </c>
      <c r="U609" s="320"/>
      <c r="V609" s="320"/>
      <c r="W609" s="1521"/>
      <c r="X609" s="1521"/>
      <c r="Y609" s="1521"/>
      <c r="Z609" s="1521"/>
      <c r="AA609" s="1521"/>
      <c r="AB609" s="1521"/>
      <c r="AC609" s="1521"/>
      <c r="AD609" s="1521"/>
      <c r="AE609" s="1521"/>
      <c r="AF609" s="1521"/>
      <c r="AG609" s="1521"/>
      <c r="AH609" s="1521"/>
      <c r="AI609" s="1521"/>
      <c r="AJ609" s="320"/>
      <c r="AK609" s="320"/>
      <c r="AL609" s="320"/>
      <c r="AM609" s="320"/>
      <c r="AN609" s="1523">
        <f t="shared" si="78"/>
        <v>0</v>
      </c>
      <c r="AO609" s="320"/>
      <c r="AP609" s="320"/>
      <c r="AQ609" s="1521"/>
      <c r="AR609" s="1521"/>
      <c r="AS609" s="1521"/>
      <c r="AT609" s="1521"/>
      <c r="AU609" s="1521"/>
      <c r="AV609" s="1521"/>
      <c r="AW609" s="320"/>
      <c r="AX609" s="161"/>
      <c r="AY609" s="1540"/>
      <c r="AZ609" s="1560"/>
      <c r="BA609" s="1560"/>
      <c r="BB609" s="1560"/>
    </row>
    <row r="610" spans="1:56" ht="31" outlineLevel="1" x14ac:dyDescent="0.25">
      <c r="A610" s="1492"/>
      <c r="B610" s="1492" t="s">
        <v>2201</v>
      </c>
      <c r="C610" s="1492" t="s">
        <v>936</v>
      </c>
      <c r="D610" s="1488"/>
      <c r="E610" s="1495"/>
      <c r="F610" s="1413"/>
      <c r="G610" s="618"/>
      <c r="H610" s="1417">
        <f>SUM(W610:AB610)</f>
        <v>100</v>
      </c>
      <c r="I610" s="161"/>
      <c r="J610" s="161"/>
      <c r="K610" s="1413"/>
      <c r="L610" s="1414"/>
      <c r="M610" s="1414"/>
      <c r="N610" s="1414"/>
      <c r="O610" s="1551" t="s">
        <v>2410</v>
      </c>
      <c r="P610" s="1521"/>
      <c r="Q610" s="320"/>
      <c r="R610" s="320"/>
      <c r="S610" s="320"/>
      <c r="T610" s="320">
        <f t="shared" si="77"/>
        <v>0</v>
      </c>
      <c r="U610" s="320"/>
      <c r="V610" s="320"/>
      <c r="W610" s="1521"/>
      <c r="X610" s="1521"/>
      <c r="Y610" s="1521">
        <v>100</v>
      </c>
      <c r="Z610" s="1521"/>
      <c r="AA610" s="1521"/>
      <c r="AB610" s="1521"/>
      <c r="AC610" s="1521"/>
      <c r="AD610" s="1521"/>
      <c r="AE610" s="1521"/>
      <c r="AF610" s="1521"/>
      <c r="AG610" s="1521"/>
      <c r="AH610" s="1521"/>
      <c r="AI610" s="1521"/>
      <c r="AJ610" s="320"/>
      <c r="AK610" s="320"/>
      <c r="AL610" s="320"/>
      <c r="AM610" s="320"/>
      <c r="AN610" s="1523">
        <f t="shared" si="78"/>
        <v>0</v>
      </c>
      <c r="AO610" s="320"/>
      <c r="AP610" s="320"/>
      <c r="AQ610" s="1521"/>
      <c r="AR610" s="1521"/>
      <c r="AS610" s="1521">
        <v>100</v>
      </c>
      <c r="AT610" s="1521"/>
      <c r="AU610" s="1521"/>
      <c r="AV610" s="1521"/>
      <c r="AW610" s="320"/>
      <c r="AX610" s="161"/>
      <c r="AY610" s="1540"/>
      <c r="AZ610" s="1560"/>
      <c r="BA610" s="1560"/>
      <c r="BB610" s="1560"/>
      <c r="BC610" s="96" t="s">
        <v>256</v>
      </c>
      <c r="BD610" s="96" t="s">
        <v>1931</v>
      </c>
    </row>
    <row r="611" spans="1:56" ht="15.5" outlineLevel="1" x14ac:dyDescent="0.25">
      <c r="A611" s="1486">
        <v>12</v>
      </c>
      <c r="B611" s="1491" t="s">
        <v>2202</v>
      </c>
      <c r="C611" s="1486" t="s">
        <v>928</v>
      </c>
      <c r="D611" s="1488"/>
      <c r="E611" s="1495"/>
      <c r="F611" s="1413"/>
      <c r="G611" s="618"/>
      <c r="H611" s="1610">
        <v>200</v>
      </c>
      <c r="I611" s="161"/>
      <c r="J611" s="161"/>
      <c r="K611" s="1413"/>
      <c r="L611" s="1414"/>
      <c r="M611" s="1414"/>
      <c r="N611" s="1414"/>
      <c r="O611" s="1551"/>
      <c r="P611" s="1521"/>
      <c r="Q611" s="320"/>
      <c r="R611" s="320"/>
      <c r="S611" s="320"/>
      <c r="T611" s="320">
        <f t="shared" si="77"/>
        <v>0</v>
      </c>
      <c r="U611" s="320"/>
      <c r="V611" s="320"/>
      <c r="W611" s="1521"/>
      <c r="X611" s="1521"/>
      <c r="Y611" s="1521"/>
      <c r="Z611" s="1521"/>
      <c r="AA611" s="1521"/>
      <c r="AB611" s="1521"/>
      <c r="AC611" s="1521"/>
      <c r="AD611" s="1521"/>
      <c r="AE611" s="1521"/>
      <c r="AF611" s="1521"/>
      <c r="AG611" s="1521"/>
      <c r="AH611" s="1521"/>
      <c r="AI611" s="1521"/>
      <c r="AJ611" s="320"/>
      <c r="AK611" s="320"/>
      <c r="AL611" s="320"/>
      <c r="AM611" s="320"/>
      <c r="AN611" s="1523">
        <f t="shared" si="78"/>
        <v>0</v>
      </c>
      <c r="AO611" s="320"/>
      <c r="AP611" s="320"/>
      <c r="AQ611" s="1521"/>
      <c r="AR611" s="1521"/>
      <c r="AS611" s="1521"/>
      <c r="AT611" s="1521"/>
      <c r="AU611" s="1521"/>
      <c r="AV611" s="1521"/>
      <c r="AW611" s="320"/>
      <c r="AX611" s="161"/>
      <c r="AY611" s="1540"/>
      <c r="AZ611" s="1560"/>
      <c r="BA611" s="1560"/>
      <c r="BB611" s="1560"/>
    </row>
    <row r="612" spans="1:56" ht="31" outlineLevel="1" x14ac:dyDescent="0.25">
      <c r="A612" s="1492"/>
      <c r="B612" s="1492" t="s">
        <v>2202</v>
      </c>
      <c r="C612" s="1492" t="s">
        <v>936</v>
      </c>
      <c r="D612" s="1488"/>
      <c r="E612" s="1495"/>
      <c r="F612" s="1413"/>
      <c r="G612" s="618"/>
      <c r="H612" s="1420">
        <v>200</v>
      </c>
      <c r="I612" s="161"/>
      <c r="J612" s="161"/>
      <c r="K612" s="1413"/>
      <c r="L612" s="1414"/>
      <c r="M612" s="1414"/>
      <c r="N612" s="1414"/>
      <c r="O612" s="1551"/>
      <c r="P612" s="1521"/>
      <c r="Q612" s="320"/>
      <c r="R612" s="320"/>
      <c r="S612" s="320"/>
      <c r="T612" s="320">
        <f t="shared" si="77"/>
        <v>0</v>
      </c>
      <c r="U612" s="320"/>
      <c r="V612" s="320"/>
      <c r="W612" s="1521"/>
      <c r="X612" s="1521">
        <v>200</v>
      </c>
      <c r="Y612" s="1521"/>
      <c r="Z612" s="1521"/>
      <c r="AA612" s="1521"/>
      <c r="AB612" s="1521"/>
      <c r="AC612" s="1521"/>
      <c r="AD612" s="1521"/>
      <c r="AE612" s="1521"/>
      <c r="AF612" s="1521"/>
      <c r="AG612" s="1521"/>
      <c r="AH612" s="1521"/>
      <c r="AI612" s="1521"/>
      <c r="AJ612" s="320"/>
      <c r="AK612" s="320"/>
      <c r="AL612" s="320"/>
      <c r="AM612" s="320"/>
      <c r="AN612" s="1523">
        <f t="shared" si="78"/>
        <v>0</v>
      </c>
      <c r="AO612" s="320"/>
      <c r="AP612" s="320"/>
      <c r="AQ612" s="1521"/>
      <c r="AR612" s="1521">
        <v>200</v>
      </c>
      <c r="AS612" s="1521"/>
      <c r="AT612" s="1521"/>
      <c r="AU612" s="1521"/>
      <c r="AV612" s="1521"/>
      <c r="AW612" s="320"/>
      <c r="AX612" s="161"/>
      <c r="AY612" s="1540"/>
      <c r="AZ612" s="1560"/>
      <c r="BA612" s="1560"/>
      <c r="BB612" s="1560"/>
      <c r="BC612" s="96" t="s">
        <v>899</v>
      </c>
      <c r="BD612" s="96" t="s">
        <v>1931</v>
      </c>
    </row>
    <row r="613" spans="1:56" ht="62" outlineLevel="1" x14ac:dyDescent="0.25">
      <c r="A613" s="1486">
        <v>13</v>
      </c>
      <c r="B613" s="1491" t="s">
        <v>2203</v>
      </c>
      <c r="C613" s="1486" t="s">
        <v>928</v>
      </c>
      <c r="D613" s="1488"/>
      <c r="E613" s="1495"/>
      <c r="F613" s="1413"/>
      <c r="G613" s="618"/>
      <c r="H613" s="1610">
        <v>42</v>
      </c>
      <c r="I613" s="161"/>
      <c r="J613" s="161"/>
      <c r="K613" s="1413"/>
      <c r="L613" s="1414"/>
      <c r="M613" s="1414"/>
      <c r="N613" s="1414"/>
      <c r="O613" s="1551"/>
      <c r="P613" s="1521"/>
      <c r="Q613" s="320"/>
      <c r="R613" s="320"/>
      <c r="S613" s="320"/>
      <c r="T613" s="320">
        <f t="shared" si="77"/>
        <v>0</v>
      </c>
      <c r="U613" s="320"/>
      <c r="V613" s="320"/>
      <c r="W613" s="1521"/>
      <c r="X613" s="1521"/>
      <c r="Y613" s="1521"/>
      <c r="Z613" s="1521"/>
      <c r="AA613" s="1521"/>
      <c r="AB613" s="1521"/>
      <c r="AC613" s="1521"/>
      <c r="AD613" s="1521"/>
      <c r="AE613" s="1521"/>
      <c r="AF613" s="1521"/>
      <c r="AG613" s="1521"/>
      <c r="AH613" s="1521"/>
      <c r="AI613" s="1521"/>
      <c r="AJ613" s="320"/>
      <c r="AK613" s="320"/>
      <c r="AL613" s="320"/>
      <c r="AM613" s="320"/>
      <c r="AN613" s="1523">
        <f t="shared" si="78"/>
        <v>0</v>
      </c>
      <c r="AO613" s="320"/>
      <c r="AP613" s="320"/>
      <c r="AQ613" s="1521"/>
      <c r="AR613" s="1521"/>
      <c r="AS613" s="1521"/>
      <c r="AT613" s="1521"/>
      <c r="AU613" s="1521"/>
      <c r="AV613" s="1521"/>
      <c r="AW613" s="320"/>
      <c r="AX613" s="161"/>
      <c r="AY613" s="1540"/>
      <c r="AZ613" s="1560"/>
      <c r="BA613" s="1560"/>
      <c r="BB613" s="1560"/>
    </row>
    <row r="614" spans="1:56" ht="62" outlineLevel="1" x14ac:dyDescent="0.25">
      <c r="A614" s="1492"/>
      <c r="B614" s="1492" t="s">
        <v>2203</v>
      </c>
      <c r="C614" s="1492" t="s">
        <v>936</v>
      </c>
      <c r="D614" s="1488"/>
      <c r="E614" s="1495"/>
      <c r="F614" s="1413"/>
      <c r="G614" s="618"/>
      <c r="H614" s="1420">
        <v>42</v>
      </c>
      <c r="I614" s="161"/>
      <c r="J614" s="161"/>
      <c r="K614" s="1413"/>
      <c r="L614" s="1414"/>
      <c r="M614" s="1414"/>
      <c r="N614" s="1414"/>
      <c r="O614" s="1551" t="s">
        <v>2411</v>
      </c>
      <c r="P614" s="1521"/>
      <c r="Q614" s="320"/>
      <c r="R614" s="320"/>
      <c r="S614" s="320"/>
      <c r="T614" s="320">
        <f t="shared" si="77"/>
        <v>0</v>
      </c>
      <c r="U614" s="320"/>
      <c r="V614" s="320"/>
      <c r="W614" s="1521"/>
      <c r="X614" s="1521">
        <v>42</v>
      </c>
      <c r="Y614" s="1521"/>
      <c r="Z614" s="1521"/>
      <c r="AA614" s="1521"/>
      <c r="AB614" s="1521"/>
      <c r="AC614" s="1521"/>
      <c r="AD614" s="1521"/>
      <c r="AE614" s="1521"/>
      <c r="AF614" s="1521"/>
      <c r="AG614" s="1521"/>
      <c r="AH614" s="1521"/>
      <c r="AI614" s="1521"/>
      <c r="AJ614" s="320"/>
      <c r="AK614" s="320"/>
      <c r="AL614" s="320"/>
      <c r="AM614" s="320"/>
      <c r="AN614" s="1523">
        <f t="shared" si="78"/>
        <v>0</v>
      </c>
      <c r="AO614" s="320"/>
      <c r="AP614" s="320"/>
      <c r="AQ614" s="1521"/>
      <c r="AR614" s="1521">
        <v>42</v>
      </c>
      <c r="AS614" s="1521"/>
      <c r="AT614" s="1521"/>
      <c r="AU614" s="1521"/>
      <c r="AV614" s="1521"/>
      <c r="AW614" s="320"/>
      <c r="AX614" s="161"/>
      <c r="AY614" s="1540"/>
      <c r="AZ614" s="1560"/>
      <c r="BA614" s="1560"/>
      <c r="BB614" s="1560"/>
      <c r="BC614" s="96" t="s">
        <v>256</v>
      </c>
      <c r="BD614" s="96" t="s">
        <v>1931</v>
      </c>
    </row>
    <row r="615" spans="1:56" ht="15.5" outlineLevel="1" x14ac:dyDescent="0.25">
      <c r="A615" s="1486">
        <v>14</v>
      </c>
      <c r="B615" s="1491" t="s">
        <v>2204</v>
      </c>
      <c r="C615" s="1486" t="s">
        <v>928</v>
      </c>
      <c r="D615" s="1488"/>
      <c r="E615" s="1495"/>
      <c r="F615" s="1413"/>
      <c r="G615" s="618"/>
      <c r="H615" s="1610">
        <v>25</v>
      </c>
      <c r="I615" s="161"/>
      <c r="J615" s="161"/>
      <c r="K615" s="1413"/>
      <c r="L615" s="1414"/>
      <c r="M615" s="1414"/>
      <c r="N615" s="1414"/>
      <c r="O615" s="1551"/>
      <c r="P615" s="1521"/>
      <c r="Q615" s="320"/>
      <c r="R615" s="320"/>
      <c r="S615" s="320"/>
      <c r="T615" s="320">
        <f t="shared" si="77"/>
        <v>0</v>
      </c>
      <c r="U615" s="320"/>
      <c r="V615" s="320"/>
      <c r="W615" s="1521"/>
      <c r="X615" s="1521"/>
      <c r="Y615" s="1521"/>
      <c r="Z615" s="1521"/>
      <c r="AA615" s="1521"/>
      <c r="AB615" s="1521"/>
      <c r="AC615" s="1521"/>
      <c r="AD615" s="1521"/>
      <c r="AE615" s="1521"/>
      <c r="AF615" s="1521"/>
      <c r="AG615" s="1521"/>
      <c r="AH615" s="1521"/>
      <c r="AI615" s="1521"/>
      <c r="AJ615" s="320"/>
      <c r="AK615" s="320"/>
      <c r="AL615" s="320"/>
      <c r="AM615" s="320"/>
      <c r="AN615" s="1523">
        <f t="shared" si="78"/>
        <v>0</v>
      </c>
      <c r="AO615" s="320"/>
      <c r="AP615" s="320"/>
      <c r="AQ615" s="1521"/>
      <c r="AR615" s="1521"/>
      <c r="AS615" s="1521"/>
      <c r="AT615" s="1521"/>
      <c r="AU615" s="1521"/>
      <c r="AV615" s="1521"/>
      <c r="AW615" s="320"/>
      <c r="AX615" s="161"/>
      <c r="AY615" s="1540"/>
      <c r="AZ615" s="1560"/>
      <c r="BA615" s="1560"/>
      <c r="BB615" s="1560"/>
    </row>
    <row r="616" spans="1:56" ht="31" outlineLevel="1" x14ac:dyDescent="0.25">
      <c r="A616" s="1492"/>
      <c r="B616" s="1492" t="s">
        <v>2205</v>
      </c>
      <c r="C616" s="1492" t="s">
        <v>936</v>
      </c>
      <c r="D616" s="1488"/>
      <c r="E616" s="1495"/>
      <c r="F616" s="1413"/>
      <c r="G616" s="618"/>
      <c r="H616" s="1420">
        <v>25</v>
      </c>
      <c r="I616" s="161"/>
      <c r="J616" s="161"/>
      <c r="K616" s="1413"/>
      <c r="L616" s="1414"/>
      <c r="M616" s="1414"/>
      <c r="N616" s="1414"/>
      <c r="O616" s="1551" t="s">
        <v>2412</v>
      </c>
      <c r="P616" s="1521"/>
      <c r="Q616" s="320"/>
      <c r="R616" s="320"/>
      <c r="S616" s="320"/>
      <c r="T616" s="320">
        <f t="shared" si="77"/>
        <v>0</v>
      </c>
      <c r="U616" s="320"/>
      <c r="V616" s="320"/>
      <c r="W616" s="1521"/>
      <c r="X616" s="1521">
        <v>25</v>
      </c>
      <c r="Y616" s="1521"/>
      <c r="Z616" s="1521"/>
      <c r="AA616" s="1521"/>
      <c r="AB616" s="1521"/>
      <c r="AC616" s="1521"/>
      <c r="AD616" s="1521"/>
      <c r="AE616" s="1521"/>
      <c r="AF616" s="1521"/>
      <c r="AG616" s="1521"/>
      <c r="AH616" s="1521"/>
      <c r="AI616" s="1521"/>
      <c r="AJ616" s="320"/>
      <c r="AK616" s="320"/>
      <c r="AL616" s="320"/>
      <c r="AM616" s="320"/>
      <c r="AN616" s="1523">
        <f t="shared" si="78"/>
        <v>0</v>
      </c>
      <c r="AO616" s="320"/>
      <c r="AP616" s="320"/>
      <c r="AQ616" s="1521"/>
      <c r="AR616" s="1521">
        <v>25</v>
      </c>
      <c r="AS616" s="1521"/>
      <c r="AT616" s="1521"/>
      <c r="AU616" s="1521"/>
      <c r="AV616" s="1521"/>
      <c r="AW616" s="320"/>
      <c r="AX616" s="161"/>
      <c r="AY616" s="1540"/>
      <c r="AZ616" s="1560"/>
      <c r="BA616" s="1560"/>
      <c r="BB616" s="1560"/>
      <c r="BC616" s="96" t="s">
        <v>256</v>
      </c>
      <c r="BD616" s="96" t="s">
        <v>1931</v>
      </c>
    </row>
    <row r="617" spans="1:56" ht="15.5" outlineLevel="1" x14ac:dyDescent="0.25">
      <c r="A617" s="1486">
        <v>15</v>
      </c>
      <c r="B617" s="1491" t="s">
        <v>2206</v>
      </c>
      <c r="C617" s="1486" t="s">
        <v>928</v>
      </c>
      <c r="D617" s="1488"/>
      <c r="E617" s="1495"/>
      <c r="F617" s="1413"/>
      <c r="G617" s="618"/>
      <c r="H617" s="1610">
        <f>H618+H619+H620</f>
        <v>278.5</v>
      </c>
      <c r="I617" s="161"/>
      <c r="J617" s="161"/>
      <c r="K617" s="1413"/>
      <c r="L617" s="1414"/>
      <c r="M617" s="1414"/>
      <c r="N617" s="1414"/>
      <c r="O617" s="1551"/>
      <c r="P617" s="1521"/>
      <c r="Q617" s="320"/>
      <c r="R617" s="320"/>
      <c r="S617" s="320"/>
      <c r="T617" s="320">
        <f t="shared" si="77"/>
        <v>0</v>
      </c>
      <c r="U617" s="320"/>
      <c r="V617" s="320"/>
      <c r="W617" s="1521"/>
      <c r="X617" s="1521"/>
      <c r="Y617" s="1521"/>
      <c r="Z617" s="1521"/>
      <c r="AA617" s="1521"/>
      <c r="AB617" s="1521"/>
      <c r="AC617" s="1521"/>
      <c r="AD617" s="1521"/>
      <c r="AE617" s="1521"/>
      <c r="AF617" s="1521"/>
      <c r="AG617" s="1521"/>
      <c r="AH617" s="1521"/>
      <c r="AI617" s="1521"/>
      <c r="AJ617" s="320"/>
      <c r="AK617" s="320"/>
      <c r="AL617" s="320"/>
      <c r="AM617" s="320"/>
      <c r="AN617" s="1523">
        <f t="shared" si="78"/>
        <v>0</v>
      </c>
      <c r="AO617" s="320"/>
      <c r="AP617" s="320"/>
      <c r="AQ617" s="1521"/>
      <c r="AR617" s="1521"/>
      <c r="AS617" s="1521"/>
      <c r="AT617" s="1521"/>
      <c r="AU617" s="1521"/>
      <c r="AV617" s="1521"/>
      <c r="AW617" s="320"/>
      <c r="AX617" s="161"/>
      <c r="AY617" s="1540"/>
      <c r="AZ617" s="1560"/>
      <c r="BA617" s="1560"/>
      <c r="BB617" s="1560"/>
    </row>
    <row r="618" spans="1:56" ht="46.5" outlineLevel="1" x14ac:dyDescent="0.25">
      <c r="A618" s="1492"/>
      <c r="B618" s="1492" t="s">
        <v>2207</v>
      </c>
      <c r="C618" s="1492" t="s">
        <v>936</v>
      </c>
      <c r="D618" s="1488"/>
      <c r="E618" s="1495"/>
      <c r="F618" s="1413"/>
      <c r="G618" s="618"/>
      <c r="H618" s="1420">
        <v>268</v>
      </c>
      <c r="I618" s="161"/>
      <c r="J618" s="161"/>
      <c r="K618" s="1413"/>
      <c r="L618" s="1414"/>
      <c r="M618" s="1414"/>
      <c r="N618" s="1414"/>
      <c r="O618" s="1551" t="s">
        <v>2413</v>
      </c>
      <c r="P618" s="1521"/>
      <c r="Q618" s="320"/>
      <c r="R618" s="320"/>
      <c r="S618" s="320"/>
      <c r="T618" s="320">
        <f t="shared" si="77"/>
        <v>0</v>
      </c>
      <c r="U618" s="320"/>
      <c r="V618" s="320"/>
      <c r="W618" s="1521"/>
      <c r="X618" s="1521">
        <v>200</v>
      </c>
      <c r="Y618" s="1521">
        <v>68</v>
      </c>
      <c r="Z618" s="1521"/>
      <c r="AA618" s="1521"/>
      <c r="AB618" s="1521"/>
      <c r="AC618" s="1521"/>
      <c r="AD618" s="1521"/>
      <c r="AE618" s="1521"/>
      <c r="AF618" s="1521"/>
      <c r="AG618" s="1521"/>
      <c r="AH618" s="1521"/>
      <c r="AI618" s="1521"/>
      <c r="AJ618" s="320"/>
      <c r="AK618" s="320"/>
      <c r="AL618" s="320"/>
      <c r="AM618" s="320"/>
      <c r="AN618" s="1523">
        <f t="shared" si="78"/>
        <v>0</v>
      </c>
      <c r="AO618" s="320"/>
      <c r="AP618" s="320"/>
      <c r="AQ618" s="1521"/>
      <c r="AR618" s="1521">
        <v>200</v>
      </c>
      <c r="AS618" s="1521">
        <v>68</v>
      </c>
      <c r="AT618" s="1521"/>
      <c r="AU618" s="1521"/>
      <c r="AV618" s="1521"/>
      <c r="AW618" s="320"/>
      <c r="AX618" s="161"/>
      <c r="AY618" s="1540"/>
      <c r="AZ618" s="1560"/>
      <c r="BA618" s="1560"/>
      <c r="BB618" s="1560"/>
      <c r="BC618" s="96" t="s">
        <v>846</v>
      </c>
      <c r="BD618" s="96" t="s">
        <v>1931</v>
      </c>
    </row>
    <row r="619" spans="1:56" ht="46.5" outlineLevel="1" x14ac:dyDescent="0.25">
      <c r="A619" s="1492"/>
      <c r="B619" s="1492" t="s">
        <v>2208</v>
      </c>
      <c r="C619" s="1492" t="s">
        <v>936</v>
      </c>
      <c r="D619" s="1488"/>
      <c r="E619" s="1495"/>
      <c r="F619" s="1413"/>
      <c r="G619" s="618"/>
      <c r="H619" s="1420">
        <v>10</v>
      </c>
      <c r="I619" s="161"/>
      <c r="J619" s="161"/>
      <c r="K619" s="1413"/>
      <c r="L619" s="1414"/>
      <c r="M619" s="1414"/>
      <c r="N619" s="1414"/>
      <c r="O619" s="1551" t="s">
        <v>2413</v>
      </c>
      <c r="P619" s="1521"/>
      <c r="Q619" s="320"/>
      <c r="R619" s="320"/>
      <c r="S619" s="320"/>
      <c r="T619" s="320">
        <f t="shared" si="77"/>
        <v>0</v>
      </c>
      <c r="U619" s="320"/>
      <c r="V619" s="320"/>
      <c r="W619" s="1521"/>
      <c r="X619" s="1521">
        <v>10</v>
      </c>
      <c r="Y619" s="1521"/>
      <c r="Z619" s="1521"/>
      <c r="AA619" s="1521"/>
      <c r="AB619" s="1521"/>
      <c r="AC619" s="1521"/>
      <c r="AD619" s="1521"/>
      <c r="AE619" s="1521"/>
      <c r="AF619" s="1521"/>
      <c r="AG619" s="1521"/>
      <c r="AH619" s="1521"/>
      <c r="AI619" s="1521"/>
      <c r="AJ619" s="320"/>
      <c r="AK619" s="320"/>
      <c r="AL619" s="320"/>
      <c r="AM619" s="320"/>
      <c r="AN619" s="1523">
        <f t="shared" si="78"/>
        <v>0</v>
      </c>
      <c r="AO619" s="320"/>
      <c r="AP619" s="320"/>
      <c r="AQ619" s="1521"/>
      <c r="AR619" s="1521">
        <v>10</v>
      </c>
      <c r="AS619" s="1521"/>
      <c r="AT619" s="1521"/>
      <c r="AU619" s="1521"/>
      <c r="AV619" s="1521"/>
      <c r="AW619" s="320"/>
      <c r="AX619" s="161"/>
      <c r="AY619" s="1540"/>
      <c r="AZ619" s="1560"/>
      <c r="BA619" s="1560"/>
      <c r="BB619" s="1560"/>
      <c r="BC619" s="96" t="s">
        <v>846</v>
      </c>
      <c r="BD619" s="96" t="s">
        <v>1931</v>
      </c>
    </row>
    <row r="620" spans="1:56" ht="62" outlineLevel="1" x14ac:dyDescent="0.25">
      <c r="A620" s="1492"/>
      <c r="B620" s="1492" t="s">
        <v>2209</v>
      </c>
      <c r="C620" s="1492" t="s">
        <v>936</v>
      </c>
      <c r="D620" s="1488"/>
      <c r="E620" s="1495"/>
      <c r="F620" s="1413"/>
      <c r="G620" s="618"/>
      <c r="H620" s="1420">
        <v>0.5</v>
      </c>
      <c r="I620" s="161"/>
      <c r="J620" s="161"/>
      <c r="K620" s="1413"/>
      <c r="L620" s="1414"/>
      <c r="M620" s="1414"/>
      <c r="N620" s="1414"/>
      <c r="O620" s="1551" t="s">
        <v>2413</v>
      </c>
      <c r="P620" s="1521"/>
      <c r="Q620" s="320"/>
      <c r="R620" s="320"/>
      <c r="S620" s="320"/>
      <c r="T620" s="320">
        <f t="shared" si="77"/>
        <v>0</v>
      </c>
      <c r="U620" s="320"/>
      <c r="V620" s="320"/>
      <c r="W620" s="1521"/>
      <c r="X620" s="1521">
        <v>0.5</v>
      </c>
      <c r="Y620" s="1521"/>
      <c r="Z620" s="1521"/>
      <c r="AA620" s="1521"/>
      <c r="AB620" s="1521"/>
      <c r="AC620" s="1521"/>
      <c r="AD620" s="1521"/>
      <c r="AE620" s="1521"/>
      <c r="AF620" s="1521"/>
      <c r="AG620" s="1521"/>
      <c r="AH620" s="1521"/>
      <c r="AI620" s="1521"/>
      <c r="AJ620" s="320"/>
      <c r="AK620" s="320"/>
      <c r="AL620" s="320"/>
      <c r="AM620" s="320"/>
      <c r="AN620" s="1523">
        <f t="shared" si="78"/>
        <v>0</v>
      </c>
      <c r="AO620" s="320"/>
      <c r="AP620" s="320"/>
      <c r="AQ620" s="1521"/>
      <c r="AR620" s="1521">
        <v>0.5</v>
      </c>
      <c r="AS620" s="1521"/>
      <c r="AT620" s="1521"/>
      <c r="AU620" s="1521"/>
      <c r="AV620" s="1521"/>
      <c r="AW620" s="320"/>
      <c r="AX620" s="161"/>
      <c r="AY620" s="1540"/>
      <c r="AZ620" s="1560"/>
      <c r="BA620" s="1560"/>
      <c r="BB620" s="1560"/>
      <c r="BC620" s="96" t="s">
        <v>846</v>
      </c>
      <c r="BD620" s="96" t="s">
        <v>1931</v>
      </c>
    </row>
    <row r="621" spans="1:56" ht="31" outlineLevel="1" x14ac:dyDescent="0.25">
      <c r="A621" s="1486">
        <v>16</v>
      </c>
      <c r="B621" s="1491" t="s">
        <v>2210</v>
      </c>
      <c r="C621" s="1486" t="s">
        <v>928</v>
      </c>
      <c r="D621" s="1488"/>
      <c r="E621" s="1495"/>
      <c r="F621" s="1413"/>
      <c r="G621" s="618"/>
      <c r="H621" s="1610">
        <v>25</v>
      </c>
      <c r="I621" s="161"/>
      <c r="J621" s="161"/>
      <c r="K621" s="1413"/>
      <c r="L621" s="1414"/>
      <c r="M621" s="1414"/>
      <c r="N621" s="1414"/>
      <c r="O621" s="1551"/>
      <c r="P621" s="1521"/>
      <c r="Q621" s="320"/>
      <c r="R621" s="320"/>
      <c r="S621" s="320"/>
      <c r="T621" s="320">
        <f t="shared" si="77"/>
        <v>0</v>
      </c>
      <c r="U621" s="320"/>
      <c r="V621" s="320"/>
      <c r="W621" s="1521"/>
      <c r="X621" s="1521"/>
      <c r="Y621" s="1521"/>
      <c r="Z621" s="1521"/>
      <c r="AA621" s="1521"/>
      <c r="AB621" s="1521"/>
      <c r="AC621" s="1521"/>
      <c r="AD621" s="1521"/>
      <c r="AE621" s="1521"/>
      <c r="AF621" s="1521"/>
      <c r="AG621" s="1521"/>
      <c r="AH621" s="1521"/>
      <c r="AI621" s="1521"/>
      <c r="AJ621" s="320"/>
      <c r="AK621" s="320"/>
      <c r="AL621" s="320"/>
      <c r="AM621" s="320"/>
      <c r="AN621" s="1523">
        <f t="shared" si="78"/>
        <v>0</v>
      </c>
      <c r="AO621" s="320"/>
      <c r="AP621" s="320"/>
      <c r="AQ621" s="1521"/>
      <c r="AR621" s="1521"/>
      <c r="AS621" s="1521"/>
      <c r="AT621" s="1521"/>
      <c r="AU621" s="1521"/>
      <c r="AV621" s="1521"/>
      <c r="AW621" s="320"/>
      <c r="AX621" s="161"/>
      <c r="AY621" s="1540"/>
      <c r="AZ621" s="1560"/>
      <c r="BA621" s="1560"/>
      <c r="BB621" s="1560"/>
    </row>
    <row r="622" spans="1:56" ht="31" outlineLevel="1" x14ac:dyDescent="0.25">
      <c r="A622" s="1492"/>
      <c r="B622" s="1492" t="s">
        <v>2210</v>
      </c>
      <c r="C622" s="1492" t="s">
        <v>936</v>
      </c>
      <c r="D622" s="1488"/>
      <c r="E622" s="1495"/>
      <c r="F622" s="1413"/>
      <c r="G622" s="618"/>
      <c r="H622" s="1420">
        <v>25</v>
      </c>
      <c r="I622" s="161"/>
      <c r="J622" s="161"/>
      <c r="K622" s="1413"/>
      <c r="L622" s="1414"/>
      <c r="M622" s="1414"/>
      <c r="N622" s="1414"/>
      <c r="O622" s="1551" t="s">
        <v>2414</v>
      </c>
      <c r="P622" s="1521"/>
      <c r="Q622" s="320"/>
      <c r="R622" s="320"/>
      <c r="S622" s="320"/>
      <c r="T622" s="320">
        <f t="shared" si="77"/>
        <v>0</v>
      </c>
      <c r="U622" s="320"/>
      <c r="V622" s="320"/>
      <c r="W622" s="1521"/>
      <c r="X622" s="1521"/>
      <c r="Y622" s="1521">
        <v>12.5</v>
      </c>
      <c r="Z622" s="1521">
        <v>12.5</v>
      </c>
      <c r="AA622" s="1521"/>
      <c r="AB622" s="1521"/>
      <c r="AC622" s="1521"/>
      <c r="AD622" s="1521"/>
      <c r="AE622" s="1521"/>
      <c r="AF622" s="1521"/>
      <c r="AG622" s="1521"/>
      <c r="AH622" s="1521"/>
      <c r="AI622" s="1521"/>
      <c r="AJ622" s="320"/>
      <c r="AK622" s="320"/>
      <c r="AL622" s="320"/>
      <c r="AM622" s="320"/>
      <c r="AN622" s="1523">
        <f t="shared" si="78"/>
        <v>0</v>
      </c>
      <c r="AO622" s="320"/>
      <c r="AP622" s="320"/>
      <c r="AQ622" s="1521"/>
      <c r="AR622" s="1521"/>
      <c r="AS622" s="1521">
        <v>12.5</v>
      </c>
      <c r="AT622" s="1521">
        <v>12.5</v>
      </c>
      <c r="AU622" s="1521"/>
      <c r="AV622" s="1521"/>
      <c r="AW622" s="320"/>
      <c r="AX622" s="161"/>
      <c r="AY622" s="1540"/>
      <c r="AZ622" s="1560"/>
      <c r="BA622" s="1560"/>
      <c r="BB622" s="1560"/>
      <c r="BC622" s="96" t="s">
        <v>256</v>
      </c>
      <c r="BD622" s="96" t="s">
        <v>1931</v>
      </c>
    </row>
    <row r="623" spans="1:56" ht="62" outlineLevel="1" x14ac:dyDescent="0.25">
      <c r="A623" s="1486">
        <v>17</v>
      </c>
      <c r="B623" s="1491" t="s">
        <v>2211</v>
      </c>
      <c r="C623" s="1486" t="s">
        <v>928</v>
      </c>
      <c r="D623" s="1488"/>
      <c r="E623" s="1495"/>
      <c r="F623" s="1413"/>
      <c r="G623" s="618"/>
      <c r="H623" s="1610">
        <v>27.6</v>
      </c>
      <c r="I623" s="161"/>
      <c r="J623" s="161"/>
      <c r="K623" s="1413"/>
      <c r="L623" s="1414"/>
      <c r="M623" s="1414"/>
      <c r="N623" s="1414"/>
      <c r="O623" s="1551"/>
      <c r="P623" s="1521"/>
      <c r="Q623" s="320"/>
      <c r="R623" s="320"/>
      <c r="S623" s="320"/>
      <c r="T623" s="320">
        <f t="shared" si="77"/>
        <v>0</v>
      </c>
      <c r="U623" s="320"/>
      <c r="V623" s="320"/>
      <c r="W623" s="1521"/>
      <c r="X623" s="1521"/>
      <c r="Y623" s="1521"/>
      <c r="Z623" s="1521"/>
      <c r="AA623" s="1521"/>
      <c r="AB623" s="1521"/>
      <c r="AC623" s="1521"/>
      <c r="AD623" s="1521"/>
      <c r="AE623" s="1521"/>
      <c r="AF623" s="1521"/>
      <c r="AG623" s="1521"/>
      <c r="AH623" s="1521"/>
      <c r="AI623" s="1521"/>
      <c r="AJ623" s="320"/>
      <c r="AK623" s="320"/>
      <c r="AL623" s="320"/>
      <c r="AM623" s="320"/>
      <c r="AN623" s="1523">
        <f t="shared" si="78"/>
        <v>0</v>
      </c>
      <c r="AO623" s="320"/>
      <c r="AP623" s="320"/>
      <c r="AQ623" s="1521"/>
      <c r="AR623" s="1521"/>
      <c r="AS623" s="1521"/>
      <c r="AT623" s="1521"/>
      <c r="AU623" s="1521"/>
      <c r="AV623" s="1521"/>
      <c r="AW623" s="320"/>
      <c r="AX623" s="161"/>
      <c r="AY623" s="1540"/>
      <c r="AZ623" s="1560"/>
      <c r="BA623" s="1560"/>
      <c r="BB623" s="1560"/>
    </row>
    <row r="624" spans="1:56" ht="77.5" outlineLevel="1" x14ac:dyDescent="0.25">
      <c r="A624" s="1492"/>
      <c r="B624" s="1492" t="s">
        <v>2212</v>
      </c>
      <c r="C624" s="1492" t="s">
        <v>936</v>
      </c>
      <c r="D624" s="1488"/>
      <c r="E624" s="1495"/>
      <c r="F624" s="1413"/>
      <c r="G624" s="618"/>
      <c r="H624" s="1420">
        <v>8.9</v>
      </c>
      <c r="I624" s="161"/>
      <c r="J624" s="161"/>
      <c r="K624" s="1413"/>
      <c r="L624" s="1414"/>
      <c r="M624" s="1414"/>
      <c r="N624" s="1414"/>
      <c r="O624" s="1551" t="s">
        <v>2415</v>
      </c>
      <c r="P624" s="1521"/>
      <c r="Q624" s="320"/>
      <c r="R624" s="320"/>
      <c r="S624" s="320"/>
      <c r="T624" s="320">
        <f t="shared" si="77"/>
        <v>0</v>
      </c>
      <c r="U624" s="320"/>
      <c r="V624" s="320"/>
      <c r="W624" s="1521"/>
      <c r="X624" s="1521"/>
      <c r="Y624" s="1521">
        <f>H624</f>
        <v>8.9</v>
      </c>
      <c r="Z624" s="1521"/>
      <c r="AA624" s="1521"/>
      <c r="AB624" s="1521"/>
      <c r="AC624" s="1521"/>
      <c r="AD624" s="1521"/>
      <c r="AE624" s="1521"/>
      <c r="AF624" s="1521"/>
      <c r="AG624" s="1521"/>
      <c r="AH624" s="1521"/>
      <c r="AI624" s="1521"/>
      <c r="AJ624" s="320"/>
      <c r="AK624" s="320"/>
      <c r="AL624" s="320"/>
      <c r="AM624" s="320"/>
      <c r="AN624" s="1523">
        <f t="shared" si="78"/>
        <v>0</v>
      </c>
      <c r="AO624" s="320"/>
      <c r="AP624" s="320"/>
      <c r="AQ624" s="1521"/>
      <c r="AR624" s="1521"/>
      <c r="AS624" s="1521">
        <v>8.9</v>
      </c>
      <c r="AT624" s="1521"/>
      <c r="AU624" s="1521"/>
      <c r="AV624" s="1521"/>
      <c r="AW624" s="320"/>
      <c r="AX624" s="161"/>
      <c r="AY624" s="1540"/>
      <c r="AZ624" s="1560"/>
      <c r="BA624" s="1560"/>
      <c r="BB624" s="1560"/>
      <c r="BC624" s="96" t="s">
        <v>256</v>
      </c>
      <c r="BD624" s="96" t="s">
        <v>1931</v>
      </c>
    </row>
    <row r="625" spans="1:56" ht="62" outlineLevel="1" x14ac:dyDescent="0.25">
      <c r="A625" s="1492"/>
      <c r="B625" s="1492" t="s">
        <v>2213</v>
      </c>
      <c r="C625" s="1492" t="s">
        <v>936</v>
      </c>
      <c r="D625" s="1488"/>
      <c r="E625" s="1495"/>
      <c r="F625" s="1413"/>
      <c r="G625" s="618"/>
      <c r="H625" s="1420">
        <v>10.82</v>
      </c>
      <c r="I625" s="161"/>
      <c r="J625" s="161"/>
      <c r="K625" s="1413"/>
      <c r="L625" s="1414"/>
      <c r="M625" s="1414"/>
      <c r="N625" s="1414"/>
      <c r="O625" s="1551" t="s">
        <v>2415</v>
      </c>
      <c r="P625" s="1521"/>
      <c r="Q625" s="320"/>
      <c r="R625" s="320"/>
      <c r="S625" s="320"/>
      <c r="T625" s="320">
        <f t="shared" si="77"/>
        <v>0</v>
      </c>
      <c r="U625" s="320"/>
      <c r="V625" s="320"/>
      <c r="W625" s="1521"/>
      <c r="X625" s="1521"/>
      <c r="Y625" s="1521">
        <f t="shared" ref="Y625:Y626" si="81">H625</f>
        <v>10.82</v>
      </c>
      <c r="Z625" s="1521"/>
      <c r="AA625" s="1521"/>
      <c r="AB625" s="1521"/>
      <c r="AC625" s="1521"/>
      <c r="AD625" s="1521"/>
      <c r="AE625" s="1521"/>
      <c r="AF625" s="1521"/>
      <c r="AG625" s="1521"/>
      <c r="AH625" s="1521"/>
      <c r="AI625" s="1521"/>
      <c r="AJ625" s="320"/>
      <c r="AK625" s="320"/>
      <c r="AL625" s="320"/>
      <c r="AM625" s="320"/>
      <c r="AN625" s="1523">
        <f t="shared" si="78"/>
        <v>0</v>
      </c>
      <c r="AO625" s="320"/>
      <c r="AP625" s="320"/>
      <c r="AQ625" s="1521"/>
      <c r="AR625" s="1521"/>
      <c r="AS625" s="1521">
        <v>10.82</v>
      </c>
      <c r="AT625" s="1521"/>
      <c r="AU625" s="1521"/>
      <c r="AV625" s="1521"/>
      <c r="AW625" s="320"/>
      <c r="AX625" s="161"/>
      <c r="AY625" s="1540"/>
      <c r="AZ625" s="1560"/>
      <c r="BA625" s="1560"/>
      <c r="BB625" s="1560"/>
      <c r="BC625" s="96" t="s">
        <v>256</v>
      </c>
      <c r="BD625" s="96" t="s">
        <v>1931</v>
      </c>
    </row>
    <row r="626" spans="1:56" ht="77.5" outlineLevel="1" x14ac:dyDescent="0.25">
      <c r="A626" s="1492"/>
      <c r="B626" s="1492" t="s">
        <v>2214</v>
      </c>
      <c r="C626" s="1492" t="s">
        <v>936</v>
      </c>
      <c r="D626" s="1488"/>
      <c r="E626" s="1495"/>
      <c r="F626" s="1413"/>
      <c r="G626" s="618"/>
      <c r="H626" s="1420">
        <v>7.88</v>
      </c>
      <c r="I626" s="161"/>
      <c r="J626" s="161"/>
      <c r="K626" s="1413"/>
      <c r="L626" s="1414"/>
      <c r="M626" s="1414"/>
      <c r="N626" s="1414"/>
      <c r="O626" s="1551" t="s">
        <v>2415</v>
      </c>
      <c r="P626" s="1521"/>
      <c r="Q626" s="320"/>
      <c r="R626" s="320"/>
      <c r="S626" s="320"/>
      <c r="T626" s="320">
        <f t="shared" si="77"/>
        <v>0</v>
      </c>
      <c r="U626" s="320"/>
      <c r="V626" s="320"/>
      <c r="W626" s="1521"/>
      <c r="X626" s="1521"/>
      <c r="Y626" s="1521">
        <f t="shared" si="81"/>
        <v>7.88</v>
      </c>
      <c r="Z626" s="1521"/>
      <c r="AA626" s="1521"/>
      <c r="AB626" s="1521"/>
      <c r="AC626" s="1521"/>
      <c r="AD626" s="1521"/>
      <c r="AE626" s="1521"/>
      <c r="AF626" s="1521"/>
      <c r="AG626" s="1521"/>
      <c r="AH626" s="1521"/>
      <c r="AI626" s="1521"/>
      <c r="AJ626" s="320"/>
      <c r="AK626" s="320"/>
      <c r="AL626" s="320"/>
      <c r="AM626" s="320"/>
      <c r="AN626" s="1523">
        <f t="shared" si="78"/>
        <v>0</v>
      </c>
      <c r="AO626" s="320"/>
      <c r="AP626" s="320"/>
      <c r="AQ626" s="1521"/>
      <c r="AR626" s="1521"/>
      <c r="AS626" s="1521">
        <v>7.88</v>
      </c>
      <c r="AT626" s="1521"/>
      <c r="AU626" s="1521"/>
      <c r="AV626" s="1521"/>
      <c r="AW626" s="320"/>
      <c r="AX626" s="161"/>
      <c r="AY626" s="1540"/>
      <c r="AZ626" s="1560"/>
      <c r="BA626" s="1560"/>
      <c r="BB626" s="1560"/>
      <c r="BC626" s="96" t="s">
        <v>256</v>
      </c>
      <c r="BD626" s="96" t="s">
        <v>1931</v>
      </c>
    </row>
    <row r="627" spans="1:56" ht="15.5" outlineLevel="1" x14ac:dyDescent="0.25">
      <c r="A627" s="1486">
        <v>18</v>
      </c>
      <c r="B627" s="1491" t="s">
        <v>2215</v>
      </c>
      <c r="C627" s="1486" t="s">
        <v>928</v>
      </c>
      <c r="D627" s="1488"/>
      <c r="E627" s="1495"/>
      <c r="F627" s="1413"/>
      <c r="G627" s="618"/>
      <c r="H627" s="1610">
        <v>120</v>
      </c>
      <c r="I627" s="161"/>
      <c r="J627" s="161"/>
      <c r="K627" s="1413"/>
      <c r="L627" s="1414"/>
      <c r="M627" s="1414"/>
      <c r="N627" s="1414"/>
      <c r="O627" s="1551"/>
      <c r="P627" s="1521"/>
      <c r="Q627" s="320"/>
      <c r="R627" s="320"/>
      <c r="S627" s="320"/>
      <c r="T627" s="320">
        <f t="shared" si="77"/>
        <v>0</v>
      </c>
      <c r="U627" s="320"/>
      <c r="V627" s="320"/>
      <c r="W627" s="1521"/>
      <c r="X627" s="1521"/>
      <c r="Y627" s="1521"/>
      <c r="Z627" s="1521"/>
      <c r="AA627" s="1521"/>
      <c r="AB627" s="1521"/>
      <c r="AC627" s="1521"/>
      <c r="AD627" s="1521"/>
      <c r="AE627" s="1521"/>
      <c r="AF627" s="1521"/>
      <c r="AG627" s="1521"/>
      <c r="AH627" s="1521"/>
      <c r="AI627" s="1521"/>
      <c r="AJ627" s="320"/>
      <c r="AK627" s="320"/>
      <c r="AL627" s="320"/>
      <c r="AM627" s="320"/>
      <c r="AN627" s="1523">
        <f t="shared" si="78"/>
        <v>0</v>
      </c>
      <c r="AO627" s="320"/>
      <c r="AP627" s="320"/>
      <c r="AQ627" s="1521"/>
      <c r="AR627" s="1521"/>
      <c r="AS627" s="1521"/>
      <c r="AT627" s="1521"/>
      <c r="AU627" s="1521"/>
      <c r="AV627" s="1521"/>
      <c r="AW627" s="320"/>
      <c r="AX627" s="161"/>
      <c r="AY627" s="1540"/>
      <c r="AZ627" s="1560"/>
      <c r="BA627" s="1560"/>
      <c r="BB627" s="1560"/>
    </row>
    <row r="628" spans="1:56" ht="31" outlineLevel="1" x14ac:dyDescent="0.25">
      <c r="A628" s="1492"/>
      <c r="B628" s="1492" t="s">
        <v>2215</v>
      </c>
      <c r="C628" s="1492" t="s">
        <v>936</v>
      </c>
      <c r="D628" s="1488"/>
      <c r="E628" s="1495"/>
      <c r="F628" s="1413"/>
      <c r="G628" s="618"/>
      <c r="H628" s="1420">
        <v>120</v>
      </c>
      <c r="I628" s="161"/>
      <c r="J628" s="161"/>
      <c r="K628" s="1413"/>
      <c r="L628" s="1414"/>
      <c r="M628" s="1414"/>
      <c r="N628" s="1414"/>
      <c r="O628" s="1551" t="s">
        <v>2416</v>
      </c>
      <c r="P628" s="1521"/>
      <c r="Q628" s="320"/>
      <c r="R628" s="320"/>
      <c r="S628" s="320"/>
      <c r="T628" s="320">
        <f t="shared" si="77"/>
        <v>0</v>
      </c>
      <c r="U628" s="320"/>
      <c r="V628" s="320"/>
      <c r="W628" s="1521"/>
      <c r="X628" s="1521"/>
      <c r="Y628" s="1521"/>
      <c r="Z628" s="1521">
        <v>60</v>
      </c>
      <c r="AA628" s="1521">
        <v>60</v>
      </c>
      <c r="AB628" s="1521"/>
      <c r="AC628" s="1521"/>
      <c r="AD628" s="1521"/>
      <c r="AE628" s="1521"/>
      <c r="AF628" s="1521"/>
      <c r="AG628" s="1521"/>
      <c r="AH628" s="1521"/>
      <c r="AI628" s="1521"/>
      <c r="AJ628" s="320"/>
      <c r="AK628" s="320"/>
      <c r="AL628" s="320"/>
      <c r="AM628" s="320"/>
      <c r="AN628" s="1523">
        <f t="shared" si="78"/>
        <v>0</v>
      </c>
      <c r="AO628" s="320"/>
      <c r="AP628" s="320"/>
      <c r="AQ628" s="1521"/>
      <c r="AR628" s="1521"/>
      <c r="AS628" s="1521"/>
      <c r="AT628" s="1521">
        <v>60</v>
      </c>
      <c r="AU628" s="1521">
        <v>60</v>
      </c>
      <c r="AV628" s="1521"/>
      <c r="AW628" s="320"/>
      <c r="AX628" s="161"/>
      <c r="AY628" s="1540"/>
      <c r="AZ628" s="1560"/>
      <c r="BA628" s="1560"/>
      <c r="BB628" s="1560"/>
      <c r="BC628" s="96" t="s">
        <v>846</v>
      </c>
      <c r="BD628" s="96" t="s">
        <v>1931</v>
      </c>
    </row>
    <row r="629" spans="1:56" ht="15.5" outlineLevel="1" x14ac:dyDescent="0.25">
      <c r="A629" s="1486">
        <v>19</v>
      </c>
      <c r="B629" s="1491" t="s">
        <v>2216</v>
      </c>
      <c r="C629" s="1486" t="s">
        <v>928</v>
      </c>
      <c r="D629" s="1488"/>
      <c r="E629" s="1495"/>
      <c r="F629" s="1413"/>
      <c r="G629" s="618"/>
      <c r="H629" s="1610">
        <v>100</v>
      </c>
      <c r="I629" s="161"/>
      <c r="J629" s="161"/>
      <c r="K629" s="1413"/>
      <c r="L629" s="1414"/>
      <c r="M629" s="1414"/>
      <c r="N629" s="1414"/>
      <c r="O629" s="1551"/>
      <c r="P629" s="1521"/>
      <c r="Q629" s="320"/>
      <c r="R629" s="320"/>
      <c r="S629" s="320"/>
      <c r="T629" s="320">
        <f t="shared" si="77"/>
        <v>0</v>
      </c>
      <c r="U629" s="320"/>
      <c r="V629" s="320"/>
      <c r="W629" s="1521"/>
      <c r="X629" s="1521"/>
      <c r="Y629" s="1521"/>
      <c r="Z629" s="1521"/>
      <c r="AA629" s="1521"/>
      <c r="AB629" s="1521"/>
      <c r="AC629" s="1521"/>
      <c r="AD629" s="1521"/>
      <c r="AE629" s="1521"/>
      <c r="AF629" s="1521"/>
      <c r="AG629" s="1521"/>
      <c r="AH629" s="1521"/>
      <c r="AI629" s="1521"/>
      <c r="AJ629" s="320"/>
      <c r="AK629" s="320"/>
      <c r="AL629" s="320"/>
      <c r="AM629" s="320"/>
      <c r="AN629" s="1523">
        <f t="shared" si="78"/>
        <v>0</v>
      </c>
      <c r="AO629" s="320"/>
      <c r="AP629" s="320"/>
      <c r="AQ629" s="1521"/>
      <c r="AR629" s="1521"/>
      <c r="AS629" s="1521"/>
      <c r="AT629" s="1521"/>
      <c r="AU629" s="1521"/>
      <c r="AV629" s="1521"/>
      <c r="AW629" s="320"/>
      <c r="AX629" s="161"/>
      <c r="AY629" s="1540"/>
      <c r="AZ629" s="1560"/>
      <c r="BA629" s="1560"/>
      <c r="BB629" s="1560"/>
    </row>
    <row r="630" spans="1:56" ht="31" outlineLevel="1" x14ac:dyDescent="0.25">
      <c r="A630" s="1492"/>
      <c r="B630" s="1492" t="s">
        <v>2216</v>
      </c>
      <c r="C630" s="1492" t="s">
        <v>936</v>
      </c>
      <c r="D630" s="1488"/>
      <c r="E630" s="1495"/>
      <c r="F630" s="1413"/>
      <c r="G630" s="618"/>
      <c r="H630" s="1420">
        <v>100</v>
      </c>
      <c r="I630" s="161"/>
      <c r="J630" s="161"/>
      <c r="K630" s="1413"/>
      <c r="L630" s="1414"/>
      <c r="M630" s="1414"/>
      <c r="N630" s="1414"/>
      <c r="O630" s="1551" t="s">
        <v>2417</v>
      </c>
      <c r="P630" s="1521"/>
      <c r="Q630" s="320"/>
      <c r="R630" s="320"/>
      <c r="S630" s="320"/>
      <c r="T630" s="320">
        <f t="shared" si="77"/>
        <v>0</v>
      </c>
      <c r="U630" s="320"/>
      <c r="V630" s="320"/>
      <c r="W630" s="1521"/>
      <c r="X630" s="1521"/>
      <c r="Y630" s="1521"/>
      <c r="Z630" s="1521">
        <v>50</v>
      </c>
      <c r="AA630" s="1521">
        <v>50</v>
      </c>
      <c r="AB630" s="1521"/>
      <c r="AC630" s="1521"/>
      <c r="AD630" s="1521"/>
      <c r="AE630" s="1521"/>
      <c r="AF630" s="1521"/>
      <c r="AG630" s="1521"/>
      <c r="AH630" s="1521"/>
      <c r="AI630" s="1521"/>
      <c r="AJ630" s="320"/>
      <c r="AK630" s="320"/>
      <c r="AL630" s="320"/>
      <c r="AM630" s="320"/>
      <c r="AN630" s="1523">
        <f t="shared" si="78"/>
        <v>0</v>
      </c>
      <c r="AO630" s="320"/>
      <c r="AP630" s="320"/>
      <c r="AQ630" s="1521"/>
      <c r="AR630" s="1521"/>
      <c r="AS630" s="1521"/>
      <c r="AT630" s="1521">
        <v>50</v>
      </c>
      <c r="AU630" s="1521">
        <v>50</v>
      </c>
      <c r="AV630" s="1521"/>
      <c r="AW630" s="320"/>
      <c r="AX630" s="161"/>
      <c r="AY630" s="1540"/>
      <c r="AZ630" s="1560"/>
      <c r="BA630" s="1560"/>
      <c r="BB630" s="1560"/>
      <c r="BC630" s="96" t="s">
        <v>846</v>
      </c>
      <c r="BD630" s="96" t="s">
        <v>1931</v>
      </c>
    </row>
    <row r="631" spans="1:56" ht="15.5" outlineLevel="1" x14ac:dyDescent="0.25">
      <c r="A631" s="1486">
        <v>20</v>
      </c>
      <c r="B631" s="1491" t="s">
        <v>2217</v>
      </c>
      <c r="C631" s="1486" t="s">
        <v>928</v>
      </c>
      <c r="D631" s="1488"/>
      <c r="E631" s="1495"/>
      <c r="F631" s="1413"/>
      <c r="G631" s="618"/>
      <c r="H631" s="1610">
        <v>110</v>
      </c>
      <c r="I631" s="161"/>
      <c r="J631" s="161"/>
      <c r="K631" s="1413"/>
      <c r="L631" s="1414"/>
      <c r="M631" s="1414"/>
      <c r="N631" s="1414"/>
      <c r="O631" s="1551"/>
      <c r="P631" s="1521"/>
      <c r="Q631" s="320"/>
      <c r="R631" s="320"/>
      <c r="S631" s="320"/>
      <c r="T631" s="320">
        <f t="shared" si="77"/>
        <v>0</v>
      </c>
      <c r="U631" s="320"/>
      <c r="V631" s="320"/>
      <c r="W631" s="1521"/>
      <c r="X631" s="1521"/>
      <c r="Y631" s="1521"/>
      <c r="Z631" s="1521"/>
      <c r="AA631" s="1521"/>
      <c r="AB631" s="1521"/>
      <c r="AC631" s="1521"/>
      <c r="AD631" s="1521"/>
      <c r="AE631" s="1521"/>
      <c r="AF631" s="1521"/>
      <c r="AG631" s="1521"/>
      <c r="AH631" s="1521"/>
      <c r="AI631" s="1521"/>
      <c r="AJ631" s="320"/>
      <c r="AK631" s="320"/>
      <c r="AL631" s="320"/>
      <c r="AM631" s="320"/>
      <c r="AN631" s="1523">
        <f t="shared" si="78"/>
        <v>0</v>
      </c>
      <c r="AO631" s="320"/>
      <c r="AP631" s="320"/>
      <c r="AQ631" s="1521"/>
      <c r="AR631" s="1521"/>
      <c r="AS631" s="1521"/>
      <c r="AT631" s="1521"/>
      <c r="AU631" s="1521"/>
      <c r="AV631" s="1521"/>
      <c r="AW631" s="320"/>
      <c r="AX631" s="161"/>
      <c r="AY631" s="1540"/>
      <c r="AZ631" s="1560"/>
      <c r="BA631" s="1560"/>
      <c r="BB631" s="1560"/>
    </row>
    <row r="632" spans="1:56" ht="31" outlineLevel="1" x14ac:dyDescent="0.25">
      <c r="A632" s="1492"/>
      <c r="B632" s="1492" t="s">
        <v>2217</v>
      </c>
      <c r="C632" s="1492" t="s">
        <v>936</v>
      </c>
      <c r="D632" s="1488"/>
      <c r="E632" s="1495"/>
      <c r="F632" s="1413"/>
      <c r="G632" s="618"/>
      <c r="H632" s="1420">
        <v>110</v>
      </c>
      <c r="I632" s="161"/>
      <c r="J632" s="161"/>
      <c r="K632" s="1413"/>
      <c r="L632" s="1414"/>
      <c r="M632" s="1414"/>
      <c r="N632" s="1414"/>
      <c r="O632" s="1551" t="s">
        <v>2418</v>
      </c>
      <c r="P632" s="1521"/>
      <c r="Q632" s="320"/>
      <c r="R632" s="320"/>
      <c r="S632" s="320"/>
      <c r="T632" s="320">
        <f t="shared" si="77"/>
        <v>0</v>
      </c>
      <c r="U632" s="320"/>
      <c r="V632" s="320"/>
      <c r="W632" s="1521"/>
      <c r="X632" s="1521"/>
      <c r="Y632" s="1521"/>
      <c r="Z632" s="1521">
        <v>55</v>
      </c>
      <c r="AA632" s="1521">
        <v>55</v>
      </c>
      <c r="AB632" s="1521"/>
      <c r="AC632" s="1521"/>
      <c r="AD632" s="1521"/>
      <c r="AE632" s="1521"/>
      <c r="AF632" s="1521"/>
      <c r="AG632" s="1521"/>
      <c r="AH632" s="1521"/>
      <c r="AI632" s="1521"/>
      <c r="AJ632" s="320"/>
      <c r="AK632" s="320"/>
      <c r="AL632" s="320"/>
      <c r="AM632" s="320"/>
      <c r="AN632" s="1523">
        <f t="shared" si="78"/>
        <v>0</v>
      </c>
      <c r="AO632" s="320"/>
      <c r="AP632" s="320"/>
      <c r="AQ632" s="1521"/>
      <c r="AR632" s="1521"/>
      <c r="AS632" s="1521"/>
      <c r="AT632" s="1521">
        <v>55</v>
      </c>
      <c r="AU632" s="1521">
        <v>55</v>
      </c>
      <c r="AV632" s="1521"/>
      <c r="AW632" s="320"/>
      <c r="AX632" s="161"/>
      <c r="AY632" s="1540"/>
      <c r="AZ632" s="1560"/>
      <c r="BA632" s="1560"/>
      <c r="BB632" s="1560"/>
      <c r="BC632" s="96" t="s">
        <v>846</v>
      </c>
      <c r="BD632" s="96" t="s">
        <v>1931</v>
      </c>
    </row>
    <row r="633" spans="1:56" ht="15.5" outlineLevel="1" x14ac:dyDescent="0.25">
      <c r="A633" s="1486">
        <v>21</v>
      </c>
      <c r="B633" s="1491" t="s">
        <v>2218</v>
      </c>
      <c r="C633" s="1486" t="s">
        <v>928</v>
      </c>
      <c r="D633" s="1488"/>
      <c r="E633" s="1495"/>
      <c r="F633" s="1413"/>
      <c r="G633" s="618"/>
      <c r="H633" s="1610">
        <v>50</v>
      </c>
      <c r="I633" s="161"/>
      <c r="J633" s="161"/>
      <c r="K633" s="1413"/>
      <c r="L633" s="1414"/>
      <c r="M633" s="1414"/>
      <c r="N633" s="1414"/>
      <c r="O633" s="1551"/>
      <c r="P633" s="1521"/>
      <c r="Q633" s="320"/>
      <c r="R633" s="320"/>
      <c r="S633" s="320"/>
      <c r="T633" s="320">
        <f t="shared" si="77"/>
        <v>0</v>
      </c>
      <c r="U633" s="320"/>
      <c r="V633" s="320"/>
      <c r="W633" s="1521"/>
      <c r="X633" s="1521"/>
      <c r="Y633" s="1521"/>
      <c r="Z633" s="1521"/>
      <c r="AA633" s="1521"/>
      <c r="AB633" s="1521"/>
      <c r="AC633" s="1521"/>
      <c r="AD633" s="1521"/>
      <c r="AE633" s="1521"/>
      <c r="AF633" s="1521"/>
      <c r="AG633" s="1521"/>
      <c r="AH633" s="1521"/>
      <c r="AI633" s="1521"/>
      <c r="AJ633" s="320"/>
      <c r="AK633" s="320"/>
      <c r="AL633" s="320"/>
      <c r="AM633" s="320"/>
      <c r="AN633" s="1523">
        <f t="shared" si="78"/>
        <v>0</v>
      </c>
      <c r="AO633" s="320"/>
      <c r="AP633" s="320"/>
      <c r="AQ633" s="1521"/>
      <c r="AR633" s="1521"/>
      <c r="AS633" s="1521"/>
      <c r="AT633" s="1521"/>
      <c r="AU633" s="1521"/>
      <c r="AV633" s="1521"/>
      <c r="AW633" s="320"/>
      <c r="AX633" s="161"/>
      <c r="AY633" s="1540"/>
      <c r="AZ633" s="1560"/>
      <c r="BA633" s="1560"/>
      <c r="BB633" s="1560"/>
    </row>
    <row r="634" spans="1:56" ht="31" outlineLevel="1" x14ac:dyDescent="0.25">
      <c r="A634" s="1492"/>
      <c r="B634" s="1492" t="s">
        <v>2219</v>
      </c>
      <c r="C634" s="1492" t="s">
        <v>936</v>
      </c>
      <c r="D634" s="1488"/>
      <c r="E634" s="1495"/>
      <c r="F634" s="1413"/>
      <c r="G634" s="618"/>
      <c r="H634" s="1420">
        <v>50</v>
      </c>
      <c r="I634" s="161"/>
      <c r="J634" s="161"/>
      <c r="K634" s="1413"/>
      <c r="L634" s="1414"/>
      <c r="M634" s="1414"/>
      <c r="N634" s="1414"/>
      <c r="O634" s="1551" t="s">
        <v>2419</v>
      </c>
      <c r="P634" s="1521"/>
      <c r="Q634" s="320"/>
      <c r="R634" s="320"/>
      <c r="S634" s="320"/>
      <c r="T634" s="320">
        <f t="shared" si="77"/>
        <v>0</v>
      </c>
      <c r="U634" s="320"/>
      <c r="V634" s="320"/>
      <c r="W634" s="1521"/>
      <c r="X634" s="1521"/>
      <c r="Y634" s="1521"/>
      <c r="Z634" s="1521">
        <v>25</v>
      </c>
      <c r="AA634" s="1521">
        <v>25</v>
      </c>
      <c r="AB634" s="1521"/>
      <c r="AC634" s="1521"/>
      <c r="AD634" s="1521"/>
      <c r="AE634" s="1521"/>
      <c r="AF634" s="1521"/>
      <c r="AG634" s="1521"/>
      <c r="AH634" s="1521"/>
      <c r="AI634" s="1521"/>
      <c r="AJ634" s="320"/>
      <c r="AK634" s="320"/>
      <c r="AL634" s="320"/>
      <c r="AM634" s="320"/>
      <c r="AN634" s="1523">
        <f t="shared" si="78"/>
        <v>0</v>
      </c>
      <c r="AO634" s="320"/>
      <c r="AP634" s="320"/>
      <c r="AQ634" s="1521"/>
      <c r="AR634" s="1521"/>
      <c r="AS634" s="1521"/>
      <c r="AT634" s="1521">
        <v>25</v>
      </c>
      <c r="AU634" s="1521">
        <v>25</v>
      </c>
      <c r="AV634" s="1521"/>
      <c r="AW634" s="320"/>
      <c r="AX634" s="161"/>
      <c r="AY634" s="1540"/>
      <c r="AZ634" s="1560"/>
      <c r="BA634" s="1560"/>
      <c r="BB634" s="1560"/>
      <c r="BC634" s="96" t="s">
        <v>256</v>
      </c>
      <c r="BD634" s="96" t="s">
        <v>1931</v>
      </c>
    </row>
    <row r="635" spans="1:56" ht="15.5" x14ac:dyDescent="0.25">
      <c r="O635" s="494"/>
      <c r="T635" s="1593">
        <f t="shared" si="77"/>
        <v>0</v>
      </c>
      <c r="U635" s="320"/>
      <c r="V635" s="320"/>
      <c r="W635" s="320"/>
      <c r="X635" s="320"/>
      <c r="Y635" s="320"/>
      <c r="Z635" s="320"/>
      <c r="AA635" s="320"/>
      <c r="AB635" s="320"/>
      <c r="AG635" s="1521"/>
      <c r="AH635" s="1521"/>
      <c r="AI635" s="1521"/>
      <c r="AN635" s="1523">
        <f t="shared" si="78"/>
        <v>0</v>
      </c>
      <c r="AO635" s="320"/>
      <c r="AP635" s="320"/>
      <c r="AQ635" s="320"/>
      <c r="AR635" s="320"/>
      <c r="AS635" s="320"/>
      <c r="AT635" s="320"/>
      <c r="AU635" s="320"/>
      <c r="AV635" s="320"/>
      <c r="AW635" s="320"/>
      <c r="AX635" s="161"/>
      <c r="AY635" s="1587"/>
    </row>
    <row r="636" spans="1:56" ht="15.5" x14ac:dyDescent="0.25">
      <c r="A636" s="1488"/>
      <c r="B636" s="1492"/>
      <c r="C636" s="1554"/>
      <c r="D636" s="1488"/>
      <c r="E636" s="1495"/>
      <c r="F636" s="1413"/>
      <c r="G636" s="560"/>
      <c r="H636" s="560"/>
      <c r="I636" s="563"/>
      <c r="J636" s="563"/>
      <c r="K636" s="1413"/>
      <c r="L636" s="1414"/>
      <c r="M636" s="1414"/>
      <c r="N636" s="1414"/>
      <c r="O636" s="1551"/>
      <c r="P636" s="1521"/>
      <c r="Q636" s="320"/>
      <c r="R636" s="320"/>
      <c r="S636" s="320"/>
      <c r="T636" s="320">
        <f t="shared" si="77"/>
        <v>0</v>
      </c>
      <c r="U636" s="320"/>
      <c r="V636" s="320"/>
      <c r="W636" s="320"/>
      <c r="X636" s="320"/>
      <c r="Y636" s="320"/>
      <c r="Z636" s="320"/>
      <c r="AA636" s="320"/>
      <c r="AB636" s="320"/>
      <c r="AC636" s="1521"/>
      <c r="AD636" s="1521"/>
      <c r="AE636" s="1521"/>
      <c r="AF636" s="1521"/>
      <c r="AG636" s="1521"/>
      <c r="AH636" s="1521"/>
      <c r="AI636" s="1521"/>
      <c r="AJ636" s="320"/>
      <c r="AK636" s="320"/>
      <c r="AL636" s="320"/>
      <c r="AM636" s="320"/>
      <c r="AN636" s="1523">
        <f t="shared" si="78"/>
        <v>0</v>
      </c>
      <c r="AO636" s="320"/>
      <c r="AP636" s="320"/>
      <c r="AQ636" s="320"/>
      <c r="AR636" s="320"/>
      <c r="AS636" s="320"/>
      <c r="AT636" s="320"/>
      <c r="AU636" s="320"/>
      <c r="AV636" s="320"/>
      <c r="AW636" s="320"/>
      <c r="AX636" s="161"/>
      <c r="AY636" s="1587"/>
    </row>
    <row r="637" spans="1:56" ht="15.5" x14ac:dyDescent="0.25">
      <c r="A637" s="1505"/>
      <c r="B637" s="1492"/>
      <c r="C637" s="1612"/>
      <c r="D637" s="1505"/>
      <c r="E637" s="1613"/>
      <c r="G637" s="1421"/>
      <c r="H637" s="1421"/>
      <c r="I637" s="1530"/>
      <c r="J637" s="1530"/>
      <c r="O637" s="494"/>
      <c r="P637" s="1614"/>
      <c r="Q637" s="325"/>
      <c r="R637" s="325"/>
      <c r="S637" s="325"/>
      <c r="T637" s="325">
        <f t="shared" si="77"/>
        <v>0</v>
      </c>
      <c r="U637" s="325"/>
      <c r="V637" s="325"/>
      <c r="W637" s="325"/>
      <c r="X637" s="325"/>
      <c r="Y637" s="325"/>
      <c r="Z637" s="325"/>
      <c r="AA637" s="325"/>
      <c r="AB637" s="325"/>
      <c r="AC637" s="1614"/>
      <c r="AD637" s="1614"/>
      <c r="AE637" s="1614"/>
      <c r="AF637" s="1614"/>
      <c r="AG637" s="1614"/>
      <c r="AH637" s="1614"/>
      <c r="AI637" s="1614"/>
      <c r="AJ637" s="325"/>
      <c r="AK637" s="325"/>
      <c r="AL637" s="325"/>
      <c r="AM637" s="325"/>
      <c r="AN637" s="1523">
        <f t="shared" si="78"/>
        <v>0</v>
      </c>
      <c r="AO637" s="325"/>
      <c r="AP637" s="325"/>
      <c r="AQ637" s="325"/>
      <c r="AR637" s="325"/>
      <c r="AS637" s="325"/>
      <c r="AT637" s="325"/>
      <c r="AU637" s="325"/>
      <c r="AV637" s="325"/>
      <c r="AW637" s="325"/>
      <c r="AY637" s="1587"/>
    </row>
    <row r="638" spans="1:56" ht="15.5" x14ac:dyDescent="0.25">
      <c r="B638" s="1389" t="s">
        <v>952</v>
      </c>
      <c r="I638" s="1530"/>
      <c r="J638" s="1530"/>
      <c r="O638" s="494"/>
      <c r="Q638" s="1614"/>
      <c r="R638" s="1614"/>
      <c r="S638" s="1614"/>
      <c r="T638" s="1614">
        <f t="shared" si="77"/>
        <v>0</v>
      </c>
      <c r="U638" s="1614"/>
      <c r="V638" s="1614"/>
      <c r="W638" s="1614"/>
      <c r="X638" s="1614"/>
      <c r="Y638" s="1614"/>
      <c r="Z638" s="1614"/>
      <c r="AA638" s="1614"/>
      <c r="AB638" s="1614"/>
      <c r="AC638" s="1592"/>
      <c r="AD638" s="1592"/>
      <c r="AE638" s="1592"/>
      <c r="AF638" s="1592"/>
      <c r="AG638" s="1592"/>
      <c r="AH638" s="1592"/>
      <c r="AI638" s="1592"/>
      <c r="AJ638" s="325"/>
      <c r="AN638" s="1523">
        <f t="shared" si="78"/>
        <v>0</v>
      </c>
      <c r="AY638" s="1587"/>
    </row>
    <row r="639" spans="1:56" ht="15.5" outlineLevel="1" x14ac:dyDescent="0.25">
      <c r="A639" s="1488">
        <v>1</v>
      </c>
      <c r="B639" s="1492" t="s">
        <v>2220</v>
      </c>
      <c r="C639" s="1554" t="s">
        <v>939</v>
      </c>
      <c r="D639" s="1488"/>
      <c r="E639" s="1495"/>
      <c r="F639" s="1413"/>
      <c r="G639" s="618"/>
      <c r="H639" s="618">
        <v>20</v>
      </c>
      <c r="I639" s="161"/>
      <c r="J639" s="161"/>
      <c r="K639" s="1413"/>
      <c r="L639" s="1414"/>
      <c r="M639" s="1414"/>
      <c r="N639" s="1414"/>
      <c r="O639" s="1551"/>
      <c r="P639" s="1521"/>
      <c r="Q639" s="320">
        <v>1.9755253070000001</v>
      </c>
      <c r="R639" s="320">
        <v>0.75187209099999985</v>
      </c>
      <c r="S639" s="320">
        <v>1.3456252200000001</v>
      </c>
      <c r="T639" s="320">
        <f t="shared" si="77"/>
        <v>4.0730226179999995</v>
      </c>
      <c r="U639" s="1550">
        <f>AO639</f>
        <v>1.3031580909999998</v>
      </c>
      <c r="V639" s="1615"/>
      <c r="W639" s="320">
        <v>1.5</v>
      </c>
      <c r="X639" s="320">
        <v>1.5</v>
      </c>
      <c r="Y639" s="320"/>
      <c r="Z639" s="320"/>
      <c r="AA639" s="320"/>
      <c r="AB639" s="320"/>
      <c r="AC639" s="1521"/>
      <c r="AD639" s="1521"/>
      <c r="AE639" s="1521"/>
      <c r="AF639" s="1521"/>
      <c r="AG639" s="1521"/>
      <c r="AH639" s="1521"/>
      <c r="AI639" s="1521"/>
      <c r="AJ639" s="320"/>
      <c r="AK639" s="320">
        <v>1.9755253070000001</v>
      </c>
      <c r="AL639" s="320">
        <v>0.75187209099999985</v>
      </c>
      <c r="AM639" s="320">
        <v>1.3456252200000001</v>
      </c>
      <c r="AN639" s="1523">
        <f t="shared" si="78"/>
        <v>4.0730226179999995</v>
      </c>
      <c r="AO639" s="1550">
        <f>3.173158091-1.87</f>
        <v>1.3031580909999998</v>
      </c>
      <c r="AP639" s="320"/>
      <c r="AQ639" s="320">
        <v>1.5</v>
      </c>
      <c r="AR639" s="320">
        <v>1.5</v>
      </c>
      <c r="AS639" s="320"/>
      <c r="AT639" s="320"/>
      <c r="AU639" s="320"/>
      <c r="AV639" s="320"/>
      <c r="AW639" s="320">
        <v>6.0902271890000002</v>
      </c>
      <c r="AX639" s="161"/>
      <c r="AY639" s="1540"/>
      <c r="AZ639" s="1560" t="e">
        <f>#REF!-#REF!</f>
        <v>#REF!</v>
      </c>
      <c r="BA639" s="1560" t="e">
        <f>IF(C639="Non-DPR",IF(SUM(AJ639:AV639)&gt;0,IF(H639&lt;#REF!,H639-#REF!,0),0),0)</f>
        <v>#REF!</v>
      </c>
      <c r="BB639" s="1560">
        <f t="shared" ref="BB639:BB671" si="82">IF(C639="Non-DPR",H639-SUM(AJ639:AS639),0)</f>
        <v>7.5507966730000007</v>
      </c>
      <c r="BC639" s="96" t="s">
        <v>261</v>
      </c>
      <c r="BD639" s="96" t="s">
        <v>886</v>
      </c>
    </row>
    <row r="640" spans="1:56" ht="15.5" outlineLevel="1" x14ac:dyDescent="0.25">
      <c r="A640" s="1488">
        <v>2</v>
      </c>
      <c r="B640" s="1492" t="s">
        <v>2221</v>
      </c>
      <c r="C640" s="1554" t="s">
        <v>939</v>
      </c>
      <c r="D640" s="1488"/>
      <c r="E640" s="1495"/>
      <c r="F640" s="1413"/>
      <c r="G640" s="618"/>
      <c r="H640" s="618">
        <f>SUM(P640:AB640)</f>
        <v>1.3764700000000001</v>
      </c>
      <c r="I640" s="161"/>
      <c r="J640" s="161"/>
      <c r="K640" s="1413"/>
      <c r="L640" s="1414"/>
      <c r="M640" s="1414"/>
      <c r="N640" s="1414"/>
      <c r="O640" s="1551"/>
      <c r="P640" s="1521"/>
      <c r="Q640" s="1567">
        <v>0.68823500000000004</v>
      </c>
      <c r="R640" s="320"/>
      <c r="S640" s="320"/>
      <c r="T640" s="320">
        <f t="shared" si="77"/>
        <v>0.68823500000000004</v>
      </c>
      <c r="U640" s="1550"/>
      <c r="V640" s="320"/>
      <c r="W640" s="320"/>
      <c r="X640" s="320"/>
      <c r="Y640" s="320"/>
      <c r="Z640" s="320"/>
      <c r="AA640" s="320"/>
      <c r="AB640" s="320"/>
      <c r="AC640" s="1521"/>
      <c r="AD640" s="1521"/>
      <c r="AE640" s="1521"/>
      <c r="AF640" s="1521"/>
      <c r="AG640" s="1521"/>
      <c r="AH640" s="1521"/>
      <c r="AI640" s="1521"/>
      <c r="AJ640" s="320"/>
      <c r="AK640" s="320"/>
      <c r="AL640" s="320"/>
      <c r="AM640" s="320"/>
      <c r="AN640" s="1523">
        <f t="shared" si="78"/>
        <v>0</v>
      </c>
      <c r="AO640" s="1550">
        <f>Q640</f>
        <v>0.68823500000000004</v>
      </c>
      <c r="AP640" s="320"/>
      <c r="AQ640" s="320"/>
      <c r="AR640" s="320"/>
      <c r="AS640" s="320"/>
      <c r="AT640" s="320"/>
      <c r="AU640" s="320"/>
      <c r="AV640" s="320"/>
      <c r="AX640" s="161"/>
      <c r="AY640" s="1540"/>
      <c r="AZ640" s="1560" t="e">
        <f>#REF!-#REF!</f>
        <v>#REF!</v>
      </c>
      <c r="BA640" s="1560" t="e">
        <f>IF(C640="Non-DPR",IF(SUM(AJ640:AV640)&gt;0,IF(H640&lt;#REF!,H640-#REF!,0),0),0)</f>
        <v>#REF!</v>
      </c>
      <c r="BB640" s="1560">
        <f t="shared" si="82"/>
        <v>0.68823500000000004</v>
      </c>
      <c r="BC640" s="96" t="s">
        <v>256</v>
      </c>
      <c r="BD640" s="96" t="s">
        <v>886</v>
      </c>
    </row>
    <row r="641" spans="1:56" ht="15.5" outlineLevel="1" x14ac:dyDescent="0.25">
      <c r="A641" s="1488">
        <v>3</v>
      </c>
      <c r="B641" s="1492" t="s">
        <v>2222</v>
      </c>
      <c r="C641" s="1554" t="s">
        <v>939</v>
      </c>
      <c r="D641" s="1488"/>
      <c r="E641" s="1495"/>
      <c r="F641" s="1413"/>
      <c r="G641" s="618"/>
      <c r="H641" s="618">
        <f>SUM(P641:AB641)</f>
        <v>3.1821571</v>
      </c>
      <c r="I641" s="161"/>
      <c r="J641" s="161"/>
      <c r="K641" s="1413"/>
      <c r="L641" s="1414"/>
      <c r="M641" s="1414"/>
      <c r="N641" s="1414"/>
      <c r="O641" s="1551"/>
      <c r="P641" s="1567">
        <v>3.1821571</v>
      </c>
      <c r="Q641" s="320"/>
      <c r="R641" s="320"/>
      <c r="S641" s="320"/>
      <c r="T641" s="320">
        <f t="shared" si="77"/>
        <v>3.1821571</v>
      </c>
      <c r="U641" s="1550">
        <f>-P641</f>
        <v>-3.1821571</v>
      </c>
      <c r="V641" s="320"/>
      <c r="W641" s="320"/>
      <c r="X641" s="320"/>
      <c r="Y641" s="320"/>
      <c r="Z641" s="320"/>
      <c r="AA641" s="320"/>
      <c r="AB641" s="320"/>
      <c r="AC641" s="1521"/>
      <c r="AD641" s="1521"/>
      <c r="AE641" s="1521"/>
      <c r="AF641" s="1521"/>
      <c r="AG641" s="1521"/>
      <c r="AH641" s="1521"/>
      <c r="AI641" s="1521"/>
      <c r="AJ641" s="320"/>
      <c r="AK641" s="320"/>
      <c r="AL641" s="320"/>
      <c r="AM641" s="320"/>
      <c r="AN641" s="1523">
        <f t="shared" si="78"/>
        <v>0</v>
      </c>
      <c r="AO641" s="320"/>
      <c r="AP641" s="320"/>
      <c r="AQ641" s="320"/>
      <c r="AR641" s="320"/>
      <c r="AS641" s="320"/>
      <c r="AT641" s="320"/>
      <c r="AU641" s="320"/>
      <c r="AV641" s="320"/>
      <c r="AW641" s="320"/>
      <c r="AX641" s="161"/>
      <c r="AY641" s="1540"/>
      <c r="AZ641" s="1560" t="e">
        <f>#REF!-#REF!</f>
        <v>#REF!</v>
      </c>
      <c r="BA641" s="1560">
        <f>IF(C641="Non-DPR",IF(SUM(AJ641:AV641)&gt;0,IF(H641&lt;#REF!,H641-#REF!,0),0),0)</f>
        <v>0</v>
      </c>
      <c r="BB641" s="1560">
        <f t="shared" si="82"/>
        <v>3.1821571</v>
      </c>
      <c r="BC641" s="96" t="s">
        <v>256</v>
      </c>
      <c r="BD641" s="96" t="s">
        <v>886</v>
      </c>
    </row>
    <row r="642" spans="1:56" ht="77.5" outlineLevel="1" x14ac:dyDescent="0.25">
      <c r="A642" s="1488">
        <v>4</v>
      </c>
      <c r="B642" s="1492" t="s">
        <v>2223</v>
      </c>
      <c r="C642" s="1554" t="s">
        <v>939</v>
      </c>
      <c r="D642" s="1488"/>
      <c r="E642" s="1495"/>
      <c r="F642" s="1413"/>
      <c r="G642" s="618"/>
      <c r="H642" s="618">
        <f>SUM(P642:AB642)</f>
        <v>4.8622366000000001</v>
      </c>
      <c r="I642" s="161"/>
      <c r="J642" s="161"/>
      <c r="K642" s="1413"/>
      <c r="L642" s="1414"/>
      <c r="M642" s="1414"/>
      <c r="N642" s="1414"/>
      <c r="O642" s="1551"/>
      <c r="P642" s="1521"/>
      <c r="Q642" s="320"/>
      <c r="R642" s="320"/>
      <c r="S642" s="320"/>
      <c r="T642" s="320">
        <f t="shared" si="77"/>
        <v>0</v>
      </c>
      <c r="U642" s="1550">
        <f>SUM(AJ642:AO642)-SUM(P642:S642)</f>
        <v>4.8622366000000001</v>
      </c>
      <c r="V642" s="320"/>
      <c r="W642" s="320"/>
      <c r="X642" s="320"/>
      <c r="Y642" s="320"/>
      <c r="Z642" s="320"/>
      <c r="AA642" s="320"/>
      <c r="AB642" s="320"/>
      <c r="AC642" s="1521"/>
      <c r="AD642" s="1521"/>
      <c r="AE642" s="1521"/>
      <c r="AF642" s="1521"/>
      <c r="AG642" s="1521"/>
      <c r="AH642" s="1521"/>
      <c r="AI642" s="1521"/>
      <c r="AJ642" s="320"/>
      <c r="AK642" s="320"/>
      <c r="AL642" s="320"/>
      <c r="AM642" s="320"/>
      <c r="AN642" s="1523">
        <f t="shared" si="78"/>
        <v>0</v>
      </c>
      <c r="AO642" s="1550">
        <v>4.8622366000000001</v>
      </c>
      <c r="AP642" s="320"/>
      <c r="AQ642" s="320"/>
      <c r="AR642" s="320"/>
      <c r="AS642" s="320"/>
      <c r="AT642" s="320"/>
      <c r="AU642" s="320"/>
      <c r="AV642" s="320"/>
      <c r="AW642" s="320"/>
      <c r="AX642" s="161"/>
      <c r="AY642" s="1540"/>
      <c r="AZ642" s="1560" t="e">
        <f>#REF!-#REF!</f>
        <v>#REF!</v>
      </c>
      <c r="BA642" s="1560" t="e">
        <f>IF(C642="Non-DPR",IF(SUM(AJ642:AV642)&gt;0,IF(H642&lt;#REF!,H642-#REF!,0),0),0)</f>
        <v>#REF!</v>
      </c>
      <c r="BB642" s="1560">
        <f t="shared" si="82"/>
        <v>0</v>
      </c>
      <c r="BC642" s="96" t="s">
        <v>256</v>
      </c>
      <c r="BD642" s="96" t="s">
        <v>886</v>
      </c>
    </row>
    <row r="643" spans="1:56" ht="46.5" outlineLevel="1" x14ac:dyDescent="0.25">
      <c r="A643" s="1488">
        <v>5</v>
      </c>
      <c r="B643" s="1492" t="s">
        <v>2224</v>
      </c>
      <c r="C643" s="1554" t="s">
        <v>939</v>
      </c>
      <c r="D643" s="1488"/>
      <c r="E643" s="1495"/>
      <c r="F643" s="1413"/>
      <c r="G643" s="618"/>
      <c r="H643" s="618">
        <f>SUM(P643:AB643)</f>
        <v>4.7420485000000001</v>
      </c>
      <c r="I643" s="161"/>
      <c r="J643" s="161"/>
      <c r="K643" s="1413"/>
      <c r="L643" s="1414"/>
      <c r="M643" s="1414"/>
      <c r="N643" s="1414"/>
      <c r="O643" s="1551"/>
      <c r="P643" s="1521"/>
      <c r="Q643" s="320"/>
      <c r="R643" s="320"/>
      <c r="S643" s="320"/>
      <c r="T643" s="320">
        <f t="shared" si="77"/>
        <v>0</v>
      </c>
      <c r="U643" s="1550">
        <f>SUM(AJ643:AO643)-SUM(P643:S643)</f>
        <v>4.7420485000000001</v>
      </c>
      <c r="V643" s="320"/>
      <c r="W643" s="320"/>
      <c r="X643" s="320"/>
      <c r="Y643" s="320"/>
      <c r="Z643" s="320"/>
      <c r="AA643" s="320"/>
      <c r="AB643" s="320"/>
      <c r="AC643" s="1521"/>
      <c r="AD643" s="1521"/>
      <c r="AE643" s="1521"/>
      <c r="AF643" s="1521"/>
      <c r="AG643" s="1521"/>
      <c r="AH643" s="1521"/>
      <c r="AI643" s="1521"/>
      <c r="AJ643" s="320"/>
      <c r="AK643" s="320"/>
      <c r="AL643" s="320"/>
      <c r="AM643" s="320"/>
      <c r="AN643" s="1523">
        <f t="shared" si="78"/>
        <v>0</v>
      </c>
      <c r="AO643" s="1550">
        <v>4.7420485000000001</v>
      </c>
      <c r="AP643" s="320"/>
      <c r="AQ643" s="320"/>
      <c r="AR643" s="320"/>
      <c r="AS643" s="320"/>
      <c r="AT643" s="320"/>
      <c r="AU643" s="320"/>
      <c r="AV643" s="320"/>
      <c r="AW643" s="320"/>
      <c r="AX643" s="161"/>
      <c r="AY643" s="1540"/>
      <c r="AZ643" s="1560" t="e">
        <f>#REF!-#REF!</f>
        <v>#REF!</v>
      </c>
      <c r="BA643" s="1560" t="e">
        <f>IF(C643="Non-DPR",IF(SUM(AJ643:AV643)&gt;0,IF(H643&lt;#REF!,H643-#REF!,0),0),0)</f>
        <v>#REF!</v>
      </c>
      <c r="BB643" s="1560">
        <f t="shared" si="82"/>
        <v>0</v>
      </c>
      <c r="BC643" s="96" t="s">
        <v>256</v>
      </c>
      <c r="BD643" s="96" t="s">
        <v>886</v>
      </c>
    </row>
    <row r="644" spans="1:56" ht="62" outlineLevel="1" x14ac:dyDescent="0.25">
      <c r="A644" s="1488">
        <v>6</v>
      </c>
      <c r="B644" s="1492" t="s">
        <v>2225</v>
      </c>
      <c r="C644" s="1554" t="s">
        <v>939</v>
      </c>
      <c r="D644" s="1488"/>
      <c r="E644" s="1495"/>
      <c r="F644" s="1413"/>
      <c r="G644" s="618"/>
      <c r="H644" s="618">
        <v>4.51</v>
      </c>
      <c r="I644" s="161"/>
      <c r="J644" s="161"/>
      <c r="K644" s="1413"/>
      <c r="L644" s="1414"/>
      <c r="M644" s="1414"/>
      <c r="N644" s="1414"/>
      <c r="O644" s="1551"/>
      <c r="P644" s="1521"/>
      <c r="Q644" s="320"/>
      <c r="R644" s="320"/>
      <c r="S644" s="1550">
        <v>2.2542719999999998</v>
      </c>
      <c r="T644" s="1550">
        <f t="shared" si="77"/>
        <v>2.2542719999999998</v>
      </c>
      <c r="U644" s="1550">
        <f>SUM(AJ644:AO644)-SUM(P644:S644)</f>
        <v>2.2542719999999998</v>
      </c>
      <c r="V644" s="320"/>
      <c r="W644" s="320"/>
      <c r="X644" s="320"/>
      <c r="Y644" s="320"/>
      <c r="Z644" s="320"/>
      <c r="AA644" s="320"/>
      <c r="AB644" s="320"/>
      <c r="AC644" s="1521"/>
      <c r="AD644" s="1521"/>
      <c r="AE644" s="1521"/>
      <c r="AF644" s="1521"/>
      <c r="AG644" s="1521"/>
      <c r="AH644" s="1521"/>
      <c r="AI644" s="1521"/>
      <c r="AJ644" s="320"/>
      <c r="AK644" s="320"/>
      <c r="AL644" s="320"/>
      <c r="AM644" s="320"/>
      <c r="AN644" s="1523">
        <f t="shared" si="78"/>
        <v>0</v>
      </c>
      <c r="AO644" s="1550">
        <v>4.5085439999999997</v>
      </c>
      <c r="AP644" s="320"/>
      <c r="AQ644" s="320"/>
      <c r="AR644" s="320"/>
      <c r="AS644" s="320"/>
      <c r="AT644" s="320"/>
      <c r="AU644" s="320"/>
      <c r="AV644" s="320"/>
      <c r="AW644" s="320"/>
      <c r="AX644" s="161"/>
      <c r="AY644" s="1540"/>
      <c r="AZ644" s="1560" t="e">
        <f>#REF!-#REF!</f>
        <v>#REF!</v>
      </c>
      <c r="BA644" s="1560" t="e">
        <f>IF(C644="Non-DPR",IF(SUM(AJ644:AV644)&gt;0,IF(H644&lt;#REF!,H644-#REF!,0),0),0)</f>
        <v>#REF!</v>
      </c>
      <c r="BB644" s="1560">
        <f t="shared" si="82"/>
        <v>1.4560000000001239E-3</v>
      </c>
      <c r="BC644" s="96" t="s">
        <v>256</v>
      </c>
      <c r="BD644" s="96" t="s">
        <v>886</v>
      </c>
    </row>
    <row r="645" spans="1:56" ht="46.5" outlineLevel="1" x14ac:dyDescent="0.25">
      <c r="A645" s="1488">
        <v>7</v>
      </c>
      <c r="B645" s="1492" t="s">
        <v>2226</v>
      </c>
      <c r="C645" s="1554" t="s">
        <v>939</v>
      </c>
      <c r="D645" s="1488"/>
      <c r="E645" s="1495"/>
      <c r="F645" s="1413"/>
      <c r="G645" s="618"/>
      <c r="H645" s="618">
        <v>3.45</v>
      </c>
      <c r="I645" s="161"/>
      <c r="J645" s="161"/>
      <c r="K645" s="1413"/>
      <c r="L645" s="1414"/>
      <c r="M645" s="1414"/>
      <c r="N645" s="1414"/>
      <c r="O645" s="1551"/>
      <c r="P645" s="1521"/>
      <c r="Q645" s="320"/>
      <c r="R645" s="320"/>
      <c r="S645" s="320"/>
      <c r="T645" s="320">
        <f t="shared" si="77"/>
        <v>0</v>
      </c>
      <c r="U645" s="1550">
        <f>SUM(AJ645:AO645)-SUM(P645:S645)</f>
        <v>3.4450571999999999</v>
      </c>
      <c r="V645" s="320"/>
      <c r="W645" s="320"/>
      <c r="X645" s="320"/>
      <c r="Y645" s="320"/>
      <c r="Z645" s="320"/>
      <c r="AA645" s="320"/>
      <c r="AB645" s="320"/>
      <c r="AC645" s="1521"/>
      <c r="AD645" s="1521"/>
      <c r="AE645" s="1521"/>
      <c r="AF645" s="1521"/>
      <c r="AG645" s="1521"/>
      <c r="AH645" s="1521"/>
      <c r="AI645" s="1521"/>
      <c r="AJ645" s="320"/>
      <c r="AK645" s="320"/>
      <c r="AL645" s="320"/>
      <c r="AM645" s="320"/>
      <c r="AN645" s="1523">
        <f t="shared" si="78"/>
        <v>0</v>
      </c>
      <c r="AO645" s="1550">
        <v>3.4450571999999999</v>
      </c>
      <c r="AP645" s="320"/>
      <c r="AQ645" s="320"/>
      <c r="AR645" s="320"/>
      <c r="AS645" s="320"/>
      <c r="AT645" s="320"/>
      <c r="AU645" s="320"/>
      <c r="AV645" s="320"/>
      <c r="AW645" s="320"/>
      <c r="AX645" s="161"/>
      <c r="AY645" s="1540"/>
      <c r="AZ645" s="1560" t="e">
        <f>#REF!-#REF!</f>
        <v>#REF!</v>
      </c>
      <c r="BA645" s="1560" t="e">
        <f>IF(C645="Non-DPR",IF(SUM(AJ645:AV645)&gt;0,IF(H645&lt;#REF!,H645-#REF!,0),0),0)</f>
        <v>#REF!</v>
      </c>
      <c r="BB645" s="1560">
        <f t="shared" si="82"/>
        <v>4.942800000000247E-3</v>
      </c>
      <c r="BC645" s="96" t="s">
        <v>256</v>
      </c>
      <c r="BD645" s="96" t="s">
        <v>886</v>
      </c>
    </row>
    <row r="646" spans="1:56" ht="112" outlineLevel="1" x14ac:dyDescent="0.25">
      <c r="A646" s="1488">
        <v>8</v>
      </c>
      <c r="B646" s="1492" t="s">
        <v>2227</v>
      </c>
      <c r="C646" s="1554" t="s">
        <v>939</v>
      </c>
      <c r="D646" s="1488"/>
      <c r="E646" s="1495"/>
      <c r="F646" s="1413"/>
      <c r="G646" s="618"/>
      <c r="H646" s="618">
        <v>6.41</v>
      </c>
      <c r="I646" s="161"/>
      <c r="J646" s="161"/>
      <c r="K646" s="1413"/>
      <c r="L646" s="1414"/>
      <c r="M646" s="1414"/>
      <c r="N646" s="1414"/>
      <c r="O646" s="1551" t="s">
        <v>2420</v>
      </c>
      <c r="P646" s="1521"/>
      <c r="Q646" s="320"/>
      <c r="R646" s="320"/>
      <c r="S646" s="320"/>
      <c r="T646" s="320">
        <f t="shared" si="77"/>
        <v>0</v>
      </c>
      <c r="U646" s="1550">
        <v>0.81083681100000005</v>
      </c>
      <c r="V646" s="1615">
        <v>1.120085741</v>
      </c>
      <c r="W646" s="320">
        <f>5.16*70%-V646-U646</f>
        <v>1.6810774479999995</v>
      </c>
      <c r="X646" s="320"/>
      <c r="Y646" s="320"/>
      <c r="Z646" s="320"/>
      <c r="AA646" s="320"/>
      <c r="AB646" s="320"/>
      <c r="AC646" s="1521"/>
      <c r="AD646" s="1521"/>
      <c r="AE646" s="1521"/>
      <c r="AF646" s="1521"/>
      <c r="AG646" s="1521"/>
      <c r="AH646" s="1521"/>
      <c r="AI646" s="1521"/>
      <c r="AJ646" s="320"/>
      <c r="AK646" s="320"/>
      <c r="AL646" s="320"/>
      <c r="AM646" s="320"/>
      <c r="AN646" s="1523">
        <f t="shared" si="78"/>
        <v>0</v>
      </c>
      <c r="AO646" s="320"/>
      <c r="AP646" s="320"/>
      <c r="AQ646" s="766">
        <f>U646+V646+W646</f>
        <v>3.6119999999999997</v>
      </c>
      <c r="AR646" s="320"/>
      <c r="AS646" s="320"/>
      <c r="AT646" s="320"/>
      <c r="AU646" s="320"/>
      <c r="AV646" s="320"/>
      <c r="AW646" s="320"/>
      <c r="AX646" s="161"/>
      <c r="AY646" s="1540"/>
      <c r="AZ646" s="1560" t="e">
        <f>#REF!-#REF!</f>
        <v>#REF!</v>
      </c>
      <c r="BA646" s="1560" t="e">
        <f>IF(C646="Non-DPR",IF(SUM(AJ646:AV646)&gt;0,IF(H646&lt;#REF!,H646-#REF!,0),0),0)</f>
        <v>#REF!</v>
      </c>
      <c r="BB646" s="1560">
        <f t="shared" si="82"/>
        <v>2.7980000000000005</v>
      </c>
      <c r="BC646" s="96" t="s">
        <v>256</v>
      </c>
      <c r="BD646" s="96" t="s">
        <v>886</v>
      </c>
    </row>
    <row r="647" spans="1:56" ht="62" outlineLevel="1" x14ac:dyDescent="0.25">
      <c r="A647" s="1488">
        <v>9</v>
      </c>
      <c r="B647" s="1492" t="s">
        <v>2228</v>
      </c>
      <c r="C647" s="1554" t="s">
        <v>939</v>
      </c>
      <c r="D647" s="1488"/>
      <c r="E647" s="1495"/>
      <c r="F647" s="1413"/>
      <c r="G647" s="618"/>
      <c r="H647" s="618">
        <v>7.95</v>
      </c>
      <c r="I647" s="161"/>
      <c r="J647" s="161"/>
      <c r="K647" s="1413"/>
      <c r="L647" s="1414"/>
      <c r="M647" s="1414"/>
      <c r="N647" s="1414"/>
      <c r="O647" s="1551"/>
      <c r="P647" s="1521"/>
      <c r="Q647" s="320"/>
      <c r="R647" s="320"/>
      <c r="S647" s="1550">
        <v>2.5032657999999999</v>
      </c>
      <c r="T647" s="1550">
        <f t="shared" si="77"/>
        <v>2.5032657999999999</v>
      </c>
      <c r="U647" s="1550">
        <v>4.5199579999999999</v>
      </c>
      <c r="V647" s="320"/>
      <c r="W647" s="320">
        <f>7.95-U647-S647</f>
        <v>0.92677620000000038</v>
      </c>
      <c r="X647" s="320"/>
      <c r="Y647" s="320"/>
      <c r="Z647" s="320"/>
      <c r="AA647" s="320"/>
      <c r="AB647" s="320"/>
      <c r="AC647" s="1521"/>
      <c r="AD647" s="1521"/>
      <c r="AE647" s="1521"/>
      <c r="AF647" s="1521"/>
      <c r="AG647" s="1521"/>
      <c r="AH647" s="1521"/>
      <c r="AI647" s="1521"/>
      <c r="AJ647" s="320"/>
      <c r="AK647" s="320"/>
      <c r="AL647" s="320"/>
      <c r="AM647" s="320"/>
      <c r="AN647" s="1523">
        <f t="shared" si="78"/>
        <v>0</v>
      </c>
      <c r="AO647" s="320"/>
      <c r="AP647" s="320"/>
      <c r="AQ647" s="320"/>
      <c r="AR647" s="766">
        <v>7.9500000000000011</v>
      </c>
      <c r="AS647" s="320"/>
      <c r="AT647" s="320"/>
      <c r="AU647" s="320"/>
      <c r="AV647" s="320"/>
      <c r="AW647" s="320"/>
      <c r="AX647" s="161"/>
      <c r="AY647" s="1540"/>
      <c r="AZ647" s="1560" t="e">
        <f>#REF!-#REF!</f>
        <v>#REF!</v>
      </c>
      <c r="BA647" s="1560" t="e">
        <f>IF(C647="Non-DPR",IF(SUM(AJ647:AV647)&gt;0,IF(H647&lt;#REF!,H647-#REF!,0),0),0)</f>
        <v>#REF!</v>
      </c>
      <c r="BB647" s="1560">
        <f t="shared" si="82"/>
        <v>-8.8817841970012523E-16</v>
      </c>
      <c r="BC647" s="96" t="s">
        <v>256</v>
      </c>
      <c r="BD647" s="96" t="s">
        <v>1931</v>
      </c>
    </row>
    <row r="648" spans="1:56" ht="62" outlineLevel="1" x14ac:dyDescent="0.25">
      <c r="A648" s="1488">
        <v>10</v>
      </c>
      <c r="B648" s="1506" t="s">
        <v>2229</v>
      </c>
      <c r="C648" s="1554" t="s">
        <v>939</v>
      </c>
      <c r="D648" s="1488"/>
      <c r="E648" s="1495"/>
      <c r="F648" s="1413"/>
      <c r="G648" s="618"/>
      <c r="H648" s="618">
        <v>4.7</v>
      </c>
      <c r="I648" s="161"/>
      <c r="J648" s="161"/>
      <c r="K648" s="1413"/>
      <c r="L648" s="1414"/>
      <c r="M648" s="1414"/>
      <c r="N648" s="1414"/>
      <c r="O648" s="1551"/>
      <c r="P648" s="1521"/>
      <c r="Q648" s="320"/>
      <c r="R648" s="320"/>
      <c r="S648" s="320"/>
      <c r="T648" s="320">
        <f t="shared" ref="T648:T671" si="83">SUM(P648:S648)</f>
        <v>0</v>
      </c>
      <c r="U648" s="1550">
        <f>2.3541-2.88073928/2</f>
        <v>0.91373035999999996</v>
      </c>
      <c r="V648" s="1615">
        <f>2.3541-2.88073928/2</f>
        <v>0.91373035999999996</v>
      </c>
      <c r="W648" s="320"/>
      <c r="X648" s="320"/>
      <c r="Y648" s="320"/>
      <c r="Z648" s="320"/>
      <c r="AA648" s="320"/>
      <c r="AB648" s="320"/>
      <c r="AC648" s="1521"/>
      <c r="AD648" s="1521"/>
      <c r="AE648" s="1521"/>
      <c r="AF648" s="1521"/>
      <c r="AG648" s="1521"/>
      <c r="AH648" s="1521"/>
      <c r="AI648" s="1521"/>
      <c r="AJ648" s="320"/>
      <c r="AK648" s="320"/>
      <c r="AL648" s="320"/>
      <c r="AM648" s="320"/>
      <c r="AN648" s="1523">
        <f t="shared" ref="AN648:AN671" si="84">SUM(AJ648:AM648)</f>
        <v>0</v>
      </c>
      <c r="AO648" s="320"/>
      <c r="AP648" s="1616">
        <f>4.7082-2.88073928</f>
        <v>1.8274607199999999</v>
      </c>
      <c r="AQ648" s="320"/>
      <c r="AR648" s="320"/>
      <c r="AS648" s="320"/>
      <c r="AT648" s="320"/>
      <c r="AU648" s="320"/>
      <c r="AV648" s="320"/>
      <c r="AW648" s="320"/>
      <c r="AX648" s="161"/>
      <c r="AY648" s="1540"/>
      <c r="AZ648" s="1560" t="e">
        <f>#REF!-#REF!</f>
        <v>#REF!</v>
      </c>
      <c r="BA648" s="1560" t="e">
        <f>IF(C648="Non-DPR",IF(SUM(AJ648:AV648)&gt;0,IF(H648&lt;#REF!,H648-#REF!,0),0),0)</f>
        <v>#REF!</v>
      </c>
      <c r="BB648" s="1560">
        <f t="shared" si="82"/>
        <v>2.8725392800000003</v>
      </c>
      <c r="BC648" s="96" t="s">
        <v>256</v>
      </c>
      <c r="BD648" s="96" t="s">
        <v>886</v>
      </c>
    </row>
    <row r="649" spans="1:56" ht="46.5" outlineLevel="1" x14ac:dyDescent="0.25">
      <c r="A649" s="1488">
        <v>11</v>
      </c>
      <c r="B649" s="1492" t="s">
        <v>2230</v>
      </c>
      <c r="C649" s="1554" t="s">
        <v>939</v>
      </c>
      <c r="D649" s="1488"/>
      <c r="E649" s="1495"/>
      <c r="F649" s="1413"/>
      <c r="G649" s="618"/>
      <c r="H649" s="618">
        <f>SUM(P649:AB649)</f>
        <v>4.6024180000000001</v>
      </c>
      <c r="I649" s="161"/>
      <c r="J649" s="161"/>
      <c r="K649" s="1413"/>
      <c r="L649" s="1414"/>
      <c r="M649" s="1414"/>
      <c r="N649" s="1414"/>
      <c r="O649" s="1551"/>
      <c r="P649" s="1521"/>
      <c r="Q649" s="320"/>
      <c r="R649" s="320"/>
      <c r="S649" s="320"/>
      <c r="T649" s="320">
        <f t="shared" si="83"/>
        <v>0</v>
      </c>
      <c r="U649" s="1550">
        <v>2.301418</v>
      </c>
      <c r="V649" s="1615">
        <f>SUM(AJ649:AP649)-SUM(P649:U649)</f>
        <v>2.3010000000000002</v>
      </c>
      <c r="W649" s="320"/>
      <c r="X649" s="320"/>
      <c r="Y649" s="320"/>
      <c r="Z649" s="320"/>
      <c r="AA649" s="320"/>
      <c r="AB649" s="320"/>
      <c r="AC649" s="1521"/>
      <c r="AD649" s="1521"/>
      <c r="AE649" s="1521"/>
      <c r="AF649" s="1521"/>
      <c r="AG649" s="1521"/>
      <c r="AH649" s="1521"/>
      <c r="AI649" s="1521"/>
      <c r="AJ649" s="320"/>
      <c r="AK649" s="320"/>
      <c r="AL649" s="320"/>
      <c r="AM649" s="320"/>
      <c r="AN649" s="1523">
        <f t="shared" si="84"/>
        <v>0</v>
      </c>
      <c r="AO649" s="320"/>
      <c r="AP649" s="1616">
        <v>4.6024180000000001</v>
      </c>
      <c r="AQ649" s="320"/>
      <c r="AR649" s="320"/>
      <c r="AS649" s="320"/>
      <c r="AT649" s="320"/>
      <c r="AU649" s="320"/>
      <c r="AV649" s="320"/>
      <c r="AW649" s="320"/>
      <c r="AX649" s="161"/>
      <c r="AY649" s="1540"/>
      <c r="AZ649" s="1560" t="e">
        <f>#REF!-#REF!</f>
        <v>#REF!</v>
      </c>
      <c r="BA649" s="1560" t="e">
        <f>IF(C649="Non-DPR",IF(SUM(AJ649:AV649)&gt;0,IF(H649&lt;#REF!,H649-#REF!,0),0),0)</f>
        <v>#REF!</v>
      </c>
      <c r="BB649" s="1560">
        <f t="shared" si="82"/>
        <v>0</v>
      </c>
      <c r="BC649" s="96" t="s">
        <v>256</v>
      </c>
      <c r="BD649" s="96" t="s">
        <v>886</v>
      </c>
    </row>
    <row r="650" spans="1:56" ht="62" outlineLevel="1" x14ac:dyDescent="0.25">
      <c r="A650" s="1488">
        <v>12</v>
      </c>
      <c r="B650" s="1492" t="s">
        <v>2231</v>
      </c>
      <c r="C650" s="1554" t="s">
        <v>939</v>
      </c>
      <c r="D650" s="1488"/>
      <c r="E650" s="1495"/>
      <c r="F650" s="1413"/>
      <c r="G650" s="618"/>
      <c r="H650" s="618">
        <v>7.2510000000000003</v>
      </c>
      <c r="I650" s="161"/>
      <c r="J650" s="161"/>
      <c r="K650" s="1413"/>
      <c r="L650" s="1414"/>
      <c r="M650" s="1414"/>
      <c r="N650" s="1414"/>
      <c r="O650" s="1551"/>
      <c r="P650" s="1521"/>
      <c r="Q650" s="320"/>
      <c r="R650" s="320"/>
      <c r="S650" s="320"/>
      <c r="T650" s="320">
        <f t="shared" si="83"/>
        <v>0</v>
      </c>
      <c r="U650" s="320"/>
      <c r="V650" s="1615">
        <f>SUM(AJ650:AP650)-SUM(P650:U650)</f>
        <v>7.2509395000000003</v>
      </c>
      <c r="W650" s="320"/>
      <c r="X650" s="320"/>
      <c r="Y650" s="320"/>
      <c r="Z650" s="320"/>
      <c r="AA650" s="320"/>
      <c r="AB650" s="320"/>
      <c r="AC650" s="1521"/>
      <c r="AD650" s="1521"/>
      <c r="AE650" s="1521"/>
      <c r="AF650" s="1521"/>
      <c r="AG650" s="1521"/>
      <c r="AH650" s="1521"/>
      <c r="AI650" s="1521"/>
      <c r="AJ650" s="320"/>
      <c r="AK650" s="320"/>
      <c r="AL650" s="320"/>
      <c r="AM650" s="320"/>
      <c r="AN650" s="1523">
        <f t="shared" si="84"/>
        <v>0</v>
      </c>
      <c r="AO650" s="320"/>
      <c r="AP650" s="1616">
        <v>7.2509395000000003</v>
      </c>
      <c r="AQ650" s="320"/>
      <c r="AR650" s="320"/>
      <c r="AS650" s="320"/>
      <c r="AT650" s="320"/>
      <c r="AU650" s="320"/>
      <c r="AV650" s="320"/>
      <c r="AW650" s="320"/>
      <c r="AX650" s="161"/>
      <c r="AY650" s="1540"/>
      <c r="AZ650" s="1560" t="e">
        <f>#REF!-#REF!</f>
        <v>#REF!</v>
      </c>
      <c r="BA650" s="1560" t="e">
        <f>IF(C650="Non-DPR",IF(SUM(AJ650:AV650)&gt;0,IF(H650&lt;#REF!,H650-#REF!,0),0),0)</f>
        <v>#REF!</v>
      </c>
      <c r="BB650" s="1560">
        <f t="shared" si="82"/>
        <v>6.0500000000018872E-5</v>
      </c>
      <c r="BC650" s="96" t="s">
        <v>256</v>
      </c>
      <c r="BD650" s="96" t="s">
        <v>886</v>
      </c>
    </row>
    <row r="651" spans="1:56" ht="31" outlineLevel="1" x14ac:dyDescent="0.25">
      <c r="A651" s="1488">
        <v>14</v>
      </c>
      <c r="B651" s="1492" t="s">
        <v>2232</v>
      </c>
      <c r="C651" s="1554" t="s">
        <v>939</v>
      </c>
      <c r="D651" s="1488"/>
      <c r="E651" s="1495"/>
      <c r="F651" s="1413"/>
      <c r="G651" s="618"/>
      <c r="H651" s="618">
        <v>5.27</v>
      </c>
      <c r="I651" s="161"/>
      <c r="J651" s="161"/>
      <c r="K651" s="1413"/>
      <c r="L651" s="1414"/>
      <c r="M651" s="1414"/>
      <c r="N651" s="1414"/>
      <c r="O651" s="1551"/>
      <c r="P651" s="1521"/>
      <c r="Q651" s="320"/>
      <c r="R651" s="320"/>
      <c r="S651" s="320"/>
      <c r="T651" s="320">
        <f t="shared" si="83"/>
        <v>0</v>
      </c>
      <c r="U651" s="320"/>
      <c r="V651" s="1615">
        <v>2.5837661999999999</v>
      </c>
      <c r="W651" s="320">
        <f>5.27-V651</f>
        <v>2.6862337999999997</v>
      </c>
      <c r="X651" s="320"/>
      <c r="Y651" s="320"/>
      <c r="Z651" s="320"/>
      <c r="AA651" s="320"/>
      <c r="AB651" s="320"/>
      <c r="AC651" s="1521"/>
      <c r="AD651" s="1521"/>
      <c r="AE651" s="1521"/>
      <c r="AF651" s="1521"/>
      <c r="AG651" s="1521"/>
      <c r="AH651" s="1521"/>
      <c r="AI651" s="1521"/>
      <c r="AJ651" s="320"/>
      <c r="AK651" s="320"/>
      <c r="AL651" s="320"/>
      <c r="AM651" s="320"/>
      <c r="AN651" s="1523">
        <f t="shared" si="84"/>
        <v>0</v>
      </c>
      <c r="AO651" s="320"/>
      <c r="AP651" s="1616">
        <v>2.5837663000000002</v>
      </c>
      <c r="AQ651" s="766">
        <f>V651+W651-AP651</f>
        <v>2.6862336999999994</v>
      </c>
      <c r="AR651" s="320"/>
      <c r="AS651" s="320"/>
      <c r="AT651" s="320"/>
      <c r="AU651" s="320"/>
      <c r="AV651" s="320"/>
      <c r="AW651" s="320"/>
      <c r="AX651" s="161"/>
      <c r="AY651" s="1540"/>
      <c r="AZ651" s="1560" t="e">
        <f>#REF!-#REF!</f>
        <v>#REF!</v>
      </c>
      <c r="BA651" s="1560" t="e">
        <f>IF(C651="Non-DPR",IF(SUM(AJ651:AV651)&gt;0,IF(H651&lt;#REF!,H651-#REF!,0),0),0)</f>
        <v>#REF!</v>
      </c>
      <c r="BB651" s="1560">
        <f t="shared" si="82"/>
        <v>0</v>
      </c>
      <c r="BC651" s="96" t="s">
        <v>256</v>
      </c>
      <c r="BD651" s="96" t="s">
        <v>886</v>
      </c>
    </row>
    <row r="652" spans="1:56" ht="112" outlineLevel="1" x14ac:dyDescent="0.25">
      <c r="A652" s="1488">
        <v>15</v>
      </c>
      <c r="B652" s="1492" t="s">
        <v>2233</v>
      </c>
      <c r="C652" s="1554" t="s">
        <v>939</v>
      </c>
      <c r="D652" s="1488"/>
      <c r="E652" s="1495"/>
      <c r="F652" s="1413"/>
      <c r="G652" s="618"/>
      <c r="H652" s="618">
        <v>5.61</v>
      </c>
      <c r="I652" s="161"/>
      <c r="J652" s="161"/>
      <c r="K652" s="1413"/>
      <c r="L652" s="1414"/>
      <c r="M652" s="1414"/>
      <c r="N652" s="1414"/>
      <c r="O652" s="1551" t="s">
        <v>2421</v>
      </c>
      <c r="P652" s="1521"/>
      <c r="Q652" s="320"/>
      <c r="R652" s="320"/>
      <c r="S652" s="320"/>
      <c r="T652" s="320">
        <f t="shared" si="83"/>
        <v>0</v>
      </c>
      <c r="U652" s="320"/>
      <c r="V652" s="1615">
        <v>5.5874359760000001</v>
      </c>
      <c r="W652" s="320"/>
      <c r="X652" s="320"/>
      <c r="Y652" s="320"/>
      <c r="Z652" s="320"/>
      <c r="AA652" s="320"/>
      <c r="AB652" s="320"/>
      <c r="AC652" s="1521"/>
      <c r="AD652" s="1521"/>
      <c r="AE652" s="1521"/>
      <c r="AF652" s="1521"/>
      <c r="AG652" s="1521"/>
      <c r="AH652" s="1521"/>
      <c r="AI652" s="1521"/>
      <c r="AJ652" s="320"/>
      <c r="AK652" s="320"/>
      <c r="AL652" s="320"/>
      <c r="AM652" s="320"/>
      <c r="AN652" s="1523">
        <f t="shared" si="84"/>
        <v>0</v>
      </c>
      <c r="AO652" s="320"/>
      <c r="AP652" s="320"/>
      <c r="AQ652" s="766">
        <f>V652</f>
        <v>5.5874359760000001</v>
      </c>
      <c r="AR652" s="320"/>
      <c r="AS652" s="320"/>
      <c r="AT652" s="320"/>
      <c r="AU652" s="320"/>
      <c r="AV652" s="320"/>
      <c r="AW652" s="320"/>
      <c r="AX652" s="161"/>
      <c r="AY652" s="1540"/>
      <c r="AZ652" s="1560" t="e">
        <f>#REF!-#REF!</f>
        <v>#REF!</v>
      </c>
      <c r="BA652" s="1560" t="e">
        <f>IF(C652="Non-DPR",IF(SUM(AJ652:AV652)&gt;0,IF(H652&lt;#REF!,H652-#REF!,0),0),0)</f>
        <v>#REF!</v>
      </c>
      <c r="BB652" s="1560">
        <f t="shared" si="82"/>
        <v>2.2564024000000238E-2</v>
      </c>
      <c r="BC652" s="96" t="s">
        <v>844</v>
      </c>
      <c r="BD652" s="96" t="s">
        <v>886</v>
      </c>
    </row>
    <row r="653" spans="1:56" ht="46.5" outlineLevel="1" x14ac:dyDescent="0.25">
      <c r="A653" s="1488">
        <v>16</v>
      </c>
      <c r="B653" s="1492" t="s">
        <v>2234</v>
      </c>
      <c r="C653" s="1554" t="s">
        <v>939</v>
      </c>
      <c r="D653" s="1488"/>
      <c r="E653" s="1495"/>
      <c r="F653" s="1413"/>
      <c r="G653" s="618"/>
      <c r="H653" s="618">
        <v>9.09</v>
      </c>
      <c r="I653" s="161"/>
      <c r="J653" s="161"/>
      <c r="K653" s="1413"/>
      <c r="L653" s="1414"/>
      <c r="M653" s="1414"/>
      <c r="N653" s="1414"/>
      <c r="O653" s="1551"/>
      <c r="P653" s="1521"/>
      <c r="Q653" s="320"/>
      <c r="R653" s="320"/>
      <c r="S653" s="320"/>
      <c r="T653" s="320">
        <f t="shared" si="83"/>
        <v>0</v>
      </c>
      <c r="U653" s="320"/>
      <c r="V653" s="1615">
        <v>8.2282758079999994</v>
      </c>
      <c r="W653" s="320">
        <f>H653-V653</f>
        <v>0.8617241920000005</v>
      </c>
      <c r="X653" s="320"/>
      <c r="Y653" s="320"/>
      <c r="Z653" s="320"/>
      <c r="AA653" s="320"/>
      <c r="AB653" s="320"/>
      <c r="AC653" s="1521"/>
      <c r="AD653" s="1521"/>
      <c r="AE653" s="1521"/>
      <c r="AF653" s="1521"/>
      <c r="AG653" s="1521"/>
      <c r="AH653" s="1521"/>
      <c r="AI653" s="1521"/>
      <c r="AJ653" s="320"/>
      <c r="AK653" s="320"/>
      <c r="AL653" s="320"/>
      <c r="AM653" s="320"/>
      <c r="AN653" s="1523">
        <f t="shared" si="84"/>
        <v>0</v>
      </c>
      <c r="AO653" s="320"/>
      <c r="AP653" s="320"/>
      <c r="AQ653" s="766">
        <f>V653+W653</f>
        <v>9.09</v>
      </c>
      <c r="AR653" s="320"/>
      <c r="AS653" s="320"/>
      <c r="AT653" s="320"/>
      <c r="AU653" s="320"/>
      <c r="AV653" s="320"/>
      <c r="AW653" s="320"/>
      <c r="AX653" s="161"/>
      <c r="AY653" s="1540"/>
      <c r="AZ653" s="1560" t="e">
        <f>#REF!-#REF!</f>
        <v>#REF!</v>
      </c>
      <c r="BA653" s="1560" t="e">
        <f>IF(C653="Non-DPR",IF(SUM(AJ653:AV653)&gt;0,IF(H653&lt;#REF!,H653-#REF!,0),0),0)</f>
        <v>#REF!</v>
      </c>
      <c r="BB653" s="1560">
        <f t="shared" si="82"/>
        <v>0</v>
      </c>
      <c r="BC653" s="96" t="s">
        <v>256</v>
      </c>
      <c r="BD653" s="96" t="s">
        <v>886</v>
      </c>
    </row>
    <row r="654" spans="1:56" ht="62" outlineLevel="1" x14ac:dyDescent="0.25">
      <c r="A654" s="1488">
        <v>17</v>
      </c>
      <c r="B654" s="1492" t="s">
        <v>2235</v>
      </c>
      <c r="C654" s="1554" t="s">
        <v>939</v>
      </c>
      <c r="D654" s="1488"/>
      <c r="E654" s="1495"/>
      <c r="F654" s="1413"/>
      <c r="G654" s="618"/>
      <c r="H654" s="618">
        <v>9.9499999999999993</v>
      </c>
      <c r="I654" s="161"/>
      <c r="J654" s="161"/>
      <c r="K654" s="1413"/>
      <c r="L654" s="1414"/>
      <c r="M654" s="1414"/>
      <c r="N654" s="1414"/>
      <c r="O654" s="1551" t="s">
        <v>2422</v>
      </c>
      <c r="P654" s="1521"/>
      <c r="Q654" s="320"/>
      <c r="R654" s="320"/>
      <c r="S654" s="320"/>
      <c r="T654" s="320">
        <f t="shared" si="83"/>
        <v>0</v>
      </c>
      <c r="U654" s="320"/>
      <c r="V654" s="320"/>
      <c r="W654" s="320">
        <v>9.9499999999999993</v>
      </c>
      <c r="X654" s="320"/>
      <c r="Y654" s="320"/>
      <c r="Z654" s="320"/>
      <c r="AA654" s="320"/>
      <c r="AB654" s="320"/>
      <c r="AC654" s="1521"/>
      <c r="AD654" s="1521"/>
      <c r="AE654" s="1521"/>
      <c r="AF654" s="1521"/>
      <c r="AG654" s="1521"/>
      <c r="AH654" s="1521"/>
      <c r="AI654" s="1521"/>
      <c r="AJ654" s="320"/>
      <c r="AK654" s="320"/>
      <c r="AL654" s="320"/>
      <c r="AM654" s="320"/>
      <c r="AN654" s="1523">
        <f t="shared" si="84"/>
        <v>0</v>
      </c>
      <c r="AO654" s="320"/>
      <c r="AP654" s="320"/>
      <c r="AQ654" s="766">
        <v>9.9499999999999993</v>
      </c>
      <c r="AR654" s="320"/>
      <c r="AS654" s="320"/>
      <c r="AT654" s="320"/>
      <c r="AU654" s="320"/>
      <c r="AV654" s="320"/>
      <c r="AW654" s="320"/>
      <c r="AX654" s="161"/>
      <c r="AY654" s="1540"/>
      <c r="AZ654" s="1560" t="e">
        <f>#REF!-#REF!</f>
        <v>#REF!</v>
      </c>
      <c r="BA654" s="1560" t="e">
        <f>IF(C654="Non-DPR",IF(SUM(AJ654:AV654)&gt;0,IF(H654&lt;#REF!,H654-#REF!,0),0),0)</f>
        <v>#REF!</v>
      </c>
      <c r="BB654" s="1560">
        <f t="shared" si="82"/>
        <v>0</v>
      </c>
      <c r="BC654" s="96" t="s">
        <v>256</v>
      </c>
      <c r="BD654" s="96" t="s">
        <v>886</v>
      </c>
    </row>
    <row r="655" spans="1:56" ht="46.5" outlineLevel="1" x14ac:dyDescent="0.25">
      <c r="A655" s="1488">
        <v>18</v>
      </c>
      <c r="B655" s="1492" t="s">
        <v>2236</v>
      </c>
      <c r="C655" s="1554" t="s">
        <v>939</v>
      </c>
      <c r="D655" s="1488"/>
      <c r="E655" s="1495"/>
      <c r="F655" s="1413"/>
      <c r="G655" s="618"/>
      <c r="H655" s="618">
        <v>4.9000000000000004</v>
      </c>
      <c r="I655" s="161"/>
      <c r="J655" s="161"/>
      <c r="K655" s="1413"/>
      <c r="L655" s="1414"/>
      <c r="M655" s="1414"/>
      <c r="N655" s="1414"/>
      <c r="O655" s="1551"/>
      <c r="P655" s="1521"/>
      <c r="Q655" s="320"/>
      <c r="R655" s="320"/>
      <c r="S655" s="320"/>
      <c r="T655" s="320">
        <f t="shared" si="83"/>
        <v>0</v>
      </c>
      <c r="U655" s="320"/>
      <c r="V655" s="1615">
        <v>0.48380000000000001</v>
      </c>
      <c r="W655" s="320">
        <f>H655-V655</f>
        <v>4.4161999999999999</v>
      </c>
      <c r="X655" s="320"/>
      <c r="Y655" s="320"/>
      <c r="Z655" s="320"/>
      <c r="AA655" s="320"/>
      <c r="AB655" s="320"/>
      <c r="AC655" s="1521"/>
      <c r="AD655" s="1521"/>
      <c r="AE655" s="1521"/>
      <c r="AF655" s="1521"/>
      <c r="AG655" s="1521"/>
      <c r="AH655" s="1521"/>
      <c r="AI655" s="1521"/>
      <c r="AJ655" s="320"/>
      <c r="AK655" s="320"/>
      <c r="AL655" s="320"/>
      <c r="AM655" s="320"/>
      <c r="AN655" s="1523">
        <f t="shared" si="84"/>
        <v>0</v>
      </c>
      <c r="AO655" s="320"/>
      <c r="AP655" s="320"/>
      <c r="AQ655" s="766">
        <f>V655+W655</f>
        <v>4.9000000000000004</v>
      </c>
      <c r="AR655" s="320"/>
      <c r="AS655" s="320"/>
      <c r="AT655" s="320"/>
      <c r="AU655" s="320"/>
      <c r="AV655" s="320"/>
      <c r="AW655" s="320"/>
      <c r="AX655" s="161"/>
      <c r="AY655" s="1540"/>
      <c r="AZ655" s="1560" t="e">
        <f>#REF!-#REF!</f>
        <v>#REF!</v>
      </c>
      <c r="BA655" s="1560" t="e">
        <f>IF(C655="Non-DPR",IF(SUM(AJ655:AV655)&gt;0,IF(H655&lt;#REF!,H655-#REF!,0),0),0)</f>
        <v>#REF!</v>
      </c>
      <c r="BB655" s="1560">
        <f t="shared" si="82"/>
        <v>0</v>
      </c>
      <c r="BC655" s="96" t="s">
        <v>256</v>
      </c>
      <c r="BD655" s="96" t="s">
        <v>886</v>
      </c>
    </row>
    <row r="656" spans="1:56" ht="62" outlineLevel="1" x14ac:dyDescent="0.25">
      <c r="A656" s="1488">
        <v>19</v>
      </c>
      <c r="B656" s="1492" t="s">
        <v>2237</v>
      </c>
      <c r="C656" s="1554" t="s">
        <v>939</v>
      </c>
      <c r="D656" s="1488"/>
      <c r="E656" s="1495"/>
      <c r="F656" s="1413"/>
      <c r="G656" s="618"/>
      <c r="H656" s="618">
        <v>3.66</v>
      </c>
      <c r="I656" s="161"/>
      <c r="J656" s="161"/>
      <c r="K656" s="1413"/>
      <c r="L656" s="1414"/>
      <c r="M656" s="1414"/>
      <c r="N656" s="1414"/>
      <c r="O656" s="1551"/>
      <c r="P656" s="1521"/>
      <c r="Q656" s="320"/>
      <c r="R656" s="320"/>
      <c r="S656" s="320"/>
      <c r="T656" s="320">
        <f t="shared" si="83"/>
        <v>0</v>
      </c>
      <c r="U656" s="320"/>
      <c r="V656" s="1615">
        <v>2.8573254000000001</v>
      </c>
      <c r="W656" s="320">
        <f>H656-V656</f>
        <v>0.80267460000000002</v>
      </c>
      <c r="X656" s="320"/>
      <c r="Y656" s="320"/>
      <c r="Z656" s="320"/>
      <c r="AA656" s="320"/>
      <c r="AB656" s="320"/>
      <c r="AC656" s="1521"/>
      <c r="AD656" s="1521"/>
      <c r="AE656" s="1521"/>
      <c r="AF656" s="1521"/>
      <c r="AG656" s="1521"/>
      <c r="AH656" s="1521"/>
      <c r="AI656" s="1521"/>
      <c r="AJ656" s="320"/>
      <c r="AK656" s="320"/>
      <c r="AL656" s="320"/>
      <c r="AM656" s="320"/>
      <c r="AN656" s="1523">
        <f t="shared" si="84"/>
        <v>0</v>
      </c>
      <c r="AO656" s="320"/>
      <c r="AP656" s="320"/>
      <c r="AQ656" s="766">
        <f>SUM(V656:W656)</f>
        <v>3.66</v>
      </c>
      <c r="AR656" s="320"/>
      <c r="AS656" s="320"/>
      <c r="AT656" s="320"/>
      <c r="AU656" s="320"/>
      <c r="AV656" s="320"/>
      <c r="AW656" s="320"/>
      <c r="AX656" s="161"/>
      <c r="AY656" s="1540"/>
      <c r="AZ656" s="1560" t="e">
        <f>#REF!-#REF!</f>
        <v>#REF!</v>
      </c>
      <c r="BA656" s="1560" t="e">
        <f>IF(C656="Non-DPR",IF(SUM(AJ656:AV656)&gt;0,IF(H656&lt;#REF!,H656-#REF!,0),0),0)</f>
        <v>#REF!</v>
      </c>
      <c r="BB656" s="1560">
        <f t="shared" si="82"/>
        <v>0</v>
      </c>
      <c r="BC656" s="96" t="s">
        <v>256</v>
      </c>
      <c r="BD656" s="96" t="s">
        <v>886</v>
      </c>
    </row>
    <row r="657" spans="1:56" ht="46.5" outlineLevel="1" x14ac:dyDescent="0.25">
      <c r="A657" s="1488">
        <v>20</v>
      </c>
      <c r="B657" s="1492" t="s">
        <v>2238</v>
      </c>
      <c r="C657" s="1554" t="s">
        <v>939</v>
      </c>
      <c r="D657" s="1488"/>
      <c r="E657" s="1495"/>
      <c r="F657" s="1413"/>
      <c r="G657" s="618"/>
      <c r="H657" s="618">
        <v>4.37</v>
      </c>
      <c r="I657" s="161"/>
      <c r="J657" s="161"/>
      <c r="K657" s="1413"/>
      <c r="L657" s="1414"/>
      <c r="M657" s="1414"/>
      <c r="N657" s="1414"/>
      <c r="O657" s="1551"/>
      <c r="P657" s="1521"/>
      <c r="Q657" s="320"/>
      <c r="R657" s="320"/>
      <c r="S657" s="320"/>
      <c r="T657" s="320">
        <f t="shared" si="83"/>
        <v>0</v>
      </c>
      <c r="U657" s="320"/>
      <c r="V657" s="320"/>
      <c r="W657" s="320">
        <v>4.37</v>
      </c>
      <c r="X657" s="320"/>
      <c r="Y657" s="320"/>
      <c r="Z657" s="320"/>
      <c r="AA657" s="320"/>
      <c r="AB657" s="320"/>
      <c r="AC657" s="1521"/>
      <c r="AD657" s="1521"/>
      <c r="AE657" s="1521"/>
      <c r="AF657" s="1521"/>
      <c r="AG657" s="1521"/>
      <c r="AH657" s="1521"/>
      <c r="AI657" s="1521"/>
      <c r="AJ657" s="320"/>
      <c r="AK657" s="320"/>
      <c r="AL657" s="320"/>
      <c r="AM657" s="320"/>
      <c r="AN657" s="1523">
        <f t="shared" si="84"/>
        <v>0</v>
      </c>
      <c r="AO657" s="320"/>
      <c r="AP657" s="320"/>
      <c r="AQ657" s="766">
        <v>4.37</v>
      </c>
      <c r="AR657" s="320"/>
      <c r="AS657" s="320"/>
      <c r="AT657" s="320"/>
      <c r="AU657" s="320"/>
      <c r="AV657" s="320"/>
      <c r="AW657" s="320"/>
      <c r="AX657" s="161"/>
      <c r="AY657" s="1540"/>
      <c r="AZ657" s="1560" t="e">
        <f>#REF!-#REF!</f>
        <v>#REF!</v>
      </c>
      <c r="BA657" s="1560" t="e">
        <f>IF(C657="Non-DPR",IF(SUM(AJ657:AV657)&gt;0,IF(H657&lt;#REF!,H657-#REF!,0),0),0)</f>
        <v>#REF!</v>
      </c>
      <c r="BB657" s="1560">
        <f t="shared" si="82"/>
        <v>0</v>
      </c>
      <c r="BC657" s="96" t="s">
        <v>256</v>
      </c>
      <c r="BD657" s="96" t="s">
        <v>886</v>
      </c>
    </row>
    <row r="658" spans="1:56" ht="93" outlineLevel="1" x14ac:dyDescent="0.25">
      <c r="A658" s="1488">
        <v>21</v>
      </c>
      <c r="B658" s="1492" t="s">
        <v>2239</v>
      </c>
      <c r="C658" s="1554" t="s">
        <v>939</v>
      </c>
      <c r="D658" s="1488"/>
      <c r="E658" s="1495"/>
      <c r="F658" s="1413"/>
      <c r="G658" s="618"/>
      <c r="H658" s="618">
        <f>SUM(P658:AB658)</f>
        <v>2.2400000000000002</v>
      </c>
      <c r="I658" s="161"/>
      <c r="J658" s="161"/>
      <c r="K658" s="1413"/>
      <c r="L658" s="1414"/>
      <c r="M658" s="1414"/>
      <c r="N658" s="1414"/>
      <c r="O658" s="1551"/>
      <c r="P658" s="1521"/>
      <c r="Q658" s="320"/>
      <c r="R658" s="320"/>
      <c r="S658" s="320"/>
      <c r="T658" s="320">
        <f t="shared" si="83"/>
        <v>0</v>
      </c>
      <c r="U658" s="320"/>
      <c r="V658" s="320"/>
      <c r="W658" s="320"/>
      <c r="X658" s="320">
        <f>AR658</f>
        <v>2.2400000000000002</v>
      </c>
      <c r="Y658" s="320"/>
      <c r="Z658" s="320"/>
      <c r="AA658" s="320"/>
      <c r="AB658" s="320"/>
      <c r="AC658" s="1521"/>
      <c r="AD658" s="1521"/>
      <c r="AE658" s="1521"/>
      <c r="AF658" s="1521"/>
      <c r="AG658" s="1521"/>
      <c r="AH658" s="1521"/>
      <c r="AI658" s="1521"/>
      <c r="AJ658" s="320"/>
      <c r="AK658" s="320"/>
      <c r="AL658" s="320"/>
      <c r="AM658" s="320"/>
      <c r="AN658" s="1523">
        <f t="shared" si="84"/>
        <v>0</v>
      </c>
      <c r="AO658" s="320"/>
      <c r="AP658" s="320"/>
      <c r="AQ658" s="320"/>
      <c r="AR658" s="766">
        <v>2.2400000000000002</v>
      </c>
      <c r="AS658" s="320"/>
      <c r="AT658" s="320"/>
      <c r="AU658" s="320"/>
      <c r="AV658" s="320"/>
      <c r="AW658" s="320"/>
      <c r="AX658" s="161"/>
      <c r="AY658" s="1540"/>
      <c r="AZ658" s="1560" t="e">
        <f>#REF!-#REF!</f>
        <v>#REF!</v>
      </c>
      <c r="BA658" s="1560" t="e">
        <f>IF(C658="Non-DPR",IF(SUM(AJ658:AV658)&gt;0,IF(H658&lt;#REF!,H658-#REF!,0),0),0)</f>
        <v>#REF!</v>
      </c>
      <c r="BB658" s="1560">
        <f t="shared" si="82"/>
        <v>0</v>
      </c>
      <c r="BC658" s="96" t="s">
        <v>256</v>
      </c>
      <c r="BD658" s="96" t="s">
        <v>1931</v>
      </c>
    </row>
    <row r="659" spans="1:56" ht="46.5" outlineLevel="1" x14ac:dyDescent="0.25">
      <c r="A659" s="1488">
        <v>22</v>
      </c>
      <c r="B659" s="1492" t="s">
        <v>2240</v>
      </c>
      <c r="C659" s="1554" t="s">
        <v>939</v>
      </c>
      <c r="D659" s="1488"/>
      <c r="E659" s="1495"/>
      <c r="F659" s="1413"/>
      <c r="G659" s="618"/>
      <c r="H659" s="618">
        <f>SUM(P659:AB659)</f>
        <v>1.6</v>
      </c>
      <c r="I659" s="161"/>
      <c r="J659" s="161"/>
      <c r="K659" s="1413"/>
      <c r="L659" s="1414"/>
      <c r="M659" s="1414"/>
      <c r="N659" s="1414"/>
      <c r="O659" s="1551"/>
      <c r="P659" s="1521"/>
      <c r="Q659" s="320"/>
      <c r="R659" s="320"/>
      <c r="S659" s="320"/>
      <c r="T659" s="320">
        <f t="shared" si="83"/>
        <v>0</v>
      </c>
      <c r="U659" s="320"/>
      <c r="V659" s="320"/>
      <c r="W659" s="320"/>
      <c r="X659" s="320">
        <f>AR659</f>
        <v>1.6</v>
      </c>
      <c r="Y659" s="320"/>
      <c r="Z659" s="320"/>
      <c r="AA659" s="320"/>
      <c r="AB659" s="320"/>
      <c r="AC659" s="1521"/>
      <c r="AD659" s="1521"/>
      <c r="AE659" s="1521"/>
      <c r="AF659" s="1521"/>
      <c r="AG659" s="1521"/>
      <c r="AH659" s="1521"/>
      <c r="AI659" s="1521"/>
      <c r="AJ659" s="320"/>
      <c r="AK659" s="320"/>
      <c r="AL659" s="320"/>
      <c r="AM659" s="320"/>
      <c r="AN659" s="1523">
        <f t="shared" si="84"/>
        <v>0</v>
      </c>
      <c r="AO659" s="320"/>
      <c r="AP659" s="320"/>
      <c r="AQ659" s="320"/>
      <c r="AR659" s="766">
        <v>1.6</v>
      </c>
      <c r="AS659" s="320"/>
      <c r="AT659" s="320"/>
      <c r="AU659" s="320"/>
      <c r="AV659" s="320"/>
      <c r="AW659" s="320"/>
      <c r="AX659" s="161"/>
      <c r="AY659" s="1540"/>
      <c r="AZ659" s="1560" t="e">
        <f>#REF!-#REF!</f>
        <v>#REF!</v>
      </c>
      <c r="BA659" s="1560" t="e">
        <f>IF(C659="Non-DPR",IF(SUM(AJ659:AV659)&gt;0,IF(H659&lt;#REF!,H659-#REF!,0),0),0)</f>
        <v>#REF!</v>
      </c>
      <c r="BB659" s="1560">
        <f t="shared" si="82"/>
        <v>0</v>
      </c>
      <c r="BC659" s="96" t="s">
        <v>256</v>
      </c>
      <c r="BD659" s="96" t="s">
        <v>1931</v>
      </c>
    </row>
    <row r="660" spans="1:56" ht="46.5" outlineLevel="1" x14ac:dyDescent="0.25">
      <c r="A660" s="1488">
        <v>23</v>
      </c>
      <c r="B660" s="1492" t="s">
        <v>2241</v>
      </c>
      <c r="C660" s="1554" t="s">
        <v>939</v>
      </c>
      <c r="D660" s="1488"/>
      <c r="E660" s="1495"/>
      <c r="F660" s="1413"/>
      <c r="G660" s="618"/>
      <c r="H660" s="618">
        <v>9.01</v>
      </c>
      <c r="I660" s="161"/>
      <c r="J660" s="161"/>
      <c r="K660" s="1413"/>
      <c r="L660" s="1414"/>
      <c r="M660" s="1414"/>
      <c r="N660" s="1414"/>
      <c r="O660" s="1551"/>
      <c r="P660" s="1521"/>
      <c r="Q660" s="320"/>
      <c r="R660" s="320"/>
      <c r="S660" s="320"/>
      <c r="T660" s="320">
        <f t="shared" si="83"/>
        <v>0</v>
      </c>
      <c r="U660" s="320"/>
      <c r="V660" s="320"/>
      <c r="W660" s="320">
        <v>9.01</v>
      </c>
      <c r="X660" s="320"/>
      <c r="Y660" s="320"/>
      <c r="Z660" s="320"/>
      <c r="AA660" s="320"/>
      <c r="AB660" s="320"/>
      <c r="AC660" s="1521"/>
      <c r="AD660" s="1521"/>
      <c r="AE660" s="1521"/>
      <c r="AF660" s="1521"/>
      <c r="AG660" s="1521"/>
      <c r="AH660" s="1521"/>
      <c r="AI660" s="1521"/>
      <c r="AJ660" s="320"/>
      <c r="AK660" s="320"/>
      <c r="AL660" s="320"/>
      <c r="AM660" s="320"/>
      <c r="AN660" s="1523">
        <f t="shared" si="84"/>
        <v>0</v>
      </c>
      <c r="AO660" s="320"/>
      <c r="AP660" s="320"/>
      <c r="AQ660" s="766">
        <v>9.01</v>
      </c>
      <c r="AR660" s="320"/>
      <c r="AS660" s="320"/>
      <c r="AT660" s="320"/>
      <c r="AU660" s="320"/>
      <c r="AV660" s="320"/>
      <c r="AW660" s="320"/>
      <c r="AX660" s="161"/>
      <c r="AY660" s="1540"/>
      <c r="AZ660" s="1560" t="e">
        <f>#REF!-#REF!</f>
        <v>#REF!</v>
      </c>
      <c r="BA660" s="1560" t="e">
        <f>IF(C660="Non-DPR",IF(SUM(AJ660:AV660)&gt;0,IF(H660&lt;#REF!,H660-#REF!,0),0),0)</f>
        <v>#REF!</v>
      </c>
      <c r="BB660" s="1560">
        <f t="shared" si="82"/>
        <v>0</v>
      </c>
      <c r="BC660" s="96" t="s">
        <v>256</v>
      </c>
      <c r="BD660" s="96" t="s">
        <v>886</v>
      </c>
    </row>
    <row r="661" spans="1:56" ht="98" outlineLevel="1" x14ac:dyDescent="0.25">
      <c r="A661" s="1488">
        <v>24</v>
      </c>
      <c r="B661" s="1492" t="s">
        <v>2242</v>
      </c>
      <c r="C661" s="1554" t="s">
        <v>939</v>
      </c>
      <c r="D661" s="1488"/>
      <c r="E661" s="1495"/>
      <c r="F661" s="1413"/>
      <c r="G661" s="618"/>
      <c r="H661" s="618">
        <v>2.57</v>
      </c>
      <c r="I661" s="161"/>
      <c r="J661" s="161"/>
      <c r="K661" s="1413"/>
      <c r="L661" s="1414"/>
      <c r="M661" s="1414"/>
      <c r="N661" s="1414"/>
      <c r="O661" s="1551" t="s">
        <v>2347</v>
      </c>
      <c r="P661" s="1521"/>
      <c r="Q661" s="320"/>
      <c r="R661" s="320"/>
      <c r="S661" s="320"/>
      <c r="T661" s="320">
        <f t="shared" si="83"/>
        <v>0</v>
      </c>
      <c r="U661" s="320"/>
      <c r="V661" s="320"/>
      <c r="W661" s="320">
        <v>0.55000000000000004</v>
      </c>
      <c r="X661" s="320">
        <v>2.02</v>
      </c>
      <c r="Y661" s="320"/>
      <c r="Z661" s="320"/>
      <c r="AA661" s="320"/>
      <c r="AB661" s="320"/>
      <c r="AC661" s="1521"/>
      <c r="AD661" s="1521"/>
      <c r="AE661" s="1521"/>
      <c r="AF661" s="1521"/>
      <c r="AG661" s="1521"/>
      <c r="AH661" s="1521"/>
      <c r="AI661" s="1521"/>
      <c r="AJ661" s="320"/>
      <c r="AK661" s="320"/>
      <c r="AL661" s="320"/>
      <c r="AM661" s="320"/>
      <c r="AN661" s="1523">
        <f t="shared" si="84"/>
        <v>0</v>
      </c>
      <c r="AO661" s="320"/>
      <c r="AP661" s="320"/>
      <c r="AQ661" s="766">
        <v>0.55000000000000004</v>
      </c>
      <c r="AR661" s="766">
        <v>2.02</v>
      </c>
      <c r="AS661" s="320"/>
      <c r="AT661" s="320"/>
      <c r="AU661" s="320"/>
      <c r="AV661" s="320"/>
      <c r="AW661" s="320"/>
      <c r="AX661" s="161"/>
      <c r="AY661" s="1540"/>
      <c r="AZ661" s="1560" t="e">
        <f>#REF!-#REF!</f>
        <v>#REF!</v>
      </c>
      <c r="BA661" s="1560" t="e">
        <f>IF(C661="Non-DPR",IF(SUM(AJ661:AV661)&gt;0,IF(H661&lt;#REF!,H661-#REF!,0),0),0)</f>
        <v>#REF!</v>
      </c>
      <c r="BB661" s="1560">
        <f t="shared" si="82"/>
        <v>-4.4408920985006262E-16</v>
      </c>
      <c r="BC661" s="96" t="s">
        <v>256</v>
      </c>
      <c r="BD661" s="96" t="s">
        <v>1931</v>
      </c>
    </row>
    <row r="662" spans="1:56" ht="46.5" outlineLevel="1" x14ac:dyDescent="0.25">
      <c r="A662" s="1488">
        <v>25</v>
      </c>
      <c r="B662" s="1492" t="s">
        <v>2243</v>
      </c>
      <c r="C662" s="1554" t="s">
        <v>939</v>
      </c>
      <c r="D662" s="1488"/>
      <c r="E662" s="1495"/>
      <c r="F662" s="1413"/>
      <c r="G662" s="618"/>
      <c r="H662" s="618">
        <f>SUM(P662:AB662)</f>
        <v>4.2</v>
      </c>
      <c r="I662" s="161"/>
      <c r="J662" s="161"/>
      <c r="K662" s="1413"/>
      <c r="L662" s="1414"/>
      <c r="M662" s="1414"/>
      <c r="N662" s="1414"/>
      <c r="O662" s="1551"/>
      <c r="P662" s="1521"/>
      <c r="Q662" s="320"/>
      <c r="R662" s="320"/>
      <c r="S662" s="320"/>
      <c r="T662" s="320">
        <f t="shared" si="83"/>
        <v>0</v>
      </c>
      <c r="U662" s="320"/>
      <c r="V662" s="320"/>
      <c r="W662" s="320"/>
      <c r="X662" s="320">
        <v>4.2</v>
      </c>
      <c r="Y662" s="320"/>
      <c r="Z662" s="320"/>
      <c r="AA662" s="320"/>
      <c r="AB662" s="320"/>
      <c r="AC662" s="1521"/>
      <c r="AD662" s="1521"/>
      <c r="AE662" s="1521"/>
      <c r="AF662" s="1521"/>
      <c r="AG662" s="1521"/>
      <c r="AH662" s="1521"/>
      <c r="AI662" s="1521"/>
      <c r="AJ662" s="320"/>
      <c r="AK662" s="320"/>
      <c r="AL662" s="320"/>
      <c r="AM662" s="320"/>
      <c r="AN662" s="1523">
        <f t="shared" si="84"/>
        <v>0</v>
      </c>
      <c r="AO662" s="320"/>
      <c r="AP662" s="320"/>
      <c r="AQ662" s="320"/>
      <c r="AR662" s="766">
        <v>4.2</v>
      </c>
      <c r="AS662" s="320"/>
      <c r="AT662" s="320"/>
      <c r="AU662" s="320"/>
      <c r="AV662" s="320"/>
      <c r="AW662" s="320"/>
      <c r="AX662" s="161"/>
      <c r="AY662" s="1540"/>
      <c r="AZ662" s="1560" t="e">
        <f>#REF!-#REF!</f>
        <v>#REF!</v>
      </c>
      <c r="BA662" s="1560" t="e">
        <f>IF(C662="Non-DPR",IF(SUM(AJ662:AV662)&gt;0,IF(H662&lt;#REF!,H662-#REF!,0),0),0)</f>
        <v>#REF!</v>
      </c>
      <c r="BB662" s="1560">
        <f t="shared" si="82"/>
        <v>0</v>
      </c>
      <c r="BC662" s="96" t="s">
        <v>256</v>
      </c>
      <c r="BD662" s="96" t="s">
        <v>1931</v>
      </c>
    </row>
    <row r="663" spans="1:56" ht="93" outlineLevel="1" x14ac:dyDescent="0.25">
      <c r="A663" s="1488">
        <v>26</v>
      </c>
      <c r="B663" s="1492" t="s">
        <v>2244</v>
      </c>
      <c r="C663" s="1554" t="s">
        <v>939</v>
      </c>
      <c r="D663" s="1488"/>
      <c r="E663" s="1495"/>
      <c r="F663" s="1413"/>
      <c r="G663" s="618"/>
      <c r="H663" s="618">
        <v>2.1</v>
      </c>
      <c r="I663" s="161"/>
      <c r="J663" s="161"/>
      <c r="K663" s="1413"/>
      <c r="L663" s="1414"/>
      <c r="M663" s="1414"/>
      <c r="N663" s="1414"/>
      <c r="O663" s="1551"/>
      <c r="P663" s="1521"/>
      <c r="Q663" s="320"/>
      <c r="R663" s="320"/>
      <c r="S663" s="320"/>
      <c r="T663" s="320">
        <f t="shared" si="83"/>
        <v>0</v>
      </c>
      <c r="U663" s="320"/>
      <c r="V663" s="320"/>
      <c r="W663" s="320">
        <v>2.1</v>
      </c>
      <c r="X663" s="320"/>
      <c r="Y663" s="320"/>
      <c r="Z663" s="320"/>
      <c r="AA663" s="320"/>
      <c r="AB663" s="320"/>
      <c r="AC663" s="1521"/>
      <c r="AD663" s="1521"/>
      <c r="AE663" s="1521"/>
      <c r="AF663" s="1521"/>
      <c r="AG663" s="1521"/>
      <c r="AH663" s="1521"/>
      <c r="AI663" s="1521"/>
      <c r="AJ663" s="320"/>
      <c r="AK663" s="320"/>
      <c r="AL663" s="320"/>
      <c r="AM663" s="320"/>
      <c r="AN663" s="1523">
        <f t="shared" si="84"/>
        <v>0</v>
      </c>
      <c r="AO663" s="320"/>
      <c r="AP663" s="320"/>
      <c r="AQ663" s="766">
        <v>2.1</v>
      </c>
      <c r="AR663" s="320"/>
      <c r="AS663" s="320"/>
      <c r="AT663" s="320"/>
      <c r="AU663" s="320"/>
      <c r="AV663" s="320"/>
      <c r="AW663" s="320"/>
      <c r="AX663" s="161"/>
      <c r="AY663" s="1540"/>
      <c r="AZ663" s="1560" t="e">
        <f>#REF!-#REF!</f>
        <v>#REF!</v>
      </c>
      <c r="BA663" s="1560" t="e">
        <f>IF(C663="Non-DPR",IF(SUM(AJ663:AV663)&gt;0,IF(H663&lt;#REF!,H663-#REF!,0),0),0)</f>
        <v>#REF!</v>
      </c>
      <c r="BB663" s="1560">
        <f t="shared" si="82"/>
        <v>0</v>
      </c>
      <c r="BC663" s="96" t="s">
        <v>256</v>
      </c>
      <c r="BD663" s="96" t="s">
        <v>886</v>
      </c>
    </row>
    <row r="664" spans="1:56" ht="77.5" outlineLevel="1" x14ac:dyDescent="0.25">
      <c r="A664" s="1488">
        <v>27</v>
      </c>
      <c r="B664" s="1492" t="s">
        <v>2245</v>
      </c>
      <c r="C664" s="1554" t="s">
        <v>939</v>
      </c>
      <c r="D664" s="1488"/>
      <c r="E664" s="1495"/>
      <c r="F664" s="1413"/>
      <c r="G664" s="618"/>
      <c r="H664" s="618">
        <v>4.55</v>
      </c>
      <c r="I664" s="161"/>
      <c r="J664" s="161"/>
      <c r="K664" s="1413"/>
      <c r="L664" s="1414"/>
      <c r="M664" s="1414"/>
      <c r="N664" s="1414"/>
      <c r="O664" s="1551"/>
      <c r="P664" s="1521"/>
      <c r="Q664" s="320"/>
      <c r="R664" s="320"/>
      <c r="S664" s="320"/>
      <c r="T664" s="320">
        <f t="shared" si="83"/>
        <v>0</v>
      </c>
      <c r="U664" s="320"/>
      <c r="V664" s="320"/>
      <c r="W664" s="320"/>
      <c r="X664" s="320">
        <v>4.55</v>
      </c>
      <c r="Y664" s="320"/>
      <c r="Z664" s="320"/>
      <c r="AA664" s="320"/>
      <c r="AB664" s="320"/>
      <c r="AC664" s="1521"/>
      <c r="AD664" s="1521"/>
      <c r="AE664" s="1521"/>
      <c r="AF664" s="1521"/>
      <c r="AG664" s="1521"/>
      <c r="AH664" s="1521"/>
      <c r="AI664" s="1521"/>
      <c r="AJ664" s="320"/>
      <c r="AK664" s="320"/>
      <c r="AL664" s="320"/>
      <c r="AM664" s="320"/>
      <c r="AN664" s="1523">
        <f t="shared" si="84"/>
        <v>0</v>
      </c>
      <c r="AO664" s="320"/>
      <c r="AP664" s="320"/>
      <c r="AQ664" s="320"/>
      <c r="AR664" s="766">
        <v>4.55</v>
      </c>
      <c r="AS664" s="320"/>
      <c r="AT664" s="320"/>
      <c r="AU664" s="320"/>
      <c r="AV664" s="320"/>
      <c r="AW664" s="320"/>
      <c r="AX664" s="161"/>
      <c r="AY664" s="1540"/>
      <c r="AZ664" s="1560" t="e">
        <f>#REF!-#REF!</f>
        <v>#REF!</v>
      </c>
      <c r="BA664" s="1560" t="e">
        <f>IF(C664="Non-DPR",IF(SUM(AJ664:AV664)&gt;0,IF(H664&lt;#REF!,H664-#REF!,0),0),0)</f>
        <v>#REF!</v>
      </c>
      <c r="BB664" s="1560">
        <f t="shared" si="82"/>
        <v>0</v>
      </c>
      <c r="BC664" s="96" t="s">
        <v>256</v>
      </c>
      <c r="BD664" s="96" t="s">
        <v>1931</v>
      </c>
    </row>
    <row r="665" spans="1:56" ht="62" outlineLevel="1" x14ac:dyDescent="0.25">
      <c r="A665" s="1488">
        <v>28</v>
      </c>
      <c r="B665" s="1492" t="s">
        <v>2246</v>
      </c>
      <c r="C665" s="1554" t="s">
        <v>939</v>
      </c>
      <c r="D665" s="1488"/>
      <c r="E665" s="1495"/>
      <c r="F665" s="1413"/>
      <c r="G665" s="618"/>
      <c r="H665" s="618">
        <v>0.97</v>
      </c>
      <c r="I665" s="161"/>
      <c r="J665" s="161"/>
      <c r="K665" s="1413"/>
      <c r="L665" s="1414"/>
      <c r="M665" s="1414"/>
      <c r="N665" s="1414"/>
      <c r="O665" s="1551"/>
      <c r="P665" s="1521"/>
      <c r="Q665" s="320"/>
      <c r="R665" s="320"/>
      <c r="S665" s="320"/>
      <c r="T665" s="320">
        <f t="shared" si="83"/>
        <v>0</v>
      </c>
      <c r="U665" s="320"/>
      <c r="V665" s="320"/>
      <c r="W665" s="320"/>
      <c r="X665" s="320">
        <v>0.97</v>
      </c>
      <c r="Y665" s="320"/>
      <c r="Z665" s="320"/>
      <c r="AA665" s="320"/>
      <c r="AB665" s="320"/>
      <c r="AC665" s="1521"/>
      <c r="AD665" s="1521"/>
      <c r="AE665" s="1521"/>
      <c r="AF665" s="1521"/>
      <c r="AG665" s="1521"/>
      <c r="AH665" s="1521"/>
      <c r="AI665" s="1521"/>
      <c r="AJ665" s="320"/>
      <c r="AK665" s="320"/>
      <c r="AL665" s="320"/>
      <c r="AM665" s="320"/>
      <c r="AN665" s="1523">
        <f t="shared" si="84"/>
        <v>0</v>
      </c>
      <c r="AO665" s="320"/>
      <c r="AP665" s="320"/>
      <c r="AQ665" s="320"/>
      <c r="AR665" s="766">
        <v>0.97</v>
      </c>
      <c r="AS665" s="320"/>
      <c r="AT665" s="320"/>
      <c r="AU665" s="320"/>
      <c r="AV665" s="320"/>
      <c r="AW665" s="320"/>
      <c r="AX665" s="161"/>
      <c r="AY665" s="1540"/>
      <c r="AZ665" s="1560" t="e">
        <f>#REF!-#REF!</f>
        <v>#REF!</v>
      </c>
      <c r="BA665" s="1560" t="e">
        <f>IF(C665="Non-DPR",IF(SUM(AJ665:AV665)&gt;0,IF(H665&lt;#REF!,H665-#REF!,0),0),0)</f>
        <v>#REF!</v>
      </c>
      <c r="BB665" s="1560">
        <f t="shared" si="82"/>
        <v>0</v>
      </c>
      <c r="BC665" s="96" t="s">
        <v>256</v>
      </c>
      <c r="BD665" s="96" t="s">
        <v>1931</v>
      </c>
    </row>
    <row r="666" spans="1:56" ht="62" outlineLevel="1" x14ac:dyDescent="0.25">
      <c r="A666" s="1488">
        <v>29</v>
      </c>
      <c r="B666" s="1492" t="s">
        <v>2247</v>
      </c>
      <c r="C666" s="1554" t="s">
        <v>939</v>
      </c>
      <c r="D666" s="1488"/>
      <c r="E666" s="1495"/>
      <c r="F666" s="1413"/>
      <c r="G666" s="618"/>
      <c r="H666" s="618">
        <v>7.89</v>
      </c>
      <c r="I666" s="161"/>
      <c r="J666" s="161"/>
      <c r="K666" s="1413"/>
      <c r="L666" s="1414"/>
      <c r="M666" s="1414"/>
      <c r="N666" s="1414"/>
      <c r="O666" s="1551"/>
      <c r="P666" s="1521"/>
      <c r="Q666" s="320"/>
      <c r="R666" s="320"/>
      <c r="S666" s="320"/>
      <c r="T666" s="320">
        <f t="shared" si="83"/>
        <v>0</v>
      </c>
      <c r="U666" s="320"/>
      <c r="V666" s="320"/>
      <c r="W666" s="320"/>
      <c r="X666" s="320">
        <v>7.89</v>
      </c>
      <c r="Y666" s="320"/>
      <c r="Z666" s="320"/>
      <c r="AA666" s="320"/>
      <c r="AB666" s="320"/>
      <c r="AC666" s="1521"/>
      <c r="AD666" s="1521"/>
      <c r="AE666" s="1521"/>
      <c r="AF666" s="1521"/>
      <c r="AG666" s="1521"/>
      <c r="AH666" s="1521"/>
      <c r="AI666" s="1521"/>
      <c r="AJ666" s="320"/>
      <c r="AK666" s="320"/>
      <c r="AL666" s="320"/>
      <c r="AM666" s="320"/>
      <c r="AN666" s="1523">
        <f t="shared" si="84"/>
        <v>0</v>
      </c>
      <c r="AO666" s="320"/>
      <c r="AP666" s="320"/>
      <c r="AQ666" s="320"/>
      <c r="AR666" s="766">
        <v>7.89</v>
      </c>
      <c r="AS666" s="320"/>
      <c r="AT666" s="320"/>
      <c r="AU666" s="320"/>
      <c r="AV666" s="320"/>
      <c r="AW666" s="320"/>
      <c r="AX666" s="161"/>
      <c r="AY666" s="1540"/>
      <c r="AZ666" s="1560" t="e">
        <f>#REF!-#REF!</f>
        <v>#REF!</v>
      </c>
      <c r="BA666" s="1560" t="e">
        <f>IF(C666="Non-DPR",IF(SUM(AJ666:AV666)&gt;0,IF(H666&lt;#REF!,H666-#REF!,0),0),0)</f>
        <v>#REF!</v>
      </c>
      <c r="BB666" s="1560">
        <f t="shared" si="82"/>
        <v>0</v>
      </c>
      <c r="BC666" s="96" t="s">
        <v>846</v>
      </c>
      <c r="BD666" s="96" t="s">
        <v>1931</v>
      </c>
    </row>
    <row r="667" spans="1:56" ht="62" outlineLevel="1" x14ac:dyDescent="0.25">
      <c r="A667" s="1488">
        <v>30</v>
      </c>
      <c r="B667" s="1492" t="s">
        <v>2248</v>
      </c>
      <c r="C667" s="1554" t="s">
        <v>939</v>
      </c>
      <c r="D667" s="1488"/>
      <c r="E667" s="1495"/>
      <c r="F667" s="1413"/>
      <c r="G667" s="618"/>
      <c r="H667" s="618">
        <v>5.44</v>
      </c>
      <c r="I667" s="161"/>
      <c r="J667" s="161"/>
      <c r="K667" s="1413"/>
      <c r="L667" s="1414"/>
      <c r="M667" s="1414"/>
      <c r="N667" s="1414"/>
      <c r="O667" s="1551"/>
      <c r="P667" s="1521"/>
      <c r="Q667" s="320"/>
      <c r="R667" s="320"/>
      <c r="S667" s="320"/>
      <c r="T667" s="320">
        <f t="shared" si="83"/>
        <v>0</v>
      </c>
      <c r="U667" s="320"/>
      <c r="V667" s="320"/>
      <c r="W667" s="320"/>
      <c r="X667" s="320">
        <v>5.44</v>
      </c>
      <c r="Y667" s="320"/>
      <c r="Z667" s="320"/>
      <c r="AA667" s="320"/>
      <c r="AB667" s="320"/>
      <c r="AC667" s="1521"/>
      <c r="AD667" s="1521"/>
      <c r="AE667" s="1521"/>
      <c r="AF667" s="1521"/>
      <c r="AG667" s="1521"/>
      <c r="AH667" s="1521"/>
      <c r="AI667" s="1521"/>
      <c r="AJ667" s="320"/>
      <c r="AK667" s="320"/>
      <c r="AL667" s="320"/>
      <c r="AM667" s="320"/>
      <c r="AN667" s="1523">
        <f t="shared" si="84"/>
        <v>0</v>
      </c>
      <c r="AO667" s="320"/>
      <c r="AP667" s="320"/>
      <c r="AQ667" s="320"/>
      <c r="AR667" s="766">
        <v>5.44</v>
      </c>
      <c r="AS667" s="320"/>
      <c r="AT667" s="320"/>
      <c r="AU667" s="320"/>
      <c r="AV667" s="320"/>
      <c r="AW667" s="320"/>
      <c r="AX667" s="161"/>
      <c r="AY667" s="1540"/>
      <c r="AZ667" s="1560" t="e">
        <f>#REF!-#REF!</f>
        <v>#REF!</v>
      </c>
      <c r="BA667" s="1560" t="e">
        <f>IF(C667="Non-DPR",IF(SUM(AJ667:AV667)&gt;0,IF(H667&lt;#REF!,H667-#REF!,0),0),0)</f>
        <v>#REF!</v>
      </c>
      <c r="BB667" s="1560">
        <f t="shared" si="82"/>
        <v>0</v>
      </c>
      <c r="BC667" s="96" t="s">
        <v>256</v>
      </c>
      <c r="BD667" s="96" t="s">
        <v>1931</v>
      </c>
    </row>
    <row r="668" spans="1:56" ht="15.5" outlineLevel="1" x14ac:dyDescent="0.25">
      <c r="A668" s="1488">
        <v>31</v>
      </c>
      <c r="B668" s="1492" t="s">
        <v>2249</v>
      </c>
      <c r="C668" s="1554" t="s">
        <v>939</v>
      </c>
      <c r="D668" s="1488"/>
      <c r="E668" s="1495"/>
      <c r="F668" s="1413"/>
      <c r="G668" s="618"/>
      <c r="H668" s="618">
        <f>SUM(P668:AB668)</f>
        <v>1.3756576</v>
      </c>
      <c r="I668" s="161"/>
      <c r="J668" s="161"/>
      <c r="K668" s="1413"/>
      <c r="L668" s="1414"/>
      <c r="M668" s="1414"/>
      <c r="N668" s="1414"/>
      <c r="O668" s="1551"/>
      <c r="P668" s="320"/>
      <c r="Q668" s="320"/>
      <c r="R668" s="320"/>
      <c r="S668" s="320"/>
      <c r="T668" s="320">
        <f t="shared" si="83"/>
        <v>0</v>
      </c>
      <c r="U668" s="320"/>
      <c r="V668" s="1615">
        <v>1.3756576</v>
      </c>
      <c r="W668" s="320"/>
      <c r="X668" s="320"/>
      <c r="Y668" s="320"/>
      <c r="Z668" s="320"/>
      <c r="AA668" s="320"/>
      <c r="AB668" s="320"/>
      <c r="AC668" s="1522"/>
      <c r="AD668" s="1522"/>
      <c r="AE668" s="1522"/>
      <c r="AF668" s="1522"/>
      <c r="AG668" s="1522"/>
      <c r="AH668" s="1522"/>
      <c r="AI668" s="1522"/>
      <c r="AJ668" s="320"/>
      <c r="AK668" s="320">
        <v>0</v>
      </c>
      <c r="AL668" s="320">
        <v>0</v>
      </c>
      <c r="AM668" s="320">
        <v>0</v>
      </c>
      <c r="AN668" s="1523">
        <f t="shared" si="84"/>
        <v>0</v>
      </c>
      <c r="AO668" s="1581">
        <v>0</v>
      </c>
      <c r="AP668" s="1616">
        <v>1.3756576</v>
      </c>
      <c r="AQ668" s="320">
        <f>W668</f>
        <v>0</v>
      </c>
      <c r="AR668" s="320"/>
      <c r="AS668" s="320"/>
      <c r="AT668" s="320"/>
      <c r="AU668" s="320"/>
      <c r="AV668" s="320"/>
      <c r="AW668" s="320"/>
      <c r="AX668" s="161"/>
      <c r="AY668" s="1540"/>
      <c r="AZ668" s="1560" t="e">
        <f>#REF!-#REF!</f>
        <v>#REF!</v>
      </c>
      <c r="BA668" s="1560" t="e">
        <f>IF(C668="Non-DPR",IF(SUM(AJ668:AV668)&gt;0,IF(H668&lt;#REF!,H668-#REF!,0),0),0)</f>
        <v>#REF!</v>
      </c>
      <c r="BB668" s="1560">
        <f t="shared" si="82"/>
        <v>0</v>
      </c>
      <c r="BC668" s="96" t="s">
        <v>256</v>
      </c>
      <c r="BD668" s="96" t="s">
        <v>886</v>
      </c>
    </row>
    <row r="669" spans="1:56" ht="15.5" outlineLevel="1" x14ac:dyDescent="0.25">
      <c r="A669" s="1488">
        <v>32</v>
      </c>
      <c r="B669" s="1492" t="s">
        <v>2250</v>
      </c>
      <c r="C669" s="1554" t="s">
        <v>939</v>
      </c>
      <c r="D669" s="1488"/>
      <c r="E669" s="1495"/>
      <c r="F669" s="1413"/>
      <c r="G669" s="618"/>
      <c r="H669" s="618">
        <f>SUM(P669:AB669)</f>
        <v>0.82545579999999996</v>
      </c>
      <c r="I669" s="161"/>
      <c r="J669" s="161"/>
      <c r="K669" s="1413"/>
      <c r="L669" s="1414"/>
      <c r="M669" s="1414"/>
      <c r="N669" s="1414"/>
      <c r="O669" s="1551"/>
      <c r="P669" s="320"/>
      <c r="Q669" s="320"/>
      <c r="R669" s="320"/>
      <c r="S669" s="320"/>
      <c r="T669" s="320">
        <f t="shared" si="83"/>
        <v>0</v>
      </c>
      <c r="U669" s="320"/>
      <c r="V669" s="1615">
        <v>0.82545579999999996</v>
      </c>
      <c r="W669" s="320"/>
      <c r="X669" s="320"/>
      <c r="Y669" s="320"/>
      <c r="Z669" s="320"/>
      <c r="AA669" s="320"/>
      <c r="AB669" s="320"/>
      <c r="AC669" s="1522"/>
      <c r="AD669" s="1522"/>
      <c r="AE669" s="1522"/>
      <c r="AF669" s="1522"/>
      <c r="AG669" s="1522"/>
      <c r="AH669" s="1522"/>
      <c r="AI669" s="1522"/>
      <c r="AJ669" s="320"/>
      <c r="AK669" s="320">
        <v>0</v>
      </c>
      <c r="AL669" s="320">
        <v>0</v>
      </c>
      <c r="AM669" s="320">
        <v>0</v>
      </c>
      <c r="AN669" s="1523">
        <f t="shared" si="84"/>
        <v>0</v>
      </c>
      <c r="AO669" s="1581">
        <v>0</v>
      </c>
      <c r="AP669" s="1616">
        <v>0.82545579999999996</v>
      </c>
      <c r="AQ669" s="320">
        <f t="shared" ref="AQ669" si="85">W669</f>
        <v>0</v>
      </c>
      <c r="AR669" s="320"/>
      <c r="AS669" s="320"/>
      <c r="AT669" s="320"/>
      <c r="AU669" s="320"/>
      <c r="AV669" s="320"/>
      <c r="AW669" s="320"/>
      <c r="AX669" s="161"/>
      <c r="AY669" s="1540"/>
      <c r="AZ669" s="1560" t="e">
        <f>#REF!-#REF!</f>
        <v>#REF!</v>
      </c>
      <c r="BA669" s="1560" t="e">
        <f>IF(C669="Non-DPR",IF(SUM(AJ669:AV669)&gt;0,IF(H669&lt;#REF!,H669-#REF!,0),0),0)</f>
        <v>#REF!</v>
      </c>
      <c r="BB669" s="1560">
        <f t="shared" si="82"/>
        <v>0</v>
      </c>
      <c r="BC669" s="96" t="s">
        <v>256</v>
      </c>
      <c r="BD669" s="96" t="s">
        <v>886</v>
      </c>
    </row>
    <row r="670" spans="1:56" ht="31" outlineLevel="1" x14ac:dyDescent="0.25">
      <c r="A670" s="1488">
        <v>33</v>
      </c>
      <c r="B670" s="1492" t="s">
        <v>2251</v>
      </c>
      <c r="C670" s="1554" t="s">
        <v>939</v>
      </c>
      <c r="D670" s="1488"/>
      <c r="E670" s="1495"/>
      <c r="F670" s="1413"/>
      <c r="G670" s="618"/>
      <c r="H670" s="618">
        <v>10.3</v>
      </c>
      <c r="I670" s="161"/>
      <c r="J670" s="161"/>
      <c r="K670" s="1413"/>
      <c r="L670" s="1414"/>
      <c r="M670" s="1414"/>
      <c r="N670" s="1414"/>
      <c r="O670" s="1551"/>
      <c r="P670" s="1521"/>
      <c r="Q670" s="320"/>
      <c r="R670" s="320"/>
      <c r="S670" s="320"/>
      <c r="T670" s="320">
        <f t="shared" si="83"/>
        <v>0</v>
      </c>
      <c r="U670" s="320"/>
      <c r="V670" s="320"/>
      <c r="W670" s="320">
        <v>7.5</v>
      </c>
      <c r="X670" s="320">
        <v>2.8</v>
      </c>
      <c r="Y670" s="320"/>
      <c r="Z670" s="320"/>
      <c r="AA670" s="320"/>
      <c r="AB670" s="320"/>
      <c r="AC670" s="1521"/>
      <c r="AD670" s="1521"/>
      <c r="AE670" s="1521"/>
      <c r="AF670" s="1521"/>
      <c r="AG670" s="1521"/>
      <c r="AH670" s="1521"/>
      <c r="AI670" s="1521"/>
      <c r="AJ670" s="320"/>
      <c r="AK670" s="320"/>
      <c r="AL670" s="320"/>
      <c r="AM670" s="320"/>
      <c r="AN670" s="1523">
        <f t="shared" si="84"/>
        <v>0</v>
      </c>
      <c r="AO670" s="320"/>
      <c r="AP670" s="320"/>
      <c r="AQ670" s="320">
        <v>7.5</v>
      </c>
      <c r="AR670" s="320">
        <v>2.8</v>
      </c>
      <c r="AS670" s="320"/>
      <c r="AT670" s="320"/>
      <c r="AU670" s="320"/>
      <c r="AV670" s="320"/>
      <c r="AW670" s="320"/>
      <c r="AX670" s="161"/>
      <c r="AY670" s="1540"/>
      <c r="AZ670" s="1560" t="e">
        <f>#REF!-#REF!</f>
        <v>#REF!</v>
      </c>
      <c r="BA670" s="1560" t="e">
        <f>IF(C670="Non-DPR",IF(SUM(AJ670:AV670)&gt;0,IF(H670&lt;#REF!,H670-#REF!,0),0),0)</f>
        <v>#REF!</v>
      </c>
      <c r="BB670" s="1560">
        <f t="shared" si="82"/>
        <v>0</v>
      </c>
      <c r="BC670" s="96" t="s">
        <v>256</v>
      </c>
      <c r="BD670" s="96" t="s">
        <v>1931</v>
      </c>
    </row>
    <row r="671" spans="1:56" ht="84" outlineLevel="1" x14ac:dyDescent="0.3">
      <c r="A671" s="1488">
        <v>34</v>
      </c>
      <c r="B671" s="1492" t="s">
        <v>2252</v>
      </c>
      <c r="C671" s="1554" t="s">
        <v>939</v>
      </c>
      <c r="D671" s="1488"/>
      <c r="E671" s="1495"/>
      <c r="F671" s="1413"/>
      <c r="G671" s="618"/>
      <c r="H671" s="618">
        <v>5.62</v>
      </c>
      <c r="I671" s="161"/>
      <c r="J671" s="161"/>
      <c r="K671" s="1413"/>
      <c r="L671" s="1414"/>
      <c r="M671" s="1414"/>
      <c r="N671" s="1414"/>
      <c r="O671" s="1604" t="s">
        <v>2355</v>
      </c>
      <c r="P671" s="1521"/>
      <c r="Q671" s="320"/>
      <c r="R671" s="320"/>
      <c r="S671" s="320"/>
      <c r="T671" s="320">
        <f t="shared" si="83"/>
        <v>0</v>
      </c>
      <c r="U671" s="320"/>
      <c r="V671" s="320"/>
      <c r="W671" s="320"/>
      <c r="X671" s="320">
        <v>5.62</v>
      </c>
      <c r="Y671" s="320"/>
      <c r="Z671" s="320"/>
      <c r="AA671" s="320"/>
      <c r="AB671" s="320"/>
      <c r="AC671" s="1521"/>
      <c r="AD671" s="1521"/>
      <c r="AE671" s="1521"/>
      <c r="AF671" s="1521"/>
      <c r="AG671" s="1521"/>
      <c r="AH671" s="1521"/>
      <c r="AI671" s="1521"/>
      <c r="AJ671" s="320"/>
      <c r="AK671" s="320"/>
      <c r="AL671" s="320"/>
      <c r="AM671" s="320"/>
      <c r="AN671" s="1523">
        <f t="shared" si="84"/>
        <v>0</v>
      </c>
      <c r="AO671" s="320"/>
      <c r="AP671" s="320"/>
      <c r="AQ671" s="320"/>
      <c r="AR671" s="320">
        <v>5.62</v>
      </c>
      <c r="AS671" s="320"/>
      <c r="AT671" s="320"/>
      <c r="AU671" s="320"/>
      <c r="AV671" s="320"/>
      <c r="AW671" s="320"/>
      <c r="AX671" s="161"/>
      <c r="AY671" s="1540"/>
      <c r="AZ671" s="1560" t="e">
        <f>#REF!-#REF!</f>
        <v>#REF!</v>
      </c>
      <c r="BA671" s="1560" t="e">
        <f>IF(C671="Non-DPR",IF(SUM(AJ671:AV671)&gt;0,IF(H671&lt;#REF!,H671-#REF!,0),0),0)</f>
        <v>#REF!</v>
      </c>
      <c r="BB671" s="1560">
        <f t="shared" si="82"/>
        <v>0</v>
      </c>
      <c r="BC671" s="96" t="s">
        <v>256</v>
      </c>
      <c r="BD671" s="96" t="s">
        <v>1931</v>
      </c>
    </row>
    <row r="672" spans="1:56" ht="15" x14ac:dyDescent="0.25">
      <c r="A672" s="1422"/>
      <c r="B672" s="567" t="s">
        <v>271</v>
      </c>
      <c r="C672" s="1422"/>
      <c r="D672" s="1422"/>
      <c r="E672" s="1423"/>
      <c r="F672" s="1423"/>
      <c r="G672" s="567"/>
      <c r="H672" s="567"/>
      <c r="I672" s="567"/>
      <c r="J672" s="567"/>
      <c r="K672" s="1423"/>
      <c r="L672" s="1424"/>
      <c r="M672" s="1424"/>
      <c r="N672" s="1424"/>
      <c r="O672" s="567"/>
      <c r="P672" s="1617">
        <f t="shared" ref="P672:AB672" si="86">SUM(P7:P671)</f>
        <v>380.63837268555221</v>
      </c>
      <c r="Q672" s="1617">
        <f t="shared" si="86"/>
        <v>70.440224101000013</v>
      </c>
      <c r="R672" s="1617">
        <f t="shared" si="86"/>
        <v>55.007774145000006</v>
      </c>
      <c r="S672" s="1617">
        <f t="shared" si="86"/>
        <v>372.49736790100002</v>
      </c>
      <c r="T672" s="1617">
        <f t="shared" si="86"/>
        <v>878.58373883255217</v>
      </c>
      <c r="U672" s="1617">
        <f t="shared" si="86"/>
        <v>131.05613579299998</v>
      </c>
      <c r="V672" s="1617">
        <f t="shared" si="86"/>
        <v>127.60395725800005</v>
      </c>
      <c r="W672" s="1617">
        <f t="shared" si="86"/>
        <v>591.35306475780328</v>
      </c>
      <c r="X672" s="1617">
        <f t="shared" si="86"/>
        <v>3042.2371966759997</v>
      </c>
      <c r="Y672" s="1617">
        <f t="shared" si="86"/>
        <v>2211.6904794520551</v>
      </c>
      <c r="Z672" s="1617">
        <f t="shared" si="86"/>
        <v>814.96399999999994</v>
      </c>
      <c r="AA672" s="1617">
        <f t="shared" si="86"/>
        <v>879.15994000000001</v>
      </c>
      <c r="AB672" s="1617">
        <f t="shared" si="86"/>
        <v>211.02</v>
      </c>
      <c r="AC672" s="1617"/>
      <c r="AD672" s="1617"/>
      <c r="AE672" s="1617"/>
      <c r="AF672" s="1617"/>
      <c r="AG672" s="1617"/>
      <c r="AH672" s="1617"/>
      <c r="AI672" s="1617"/>
      <c r="AJ672" s="1617">
        <f t="shared" ref="AJ672:AW672" si="87">SUM(AJ7:AJ671)</f>
        <v>337.73590505755215</v>
      </c>
      <c r="AK672" s="1617">
        <f t="shared" si="87"/>
        <v>54.119575674000011</v>
      </c>
      <c r="AL672" s="1617">
        <f t="shared" si="87"/>
        <v>59.891526191000004</v>
      </c>
      <c r="AM672" s="1617">
        <f t="shared" si="87"/>
        <v>397.57917030599998</v>
      </c>
      <c r="AN672" s="1617">
        <f t="shared" si="87"/>
        <v>849.32617722855196</v>
      </c>
      <c r="AO672" s="1617">
        <f t="shared" si="87"/>
        <v>117.32257103399999</v>
      </c>
      <c r="AP672" s="1617">
        <f t="shared" si="87"/>
        <v>110.79418752000001</v>
      </c>
      <c r="AQ672" s="1617">
        <f t="shared" si="87"/>
        <v>439.66785696280334</v>
      </c>
      <c r="AR672" s="1617">
        <f t="shared" si="87"/>
        <v>2335.8957236679989</v>
      </c>
      <c r="AS672" s="1617">
        <f t="shared" si="87"/>
        <v>1901.8434794520551</v>
      </c>
      <c r="AT672" s="1617">
        <f t="shared" si="87"/>
        <v>1986.5339999999999</v>
      </c>
      <c r="AU672" s="1617">
        <f t="shared" si="87"/>
        <v>879.15994000000001</v>
      </c>
      <c r="AV672" s="1617">
        <f t="shared" si="87"/>
        <v>211.02</v>
      </c>
      <c r="AW672" s="1617">
        <f t="shared" si="87"/>
        <v>2.5425876890000003</v>
      </c>
      <c r="AX672" s="567"/>
      <c r="AY672" s="568"/>
    </row>
    <row r="675" spans="41:43" x14ac:dyDescent="0.25">
      <c r="AO675" s="1618">
        <f>SUM(AO639:AO671)</f>
        <v>19.549279391000002</v>
      </c>
      <c r="AP675" s="1618">
        <f>SUM(AP639:AP671)</f>
        <v>18.46569792</v>
      </c>
      <c r="AQ675" s="1618">
        <f>SUM(AQ639:AQ671)</f>
        <v>64.515669675999987</v>
      </c>
    </row>
  </sheetData>
  <autoFilter ref="AZ8:AZ676" xr:uid="{00000000-0009-0000-0000-000013000000}"/>
  <mergeCells count="31">
    <mergeCell ref="A1:A3"/>
    <mergeCell ref="B1:B3"/>
    <mergeCell ref="C1:C3"/>
    <mergeCell ref="D1:D3"/>
    <mergeCell ref="E1:E3"/>
    <mergeCell ref="F1:F3"/>
    <mergeCell ref="G1:G3"/>
    <mergeCell ref="H1:H3"/>
    <mergeCell ref="I1:I3"/>
    <mergeCell ref="J1:J3"/>
    <mergeCell ref="K1:K3"/>
    <mergeCell ref="L1:L3"/>
    <mergeCell ref="M1:M3"/>
    <mergeCell ref="N1:N3"/>
    <mergeCell ref="O1:O3"/>
    <mergeCell ref="O318:O319"/>
    <mergeCell ref="O329:O330"/>
    <mergeCell ref="O456:O460"/>
    <mergeCell ref="AY1:AY3"/>
    <mergeCell ref="P2:P3"/>
    <mergeCell ref="T2:T3"/>
    <mergeCell ref="X2:AB2"/>
    <mergeCell ref="AC2:AC3"/>
    <mergeCell ref="AJ2:AJ3"/>
    <mergeCell ref="AN2:AN3"/>
    <mergeCell ref="AR2:AV2"/>
    <mergeCell ref="P1:W1"/>
    <mergeCell ref="AC1:AI1"/>
    <mergeCell ref="AJ1:AV1"/>
    <mergeCell ref="AW1:AW3"/>
    <mergeCell ref="AX1:AX3"/>
  </mergeCells>
  <conditionalFormatting sqref="D7:D25">
    <cfRule type="containsText" dxfId="2560" priority="717" operator="containsText" text="DPR not submitted">
      <formula>NOT(ISERROR(SEARCH("DPR not submitted",D7)))</formula>
    </cfRule>
    <cfRule type="containsText" dxfId="2559" priority="718" operator="containsText" text="Yet to be approved">
      <formula>NOT(ISERROR(SEARCH("Yet to be approved",D7)))</formula>
    </cfRule>
  </conditionalFormatting>
  <conditionalFormatting sqref="D38">
    <cfRule type="containsText" dxfId="2558" priority="715" operator="containsText" text="DPR not submitted">
      <formula>NOT(ISERROR(SEARCH("DPR not submitted",D38)))</formula>
    </cfRule>
    <cfRule type="containsText" dxfId="2557" priority="716" operator="containsText" text="Yet to be approved">
      <formula>NOT(ISERROR(SEARCH("Yet to be approved",D38)))</formula>
    </cfRule>
  </conditionalFormatting>
  <conditionalFormatting sqref="D44:D46">
    <cfRule type="containsText" dxfId="2556" priority="651" operator="containsText" text="DPR not submitted">
      <formula>NOT(ISERROR(SEARCH("DPR not submitted",D44)))</formula>
    </cfRule>
    <cfRule type="containsText" dxfId="2555" priority="652" operator="containsText" text="Yet to be approved">
      <formula>NOT(ISERROR(SEARCH("Yet to be approved",D44)))</formula>
    </cfRule>
  </conditionalFormatting>
  <conditionalFormatting sqref="D48">
    <cfRule type="containsText" dxfId="2554" priority="713" operator="containsText" text="DPR not submitted">
      <formula>NOT(ISERROR(SEARCH("DPR not submitted",D48)))</formula>
    </cfRule>
    <cfRule type="containsText" dxfId="2553" priority="714" operator="containsText" text="Yet to be approved">
      <formula>NOT(ISERROR(SEARCH("Yet to be approved",D48)))</formula>
    </cfRule>
  </conditionalFormatting>
  <conditionalFormatting sqref="D50:D52">
    <cfRule type="containsText" dxfId="2552" priority="607" operator="containsText" text="DPR not submitted">
      <formula>NOT(ISERROR(SEARCH("DPR not submitted",D50)))</formula>
    </cfRule>
    <cfRule type="containsText" dxfId="2551" priority="608" operator="containsText" text="Yet to be approved">
      <formula>NOT(ISERROR(SEARCH("Yet to be approved",D50)))</formula>
    </cfRule>
  </conditionalFormatting>
  <conditionalFormatting sqref="D56">
    <cfRule type="containsText" dxfId="2550" priority="711" operator="containsText" text="DPR not submitted">
      <formula>NOT(ISERROR(SEARCH("DPR not submitted",D56)))</formula>
    </cfRule>
    <cfRule type="containsText" dxfId="2549" priority="712" operator="containsText" text="Yet to be approved">
      <formula>NOT(ISERROR(SEARCH("Yet to be approved",D56)))</formula>
    </cfRule>
  </conditionalFormatting>
  <conditionalFormatting sqref="D60">
    <cfRule type="containsText" dxfId="2548" priority="709" operator="containsText" text="DPR not submitted">
      <formula>NOT(ISERROR(SEARCH("DPR not submitted",D60)))</formula>
    </cfRule>
    <cfRule type="containsText" dxfId="2547" priority="710" operator="containsText" text="Yet to be approved">
      <formula>NOT(ISERROR(SEARCH("Yet to be approved",D60)))</formula>
    </cfRule>
  </conditionalFormatting>
  <conditionalFormatting sqref="D63">
    <cfRule type="containsText" dxfId="2546" priority="707" operator="containsText" text="DPR not submitted">
      <formula>NOT(ISERROR(SEARCH("DPR not submitted",D63)))</formula>
    </cfRule>
    <cfRule type="containsText" dxfId="2545" priority="708" operator="containsText" text="Yet to be approved">
      <formula>NOT(ISERROR(SEARCH("Yet to be approved",D63)))</formula>
    </cfRule>
  </conditionalFormatting>
  <conditionalFormatting sqref="D68">
    <cfRule type="containsText" dxfId="2544" priority="705" operator="containsText" text="DPR not submitted">
      <formula>NOT(ISERROR(SEARCH("DPR not submitted",D68)))</formula>
    </cfRule>
    <cfRule type="containsText" dxfId="2543" priority="706" operator="containsText" text="Yet to be approved">
      <formula>NOT(ISERROR(SEARCH("Yet to be approved",D68)))</formula>
    </cfRule>
  </conditionalFormatting>
  <conditionalFormatting sqref="D79">
    <cfRule type="containsText" dxfId="2542" priority="703" operator="containsText" text="DPR not submitted">
      <formula>NOT(ISERROR(SEARCH("DPR not submitted",D79)))</formula>
    </cfRule>
    <cfRule type="containsText" dxfId="2541" priority="704" operator="containsText" text="Yet to be approved">
      <formula>NOT(ISERROR(SEARCH("Yet to be approved",D79)))</formula>
    </cfRule>
  </conditionalFormatting>
  <conditionalFormatting sqref="D83">
    <cfRule type="containsText" dxfId="2540" priority="701" operator="containsText" text="DPR not submitted">
      <formula>NOT(ISERROR(SEARCH("DPR not submitted",D83)))</formula>
    </cfRule>
    <cfRule type="containsText" dxfId="2539" priority="702" operator="containsText" text="Yet to be approved">
      <formula>NOT(ISERROR(SEARCH("Yet to be approved",D83)))</formula>
    </cfRule>
  </conditionalFormatting>
  <conditionalFormatting sqref="D91">
    <cfRule type="containsText" dxfId="2538" priority="699" operator="containsText" text="DPR not submitted">
      <formula>NOT(ISERROR(SEARCH("DPR not submitted",D91)))</formula>
    </cfRule>
    <cfRule type="containsText" dxfId="2537" priority="700" operator="containsText" text="Yet to be approved">
      <formula>NOT(ISERROR(SEARCH("Yet to be approved",D91)))</formula>
    </cfRule>
  </conditionalFormatting>
  <conditionalFormatting sqref="D94">
    <cfRule type="containsText" dxfId="2536" priority="697" operator="containsText" text="DPR not submitted">
      <formula>NOT(ISERROR(SEARCH("DPR not submitted",D94)))</formula>
    </cfRule>
    <cfRule type="containsText" dxfId="2535" priority="698" operator="containsText" text="Yet to be approved">
      <formula>NOT(ISERROR(SEARCH("Yet to be approved",D94)))</formula>
    </cfRule>
  </conditionalFormatting>
  <conditionalFormatting sqref="D98">
    <cfRule type="containsText" dxfId="2534" priority="695" operator="containsText" text="DPR not submitted">
      <formula>NOT(ISERROR(SEARCH("DPR not submitted",D98)))</formula>
    </cfRule>
    <cfRule type="containsText" dxfId="2533" priority="696" operator="containsText" text="Yet to be approved">
      <formula>NOT(ISERROR(SEARCH("Yet to be approved",D98)))</formula>
    </cfRule>
  </conditionalFormatting>
  <conditionalFormatting sqref="D102:D104">
    <cfRule type="containsText" dxfId="2532" priority="647" operator="containsText" text="DPR not submitted">
      <formula>NOT(ISERROR(SEARCH("DPR not submitted",D102)))</formula>
    </cfRule>
    <cfRule type="containsText" dxfId="2531" priority="648" operator="containsText" text="Yet to be approved">
      <formula>NOT(ISERROR(SEARCH("Yet to be approved",D102)))</formula>
    </cfRule>
  </conditionalFormatting>
  <conditionalFormatting sqref="D106">
    <cfRule type="containsText" dxfId="2530" priority="693" operator="containsText" text="DPR not submitted">
      <formula>NOT(ISERROR(SEARCH("DPR not submitted",D106)))</formula>
    </cfRule>
    <cfRule type="containsText" dxfId="2529" priority="694" operator="containsText" text="Yet to be approved">
      <formula>NOT(ISERROR(SEARCH("Yet to be approved",D106)))</formula>
    </cfRule>
  </conditionalFormatting>
  <conditionalFormatting sqref="D111">
    <cfRule type="containsText" dxfId="2528" priority="691" operator="containsText" text="DPR not submitted">
      <formula>NOT(ISERROR(SEARCH("DPR not submitted",D111)))</formula>
    </cfRule>
    <cfRule type="containsText" dxfId="2527" priority="692" operator="containsText" text="Yet to be approved">
      <formula>NOT(ISERROR(SEARCH("Yet to be approved",D111)))</formula>
    </cfRule>
  </conditionalFormatting>
  <conditionalFormatting sqref="D115">
    <cfRule type="containsText" dxfId="2526" priority="689" operator="containsText" text="DPR not submitted">
      <formula>NOT(ISERROR(SEARCH("DPR not submitted",D115)))</formula>
    </cfRule>
    <cfRule type="containsText" dxfId="2525" priority="690" operator="containsText" text="Yet to be approved">
      <formula>NOT(ISERROR(SEARCH("Yet to be approved",D115)))</formula>
    </cfRule>
  </conditionalFormatting>
  <conditionalFormatting sqref="D121">
    <cfRule type="containsText" dxfId="2524" priority="687" operator="containsText" text="DPR not submitted">
      <formula>NOT(ISERROR(SEARCH("DPR not submitted",D121)))</formula>
    </cfRule>
    <cfRule type="containsText" dxfId="2523" priority="688" operator="containsText" text="Yet to be approved">
      <formula>NOT(ISERROR(SEARCH("Yet to be approved",D121)))</formula>
    </cfRule>
  </conditionalFormatting>
  <conditionalFormatting sqref="D128">
    <cfRule type="containsText" dxfId="2522" priority="685" operator="containsText" text="DPR not submitted">
      <formula>NOT(ISERROR(SEARCH("DPR not submitted",D128)))</formula>
    </cfRule>
    <cfRule type="containsText" dxfId="2521" priority="686" operator="containsText" text="Yet to be approved">
      <formula>NOT(ISERROR(SEARCH("Yet to be approved",D128)))</formula>
    </cfRule>
  </conditionalFormatting>
  <conditionalFormatting sqref="D134">
    <cfRule type="containsText" dxfId="2520" priority="683" operator="containsText" text="DPR not submitted">
      <formula>NOT(ISERROR(SEARCH("DPR not submitted",D134)))</formula>
    </cfRule>
    <cfRule type="containsText" dxfId="2519" priority="684" operator="containsText" text="Yet to be approved">
      <formula>NOT(ISERROR(SEARCH("Yet to be approved",D134)))</formula>
    </cfRule>
  </conditionalFormatting>
  <conditionalFormatting sqref="D139">
    <cfRule type="containsText" dxfId="2518" priority="681" operator="containsText" text="DPR not submitted">
      <formula>NOT(ISERROR(SEARCH("DPR not submitted",D139)))</formula>
    </cfRule>
    <cfRule type="containsText" dxfId="2517" priority="682" operator="containsText" text="Yet to be approved">
      <formula>NOT(ISERROR(SEARCH("Yet to be approved",D139)))</formula>
    </cfRule>
  </conditionalFormatting>
  <conditionalFormatting sqref="D144">
    <cfRule type="containsText" dxfId="2516" priority="679" operator="containsText" text="DPR not submitted">
      <formula>NOT(ISERROR(SEARCH("DPR not submitted",D144)))</formula>
    </cfRule>
    <cfRule type="containsText" dxfId="2515" priority="680" operator="containsText" text="Yet to be approved">
      <formula>NOT(ISERROR(SEARCH("Yet to be approved",D144)))</formula>
    </cfRule>
  </conditionalFormatting>
  <conditionalFormatting sqref="D146">
    <cfRule type="containsText" dxfId="2514" priority="677" operator="containsText" text="DPR not submitted">
      <formula>NOT(ISERROR(SEARCH("DPR not submitted",D146)))</formula>
    </cfRule>
    <cfRule type="containsText" dxfId="2513" priority="678" operator="containsText" text="Yet to be approved">
      <formula>NOT(ISERROR(SEARCH("Yet to be approved",D146)))</formula>
    </cfRule>
  </conditionalFormatting>
  <conditionalFormatting sqref="D148">
    <cfRule type="containsText" dxfId="2512" priority="675" operator="containsText" text="DPR not submitted">
      <formula>NOT(ISERROR(SEARCH("DPR not submitted",D148)))</formula>
    </cfRule>
    <cfRule type="containsText" dxfId="2511" priority="676" operator="containsText" text="Yet to be approved">
      <formula>NOT(ISERROR(SEARCH("Yet to be approved",D148)))</formula>
    </cfRule>
  </conditionalFormatting>
  <conditionalFormatting sqref="D152">
    <cfRule type="containsText" dxfId="2510" priority="673" operator="containsText" text="DPR not submitted">
      <formula>NOT(ISERROR(SEARCH("DPR not submitted",D152)))</formula>
    </cfRule>
    <cfRule type="containsText" dxfId="2509" priority="674" operator="containsText" text="Yet to be approved">
      <formula>NOT(ISERROR(SEARCH("Yet to be approved",D152)))</formula>
    </cfRule>
  </conditionalFormatting>
  <conditionalFormatting sqref="D157">
    <cfRule type="containsText" dxfId="2508" priority="671" operator="containsText" text="DPR not submitted">
      <formula>NOT(ISERROR(SEARCH("DPR not submitted",D157)))</formula>
    </cfRule>
    <cfRule type="containsText" dxfId="2507" priority="672" operator="containsText" text="Yet to be approved">
      <formula>NOT(ISERROR(SEARCH("Yet to be approved",D157)))</formula>
    </cfRule>
  </conditionalFormatting>
  <conditionalFormatting sqref="D162">
    <cfRule type="containsText" dxfId="2506" priority="669" operator="containsText" text="DPR not submitted">
      <formula>NOT(ISERROR(SEARCH("DPR not submitted",D162)))</formula>
    </cfRule>
    <cfRule type="containsText" dxfId="2505" priority="670" operator="containsText" text="Yet to be approved">
      <formula>NOT(ISERROR(SEARCH("Yet to be approved",D162)))</formula>
    </cfRule>
  </conditionalFormatting>
  <conditionalFormatting sqref="D168:D170">
    <cfRule type="containsText" dxfId="2504" priority="595" operator="containsText" text="DPR not submitted">
      <formula>NOT(ISERROR(SEARCH("DPR not submitted",D168)))</formula>
    </cfRule>
    <cfRule type="containsText" dxfId="2503" priority="596" operator="containsText" text="Yet to be approved">
      <formula>NOT(ISERROR(SEARCH("Yet to be approved",D168)))</formula>
    </cfRule>
  </conditionalFormatting>
  <conditionalFormatting sqref="D180:D183">
    <cfRule type="containsText" dxfId="2502" priority="639" operator="containsText" text="DPR not submitted">
      <formula>NOT(ISERROR(SEARCH("DPR not submitted",D180)))</formula>
    </cfRule>
    <cfRule type="containsText" dxfId="2501" priority="640" operator="containsText" text="Yet to be approved">
      <formula>NOT(ISERROR(SEARCH("Yet to be approved",D180)))</formula>
    </cfRule>
  </conditionalFormatting>
  <conditionalFormatting sqref="D185:D186">
    <cfRule type="containsText" dxfId="2500" priority="635" operator="containsText" text="DPR not submitted">
      <formula>NOT(ISERROR(SEARCH("DPR not submitted",D185)))</formula>
    </cfRule>
    <cfRule type="containsText" dxfId="2499" priority="636" operator="containsText" text="Yet to be approved">
      <formula>NOT(ISERROR(SEARCH("Yet to be approved",D185)))</formula>
    </cfRule>
  </conditionalFormatting>
  <conditionalFormatting sqref="D188:D189">
    <cfRule type="containsText" dxfId="2498" priority="591" operator="containsText" text="DPR not submitted">
      <formula>NOT(ISERROR(SEARCH("DPR not submitted",D188)))</formula>
    </cfRule>
    <cfRule type="containsText" dxfId="2497" priority="592" operator="containsText" text="Yet to be approved">
      <formula>NOT(ISERROR(SEARCH("Yet to be approved",D188)))</formula>
    </cfRule>
  </conditionalFormatting>
  <conditionalFormatting sqref="D191:D192">
    <cfRule type="containsText" dxfId="2496" priority="631" operator="containsText" text="DPR not submitted">
      <formula>NOT(ISERROR(SEARCH("DPR not submitted",D191)))</formula>
    </cfRule>
    <cfRule type="containsText" dxfId="2495" priority="632" operator="containsText" text="Yet to be approved">
      <formula>NOT(ISERROR(SEARCH("Yet to be approved",D191)))</formula>
    </cfRule>
  </conditionalFormatting>
  <conditionalFormatting sqref="D194:D195">
    <cfRule type="containsText" dxfId="2494" priority="587" operator="containsText" text="DPR not submitted">
      <formula>NOT(ISERROR(SEARCH("DPR not submitted",D194)))</formula>
    </cfRule>
    <cfRule type="containsText" dxfId="2493" priority="588" operator="containsText" text="Yet to be approved">
      <formula>NOT(ISERROR(SEARCH("Yet to be approved",D194)))</formula>
    </cfRule>
  </conditionalFormatting>
  <conditionalFormatting sqref="D197:D198">
    <cfRule type="containsText" dxfId="2492" priority="583" operator="containsText" text="DPR not submitted">
      <formula>NOT(ISERROR(SEARCH("DPR not submitted",D197)))</formula>
    </cfRule>
    <cfRule type="containsText" dxfId="2491" priority="584" operator="containsText" text="Yet to be approved">
      <formula>NOT(ISERROR(SEARCH("Yet to be approved",D197)))</formula>
    </cfRule>
  </conditionalFormatting>
  <conditionalFormatting sqref="D200:D204">
    <cfRule type="containsText" dxfId="2490" priority="556" operator="containsText" text="DPR not submitted">
      <formula>NOT(ISERROR(SEARCH("DPR not submitted",D200)))</formula>
    </cfRule>
    <cfRule type="containsText" dxfId="2489" priority="557" operator="containsText" text="Yet to be approved">
      <formula>NOT(ISERROR(SEARCH("Yet to be approved",D200)))</formula>
    </cfRule>
  </conditionalFormatting>
  <conditionalFormatting sqref="D206">
    <cfRule type="containsText" dxfId="2488" priority="667" operator="containsText" text="DPR not submitted">
      <formula>NOT(ISERROR(SEARCH("DPR not submitted",D206)))</formula>
    </cfRule>
    <cfRule type="containsText" dxfId="2487" priority="668" operator="containsText" text="Yet to be approved">
      <formula>NOT(ISERROR(SEARCH("Yet to be approved",D206)))</formula>
    </cfRule>
  </conditionalFormatting>
  <conditionalFormatting sqref="D208">
    <cfRule type="containsText" dxfId="2486" priority="665" operator="containsText" text="DPR not submitted">
      <formula>NOT(ISERROR(SEARCH("DPR not submitted",D208)))</formula>
    </cfRule>
    <cfRule type="containsText" dxfId="2485" priority="666" operator="containsText" text="Yet to be approved">
      <formula>NOT(ISERROR(SEARCH("Yet to be approved",D208)))</formula>
    </cfRule>
  </conditionalFormatting>
  <conditionalFormatting sqref="D211">
    <cfRule type="containsText" dxfId="2484" priority="663" operator="containsText" text="DPR not submitted">
      <formula>NOT(ISERROR(SEARCH("DPR not submitted",D211)))</formula>
    </cfRule>
    <cfRule type="containsText" dxfId="2483" priority="664" operator="containsText" text="Yet to be approved">
      <formula>NOT(ISERROR(SEARCH("Yet to be approved",D211)))</formula>
    </cfRule>
  </conditionalFormatting>
  <conditionalFormatting sqref="D214">
    <cfRule type="containsText" dxfId="2482" priority="661" operator="containsText" text="DPR not submitted">
      <formula>NOT(ISERROR(SEARCH("DPR not submitted",D214)))</formula>
    </cfRule>
    <cfRule type="containsText" dxfId="2481" priority="662" operator="containsText" text="Yet to be approved">
      <formula>NOT(ISERROR(SEARCH("Yet to be approved",D214)))</formula>
    </cfRule>
  </conditionalFormatting>
  <conditionalFormatting sqref="D216">
    <cfRule type="containsText" dxfId="2480" priority="659" operator="containsText" text="DPR not submitted">
      <formula>NOT(ISERROR(SEARCH("DPR not submitted",D216)))</formula>
    </cfRule>
    <cfRule type="containsText" dxfId="2479" priority="660" operator="containsText" text="Yet to be approved">
      <formula>NOT(ISERROR(SEARCH("Yet to be approved",D216)))</formula>
    </cfRule>
  </conditionalFormatting>
  <conditionalFormatting sqref="D218">
    <cfRule type="containsText" dxfId="2478" priority="657" operator="containsText" text="DPR not submitted">
      <formula>NOT(ISERROR(SEARCH("DPR not submitted",D218)))</formula>
    </cfRule>
    <cfRule type="containsText" dxfId="2477" priority="658" operator="containsText" text="Yet to be approved">
      <formula>NOT(ISERROR(SEARCH("Yet to be approved",D218)))</formula>
    </cfRule>
  </conditionalFormatting>
  <conditionalFormatting sqref="D222:D224">
    <cfRule type="containsText" dxfId="2476" priority="579" operator="containsText" text="DPR not submitted">
      <formula>NOT(ISERROR(SEARCH("DPR not submitted",D222)))</formula>
    </cfRule>
    <cfRule type="containsText" dxfId="2475" priority="580" operator="containsText" text="Yet to be approved">
      <formula>NOT(ISERROR(SEARCH("Yet to be approved",D222)))</formula>
    </cfRule>
  </conditionalFormatting>
  <conditionalFormatting sqref="D228:D230">
    <cfRule type="containsText" dxfId="2474" priority="575" operator="containsText" text="DPR not submitted">
      <formula>NOT(ISERROR(SEARCH("DPR not submitted",D228)))</formula>
    </cfRule>
    <cfRule type="containsText" dxfId="2473" priority="576" operator="containsText" text="Yet to be approved">
      <formula>NOT(ISERROR(SEARCH("Yet to be approved",D228)))</formula>
    </cfRule>
  </conditionalFormatting>
  <conditionalFormatting sqref="D232:D234">
    <cfRule type="containsText" dxfId="2472" priority="625" operator="containsText" text="DPR not submitted">
      <formula>NOT(ISERROR(SEARCH("DPR not submitted",D232)))</formula>
    </cfRule>
    <cfRule type="containsText" dxfId="2471" priority="626" operator="containsText" text="Yet to be approved">
      <formula>NOT(ISERROR(SEARCH("Yet to be approved",D232)))</formula>
    </cfRule>
  </conditionalFormatting>
  <conditionalFormatting sqref="D236:D239">
    <cfRule type="containsText" dxfId="2470" priority="621" operator="containsText" text="DPR not submitted">
      <formula>NOT(ISERROR(SEARCH("DPR not submitted",D236)))</formula>
    </cfRule>
    <cfRule type="containsText" dxfId="2469" priority="622" operator="containsText" text="Yet to be approved">
      <formula>NOT(ISERROR(SEARCH("Yet to be approved",D236)))</formula>
    </cfRule>
  </conditionalFormatting>
  <conditionalFormatting sqref="D241:D242">
    <cfRule type="containsText" dxfId="2468" priority="617" operator="containsText" text="DPR not submitted">
      <formula>NOT(ISERROR(SEARCH("DPR not submitted",D241)))</formula>
    </cfRule>
    <cfRule type="containsText" dxfId="2467" priority="618" operator="containsText" text="Yet to be approved">
      <formula>NOT(ISERROR(SEARCH("Yet to be approved",D241)))</formula>
    </cfRule>
  </conditionalFormatting>
  <conditionalFormatting sqref="D244:D248">
    <cfRule type="containsText" dxfId="2466" priority="571" operator="containsText" text="DPR not submitted">
      <formula>NOT(ISERROR(SEARCH("DPR not submitted",D244)))</formula>
    </cfRule>
    <cfRule type="containsText" dxfId="2465" priority="572" operator="containsText" text="Yet to be approved">
      <formula>NOT(ISERROR(SEARCH("Yet to be approved",D244)))</formula>
    </cfRule>
  </conditionalFormatting>
  <conditionalFormatting sqref="D250:D254">
    <cfRule type="containsText" dxfId="2464" priority="611" operator="containsText" text="DPR not submitted">
      <formula>NOT(ISERROR(SEARCH("DPR not submitted",D250)))</formula>
    </cfRule>
    <cfRule type="containsText" dxfId="2463" priority="612" operator="containsText" text="Yet to be approved">
      <formula>NOT(ISERROR(SEARCH("Yet to be approved",D250)))</formula>
    </cfRule>
  </conditionalFormatting>
  <conditionalFormatting sqref="D256:D275">
    <cfRule type="containsText" dxfId="2462" priority="522" operator="containsText" text="DPR not submitted">
      <formula>NOT(ISERROR(SEARCH("DPR not submitted",D256)))</formula>
    </cfRule>
    <cfRule type="containsText" dxfId="2461" priority="523" operator="containsText" text="Yet to be approved">
      <formula>NOT(ISERROR(SEARCH("Yet to be approved",D256)))</formula>
    </cfRule>
  </conditionalFormatting>
  <conditionalFormatting sqref="D278">
    <cfRule type="containsText" dxfId="2460" priority="520" operator="containsText" text="DPR not submitted">
      <formula>NOT(ISERROR(SEARCH("DPR not submitted",D278)))</formula>
    </cfRule>
    <cfRule type="containsText" dxfId="2459" priority="521" operator="containsText" text="Yet to be approved">
      <formula>NOT(ISERROR(SEARCH("Yet to be approved",D278)))</formula>
    </cfRule>
  </conditionalFormatting>
  <conditionalFormatting sqref="D285">
    <cfRule type="containsText" dxfId="2458" priority="518" operator="containsText" text="DPR not submitted">
      <formula>NOT(ISERROR(SEARCH("DPR not submitted",D285)))</formula>
    </cfRule>
    <cfRule type="containsText" dxfId="2457" priority="519" operator="containsText" text="Yet to be approved">
      <formula>NOT(ISERROR(SEARCH("Yet to be approved",D285)))</formula>
    </cfRule>
  </conditionalFormatting>
  <conditionalFormatting sqref="D288:D296">
    <cfRule type="containsText" dxfId="2456" priority="514" operator="containsText" text="DPR not submitted">
      <formula>NOT(ISERROR(SEARCH("DPR not submitted",D288)))</formula>
    </cfRule>
    <cfRule type="containsText" dxfId="2455" priority="515" operator="containsText" text="Yet to be approved">
      <formula>NOT(ISERROR(SEARCH("Yet to be approved",D288)))</formula>
    </cfRule>
  </conditionalFormatting>
  <conditionalFormatting sqref="D307:D308">
    <cfRule type="containsText" dxfId="2454" priority="569" operator="containsText" text="DPR not submitted">
      <formula>NOT(ISERROR(SEARCH("DPR not submitted",D307)))</formula>
    </cfRule>
    <cfRule type="containsText" dxfId="2453" priority="570" operator="containsText" text="Yet to be approved">
      <formula>NOT(ISERROR(SEARCH("Yet to be approved",D307)))</formula>
    </cfRule>
  </conditionalFormatting>
  <conditionalFormatting sqref="D311">
    <cfRule type="containsText" dxfId="2452" priority="25" operator="containsText" text="DPR not submitted">
      <formula>NOT(ISERROR(SEARCH("DPR not submitted",D311)))</formula>
    </cfRule>
    <cfRule type="containsText" dxfId="2451" priority="26" operator="containsText" text="Yet to be approved">
      <formula>NOT(ISERROR(SEARCH("Yet to be approved",D311)))</formula>
    </cfRule>
  </conditionalFormatting>
  <conditionalFormatting sqref="D26:E37">
    <cfRule type="containsText" dxfId="2450" priority="805" operator="containsText" text="DPR not submitted">
      <formula>NOT(ISERROR(SEARCH("DPR not submitted",D26)))</formula>
    </cfRule>
    <cfRule type="containsText" dxfId="2449" priority="806" operator="containsText" text="Yet to be approved">
      <formula>NOT(ISERROR(SEARCH("Yet to be approved",D26)))</formula>
    </cfRule>
  </conditionalFormatting>
  <conditionalFormatting sqref="D39:E43">
    <cfRule type="containsText" dxfId="2448" priority="803" operator="containsText" text="DPR not submitted">
      <formula>NOT(ISERROR(SEARCH("DPR not submitted",D39)))</formula>
    </cfRule>
    <cfRule type="containsText" dxfId="2447" priority="804" operator="containsText" text="Yet to be approved">
      <formula>NOT(ISERROR(SEARCH("Yet to be approved",D39)))</formula>
    </cfRule>
  </conditionalFormatting>
  <conditionalFormatting sqref="D47:E47">
    <cfRule type="containsText" dxfId="2446" priority="801" operator="containsText" text="DPR not submitted">
      <formula>NOT(ISERROR(SEARCH("DPR not submitted",D47)))</formula>
    </cfRule>
    <cfRule type="containsText" dxfId="2445" priority="802" operator="containsText" text="Yet to be approved">
      <formula>NOT(ISERROR(SEARCH("Yet to be approved",D47)))</formula>
    </cfRule>
  </conditionalFormatting>
  <conditionalFormatting sqref="D49:E49">
    <cfRule type="containsText" dxfId="2444" priority="799" operator="containsText" text="DPR not submitted">
      <formula>NOT(ISERROR(SEARCH("DPR not submitted",D49)))</formula>
    </cfRule>
    <cfRule type="containsText" dxfId="2443" priority="800" operator="containsText" text="Yet to be approved">
      <formula>NOT(ISERROR(SEARCH("Yet to be approved",D49)))</formula>
    </cfRule>
  </conditionalFormatting>
  <conditionalFormatting sqref="D53:E55">
    <cfRule type="containsText" dxfId="2442" priority="797" operator="containsText" text="DPR not submitted">
      <formula>NOT(ISERROR(SEARCH("DPR not submitted",D53)))</formula>
    </cfRule>
    <cfRule type="containsText" dxfId="2441" priority="798" operator="containsText" text="Yet to be approved">
      <formula>NOT(ISERROR(SEARCH("Yet to be approved",D53)))</formula>
    </cfRule>
  </conditionalFormatting>
  <conditionalFormatting sqref="D57:E59">
    <cfRule type="containsText" dxfId="2440" priority="795" operator="containsText" text="DPR not submitted">
      <formula>NOT(ISERROR(SEARCH("DPR not submitted",D57)))</formula>
    </cfRule>
    <cfRule type="containsText" dxfId="2439" priority="796" operator="containsText" text="Yet to be approved">
      <formula>NOT(ISERROR(SEARCH("Yet to be approved",D57)))</formula>
    </cfRule>
  </conditionalFormatting>
  <conditionalFormatting sqref="D61:E62">
    <cfRule type="containsText" dxfId="2438" priority="793" operator="containsText" text="DPR not submitted">
      <formula>NOT(ISERROR(SEARCH("DPR not submitted",D61)))</formula>
    </cfRule>
    <cfRule type="containsText" dxfId="2437" priority="794" operator="containsText" text="Yet to be approved">
      <formula>NOT(ISERROR(SEARCH("Yet to be approved",D61)))</formula>
    </cfRule>
  </conditionalFormatting>
  <conditionalFormatting sqref="D64:E67">
    <cfRule type="containsText" dxfId="2436" priority="791" operator="containsText" text="DPR not submitted">
      <formula>NOT(ISERROR(SEARCH("DPR not submitted",D64)))</formula>
    </cfRule>
    <cfRule type="containsText" dxfId="2435" priority="792" operator="containsText" text="Yet to be approved">
      <formula>NOT(ISERROR(SEARCH("Yet to be approved",D64)))</formula>
    </cfRule>
  </conditionalFormatting>
  <conditionalFormatting sqref="D69:E78">
    <cfRule type="containsText" dxfId="2434" priority="789" operator="containsText" text="DPR not submitted">
      <formula>NOT(ISERROR(SEARCH("DPR not submitted",D69)))</formula>
    </cfRule>
    <cfRule type="containsText" dxfId="2433" priority="790" operator="containsText" text="Yet to be approved">
      <formula>NOT(ISERROR(SEARCH("Yet to be approved",D69)))</formula>
    </cfRule>
  </conditionalFormatting>
  <conditionalFormatting sqref="D80:E82">
    <cfRule type="containsText" dxfId="2432" priority="605" operator="containsText" text="DPR not submitted">
      <formula>NOT(ISERROR(SEARCH("DPR not submitted",D80)))</formula>
    </cfRule>
    <cfRule type="containsText" dxfId="2431" priority="606" operator="containsText" text="Yet to be approved">
      <formula>NOT(ISERROR(SEARCH("Yet to be approved",D80)))</formula>
    </cfRule>
  </conditionalFormatting>
  <conditionalFormatting sqref="D84:E90">
    <cfRule type="containsText" dxfId="2430" priority="787" operator="containsText" text="DPR not submitted">
      <formula>NOT(ISERROR(SEARCH("DPR not submitted",D84)))</formula>
    </cfRule>
    <cfRule type="containsText" dxfId="2429" priority="788" operator="containsText" text="Yet to be approved">
      <formula>NOT(ISERROR(SEARCH("Yet to be approved",D84)))</formula>
    </cfRule>
  </conditionalFormatting>
  <conditionalFormatting sqref="D92:E93">
    <cfRule type="containsText" dxfId="2428" priority="785" operator="containsText" text="DPR not submitted">
      <formula>NOT(ISERROR(SEARCH("DPR not submitted",D92)))</formula>
    </cfRule>
    <cfRule type="containsText" dxfId="2427" priority="786" operator="containsText" text="Yet to be approved">
      <formula>NOT(ISERROR(SEARCH("Yet to be approved",D92)))</formula>
    </cfRule>
  </conditionalFormatting>
  <conditionalFormatting sqref="D95:E97">
    <cfRule type="containsText" dxfId="2426" priority="783" operator="containsText" text="DPR not submitted">
      <formula>NOT(ISERROR(SEARCH("DPR not submitted",D95)))</formula>
    </cfRule>
    <cfRule type="containsText" dxfId="2425" priority="784" operator="containsText" text="Yet to be approved">
      <formula>NOT(ISERROR(SEARCH("Yet to be approved",D95)))</formula>
    </cfRule>
  </conditionalFormatting>
  <conditionalFormatting sqref="D99:E101">
    <cfRule type="containsText" dxfId="2424" priority="781" operator="containsText" text="DPR not submitted">
      <formula>NOT(ISERROR(SEARCH("DPR not submitted",D99)))</formula>
    </cfRule>
    <cfRule type="containsText" dxfId="2423" priority="782" operator="containsText" text="Yet to be approved">
      <formula>NOT(ISERROR(SEARCH("Yet to be approved",D99)))</formula>
    </cfRule>
  </conditionalFormatting>
  <conditionalFormatting sqref="D105:E105">
    <cfRule type="containsText" dxfId="2422" priority="779" operator="containsText" text="DPR not submitted">
      <formula>NOT(ISERROR(SEARCH("DPR not submitted",D105)))</formula>
    </cfRule>
    <cfRule type="containsText" dxfId="2421" priority="780" operator="containsText" text="Yet to be approved">
      <formula>NOT(ISERROR(SEARCH("Yet to be approved",D105)))</formula>
    </cfRule>
  </conditionalFormatting>
  <conditionalFormatting sqref="D107:E110">
    <cfRule type="containsText" dxfId="2420" priority="777" operator="containsText" text="DPR not submitted">
      <formula>NOT(ISERROR(SEARCH("DPR not submitted",D107)))</formula>
    </cfRule>
    <cfRule type="containsText" dxfId="2419" priority="778" operator="containsText" text="Yet to be approved">
      <formula>NOT(ISERROR(SEARCH("Yet to be approved",D107)))</formula>
    </cfRule>
  </conditionalFormatting>
  <conditionalFormatting sqref="D112:E114">
    <cfRule type="containsText" dxfId="2418" priority="775" operator="containsText" text="DPR not submitted">
      <formula>NOT(ISERROR(SEARCH("DPR not submitted",D112)))</formula>
    </cfRule>
    <cfRule type="containsText" dxfId="2417" priority="776" operator="containsText" text="Yet to be approved">
      <formula>NOT(ISERROR(SEARCH("Yet to be approved",D112)))</formula>
    </cfRule>
  </conditionalFormatting>
  <conditionalFormatting sqref="D116:E120">
    <cfRule type="containsText" dxfId="2416" priority="773" operator="containsText" text="DPR not submitted">
      <formula>NOT(ISERROR(SEARCH("DPR not submitted",D116)))</formula>
    </cfRule>
    <cfRule type="containsText" dxfId="2415" priority="774" operator="containsText" text="Yet to be approved">
      <formula>NOT(ISERROR(SEARCH("Yet to be approved",D116)))</formula>
    </cfRule>
  </conditionalFormatting>
  <conditionalFormatting sqref="D122:E127">
    <cfRule type="containsText" dxfId="2414" priority="771" operator="containsText" text="DPR not submitted">
      <formula>NOT(ISERROR(SEARCH("DPR not submitted",D122)))</formula>
    </cfRule>
    <cfRule type="containsText" dxfId="2413" priority="772" operator="containsText" text="Yet to be approved">
      <formula>NOT(ISERROR(SEARCH("Yet to be approved",D122)))</formula>
    </cfRule>
  </conditionalFormatting>
  <conditionalFormatting sqref="D129:E133">
    <cfRule type="containsText" dxfId="2412" priority="603" operator="containsText" text="DPR not submitted">
      <formula>NOT(ISERROR(SEARCH("DPR not submitted",D129)))</formula>
    </cfRule>
    <cfRule type="containsText" dxfId="2411" priority="604" operator="containsText" text="Yet to be approved">
      <formula>NOT(ISERROR(SEARCH("Yet to be approved",D129)))</formula>
    </cfRule>
  </conditionalFormatting>
  <conditionalFormatting sqref="D135:E138">
    <cfRule type="containsText" dxfId="2410" priority="769" operator="containsText" text="DPR not submitted">
      <formula>NOT(ISERROR(SEARCH("DPR not submitted",D135)))</formula>
    </cfRule>
    <cfRule type="containsText" dxfId="2409" priority="770" operator="containsText" text="Yet to be approved">
      <formula>NOT(ISERROR(SEARCH("Yet to be approved",D135)))</formula>
    </cfRule>
  </conditionalFormatting>
  <conditionalFormatting sqref="D140:E143">
    <cfRule type="containsText" dxfId="2408" priority="767" operator="containsText" text="DPR not submitted">
      <formula>NOT(ISERROR(SEARCH("DPR not submitted",D140)))</formula>
    </cfRule>
    <cfRule type="containsText" dxfId="2407" priority="768" operator="containsText" text="Yet to be approved">
      <formula>NOT(ISERROR(SEARCH("Yet to be approved",D140)))</formula>
    </cfRule>
  </conditionalFormatting>
  <conditionalFormatting sqref="D145:E145">
    <cfRule type="containsText" dxfId="2406" priority="765" operator="containsText" text="DPR not submitted">
      <formula>NOT(ISERROR(SEARCH("DPR not submitted",D145)))</formula>
    </cfRule>
    <cfRule type="containsText" dxfId="2405" priority="766" operator="containsText" text="Yet to be approved">
      <formula>NOT(ISERROR(SEARCH("Yet to be approved",D145)))</formula>
    </cfRule>
  </conditionalFormatting>
  <conditionalFormatting sqref="D147:E147">
    <cfRule type="containsText" dxfId="2404" priority="763" operator="containsText" text="DPR not submitted">
      <formula>NOT(ISERROR(SEARCH("DPR not submitted",D147)))</formula>
    </cfRule>
    <cfRule type="containsText" dxfId="2403" priority="764" operator="containsText" text="Yet to be approved">
      <formula>NOT(ISERROR(SEARCH("Yet to be approved",D147)))</formula>
    </cfRule>
  </conditionalFormatting>
  <conditionalFormatting sqref="D149:E151">
    <cfRule type="containsText" dxfId="2402" priority="761" operator="containsText" text="DPR not submitted">
      <formula>NOT(ISERROR(SEARCH("DPR not submitted",D149)))</formula>
    </cfRule>
    <cfRule type="containsText" dxfId="2401" priority="762" operator="containsText" text="Yet to be approved">
      <formula>NOT(ISERROR(SEARCH("Yet to be approved",D149)))</formula>
    </cfRule>
  </conditionalFormatting>
  <conditionalFormatting sqref="D153:E156">
    <cfRule type="containsText" dxfId="2400" priority="601" operator="containsText" text="DPR not submitted">
      <formula>NOT(ISERROR(SEARCH("DPR not submitted",D153)))</formula>
    </cfRule>
    <cfRule type="containsText" dxfId="2399" priority="602" operator="containsText" text="Yet to be approved">
      <formula>NOT(ISERROR(SEARCH("Yet to be approved",D153)))</formula>
    </cfRule>
  </conditionalFormatting>
  <conditionalFormatting sqref="D158:E161">
    <cfRule type="containsText" dxfId="2398" priority="759" operator="containsText" text="DPR not submitted">
      <formula>NOT(ISERROR(SEARCH("DPR not submitted",D158)))</formula>
    </cfRule>
    <cfRule type="containsText" dxfId="2397" priority="760" operator="containsText" text="Yet to be approved">
      <formula>NOT(ISERROR(SEARCH("Yet to be approved",D158)))</formula>
    </cfRule>
  </conditionalFormatting>
  <conditionalFormatting sqref="D163:E167">
    <cfRule type="containsText" dxfId="2396" priority="599" operator="containsText" text="DPR not submitted">
      <formula>NOT(ISERROR(SEARCH("DPR not submitted",D163)))</formula>
    </cfRule>
    <cfRule type="containsText" dxfId="2395" priority="600" operator="containsText" text="Yet to be approved">
      <formula>NOT(ISERROR(SEARCH("Yet to be approved",D163)))</formula>
    </cfRule>
  </conditionalFormatting>
  <conditionalFormatting sqref="D171:E179">
    <cfRule type="containsText" dxfId="2394" priority="645" operator="containsText" text="DPR not submitted">
      <formula>NOT(ISERROR(SEARCH("DPR not submitted",D171)))</formula>
    </cfRule>
    <cfRule type="containsText" dxfId="2393" priority="646" operator="containsText" text="Yet to be approved">
      <formula>NOT(ISERROR(SEARCH("Yet to be approved",D171)))</formula>
    </cfRule>
  </conditionalFormatting>
  <conditionalFormatting sqref="D184:E184">
    <cfRule type="containsText" dxfId="2392" priority="757" operator="containsText" text="DPR not submitted">
      <formula>NOT(ISERROR(SEARCH("DPR not submitted",D184)))</formula>
    </cfRule>
    <cfRule type="containsText" dxfId="2391" priority="758" operator="containsText" text="Yet to be approved">
      <formula>NOT(ISERROR(SEARCH("Yet to be approved",D184)))</formula>
    </cfRule>
  </conditionalFormatting>
  <conditionalFormatting sqref="D187:E187">
    <cfRule type="containsText" dxfId="2390" priority="755" operator="containsText" text="DPR not submitted">
      <formula>NOT(ISERROR(SEARCH("DPR not submitted",D187)))</formula>
    </cfRule>
    <cfRule type="containsText" dxfId="2389" priority="756" operator="containsText" text="Yet to be approved">
      <formula>NOT(ISERROR(SEARCH("Yet to be approved",D187)))</formula>
    </cfRule>
  </conditionalFormatting>
  <conditionalFormatting sqref="D190:E190">
    <cfRule type="containsText" dxfId="2388" priority="753" operator="containsText" text="DPR not submitted">
      <formula>NOT(ISERROR(SEARCH("DPR not submitted",D190)))</formula>
    </cfRule>
    <cfRule type="containsText" dxfId="2387" priority="754" operator="containsText" text="Yet to be approved">
      <formula>NOT(ISERROR(SEARCH("Yet to be approved",D190)))</formula>
    </cfRule>
  </conditionalFormatting>
  <conditionalFormatting sqref="D193:E193">
    <cfRule type="containsText" dxfId="2386" priority="751" operator="containsText" text="DPR not submitted">
      <formula>NOT(ISERROR(SEARCH("DPR not submitted",D193)))</formula>
    </cfRule>
    <cfRule type="containsText" dxfId="2385" priority="752" operator="containsText" text="Yet to be approved">
      <formula>NOT(ISERROR(SEARCH("Yet to be approved",D193)))</formula>
    </cfRule>
  </conditionalFormatting>
  <conditionalFormatting sqref="D196:E196">
    <cfRule type="containsText" dxfId="2384" priority="749" operator="containsText" text="DPR not submitted">
      <formula>NOT(ISERROR(SEARCH("DPR not submitted",D196)))</formula>
    </cfRule>
    <cfRule type="containsText" dxfId="2383" priority="750" operator="containsText" text="Yet to be approved">
      <formula>NOT(ISERROR(SEARCH("Yet to be approved",D196)))</formula>
    </cfRule>
  </conditionalFormatting>
  <conditionalFormatting sqref="D199:E202">
    <cfRule type="containsText" dxfId="2382" priority="558" operator="containsText" text="DPR not submitted">
      <formula>NOT(ISERROR(SEARCH("DPR not submitted",D199)))</formula>
    </cfRule>
    <cfRule type="containsText" dxfId="2381" priority="559" operator="containsText" text="Yet to be approved">
      <formula>NOT(ISERROR(SEARCH("Yet to be approved",D199)))</formula>
    </cfRule>
  </conditionalFormatting>
  <conditionalFormatting sqref="D205:E205">
    <cfRule type="containsText" dxfId="2380" priority="747" operator="containsText" text="DPR not submitted">
      <formula>NOT(ISERROR(SEARCH("DPR not submitted",D205)))</formula>
    </cfRule>
    <cfRule type="containsText" dxfId="2379" priority="748" operator="containsText" text="Yet to be approved">
      <formula>NOT(ISERROR(SEARCH("Yet to be approved",D205)))</formula>
    </cfRule>
  </conditionalFormatting>
  <conditionalFormatting sqref="D207:E207">
    <cfRule type="containsText" dxfId="2378" priority="745" operator="containsText" text="DPR not submitted">
      <formula>NOT(ISERROR(SEARCH("DPR not submitted",D207)))</formula>
    </cfRule>
    <cfRule type="containsText" dxfId="2377" priority="746" operator="containsText" text="Yet to be approved">
      <formula>NOT(ISERROR(SEARCH("Yet to be approved",D207)))</formula>
    </cfRule>
  </conditionalFormatting>
  <conditionalFormatting sqref="D209:E210">
    <cfRule type="containsText" dxfId="2376" priority="743" operator="containsText" text="DPR not submitted">
      <formula>NOT(ISERROR(SEARCH("DPR not submitted",D209)))</formula>
    </cfRule>
    <cfRule type="containsText" dxfId="2375" priority="744" operator="containsText" text="Yet to be approved">
      <formula>NOT(ISERROR(SEARCH("Yet to be approved",D209)))</formula>
    </cfRule>
  </conditionalFormatting>
  <conditionalFormatting sqref="D212:E213">
    <cfRule type="containsText" dxfId="2374" priority="741" operator="containsText" text="DPR not submitted">
      <formula>NOT(ISERROR(SEARCH("DPR not submitted",D212)))</formula>
    </cfRule>
    <cfRule type="containsText" dxfId="2373" priority="742" operator="containsText" text="Yet to be approved">
      <formula>NOT(ISERROR(SEARCH("Yet to be approved",D212)))</formula>
    </cfRule>
  </conditionalFormatting>
  <conditionalFormatting sqref="D215:E215">
    <cfRule type="containsText" dxfId="2372" priority="739" operator="containsText" text="DPR not submitted">
      <formula>NOT(ISERROR(SEARCH("DPR not submitted",D215)))</formula>
    </cfRule>
    <cfRule type="containsText" dxfId="2371" priority="740" operator="containsText" text="Yet to be approved">
      <formula>NOT(ISERROR(SEARCH("Yet to be approved",D215)))</formula>
    </cfRule>
  </conditionalFormatting>
  <conditionalFormatting sqref="D217:E217">
    <cfRule type="containsText" dxfId="2370" priority="737" operator="containsText" text="DPR not submitted">
      <formula>NOT(ISERROR(SEARCH("DPR not submitted",D217)))</formula>
    </cfRule>
    <cfRule type="containsText" dxfId="2369" priority="738" operator="containsText" text="Yet to be approved">
      <formula>NOT(ISERROR(SEARCH("Yet to be approved",D217)))</formula>
    </cfRule>
  </conditionalFormatting>
  <conditionalFormatting sqref="D219:E221">
    <cfRule type="containsText" dxfId="2368" priority="735" operator="containsText" text="DPR not submitted">
      <formula>NOT(ISERROR(SEARCH("DPR not submitted",D219)))</formula>
    </cfRule>
    <cfRule type="containsText" dxfId="2367" priority="736" operator="containsText" text="Yet to be approved">
      <formula>NOT(ISERROR(SEARCH("Yet to be approved",D219)))</formula>
    </cfRule>
  </conditionalFormatting>
  <conditionalFormatting sqref="D225:E227">
    <cfRule type="containsText" dxfId="2366" priority="733" operator="containsText" text="DPR not submitted">
      <formula>NOT(ISERROR(SEARCH("DPR not submitted",D225)))</formula>
    </cfRule>
    <cfRule type="containsText" dxfId="2365" priority="734" operator="containsText" text="Yet to be approved">
      <formula>NOT(ISERROR(SEARCH("Yet to be approved",D225)))</formula>
    </cfRule>
  </conditionalFormatting>
  <conditionalFormatting sqref="D231:E231">
    <cfRule type="containsText" dxfId="2364" priority="731" operator="containsText" text="DPR not submitted">
      <formula>NOT(ISERROR(SEARCH("DPR not submitted",D231)))</formula>
    </cfRule>
    <cfRule type="containsText" dxfId="2363" priority="732" operator="containsText" text="Yet to be approved">
      <formula>NOT(ISERROR(SEARCH("Yet to be approved",D231)))</formula>
    </cfRule>
  </conditionalFormatting>
  <conditionalFormatting sqref="D235:E235">
    <cfRule type="containsText" dxfId="2362" priority="729" operator="containsText" text="DPR not submitted">
      <formula>NOT(ISERROR(SEARCH("DPR not submitted",D235)))</formula>
    </cfRule>
    <cfRule type="containsText" dxfId="2361" priority="730" operator="containsText" text="Yet to be approved">
      <formula>NOT(ISERROR(SEARCH("Yet to be approved",D235)))</formula>
    </cfRule>
  </conditionalFormatting>
  <conditionalFormatting sqref="D240:E240">
    <cfRule type="containsText" dxfId="2360" priority="727" operator="containsText" text="DPR not submitted">
      <formula>NOT(ISERROR(SEARCH("DPR not submitted",D240)))</formula>
    </cfRule>
    <cfRule type="containsText" dxfId="2359" priority="728" operator="containsText" text="Yet to be approved">
      <formula>NOT(ISERROR(SEARCH("Yet to be approved",D240)))</formula>
    </cfRule>
  </conditionalFormatting>
  <conditionalFormatting sqref="D243:E243">
    <cfRule type="containsText" dxfId="2358" priority="725" operator="containsText" text="DPR not submitted">
      <formula>NOT(ISERROR(SEARCH("DPR not submitted",D243)))</formula>
    </cfRule>
    <cfRule type="containsText" dxfId="2357" priority="726" operator="containsText" text="Yet to be approved">
      <formula>NOT(ISERROR(SEARCH("Yet to be approved",D243)))</formula>
    </cfRule>
  </conditionalFormatting>
  <conditionalFormatting sqref="D249:E249">
    <cfRule type="containsText" dxfId="2356" priority="723" operator="containsText" text="DPR not submitted">
      <formula>NOT(ISERROR(SEARCH("DPR not submitted",D249)))</formula>
    </cfRule>
    <cfRule type="containsText" dxfId="2355" priority="724" operator="containsText" text="Yet to be approved">
      <formula>NOT(ISERROR(SEARCH("Yet to be approved",D249)))</formula>
    </cfRule>
  </conditionalFormatting>
  <conditionalFormatting sqref="D255:E255">
    <cfRule type="containsText" dxfId="2354" priority="719" operator="containsText" text="DPR not submitted">
      <formula>NOT(ISERROR(SEARCH("DPR not submitted",D255)))</formula>
    </cfRule>
    <cfRule type="containsText" dxfId="2353" priority="720" operator="containsText" text="Yet to be approved">
      <formula>NOT(ISERROR(SEARCH("Yet to be approved",D255)))</formula>
    </cfRule>
  </conditionalFormatting>
  <conditionalFormatting sqref="D276:E277">
    <cfRule type="containsText" dxfId="2352" priority="526" operator="containsText" text="DPR not submitted">
      <formula>NOT(ISERROR(SEARCH("DPR not submitted",D276)))</formula>
    </cfRule>
    <cfRule type="containsText" dxfId="2351" priority="527" operator="containsText" text="Yet to be approved">
      <formula>NOT(ISERROR(SEARCH("Yet to be approved",D276)))</formula>
    </cfRule>
  </conditionalFormatting>
  <conditionalFormatting sqref="D279:E284">
    <cfRule type="containsText" dxfId="2350" priority="528" operator="containsText" text="DPR not submitted">
      <formula>NOT(ISERROR(SEARCH("DPR not submitted",D279)))</formula>
    </cfRule>
    <cfRule type="containsText" dxfId="2349" priority="529" operator="containsText" text="Yet to be approved">
      <formula>NOT(ISERROR(SEARCH("Yet to be approved",D279)))</formula>
    </cfRule>
  </conditionalFormatting>
  <conditionalFormatting sqref="D286:E287">
    <cfRule type="containsText" dxfId="2348" priority="524" operator="containsText" text="DPR not submitted">
      <formula>NOT(ISERROR(SEARCH("DPR not submitted",D286)))</formula>
    </cfRule>
    <cfRule type="containsText" dxfId="2347" priority="525" operator="containsText" text="Yet to be approved">
      <formula>NOT(ISERROR(SEARCH("Yet to be approved",D286)))</formula>
    </cfRule>
  </conditionalFormatting>
  <conditionalFormatting sqref="D297:E306">
    <cfRule type="containsText" dxfId="2346" priority="506" operator="containsText" text="DPR not submitted">
      <formula>NOT(ISERROR(SEARCH("DPR not submitted",D297)))</formula>
    </cfRule>
    <cfRule type="containsText" dxfId="2345" priority="507" operator="containsText" text="Yet to be approved">
      <formula>NOT(ISERROR(SEARCH("Yet to be approved",D297)))</formula>
    </cfRule>
  </conditionalFormatting>
  <conditionalFormatting sqref="D309:E309 D317:D343">
    <cfRule type="containsText" dxfId="2344" priority="721" operator="containsText" text="DPR not submitted">
      <formula>NOT(ISERROR(SEARCH("DPR not submitted",D309)))</formula>
    </cfRule>
    <cfRule type="containsText" dxfId="2343" priority="722" operator="containsText" text="Yet to be approved">
      <formula>NOT(ISERROR(SEARCH("Yet to be approved",D309)))</formula>
    </cfRule>
  </conditionalFormatting>
  <conditionalFormatting sqref="D312:E316">
    <cfRule type="containsText" dxfId="2342" priority="23" operator="containsText" text="DPR not submitted">
      <formula>NOT(ISERROR(SEARCH("DPR not submitted",D312)))</formula>
    </cfRule>
    <cfRule type="containsText" dxfId="2341" priority="24" operator="containsText" text="Yet to be approved">
      <formula>NOT(ISERROR(SEARCH("Yet to be approved",D312)))</formula>
    </cfRule>
  </conditionalFormatting>
  <conditionalFormatting sqref="D363:E393 D395:E634">
    <cfRule type="containsText" dxfId="2340" priority="12" operator="containsText" text="DPR not submitted">
      <formula>NOT(ISERROR(SEARCH("DPR not submitted",D363)))</formula>
    </cfRule>
    <cfRule type="containsText" dxfId="2339" priority="13" operator="containsText" text="Yet to be approved">
      <formula>NOT(ISERROR(SEARCH("Yet to be approved",D363)))</formula>
    </cfRule>
  </conditionalFormatting>
  <conditionalFormatting sqref="D636:E671">
    <cfRule type="containsText" dxfId="2338" priority="1" operator="containsText" text="DPR not submitted">
      <formula>NOT(ISERROR(SEARCH("DPR not submitted",D636)))</formula>
    </cfRule>
    <cfRule type="containsText" dxfId="2337" priority="2" operator="containsText" text="Yet to be approved">
      <formula>NOT(ISERROR(SEARCH("Yet to be approved",D636)))</formula>
    </cfRule>
  </conditionalFormatting>
  <conditionalFormatting sqref="E8:E24">
    <cfRule type="containsText" dxfId="2336" priority="807" operator="containsText" text="DPR not submitted">
      <formula>NOT(ISERROR(SEARCH("DPR not submitted",E8)))</formula>
    </cfRule>
    <cfRule type="containsText" dxfId="2335" priority="808" operator="containsText" text="Yet to be approved">
      <formula>NOT(ISERROR(SEARCH("Yet to be approved",E8)))</formula>
    </cfRule>
  </conditionalFormatting>
  <conditionalFormatting sqref="E45:E46">
    <cfRule type="containsText" dxfId="2334" priority="653" operator="containsText" text="DPR not submitted">
      <formula>NOT(ISERROR(SEARCH("DPR not submitted",E45)))</formula>
    </cfRule>
    <cfRule type="containsText" dxfId="2333" priority="654" operator="containsText" text="Yet to be approved">
      <formula>NOT(ISERROR(SEARCH("Yet to be approved",E45)))</formula>
    </cfRule>
  </conditionalFormatting>
  <conditionalFormatting sqref="E51">
    <cfRule type="containsText" dxfId="2332" priority="609" operator="containsText" text="DPR not submitted">
      <formula>NOT(ISERROR(SEARCH("DPR not submitted",E51)))</formula>
    </cfRule>
    <cfRule type="containsText" dxfId="2331" priority="610" operator="containsText" text="Yet to be approved">
      <formula>NOT(ISERROR(SEARCH("Yet to be approved",E51)))</formula>
    </cfRule>
  </conditionalFormatting>
  <conditionalFormatting sqref="E103:E104">
    <cfRule type="containsText" dxfId="2330" priority="649" operator="containsText" text="DPR not submitted">
      <formula>NOT(ISERROR(SEARCH("DPR not submitted",E103)))</formula>
    </cfRule>
    <cfRule type="containsText" dxfId="2329" priority="650" operator="containsText" text="Yet to be approved">
      <formula>NOT(ISERROR(SEARCH("Yet to be approved",E103)))</formula>
    </cfRule>
  </conditionalFormatting>
  <conditionalFormatting sqref="E169:E170">
    <cfRule type="containsText" dxfId="2328" priority="597" operator="containsText" text="DPR not submitted">
      <formula>NOT(ISERROR(SEARCH("DPR not submitted",E169)))</formula>
    </cfRule>
    <cfRule type="containsText" dxfId="2327" priority="598" operator="containsText" text="Yet to be approved">
      <formula>NOT(ISERROR(SEARCH("Yet to be approved",E169)))</formula>
    </cfRule>
  </conditionalFormatting>
  <conditionalFormatting sqref="E180">
    <cfRule type="containsText" dxfId="2326" priority="643" operator="containsText" text="DPR not submitted">
      <formula>NOT(ISERROR(SEARCH("DPR not submitted",E180)))</formula>
    </cfRule>
    <cfRule type="containsText" dxfId="2325" priority="644" operator="containsText" text="Yet to be approved">
      <formula>NOT(ISERROR(SEARCH("Yet to be approved",E180)))</formula>
    </cfRule>
  </conditionalFormatting>
  <conditionalFormatting sqref="E182:E183">
    <cfRule type="containsText" dxfId="2324" priority="641" operator="containsText" text="DPR not submitted">
      <formula>NOT(ISERROR(SEARCH("DPR not submitted",E182)))</formula>
    </cfRule>
    <cfRule type="containsText" dxfId="2323" priority="642" operator="containsText" text="Yet to be approved">
      <formula>NOT(ISERROR(SEARCH("Yet to be approved",E182)))</formula>
    </cfRule>
  </conditionalFormatting>
  <conditionalFormatting sqref="E186">
    <cfRule type="containsText" dxfId="2322" priority="637" operator="containsText" text="DPR not submitted">
      <formula>NOT(ISERROR(SEARCH("DPR not submitted",E186)))</formula>
    </cfRule>
    <cfRule type="containsText" dxfId="2321" priority="638" operator="containsText" text="Yet to be approved">
      <formula>NOT(ISERROR(SEARCH("Yet to be approved",E186)))</formula>
    </cfRule>
  </conditionalFormatting>
  <conditionalFormatting sqref="E189">
    <cfRule type="containsText" dxfId="2320" priority="593" operator="containsText" text="DPR not submitted">
      <formula>NOT(ISERROR(SEARCH("DPR not submitted",E189)))</formula>
    </cfRule>
    <cfRule type="containsText" dxfId="2319" priority="594" operator="containsText" text="Yet to be approved">
      <formula>NOT(ISERROR(SEARCH("Yet to be approved",E189)))</formula>
    </cfRule>
  </conditionalFormatting>
  <conditionalFormatting sqref="E192">
    <cfRule type="containsText" dxfId="2318" priority="633" operator="containsText" text="DPR not submitted">
      <formula>NOT(ISERROR(SEARCH("DPR not submitted",E192)))</formula>
    </cfRule>
    <cfRule type="containsText" dxfId="2317" priority="634" operator="containsText" text="Yet to be approved">
      <formula>NOT(ISERROR(SEARCH("Yet to be approved",E192)))</formula>
    </cfRule>
  </conditionalFormatting>
  <conditionalFormatting sqref="E195">
    <cfRule type="containsText" dxfId="2316" priority="589" operator="containsText" text="DPR not submitted">
      <formula>NOT(ISERROR(SEARCH("DPR not submitted",E195)))</formula>
    </cfRule>
    <cfRule type="containsText" dxfId="2315" priority="590" operator="containsText" text="Yet to be approved">
      <formula>NOT(ISERROR(SEARCH("Yet to be approved",E195)))</formula>
    </cfRule>
  </conditionalFormatting>
  <conditionalFormatting sqref="E198">
    <cfRule type="containsText" dxfId="2314" priority="585" operator="containsText" text="DPR not submitted">
      <formula>NOT(ISERROR(SEARCH("DPR not submitted",E198)))</formula>
    </cfRule>
    <cfRule type="containsText" dxfId="2313" priority="586" operator="containsText" text="Yet to be approved">
      <formula>NOT(ISERROR(SEARCH("Yet to be approved",E198)))</formula>
    </cfRule>
  </conditionalFormatting>
  <conditionalFormatting sqref="E204">
    <cfRule type="containsText" dxfId="2312" priority="629" operator="containsText" text="DPR not submitted">
      <formula>NOT(ISERROR(SEARCH("DPR not submitted",E204)))</formula>
    </cfRule>
    <cfRule type="containsText" dxfId="2311" priority="630" operator="containsText" text="Yet to be approved">
      <formula>NOT(ISERROR(SEARCH("Yet to be approved",E204)))</formula>
    </cfRule>
  </conditionalFormatting>
  <conditionalFormatting sqref="E223">
    <cfRule type="containsText" dxfId="2310" priority="581" operator="containsText" text="DPR not submitted">
      <formula>NOT(ISERROR(SEARCH("DPR not submitted",E223)))</formula>
    </cfRule>
    <cfRule type="containsText" dxfId="2309" priority="582" operator="containsText" text="Yet to be approved">
      <formula>NOT(ISERROR(SEARCH("Yet to be approved",E223)))</formula>
    </cfRule>
  </conditionalFormatting>
  <conditionalFormatting sqref="E229:E230">
    <cfRule type="containsText" dxfId="2308" priority="577" operator="containsText" text="DPR not submitted">
      <formula>NOT(ISERROR(SEARCH("DPR not submitted",E229)))</formula>
    </cfRule>
    <cfRule type="containsText" dxfId="2307" priority="578" operator="containsText" text="Yet to be approved">
      <formula>NOT(ISERROR(SEARCH("Yet to be approved",E229)))</formula>
    </cfRule>
  </conditionalFormatting>
  <conditionalFormatting sqref="E233:E234">
    <cfRule type="containsText" dxfId="2306" priority="627" operator="containsText" text="DPR not submitted">
      <formula>NOT(ISERROR(SEARCH("DPR not submitted",E233)))</formula>
    </cfRule>
    <cfRule type="containsText" dxfId="2305" priority="628" operator="containsText" text="Yet to be approved">
      <formula>NOT(ISERROR(SEARCH("Yet to be approved",E233)))</formula>
    </cfRule>
  </conditionalFormatting>
  <conditionalFormatting sqref="E237:E239">
    <cfRule type="containsText" dxfId="2304" priority="623" operator="containsText" text="DPR not submitted">
      <formula>NOT(ISERROR(SEARCH("DPR not submitted",E237)))</formula>
    </cfRule>
    <cfRule type="containsText" dxfId="2303" priority="624" operator="containsText" text="Yet to be approved">
      <formula>NOT(ISERROR(SEARCH("Yet to be approved",E237)))</formula>
    </cfRule>
  </conditionalFormatting>
  <conditionalFormatting sqref="E242">
    <cfRule type="containsText" dxfId="2302" priority="619" operator="containsText" text="DPR not submitted">
      <formula>NOT(ISERROR(SEARCH("DPR not submitted",E242)))</formula>
    </cfRule>
    <cfRule type="containsText" dxfId="2301" priority="620" operator="containsText" text="Yet to be approved">
      <formula>NOT(ISERROR(SEARCH("Yet to be approved",E242)))</formula>
    </cfRule>
  </conditionalFormatting>
  <conditionalFormatting sqref="E245:E246">
    <cfRule type="containsText" dxfId="2300" priority="573" operator="containsText" text="DPR not submitted">
      <formula>NOT(ISERROR(SEARCH("DPR not submitted",E245)))</formula>
    </cfRule>
    <cfRule type="containsText" dxfId="2299" priority="574" operator="containsText" text="Yet to be approved">
      <formula>NOT(ISERROR(SEARCH("Yet to be approved",E245)))</formula>
    </cfRule>
  </conditionalFormatting>
  <conditionalFormatting sqref="E248">
    <cfRule type="containsText" dxfId="2298" priority="615" operator="containsText" text="DPR not submitted">
      <formula>NOT(ISERROR(SEARCH("DPR not submitted",E248)))</formula>
    </cfRule>
    <cfRule type="containsText" dxfId="2297" priority="616" operator="containsText" text="Yet to be approved">
      <formula>NOT(ISERROR(SEARCH("Yet to be approved",E248)))</formula>
    </cfRule>
  </conditionalFormatting>
  <conditionalFormatting sqref="E251:E254">
    <cfRule type="containsText" dxfId="2296" priority="613" operator="containsText" text="DPR not submitted">
      <formula>NOT(ISERROR(SEARCH("DPR not submitted",E251)))</formula>
    </cfRule>
    <cfRule type="containsText" dxfId="2295" priority="614" operator="containsText" text="Yet to be approved">
      <formula>NOT(ISERROR(SEARCH("Yet to be approved",E251)))</formula>
    </cfRule>
  </conditionalFormatting>
  <conditionalFormatting sqref="E289:E296">
    <cfRule type="containsText" dxfId="2294" priority="516" operator="containsText" text="DPR not submitted">
      <formula>NOT(ISERROR(SEARCH("DPR not submitted",E289)))</formula>
    </cfRule>
    <cfRule type="containsText" dxfId="2293" priority="517" operator="containsText" text="Yet to be approved">
      <formula>NOT(ISERROR(SEARCH("Yet to be approved",E289)))</formula>
    </cfRule>
  </conditionalFormatting>
  <conditionalFormatting sqref="E318:E320 E322:E324 E326:E331 E333:E337 E339:E343">
    <cfRule type="containsText" dxfId="2292" priority="504" operator="containsText" text="DPR not submitted">
      <formula>NOT(ISERROR(SEARCH("DPR not submitted",E318)))</formula>
    </cfRule>
    <cfRule type="containsText" dxfId="2291" priority="505" operator="containsText" text="Yet to be approved">
      <formula>NOT(ISERROR(SEARCH("Yet to be approved",E318)))</formula>
    </cfRule>
  </conditionalFormatting>
  <conditionalFormatting sqref="F257:F258 E257:E268">
    <cfRule type="containsText" dxfId="2290" priority="655" operator="containsText" text="DPR not submitted">
      <formula>NOT(ISERROR(SEARCH("DPR not submitted",E257)))</formula>
    </cfRule>
    <cfRule type="containsText" dxfId="2289" priority="656" operator="containsText" text="Yet to be approved">
      <formula>NOT(ISERROR(SEARCH("Yet to be approved",E257)))</formula>
    </cfRule>
  </conditionalFormatting>
  <conditionalFormatting sqref="K256:K257">
    <cfRule type="containsText" dxfId="2288" priority="545" operator="containsText" text="DPR not submitted">
      <formula>NOT(ISERROR(SEARCH("DPR not submitted",K256)))</formula>
    </cfRule>
    <cfRule type="containsText" dxfId="2287" priority="546" operator="containsText" text="Yet to be approved">
      <formula>NOT(ISERROR(SEARCH("Yet to be approved",K256)))</formula>
    </cfRule>
  </conditionalFormatting>
  <conditionalFormatting sqref="AS258 AY307:AY310 AY317:AY343 AY635:AY638">
    <cfRule type="containsText" dxfId="2286" priority="534" operator="containsText" text="Not Initiated">
      <formula>NOT(ISERROR(SEARCH("Not Initiated",AS258)))</formula>
    </cfRule>
    <cfRule type="containsText" dxfId="2285" priority="535" operator="containsText" text="To be Confirmed">
      <formula>NOT(ISERROR(SEARCH("To be Confirmed",AS258)))</formula>
    </cfRule>
    <cfRule type="containsText" dxfId="2284" priority="536" stopIfTrue="1" operator="containsText" text="Capitalised">
      <formula>NOT(ISERROR(SEARCH("Capitalised",AS258)))</formula>
    </cfRule>
    <cfRule type="containsText" dxfId="2283" priority="537" stopIfTrue="1" operator="containsText" text="Cancelled">
      <formula>NOT(ISERROR(SEARCH("Cancelled",AS258)))</formula>
    </cfRule>
    <cfRule type="containsText" dxfId="2282" priority="538" stopIfTrue="1" operator="containsText" text="WIP">
      <formula>NOT(ISERROR(SEARCH("WIP",AS258)))</formula>
    </cfRule>
  </conditionalFormatting>
  <conditionalFormatting sqref="AS258 AY307:AY310 AY343 AY635:AY638">
    <cfRule type="containsText" dxfId="2281" priority="533" operator="containsText" text="Deferred">
      <formula>NOT(ISERROR(SEARCH("Deferred",AS258)))</formula>
    </cfRule>
  </conditionalFormatting>
  <conditionalFormatting sqref="AS258">
    <cfRule type="containsText" dxfId="2280" priority="530" operator="containsText" text="Capitalised">
      <formula>NOT(ISERROR(SEARCH("Capitalised",AS258)))</formula>
    </cfRule>
    <cfRule type="containsText" dxfId="2279" priority="531" operator="containsText" text="WIP">
      <formula>NOT(ISERROR(SEARCH("WIP",AS258)))</formula>
    </cfRule>
    <cfRule type="containsText" dxfId="2278" priority="532" operator="containsText" text="Cancelled">
      <formula>NOT(ISERROR(SEARCH("Cancelled",AS258)))</formula>
    </cfRule>
  </conditionalFormatting>
  <conditionalFormatting sqref="AY8:AY24">
    <cfRule type="containsText" dxfId="2277" priority="495" operator="containsText" text="Capitalised">
      <formula>NOT(ISERROR(SEARCH("Capitalised",AY8)))</formula>
    </cfRule>
    <cfRule type="containsText" dxfId="2276" priority="496" operator="containsText" text="WIP">
      <formula>NOT(ISERROR(SEARCH("WIP",AY8)))</formula>
    </cfRule>
    <cfRule type="containsText" dxfId="2275" priority="497" operator="containsText" text="Cancelled">
      <formula>NOT(ISERROR(SEARCH("Cancelled",AY8)))</formula>
    </cfRule>
    <cfRule type="containsText" dxfId="2274" priority="498" operator="containsText" text="Deferred">
      <formula>NOT(ISERROR(SEARCH("Deferred",AY8)))</formula>
    </cfRule>
    <cfRule type="containsText" dxfId="2273" priority="499" operator="containsText" text="Not Initiated">
      <formula>NOT(ISERROR(SEARCH("Not Initiated",AY8)))</formula>
    </cfRule>
    <cfRule type="containsText" dxfId="2272" priority="500" operator="containsText" text="To be Confirmed">
      <formula>NOT(ISERROR(SEARCH("To be Confirmed",AY8)))</formula>
    </cfRule>
    <cfRule type="containsText" dxfId="2271" priority="501" stopIfTrue="1" operator="containsText" text="Capitalised">
      <formula>NOT(ISERROR(SEARCH("Capitalised",AY8)))</formula>
    </cfRule>
    <cfRule type="containsText" dxfId="2270" priority="502" stopIfTrue="1" operator="containsText" text="Cancelled">
      <formula>NOT(ISERROR(SEARCH("Cancelled",AY8)))</formula>
    </cfRule>
    <cfRule type="containsText" dxfId="2269" priority="503" stopIfTrue="1" operator="containsText" text="WIP">
      <formula>NOT(ISERROR(SEARCH("WIP",AY8)))</formula>
    </cfRule>
  </conditionalFormatting>
  <conditionalFormatting sqref="AY26:AY37 AY200:AY202">
    <cfRule type="containsText" dxfId="2268" priority="487" operator="containsText" text="WIP">
      <formula>NOT(ISERROR(SEARCH("WIP",AY26)))</formula>
    </cfRule>
    <cfRule type="containsText" dxfId="2267" priority="488" operator="containsText" text="Cancelled">
      <formula>NOT(ISERROR(SEARCH("Cancelled",AY26)))</formula>
    </cfRule>
    <cfRule type="containsText" dxfId="2266" priority="489" operator="containsText" text="Deferred">
      <formula>NOT(ISERROR(SEARCH("Deferred",AY26)))</formula>
    </cfRule>
    <cfRule type="containsText" dxfId="2265" priority="490" operator="containsText" text="Not Initiated">
      <formula>NOT(ISERROR(SEARCH("Not Initiated",AY26)))</formula>
    </cfRule>
    <cfRule type="containsText" dxfId="2264" priority="491" operator="containsText" text="To be Confirmed">
      <formula>NOT(ISERROR(SEARCH("To be Confirmed",AY26)))</formula>
    </cfRule>
    <cfRule type="containsText" dxfId="2263" priority="492" stopIfTrue="1" operator="containsText" text="Capitalised">
      <formula>NOT(ISERROR(SEARCH("Capitalised",AY26)))</formula>
    </cfRule>
    <cfRule type="containsText" dxfId="2262" priority="493" stopIfTrue="1" operator="containsText" text="Cancelled">
      <formula>NOT(ISERROR(SEARCH("Cancelled",AY26)))</formula>
    </cfRule>
    <cfRule type="containsText" dxfId="2261" priority="494" stopIfTrue="1" operator="containsText" text="WIP">
      <formula>NOT(ISERROR(SEARCH("WIP",AY26)))</formula>
    </cfRule>
  </conditionalFormatting>
  <conditionalFormatting sqref="AY39:AY43 AY251:AY257">
    <cfRule type="containsText" dxfId="2260" priority="477" operator="containsText" text="Capitalised">
      <formula>NOT(ISERROR(SEARCH("Capitalised",AY39)))</formula>
    </cfRule>
    <cfRule type="containsText" dxfId="2259" priority="478" operator="containsText" text="WIP">
      <formula>NOT(ISERROR(SEARCH("WIP",AY39)))</formula>
    </cfRule>
    <cfRule type="containsText" dxfId="2258" priority="479" operator="containsText" text="Cancelled">
      <formula>NOT(ISERROR(SEARCH("Cancelled",AY39)))</formula>
    </cfRule>
    <cfRule type="containsText" dxfId="2257" priority="480" operator="containsText" text="Deferred">
      <formula>NOT(ISERROR(SEARCH("Deferred",AY39)))</formula>
    </cfRule>
    <cfRule type="containsText" dxfId="2256" priority="481" operator="containsText" text="Not Initiated">
      <formula>NOT(ISERROR(SEARCH("Not Initiated",AY39)))</formula>
    </cfRule>
    <cfRule type="containsText" dxfId="2255" priority="482" operator="containsText" text="To be Confirmed">
      <formula>NOT(ISERROR(SEARCH("To be Confirmed",AY39)))</formula>
    </cfRule>
    <cfRule type="containsText" dxfId="2254" priority="483" stopIfTrue="1" operator="containsText" text="Capitalised">
      <formula>NOT(ISERROR(SEARCH("Capitalised",AY39)))</formula>
    </cfRule>
    <cfRule type="containsText" dxfId="2253" priority="484" stopIfTrue="1" operator="containsText" text="Cancelled">
      <formula>NOT(ISERROR(SEARCH("Cancelled",AY39)))</formula>
    </cfRule>
    <cfRule type="containsText" dxfId="2252" priority="485" stopIfTrue="1" operator="containsText" text="WIP">
      <formula>NOT(ISERROR(SEARCH("WIP",AY39)))</formula>
    </cfRule>
  </conditionalFormatting>
  <conditionalFormatting sqref="AY45:AY47">
    <cfRule type="containsText" dxfId="2251" priority="225" operator="containsText" text="Capitalised">
      <formula>NOT(ISERROR(SEARCH("Capitalised",AY45)))</formula>
    </cfRule>
    <cfRule type="containsText" dxfId="2250" priority="226" operator="containsText" text="WIP">
      <formula>NOT(ISERROR(SEARCH("WIP",AY45)))</formula>
    </cfRule>
    <cfRule type="containsText" dxfId="2249" priority="227" operator="containsText" text="Cancelled">
      <formula>NOT(ISERROR(SEARCH("Cancelled",AY45)))</formula>
    </cfRule>
    <cfRule type="containsText" dxfId="2248" priority="228" operator="containsText" text="Deferred">
      <formula>NOT(ISERROR(SEARCH("Deferred",AY45)))</formula>
    </cfRule>
    <cfRule type="containsText" dxfId="2247" priority="229" operator="containsText" text="Not Initiated">
      <formula>NOT(ISERROR(SEARCH("Not Initiated",AY45)))</formula>
    </cfRule>
    <cfRule type="containsText" dxfId="2246" priority="230" operator="containsText" text="To be Confirmed">
      <formula>NOT(ISERROR(SEARCH("To be Confirmed",AY45)))</formula>
    </cfRule>
    <cfRule type="containsText" dxfId="2245" priority="231" stopIfTrue="1" operator="containsText" text="Capitalised">
      <formula>NOT(ISERROR(SEARCH("Capitalised",AY45)))</formula>
    </cfRule>
    <cfRule type="containsText" dxfId="2244" priority="232" stopIfTrue="1" operator="containsText" text="Cancelled">
      <formula>NOT(ISERROR(SEARCH("Cancelled",AY45)))</formula>
    </cfRule>
    <cfRule type="containsText" dxfId="2243" priority="233" stopIfTrue="1" operator="containsText" text="WIP">
      <formula>NOT(ISERROR(SEARCH("WIP",AY45)))</formula>
    </cfRule>
  </conditionalFormatting>
  <conditionalFormatting sqref="AY49">
    <cfRule type="containsText" dxfId="2242" priority="468" operator="containsText" text="Capitalised">
      <formula>NOT(ISERROR(SEARCH("Capitalised",AY49)))</formula>
    </cfRule>
    <cfRule type="containsText" dxfId="2241" priority="469" operator="containsText" text="WIP">
      <formula>NOT(ISERROR(SEARCH("WIP",AY49)))</formula>
    </cfRule>
    <cfRule type="containsText" dxfId="2240" priority="470" operator="containsText" text="Cancelled">
      <formula>NOT(ISERROR(SEARCH("Cancelled",AY49)))</formula>
    </cfRule>
    <cfRule type="containsText" dxfId="2239" priority="471" operator="containsText" text="Deferred">
      <formula>NOT(ISERROR(SEARCH("Deferred",AY49)))</formula>
    </cfRule>
    <cfRule type="containsText" dxfId="2238" priority="472" operator="containsText" text="Not Initiated">
      <formula>NOT(ISERROR(SEARCH("Not Initiated",AY49)))</formula>
    </cfRule>
    <cfRule type="containsText" dxfId="2237" priority="473" operator="containsText" text="To be Confirmed">
      <formula>NOT(ISERROR(SEARCH("To be Confirmed",AY49)))</formula>
    </cfRule>
    <cfRule type="containsText" dxfId="2236" priority="474" stopIfTrue="1" operator="containsText" text="Capitalised">
      <formula>NOT(ISERROR(SEARCH("Capitalised",AY49)))</formula>
    </cfRule>
    <cfRule type="containsText" dxfId="2235" priority="475" stopIfTrue="1" operator="containsText" text="Cancelled">
      <formula>NOT(ISERROR(SEARCH("Cancelled",AY49)))</formula>
    </cfRule>
    <cfRule type="containsText" dxfId="2234" priority="476" stopIfTrue="1" operator="containsText" text="WIP">
      <formula>NOT(ISERROR(SEARCH("WIP",AY49)))</formula>
    </cfRule>
  </conditionalFormatting>
  <conditionalFormatting sqref="AY51">
    <cfRule type="containsText" dxfId="2233" priority="135" operator="containsText" text="Capitalised">
      <formula>NOT(ISERROR(SEARCH("Capitalised",AY51)))</formula>
    </cfRule>
    <cfRule type="containsText" dxfId="2232" priority="136" operator="containsText" text="WIP">
      <formula>NOT(ISERROR(SEARCH("WIP",AY51)))</formula>
    </cfRule>
    <cfRule type="containsText" dxfId="2231" priority="137" operator="containsText" text="Cancelled">
      <formula>NOT(ISERROR(SEARCH("Cancelled",AY51)))</formula>
    </cfRule>
    <cfRule type="containsText" dxfId="2230" priority="138" operator="containsText" text="Deferred">
      <formula>NOT(ISERROR(SEARCH("Deferred",AY51)))</formula>
    </cfRule>
    <cfRule type="containsText" dxfId="2229" priority="139" operator="containsText" text="Not Initiated">
      <formula>NOT(ISERROR(SEARCH("Not Initiated",AY51)))</formula>
    </cfRule>
    <cfRule type="containsText" dxfId="2228" priority="140" operator="containsText" text="To be Confirmed">
      <formula>NOT(ISERROR(SEARCH("To be Confirmed",AY51)))</formula>
    </cfRule>
    <cfRule type="containsText" dxfId="2227" priority="141" stopIfTrue="1" operator="containsText" text="Capitalised">
      <formula>NOT(ISERROR(SEARCH("Capitalised",AY51)))</formula>
    </cfRule>
    <cfRule type="containsText" dxfId="2226" priority="142" stopIfTrue="1" operator="containsText" text="Cancelled">
      <formula>NOT(ISERROR(SEARCH("Cancelled",AY51)))</formula>
    </cfRule>
    <cfRule type="containsText" dxfId="2225" priority="143" stopIfTrue="1" operator="containsText" text="WIP">
      <formula>NOT(ISERROR(SEARCH("WIP",AY51)))</formula>
    </cfRule>
  </conditionalFormatting>
  <conditionalFormatting sqref="AY53:AY55">
    <cfRule type="containsText" dxfId="2224" priority="459" operator="containsText" text="Capitalised">
      <formula>NOT(ISERROR(SEARCH("Capitalised",AY53)))</formula>
    </cfRule>
    <cfRule type="containsText" dxfId="2223" priority="460" operator="containsText" text="WIP">
      <formula>NOT(ISERROR(SEARCH("WIP",AY53)))</formula>
    </cfRule>
    <cfRule type="containsText" dxfId="2222" priority="461" operator="containsText" text="Cancelled">
      <formula>NOT(ISERROR(SEARCH("Cancelled",AY53)))</formula>
    </cfRule>
    <cfRule type="containsText" dxfId="2221" priority="462" operator="containsText" text="Deferred">
      <formula>NOT(ISERROR(SEARCH("Deferred",AY53)))</formula>
    </cfRule>
    <cfRule type="containsText" dxfId="2220" priority="463" operator="containsText" text="Not Initiated">
      <formula>NOT(ISERROR(SEARCH("Not Initiated",AY53)))</formula>
    </cfRule>
    <cfRule type="containsText" dxfId="2219" priority="464" operator="containsText" text="To be Confirmed">
      <formula>NOT(ISERROR(SEARCH("To be Confirmed",AY53)))</formula>
    </cfRule>
    <cfRule type="containsText" dxfId="2218" priority="465" stopIfTrue="1" operator="containsText" text="Capitalised">
      <formula>NOT(ISERROR(SEARCH("Capitalised",AY53)))</formula>
    </cfRule>
    <cfRule type="containsText" dxfId="2217" priority="466" stopIfTrue="1" operator="containsText" text="Cancelled">
      <formula>NOT(ISERROR(SEARCH("Cancelled",AY53)))</formula>
    </cfRule>
    <cfRule type="containsText" dxfId="2216" priority="467" stopIfTrue="1" operator="containsText" text="WIP">
      <formula>NOT(ISERROR(SEARCH("WIP",AY53)))</formula>
    </cfRule>
  </conditionalFormatting>
  <conditionalFormatting sqref="AY57:AY59">
    <cfRule type="containsText" dxfId="2215" priority="450" operator="containsText" text="Capitalised">
      <formula>NOT(ISERROR(SEARCH("Capitalised",AY57)))</formula>
    </cfRule>
    <cfRule type="containsText" dxfId="2214" priority="451" operator="containsText" text="WIP">
      <formula>NOT(ISERROR(SEARCH("WIP",AY57)))</formula>
    </cfRule>
    <cfRule type="containsText" dxfId="2213" priority="452" operator="containsText" text="Cancelled">
      <formula>NOT(ISERROR(SEARCH("Cancelled",AY57)))</formula>
    </cfRule>
    <cfRule type="containsText" dxfId="2212" priority="453" operator="containsText" text="Deferred">
      <formula>NOT(ISERROR(SEARCH("Deferred",AY57)))</formula>
    </cfRule>
    <cfRule type="containsText" dxfId="2211" priority="454" operator="containsText" text="Not Initiated">
      <formula>NOT(ISERROR(SEARCH("Not Initiated",AY57)))</formula>
    </cfRule>
    <cfRule type="containsText" dxfId="2210" priority="455" operator="containsText" text="To be Confirmed">
      <formula>NOT(ISERROR(SEARCH("To be Confirmed",AY57)))</formula>
    </cfRule>
    <cfRule type="containsText" dxfId="2209" priority="456" stopIfTrue="1" operator="containsText" text="Capitalised">
      <formula>NOT(ISERROR(SEARCH("Capitalised",AY57)))</formula>
    </cfRule>
    <cfRule type="containsText" dxfId="2208" priority="457" stopIfTrue="1" operator="containsText" text="Cancelled">
      <formula>NOT(ISERROR(SEARCH("Cancelled",AY57)))</formula>
    </cfRule>
    <cfRule type="containsText" dxfId="2207" priority="458" stopIfTrue="1" operator="containsText" text="WIP">
      <formula>NOT(ISERROR(SEARCH("WIP",AY57)))</formula>
    </cfRule>
  </conditionalFormatting>
  <conditionalFormatting sqref="AY61:AY62">
    <cfRule type="containsText" dxfId="2206" priority="441" operator="containsText" text="Capitalised">
      <formula>NOT(ISERROR(SEARCH("Capitalised",AY61)))</formula>
    </cfRule>
    <cfRule type="containsText" dxfId="2205" priority="442" operator="containsText" text="WIP">
      <formula>NOT(ISERROR(SEARCH("WIP",AY61)))</formula>
    </cfRule>
    <cfRule type="containsText" dxfId="2204" priority="443" operator="containsText" text="Cancelled">
      <formula>NOT(ISERROR(SEARCH("Cancelled",AY61)))</formula>
    </cfRule>
    <cfRule type="containsText" dxfId="2203" priority="444" operator="containsText" text="Deferred">
      <formula>NOT(ISERROR(SEARCH("Deferred",AY61)))</formula>
    </cfRule>
    <cfRule type="containsText" dxfId="2202" priority="445" operator="containsText" text="Not Initiated">
      <formula>NOT(ISERROR(SEARCH("Not Initiated",AY61)))</formula>
    </cfRule>
    <cfRule type="containsText" dxfId="2201" priority="446" operator="containsText" text="To be Confirmed">
      <formula>NOT(ISERROR(SEARCH("To be Confirmed",AY61)))</formula>
    </cfRule>
    <cfRule type="containsText" dxfId="2200" priority="447" stopIfTrue="1" operator="containsText" text="Capitalised">
      <formula>NOT(ISERROR(SEARCH("Capitalised",AY61)))</formula>
    </cfRule>
    <cfRule type="containsText" dxfId="2199" priority="448" stopIfTrue="1" operator="containsText" text="Cancelled">
      <formula>NOT(ISERROR(SEARCH("Cancelled",AY61)))</formula>
    </cfRule>
    <cfRule type="containsText" dxfId="2198" priority="449" stopIfTrue="1" operator="containsText" text="WIP">
      <formula>NOT(ISERROR(SEARCH("WIP",AY61)))</formula>
    </cfRule>
  </conditionalFormatting>
  <conditionalFormatting sqref="AY64:AY67">
    <cfRule type="containsText" dxfId="2197" priority="432" operator="containsText" text="Capitalised">
      <formula>NOT(ISERROR(SEARCH("Capitalised",AY64)))</formula>
    </cfRule>
    <cfRule type="containsText" dxfId="2196" priority="433" operator="containsText" text="WIP">
      <formula>NOT(ISERROR(SEARCH("WIP",AY64)))</formula>
    </cfRule>
    <cfRule type="containsText" dxfId="2195" priority="434" operator="containsText" text="Cancelled">
      <formula>NOT(ISERROR(SEARCH("Cancelled",AY64)))</formula>
    </cfRule>
    <cfRule type="containsText" dxfId="2194" priority="435" operator="containsText" text="Deferred">
      <formula>NOT(ISERROR(SEARCH("Deferred",AY64)))</formula>
    </cfRule>
    <cfRule type="containsText" dxfId="2193" priority="436" operator="containsText" text="Not Initiated">
      <formula>NOT(ISERROR(SEARCH("Not Initiated",AY64)))</formula>
    </cfRule>
    <cfRule type="containsText" dxfId="2192" priority="437" operator="containsText" text="To be Confirmed">
      <formula>NOT(ISERROR(SEARCH("To be Confirmed",AY64)))</formula>
    </cfRule>
    <cfRule type="containsText" dxfId="2191" priority="438" stopIfTrue="1" operator="containsText" text="Capitalised">
      <formula>NOT(ISERROR(SEARCH("Capitalised",AY64)))</formula>
    </cfRule>
    <cfRule type="containsText" dxfId="2190" priority="439" stopIfTrue="1" operator="containsText" text="Cancelled">
      <formula>NOT(ISERROR(SEARCH("Cancelled",AY64)))</formula>
    </cfRule>
    <cfRule type="containsText" dxfId="2189" priority="440" stopIfTrue="1" operator="containsText" text="WIP">
      <formula>NOT(ISERROR(SEARCH("WIP",AY64)))</formula>
    </cfRule>
  </conditionalFormatting>
  <conditionalFormatting sqref="AY69:AY78">
    <cfRule type="containsText" dxfId="2188" priority="423" operator="containsText" text="Capitalised">
      <formula>NOT(ISERROR(SEARCH("Capitalised",AY69)))</formula>
    </cfRule>
    <cfRule type="containsText" dxfId="2187" priority="424" operator="containsText" text="WIP">
      <formula>NOT(ISERROR(SEARCH("WIP",AY69)))</formula>
    </cfRule>
    <cfRule type="containsText" dxfId="2186" priority="425" operator="containsText" text="Cancelled">
      <formula>NOT(ISERROR(SEARCH("Cancelled",AY69)))</formula>
    </cfRule>
    <cfRule type="containsText" dxfId="2185" priority="426" operator="containsText" text="Deferred">
      <formula>NOT(ISERROR(SEARCH("Deferred",AY69)))</formula>
    </cfRule>
    <cfRule type="containsText" dxfId="2184" priority="427" operator="containsText" text="Not Initiated">
      <formula>NOT(ISERROR(SEARCH("Not Initiated",AY69)))</formula>
    </cfRule>
    <cfRule type="containsText" dxfId="2183" priority="428" operator="containsText" text="To be Confirmed">
      <formula>NOT(ISERROR(SEARCH("To be Confirmed",AY69)))</formula>
    </cfRule>
    <cfRule type="containsText" dxfId="2182" priority="429" stopIfTrue="1" operator="containsText" text="Capitalised">
      <formula>NOT(ISERROR(SEARCH("Capitalised",AY69)))</formula>
    </cfRule>
    <cfRule type="containsText" dxfId="2181" priority="430" stopIfTrue="1" operator="containsText" text="Cancelled">
      <formula>NOT(ISERROR(SEARCH("Cancelled",AY69)))</formula>
    </cfRule>
    <cfRule type="containsText" dxfId="2180" priority="431" stopIfTrue="1" operator="containsText" text="WIP">
      <formula>NOT(ISERROR(SEARCH("WIP",AY69)))</formula>
    </cfRule>
  </conditionalFormatting>
  <conditionalFormatting sqref="AY80:AY82">
    <cfRule type="containsText" dxfId="2179" priority="126" operator="containsText" text="Capitalised">
      <formula>NOT(ISERROR(SEARCH("Capitalised",AY80)))</formula>
    </cfRule>
    <cfRule type="containsText" dxfId="2178" priority="127" operator="containsText" text="WIP">
      <formula>NOT(ISERROR(SEARCH("WIP",AY80)))</formula>
    </cfRule>
    <cfRule type="containsText" dxfId="2177" priority="128" operator="containsText" text="Cancelled">
      <formula>NOT(ISERROR(SEARCH("Cancelled",AY80)))</formula>
    </cfRule>
    <cfRule type="containsText" dxfId="2176" priority="129" operator="containsText" text="Deferred">
      <formula>NOT(ISERROR(SEARCH("Deferred",AY80)))</formula>
    </cfRule>
    <cfRule type="containsText" dxfId="2175" priority="130" operator="containsText" text="Not Initiated">
      <formula>NOT(ISERROR(SEARCH("Not Initiated",AY80)))</formula>
    </cfRule>
    <cfRule type="containsText" dxfId="2174" priority="131" operator="containsText" text="To be Confirmed">
      <formula>NOT(ISERROR(SEARCH("To be Confirmed",AY80)))</formula>
    </cfRule>
    <cfRule type="containsText" dxfId="2173" priority="132" stopIfTrue="1" operator="containsText" text="Capitalised">
      <formula>NOT(ISERROR(SEARCH("Capitalised",AY80)))</formula>
    </cfRule>
    <cfRule type="containsText" dxfId="2172" priority="133" stopIfTrue="1" operator="containsText" text="Cancelled">
      <formula>NOT(ISERROR(SEARCH("Cancelled",AY80)))</formula>
    </cfRule>
    <cfRule type="containsText" dxfId="2171" priority="134" stopIfTrue="1" operator="containsText" text="WIP">
      <formula>NOT(ISERROR(SEARCH("WIP",AY80)))</formula>
    </cfRule>
  </conditionalFormatting>
  <conditionalFormatting sqref="AY84:AY90">
    <cfRule type="containsText" dxfId="2170" priority="414" operator="containsText" text="Capitalised">
      <formula>NOT(ISERROR(SEARCH("Capitalised",AY84)))</formula>
    </cfRule>
    <cfRule type="containsText" dxfId="2169" priority="415" operator="containsText" text="WIP">
      <formula>NOT(ISERROR(SEARCH("WIP",AY84)))</formula>
    </cfRule>
    <cfRule type="containsText" dxfId="2168" priority="416" operator="containsText" text="Cancelled">
      <formula>NOT(ISERROR(SEARCH("Cancelled",AY84)))</formula>
    </cfRule>
    <cfRule type="containsText" dxfId="2167" priority="417" operator="containsText" text="Deferred">
      <formula>NOT(ISERROR(SEARCH("Deferred",AY84)))</formula>
    </cfRule>
    <cfRule type="containsText" dxfId="2166" priority="418" operator="containsText" text="Not Initiated">
      <formula>NOT(ISERROR(SEARCH("Not Initiated",AY84)))</formula>
    </cfRule>
    <cfRule type="containsText" dxfId="2165" priority="419" operator="containsText" text="To be Confirmed">
      <formula>NOT(ISERROR(SEARCH("To be Confirmed",AY84)))</formula>
    </cfRule>
    <cfRule type="containsText" dxfId="2164" priority="420" stopIfTrue="1" operator="containsText" text="Capitalised">
      <formula>NOT(ISERROR(SEARCH("Capitalised",AY84)))</formula>
    </cfRule>
    <cfRule type="containsText" dxfId="2163" priority="421" stopIfTrue="1" operator="containsText" text="Cancelled">
      <formula>NOT(ISERROR(SEARCH("Cancelled",AY84)))</formula>
    </cfRule>
    <cfRule type="containsText" dxfId="2162" priority="422" stopIfTrue="1" operator="containsText" text="WIP">
      <formula>NOT(ISERROR(SEARCH("WIP",AY84)))</formula>
    </cfRule>
  </conditionalFormatting>
  <conditionalFormatting sqref="AY92:AY93">
    <cfRule type="containsText" dxfId="2161" priority="405" operator="containsText" text="Capitalised">
      <formula>NOT(ISERROR(SEARCH("Capitalised",AY92)))</formula>
    </cfRule>
    <cfRule type="containsText" dxfId="2160" priority="406" operator="containsText" text="WIP">
      <formula>NOT(ISERROR(SEARCH("WIP",AY92)))</formula>
    </cfRule>
    <cfRule type="containsText" dxfId="2159" priority="407" operator="containsText" text="Cancelled">
      <formula>NOT(ISERROR(SEARCH("Cancelled",AY92)))</formula>
    </cfRule>
    <cfRule type="containsText" dxfId="2158" priority="408" operator="containsText" text="Deferred">
      <formula>NOT(ISERROR(SEARCH("Deferred",AY92)))</formula>
    </cfRule>
    <cfRule type="containsText" dxfId="2157" priority="409" operator="containsText" text="Not Initiated">
      <formula>NOT(ISERROR(SEARCH("Not Initiated",AY92)))</formula>
    </cfRule>
    <cfRule type="containsText" dxfId="2156" priority="410" operator="containsText" text="To be Confirmed">
      <formula>NOT(ISERROR(SEARCH("To be Confirmed",AY92)))</formula>
    </cfRule>
    <cfRule type="containsText" dxfId="2155" priority="411" stopIfTrue="1" operator="containsText" text="Capitalised">
      <formula>NOT(ISERROR(SEARCH("Capitalised",AY92)))</formula>
    </cfRule>
    <cfRule type="containsText" dxfId="2154" priority="412" stopIfTrue="1" operator="containsText" text="Cancelled">
      <formula>NOT(ISERROR(SEARCH("Cancelled",AY92)))</formula>
    </cfRule>
    <cfRule type="containsText" dxfId="2153" priority="413" stopIfTrue="1" operator="containsText" text="WIP">
      <formula>NOT(ISERROR(SEARCH("WIP",AY92)))</formula>
    </cfRule>
  </conditionalFormatting>
  <conditionalFormatting sqref="AY95:AY97">
    <cfRule type="containsText" dxfId="2152" priority="396" operator="containsText" text="Capitalised">
      <formula>NOT(ISERROR(SEARCH("Capitalised",AY95)))</formula>
    </cfRule>
    <cfRule type="containsText" dxfId="2151" priority="397" operator="containsText" text="WIP">
      <formula>NOT(ISERROR(SEARCH("WIP",AY95)))</formula>
    </cfRule>
    <cfRule type="containsText" dxfId="2150" priority="398" operator="containsText" text="Cancelled">
      <formula>NOT(ISERROR(SEARCH("Cancelled",AY95)))</formula>
    </cfRule>
    <cfRule type="containsText" dxfId="2149" priority="399" operator="containsText" text="Deferred">
      <formula>NOT(ISERROR(SEARCH("Deferred",AY95)))</formula>
    </cfRule>
    <cfRule type="containsText" dxfId="2148" priority="400" operator="containsText" text="Not Initiated">
      <formula>NOT(ISERROR(SEARCH("Not Initiated",AY95)))</formula>
    </cfRule>
    <cfRule type="containsText" dxfId="2147" priority="401" operator="containsText" text="To be Confirmed">
      <formula>NOT(ISERROR(SEARCH("To be Confirmed",AY95)))</formula>
    </cfRule>
    <cfRule type="containsText" dxfId="2146" priority="402" stopIfTrue="1" operator="containsText" text="Capitalised">
      <formula>NOT(ISERROR(SEARCH("Capitalised",AY95)))</formula>
    </cfRule>
    <cfRule type="containsText" dxfId="2145" priority="403" stopIfTrue="1" operator="containsText" text="Cancelled">
      <formula>NOT(ISERROR(SEARCH("Cancelled",AY95)))</formula>
    </cfRule>
    <cfRule type="containsText" dxfId="2144" priority="404" stopIfTrue="1" operator="containsText" text="WIP">
      <formula>NOT(ISERROR(SEARCH("WIP",AY95)))</formula>
    </cfRule>
  </conditionalFormatting>
  <conditionalFormatting sqref="AY99:AY101">
    <cfRule type="containsText" dxfId="2143" priority="387" operator="containsText" text="Capitalised">
      <formula>NOT(ISERROR(SEARCH("Capitalised",AY99)))</formula>
    </cfRule>
    <cfRule type="containsText" dxfId="2142" priority="388" operator="containsText" text="WIP">
      <formula>NOT(ISERROR(SEARCH("WIP",AY99)))</formula>
    </cfRule>
    <cfRule type="containsText" dxfId="2141" priority="389" operator="containsText" text="Cancelled">
      <formula>NOT(ISERROR(SEARCH("Cancelled",AY99)))</formula>
    </cfRule>
    <cfRule type="containsText" dxfId="2140" priority="390" operator="containsText" text="Deferred">
      <formula>NOT(ISERROR(SEARCH("Deferred",AY99)))</formula>
    </cfRule>
    <cfRule type="containsText" dxfId="2139" priority="391" operator="containsText" text="Not Initiated">
      <formula>NOT(ISERROR(SEARCH("Not Initiated",AY99)))</formula>
    </cfRule>
    <cfRule type="containsText" dxfId="2138" priority="392" operator="containsText" text="To be Confirmed">
      <formula>NOT(ISERROR(SEARCH("To be Confirmed",AY99)))</formula>
    </cfRule>
    <cfRule type="containsText" dxfId="2137" priority="393" stopIfTrue="1" operator="containsText" text="Capitalised">
      <formula>NOT(ISERROR(SEARCH("Capitalised",AY99)))</formula>
    </cfRule>
    <cfRule type="containsText" dxfId="2136" priority="394" stopIfTrue="1" operator="containsText" text="Cancelled">
      <formula>NOT(ISERROR(SEARCH("Cancelled",AY99)))</formula>
    </cfRule>
    <cfRule type="containsText" dxfId="2135" priority="395" stopIfTrue="1" operator="containsText" text="WIP">
      <formula>NOT(ISERROR(SEARCH("WIP",AY99)))</formula>
    </cfRule>
  </conditionalFormatting>
  <conditionalFormatting sqref="AY103:AY105">
    <cfRule type="containsText" dxfId="2134" priority="216" operator="containsText" text="Capitalised">
      <formula>NOT(ISERROR(SEARCH("Capitalised",AY103)))</formula>
    </cfRule>
    <cfRule type="containsText" dxfId="2133" priority="217" operator="containsText" text="WIP">
      <formula>NOT(ISERROR(SEARCH("WIP",AY103)))</formula>
    </cfRule>
    <cfRule type="containsText" dxfId="2132" priority="218" operator="containsText" text="Cancelled">
      <formula>NOT(ISERROR(SEARCH("Cancelled",AY103)))</formula>
    </cfRule>
    <cfRule type="containsText" dxfId="2131" priority="219" operator="containsText" text="Deferred">
      <formula>NOT(ISERROR(SEARCH("Deferred",AY103)))</formula>
    </cfRule>
    <cfRule type="containsText" dxfId="2130" priority="220" operator="containsText" text="Not Initiated">
      <formula>NOT(ISERROR(SEARCH("Not Initiated",AY103)))</formula>
    </cfRule>
    <cfRule type="containsText" dxfId="2129" priority="221" operator="containsText" text="To be Confirmed">
      <formula>NOT(ISERROR(SEARCH("To be Confirmed",AY103)))</formula>
    </cfRule>
    <cfRule type="containsText" dxfId="2128" priority="222" stopIfTrue="1" operator="containsText" text="Capitalised">
      <formula>NOT(ISERROR(SEARCH("Capitalised",AY103)))</formula>
    </cfRule>
    <cfRule type="containsText" dxfId="2127" priority="223" stopIfTrue="1" operator="containsText" text="Cancelled">
      <formula>NOT(ISERROR(SEARCH("Cancelled",AY103)))</formula>
    </cfRule>
    <cfRule type="containsText" dxfId="2126" priority="224" stopIfTrue="1" operator="containsText" text="WIP">
      <formula>NOT(ISERROR(SEARCH("WIP",AY103)))</formula>
    </cfRule>
  </conditionalFormatting>
  <conditionalFormatting sqref="AY107:AY110">
    <cfRule type="containsText" dxfId="2125" priority="378" operator="containsText" text="Capitalised">
      <formula>NOT(ISERROR(SEARCH("Capitalised",AY107)))</formula>
    </cfRule>
    <cfRule type="containsText" dxfId="2124" priority="379" operator="containsText" text="WIP">
      <formula>NOT(ISERROR(SEARCH("WIP",AY107)))</formula>
    </cfRule>
    <cfRule type="containsText" dxfId="2123" priority="380" operator="containsText" text="Cancelled">
      <formula>NOT(ISERROR(SEARCH("Cancelled",AY107)))</formula>
    </cfRule>
    <cfRule type="containsText" dxfId="2122" priority="381" operator="containsText" text="Deferred">
      <formula>NOT(ISERROR(SEARCH("Deferred",AY107)))</formula>
    </cfRule>
    <cfRule type="containsText" dxfId="2121" priority="382" operator="containsText" text="Not Initiated">
      <formula>NOT(ISERROR(SEARCH("Not Initiated",AY107)))</formula>
    </cfRule>
    <cfRule type="containsText" dxfId="2120" priority="383" operator="containsText" text="To be Confirmed">
      <formula>NOT(ISERROR(SEARCH("To be Confirmed",AY107)))</formula>
    </cfRule>
    <cfRule type="containsText" dxfId="2119" priority="384" stopIfTrue="1" operator="containsText" text="Capitalised">
      <formula>NOT(ISERROR(SEARCH("Capitalised",AY107)))</formula>
    </cfRule>
    <cfRule type="containsText" dxfId="2118" priority="385" stopIfTrue="1" operator="containsText" text="Cancelled">
      <formula>NOT(ISERROR(SEARCH("Cancelled",AY107)))</formula>
    </cfRule>
    <cfRule type="containsText" dxfId="2117" priority="386" stopIfTrue="1" operator="containsText" text="WIP">
      <formula>NOT(ISERROR(SEARCH("WIP",AY107)))</formula>
    </cfRule>
  </conditionalFormatting>
  <conditionalFormatting sqref="AY112:AY114">
    <cfRule type="containsText" dxfId="2116" priority="369" operator="containsText" text="Capitalised">
      <formula>NOT(ISERROR(SEARCH("Capitalised",AY112)))</formula>
    </cfRule>
    <cfRule type="containsText" dxfId="2115" priority="370" operator="containsText" text="WIP">
      <formula>NOT(ISERROR(SEARCH("WIP",AY112)))</formula>
    </cfRule>
    <cfRule type="containsText" dxfId="2114" priority="371" operator="containsText" text="Cancelled">
      <formula>NOT(ISERROR(SEARCH("Cancelled",AY112)))</formula>
    </cfRule>
    <cfRule type="containsText" dxfId="2113" priority="372" operator="containsText" text="Deferred">
      <formula>NOT(ISERROR(SEARCH("Deferred",AY112)))</formula>
    </cfRule>
    <cfRule type="containsText" dxfId="2112" priority="373" operator="containsText" text="Not Initiated">
      <formula>NOT(ISERROR(SEARCH("Not Initiated",AY112)))</formula>
    </cfRule>
    <cfRule type="containsText" dxfId="2111" priority="374" operator="containsText" text="To be Confirmed">
      <formula>NOT(ISERROR(SEARCH("To be Confirmed",AY112)))</formula>
    </cfRule>
    <cfRule type="containsText" dxfId="2110" priority="375" stopIfTrue="1" operator="containsText" text="Capitalised">
      <formula>NOT(ISERROR(SEARCH("Capitalised",AY112)))</formula>
    </cfRule>
    <cfRule type="containsText" dxfId="2109" priority="376" stopIfTrue="1" operator="containsText" text="Cancelled">
      <formula>NOT(ISERROR(SEARCH("Cancelled",AY112)))</formula>
    </cfRule>
    <cfRule type="containsText" dxfId="2108" priority="377" stopIfTrue="1" operator="containsText" text="WIP">
      <formula>NOT(ISERROR(SEARCH("WIP",AY112)))</formula>
    </cfRule>
  </conditionalFormatting>
  <conditionalFormatting sqref="AY116:AY120">
    <cfRule type="containsText" dxfId="2107" priority="360" operator="containsText" text="Capitalised">
      <formula>NOT(ISERROR(SEARCH("Capitalised",AY116)))</formula>
    </cfRule>
    <cfRule type="containsText" dxfId="2106" priority="361" operator="containsText" text="WIP">
      <formula>NOT(ISERROR(SEARCH("WIP",AY116)))</formula>
    </cfRule>
    <cfRule type="containsText" dxfId="2105" priority="362" operator="containsText" text="Cancelled">
      <formula>NOT(ISERROR(SEARCH("Cancelled",AY116)))</formula>
    </cfRule>
    <cfRule type="containsText" dxfId="2104" priority="363" operator="containsText" text="Deferred">
      <formula>NOT(ISERROR(SEARCH("Deferred",AY116)))</formula>
    </cfRule>
    <cfRule type="containsText" dxfId="2103" priority="364" operator="containsText" text="Not Initiated">
      <formula>NOT(ISERROR(SEARCH("Not Initiated",AY116)))</formula>
    </cfRule>
    <cfRule type="containsText" dxfId="2102" priority="365" operator="containsText" text="To be Confirmed">
      <formula>NOT(ISERROR(SEARCH("To be Confirmed",AY116)))</formula>
    </cfRule>
    <cfRule type="containsText" dxfId="2101" priority="366" stopIfTrue="1" operator="containsText" text="Capitalised">
      <formula>NOT(ISERROR(SEARCH("Capitalised",AY116)))</formula>
    </cfRule>
    <cfRule type="containsText" dxfId="2100" priority="367" stopIfTrue="1" operator="containsText" text="Cancelled">
      <formula>NOT(ISERROR(SEARCH("Cancelled",AY116)))</formula>
    </cfRule>
    <cfRule type="containsText" dxfId="2099" priority="368" stopIfTrue="1" operator="containsText" text="WIP">
      <formula>NOT(ISERROR(SEARCH("WIP",AY116)))</formula>
    </cfRule>
  </conditionalFormatting>
  <conditionalFormatting sqref="AY122:AY127">
    <cfRule type="containsText" dxfId="2098" priority="351" operator="containsText" text="Capitalised">
      <formula>NOT(ISERROR(SEARCH("Capitalised",AY122)))</formula>
    </cfRule>
    <cfRule type="containsText" dxfId="2097" priority="352" operator="containsText" text="WIP">
      <formula>NOT(ISERROR(SEARCH("WIP",AY122)))</formula>
    </cfRule>
    <cfRule type="containsText" dxfId="2096" priority="353" operator="containsText" text="Cancelled">
      <formula>NOT(ISERROR(SEARCH("Cancelled",AY122)))</formula>
    </cfRule>
    <cfRule type="containsText" dxfId="2095" priority="354" operator="containsText" text="Deferred">
      <formula>NOT(ISERROR(SEARCH("Deferred",AY122)))</formula>
    </cfRule>
    <cfRule type="containsText" dxfId="2094" priority="355" operator="containsText" text="Not Initiated">
      <formula>NOT(ISERROR(SEARCH("Not Initiated",AY122)))</formula>
    </cfRule>
    <cfRule type="containsText" dxfId="2093" priority="356" operator="containsText" text="To be Confirmed">
      <formula>NOT(ISERROR(SEARCH("To be Confirmed",AY122)))</formula>
    </cfRule>
    <cfRule type="containsText" dxfId="2092" priority="357" stopIfTrue="1" operator="containsText" text="Capitalised">
      <formula>NOT(ISERROR(SEARCH("Capitalised",AY122)))</formula>
    </cfRule>
    <cfRule type="containsText" dxfId="2091" priority="358" stopIfTrue="1" operator="containsText" text="Cancelled">
      <formula>NOT(ISERROR(SEARCH("Cancelled",AY122)))</formula>
    </cfRule>
    <cfRule type="containsText" dxfId="2090" priority="359" stopIfTrue="1" operator="containsText" text="WIP">
      <formula>NOT(ISERROR(SEARCH("WIP",AY122)))</formula>
    </cfRule>
  </conditionalFormatting>
  <conditionalFormatting sqref="AY129:AY133">
    <cfRule type="containsText" dxfId="2089" priority="117" operator="containsText" text="Capitalised">
      <formula>NOT(ISERROR(SEARCH("Capitalised",AY129)))</formula>
    </cfRule>
    <cfRule type="containsText" dxfId="2088" priority="118" operator="containsText" text="WIP">
      <formula>NOT(ISERROR(SEARCH("WIP",AY129)))</formula>
    </cfRule>
    <cfRule type="containsText" dxfId="2087" priority="119" operator="containsText" text="Cancelled">
      <formula>NOT(ISERROR(SEARCH("Cancelled",AY129)))</formula>
    </cfRule>
    <cfRule type="containsText" dxfId="2086" priority="120" operator="containsText" text="Deferred">
      <formula>NOT(ISERROR(SEARCH("Deferred",AY129)))</formula>
    </cfRule>
    <cfRule type="containsText" dxfId="2085" priority="121" operator="containsText" text="Not Initiated">
      <formula>NOT(ISERROR(SEARCH("Not Initiated",AY129)))</formula>
    </cfRule>
    <cfRule type="containsText" dxfId="2084" priority="122" operator="containsText" text="To be Confirmed">
      <formula>NOT(ISERROR(SEARCH("To be Confirmed",AY129)))</formula>
    </cfRule>
    <cfRule type="containsText" dxfId="2083" priority="123" stopIfTrue="1" operator="containsText" text="Capitalised">
      <formula>NOT(ISERROR(SEARCH("Capitalised",AY129)))</formula>
    </cfRule>
    <cfRule type="containsText" dxfId="2082" priority="124" stopIfTrue="1" operator="containsText" text="Cancelled">
      <formula>NOT(ISERROR(SEARCH("Cancelled",AY129)))</formula>
    </cfRule>
    <cfRule type="containsText" dxfId="2081" priority="125" stopIfTrue="1" operator="containsText" text="WIP">
      <formula>NOT(ISERROR(SEARCH("WIP",AY129)))</formula>
    </cfRule>
  </conditionalFormatting>
  <conditionalFormatting sqref="AY135:AY138">
    <cfRule type="containsText" dxfId="2080" priority="342" operator="containsText" text="Capitalised">
      <formula>NOT(ISERROR(SEARCH("Capitalised",AY135)))</formula>
    </cfRule>
    <cfRule type="containsText" dxfId="2079" priority="343" operator="containsText" text="WIP">
      <formula>NOT(ISERROR(SEARCH("WIP",AY135)))</formula>
    </cfRule>
    <cfRule type="containsText" dxfId="2078" priority="344" operator="containsText" text="Cancelled">
      <formula>NOT(ISERROR(SEARCH("Cancelled",AY135)))</formula>
    </cfRule>
    <cfRule type="containsText" dxfId="2077" priority="345" operator="containsText" text="Deferred">
      <formula>NOT(ISERROR(SEARCH("Deferred",AY135)))</formula>
    </cfRule>
    <cfRule type="containsText" dxfId="2076" priority="346" operator="containsText" text="Not Initiated">
      <formula>NOT(ISERROR(SEARCH("Not Initiated",AY135)))</formula>
    </cfRule>
    <cfRule type="containsText" dxfId="2075" priority="347" operator="containsText" text="To be Confirmed">
      <formula>NOT(ISERROR(SEARCH("To be Confirmed",AY135)))</formula>
    </cfRule>
    <cfRule type="containsText" dxfId="2074" priority="348" stopIfTrue="1" operator="containsText" text="Capitalised">
      <formula>NOT(ISERROR(SEARCH("Capitalised",AY135)))</formula>
    </cfRule>
    <cfRule type="containsText" dxfId="2073" priority="349" stopIfTrue="1" operator="containsText" text="Cancelled">
      <formula>NOT(ISERROR(SEARCH("Cancelled",AY135)))</formula>
    </cfRule>
    <cfRule type="containsText" dxfId="2072" priority="350" stopIfTrue="1" operator="containsText" text="WIP">
      <formula>NOT(ISERROR(SEARCH("WIP",AY135)))</formula>
    </cfRule>
  </conditionalFormatting>
  <conditionalFormatting sqref="AY140:AY143">
    <cfRule type="containsText" dxfId="2071" priority="333" operator="containsText" text="Capitalised">
      <formula>NOT(ISERROR(SEARCH("Capitalised",AY140)))</formula>
    </cfRule>
    <cfRule type="containsText" dxfId="2070" priority="334" operator="containsText" text="WIP">
      <formula>NOT(ISERROR(SEARCH("WIP",AY140)))</formula>
    </cfRule>
    <cfRule type="containsText" dxfId="2069" priority="335" operator="containsText" text="Cancelled">
      <formula>NOT(ISERROR(SEARCH("Cancelled",AY140)))</formula>
    </cfRule>
    <cfRule type="containsText" dxfId="2068" priority="336" operator="containsText" text="Deferred">
      <formula>NOT(ISERROR(SEARCH("Deferred",AY140)))</formula>
    </cfRule>
    <cfRule type="containsText" dxfId="2067" priority="337" operator="containsText" text="Not Initiated">
      <formula>NOT(ISERROR(SEARCH("Not Initiated",AY140)))</formula>
    </cfRule>
    <cfRule type="containsText" dxfId="2066" priority="338" operator="containsText" text="To be Confirmed">
      <formula>NOT(ISERROR(SEARCH("To be Confirmed",AY140)))</formula>
    </cfRule>
    <cfRule type="containsText" dxfId="2065" priority="339" stopIfTrue="1" operator="containsText" text="Capitalised">
      <formula>NOT(ISERROR(SEARCH("Capitalised",AY140)))</formula>
    </cfRule>
    <cfRule type="containsText" dxfId="2064" priority="340" stopIfTrue="1" operator="containsText" text="Cancelled">
      <formula>NOT(ISERROR(SEARCH("Cancelled",AY140)))</formula>
    </cfRule>
    <cfRule type="containsText" dxfId="2063" priority="341" stopIfTrue="1" operator="containsText" text="WIP">
      <formula>NOT(ISERROR(SEARCH("WIP",AY140)))</formula>
    </cfRule>
  </conditionalFormatting>
  <conditionalFormatting sqref="AY145">
    <cfRule type="containsText" dxfId="2062" priority="324" operator="containsText" text="Capitalised">
      <formula>NOT(ISERROR(SEARCH("Capitalised",AY145)))</formula>
    </cfRule>
    <cfRule type="containsText" dxfId="2061" priority="325" operator="containsText" text="WIP">
      <formula>NOT(ISERROR(SEARCH("WIP",AY145)))</formula>
    </cfRule>
    <cfRule type="containsText" dxfId="2060" priority="326" operator="containsText" text="Cancelled">
      <formula>NOT(ISERROR(SEARCH("Cancelled",AY145)))</formula>
    </cfRule>
    <cfRule type="containsText" dxfId="2059" priority="327" operator="containsText" text="Deferred">
      <formula>NOT(ISERROR(SEARCH("Deferred",AY145)))</formula>
    </cfRule>
    <cfRule type="containsText" dxfId="2058" priority="328" operator="containsText" text="Not Initiated">
      <formula>NOT(ISERROR(SEARCH("Not Initiated",AY145)))</formula>
    </cfRule>
    <cfRule type="containsText" dxfId="2057" priority="329" operator="containsText" text="To be Confirmed">
      <formula>NOT(ISERROR(SEARCH("To be Confirmed",AY145)))</formula>
    </cfRule>
    <cfRule type="containsText" dxfId="2056" priority="330" stopIfTrue="1" operator="containsText" text="Capitalised">
      <formula>NOT(ISERROR(SEARCH("Capitalised",AY145)))</formula>
    </cfRule>
    <cfRule type="containsText" dxfId="2055" priority="331" stopIfTrue="1" operator="containsText" text="Cancelled">
      <formula>NOT(ISERROR(SEARCH("Cancelled",AY145)))</formula>
    </cfRule>
    <cfRule type="containsText" dxfId="2054" priority="332" stopIfTrue="1" operator="containsText" text="WIP">
      <formula>NOT(ISERROR(SEARCH("WIP",AY145)))</formula>
    </cfRule>
  </conditionalFormatting>
  <conditionalFormatting sqref="AY147">
    <cfRule type="containsText" dxfId="2053" priority="315" operator="containsText" text="Capitalised">
      <formula>NOT(ISERROR(SEARCH("Capitalised",AY147)))</formula>
    </cfRule>
    <cfRule type="containsText" dxfId="2052" priority="316" operator="containsText" text="WIP">
      <formula>NOT(ISERROR(SEARCH("WIP",AY147)))</formula>
    </cfRule>
    <cfRule type="containsText" dxfId="2051" priority="317" operator="containsText" text="Cancelled">
      <formula>NOT(ISERROR(SEARCH("Cancelled",AY147)))</formula>
    </cfRule>
    <cfRule type="containsText" dxfId="2050" priority="318" operator="containsText" text="Deferred">
      <formula>NOT(ISERROR(SEARCH("Deferred",AY147)))</formula>
    </cfRule>
    <cfRule type="containsText" dxfId="2049" priority="319" operator="containsText" text="Not Initiated">
      <formula>NOT(ISERROR(SEARCH("Not Initiated",AY147)))</formula>
    </cfRule>
    <cfRule type="containsText" dxfId="2048" priority="320" operator="containsText" text="To be Confirmed">
      <formula>NOT(ISERROR(SEARCH("To be Confirmed",AY147)))</formula>
    </cfRule>
    <cfRule type="containsText" dxfId="2047" priority="321" stopIfTrue="1" operator="containsText" text="Capitalised">
      <formula>NOT(ISERROR(SEARCH("Capitalised",AY147)))</formula>
    </cfRule>
    <cfRule type="containsText" dxfId="2046" priority="322" stopIfTrue="1" operator="containsText" text="Cancelled">
      <formula>NOT(ISERROR(SEARCH("Cancelled",AY147)))</formula>
    </cfRule>
    <cfRule type="containsText" dxfId="2045" priority="323" stopIfTrue="1" operator="containsText" text="WIP">
      <formula>NOT(ISERROR(SEARCH("WIP",AY147)))</formula>
    </cfRule>
  </conditionalFormatting>
  <conditionalFormatting sqref="AY149:AY151">
    <cfRule type="containsText" dxfId="2044" priority="306" operator="containsText" text="Capitalised">
      <formula>NOT(ISERROR(SEARCH("Capitalised",AY149)))</formula>
    </cfRule>
    <cfRule type="containsText" dxfId="2043" priority="307" operator="containsText" text="WIP">
      <formula>NOT(ISERROR(SEARCH("WIP",AY149)))</formula>
    </cfRule>
    <cfRule type="containsText" dxfId="2042" priority="308" operator="containsText" text="Cancelled">
      <formula>NOT(ISERROR(SEARCH("Cancelled",AY149)))</formula>
    </cfRule>
    <cfRule type="containsText" dxfId="2041" priority="309" operator="containsText" text="Deferred">
      <formula>NOT(ISERROR(SEARCH("Deferred",AY149)))</formula>
    </cfRule>
    <cfRule type="containsText" dxfId="2040" priority="310" operator="containsText" text="Not Initiated">
      <formula>NOT(ISERROR(SEARCH("Not Initiated",AY149)))</formula>
    </cfRule>
    <cfRule type="containsText" dxfId="2039" priority="311" operator="containsText" text="To be Confirmed">
      <formula>NOT(ISERROR(SEARCH("To be Confirmed",AY149)))</formula>
    </cfRule>
    <cfRule type="containsText" dxfId="2038" priority="312" stopIfTrue="1" operator="containsText" text="Capitalised">
      <formula>NOT(ISERROR(SEARCH("Capitalised",AY149)))</formula>
    </cfRule>
    <cfRule type="containsText" dxfId="2037" priority="313" stopIfTrue="1" operator="containsText" text="Cancelled">
      <formula>NOT(ISERROR(SEARCH("Cancelled",AY149)))</formula>
    </cfRule>
    <cfRule type="containsText" dxfId="2036" priority="314" stopIfTrue="1" operator="containsText" text="WIP">
      <formula>NOT(ISERROR(SEARCH("WIP",AY149)))</formula>
    </cfRule>
  </conditionalFormatting>
  <conditionalFormatting sqref="AY153:AY156">
    <cfRule type="containsText" dxfId="2035" priority="108" operator="containsText" text="Capitalised">
      <formula>NOT(ISERROR(SEARCH("Capitalised",AY153)))</formula>
    </cfRule>
    <cfRule type="containsText" dxfId="2034" priority="109" operator="containsText" text="WIP">
      <formula>NOT(ISERROR(SEARCH("WIP",AY153)))</formula>
    </cfRule>
    <cfRule type="containsText" dxfId="2033" priority="110" operator="containsText" text="Cancelled">
      <formula>NOT(ISERROR(SEARCH("Cancelled",AY153)))</formula>
    </cfRule>
    <cfRule type="containsText" dxfId="2032" priority="111" operator="containsText" text="Deferred">
      <formula>NOT(ISERROR(SEARCH("Deferred",AY153)))</formula>
    </cfRule>
    <cfRule type="containsText" dxfId="2031" priority="112" operator="containsText" text="Not Initiated">
      <formula>NOT(ISERROR(SEARCH("Not Initiated",AY153)))</formula>
    </cfRule>
    <cfRule type="containsText" dxfId="2030" priority="113" operator="containsText" text="To be Confirmed">
      <formula>NOT(ISERROR(SEARCH("To be Confirmed",AY153)))</formula>
    </cfRule>
    <cfRule type="containsText" dxfId="2029" priority="114" stopIfTrue="1" operator="containsText" text="Capitalised">
      <formula>NOT(ISERROR(SEARCH("Capitalised",AY153)))</formula>
    </cfRule>
    <cfRule type="containsText" dxfId="2028" priority="115" stopIfTrue="1" operator="containsText" text="Cancelled">
      <formula>NOT(ISERROR(SEARCH("Cancelled",AY153)))</formula>
    </cfRule>
    <cfRule type="containsText" dxfId="2027" priority="116" stopIfTrue="1" operator="containsText" text="WIP">
      <formula>NOT(ISERROR(SEARCH("WIP",AY153)))</formula>
    </cfRule>
  </conditionalFormatting>
  <conditionalFormatting sqref="AY158:AY161">
    <cfRule type="containsText" dxfId="2026" priority="297" operator="containsText" text="Capitalised">
      <formula>NOT(ISERROR(SEARCH("Capitalised",AY158)))</formula>
    </cfRule>
    <cfRule type="containsText" dxfId="2025" priority="298" operator="containsText" text="WIP">
      <formula>NOT(ISERROR(SEARCH("WIP",AY158)))</formula>
    </cfRule>
    <cfRule type="containsText" dxfId="2024" priority="299" operator="containsText" text="Cancelled">
      <formula>NOT(ISERROR(SEARCH("Cancelled",AY158)))</formula>
    </cfRule>
    <cfRule type="containsText" dxfId="2023" priority="300" operator="containsText" text="Deferred">
      <formula>NOT(ISERROR(SEARCH("Deferred",AY158)))</formula>
    </cfRule>
    <cfRule type="containsText" dxfId="2022" priority="301" operator="containsText" text="Not Initiated">
      <formula>NOT(ISERROR(SEARCH("Not Initiated",AY158)))</formula>
    </cfRule>
    <cfRule type="containsText" dxfId="2021" priority="302" operator="containsText" text="To be Confirmed">
      <formula>NOT(ISERROR(SEARCH("To be Confirmed",AY158)))</formula>
    </cfRule>
    <cfRule type="containsText" dxfId="2020" priority="303" stopIfTrue="1" operator="containsText" text="Capitalised">
      <formula>NOT(ISERROR(SEARCH("Capitalised",AY158)))</formula>
    </cfRule>
    <cfRule type="containsText" dxfId="2019" priority="304" stopIfTrue="1" operator="containsText" text="Cancelled">
      <formula>NOT(ISERROR(SEARCH("Cancelled",AY158)))</formula>
    </cfRule>
    <cfRule type="containsText" dxfId="2018" priority="305" stopIfTrue="1" operator="containsText" text="WIP">
      <formula>NOT(ISERROR(SEARCH("WIP",AY158)))</formula>
    </cfRule>
  </conditionalFormatting>
  <conditionalFormatting sqref="AY163:AY167">
    <cfRule type="containsText" dxfId="2017" priority="99" operator="containsText" text="Capitalised">
      <formula>NOT(ISERROR(SEARCH("Capitalised",AY163)))</formula>
    </cfRule>
    <cfRule type="containsText" dxfId="2016" priority="100" operator="containsText" text="WIP">
      <formula>NOT(ISERROR(SEARCH("WIP",AY163)))</formula>
    </cfRule>
    <cfRule type="containsText" dxfId="2015" priority="101" operator="containsText" text="Cancelled">
      <formula>NOT(ISERROR(SEARCH("Cancelled",AY163)))</formula>
    </cfRule>
    <cfRule type="containsText" dxfId="2014" priority="102" operator="containsText" text="Deferred">
      <formula>NOT(ISERROR(SEARCH("Deferred",AY163)))</formula>
    </cfRule>
    <cfRule type="containsText" dxfId="2013" priority="103" operator="containsText" text="Not Initiated">
      <formula>NOT(ISERROR(SEARCH("Not Initiated",AY163)))</formula>
    </cfRule>
    <cfRule type="containsText" dxfId="2012" priority="104" operator="containsText" text="To be Confirmed">
      <formula>NOT(ISERROR(SEARCH("To be Confirmed",AY163)))</formula>
    </cfRule>
    <cfRule type="containsText" dxfId="2011" priority="105" stopIfTrue="1" operator="containsText" text="Capitalised">
      <formula>NOT(ISERROR(SEARCH("Capitalised",AY163)))</formula>
    </cfRule>
    <cfRule type="containsText" dxfId="2010" priority="106" stopIfTrue="1" operator="containsText" text="Cancelled">
      <formula>NOT(ISERROR(SEARCH("Cancelled",AY163)))</formula>
    </cfRule>
    <cfRule type="containsText" dxfId="2009" priority="107" stopIfTrue="1" operator="containsText" text="WIP">
      <formula>NOT(ISERROR(SEARCH("WIP",AY163)))</formula>
    </cfRule>
  </conditionalFormatting>
  <conditionalFormatting sqref="AY169:AY180">
    <cfRule type="containsText" dxfId="2008" priority="90" operator="containsText" text="Capitalised">
      <formula>NOT(ISERROR(SEARCH("Capitalised",AY169)))</formula>
    </cfRule>
    <cfRule type="containsText" dxfId="2007" priority="91" operator="containsText" text="WIP">
      <formula>NOT(ISERROR(SEARCH("WIP",AY169)))</formula>
    </cfRule>
    <cfRule type="containsText" dxfId="2006" priority="92" operator="containsText" text="Cancelled">
      <formula>NOT(ISERROR(SEARCH("Cancelled",AY169)))</formula>
    </cfRule>
    <cfRule type="containsText" dxfId="2005" priority="93" operator="containsText" text="Deferred">
      <formula>NOT(ISERROR(SEARCH("Deferred",AY169)))</formula>
    </cfRule>
    <cfRule type="containsText" dxfId="2004" priority="94" operator="containsText" text="Not Initiated">
      <formula>NOT(ISERROR(SEARCH("Not Initiated",AY169)))</formula>
    </cfRule>
    <cfRule type="containsText" dxfId="2003" priority="95" operator="containsText" text="To be Confirmed">
      <formula>NOT(ISERROR(SEARCH("To be Confirmed",AY169)))</formula>
    </cfRule>
    <cfRule type="containsText" dxfId="2002" priority="96" stopIfTrue="1" operator="containsText" text="Capitalised">
      <formula>NOT(ISERROR(SEARCH("Capitalised",AY169)))</formula>
    </cfRule>
    <cfRule type="containsText" dxfId="2001" priority="97" stopIfTrue="1" operator="containsText" text="Cancelled">
      <formula>NOT(ISERROR(SEARCH("Cancelled",AY169)))</formula>
    </cfRule>
    <cfRule type="containsText" dxfId="2000" priority="98" stopIfTrue="1" operator="containsText" text="WIP">
      <formula>NOT(ISERROR(SEARCH("WIP",AY169)))</formula>
    </cfRule>
  </conditionalFormatting>
  <conditionalFormatting sqref="AY182:AY184">
    <cfRule type="containsText" dxfId="1999" priority="207" operator="containsText" text="Capitalised">
      <formula>NOT(ISERROR(SEARCH("Capitalised",AY182)))</formula>
    </cfRule>
    <cfRule type="containsText" dxfId="1998" priority="208" operator="containsText" text="WIP">
      <formula>NOT(ISERROR(SEARCH("WIP",AY182)))</formula>
    </cfRule>
    <cfRule type="containsText" dxfId="1997" priority="209" operator="containsText" text="Cancelled">
      <formula>NOT(ISERROR(SEARCH("Cancelled",AY182)))</formula>
    </cfRule>
    <cfRule type="containsText" dxfId="1996" priority="210" operator="containsText" text="Deferred">
      <formula>NOT(ISERROR(SEARCH("Deferred",AY182)))</formula>
    </cfRule>
    <cfRule type="containsText" dxfId="1995" priority="211" operator="containsText" text="Not Initiated">
      <formula>NOT(ISERROR(SEARCH("Not Initiated",AY182)))</formula>
    </cfRule>
    <cfRule type="containsText" dxfId="1994" priority="212" operator="containsText" text="To be Confirmed">
      <formula>NOT(ISERROR(SEARCH("To be Confirmed",AY182)))</formula>
    </cfRule>
    <cfRule type="containsText" dxfId="1993" priority="213" stopIfTrue="1" operator="containsText" text="Capitalised">
      <formula>NOT(ISERROR(SEARCH("Capitalised",AY182)))</formula>
    </cfRule>
    <cfRule type="containsText" dxfId="1992" priority="214" stopIfTrue="1" operator="containsText" text="Cancelled">
      <formula>NOT(ISERROR(SEARCH("Cancelled",AY182)))</formula>
    </cfRule>
    <cfRule type="containsText" dxfId="1991" priority="215" stopIfTrue="1" operator="containsText" text="WIP">
      <formula>NOT(ISERROR(SEARCH("WIP",AY182)))</formula>
    </cfRule>
  </conditionalFormatting>
  <conditionalFormatting sqref="AY186:AY187">
    <cfRule type="containsText" dxfId="1990" priority="198" operator="containsText" text="Capitalised">
      <formula>NOT(ISERROR(SEARCH("Capitalised",AY186)))</formula>
    </cfRule>
    <cfRule type="containsText" dxfId="1989" priority="199" operator="containsText" text="WIP">
      <formula>NOT(ISERROR(SEARCH("WIP",AY186)))</formula>
    </cfRule>
    <cfRule type="containsText" dxfId="1988" priority="200" operator="containsText" text="Cancelled">
      <formula>NOT(ISERROR(SEARCH("Cancelled",AY186)))</formula>
    </cfRule>
    <cfRule type="containsText" dxfId="1987" priority="201" operator="containsText" text="Deferred">
      <formula>NOT(ISERROR(SEARCH("Deferred",AY186)))</formula>
    </cfRule>
    <cfRule type="containsText" dxfId="1986" priority="202" operator="containsText" text="Not Initiated">
      <formula>NOT(ISERROR(SEARCH("Not Initiated",AY186)))</formula>
    </cfRule>
    <cfRule type="containsText" dxfId="1985" priority="203" operator="containsText" text="To be Confirmed">
      <formula>NOT(ISERROR(SEARCH("To be Confirmed",AY186)))</formula>
    </cfRule>
    <cfRule type="containsText" dxfId="1984" priority="204" stopIfTrue="1" operator="containsText" text="Capitalised">
      <formula>NOT(ISERROR(SEARCH("Capitalised",AY186)))</formula>
    </cfRule>
    <cfRule type="containsText" dxfId="1983" priority="205" stopIfTrue="1" operator="containsText" text="Cancelled">
      <formula>NOT(ISERROR(SEARCH("Cancelled",AY186)))</formula>
    </cfRule>
    <cfRule type="containsText" dxfId="1982" priority="206" stopIfTrue="1" operator="containsText" text="WIP">
      <formula>NOT(ISERROR(SEARCH("WIP",AY186)))</formula>
    </cfRule>
  </conditionalFormatting>
  <conditionalFormatting sqref="AY189:AY190">
    <cfRule type="containsText" dxfId="1981" priority="81" operator="containsText" text="Capitalised">
      <formula>NOT(ISERROR(SEARCH("Capitalised",AY189)))</formula>
    </cfRule>
    <cfRule type="containsText" dxfId="1980" priority="82" operator="containsText" text="WIP">
      <formula>NOT(ISERROR(SEARCH("WIP",AY189)))</formula>
    </cfRule>
    <cfRule type="containsText" dxfId="1979" priority="83" operator="containsText" text="Cancelled">
      <formula>NOT(ISERROR(SEARCH("Cancelled",AY189)))</formula>
    </cfRule>
    <cfRule type="containsText" dxfId="1978" priority="84" operator="containsText" text="Deferred">
      <formula>NOT(ISERROR(SEARCH("Deferred",AY189)))</formula>
    </cfRule>
    <cfRule type="containsText" dxfId="1977" priority="85" operator="containsText" text="Not Initiated">
      <formula>NOT(ISERROR(SEARCH("Not Initiated",AY189)))</formula>
    </cfRule>
    <cfRule type="containsText" dxfId="1976" priority="86" operator="containsText" text="To be Confirmed">
      <formula>NOT(ISERROR(SEARCH("To be Confirmed",AY189)))</formula>
    </cfRule>
    <cfRule type="containsText" dxfId="1975" priority="87" stopIfTrue="1" operator="containsText" text="Capitalised">
      <formula>NOT(ISERROR(SEARCH("Capitalised",AY189)))</formula>
    </cfRule>
    <cfRule type="containsText" dxfId="1974" priority="88" stopIfTrue="1" operator="containsText" text="Cancelled">
      <formula>NOT(ISERROR(SEARCH("Cancelled",AY189)))</formula>
    </cfRule>
    <cfRule type="containsText" dxfId="1973" priority="89" stopIfTrue="1" operator="containsText" text="WIP">
      <formula>NOT(ISERROR(SEARCH("WIP",AY189)))</formula>
    </cfRule>
  </conditionalFormatting>
  <conditionalFormatting sqref="AY192:AY193">
    <cfRule type="containsText" dxfId="1972" priority="189" operator="containsText" text="Capitalised">
      <formula>NOT(ISERROR(SEARCH("Capitalised",AY192)))</formula>
    </cfRule>
    <cfRule type="containsText" dxfId="1971" priority="190" operator="containsText" text="WIP">
      <formula>NOT(ISERROR(SEARCH("WIP",AY192)))</formula>
    </cfRule>
    <cfRule type="containsText" dxfId="1970" priority="191" operator="containsText" text="Cancelled">
      <formula>NOT(ISERROR(SEARCH("Cancelled",AY192)))</formula>
    </cfRule>
    <cfRule type="containsText" dxfId="1969" priority="192" operator="containsText" text="Deferred">
      <formula>NOT(ISERROR(SEARCH("Deferred",AY192)))</formula>
    </cfRule>
    <cfRule type="containsText" dxfId="1968" priority="193" operator="containsText" text="Not Initiated">
      <formula>NOT(ISERROR(SEARCH("Not Initiated",AY192)))</formula>
    </cfRule>
    <cfRule type="containsText" dxfId="1967" priority="194" operator="containsText" text="To be Confirmed">
      <formula>NOT(ISERROR(SEARCH("To be Confirmed",AY192)))</formula>
    </cfRule>
    <cfRule type="containsText" dxfId="1966" priority="195" stopIfTrue="1" operator="containsText" text="Capitalised">
      <formula>NOT(ISERROR(SEARCH("Capitalised",AY192)))</formula>
    </cfRule>
    <cfRule type="containsText" dxfId="1965" priority="196" stopIfTrue="1" operator="containsText" text="Cancelled">
      <formula>NOT(ISERROR(SEARCH("Cancelled",AY192)))</formula>
    </cfRule>
    <cfRule type="containsText" dxfId="1964" priority="197" stopIfTrue="1" operator="containsText" text="WIP">
      <formula>NOT(ISERROR(SEARCH("WIP",AY192)))</formula>
    </cfRule>
  </conditionalFormatting>
  <conditionalFormatting sqref="AY195:AY196">
    <cfRule type="containsText" dxfId="1963" priority="72" operator="containsText" text="Capitalised">
      <formula>NOT(ISERROR(SEARCH("Capitalised",AY195)))</formula>
    </cfRule>
    <cfRule type="containsText" dxfId="1962" priority="73" operator="containsText" text="WIP">
      <formula>NOT(ISERROR(SEARCH("WIP",AY195)))</formula>
    </cfRule>
    <cfRule type="containsText" dxfId="1961" priority="74" operator="containsText" text="Cancelled">
      <formula>NOT(ISERROR(SEARCH("Cancelled",AY195)))</formula>
    </cfRule>
    <cfRule type="containsText" dxfId="1960" priority="75" operator="containsText" text="Deferred">
      <formula>NOT(ISERROR(SEARCH("Deferred",AY195)))</formula>
    </cfRule>
    <cfRule type="containsText" dxfId="1959" priority="76" operator="containsText" text="Not Initiated">
      <formula>NOT(ISERROR(SEARCH("Not Initiated",AY195)))</formula>
    </cfRule>
    <cfRule type="containsText" dxfId="1958" priority="77" operator="containsText" text="To be Confirmed">
      <formula>NOT(ISERROR(SEARCH("To be Confirmed",AY195)))</formula>
    </cfRule>
    <cfRule type="containsText" dxfId="1957" priority="78" stopIfTrue="1" operator="containsText" text="Capitalised">
      <formula>NOT(ISERROR(SEARCH("Capitalised",AY195)))</formula>
    </cfRule>
    <cfRule type="containsText" dxfId="1956" priority="79" stopIfTrue="1" operator="containsText" text="Cancelled">
      <formula>NOT(ISERROR(SEARCH("Cancelled",AY195)))</formula>
    </cfRule>
    <cfRule type="containsText" dxfId="1955" priority="80" stopIfTrue="1" operator="containsText" text="WIP">
      <formula>NOT(ISERROR(SEARCH("WIP",AY195)))</formula>
    </cfRule>
  </conditionalFormatting>
  <conditionalFormatting sqref="AY198:AY202">
    <cfRule type="containsText" dxfId="1954" priority="63" operator="containsText" text="Capitalised">
      <formula>NOT(ISERROR(SEARCH("Capitalised",AY198)))</formula>
    </cfRule>
    <cfRule type="containsText" dxfId="1953" priority="64" operator="containsText" text="WIP">
      <formula>NOT(ISERROR(SEARCH("WIP",AY198)))</formula>
    </cfRule>
    <cfRule type="containsText" dxfId="1952" priority="65" operator="containsText" text="Cancelled">
      <formula>NOT(ISERROR(SEARCH("Cancelled",AY198)))</formula>
    </cfRule>
    <cfRule type="containsText" dxfId="1951" priority="66" operator="containsText" text="Deferred">
      <formula>NOT(ISERROR(SEARCH("Deferred",AY198)))</formula>
    </cfRule>
    <cfRule type="containsText" dxfId="1950" priority="67" operator="containsText" text="Not Initiated">
      <formula>NOT(ISERROR(SEARCH("Not Initiated",AY198)))</formula>
    </cfRule>
    <cfRule type="containsText" dxfId="1949" priority="68" operator="containsText" text="To be Confirmed">
      <formula>NOT(ISERROR(SEARCH("To be Confirmed",AY198)))</formula>
    </cfRule>
    <cfRule type="containsText" dxfId="1948" priority="69" stopIfTrue="1" operator="containsText" text="Capitalised">
      <formula>NOT(ISERROR(SEARCH("Capitalised",AY198)))</formula>
    </cfRule>
    <cfRule type="containsText" dxfId="1947" priority="70" stopIfTrue="1" operator="containsText" text="Cancelled">
      <formula>NOT(ISERROR(SEARCH("Cancelled",AY198)))</formula>
    </cfRule>
    <cfRule type="containsText" dxfId="1946" priority="71" stopIfTrue="1" operator="containsText" text="WIP">
      <formula>NOT(ISERROR(SEARCH("WIP",AY198)))</formula>
    </cfRule>
  </conditionalFormatting>
  <conditionalFormatting sqref="AY200:AY202 AY26:AY37">
    <cfRule type="containsText" dxfId="1945" priority="486" operator="containsText" text="Capitalised">
      <formula>NOT(ISERROR(SEARCH("Capitalised",AY26)))</formula>
    </cfRule>
  </conditionalFormatting>
  <conditionalFormatting sqref="AY204:AY205">
    <cfRule type="containsText" dxfId="1944" priority="180" operator="containsText" text="Capitalised">
      <formula>NOT(ISERROR(SEARCH("Capitalised",AY204)))</formula>
    </cfRule>
    <cfRule type="containsText" dxfId="1943" priority="181" operator="containsText" text="WIP">
      <formula>NOT(ISERROR(SEARCH("WIP",AY204)))</formula>
    </cfRule>
    <cfRule type="containsText" dxfId="1942" priority="182" operator="containsText" text="Cancelled">
      <formula>NOT(ISERROR(SEARCH("Cancelled",AY204)))</formula>
    </cfRule>
    <cfRule type="containsText" dxfId="1941" priority="183" operator="containsText" text="Deferred">
      <formula>NOT(ISERROR(SEARCH("Deferred",AY204)))</formula>
    </cfRule>
    <cfRule type="containsText" dxfId="1940" priority="184" operator="containsText" text="Not Initiated">
      <formula>NOT(ISERROR(SEARCH("Not Initiated",AY204)))</formula>
    </cfRule>
    <cfRule type="containsText" dxfId="1939" priority="185" operator="containsText" text="To be Confirmed">
      <formula>NOT(ISERROR(SEARCH("To be Confirmed",AY204)))</formula>
    </cfRule>
    <cfRule type="containsText" dxfId="1938" priority="186" stopIfTrue="1" operator="containsText" text="Capitalised">
      <formula>NOT(ISERROR(SEARCH("Capitalised",AY204)))</formula>
    </cfRule>
    <cfRule type="containsText" dxfId="1937" priority="187" stopIfTrue="1" operator="containsText" text="Cancelled">
      <formula>NOT(ISERROR(SEARCH("Cancelled",AY204)))</formula>
    </cfRule>
    <cfRule type="containsText" dxfId="1936" priority="188" stopIfTrue="1" operator="containsText" text="WIP">
      <formula>NOT(ISERROR(SEARCH("WIP",AY204)))</formula>
    </cfRule>
  </conditionalFormatting>
  <conditionalFormatting sqref="AY207">
    <cfRule type="containsText" dxfId="1935" priority="288" operator="containsText" text="Capitalised">
      <formula>NOT(ISERROR(SEARCH("Capitalised",AY207)))</formula>
    </cfRule>
    <cfRule type="containsText" dxfId="1934" priority="289" operator="containsText" text="WIP">
      <formula>NOT(ISERROR(SEARCH("WIP",AY207)))</formula>
    </cfRule>
    <cfRule type="containsText" dxfId="1933" priority="290" operator="containsText" text="Cancelled">
      <formula>NOT(ISERROR(SEARCH("Cancelled",AY207)))</formula>
    </cfRule>
    <cfRule type="containsText" dxfId="1932" priority="291" operator="containsText" text="Deferred">
      <formula>NOT(ISERROR(SEARCH("Deferred",AY207)))</formula>
    </cfRule>
    <cfRule type="containsText" dxfId="1931" priority="292" operator="containsText" text="Not Initiated">
      <formula>NOT(ISERROR(SEARCH("Not Initiated",AY207)))</formula>
    </cfRule>
    <cfRule type="containsText" dxfId="1930" priority="293" operator="containsText" text="To be Confirmed">
      <formula>NOT(ISERROR(SEARCH("To be Confirmed",AY207)))</formula>
    </cfRule>
    <cfRule type="containsText" dxfId="1929" priority="294" stopIfTrue="1" operator="containsText" text="Capitalised">
      <formula>NOT(ISERROR(SEARCH("Capitalised",AY207)))</formula>
    </cfRule>
    <cfRule type="containsText" dxfId="1928" priority="295" stopIfTrue="1" operator="containsText" text="Cancelled">
      <formula>NOT(ISERROR(SEARCH("Cancelled",AY207)))</formula>
    </cfRule>
    <cfRule type="containsText" dxfId="1927" priority="296" stopIfTrue="1" operator="containsText" text="WIP">
      <formula>NOT(ISERROR(SEARCH("WIP",AY207)))</formula>
    </cfRule>
  </conditionalFormatting>
  <conditionalFormatting sqref="AY209:AY210">
    <cfRule type="containsText" dxfId="1926" priority="279" operator="containsText" text="Capitalised">
      <formula>NOT(ISERROR(SEARCH("Capitalised",AY209)))</formula>
    </cfRule>
    <cfRule type="containsText" dxfId="1925" priority="280" operator="containsText" text="WIP">
      <formula>NOT(ISERROR(SEARCH("WIP",AY209)))</formula>
    </cfRule>
    <cfRule type="containsText" dxfId="1924" priority="281" operator="containsText" text="Cancelled">
      <formula>NOT(ISERROR(SEARCH("Cancelled",AY209)))</formula>
    </cfRule>
    <cfRule type="containsText" dxfId="1923" priority="282" operator="containsText" text="Deferred">
      <formula>NOT(ISERROR(SEARCH("Deferred",AY209)))</formula>
    </cfRule>
    <cfRule type="containsText" dxfId="1922" priority="283" operator="containsText" text="Not Initiated">
      <formula>NOT(ISERROR(SEARCH("Not Initiated",AY209)))</formula>
    </cfRule>
    <cfRule type="containsText" dxfId="1921" priority="284" operator="containsText" text="To be Confirmed">
      <formula>NOT(ISERROR(SEARCH("To be Confirmed",AY209)))</formula>
    </cfRule>
    <cfRule type="containsText" dxfId="1920" priority="285" stopIfTrue="1" operator="containsText" text="Capitalised">
      <formula>NOT(ISERROR(SEARCH("Capitalised",AY209)))</formula>
    </cfRule>
    <cfRule type="containsText" dxfId="1919" priority="286" stopIfTrue="1" operator="containsText" text="Cancelled">
      <formula>NOT(ISERROR(SEARCH("Cancelled",AY209)))</formula>
    </cfRule>
    <cfRule type="containsText" dxfId="1918" priority="287" stopIfTrue="1" operator="containsText" text="WIP">
      <formula>NOT(ISERROR(SEARCH("WIP",AY209)))</formula>
    </cfRule>
  </conditionalFormatting>
  <conditionalFormatting sqref="AY212:AY213">
    <cfRule type="containsText" dxfId="1917" priority="270" operator="containsText" text="Capitalised">
      <formula>NOT(ISERROR(SEARCH("Capitalised",AY212)))</formula>
    </cfRule>
    <cfRule type="containsText" dxfId="1916" priority="271" operator="containsText" text="WIP">
      <formula>NOT(ISERROR(SEARCH("WIP",AY212)))</formula>
    </cfRule>
    <cfRule type="containsText" dxfId="1915" priority="272" operator="containsText" text="Cancelled">
      <formula>NOT(ISERROR(SEARCH("Cancelled",AY212)))</formula>
    </cfRule>
    <cfRule type="containsText" dxfId="1914" priority="273" operator="containsText" text="Deferred">
      <formula>NOT(ISERROR(SEARCH("Deferred",AY212)))</formula>
    </cfRule>
    <cfRule type="containsText" dxfId="1913" priority="274" operator="containsText" text="Not Initiated">
      <formula>NOT(ISERROR(SEARCH("Not Initiated",AY212)))</formula>
    </cfRule>
    <cfRule type="containsText" dxfId="1912" priority="275" operator="containsText" text="To be Confirmed">
      <formula>NOT(ISERROR(SEARCH("To be Confirmed",AY212)))</formula>
    </cfRule>
    <cfRule type="containsText" dxfId="1911" priority="276" stopIfTrue="1" operator="containsText" text="Capitalised">
      <formula>NOT(ISERROR(SEARCH("Capitalised",AY212)))</formula>
    </cfRule>
    <cfRule type="containsText" dxfId="1910" priority="277" stopIfTrue="1" operator="containsText" text="Cancelled">
      <formula>NOT(ISERROR(SEARCH("Cancelled",AY212)))</formula>
    </cfRule>
    <cfRule type="containsText" dxfId="1909" priority="278" stopIfTrue="1" operator="containsText" text="WIP">
      <formula>NOT(ISERROR(SEARCH("WIP",AY212)))</formula>
    </cfRule>
  </conditionalFormatting>
  <conditionalFormatting sqref="AY215">
    <cfRule type="containsText" dxfId="1908" priority="261" operator="containsText" text="Capitalised">
      <formula>NOT(ISERROR(SEARCH("Capitalised",AY215)))</formula>
    </cfRule>
    <cfRule type="containsText" dxfId="1907" priority="262" operator="containsText" text="WIP">
      <formula>NOT(ISERROR(SEARCH("WIP",AY215)))</formula>
    </cfRule>
    <cfRule type="containsText" dxfId="1906" priority="263" operator="containsText" text="Cancelled">
      <formula>NOT(ISERROR(SEARCH("Cancelled",AY215)))</formula>
    </cfRule>
    <cfRule type="containsText" dxfId="1905" priority="264" operator="containsText" text="Deferred">
      <formula>NOT(ISERROR(SEARCH("Deferred",AY215)))</formula>
    </cfRule>
    <cfRule type="containsText" dxfId="1904" priority="265" operator="containsText" text="Not Initiated">
      <formula>NOT(ISERROR(SEARCH("Not Initiated",AY215)))</formula>
    </cfRule>
    <cfRule type="containsText" dxfId="1903" priority="266" operator="containsText" text="To be Confirmed">
      <formula>NOT(ISERROR(SEARCH("To be Confirmed",AY215)))</formula>
    </cfRule>
    <cfRule type="containsText" dxfId="1902" priority="267" stopIfTrue="1" operator="containsText" text="Capitalised">
      <formula>NOT(ISERROR(SEARCH("Capitalised",AY215)))</formula>
    </cfRule>
    <cfRule type="containsText" dxfId="1901" priority="268" stopIfTrue="1" operator="containsText" text="Cancelled">
      <formula>NOT(ISERROR(SEARCH("Cancelled",AY215)))</formula>
    </cfRule>
    <cfRule type="containsText" dxfId="1900" priority="269" stopIfTrue="1" operator="containsText" text="WIP">
      <formula>NOT(ISERROR(SEARCH("WIP",AY215)))</formula>
    </cfRule>
  </conditionalFormatting>
  <conditionalFormatting sqref="AY217">
    <cfRule type="containsText" dxfId="1899" priority="252" operator="containsText" text="Capitalised">
      <formula>NOT(ISERROR(SEARCH("Capitalised",AY217)))</formula>
    </cfRule>
    <cfRule type="containsText" dxfId="1898" priority="253" operator="containsText" text="WIP">
      <formula>NOT(ISERROR(SEARCH("WIP",AY217)))</formula>
    </cfRule>
    <cfRule type="containsText" dxfId="1897" priority="254" operator="containsText" text="Cancelled">
      <formula>NOT(ISERROR(SEARCH("Cancelled",AY217)))</formula>
    </cfRule>
    <cfRule type="containsText" dxfId="1896" priority="255" operator="containsText" text="Deferred">
      <formula>NOT(ISERROR(SEARCH("Deferred",AY217)))</formula>
    </cfRule>
    <cfRule type="containsText" dxfId="1895" priority="256" operator="containsText" text="Not Initiated">
      <formula>NOT(ISERROR(SEARCH("Not Initiated",AY217)))</formula>
    </cfRule>
    <cfRule type="containsText" dxfId="1894" priority="257" operator="containsText" text="To be Confirmed">
      <formula>NOT(ISERROR(SEARCH("To be Confirmed",AY217)))</formula>
    </cfRule>
    <cfRule type="containsText" dxfId="1893" priority="258" stopIfTrue="1" operator="containsText" text="Capitalised">
      <formula>NOT(ISERROR(SEARCH("Capitalised",AY217)))</formula>
    </cfRule>
    <cfRule type="containsText" dxfId="1892" priority="259" stopIfTrue="1" operator="containsText" text="Cancelled">
      <formula>NOT(ISERROR(SEARCH("Cancelled",AY217)))</formula>
    </cfRule>
    <cfRule type="containsText" dxfId="1891" priority="260" stopIfTrue="1" operator="containsText" text="WIP">
      <formula>NOT(ISERROR(SEARCH("WIP",AY217)))</formula>
    </cfRule>
  </conditionalFormatting>
  <conditionalFormatting sqref="AY219:AY221">
    <cfRule type="containsText" dxfId="1890" priority="243" operator="containsText" text="Capitalised">
      <formula>NOT(ISERROR(SEARCH("Capitalised",AY219)))</formula>
    </cfRule>
    <cfRule type="containsText" dxfId="1889" priority="244" operator="containsText" text="WIP">
      <formula>NOT(ISERROR(SEARCH("WIP",AY219)))</formula>
    </cfRule>
    <cfRule type="containsText" dxfId="1888" priority="245" operator="containsText" text="Cancelled">
      <formula>NOT(ISERROR(SEARCH("Cancelled",AY219)))</formula>
    </cfRule>
    <cfRule type="containsText" dxfId="1887" priority="246" operator="containsText" text="Deferred">
      <formula>NOT(ISERROR(SEARCH("Deferred",AY219)))</formula>
    </cfRule>
    <cfRule type="containsText" dxfId="1886" priority="247" operator="containsText" text="Not Initiated">
      <formula>NOT(ISERROR(SEARCH("Not Initiated",AY219)))</formula>
    </cfRule>
    <cfRule type="containsText" dxfId="1885" priority="248" operator="containsText" text="To be Confirmed">
      <formula>NOT(ISERROR(SEARCH("To be Confirmed",AY219)))</formula>
    </cfRule>
    <cfRule type="containsText" dxfId="1884" priority="249" stopIfTrue="1" operator="containsText" text="Capitalised">
      <formula>NOT(ISERROR(SEARCH("Capitalised",AY219)))</formula>
    </cfRule>
    <cfRule type="containsText" dxfId="1883" priority="250" stopIfTrue="1" operator="containsText" text="Cancelled">
      <formula>NOT(ISERROR(SEARCH("Cancelled",AY219)))</formula>
    </cfRule>
    <cfRule type="containsText" dxfId="1882" priority="251" stopIfTrue="1" operator="containsText" text="WIP">
      <formula>NOT(ISERROR(SEARCH("WIP",AY219)))</formula>
    </cfRule>
  </conditionalFormatting>
  <conditionalFormatting sqref="AY223">
    <cfRule type="containsText" dxfId="1881" priority="54" operator="containsText" text="Capitalised">
      <formula>NOT(ISERROR(SEARCH("Capitalised",AY223)))</formula>
    </cfRule>
    <cfRule type="containsText" dxfId="1880" priority="55" operator="containsText" text="WIP">
      <formula>NOT(ISERROR(SEARCH("WIP",AY223)))</formula>
    </cfRule>
    <cfRule type="containsText" dxfId="1879" priority="56" operator="containsText" text="Cancelled">
      <formula>NOT(ISERROR(SEARCH("Cancelled",AY223)))</formula>
    </cfRule>
    <cfRule type="containsText" dxfId="1878" priority="57" operator="containsText" text="Deferred">
      <formula>NOT(ISERROR(SEARCH("Deferred",AY223)))</formula>
    </cfRule>
    <cfRule type="containsText" dxfId="1877" priority="58" operator="containsText" text="Not Initiated">
      <formula>NOT(ISERROR(SEARCH("Not Initiated",AY223)))</formula>
    </cfRule>
    <cfRule type="containsText" dxfId="1876" priority="59" operator="containsText" text="To be Confirmed">
      <formula>NOT(ISERROR(SEARCH("To be Confirmed",AY223)))</formula>
    </cfRule>
    <cfRule type="containsText" dxfId="1875" priority="60" stopIfTrue="1" operator="containsText" text="Capitalised">
      <formula>NOT(ISERROR(SEARCH("Capitalised",AY223)))</formula>
    </cfRule>
    <cfRule type="containsText" dxfId="1874" priority="61" stopIfTrue="1" operator="containsText" text="Cancelled">
      <formula>NOT(ISERROR(SEARCH("Cancelled",AY223)))</formula>
    </cfRule>
    <cfRule type="containsText" dxfId="1873" priority="62" stopIfTrue="1" operator="containsText" text="WIP">
      <formula>NOT(ISERROR(SEARCH("WIP",AY223)))</formula>
    </cfRule>
  </conditionalFormatting>
  <conditionalFormatting sqref="AY225:AY227">
    <cfRule type="containsText" dxfId="1872" priority="234" operator="containsText" text="Capitalised">
      <formula>NOT(ISERROR(SEARCH("Capitalised",AY225)))</formula>
    </cfRule>
    <cfRule type="containsText" dxfId="1871" priority="235" operator="containsText" text="WIP">
      <formula>NOT(ISERROR(SEARCH("WIP",AY225)))</formula>
    </cfRule>
    <cfRule type="containsText" dxfId="1870" priority="236" operator="containsText" text="Cancelled">
      <formula>NOT(ISERROR(SEARCH("Cancelled",AY225)))</formula>
    </cfRule>
    <cfRule type="containsText" dxfId="1869" priority="237" operator="containsText" text="Deferred">
      <formula>NOT(ISERROR(SEARCH("Deferred",AY225)))</formula>
    </cfRule>
    <cfRule type="containsText" dxfId="1868" priority="238" operator="containsText" text="Not Initiated">
      <formula>NOT(ISERROR(SEARCH("Not Initiated",AY225)))</formula>
    </cfRule>
    <cfRule type="containsText" dxfId="1867" priority="239" operator="containsText" text="To be Confirmed">
      <formula>NOT(ISERROR(SEARCH("To be Confirmed",AY225)))</formula>
    </cfRule>
    <cfRule type="containsText" dxfId="1866" priority="240" stopIfTrue="1" operator="containsText" text="Capitalised">
      <formula>NOT(ISERROR(SEARCH("Capitalised",AY225)))</formula>
    </cfRule>
    <cfRule type="containsText" dxfId="1865" priority="241" stopIfTrue="1" operator="containsText" text="Cancelled">
      <formula>NOT(ISERROR(SEARCH("Cancelled",AY225)))</formula>
    </cfRule>
    <cfRule type="containsText" dxfId="1864" priority="242" stopIfTrue="1" operator="containsText" text="WIP">
      <formula>NOT(ISERROR(SEARCH("WIP",AY225)))</formula>
    </cfRule>
  </conditionalFormatting>
  <conditionalFormatting sqref="AY229:AY231">
    <cfRule type="containsText" dxfId="1863" priority="45" operator="containsText" text="Capitalised">
      <formula>NOT(ISERROR(SEARCH("Capitalised",AY229)))</formula>
    </cfRule>
    <cfRule type="containsText" dxfId="1862" priority="46" operator="containsText" text="WIP">
      <formula>NOT(ISERROR(SEARCH("WIP",AY229)))</formula>
    </cfRule>
    <cfRule type="containsText" dxfId="1861" priority="47" operator="containsText" text="Cancelled">
      <formula>NOT(ISERROR(SEARCH("Cancelled",AY229)))</formula>
    </cfRule>
    <cfRule type="containsText" dxfId="1860" priority="48" operator="containsText" text="Deferred">
      <formula>NOT(ISERROR(SEARCH("Deferred",AY229)))</formula>
    </cfRule>
    <cfRule type="containsText" dxfId="1859" priority="49" operator="containsText" text="Not Initiated">
      <formula>NOT(ISERROR(SEARCH("Not Initiated",AY229)))</formula>
    </cfRule>
    <cfRule type="containsText" dxfId="1858" priority="50" operator="containsText" text="To be Confirmed">
      <formula>NOT(ISERROR(SEARCH("To be Confirmed",AY229)))</formula>
    </cfRule>
    <cfRule type="containsText" dxfId="1857" priority="51" stopIfTrue="1" operator="containsText" text="Capitalised">
      <formula>NOT(ISERROR(SEARCH("Capitalised",AY229)))</formula>
    </cfRule>
    <cfRule type="containsText" dxfId="1856" priority="52" stopIfTrue="1" operator="containsText" text="Cancelled">
      <formula>NOT(ISERROR(SEARCH("Cancelled",AY229)))</formula>
    </cfRule>
    <cfRule type="containsText" dxfId="1855" priority="53" stopIfTrue="1" operator="containsText" text="WIP">
      <formula>NOT(ISERROR(SEARCH("WIP",AY229)))</formula>
    </cfRule>
  </conditionalFormatting>
  <conditionalFormatting sqref="AY233:AY235">
    <cfRule type="containsText" dxfId="1854" priority="171" operator="containsText" text="Capitalised">
      <formula>NOT(ISERROR(SEARCH("Capitalised",AY233)))</formula>
    </cfRule>
    <cfRule type="containsText" dxfId="1853" priority="172" operator="containsText" text="WIP">
      <formula>NOT(ISERROR(SEARCH("WIP",AY233)))</formula>
    </cfRule>
    <cfRule type="containsText" dxfId="1852" priority="173" operator="containsText" text="Cancelled">
      <formula>NOT(ISERROR(SEARCH("Cancelled",AY233)))</formula>
    </cfRule>
    <cfRule type="containsText" dxfId="1851" priority="174" operator="containsText" text="Deferred">
      <formula>NOT(ISERROR(SEARCH("Deferred",AY233)))</formula>
    </cfRule>
    <cfRule type="containsText" dxfId="1850" priority="175" operator="containsText" text="Not Initiated">
      <formula>NOT(ISERROR(SEARCH("Not Initiated",AY233)))</formula>
    </cfRule>
    <cfRule type="containsText" dxfId="1849" priority="176" operator="containsText" text="To be Confirmed">
      <formula>NOT(ISERROR(SEARCH("To be Confirmed",AY233)))</formula>
    </cfRule>
    <cfRule type="containsText" dxfId="1848" priority="177" stopIfTrue="1" operator="containsText" text="Capitalised">
      <formula>NOT(ISERROR(SEARCH("Capitalised",AY233)))</formula>
    </cfRule>
    <cfRule type="containsText" dxfId="1847" priority="178" stopIfTrue="1" operator="containsText" text="Cancelled">
      <formula>NOT(ISERROR(SEARCH("Cancelled",AY233)))</formula>
    </cfRule>
    <cfRule type="containsText" dxfId="1846" priority="179" stopIfTrue="1" operator="containsText" text="WIP">
      <formula>NOT(ISERROR(SEARCH("WIP",AY233)))</formula>
    </cfRule>
  </conditionalFormatting>
  <conditionalFormatting sqref="AY237:AY240">
    <cfRule type="containsText" dxfId="1845" priority="162" operator="containsText" text="Capitalised">
      <formula>NOT(ISERROR(SEARCH("Capitalised",AY237)))</formula>
    </cfRule>
    <cfRule type="containsText" dxfId="1844" priority="163" operator="containsText" text="WIP">
      <formula>NOT(ISERROR(SEARCH("WIP",AY237)))</formula>
    </cfRule>
    <cfRule type="containsText" dxfId="1843" priority="164" operator="containsText" text="Cancelled">
      <formula>NOT(ISERROR(SEARCH("Cancelled",AY237)))</formula>
    </cfRule>
    <cfRule type="containsText" dxfId="1842" priority="165" operator="containsText" text="Deferred">
      <formula>NOT(ISERROR(SEARCH("Deferred",AY237)))</formula>
    </cfRule>
    <cfRule type="containsText" dxfId="1841" priority="166" operator="containsText" text="Not Initiated">
      <formula>NOT(ISERROR(SEARCH("Not Initiated",AY237)))</formula>
    </cfRule>
    <cfRule type="containsText" dxfId="1840" priority="167" operator="containsText" text="To be Confirmed">
      <formula>NOT(ISERROR(SEARCH("To be Confirmed",AY237)))</formula>
    </cfRule>
    <cfRule type="containsText" dxfId="1839" priority="168" stopIfTrue="1" operator="containsText" text="Capitalised">
      <formula>NOT(ISERROR(SEARCH("Capitalised",AY237)))</formula>
    </cfRule>
    <cfRule type="containsText" dxfId="1838" priority="169" stopIfTrue="1" operator="containsText" text="Cancelled">
      <formula>NOT(ISERROR(SEARCH("Cancelled",AY237)))</formula>
    </cfRule>
    <cfRule type="containsText" dxfId="1837" priority="170" stopIfTrue="1" operator="containsText" text="WIP">
      <formula>NOT(ISERROR(SEARCH("WIP",AY237)))</formula>
    </cfRule>
  </conditionalFormatting>
  <conditionalFormatting sqref="AY242:AY243">
    <cfRule type="containsText" dxfId="1836" priority="153" operator="containsText" text="Capitalised">
      <formula>NOT(ISERROR(SEARCH("Capitalised",AY242)))</formula>
    </cfRule>
    <cfRule type="containsText" dxfId="1835" priority="154" operator="containsText" text="WIP">
      <formula>NOT(ISERROR(SEARCH("WIP",AY242)))</formula>
    </cfRule>
    <cfRule type="containsText" dxfId="1834" priority="155" operator="containsText" text="Cancelled">
      <formula>NOT(ISERROR(SEARCH("Cancelled",AY242)))</formula>
    </cfRule>
    <cfRule type="containsText" dxfId="1833" priority="156" operator="containsText" text="Deferred">
      <formula>NOT(ISERROR(SEARCH("Deferred",AY242)))</formula>
    </cfRule>
    <cfRule type="containsText" dxfId="1832" priority="157" operator="containsText" text="Not Initiated">
      <formula>NOT(ISERROR(SEARCH("Not Initiated",AY242)))</formula>
    </cfRule>
    <cfRule type="containsText" dxfId="1831" priority="158" operator="containsText" text="To be Confirmed">
      <formula>NOT(ISERROR(SEARCH("To be Confirmed",AY242)))</formula>
    </cfRule>
    <cfRule type="containsText" dxfId="1830" priority="159" stopIfTrue="1" operator="containsText" text="Capitalised">
      <formula>NOT(ISERROR(SEARCH("Capitalised",AY242)))</formula>
    </cfRule>
    <cfRule type="containsText" dxfId="1829" priority="160" stopIfTrue="1" operator="containsText" text="Cancelled">
      <formula>NOT(ISERROR(SEARCH("Cancelled",AY242)))</formula>
    </cfRule>
    <cfRule type="containsText" dxfId="1828" priority="161" stopIfTrue="1" operator="containsText" text="WIP">
      <formula>NOT(ISERROR(SEARCH("WIP",AY242)))</formula>
    </cfRule>
  </conditionalFormatting>
  <conditionalFormatting sqref="AY245:AY246">
    <cfRule type="containsText" dxfId="1827" priority="36" operator="containsText" text="Capitalised">
      <formula>NOT(ISERROR(SEARCH("Capitalised",AY245)))</formula>
    </cfRule>
    <cfRule type="containsText" dxfId="1826" priority="37" operator="containsText" text="WIP">
      <formula>NOT(ISERROR(SEARCH("WIP",AY245)))</formula>
    </cfRule>
    <cfRule type="containsText" dxfId="1825" priority="38" operator="containsText" text="Cancelled">
      <formula>NOT(ISERROR(SEARCH("Cancelled",AY245)))</formula>
    </cfRule>
    <cfRule type="containsText" dxfId="1824" priority="39" operator="containsText" text="Deferred">
      <formula>NOT(ISERROR(SEARCH("Deferred",AY245)))</formula>
    </cfRule>
    <cfRule type="containsText" dxfId="1823" priority="40" operator="containsText" text="Not Initiated">
      <formula>NOT(ISERROR(SEARCH("Not Initiated",AY245)))</formula>
    </cfRule>
    <cfRule type="containsText" dxfId="1822" priority="41" operator="containsText" text="To be Confirmed">
      <formula>NOT(ISERROR(SEARCH("To be Confirmed",AY245)))</formula>
    </cfRule>
    <cfRule type="containsText" dxfId="1821" priority="42" stopIfTrue="1" operator="containsText" text="Capitalised">
      <formula>NOT(ISERROR(SEARCH("Capitalised",AY245)))</formula>
    </cfRule>
    <cfRule type="containsText" dxfId="1820" priority="43" stopIfTrue="1" operator="containsText" text="Cancelled">
      <formula>NOT(ISERROR(SEARCH("Cancelled",AY245)))</formula>
    </cfRule>
    <cfRule type="containsText" dxfId="1819" priority="44" stopIfTrue="1" operator="containsText" text="WIP">
      <formula>NOT(ISERROR(SEARCH("WIP",AY245)))</formula>
    </cfRule>
  </conditionalFormatting>
  <conditionalFormatting sqref="AY248:AY249">
    <cfRule type="containsText" dxfId="1818" priority="144" operator="containsText" text="Capitalised">
      <formula>NOT(ISERROR(SEARCH("Capitalised",AY248)))</formula>
    </cfRule>
    <cfRule type="containsText" dxfId="1817" priority="145" operator="containsText" text="WIP">
      <formula>NOT(ISERROR(SEARCH("WIP",AY248)))</formula>
    </cfRule>
    <cfRule type="containsText" dxfId="1816" priority="146" operator="containsText" text="Cancelled">
      <formula>NOT(ISERROR(SEARCH("Cancelled",AY248)))</formula>
    </cfRule>
    <cfRule type="containsText" dxfId="1815" priority="147" operator="containsText" text="Deferred">
      <formula>NOT(ISERROR(SEARCH("Deferred",AY248)))</formula>
    </cfRule>
    <cfRule type="containsText" dxfId="1814" priority="148" operator="containsText" text="Not Initiated">
      <formula>NOT(ISERROR(SEARCH("Not Initiated",AY248)))</formula>
    </cfRule>
    <cfRule type="containsText" dxfId="1813" priority="149" operator="containsText" text="To be Confirmed">
      <formula>NOT(ISERROR(SEARCH("To be Confirmed",AY248)))</formula>
    </cfRule>
    <cfRule type="containsText" dxfId="1812" priority="150" stopIfTrue="1" operator="containsText" text="Capitalised">
      <formula>NOT(ISERROR(SEARCH("Capitalised",AY248)))</formula>
    </cfRule>
    <cfRule type="containsText" dxfId="1811" priority="151" stopIfTrue="1" operator="containsText" text="Cancelled">
      <formula>NOT(ISERROR(SEARCH("Cancelled",AY248)))</formula>
    </cfRule>
    <cfRule type="containsText" dxfId="1810" priority="152" stopIfTrue="1" operator="containsText" text="WIP">
      <formula>NOT(ISERROR(SEARCH("WIP",AY248)))</formula>
    </cfRule>
  </conditionalFormatting>
  <conditionalFormatting sqref="AY259:AY274">
    <cfRule type="containsText" dxfId="1809" priority="539" operator="containsText" text="Deferred">
      <formula>NOT(ISERROR(SEARCH("Deferred",AY259)))</formula>
    </cfRule>
    <cfRule type="containsText" dxfId="1808" priority="540" operator="containsText" text="Not Initiated">
      <formula>NOT(ISERROR(SEARCH("Not Initiated",AY259)))</formula>
    </cfRule>
    <cfRule type="containsText" dxfId="1807" priority="541" operator="containsText" text="To be Confirmed">
      <formula>NOT(ISERROR(SEARCH("To be Confirmed",AY259)))</formula>
    </cfRule>
    <cfRule type="containsText" dxfId="1806" priority="542" stopIfTrue="1" operator="containsText" text="Capitalised">
      <formula>NOT(ISERROR(SEARCH("Capitalised",AY259)))</formula>
    </cfRule>
    <cfRule type="containsText" dxfId="1805" priority="543" stopIfTrue="1" operator="containsText" text="Cancelled">
      <formula>NOT(ISERROR(SEARCH("Cancelled",AY259)))</formula>
    </cfRule>
    <cfRule type="containsText" dxfId="1804" priority="544" stopIfTrue="1" operator="containsText" text="WIP">
      <formula>NOT(ISERROR(SEARCH("WIP",AY259)))</formula>
    </cfRule>
  </conditionalFormatting>
  <conditionalFormatting sqref="AY259:AY343">
    <cfRule type="containsText" dxfId="1803" priority="27" operator="containsText" text="Capitalised">
      <formula>NOT(ISERROR(SEARCH("Capitalised",AY259)))</formula>
    </cfRule>
    <cfRule type="containsText" dxfId="1802" priority="28" operator="containsText" text="WIP">
      <formula>NOT(ISERROR(SEARCH("WIP",AY259)))</formula>
    </cfRule>
    <cfRule type="containsText" dxfId="1801" priority="29" operator="containsText" text="Cancelled">
      <formula>NOT(ISERROR(SEARCH("Cancelled",AY259)))</formula>
    </cfRule>
  </conditionalFormatting>
  <conditionalFormatting sqref="AY275:AY306">
    <cfRule type="containsText" dxfId="1800" priority="508" operator="containsText" text="Deferred">
      <formula>NOT(ISERROR(SEARCH("Deferred",AY275)))</formula>
    </cfRule>
    <cfRule type="containsText" dxfId="1799" priority="509" operator="containsText" text="Not Initiated">
      <formula>NOT(ISERROR(SEARCH("Not Initiated",AY275)))</formula>
    </cfRule>
    <cfRule type="containsText" dxfId="1798" priority="510" operator="containsText" text="To be Confirmed">
      <formula>NOT(ISERROR(SEARCH("To be Confirmed",AY275)))</formula>
    </cfRule>
    <cfRule type="containsText" dxfId="1797" priority="511" stopIfTrue="1" operator="containsText" text="Capitalised">
      <formula>NOT(ISERROR(SEARCH("Capitalised",AY275)))</formula>
    </cfRule>
    <cfRule type="containsText" dxfId="1796" priority="512" stopIfTrue="1" operator="containsText" text="Cancelled">
      <formula>NOT(ISERROR(SEARCH("Cancelled",AY275)))</formula>
    </cfRule>
    <cfRule type="containsText" dxfId="1795" priority="513" stopIfTrue="1" operator="containsText" text="WIP">
      <formula>NOT(ISERROR(SEARCH("WIP",AY275)))</formula>
    </cfRule>
  </conditionalFormatting>
  <conditionalFormatting sqref="AY311:AY316">
    <cfRule type="containsText" dxfId="1794" priority="31" operator="containsText" text="Not Initiated">
      <formula>NOT(ISERROR(SEARCH("Not Initiated",AY311)))</formula>
    </cfRule>
    <cfRule type="containsText" dxfId="1793" priority="32" operator="containsText" text="To be Confirmed">
      <formula>NOT(ISERROR(SEARCH("To be Confirmed",AY311)))</formula>
    </cfRule>
    <cfRule type="containsText" dxfId="1792" priority="33" stopIfTrue="1" operator="containsText" text="Capitalised">
      <formula>NOT(ISERROR(SEARCH("Capitalised",AY311)))</formula>
    </cfRule>
    <cfRule type="containsText" dxfId="1791" priority="34" stopIfTrue="1" operator="containsText" text="Cancelled">
      <formula>NOT(ISERROR(SEARCH("Cancelled",AY311)))</formula>
    </cfRule>
    <cfRule type="containsText" dxfId="1790" priority="35" stopIfTrue="1" operator="containsText" text="WIP">
      <formula>NOT(ISERROR(SEARCH("WIP",AY311)))</formula>
    </cfRule>
  </conditionalFormatting>
  <conditionalFormatting sqref="AY311:AY342">
    <cfRule type="containsText" dxfId="1789" priority="30" operator="containsText" text="Deferred">
      <formula>NOT(ISERROR(SEARCH("Deferred",AY311)))</formula>
    </cfRule>
  </conditionalFormatting>
  <conditionalFormatting sqref="AY363:AY393 AY395:AY634">
    <cfRule type="containsText" dxfId="1788" priority="17" operator="containsText" text="Deferred">
      <formula>NOT(ISERROR(SEARCH("Deferred",AY363)))</formula>
    </cfRule>
    <cfRule type="containsText" dxfId="1787" priority="18" operator="containsText" text="Not Initiated">
      <formula>NOT(ISERROR(SEARCH("Not Initiated",AY363)))</formula>
    </cfRule>
    <cfRule type="containsText" dxfId="1786" priority="19" operator="containsText" text="To be Confirmed">
      <formula>NOT(ISERROR(SEARCH("To be Confirmed",AY363)))</formula>
    </cfRule>
    <cfRule type="containsText" dxfId="1785" priority="20" stopIfTrue="1" operator="containsText" text="Capitalised">
      <formula>NOT(ISERROR(SEARCH("Capitalised",AY363)))</formula>
    </cfRule>
    <cfRule type="containsText" dxfId="1784" priority="21" stopIfTrue="1" operator="containsText" text="Cancelled">
      <formula>NOT(ISERROR(SEARCH("Cancelled",AY363)))</formula>
    </cfRule>
    <cfRule type="containsText" dxfId="1783" priority="22" stopIfTrue="1" operator="containsText" text="WIP">
      <formula>NOT(ISERROR(SEARCH("WIP",AY363)))</formula>
    </cfRule>
  </conditionalFormatting>
  <conditionalFormatting sqref="AY363:AY393">
    <cfRule type="containsText" dxfId="1782" priority="14" operator="containsText" text="Capitalised">
      <formula>NOT(ISERROR(SEARCH("Capitalised",AY363)))</formula>
    </cfRule>
    <cfRule type="containsText" dxfId="1781" priority="15" operator="containsText" text="WIP">
      <formula>NOT(ISERROR(SEARCH("WIP",AY363)))</formula>
    </cfRule>
    <cfRule type="containsText" dxfId="1780" priority="16" operator="containsText" text="Cancelled">
      <formula>NOT(ISERROR(SEARCH("Cancelled",AY363)))</formula>
    </cfRule>
  </conditionalFormatting>
  <conditionalFormatting sqref="AY395:AY671">
    <cfRule type="containsText" dxfId="1779" priority="3" operator="containsText" text="Capitalised">
      <formula>NOT(ISERROR(SEARCH("Capitalised",AY395)))</formula>
    </cfRule>
    <cfRule type="containsText" dxfId="1778" priority="4" operator="containsText" text="WIP">
      <formula>NOT(ISERROR(SEARCH("WIP",AY395)))</formula>
    </cfRule>
    <cfRule type="containsText" dxfId="1777" priority="5" operator="containsText" text="Cancelled">
      <formula>NOT(ISERROR(SEARCH("Cancelled",AY395)))</formula>
    </cfRule>
  </conditionalFormatting>
  <conditionalFormatting sqref="AY639:AY671">
    <cfRule type="containsText" dxfId="1776" priority="6" operator="containsText" text="Deferred">
      <formula>NOT(ISERROR(SEARCH("Deferred",AY639)))</formula>
    </cfRule>
    <cfRule type="containsText" dxfId="1775" priority="7" operator="containsText" text="Not Initiated">
      <formula>NOT(ISERROR(SEARCH("Not Initiated",AY639)))</formula>
    </cfRule>
    <cfRule type="containsText" dxfId="1774" priority="8" operator="containsText" text="To be Confirmed">
      <formula>NOT(ISERROR(SEARCH("To be Confirmed",AY639)))</formula>
    </cfRule>
    <cfRule type="containsText" dxfId="1773" priority="9" stopIfTrue="1" operator="containsText" text="Capitalised">
      <formula>NOT(ISERROR(SEARCH("Capitalised",AY639)))</formula>
    </cfRule>
    <cfRule type="containsText" dxfId="1772" priority="10" stopIfTrue="1" operator="containsText" text="Cancelled">
      <formula>NOT(ISERROR(SEARCH("Cancelled",AY639)))</formula>
    </cfRule>
    <cfRule type="containsText" dxfId="1771" priority="11" stopIfTrue="1" operator="containsText" text="WIP">
      <formula>NOT(ISERROR(SEARCH("WIP",AY639)))</formula>
    </cfRule>
  </conditionalFormatting>
  <conditionalFormatting sqref="BC200:BC202">
    <cfRule type="containsText" dxfId="1770" priority="547" operator="containsText" text="Capitalised">
      <formula>NOT(ISERROR(SEARCH("Capitalised",BC200)))</formula>
    </cfRule>
    <cfRule type="containsText" dxfId="1769" priority="548" operator="containsText" text="WIP">
      <formula>NOT(ISERROR(SEARCH("WIP",BC200)))</formula>
    </cfRule>
    <cfRule type="containsText" dxfId="1768" priority="549" operator="containsText" text="Cancelled">
      <formula>NOT(ISERROR(SEARCH("Cancelled",BC200)))</formula>
    </cfRule>
    <cfRule type="containsText" dxfId="1767" priority="550" operator="containsText" text="Deferred">
      <formula>NOT(ISERROR(SEARCH("Deferred",BC200)))</formula>
    </cfRule>
    <cfRule type="containsText" dxfId="1766" priority="551" operator="containsText" text="Not Initiated">
      <formula>NOT(ISERROR(SEARCH("Not Initiated",BC200)))</formula>
    </cfRule>
    <cfRule type="containsText" dxfId="1765" priority="552" operator="containsText" text="To be Confirmed">
      <formula>NOT(ISERROR(SEARCH("To be Confirmed",BC200)))</formula>
    </cfRule>
    <cfRule type="containsText" dxfId="1764" priority="553" stopIfTrue="1" operator="containsText" text="Capitalised">
      <formula>NOT(ISERROR(SEARCH("Capitalised",BC200)))</formula>
    </cfRule>
    <cfRule type="containsText" dxfId="1763" priority="554" stopIfTrue="1" operator="containsText" text="Cancelled">
      <formula>NOT(ISERROR(SEARCH("Cancelled",BC200)))</formula>
    </cfRule>
    <cfRule type="containsText" dxfId="1762" priority="555" stopIfTrue="1" operator="containsText" text="WIP">
      <formula>NOT(ISERROR(SEARCH("WIP",BC200)))</formula>
    </cfRule>
  </conditionalFormatting>
  <conditionalFormatting sqref="BC200:BD202">
    <cfRule type="containsText" dxfId="1761" priority="560" operator="containsText" text="Capitalised">
      <formula>NOT(ISERROR(SEARCH("Capitalised",BC200)))</formula>
    </cfRule>
    <cfRule type="containsText" dxfId="1760" priority="561" operator="containsText" text="WIP">
      <formula>NOT(ISERROR(SEARCH("WIP",BC200)))</formula>
    </cfRule>
    <cfRule type="containsText" dxfId="1759" priority="562" operator="containsText" text="Cancelled">
      <formula>NOT(ISERROR(SEARCH("Cancelled",BC200)))</formula>
    </cfRule>
    <cfRule type="containsText" dxfId="1758" priority="563" operator="containsText" text="Deferred">
      <formula>NOT(ISERROR(SEARCH("Deferred",BC200)))</formula>
    </cfRule>
    <cfRule type="containsText" dxfId="1757" priority="564" operator="containsText" text="Not Initiated">
      <formula>NOT(ISERROR(SEARCH("Not Initiated",BC200)))</formula>
    </cfRule>
    <cfRule type="containsText" dxfId="1756" priority="565" operator="containsText" text="To be Confirmed">
      <formula>NOT(ISERROR(SEARCH("To be Confirmed",BC200)))</formula>
    </cfRule>
    <cfRule type="containsText" dxfId="1755" priority="566" stopIfTrue="1" operator="containsText" text="Capitalised">
      <formula>NOT(ISERROR(SEARCH("Capitalised",BC200)))</formula>
    </cfRule>
    <cfRule type="containsText" dxfId="1754" priority="567" stopIfTrue="1" operator="containsText" text="Cancelled">
      <formula>NOT(ISERROR(SEARCH("Cancelled",BC200)))</formula>
    </cfRule>
    <cfRule type="containsText" dxfId="1753" priority="568" stopIfTrue="1" operator="containsText" text="WIP">
      <formula>NOT(ISERROR(SEARCH("WIP",BC200)))</formula>
    </cfRule>
  </conditionalFormatting>
  <dataValidations count="12">
    <dataValidation type="list" allowBlank="1" showInputMessage="1" showErrorMessage="1" sqref="BD311:BD316 BD346:BD634 BD639:BD671" xr:uid="{458F8B26-4438-4B40-8700-B6A40C5D8D83}">
      <formula1>"E, N"</formula1>
    </dataValidation>
    <dataValidation type="list" allowBlank="1" showInputMessage="1" showErrorMessage="1" sqref="C297:C306 C317:C342" xr:uid="{909D0421-E876-47D8-A16F-5E74F63ECF0C}">
      <formula1>$BC$4:$BC$7</formula1>
    </dataValidation>
    <dataValidation type="list" allowBlank="1" showInputMessage="1" showErrorMessage="1" sqref="AY297:AY306 AY317:AY342 AY7:AY257" xr:uid="{3FC18D02-A588-4306-BF81-6791064106C9}">
      <formula1>$BD$4:$BD$11</formula1>
    </dataValidation>
    <dataValidation type="list" allowBlank="1" showInputMessage="1" showErrorMessage="1" sqref="C275:C296" xr:uid="{DF22F4BE-B608-4FE9-A1C0-F061B27781DC}">
      <formula1>$BE$4:$BE$7</formula1>
    </dataValidation>
    <dataValidation type="list" allowBlank="1" showInputMessage="1" showErrorMessage="1" sqref="AY275:AY296" xr:uid="{320651A2-27F0-42CA-81F1-E6984B773E53}">
      <formula1>$BF$4:$BF$11</formula1>
    </dataValidation>
    <dataValidation type="list" allowBlank="1" showInputMessage="1" showErrorMessage="1" sqref="AS258" xr:uid="{9C72A13F-29A8-44FD-970F-B1DF8D78AF29}">
      <formula1>$AY$4:$AY$11</formula1>
    </dataValidation>
    <dataValidation type="list" allowBlank="1" showInputMessage="1" showErrorMessage="1" sqref="AY343:AY344 AY259:AY274 AY307:AY310 AY635:AY638" xr:uid="{2B75D191-BDCE-4510-87BD-C6570AA11FD0}">
      <formula1>$BE$4:$BE$11</formula1>
    </dataValidation>
    <dataValidation type="list" allowBlank="1" showInputMessage="1" showErrorMessage="1" sqref="C200:C202" xr:uid="{280F3B30-FA85-4398-8943-F2DB7A4BD846}">
      <formula1>$BJ$4:$BJ$7</formula1>
    </dataValidation>
    <dataValidation type="list" allowBlank="1" showInputMessage="1" showErrorMessage="1" sqref="BC200:BC202" xr:uid="{C962145C-FF43-42AC-BC94-A706E9DAD33E}">
      <formula1>$BK$4:$BK$11</formula1>
    </dataValidation>
    <dataValidation type="list" allowBlank="1" showInputMessage="1" showErrorMessage="1" sqref="AY1:AY6 AY672:AY1048576" xr:uid="{4B1BD99D-CD79-45E1-8920-F58FFFE4ED0E}">
      <formula1>$BA$4:$BA$11</formula1>
    </dataValidation>
    <dataValidation type="list" allowBlank="1" showInputMessage="1" showErrorMessage="1" sqref="C672:C1048576 C1:C199 C203:C268 C636:C638 C309:C310 C343:C345" xr:uid="{1F4C349E-A453-45D8-81D4-2AD4ED33C56E}">
      <formula1>$AZ$4:$AZ$7</formula1>
    </dataValidation>
    <dataValidation type="list" allowBlank="1" showInputMessage="1" showErrorMessage="1" sqref="C200:C202 C269:C274 C307:C308" xr:uid="{FF58697C-6C4E-462E-9548-843537E43C0B}">
      <formula1>#REF!</formula1>
    </dataValidation>
  </dataValidations>
  <printOptions verticalCentered="1"/>
  <pageMargins left="0.39370078740157483" right="0.39370078740157483" top="0.78740157480314965" bottom="0.39370078740157483" header="0.23622047244094491" footer="0.23622047244094491"/>
  <pageSetup paperSize="9" scale="70" fitToWidth="4" fitToHeight="200" pageOrder="overThenDown" orientation="landscape" blackAndWhite="1" r:id="rId1"/>
  <headerFooter alignWithMargins="0">
    <oddHeader>&amp;C&amp;"-,Bold"MSPGCL: CSTPS Unit 3-7
MTR Petition Formats- Generation
Form 4.2: Capitalisation Plan</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5365"/>
  <sheetViews>
    <sheetView showGridLines="0" view="pageBreakPreview" zoomScale="80" zoomScaleNormal="80" zoomScaleSheetLayoutView="80" workbookViewId="0">
      <pane ySplit="6" topLeftCell="A7" activePane="bottomLeft" state="frozen"/>
      <selection activeCell="N10" sqref="N10"/>
      <selection pane="bottomLeft" sqref="A1:XFD1048576"/>
    </sheetView>
  </sheetViews>
  <sheetFormatPr defaultColWidth="9.1796875" defaultRowHeight="14" outlineLevelRow="1" x14ac:dyDescent="0.25"/>
  <cols>
    <col min="1" max="1" width="8.26953125" style="96" customWidth="1"/>
    <col min="2" max="2" width="62.54296875" style="494" customWidth="1"/>
    <col min="3" max="3" width="34.1796875" style="571" customWidth="1"/>
    <col min="4" max="4" width="11.1796875" style="1425" customWidth="1"/>
    <col min="5" max="5" width="10.26953125" style="327" customWidth="1"/>
    <col min="6" max="6" width="13.26953125" style="327" customWidth="1"/>
    <col min="7" max="7" width="12.7265625" style="327" customWidth="1"/>
    <col min="8" max="8" width="10.81640625" style="327" customWidth="1"/>
    <col min="9" max="9" width="12.453125" style="327" customWidth="1"/>
    <col min="10" max="13" width="14.54296875" style="327" customWidth="1"/>
    <col min="14" max="14" width="11.54296875" style="327" customWidth="1"/>
    <col min="15" max="15" width="16.453125" style="96" customWidth="1"/>
    <col min="16" max="16" width="13.453125" style="96" customWidth="1"/>
    <col min="17" max="16384" width="9.1796875" style="96"/>
  </cols>
  <sheetData>
    <row r="1" spans="1:16" x14ac:dyDescent="0.25">
      <c r="C1" s="561" t="s">
        <v>2270</v>
      </c>
    </row>
    <row r="2" spans="1:16" x14ac:dyDescent="0.25">
      <c r="C2" s="1466" t="s">
        <v>2271</v>
      </c>
    </row>
    <row r="3" spans="1:16" ht="17.5" x14ac:dyDescent="0.25">
      <c r="B3" s="1467" t="s">
        <v>0</v>
      </c>
      <c r="C3" s="1468" t="s">
        <v>635</v>
      </c>
      <c r="D3" s="1469"/>
      <c r="E3" s="1470"/>
      <c r="F3" s="1470"/>
      <c r="G3" s="1471"/>
      <c r="H3" s="1470"/>
      <c r="I3" s="1470"/>
      <c r="J3" s="1472"/>
      <c r="K3" s="1472"/>
      <c r="L3" s="1472"/>
      <c r="M3" s="1473" t="s">
        <v>10</v>
      </c>
      <c r="N3" s="1472"/>
    </row>
    <row r="4" spans="1:16" ht="23.25" customHeight="1" x14ac:dyDescent="0.25">
      <c r="A4" s="1699" t="s">
        <v>340</v>
      </c>
      <c r="B4" s="1699" t="s">
        <v>16</v>
      </c>
      <c r="C4" s="1699" t="s">
        <v>488</v>
      </c>
      <c r="D4" s="1833" t="s">
        <v>489</v>
      </c>
      <c r="E4" s="1803" t="s">
        <v>51</v>
      </c>
      <c r="F4" s="1835" t="s">
        <v>498</v>
      </c>
      <c r="G4" s="1803" t="s">
        <v>499</v>
      </c>
      <c r="H4" s="1803" t="s">
        <v>50</v>
      </c>
      <c r="I4" s="1803" t="s">
        <v>49</v>
      </c>
      <c r="J4" s="1803" t="s">
        <v>2253</v>
      </c>
      <c r="K4" s="1803"/>
      <c r="L4" s="1803"/>
      <c r="M4" s="1803"/>
      <c r="N4" s="1803" t="s">
        <v>47</v>
      </c>
    </row>
    <row r="5" spans="1:16" ht="23.25" customHeight="1" x14ac:dyDescent="0.25">
      <c r="A5" s="1699"/>
      <c r="B5" s="1699"/>
      <c r="C5" s="1699"/>
      <c r="D5" s="1833"/>
      <c r="E5" s="1803"/>
      <c r="F5" s="1836"/>
      <c r="G5" s="1803"/>
      <c r="H5" s="1803"/>
      <c r="I5" s="1803"/>
      <c r="J5" s="1803"/>
      <c r="K5" s="1803"/>
      <c r="L5" s="1803"/>
      <c r="M5" s="1803"/>
      <c r="N5" s="1803"/>
    </row>
    <row r="6" spans="1:16" ht="29" x14ac:dyDescent="0.25">
      <c r="A6" s="1699"/>
      <c r="B6" s="1699"/>
      <c r="C6" s="1699"/>
      <c r="D6" s="1833"/>
      <c r="E6" s="1803"/>
      <c r="F6" s="1837"/>
      <c r="G6" s="1803"/>
      <c r="H6" s="1803"/>
      <c r="I6" s="1803"/>
      <c r="J6" s="1639" t="s">
        <v>46</v>
      </c>
      <c r="K6" s="1639" t="s">
        <v>45</v>
      </c>
      <c r="L6" s="1639" t="s">
        <v>44</v>
      </c>
      <c r="M6" s="1639" t="s">
        <v>43</v>
      </c>
      <c r="N6" s="1803"/>
      <c r="O6" s="1426" t="s">
        <v>2254</v>
      </c>
      <c r="P6" s="1426" t="s">
        <v>2255</v>
      </c>
    </row>
    <row r="7" spans="1:16" x14ac:dyDescent="0.25">
      <c r="A7" s="1419"/>
      <c r="B7" s="569" t="s">
        <v>506</v>
      </c>
      <c r="C7" s="1474"/>
      <c r="D7" s="1475"/>
      <c r="E7" s="320"/>
      <c r="F7" s="320"/>
      <c r="G7" s="320"/>
      <c r="H7" s="320"/>
      <c r="I7" s="320"/>
      <c r="J7" s="320"/>
      <c r="K7" s="320"/>
      <c r="L7" s="320"/>
      <c r="M7" s="320"/>
      <c r="N7" s="320"/>
    </row>
    <row r="8" spans="1:16" outlineLevel="1" x14ac:dyDescent="0.25">
      <c r="A8" s="131"/>
      <c r="B8" s="1389" t="s">
        <v>23</v>
      </c>
      <c r="C8" s="166"/>
      <c r="D8" s="166"/>
      <c r="E8" s="320"/>
      <c r="F8" s="320"/>
      <c r="G8" s="320"/>
      <c r="H8" s="320"/>
      <c r="I8" s="320"/>
      <c r="J8" s="320"/>
      <c r="K8" s="320"/>
      <c r="L8" s="320"/>
      <c r="M8" s="320"/>
      <c r="N8" s="320"/>
    </row>
    <row r="9" spans="1:16" outlineLevel="1" x14ac:dyDescent="0.25">
      <c r="A9" s="131"/>
      <c r="B9" s="1476" t="s">
        <v>1595</v>
      </c>
      <c r="C9" s="166"/>
      <c r="D9" s="166"/>
      <c r="E9" s="320"/>
      <c r="F9" s="320"/>
      <c r="G9" s="320"/>
      <c r="H9" s="320"/>
      <c r="I9" s="320"/>
      <c r="J9" s="320"/>
      <c r="K9" s="320"/>
      <c r="L9" s="320"/>
      <c r="M9" s="320"/>
      <c r="N9" s="320"/>
    </row>
    <row r="10" spans="1:16" ht="15.5" outlineLevel="1" x14ac:dyDescent="0.25">
      <c r="A10" s="1477">
        <v>1</v>
      </c>
      <c r="B10" s="1478" t="s">
        <v>1596</v>
      </c>
      <c r="C10" s="1477" t="s">
        <v>1597</v>
      </c>
      <c r="D10" s="1479">
        <v>40507</v>
      </c>
      <c r="E10" s="1383">
        <v>181.82700000000003</v>
      </c>
      <c r="F10" s="1480">
        <v>0</v>
      </c>
      <c r="G10" s="1480">
        <v>0</v>
      </c>
      <c r="H10" s="1480">
        <f>F10-G10</f>
        <v>0</v>
      </c>
      <c r="I10" s="1480">
        <v>0</v>
      </c>
      <c r="J10" s="1480">
        <v>0</v>
      </c>
      <c r="K10" s="1480"/>
      <c r="L10" s="1480"/>
      <c r="M10" s="1480">
        <f>SUM(J10:L10)</f>
        <v>0</v>
      </c>
      <c r="N10" s="1480">
        <f>H10+I10-M10</f>
        <v>0</v>
      </c>
      <c r="O10" s="1481">
        <f>MAX(0,IF(M10=0,0,IF(G10+M10&lt;E10,M10,E10-G10)))</f>
        <v>0</v>
      </c>
      <c r="P10" s="1427">
        <f>M10-O10</f>
        <v>0</v>
      </c>
    </row>
    <row r="11" spans="1:16" ht="31" outlineLevel="1" x14ac:dyDescent="0.25">
      <c r="A11" s="1482">
        <v>1.1000000000000001</v>
      </c>
      <c r="B11" s="1483" t="s">
        <v>1598</v>
      </c>
      <c r="C11" s="1482" t="s">
        <v>1597</v>
      </c>
      <c r="D11" s="1390">
        <v>40507</v>
      </c>
      <c r="E11" s="560">
        <v>1.06</v>
      </c>
      <c r="F11" s="1480">
        <v>0.44763439999999999</v>
      </c>
      <c r="G11" s="1480">
        <v>0.44763439999999999</v>
      </c>
      <c r="H11" s="1480">
        <f t="shared" ref="H11:H74" si="0">F11-G11</f>
        <v>0</v>
      </c>
      <c r="I11" s="1480">
        <v>0</v>
      </c>
      <c r="J11" s="1480">
        <v>0</v>
      </c>
      <c r="K11" s="1480"/>
      <c r="L11" s="1480"/>
      <c r="M11" s="1480">
        <f t="shared" ref="M11:M74" si="1">SUM(J11:L11)</f>
        <v>0</v>
      </c>
      <c r="N11" s="1480">
        <f t="shared" ref="N11:N74" si="2">H11+I11-M11</f>
        <v>0</v>
      </c>
      <c r="O11" s="1481">
        <f t="shared" ref="O11:O74" si="3">MAX(0,IF(M11=0,0,IF(G11+M11&lt;E11,M11,E11-G11)))</f>
        <v>0</v>
      </c>
      <c r="P11" s="1427">
        <f t="shared" ref="P11:P74" si="4">M11-O11</f>
        <v>0</v>
      </c>
    </row>
    <row r="12" spans="1:16" ht="46.5" outlineLevel="1" x14ac:dyDescent="0.25">
      <c r="A12" s="1482">
        <v>1.2</v>
      </c>
      <c r="B12" s="1483" t="s">
        <v>1599</v>
      </c>
      <c r="C12" s="1482" t="s">
        <v>1597</v>
      </c>
      <c r="D12" s="1390">
        <v>40507</v>
      </c>
      <c r="E12" s="560">
        <v>11.8</v>
      </c>
      <c r="F12" s="1480">
        <v>0</v>
      </c>
      <c r="G12" s="1480">
        <v>0</v>
      </c>
      <c r="H12" s="1480">
        <f t="shared" si="0"/>
        <v>0</v>
      </c>
      <c r="I12" s="1480">
        <v>0</v>
      </c>
      <c r="J12" s="1480">
        <v>0</v>
      </c>
      <c r="K12" s="1480"/>
      <c r="L12" s="1480"/>
      <c r="M12" s="1480">
        <f t="shared" si="1"/>
        <v>0</v>
      </c>
      <c r="N12" s="1480">
        <f t="shared" si="2"/>
        <v>0</v>
      </c>
      <c r="O12" s="1481">
        <f t="shared" si="3"/>
        <v>0</v>
      </c>
      <c r="P12" s="1427">
        <f t="shared" si="4"/>
        <v>0</v>
      </c>
    </row>
    <row r="13" spans="1:16" ht="62" outlineLevel="1" x14ac:dyDescent="0.25">
      <c r="A13" s="1482">
        <v>1.3</v>
      </c>
      <c r="B13" s="1483" t="s">
        <v>2424</v>
      </c>
      <c r="C13" s="1482" t="s">
        <v>1597</v>
      </c>
      <c r="D13" s="1390">
        <v>40507</v>
      </c>
      <c r="E13" s="560">
        <v>12.3</v>
      </c>
      <c r="F13" s="1480">
        <v>10.016599048</v>
      </c>
      <c r="G13" s="1480">
        <v>10.016599048000002</v>
      </c>
      <c r="H13" s="1480">
        <f t="shared" si="0"/>
        <v>0</v>
      </c>
      <c r="I13" s="1480">
        <v>0</v>
      </c>
      <c r="J13" s="1480">
        <v>0</v>
      </c>
      <c r="K13" s="1480"/>
      <c r="L13" s="1480"/>
      <c r="M13" s="1480">
        <f t="shared" si="1"/>
        <v>0</v>
      </c>
      <c r="N13" s="1480">
        <f t="shared" si="2"/>
        <v>0</v>
      </c>
      <c r="O13" s="1481">
        <f t="shared" si="3"/>
        <v>0</v>
      </c>
      <c r="P13" s="1427">
        <f t="shared" si="4"/>
        <v>0</v>
      </c>
    </row>
    <row r="14" spans="1:16" ht="77.5" outlineLevel="1" x14ac:dyDescent="0.25">
      <c r="A14" s="1482">
        <v>1.4</v>
      </c>
      <c r="B14" s="1483" t="s">
        <v>1601</v>
      </c>
      <c r="C14" s="1482" t="s">
        <v>1597</v>
      </c>
      <c r="D14" s="1390">
        <v>40507</v>
      </c>
      <c r="E14" s="560">
        <v>7.52</v>
      </c>
      <c r="F14" s="1480">
        <v>3.8601695880000002</v>
      </c>
      <c r="G14" s="1480">
        <v>3.8601695880000002</v>
      </c>
      <c r="H14" s="1480">
        <f t="shared" si="0"/>
        <v>0</v>
      </c>
      <c r="I14" s="1480">
        <v>0</v>
      </c>
      <c r="J14" s="1480">
        <v>0</v>
      </c>
      <c r="K14" s="1480"/>
      <c r="L14" s="1480"/>
      <c r="M14" s="1480">
        <f t="shared" si="1"/>
        <v>0</v>
      </c>
      <c r="N14" s="1480">
        <f t="shared" si="2"/>
        <v>0</v>
      </c>
      <c r="O14" s="1481">
        <f t="shared" si="3"/>
        <v>0</v>
      </c>
      <c r="P14" s="1427">
        <f t="shared" si="4"/>
        <v>0</v>
      </c>
    </row>
    <row r="15" spans="1:16" ht="46.5" outlineLevel="1" x14ac:dyDescent="0.25">
      <c r="A15" s="1482">
        <v>1.5</v>
      </c>
      <c r="B15" s="1483" t="s">
        <v>1602</v>
      </c>
      <c r="C15" s="1482" t="s">
        <v>1597</v>
      </c>
      <c r="D15" s="1390">
        <v>40507</v>
      </c>
      <c r="E15" s="560">
        <v>43.2</v>
      </c>
      <c r="F15" s="1480">
        <v>56.159367274552196</v>
      </c>
      <c r="G15" s="1480">
        <v>56.159367274552196</v>
      </c>
      <c r="H15" s="1480">
        <f t="shared" si="0"/>
        <v>0</v>
      </c>
      <c r="I15" s="1480">
        <v>0</v>
      </c>
      <c r="J15" s="1480">
        <v>0</v>
      </c>
      <c r="K15" s="1480"/>
      <c r="L15" s="1480"/>
      <c r="M15" s="1480">
        <f t="shared" si="1"/>
        <v>0</v>
      </c>
      <c r="N15" s="1480">
        <f t="shared" si="2"/>
        <v>0</v>
      </c>
      <c r="O15" s="1481">
        <f t="shared" si="3"/>
        <v>0</v>
      </c>
      <c r="P15" s="1427">
        <f t="shared" si="4"/>
        <v>0</v>
      </c>
    </row>
    <row r="16" spans="1:16" ht="46.5" outlineLevel="1" x14ac:dyDescent="0.25">
      <c r="A16" s="1482">
        <v>1.6</v>
      </c>
      <c r="B16" s="1483" t="s">
        <v>1603</v>
      </c>
      <c r="C16" s="1482" t="s">
        <v>1597</v>
      </c>
      <c r="D16" s="1390">
        <v>40507</v>
      </c>
      <c r="E16" s="560">
        <v>23.4</v>
      </c>
      <c r="F16" s="1480">
        <v>12.917271588999998</v>
      </c>
      <c r="G16" s="1480">
        <v>12.917271589</v>
      </c>
      <c r="H16" s="1480">
        <f t="shared" si="0"/>
        <v>0</v>
      </c>
      <c r="I16" s="1480">
        <v>0</v>
      </c>
      <c r="J16" s="1480">
        <v>0</v>
      </c>
      <c r="K16" s="1480"/>
      <c r="L16" s="1480"/>
      <c r="M16" s="1480">
        <f t="shared" si="1"/>
        <v>0</v>
      </c>
      <c r="N16" s="1480">
        <f t="shared" si="2"/>
        <v>0</v>
      </c>
      <c r="O16" s="1481">
        <f t="shared" si="3"/>
        <v>0</v>
      </c>
      <c r="P16" s="1427">
        <f t="shared" si="4"/>
        <v>0</v>
      </c>
    </row>
    <row r="17" spans="1:16" ht="31" outlineLevel="1" x14ac:dyDescent="0.25">
      <c r="A17" s="1482">
        <v>1.7</v>
      </c>
      <c r="B17" s="1483" t="s">
        <v>1604</v>
      </c>
      <c r="C17" s="1482" t="s">
        <v>1597</v>
      </c>
      <c r="D17" s="1390">
        <v>40507</v>
      </c>
      <c r="E17" s="560">
        <v>27.6</v>
      </c>
      <c r="F17" s="1480">
        <v>11.3681175</v>
      </c>
      <c r="G17" s="1480">
        <v>11.3681175</v>
      </c>
      <c r="H17" s="1480">
        <f t="shared" si="0"/>
        <v>0</v>
      </c>
      <c r="I17" s="1480">
        <v>0</v>
      </c>
      <c r="J17" s="1480">
        <v>0</v>
      </c>
      <c r="K17" s="1480"/>
      <c r="L17" s="1480"/>
      <c r="M17" s="1480">
        <f t="shared" si="1"/>
        <v>0</v>
      </c>
      <c r="N17" s="1480">
        <f t="shared" si="2"/>
        <v>0</v>
      </c>
      <c r="O17" s="1481">
        <f t="shared" si="3"/>
        <v>0</v>
      </c>
      <c r="P17" s="1427">
        <f t="shared" si="4"/>
        <v>0</v>
      </c>
    </row>
    <row r="18" spans="1:16" ht="46.5" outlineLevel="1" x14ac:dyDescent="0.25">
      <c r="A18" s="1482">
        <v>1.8</v>
      </c>
      <c r="B18" s="1483" t="s">
        <v>1605</v>
      </c>
      <c r="C18" s="1482" t="s">
        <v>1597</v>
      </c>
      <c r="D18" s="1390">
        <v>40507</v>
      </c>
      <c r="E18" s="560">
        <v>1.43</v>
      </c>
      <c r="F18" s="1480">
        <v>1.8769309999999999</v>
      </c>
      <c r="G18" s="1480">
        <v>1.8769309999999999</v>
      </c>
      <c r="H18" s="1480">
        <f t="shared" si="0"/>
        <v>0</v>
      </c>
      <c r="I18" s="1480">
        <v>0</v>
      </c>
      <c r="J18" s="1480">
        <v>0</v>
      </c>
      <c r="K18" s="1480"/>
      <c r="L18" s="1480"/>
      <c r="M18" s="1480">
        <f t="shared" si="1"/>
        <v>0</v>
      </c>
      <c r="N18" s="1480">
        <f t="shared" si="2"/>
        <v>0</v>
      </c>
      <c r="O18" s="1481">
        <f t="shared" si="3"/>
        <v>0</v>
      </c>
      <c r="P18" s="1427">
        <f t="shared" si="4"/>
        <v>0</v>
      </c>
    </row>
    <row r="19" spans="1:16" ht="93" outlineLevel="1" x14ac:dyDescent="0.25">
      <c r="A19" s="1484">
        <v>1.9</v>
      </c>
      <c r="B19" s="1485" t="s">
        <v>2425</v>
      </c>
      <c r="C19" s="1482" t="s">
        <v>1597</v>
      </c>
      <c r="D19" s="1390">
        <v>40507</v>
      </c>
      <c r="E19" s="560">
        <v>3.5</v>
      </c>
      <c r="F19" s="1480">
        <v>3.9205499999999995</v>
      </c>
      <c r="G19" s="1480">
        <v>3.9205499999999995</v>
      </c>
      <c r="H19" s="1480">
        <f t="shared" si="0"/>
        <v>0</v>
      </c>
      <c r="I19" s="1480">
        <v>0.32827599999999979</v>
      </c>
      <c r="J19" s="1480">
        <v>0.32827600000000001</v>
      </c>
      <c r="K19" s="1480"/>
      <c r="L19" s="1480"/>
      <c r="M19" s="1480">
        <f t="shared" si="1"/>
        <v>0.32827600000000001</v>
      </c>
      <c r="N19" s="1480">
        <f t="shared" si="2"/>
        <v>0</v>
      </c>
      <c r="O19" s="1481">
        <f t="shared" si="3"/>
        <v>0</v>
      </c>
      <c r="P19" s="1427">
        <f t="shared" si="4"/>
        <v>0.32827600000000001</v>
      </c>
    </row>
    <row r="20" spans="1:16" ht="62" outlineLevel="1" x14ac:dyDescent="0.25">
      <c r="A20" s="1482" t="s">
        <v>1607</v>
      </c>
      <c r="B20" s="1483" t="s">
        <v>2426</v>
      </c>
      <c r="C20" s="1482" t="s">
        <v>1597</v>
      </c>
      <c r="D20" s="1390">
        <v>40507</v>
      </c>
      <c r="E20" s="560">
        <v>2</v>
      </c>
      <c r="F20" s="1480">
        <v>2.0468280000000001</v>
      </c>
      <c r="G20" s="1480">
        <v>2.0468280000000001</v>
      </c>
      <c r="H20" s="1480">
        <f t="shared" si="0"/>
        <v>0</v>
      </c>
      <c r="I20" s="1480">
        <v>0</v>
      </c>
      <c r="J20" s="1480">
        <v>0</v>
      </c>
      <c r="K20" s="1480"/>
      <c r="L20" s="1480"/>
      <c r="M20" s="1480">
        <f t="shared" si="1"/>
        <v>0</v>
      </c>
      <c r="N20" s="1480">
        <f t="shared" si="2"/>
        <v>0</v>
      </c>
      <c r="O20" s="1481">
        <f t="shared" si="3"/>
        <v>0</v>
      </c>
      <c r="P20" s="1427">
        <f t="shared" si="4"/>
        <v>0</v>
      </c>
    </row>
    <row r="21" spans="1:16" ht="15.5" outlineLevel="1" x14ac:dyDescent="0.25">
      <c r="A21" s="1482">
        <v>1.1100000000000001</v>
      </c>
      <c r="B21" s="1483" t="s">
        <v>1609</v>
      </c>
      <c r="C21" s="1482" t="s">
        <v>1597</v>
      </c>
      <c r="D21" s="1390">
        <v>40507</v>
      </c>
      <c r="E21" s="560">
        <v>0</v>
      </c>
      <c r="F21" s="1480">
        <v>0</v>
      </c>
      <c r="G21" s="1480">
        <v>0</v>
      </c>
      <c r="H21" s="1480">
        <f t="shared" si="0"/>
        <v>0</v>
      </c>
      <c r="I21" s="1480">
        <v>0</v>
      </c>
      <c r="J21" s="1480">
        <v>0</v>
      </c>
      <c r="K21" s="1480"/>
      <c r="L21" s="1480"/>
      <c r="M21" s="1480">
        <f t="shared" si="1"/>
        <v>0</v>
      </c>
      <c r="N21" s="1480">
        <f t="shared" si="2"/>
        <v>0</v>
      </c>
      <c r="O21" s="1481">
        <f t="shared" si="3"/>
        <v>0</v>
      </c>
      <c r="P21" s="1427">
        <f t="shared" si="4"/>
        <v>0</v>
      </c>
    </row>
    <row r="22" spans="1:16" ht="31" outlineLevel="1" x14ac:dyDescent="0.25">
      <c r="A22" s="1482">
        <v>1.1200000000000001</v>
      </c>
      <c r="B22" s="1483" t="s">
        <v>1610</v>
      </c>
      <c r="C22" s="1482" t="s">
        <v>1597</v>
      </c>
      <c r="D22" s="1390">
        <v>40507</v>
      </c>
      <c r="E22" s="560">
        <v>2.9129999999999998</v>
      </c>
      <c r="F22" s="1480">
        <v>1.6187437680000003</v>
      </c>
      <c r="G22" s="1480">
        <v>1.6187437679999999</v>
      </c>
      <c r="H22" s="1480">
        <f t="shared" si="0"/>
        <v>0</v>
      </c>
      <c r="I22" s="1480">
        <v>0</v>
      </c>
      <c r="J22" s="1480">
        <v>0</v>
      </c>
      <c r="K22" s="1480"/>
      <c r="L22" s="1480"/>
      <c r="M22" s="1480">
        <f t="shared" si="1"/>
        <v>0</v>
      </c>
      <c r="N22" s="1480">
        <f t="shared" si="2"/>
        <v>0</v>
      </c>
      <c r="O22" s="1481">
        <f t="shared" si="3"/>
        <v>0</v>
      </c>
      <c r="P22" s="1427">
        <f t="shared" si="4"/>
        <v>0</v>
      </c>
    </row>
    <row r="23" spans="1:16" ht="31" outlineLevel="1" x14ac:dyDescent="0.25">
      <c r="A23" s="1482">
        <v>1.1299999999999999</v>
      </c>
      <c r="B23" s="1483" t="s">
        <v>1611</v>
      </c>
      <c r="C23" s="1482" t="s">
        <v>1597</v>
      </c>
      <c r="D23" s="1390">
        <v>40507</v>
      </c>
      <c r="E23" s="560">
        <v>15</v>
      </c>
      <c r="F23" s="1480">
        <v>14.851620063999999</v>
      </c>
      <c r="G23" s="1480">
        <v>14.851620063999999</v>
      </c>
      <c r="H23" s="1480">
        <f t="shared" si="0"/>
        <v>0</v>
      </c>
      <c r="I23" s="1480">
        <v>3.899999967416079E-8</v>
      </c>
      <c r="J23" s="1480">
        <v>3.8999999999999998E-8</v>
      </c>
      <c r="K23" s="1480"/>
      <c r="L23" s="1480"/>
      <c r="M23" s="1480">
        <f t="shared" si="1"/>
        <v>3.8999999999999998E-8</v>
      </c>
      <c r="N23" s="1480">
        <f t="shared" si="2"/>
        <v>-3.2583920833585052E-16</v>
      </c>
      <c r="O23" s="1481">
        <f t="shared" si="3"/>
        <v>3.8999999999999998E-8</v>
      </c>
      <c r="P23" s="1427">
        <f t="shared" si="4"/>
        <v>0</v>
      </c>
    </row>
    <row r="24" spans="1:16" ht="31" outlineLevel="1" x14ac:dyDescent="0.25">
      <c r="A24" s="1482">
        <v>1.1399999999999999</v>
      </c>
      <c r="B24" s="1483" t="s">
        <v>1612</v>
      </c>
      <c r="C24" s="1482" t="s">
        <v>1597</v>
      </c>
      <c r="D24" s="1390">
        <v>40507</v>
      </c>
      <c r="E24" s="560">
        <v>4.6040000000000001</v>
      </c>
      <c r="F24" s="1480">
        <v>8.9775599999999997E-2</v>
      </c>
      <c r="G24" s="1480">
        <v>8.9775599999999997E-2</v>
      </c>
      <c r="H24" s="1480">
        <f t="shared" si="0"/>
        <v>0</v>
      </c>
      <c r="I24" s="1480">
        <v>0</v>
      </c>
      <c r="J24" s="1480">
        <v>0</v>
      </c>
      <c r="K24" s="1480"/>
      <c r="L24" s="1480"/>
      <c r="M24" s="1480">
        <f t="shared" si="1"/>
        <v>0</v>
      </c>
      <c r="N24" s="1480">
        <f t="shared" si="2"/>
        <v>0</v>
      </c>
      <c r="O24" s="1481">
        <f t="shared" si="3"/>
        <v>0</v>
      </c>
      <c r="P24" s="1427">
        <f t="shared" si="4"/>
        <v>0</v>
      </c>
    </row>
    <row r="25" spans="1:16" ht="31" outlineLevel="1" x14ac:dyDescent="0.25">
      <c r="A25" s="1482">
        <v>1.1499999999999999</v>
      </c>
      <c r="B25" s="1483" t="s">
        <v>1613</v>
      </c>
      <c r="C25" s="1482" t="s">
        <v>1597</v>
      </c>
      <c r="D25" s="1390">
        <v>40507</v>
      </c>
      <c r="E25" s="560">
        <v>10.5</v>
      </c>
      <c r="F25" s="1480">
        <v>0</v>
      </c>
      <c r="G25" s="1480">
        <v>0</v>
      </c>
      <c r="H25" s="1480">
        <f t="shared" si="0"/>
        <v>0</v>
      </c>
      <c r="I25" s="1480">
        <v>0</v>
      </c>
      <c r="J25" s="1480">
        <v>0</v>
      </c>
      <c r="K25" s="1480"/>
      <c r="L25" s="1480"/>
      <c r="M25" s="1480">
        <f t="shared" si="1"/>
        <v>0</v>
      </c>
      <c r="N25" s="1480">
        <f t="shared" si="2"/>
        <v>0</v>
      </c>
      <c r="O25" s="1481">
        <f t="shared" si="3"/>
        <v>0</v>
      </c>
      <c r="P25" s="1427">
        <f t="shared" si="4"/>
        <v>0</v>
      </c>
    </row>
    <row r="26" spans="1:16" ht="31" outlineLevel="1" x14ac:dyDescent="0.25">
      <c r="A26" s="1482">
        <v>1.1599999999999999</v>
      </c>
      <c r="B26" s="1483" t="s">
        <v>1614</v>
      </c>
      <c r="C26" s="1482" t="s">
        <v>1597</v>
      </c>
      <c r="D26" s="1390">
        <v>40507</v>
      </c>
      <c r="E26" s="560">
        <v>4.91</v>
      </c>
      <c r="F26" s="1480">
        <v>3.543640452</v>
      </c>
      <c r="G26" s="1480">
        <v>3.543640452</v>
      </c>
      <c r="H26" s="1480">
        <f t="shared" si="0"/>
        <v>0</v>
      </c>
      <c r="I26" s="1480">
        <v>0</v>
      </c>
      <c r="J26" s="1480">
        <v>0</v>
      </c>
      <c r="K26" s="1480"/>
      <c r="L26" s="1480"/>
      <c r="M26" s="1480">
        <f t="shared" si="1"/>
        <v>0</v>
      </c>
      <c r="N26" s="1480">
        <f t="shared" si="2"/>
        <v>0</v>
      </c>
      <c r="O26" s="1481">
        <f t="shared" si="3"/>
        <v>0</v>
      </c>
      <c r="P26" s="1427">
        <f t="shared" si="4"/>
        <v>0</v>
      </c>
    </row>
    <row r="27" spans="1:16" ht="15.5" outlineLevel="1" x14ac:dyDescent="0.25">
      <c r="A27" s="1482">
        <v>0</v>
      </c>
      <c r="B27" s="1483" t="s">
        <v>414</v>
      </c>
      <c r="C27" s="1482" t="s">
        <v>1597</v>
      </c>
      <c r="D27" s="1390">
        <v>40507</v>
      </c>
      <c r="E27" s="560">
        <v>10.09</v>
      </c>
      <c r="F27" s="1480">
        <v>0</v>
      </c>
      <c r="G27" s="1480">
        <v>0</v>
      </c>
      <c r="H27" s="1480">
        <f t="shared" si="0"/>
        <v>0</v>
      </c>
      <c r="I27" s="1480">
        <v>0</v>
      </c>
      <c r="J27" s="1480">
        <v>0</v>
      </c>
      <c r="K27" s="1480"/>
      <c r="L27" s="1480"/>
      <c r="M27" s="1480">
        <f t="shared" si="1"/>
        <v>0</v>
      </c>
      <c r="N27" s="1480">
        <f t="shared" si="2"/>
        <v>0</v>
      </c>
      <c r="O27" s="1481">
        <f t="shared" si="3"/>
        <v>0</v>
      </c>
      <c r="P27" s="1427">
        <f t="shared" si="4"/>
        <v>0</v>
      </c>
    </row>
    <row r="28" spans="1:16" ht="15.5" outlineLevel="1" x14ac:dyDescent="0.25">
      <c r="A28" s="1477">
        <v>2</v>
      </c>
      <c r="B28" s="1478" t="s">
        <v>1615</v>
      </c>
      <c r="C28" s="1486" t="s">
        <v>1616</v>
      </c>
      <c r="D28" s="1487">
        <v>40730</v>
      </c>
      <c r="E28" s="1383">
        <v>20.990099999999998</v>
      </c>
      <c r="F28" s="1480">
        <v>0</v>
      </c>
      <c r="G28" s="1480">
        <v>0</v>
      </c>
      <c r="H28" s="1480">
        <f t="shared" si="0"/>
        <v>0</v>
      </c>
      <c r="I28" s="1480">
        <v>0</v>
      </c>
      <c r="J28" s="1480">
        <v>0</v>
      </c>
      <c r="K28" s="1480"/>
      <c r="L28" s="1480"/>
      <c r="M28" s="1480">
        <f t="shared" si="1"/>
        <v>0</v>
      </c>
      <c r="N28" s="1480">
        <f t="shared" si="2"/>
        <v>0</v>
      </c>
      <c r="O28" s="1481">
        <f t="shared" si="3"/>
        <v>0</v>
      </c>
      <c r="P28" s="1427">
        <f t="shared" si="4"/>
        <v>0</v>
      </c>
    </row>
    <row r="29" spans="1:16" ht="46.5" outlineLevel="1" x14ac:dyDescent="0.25">
      <c r="A29" s="1482">
        <v>2.1</v>
      </c>
      <c r="B29" s="1483" t="s">
        <v>1617</v>
      </c>
      <c r="C29" s="1482" t="s">
        <v>1616</v>
      </c>
      <c r="D29" s="1390">
        <v>40730</v>
      </c>
      <c r="E29" s="560">
        <v>1.0398000000000001</v>
      </c>
      <c r="F29" s="1480">
        <v>0.70700000000000007</v>
      </c>
      <c r="G29" s="1480">
        <v>0.70700000000000007</v>
      </c>
      <c r="H29" s="1480">
        <f t="shared" si="0"/>
        <v>0</v>
      </c>
      <c r="I29" s="1480">
        <v>0</v>
      </c>
      <c r="J29" s="1480">
        <v>0</v>
      </c>
      <c r="K29" s="1480"/>
      <c r="L29" s="1480"/>
      <c r="M29" s="1480">
        <f t="shared" si="1"/>
        <v>0</v>
      </c>
      <c r="N29" s="1480">
        <f t="shared" si="2"/>
        <v>0</v>
      </c>
      <c r="O29" s="1481">
        <f t="shared" si="3"/>
        <v>0</v>
      </c>
      <c r="P29" s="1427">
        <f t="shared" si="4"/>
        <v>0</v>
      </c>
    </row>
    <row r="30" spans="1:16" ht="31" outlineLevel="1" x14ac:dyDescent="0.25">
      <c r="A30" s="1482">
        <v>2.2000000000000002</v>
      </c>
      <c r="B30" s="1483" t="s">
        <v>1618</v>
      </c>
      <c r="C30" s="1482" t="s">
        <v>1616</v>
      </c>
      <c r="D30" s="1390">
        <v>40730</v>
      </c>
      <c r="E30" s="560">
        <v>3.1379999999999999</v>
      </c>
      <c r="F30" s="1480">
        <v>0</v>
      </c>
      <c r="G30" s="1480">
        <v>0</v>
      </c>
      <c r="H30" s="1480">
        <f t="shared" si="0"/>
        <v>0</v>
      </c>
      <c r="I30" s="1480">
        <v>0</v>
      </c>
      <c r="J30" s="1480">
        <v>0</v>
      </c>
      <c r="K30" s="1480"/>
      <c r="L30" s="1480"/>
      <c r="M30" s="1480">
        <f t="shared" si="1"/>
        <v>0</v>
      </c>
      <c r="N30" s="1480">
        <f t="shared" si="2"/>
        <v>0</v>
      </c>
      <c r="O30" s="1481">
        <f t="shared" si="3"/>
        <v>0</v>
      </c>
      <c r="P30" s="1427">
        <f t="shared" si="4"/>
        <v>0</v>
      </c>
    </row>
    <row r="31" spans="1:16" ht="31" outlineLevel="1" x14ac:dyDescent="0.25">
      <c r="A31" s="1482">
        <v>2.2999999999999998</v>
      </c>
      <c r="B31" s="1483" t="s">
        <v>1619</v>
      </c>
      <c r="C31" s="1482" t="s">
        <v>1616</v>
      </c>
      <c r="D31" s="1390">
        <v>40730</v>
      </c>
      <c r="E31" s="560">
        <v>3.0657000000000001</v>
      </c>
      <c r="F31" s="1480">
        <v>1.7642598999999999</v>
      </c>
      <c r="G31" s="1480">
        <v>1.7642598999999999</v>
      </c>
      <c r="H31" s="1480">
        <f t="shared" si="0"/>
        <v>0</v>
      </c>
      <c r="I31" s="1480">
        <v>0</v>
      </c>
      <c r="J31" s="1480">
        <v>0</v>
      </c>
      <c r="K31" s="1480"/>
      <c r="L31" s="1480"/>
      <c r="M31" s="1480">
        <f t="shared" si="1"/>
        <v>0</v>
      </c>
      <c r="N31" s="1480">
        <f t="shared" si="2"/>
        <v>0</v>
      </c>
      <c r="O31" s="1481">
        <f t="shared" si="3"/>
        <v>0</v>
      </c>
      <c r="P31" s="1427">
        <f t="shared" si="4"/>
        <v>0</v>
      </c>
    </row>
    <row r="32" spans="1:16" ht="31" outlineLevel="1" x14ac:dyDescent="0.25">
      <c r="A32" s="1482">
        <v>2.4</v>
      </c>
      <c r="B32" s="1483" t="s">
        <v>1620</v>
      </c>
      <c r="C32" s="1488" t="s">
        <v>1616</v>
      </c>
      <c r="D32" s="1413">
        <v>40730</v>
      </c>
      <c r="E32" s="560">
        <v>2.1100000000000001E-2</v>
      </c>
      <c r="F32" s="1480">
        <v>0</v>
      </c>
      <c r="G32" s="1480">
        <v>0</v>
      </c>
      <c r="H32" s="1480">
        <f t="shared" si="0"/>
        <v>0</v>
      </c>
      <c r="I32" s="1480">
        <v>0</v>
      </c>
      <c r="J32" s="1480">
        <v>0</v>
      </c>
      <c r="K32" s="1480"/>
      <c r="L32" s="1480"/>
      <c r="M32" s="1480">
        <f t="shared" si="1"/>
        <v>0</v>
      </c>
      <c r="N32" s="1480">
        <f t="shared" si="2"/>
        <v>0</v>
      </c>
      <c r="O32" s="1481">
        <f t="shared" si="3"/>
        <v>0</v>
      </c>
      <c r="P32" s="1427">
        <f t="shared" si="4"/>
        <v>0</v>
      </c>
    </row>
    <row r="33" spans="1:16" ht="31" outlineLevel="1" x14ac:dyDescent="0.25">
      <c r="A33" s="1482">
        <v>2.5</v>
      </c>
      <c r="B33" s="1483" t="s">
        <v>1621</v>
      </c>
      <c r="C33" s="1482" t="s">
        <v>1616</v>
      </c>
      <c r="D33" s="1390">
        <v>40730</v>
      </c>
      <c r="E33" s="560">
        <v>0.49540000000000001</v>
      </c>
      <c r="F33" s="1480">
        <v>0.29783999999999999</v>
      </c>
      <c r="G33" s="1480">
        <v>0.29783999999999999</v>
      </c>
      <c r="H33" s="1480">
        <f t="shared" si="0"/>
        <v>0</v>
      </c>
      <c r="I33" s="1480">
        <v>0</v>
      </c>
      <c r="J33" s="1480">
        <v>0</v>
      </c>
      <c r="K33" s="1480"/>
      <c r="L33" s="1480"/>
      <c r="M33" s="1480">
        <f t="shared" si="1"/>
        <v>0</v>
      </c>
      <c r="N33" s="1480">
        <f t="shared" si="2"/>
        <v>0</v>
      </c>
      <c r="O33" s="1481">
        <f t="shared" si="3"/>
        <v>0</v>
      </c>
      <c r="P33" s="1427">
        <f t="shared" si="4"/>
        <v>0</v>
      </c>
    </row>
    <row r="34" spans="1:16" ht="15.5" outlineLevel="1" x14ac:dyDescent="0.25">
      <c r="A34" s="1482">
        <v>2.6</v>
      </c>
      <c r="B34" s="1483" t="s">
        <v>1622</v>
      </c>
      <c r="C34" s="1482" t="s">
        <v>1616</v>
      </c>
      <c r="D34" s="1390">
        <v>40730</v>
      </c>
      <c r="E34" s="560">
        <v>3.3195999999999999</v>
      </c>
      <c r="F34" s="1480">
        <v>0</v>
      </c>
      <c r="G34" s="1480">
        <v>0</v>
      </c>
      <c r="H34" s="1480">
        <f t="shared" si="0"/>
        <v>0</v>
      </c>
      <c r="I34" s="1480">
        <v>0</v>
      </c>
      <c r="J34" s="1480">
        <v>0</v>
      </c>
      <c r="K34" s="1480"/>
      <c r="L34" s="1480"/>
      <c r="M34" s="1480">
        <f t="shared" si="1"/>
        <v>0</v>
      </c>
      <c r="N34" s="1480">
        <f t="shared" si="2"/>
        <v>0</v>
      </c>
      <c r="O34" s="1481">
        <f t="shared" si="3"/>
        <v>0</v>
      </c>
      <c r="P34" s="1427">
        <f t="shared" si="4"/>
        <v>0</v>
      </c>
    </row>
    <row r="35" spans="1:16" ht="15.5" outlineLevel="1" x14ac:dyDescent="0.25">
      <c r="A35" s="1482">
        <v>2.7</v>
      </c>
      <c r="B35" s="1483" t="s">
        <v>1623</v>
      </c>
      <c r="C35" s="1482" t="s">
        <v>1616</v>
      </c>
      <c r="D35" s="1390">
        <v>40730</v>
      </c>
      <c r="E35" s="560">
        <v>4.5396000000000001</v>
      </c>
      <c r="F35" s="1480">
        <v>0.19084200000000001</v>
      </c>
      <c r="G35" s="1480">
        <v>0.19084200000000001</v>
      </c>
      <c r="H35" s="1480">
        <f t="shared" si="0"/>
        <v>0</v>
      </c>
      <c r="I35" s="1480">
        <v>0</v>
      </c>
      <c r="J35" s="1480">
        <v>0</v>
      </c>
      <c r="K35" s="1480"/>
      <c r="L35" s="1480"/>
      <c r="M35" s="1480">
        <f t="shared" si="1"/>
        <v>0</v>
      </c>
      <c r="N35" s="1480">
        <f t="shared" si="2"/>
        <v>0</v>
      </c>
      <c r="O35" s="1481">
        <f t="shared" si="3"/>
        <v>0</v>
      </c>
      <c r="P35" s="1427">
        <f t="shared" si="4"/>
        <v>0</v>
      </c>
    </row>
    <row r="36" spans="1:16" ht="15.5" outlineLevel="1" x14ac:dyDescent="0.25">
      <c r="A36" s="1482">
        <v>2.8</v>
      </c>
      <c r="B36" s="1483" t="s">
        <v>1624</v>
      </c>
      <c r="C36" s="1482" t="s">
        <v>1616</v>
      </c>
      <c r="D36" s="1390">
        <v>40730</v>
      </c>
      <c r="E36" s="560">
        <v>2.5285000000000002</v>
      </c>
      <c r="F36" s="1480">
        <v>0</v>
      </c>
      <c r="G36" s="1480">
        <v>0</v>
      </c>
      <c r="H36" s="1480">
        <f t="shared" si="0"/>
        <v>0</v>
      </c>
      <c r="I36" s="1480">
        <v>0</v>
      </c>
      <c r="J36" s="1480">
        <v>0</v>
      </c>
      <c r="K36" s="1480"/>
      <c r="L36" s="1480"/>
      <c r="M36" s="1480">
        <f t="shared" si="1"/>
        <v>0</v>
      </c>
      <c r="N36" s="1480">
        <f t="shared" si="2"/>
        <v>0</v>
      </c>
      <c r="O36" s="1481">
        <f t="shared" si="3"/>
        <v>0</v>
      </c>
      <c r="P36" s="1427">
        <f t="shared" si="4"/>
        <v>0</v>
      </c>
    </row>
    <row r="37" spans="1:16" ht="15.5" outlineLevel="1" x14ac:dyDescent="0.25">
      <c r="A37" s="1482">
        <v>2.9</v>
      </c>
      <c r="B37" s="1483" t="s">
        <v>1625</v>
      </c>
      <c r="C37" s="1482" t="s">
        <v>1616</v>
      </c>
      <c r="D37" s="1390">
        <v>40730</v>
      </c>
      <c r="E37" s="560">
        <v>0.1225</v>
      </c>
      <c r="F37" s="1480">
        <v>0</v>
      </c>
      <c r="G37" s="1480">
        <v>0</v>
      </c>
      <c r="H37" s="1480">
        <f t="shared" si="0"/>
        <v>0</v>
      </c>
      <c r="I37" s="1480">
        <v>0</v>
      </c>
      <c r="J37" s="1480">
        <v>0</v>
      </c>
      <c r="K37" s="1480"/>
      <c r="L37" s="1480"/>
      <c r="M37" s="1480">
        <f t="shared" si="1"/>
        <v>0</v>
      </c>
      <c r="N37" s="1480">
        <f t="shared" si="2"/>
        <v>0</v>
      </c>
      <c r="O37" s="1481">
        <f t="shared" si="3"/>
        <v>0</v>
      </c>
      <c r="P37" s="1427">
        <f t="shared" si="4"/>
        <v>0</v>
      </c>
    </row>
    <row r="38" spans="1:16" ht="15.5" outlineLevel="1" x14ac:dyDescent="0.25">
      <c r="A38" s="1482" t="s">
        <v>1626</v>
      </c>
      <c r="B38" s="1483" t="s">
        <v>1627</v>
      </c>
      <c r="C38" s="1482" t="s">
        <v>1616</v>
      </c>
      <c r="D38" s="1390">
        <v>40730</v>
      </c>
      <c r="E38" s="560">
        <v>0.5333</v>
      </c>
      <c r="F38" s="1480">
        <v>0</v>
      </c>
      <c r="G38" s="1480">
        <v>0</v>
      </c>
      <c r="H38" s="1480">
        <f t="shared" si="0"/>
        <v>0</v>
      </c>
      <c r="I38" s="1480">
        <v>0</v>
      </c>
      <c r="J38" s="1480">
        <v>0</v>
      </c>
      <c r="K38" s="1480"/>
      <c r="L38" s="1480"/>
      <c r="M38" s="1480">
        <f t="shared" si="1"/>
        <v>0</v>
      </c>
      <c r="N38" s="1480">
        <f t="shared" si="2"/>
        <v>0</v>
      </c>
      <c r="O38" s="1481">
        <f t="shared" si="3"/>
        <v>0</v>
      </c>
      <c r="P38" s="1427">
        <f t="shared" si="4"/>
        <v>0</v>
      </c>
    </row>
    <row r="39" spans="1:16" ht="15.5" outlineLevel="1" x14ac:dyDescent="0.25">
      <c r="A39" s="1482">
        <v>2.11</v>
      </c>
      <c r="B39" s="1483" t="s">
        <v>1628</v>
      </c>
      <c r="C39" s="1482" t="s">
        <v>1616</v>
      </c>
      <c r="D39" s="1390">
        <v>40730</v>
      </c>
      <c r="E39" s="560">
        <v>1.0216000000000001</v>
      </c>
      <c r="F39" s="1480">
        <v>0</v>
      </c>
      <c r="G39" s="1480">
        <v>0</v>
      </c>
      <c r="H39" s="1480">
        <f t="shared" si="0"/>
        <v>0</v>
      </c>
      <c r="I39" s="1480">
        <v>0</v>
      </c>
      <c r="J39" s="1480">
        <v>0</v>
      </c>
      <c r="K39" s="1480"/>
      <c r="L39" s="1480"/>
      <c r="M39" s="1480">
        <f t="shared" si="1"/>
        <v>0</v>
      </c>
      <c r="N39" s="1480">
        <f t="shared" si="2"/>
        <v>0</v>
      </c>
      <c r="O39" s="1481">
        <f t="shared" si="3"/>
        <v>0</v>
      </c>
      <c r="P39" s="1427">
        <f t="shared" si="4"/>
        <v>0</v>
      </c>
    </row>
    <row r="40" spans="1:16" ht="15.5" outlineLevel="1" x14ac:dyDescent="0.25">
      <c r="A40" s="1482">
        <v>0</v>
      </c>
      <c r="B40" s="1483" t="s">
        <v>414</v>
      </c>
      <c r="C40" s="1482" t="s">
        <v>1616</v>
      </c>
      <c r="D40" s="1390">
        <v>40730</v>
      </c>
      <c r="E40" s="560">
        <v>1.165</v>
      </c>
      <c r="F40" s="1480">
        <v>0</v>
      </c>
      <c r="G40" s="1480">
        <v>0</v>
      </c>
      <c r="H40" s="1480">
        <f t="shared" si="0"/>
        <v>0</v>
      </c>
      <c r="I40" s="1480">
        <v>0</v>
      </c>
      <c r="J40" s="1480">
        <v>0</v>
      </c>
      <c r="K40" s="1480"/>
      <c r="L40" s="1480"/>
      <c r="M40" s="1480">
        <f t="shared" si="1"/>
        <v>0</v>
      </c>
      <c r="N40" s="1480">
        <f t="shared" si="2"/>
        <v>0</v>
      </c>
      <c r="O40" s="1481">
        <f t="shared" si="3"/>
        <v>0</v>
      </c>
      <c r="P40" s="1427">
        <f t="shared" si="4"/>
        <v>0</v>
      </c>
    </row>
    <row r="41" spans="1:16" ht="15.5" outlineLevel="1" x14ac:dyDescent="0.25">
      <c r="A41" s="1489">
        <v>3</v>
      </c>
      <c r="B41" s="1490" t="s">
        <v>1629</v>
      </c>
      <c r="C41" s="1477" t="s">
        <v>1630</v>
      </c>
      <c r="D41" s="1479">
        <v>40731</v>
      </c>
      <c r="E41" s="1383">
        <v>53.989999999999995</v>
      </c>
      <c r="F41" s="1480">
        <v>0</v>
      </c>
      <c r="G41" s="1480">
        <v>0</v>
      </c>
      <c r="H41" s="1480">
        <f t="shared" si="0"/>
        <v>0</v>
      </c>
      <c r="I41" s="1480">
        <v>0</v>
      </c>
      <c r="J41" s="1480">
        <v>0</v>
      </c>
      <c r="K41" s="1480"/>
      <c r="L41" s="1480"/>
      <c r="M41" s="1480">
        <f t="shared" si="1"/>
        <v>0</v>
      </c>
      <c r="N41" s="1480">
        <f t="shared" si="2"/>
        <v>0</v>
      </c>
      <c r="O41" s="1481">
        <f t="shared" si="3"/>
        <v>0</v>
      </c>
      <c r="P41" s="1427">
        <f t="shared" si="4"/>
        <v>0</v>
      </c>
    </row>
    <row r="42" spans="1:16" ht="31" outlineLevel="1" x14ac:dyDescent="0.25">
      <c r="A42" s="1484">
        <v>3.1</v>
      </c>
      <c r="B42" s="1485" t="s">
        <v>2427</v>
      </c>
      <c r="C42" s="1482" t="s">
        <v>1630</v>
      </c>
      <c r="D42" s="1390">
        <v>40731</v>
      </c>
      <c r="E42" s="560">
        <v>11.7</v>
      </c>
      <c r="F42" s="1480">
        <v>5.097227577</v>
      </c>
      <c r="G42" s="1480">
        <v>5.0972815770000004</v>
      </c>
      <c r="H42" s="1480">
        <f t="shared" si="0"/>
        <v>-5.4000000000442583E-5</v>
      </c>
      <c r="I42" s="1480">
        <v>0.64944440000000014</v>
      </c>
      <c r="J42" s="1480">
        <v>0.64939039999999992</v>
      </c>
      <c r="K42" s="1480"/>
      <c r="L42" s="1480"/>
      <c r="M42" s="1480">
        <f t="shared" si="1"/>
        <v>0.64939039999999992</v>
      </c>
      <c r="N42" s="1480">
        <f t="shared" si="2"/>
        <v>0</v>
      </c>
      <c r="O42" s="1481">
        <f t="shared" si="3"/>
        <v>0.64939039999999992</v>
      </c>
      <c r="P42" s="1427">
        <f t="shared" si="4"/>
        <v>0</v>
      </c>
    </row>
    <row r="43" spans="1:16" ht="31" outlineLevel="1" x14ac:dyDescent="0.25">
      <c r="A43" s="1484">
        <v>3.2</v>
      </c>
      <c r="B43" s="1485" t="s">
        <v>1632</v>
      </c>
      <c r="C43" s="1482" t="s">
        <v>1630</v>
      </c>
      <c r="D43" s="1390">
        <v>40731</v>
      </c>
      <c r="E43" s="560">
        <v>15.6</v>
      </c>
      <c r="F43" s="1480">
        <v>5.0496984889999998</v>
      </c>
      <c r="G43" s="1480">
        <v>4.9279224890000002</v>
      </c>
      <c r="H43" s="1480">
        <f t="shared" si="0"/>
        <v>0.12177599999999966</v>
      </c>
      <c r="I43" s="1480">
        <v>1.1781405760000006</v>
      </c>
      <c r="J43" s="1480">
        <v>1.299916576</v>
      </c>
      <c r="K43" s="1480"/>
      <c r="L43" s="1480"/>
      <c r="M43" s="1480">
        <f t="shared" si="1"/>
        <v>1.299916576</v>
      </c>
      <c r="N43" s="1480">
        <f t="shared" si="2"/>
        <v>0</v>
      </c>
      <c r="O43" s="1481">
        <f t="shared" si="3"/>
        <v>1.299916576</v>
      </c>
      <c r="P43" s="1427">
        <f t="shared" si="4"/>
        <v>0</v>
      </c>
    </row>
    <row r="44" spans="1:16" ht="31" outlineLevel="1" x14ac:dyDescent="0.25">
      <c r="A44" s="1484">
        <v>3.3</v>
      </c>
      <c r="B44" s="1485" t="s">
        <v>1633</v>
      </c>
      <c r="C44" s="1482" t="s">
        <v>1630</v>
      </c>
      <c r="D44" s="1390">
        <v>40731</v>
      </c>
      <c r="E44" s="560">
        <v>16.02</v>
      </c>
      <c r="F44" s="1480">
        <v>4.5200877249999998</v>
      </c>
      <c r="G44" s="1480">
        <v>4.4155109210000001</v>
      </c>
      <c r="H44" s="1480">
        <f t="shared" si="0"/>
        <v>0.10457680399999969</v>
      </c>
      <c r="I44" s="1480">
        <v>0.66976800000000036</v>
      </c>
      <c r="J44" s="1480">
        <v>0.66976800000000003</v>
      </c>
      <c r="K44" s="1480"/>
      <c r="L44" s="1480"/>
      <c r="M44" s="1480">
        <f t="shared" si="1"/>
        <v>0.66976800000000003</v>
      </c>
      <c r="N44" s="1480">
        <f t="shared" si="2"/>
        <v>0.10457680400000002</v>
      </c>
      <c r="O44" s="1481">
        <f t="shared" si="3"/>
        <v>0.66976800000000003</v>
      </c>
      <c r="P44" s="1427">
        <f t="shared" si="4"/>
        <v>0</v>
      </c>
    </row>
    <row r="45" spans="1:16" ht="31" outlineLevel="1" x14ac:dyDescent="0.25">
      <c r="A45" s="1484">
        <v>3.4</v>
      </c>
      <c r="B45" s="1485" t="s">
        <v>1634</v>
      </c>
      <c r="C45" s="1482" t="s">
        <v>1630</v>
      </c>
      <c r="D45" s="1390">
        <v>40731</v>
      </c>
      <c r="E45" s="560">
        <v>0.95</v>
      </c>
      <c r="F45" s="1480">
        <v>0.92199359999999997</v>
      </c>
      <c r="G45" s="1480">
        <v>0.92199359999999997</v>
      </c>
      <c r="H45" s="1480">
        <f t="shared" si="0"/>
        <v>0</v>
      </c>
      <c r="I45" s="1480">
        <v>0</v>
      </c>
      <c r="J45" s="1480">
        <v>0</v>
      </c>
      <c r="K45" s="1480"/>
      <c r="L45" s="1480"/>
      <c r="M45" s="1480">
        <f t="shared" si="1"/>
        <v>0</v>
      </c>
      <c r="N45" s="1480">
        <f t="shared" si="2"/>
        <v>0</v>
      </c>
      <c r="O45" s="1481">
        <f t="shared" si="3"/>
        <v>0</v>
      </c>
      <c r="P45" s="1427">
        <f t="shared" si="4"/>
        <v>0</v>
      </c>
    </row>
    <row r="46" spans="1:16" ht="15.5" outlineLevel="1" x14ac:dyDescent="0.25">
      <c r="A46" s="1484">
        <v>0</v>
      </c>
      <c r="B46" s="1485" t="s">
        <v>414</v>
      </c>
      <c r="C46" s="1482" t="s">
        <v>1630</v>
      </c>
      <c r="D46" s="1390">
        <v>40731</v>
      </c>
      <c r="E46" s="560">
        <v>9.7200000000000006</v>
      </c>
      <c r="F46" s="1480">
        <v>0</v>
      </c>
      <c r="G46" s="1480">
        <v>0</v>
      </c>
      <c r="H46" s="1480">
        <f t="shared" si="0"/>
        <v>0</v>
      </c>
      <c r="I46" s="1480">
        <v>0</v>
      </c>
      <c r="J46" s="1480">
        <v>0</v>
      </c>
      <c r="K46" s="1480"/>
      <c r="L46" s="1480"/>
      <c r="M46" s="1480">
        <f t="shared" si="1"/>
        <v>0</v>
      </c>
      <c r="N46" s="1480">
        <f t="shared" si="2"/>
        <v>0</v>
      </c>
      <c r="O46" s="1481">
        <f t="shared" si="3"/>
        <v>0</v>
      </c>
      <c r="P46" s="1427">
        <f t="shared" si="4"/>
        <v>0</v>
      </c>
    </row>
    <row r="47" spans="1:16" ht="15.5" outlineLevel="1" x14ac:dyDescent="0.25">
      <c r="A47" s="1486">
        <v>4</v>
      </c>
      <c r="B47" s="1491" t="s">
        <v>1635</v>
      </c>
      <c r="C47" s="1486" t="s">
        <v>1636</v>
      </c>
      <c r="D47" s="1487">
        <v>40850</v>
      </c>
      <c r="E47" s="1383">
        <v>57.7</v>
      </c>
      <c r="F47" s="1480">
        <v>0</v>
      </c>
      <c r="G47" s="1480">
        <v>0</v>
      </c>
      <c r="H47" s="1480">
        <f t="shared" si="0"/>
        <v>0</v>
      </c>
      <c r="I47" s="1480">
        <v>0</v>
      </c>
      <c r="J47" s="1480">
        <v>0</v>
      </c>
      <c r="K47" s="1480"/>
      <c r="L47" s="1480"/>
      <c r="M47" s="1480">
        <f t="shared" si="1"/>
        <v>0</v>
      </c>
      <c r="N47" s="1480">
        <f t="shared" si="2"/>
        <v>0</v>
      </c>
      <c r="O47" s="1481">
        <f t="shared" si="3"/>
        <v>0</v>
      </c>
      <c r="P47" s="1427">
        <f t="shared" si="4"/>
        <v>0</v>
      </c>
    </row>
    <row r="48" spans="1:16" ht="15.5" outlineLevel="1" x14ac:dyDescent="0.25">
      <c r="A48" s="1488">
        <v>4.0999999999999996</v>
      </c>
      <c r="B48" s="1492" t="s">
        <v>1637</v>
      </c>
      <c r="C48" s="1488" t="s">
        <v>1636</v>
      </c>
      <c r="D48" s="1413">
        <v>40850</v>
      </c>
      <c r="E48" s="560">
        <v>26.1</v>
      </c>
      <c r="F48" s="1480">
        <v>0</v>
      </c>
      <c r="G48" s="1480">
        <v>0</v>
      </c>
      <c r="H48" s="1480">
        <f t="shared" si="0"/>
        <v>0</v>
      </c>
      <c r="I48" s="1480">
        <v>0</v>
      </c>
      <c r="J48" s="1480">
        <v>0</v>
      </c>
      <c r="K48" s="1480"/>
      <c r="L48" s="1480"/>
      <c r="M48" s="1480">
        <f t="shared" si="1"/>
        <v>0</v>
      </c>
      <c r="N48" s="1480">
        <f t="shared" si="2"/>
        <v>0</v>
      </c>
      <c r="O48" s="1481">
        <f t="shared" si="3"/>
        <v>0</v>
      </c>
      <c r="P48" s="1427">
        <f t="shared" si="4"/>
        <v>0</v>
      </c>
    </row>
    <row r="49" spans="1:16" ht="15.5" outlineLevel="1" x14ac:dyDescent="0.25">
      <c r="A49" s="1488">
        <v>4.2</v>
      </c>
      <c r="B49" s="1492" t="s">
        <v>1638</v>
      </c>
      <c r="C49" s="1488" t="s">
        <v>1636</v>
      </c>
      <c r="D49" s="1413">
        <v>40850</v>
      </c>
      <c r="E49" s="560">
        <v>26.1</v>
      </c>
      <c r="F49" s="1480">
        <v>0</v>
      </c>
      <c r="G49" s="1480">
        <v>0</v>
      </c>
      <c r="H49" s="1480">
        <f t="shared" si="0"/>
        <v>0</v>
      </c>
      <c r="I49" s="1480">
        <v>0</v>
      </c>
      <c r="J49" s="1480">
        <v>0</v>
      </c>
      <c r="K49" s="1480"/>
      <c r="L49" s="1480"/>
      <c r="M49" s="1480">
        <f t="shared" si="1"/>
        <v>0</v>
      </c>
      <c r="N49" s="1480">
        <f t="shared" si="2"/>
        <v>0</v>
      </c>
      <c r="O49" s="1481">
        <f t="shared" si="3"/>
        <v>0</v>
      </c>
      <c r="P49" s="1427">
        <f t="shared" si="4"/>
        <v>0</v>
      </c>
    </row>
    <row r="50" spans="1:16" ht="15.5" outlineLevel="1" x14ac:dyDescent="0.25">
      <c r="A50" s="1484">
        <v>0</v>
      </c>
      <c r="B50" s="1485" t="s">
        <v>414</v>
      </c>
      <c r="C50" s="1482" t="s">
        <v>1636</v>
      </c>
      <c r="D50" s="1390">
        <v>40850</v>
      </c>
      <c r="E50" s="560">
        <v>5.5</v>
      </c>
      <c r="F50" s="1480">
        <v>0</v>
      </c>
      <c r="G50" s="1480">
        <v>0</v>
      </c>
      <c r="H50" s="1480">
        <f t="shared" si="0"/>
        <v>0</v>
      </c>
      <c r="I50" s="1480">
        <v>0</v>
      </c>
      <c r="J50" s="1480">
        <v>0</v>
      </c>
      <c r="K50" s="1480"/>
      <c r="L50" s="1480"/>
      <c r="M50" s="1480">
        <f t="shared" si="1"/>
        <v>0</v>
      </c>
      <c r="N50" s="1480">
        <f t="shared" si="2"/>
        <v>0</v>
      </c>
      <c r="O50" s="1481">
        <f t="shared" si="3"/>
        <v>0</v>
      </c>
      <c r="P50" s="1427">
        <f t="shared" si="4"/>
        <v>0</v>
      </c>
    </row>
    <row r="51" spans="1:16" ht="31" outlineLevel="1" x14ac:dyDescent="0.25">
      <c r="A51" s="1477">
        <v>5</v>
      </c>
      <c r="B51" s="1478" t="s">
        <v>1639</v>
      </c>
      <c r="C51" s="1477" t="s">
        <v>1640</v>
      </c>
      <c r="D51" s="1479">
        <v>40911</v>
      </c>
      <c r="E51" s="1383">
        <v>229.4</v>
      </c>
      <c r="F51" s="1480">
        <v>0</v>
      </c>
      <c r="G51" s="1480">
        <v>0</v>
      </c>
      <c r="H51" s="1480">
        <f t="shared" si="0"/>
        <v>0</v>
      </c>
      <c r="I51" s="1480">
        <v>0</v>
      </c>
      <c r="J51" s="1480">
        <v>0</v>
      </c>
      <c r="K51" s="1480"/>
      <c r="L51" s="1480"/>
      <c r="M51" s="1480">
        <f t="shared" si="1"/>
        <v>0</v>
      </c>
      <c r="N51" s="1480">
        <f t="shared" si="2"/>
        <v>0</v>
      </c>
      <c r="O51" s="1481">
        <f t="shared" si="3"/>
        <v>0</v>
      </c>
      <c r="P51" s="1427">
        <f t="shared" si="4"/>
        <v>0</v>
      </c>
    </row>
    <row r="52" spans="1:16" ht="31" outlineLevel="1" x14ac:dyDescent="0.25">
      <c r="A52" s="1482">
        <v>5.0999999999999996</v>
      </c>
      <c r="B52" s="1483" t="s">
        <v>1639</v>
      </c>
      <c r="C52" s="1482" t="s">
        <v>1640</v>
      </c>
      <c r="D52" s="1390">
        <v>40911</v>
      </c>
      <c r="E52" s="560">
        <v>229.4</v>
      </c>
      <c r="F52" s="1480">
        <v>0</v>
      </c>
      <c r="G52" s="1480">
        <v>0</v>
      </c>
      <c r="H52" s="1480">
        <f t="shared" si="0"/>
        <v>0</v>
      </c>
      <c r="I52" s="1480">
        <v>0</v>
      </c>
      <c r="J52" s="1480">
        <v>0</v>
      </c>
      <c r="K52" s="1480"/>
      <c r="L52" s="1480"/>
      <c r="M52" s="1480">
        <f t="shared" si="1"/>
        <v>0</v>
      </c>
      <c r="N52" s="1480">
        <f t="shared" si="2"/>
        <v>0</v>
      </c>
      <c r="O52" s="1481">
        <f t="shared" si="3"/>
        <v>0</v>
      </c>
      <c r="P52" s="1427">
        <f t="shared" si="4"/>
        <v>0</v>
      </c>
    </row>
    <row r="53" spans="1:16" ht="62" outlineLevel="1" x14ac:dyDescent="0.25">
      <c r="A53" s="1486">
        <v>6</v>
      </c>
      <c r="B53" s="1491" t="s">
        <v>1641</v>
      </c>
      <c r="C53" s="1486" t="s">
        <v>1642</v>
      </c>
      <c r="D53" s="1487">
        <v>41100</v>
      </c>
      <c r="E53" s="1383">
        <v>16.77</v>
      </c>
      <c r="F53" s="1480">
        <v>0</v>
      </c>
      <c r="G53" s="1480">
        <v>0</v>
      </c>
      <c r="H53" s="1480">
        <f t="shared" si="0"/>
        <v>0</v>
      </c>
      <c r="I53" s="1480">
        <v>0</v>
      </c>
      <c r="J53" s="1480">
        <v>0</v>
      </c>
      <c r="K53" s="1480"/>
      <c r="L53" s="1480"/>
      <c r="M53" s="1480">
        <f t="shared" si="1"/>
        <v>0</v>
      </c>
      <c r="N53" s="1480">
        <f t="shared" si="2"/>
        <v>0</v>
      </c>
      <c r="O53" s="1481">
        <f t="shared" si="3"/>
        <v>0</v>
      </c>
      <c r="P53" s="1427">
        <f t="shared" si="4"/>
        <v>0</v>
      </c>
    </row>
    <row r="54" spans="1:16" ht="62" outlineLevel="1" x14ac:dyDescent="0.25">
      <c r="A54" s="1488">
        <v>6.1</v>
      </c>
      <c r="B54" s="1492" t="s">
        <v>1641</v>
      </c>
      <c r="C54" s="1488" t="s">
        <v>1642</v>
      </c>
      <c r="D54" s="1413">
        <v>41100</v>
      </c>
      <c r="E54" s="560">
        <v>16.77</v>
      </c>
      <c r="F54" s="1480">
        <v>5.4266784059999997</v>
      </c>
      <c r="G54" s="1480">
        <v>4.0159468</v>
      </c>
      <c r="H54" s="1480">
        <f t="shared" si="0"/>
        <v>1.4107316059999997</v>
      </c>
      <c r="I54" s="1480">
        <v>0</v>
      </c>
      <c r="J54" s="1480">
        <v>0</v>
      </c>
      <c r="K54" s="1480"/>
      <c r="L54" s="1480"/>
      <c r="M54" s="1480">
        <f t="shared" si="1"/>
        <v>0</v>
      </c>
      <c r="N54" s="1480">
        <f t="shared" si="2"/>
        <v>1.4107316059999997</v>
      </c>
      <c r="O54" s="1481">
        <f t="shared" si="3"/>
        <v>0</v>
      </c>
      <c r="P54" s="1427">
        <f t="shared" si="4"/>
        <v>0</v>
      </c>
    </row>
    <row r="55" spans="1:16" ht="31" outlineLevel="1" x14ac:dyDescent="0.25">
      <c r="A55" s="1477">
        <v>7</v>
      </c>
      <c r="B55" s="1478" t="s">
        <v>1643</v>
      </c>
      <c r="C55" s="1477" t="s">
        <v>1644</v>
      </c>
      <c r="D55" s="1479">
        <v>41100</v>
      </c>
      <c r="E55" s="1383">
        <v>29.28</v>
      </c>
      <c r="F55" s="1480">
        <v>0</v>
      </c>
      <c r="G55" s="1480">
        <v>0</v>
      </c>
      <c r="H55" s="1480">
        <f t="shared" si="0"/>
        <v>0</v>
      </c>
      <c r="I55" s="1480">
        <v>0</v>
      </c>
      <c r="J55" s="1480">
        <v>0</v>
      </c>
      <c r="K55" s="1480"/>
      <c r="L55" s="1480"/>
      <c r="M55" s="1480">
        <f t="shared" si="1"/>
        <v>0</v>
      </c>
      <c r="N55" s="1480">
        <f t="shared" si="2"/>
        <v>0</v>
      </c>
      <c r="O55" s="1481">
        <f t="shared" si="3"/>
        <v>0</v>
      </c>
      <c r="P55" s="1427">
        <f t="shared" si="4"/>
        <v>0</v>
      </c>
    </row>
    <row r="56" spans="1:16" ht="15.5" outlineLevel="1" x14ac:dyDescent="0.25">
      <c r="A56" s="1482">
        <v>7.1</v>
      </c>
      <c r="B56" s="1483" t="s">
        <v>1645</v>
      </c>
      <c r="C56" s="1482" t="s">
        <v>1644</v>
      </c>
      <c r="D56" s="1390">
        <v>41100</v>
      </c>
      <c r="E56" s="560">
        <v>11.2318</v>
      </c>
      <c r="F56" s="1480">
        <v>19.378237200000001</v>
      </c>
      <c r="G56" s="1480">
        <v>19.378237200000001</v>
      </c>
      <c r="H56" s="1480">
        <f t="shared" si="0"/>
        <v>0</v>
      </c>
      <c r="I56" s="1480">
        <v>0</v>
      </c>
      <c r="J56" s="1480">
        <v>0</v>
      </c>
      <c r="K56" s="1480"/>
      <c r="L56" s="1480"/>
      <c r="M56" s="1480">
        <f t="shared" si="1"/>
        <v>0</v>
      </c>
      <c r="N56" s="1480">
        <f t="shared" si="2"/>
        <v>0</v>
      </c>
      <c r="O56" s="1481">
        <f t="shared" si="3"/>
        <v>0</v>
      </c>
      <c r="P56" s="1427">
        <f t="shared" si="4"/>
        <v>0</v>
      </c>
    </row>
    <row r="57" spans="1:16" ht="15.5" outlineLevel="1" x14ac:dyDescent="0.25">
      <c r="A57" s="1482">
        <v>7.2</v>
      </c>
      <c r="B57" s="1483" t="s">
        <v>1647</v>
      </c>
      <c r="C57" s="1482" t="s">
        <v>1644</v>
      </c>
      <c r="D57" s="1390">
        <v>41100</v>
      </c>
      <c r="E57" s="560">
        <v>14.968</v>
      </c>
      <c r="F57" s="1480">
        <v>23.1898537</v>
      </c>
      <c r="G57" s="1480">
        <v>23.1898537</v>
      </c>
      <c r="H57" s="1480">
        <f t="shared" si="0"/>
        <v>0</v>
      </c>
      <c r="I57" s="1480">
        <v>0</v>
      </c>
      <c r="J57" s="1480">
        <v>0</v>
      </c>
      <c r="K57" s="1480"/>
      <c r="L57" s="1480"/>
      <c r="M57" s="1480">
        <f t="shared" si="1"/>
        <v>0</v>
      </c>
      <c r="N57" s="1480">
        <f t="shared" si="2"/>
        <v>0</v>
      </c>
      <c r="O57" s="1481">
        <f t="shared" si="3"/>
        <v>0</v>
      </c>
      <c r="P57" s="1427">
        <f t="shared" si="4"/>
        <v>0</v>
      </c>
    </row>
    <row r="58" spans="1:16" ht="15.5" outlineLevel="1" x14ac:dyDescent="0.25">
      <c r="A58" s="1482">
        <v>0</v>
      </c>
      <c r="B58" s="1483" t="s">
        <v>414</v>
      </c>
      <c r="C58" s="1482" t="s">
        <v>1644</v>
      </c>
      <c r="D58" s="1390">
        <v>41100</v>
      </c>
      <c r="E58" s="560">
        <v>3.0802000000000014</v>
      </c>
      <c r="F58" s="1480">
        <v>0</v>
      </c>
      <c r="G58" s="1480">
        <v>0</v>
      </c>
      <c r="H58" s="1480">
        <f t="shared" si="0"/>
        <v>0</v>
      </c>
      <c r="I58" s="1480">
        <v>0</v>
      </c>
      <c r="J58" s="1480">
        <v>0</v>
      </c>
      <c r="K58" s="1480"/>
      <c r="L58" s="1480"/>
      <c r="M58" s="1480">
        <f t="shared" si="1"/>
        <v>0</v>
      </c>
      <c r="N58" s="1480">
        <f t="shared" si="2"/>
        <v>0</v>
      </c>
      <c r="O58" s="1481">
        <f t="shared" si="3"/>
        <v>0</v>
      </c>
      <c r="P58" s="1427">
        <f t="shared" si="4"/>
        <v>0</v>
      </c>
    </row>
    <row r="59" spans="1:16" ht="15.5" outlineLevel="1" x14ac:dyDescent="0.25">
      <c r="A59" s="1477">
        <v>8</v>
      </c>
      <c r="B59" s="1478" t="s">
        <v>1649</v>
      </c>
      <c r="C59" s="1477" t="s">
        <v>1650</v>
      </c>
      <c r="D59" s="1479">
        <v>41108</v>
      </c>
      <c r="E59" s="1383">
        <v>18.2</v>
      </c>
      <c r="F59" s="1480">
        <v>0</v>
      </c>
      <c r="G59" s="1480">
        <v>0</v>
      </c>
      <c r="H59" s="1480">
        <f t="shared" si="0"/>
        <v>0</v>
      </c>
      <c r="I59" s="1480">
        <v>0</v>
      </c>
      <c r="J59" s="1480">
        <v>0</v>
      </c>
      <c r="K59" s="1480"/>
      <c r="L59" s="1480"/>
      <c r="M59" s="1480">
        <f t="shared" si="1"/>
        <v>0</v>
      </c>
      <c r="N59" s="1480">
        <f t="shared" si="2"/>
        <v>0</v>
      </c>
      <c r="O59" s="1481">
        <f t="shared" si="3"/>
        <v>0</v>
      </c>
      <c r="P59" s="1427">
        <f t="shared" si="4"/>
        <v>0</v>
      </c>
    </row>
    <row r="60" spans="1:16" ht="15.5" outlineLevel="1" x14ac:dyDescent="0.25">
      <c r="A60" s="1482">
        <v>8.1</v>
      </c>
      <c r="B60" s="1483" t="s">
        <v>1651</v>
      </c>
      <c r="C60" s="1482" t="s">
        <v>1650</v>
      </c>
      <c r="D60" s="1390">
        <v>41108</v>
      </c>
      <c r="E60" s="560">
        <v>8.5</v>
      </c>
      <c r="F60" s="1480">
        <v>0</v>
      </c>
      <c r="G60" s="1480">
        <v>0</v>
      </c>
      <c r="H60" s="1480">
        <f t="shared" si="0"/>
        <v>0</v>
      </c>
      <c r="I60" s="1480">
        <v>0</v>
      </c>
      <c r="J60" s="1480">
        <v>0</v>
      </c>
      <c r="K60" s="1480"/>
      <c r="L60" s="1480"/>
      <c r="M60" s="1480">
        <f t="shared" si="1"/>
        <v>0</v>
      </c>
      <c r="N60" s="1480">
        <f t="shared" si="2"/>
        <v>0</v>
      </c>
      <c r="O60" s="1481">
        <f t="shared" si="3"/>
        <v>0</v>
      </c>
      <c r="P60" s="1427">
        <f t="shared" si="4"/>
        <v>0</v>
      </c>
    </row>
    <row r="61" spans="1:16" ht="15.5" outlineLevel="1" x14ac:dyDescent="0.25">
      <c r="A61" s="1482">
        <v>8.1999999999999993</v>
      </c>
      <c r="B61" s="1483" t="s">
        <v>1652</v>
      </c>
      <c r="C61" s="1482" t="s">
        <v>1650</v>
      </c>
      <c r="D61" s="1390">
        <v>41108</v>
      </c>
      <c r="E61" s="560">
        <v>8.5</v>
      </c>
      <c r="F61" s="1480">
        <v>0</v>
      </c>
      <c r="G61" s="1480">
        <v>0</v>
      </c>
      <c r="H61" s="1480">
        <f t="shared" si="0"/>
        <v>0</v>
      </c>
      <c r="I61" s="1480">
        <v>0</v>
      </c>
      <c r="J61" s="1480">
        <v>0</v>
      </c>
      <c r="K61" s="1480"/>
      <c r="L61" s="1480"/>
      <c r="M61" s="1480">
        <f t="shared" si="1"/>
        <v>0</v>
      </c>
      <c r="N61" s="1480">
        <f t="shared" si="2"/>
        <v>0</v>
      </c>
      <c r="O61" s="1481">
        <f t="shared" si="3"/>
        <v>0</v>
      </c>
      <c r="P61" s="1427">
        <f t="shared" si="4"/>
        <v>0</v>
      </c>
    </row>
    <row r="62" spans="1:16" ht="15.5" outlineLevel="1" x14ac:dyDescent="0.25">
      <c r="A62" s="1482">
        <v>0</v>
      </c>
      <c r="B62" s="1483" t="s">
        <v>414</v>
      </c>
      <c r="C62" s="1482" t="s">
        <v>1650</v>
      </c>
      <c r="D62" s="1390">
        <v>41108</v>
      </c>
      <c r="E62" s="560">
        <v>1.2</v>
      </c>
      <c r="F62" s="1480">
        <v>0</v>
      </c>
      <c r="G62" s="1480">
        <v>0</v>
      </c>
      <c r="H62" s="1480">
        <f t="shared" si="0"/>
        <v>0</v>
      </c>
      <c r="I62" s="1480">
        <v>0</v>
      </c>
      <c r="J62" s="1480">
        <v>0</v>
      </c>
      <c r="K62" s="1480"/>
      <c r="L62" s="1480"/>
      <c r="M62" s="1480">
        <f t="shared" si="1"/>
        <v>0</v>
      </c>
      <c r="N62" s="1480">
        <f t="shared" si="2"/>
        <v>0</v>
      </c>
      <c r="O62" s="1481">
        <f t="shared" si="3"/>
        <v>0</v>
      </c>
      <c r="P62" s="1427">
        <f t="shared" si="4"/>
        <v>0</v>
      </c>
    </row>
    <row r="63" spans="1:16" ht="31" outlineLevel="1" x14ac:dyDescent="0.25">
      <c r="A63" s="1477">
        <v>9</v>
      </c>
      <c r="B63" s="1478" t="s">
        <v>1653</v>
      </c>
      <c r="C63" s="1477" t="s">
        <v>1654</v>
      </c>
      <c r="D63" s="1479">
        <v>41464</v>
      </c>
      <c r="E63" s="1383">
        <v>107.8364</v>
      </c>
      <c r="F63" s="1480">
        <v>0</v>
      </c>
      <c r="G63" s="1480">
        <v>0</v>
      </c>
      <c r="H63" s="1480">
        <f t="shared" si="0"/>
        <v>0</v>
      </c>
      <c r="I63" s="1480">
        <v>0</v>
      </c>
      <c r="J63" s="1480">
        <v>0</v>
      </c>
      <c r="K63" s="1480"/>
      <c r="L63" s="1480"/>
      <c r="M63" s="1480">
        <f t="shared" si="1"/>
        <v>0</v>
      </c>
      <c r="N63" s="1480">
        <f t="shared" si="2"/>
        <v>0</v>
      </c>
      <c r="O63" s="1481">
        <f t="shared" si="3"/>
        <v>0</v>
      </c>
      <c r="P63" s="1427">
        <f t="shared" si="4"/>
        <v>0</v>
      </c>
    </row>
    <row r="64" spans="1:16" ht="46.5" outlineLevel="1" x14ac:dyDescent="0.25">
      <c r="A64" s="1482">
        <v>9.1</v>
      </c>
      <c r="B64" s="1483" t="s">
        <v>1655</v>
      </c>
      <c r="C64" s="1482" t="s">
        <v>1654</v>
      </c>
      <c r="D64" s="1390">
        <v>41464</v>
      </c>
      <c r="E64" s="560">
        <v>101.8526</v>
      </c>
      <c r="F64" s="1480">
        <v>0</v>
      </c>
      <c r="G64" s="1480">
        <v>0</v>
      </c>
      <c r="H64" s="1480">
        <f t="shared" si="0"/>
        <v>0</v>
      </c>
      <c r="I64" s="1480">
        <v>0</v>
      </c>
      <c r="J64" s="1480">
        <v>0</v>
      </c>
      <c r="K64" s="1480"/>
      <c r="L64" s="1480"/>
      <c r="M64" s="1480">
        <f t="shared" si="1"/>
        <v>0</v>
      </c>
      <c r="N64" s="1480">
        <f t="shared" si="2"/>
        <v>0</v>
      </c>
      <c r="O64" s="1481">
        <f t="shared" si="3"/>
        <v>0</v>
      </c>
      <c r="P64" s="1427">
        <f t="shared" si="4"/>
        <v>0</v>
      </c>
    </row>
    <row r="65" spans="1:16" ht="31" outlineLevel="1" x14ac:dyDescent="0.25">
      <c r="A65" s="1482">
        <v>0</v>
      </c>
      <c r="B65" s="1483" t="s">
        <v>414</v>
      </c>
      <c r="C65" s="1482" t="s">
        <v>1654</v>
      </c>
      <c r="D65" s="1390">
        <v>41464</v>
      </c>
      <c r="E65" s="560">
        <v>5.9837999999999996</v>
      </c>
      <c r="F65" s="1480">
        <v>0</v>
      </c>
      <c r="G65" s="1480">
        <v>0</v>
      </c>
      <c r="H65" s="1480">
        <f t="shared" si="0"/>
        <v>0</v>
      </c>
      <c r="I65" s="1480">
        <v>0</v>
      </c>
      <c r="J65" s="1480">
        <v>0</v>
      </c>
      <c r="K65" s="1480"/>
      <c r="L65" s="1480"/>
      <c r="M65" s="1480">
        <f t="shared" si="1"/>
        <v>0</v>
      </c>
      <c r="N65" s="1480">
        <f t="shared" si="2"/>
        <v>0</v>
      </c>
      <c r="O65" s="1481">
        <f t="shared" si="3"/>
        <v>0</v>
      </c>
      <c r="P65" s="1427">
        <f t="shared" si="4"/>
        <v>0</v>
      </c>
    </row>
    <row r="66" spans="1:16" ht="15.5" outlineLevel="1" x14ac:dyDescent="0.25">
      <c r="A66" s="1489">
        <v>10</v>
      </c>
      <c r="B66" s="1490" t="s">
        <v>1656</v>
      </c>
      <c r="C66" s="1477" t="s">
        <v>1657</v>
      </c>
      <c r="D66" s="1479">
        <v>41281</v>
      </c>
      <c r="E66" s="1383">
        <v>15.25</v>
      </c>
      <c r="F66" s="1480">
        <v>0</v>
      </c>
      <c r="G66" s="1480">
        <v>0</v>
      </c>
      <c r="H66" s="1480">
        <f t="shared" si="0"/>
        <v>0</v>
      </c>
      <c r="I66" s="1480">
        <v>0</v>
      </c>
      <c r="J66" s="1480">
        <v>0</v>
      </c>
      <c r="K66" s="1480"/>
      <c r="L66" s="1480"/>
      <c r="M66" s="1480">
        <f t="shared" si="1"/>
        <v>0</v>
      </c>
      <c r="N66" s="1480">
        <f t="shared" si="2"/>
        <v>0</v>
      </c>
      <c r="O66" s="1481">
        <f t="shared" si="3"/>
        <v>0</v>
      </c>
      <c r="P66" s="1427">
        <f t="shared" si="4"/>
        <v>0</v>
      </c>
    </row>
    <row r="67" spans="1:16" ht="15.5" outlineLevel="1" x14ac:dyDescent="0.25">
      <c r="A67" s="1484">
        <v>10.1</v>
      </c>
      <c r="B67" s="1485" t="s">
        <v>1658</v>
      </c>
      <c r="C67" s="1482" t="s">
        <v>1657</v>
      </c>
      <c r="D67" s="1390">
        <v>41281</v>
      </c>
      <c r="E67" s="560">
        <v>7.12</v>
      </c>
      <c r="F67" s="1480">
        <v>1.4079700719999999</v>
      </c>
      <c r="G67" s="1480">
        <v>1.4079700719999999</v>
      </c>
      <c r="H67" s="1480">
        <f t="shared" si="0"/>
        <v>0</v>
      </c>
      <c r="I67" s="1480">
        <v>0</v>
      </c>
      <c r="J67" s="1480">
        <v>0</v>
      </c>
      <c r="K67" s="1480"/>
      <c r="L67" s="1480"/>
      <c r="M67" s="1480">
        <f t="shared" si="1"/>
        <v>0</v>
      </c>
      <c r="N67" s="1480">
        <f t="shared" si="2"/>
        <v>0</v>
      </c>
      <c r="O67" s="1481">
        <f t="shared" si="3"/>
        <v>0</v>
      </c>
      <c r="P67" s="1427">
        <f t="shared" si="4"/>
        <v>0</v>
      </c>
    </row>
    <row r="68" spans="1:16" ht="15.5" outlineLevel="1" x14ac:dyDescent="0.25">
      <c r="A68" s="1484">
        <v>10.199999999999999</v>
      </c>
      <c r="B68" s="1485" t="s">
        <v>1659</v>
      </c>
      <c r="C68" s="1482" t="s">
        <v>1657</v>
      </c>
      <c r="D68" s="1390">
        <v>41281</v>
      </c>
      <c r="E68" s="560">
        <v>3.03</v>
      </c>
      <c r="F68" s="1480">
        <v>2.1444315660000002</v>
      </c>
      <c r="G68" s="1480">
        <v>2.1444315660000002</v>
      </c>
      <c r="H68" s="1480">
        <f t="shared" si="0"/>
        <v>0</v>
      </c>
      <c r="I68" s="1480">
        <v>0.16887620400000003</v>
      </c>
      <c r="J68" s="1480">
        <v>0.168876204</v>
      </c>
      <c r="K68" s="1480"/>
      <c r="L68" s="1480"/>
      <c r="M68" s="1480">
        <f t="shared" si="1"/>
        <v>0.168876204</v>
      </c>
      <c r="N68" s="1480">
        <f t="shared" si="2"/>
        <v>0</v>
      </c>
      <c r="O68" s="1481">
        <f t="shared" si="3"/>
        <v>0.168876204</v>
      </c>
      <c r="P68" s="1427">
        <f t="shared" si="4"/>
        <v>0</v>
      </c>
    </row>
    <row r="69" spans="1:16" ht="15.5" outlineLevel="1" x14ac:dyDescent="0.25">
      <c r="A69" s="1484">
        <v>10.3</v>
      </c>
      <c r="B69" s="1485" t="s">
        <v>1660</v>
      </c>
      <c r="C69" s="1482" t="s">
        <v>1657</v>
      </c>
      <c r="D69" s="1390">
        <v>41281</v>
      </c>
      <c r="E69" s="560">
        <v>3.6</v>
      </c>
      <c r="F69" s="1480">
        <v>4.4210943270000005</v>
      </c>
      <c r="G69" s="1480">
        <v>4.4210943270000005</v>
      </c>
      <c r="H69" s="1480">
        <f t="shared" si="0"/>
        <v>0</v>
      </c>
      <c r="I69" s="1480">
        <v>0</v>
      </c>
      <c r="J69" s="1480">
        <v>0</v>
      </c>
      <c r="K69" s="1480"/>
      <c r="L69" s="1480"/>
      <c r="M69" s="1480">
        <f t="shared" si="1"/>
        <v>0</v>
      </c>
      <c r="N69" s="1480">
        <f t="shared" si="2"/>
        <v>0</v>
      </c>
      <c r="O69" s="1481">
        <f t="shared" si="3"/>
        <v>0</v>
      </c>
      <c r="P69" s="1427">
        <f t="shared" si="4"/>
        <v>0</v>
      </c>
    </row>
    <row r="70" spans="1:16" ht="15.5" outlineLevel="1" x14ac:dyDescent="0.25">
      <c r="A70" s="1484">
        <v>0</v>
      </c>
      <c r="B70" s="1485" t="s">
        <v>414</v>
      </c>
      <c r="C70" s="1482" t="s">
        <v>1657</v>
      </c>
      <c r="D70" s="1390">
        <v>41281</v>
      </c>
      <c r="E70" s="560">
        <v>1.5</v>
      </c>
      <c r="F70" s="1480">
        <v>0</v>
      </c>
      <c r="G70" s="1480">
        <v>0</v>
      </c>
      <c r="H70" s="1480">
        <f t="shared" si="0"/>
        <v>0</v>
      </c>
      <c r="I70" s="1480">
        <v>0</v>
      </c>
      <c r="J70" s="1480">
        <v>0</v>
      </c>
      <c r="K70" s="1480"/>
      <c r="L70" s="1480"/>
      <c r="M70" s="1480">
        <f t="shared" si="1"/>
        <v>0</v>
      </c>
      <c r="N70" s="1480">
        <f t="shared" si="2"/>
        <v>0</v>
      </c>
      <c r="O70" s="1481">
        <f t="shared" si="3"/>
        <v>0</v>
      </c>
      <c r="P70" s="1427">
        <f t="shared" si="4"/>
        <v>0</v>
      </c>
    </row>
    <row r="71" spans="1:16" ht="31" outlineLevel="1" x14ac:dyDescent="0.25">
      <c r="A71" s="1477">
        <v>11</v>
      </c>
      <c r="B71" s="1478" t="s">
        <v>1661</v>
      </c>
      <c r="C71" s="1477" t="s">
        <v>1662</v>
      </c>
      <c r="D71" s="1479">
        <v>41382</v>
      </c>
      <c r="E71" s="1383">
        <v>54.197924999999991</v>
      </c>
      <c r="F71" s="1480">
        <v>0</v>
      </c>
      <c r="G71" s="1480">
        <v>0</v>
      </c>
      <c r="H71" s="1480">
        <f t="shared" si="0"/>
        <v>0</v>
      </c>
      <c r="I71" s="1480">
        <v>0</v>
      </c>
      <c r="J71" s="1480">
        <v>0</v>
      </c>
      <c r="K71" s="1480"/>
      <c r="L71" s="1480"/>
      <c r="M71" s="1480">
        <f t="shared" si="1"/>
        <v>0</v>
      </c>
      <c r="N71" s="1480">
        <f t="shared" si="2"/>
        <v>0</v>
      </c>
      <c r="O71" s="1481">
        <f t="shared" si="3"/>
        <v>0</v>
      </c>
      <c r="P71" s="1427">
        <f t="shared" si="4"/>
        <v>0</v>
      </c>
    </row>
    <row r="72" spans="1:16" ht="31" outlineLevel="1" x14ac:dyDescent="0.25">
      <c r="A72" s="1482">
        <v>11.1</v>
      </c>
      <c r="B72" s="1483" t="s">
        <v>1663</v>
      </c>
      <c r="C72" s="1482" t="s">
        <v>1662</v>
      </c>
      <c r="D72" s="1390">
        <v>41382</v>
      </c>
      <c r="E72" s="560">
        <v>12.3</v>
      </c>
      <c r="F72" s="1480">
        <v>0</v>
      </c>
      <c r="G72" s="1480">
        <v>0</v>
      </c>
      <c r="H72" s="1480">
        <f t="shared" si="0"/>
        <v>0</v>
      </c>
      <c r="I72" s="1480">
        <v>0</v>
      </c>
      <c r="J72" s="1480">
        <v>0</v>
      </c>
      <c r="K72" s="1480"/>
      <c r="L72" s="1480"/>
      <c r="M72" s="1480">
        <f t="shared" si="1"/>
        <v>0</v>
      </c>
      <c r="N72" s="1480">
        <f t="shared" si="2"/>
        <v>0</v>
      </c>
      <c r="O72" s="1481">
        <f t="shared" si="3"/>
        <v>0</v>
      </c>
      <c r="P72" s="1427">
        <f t="shared" si="4"/>
        <v>0</v>
      </c>
    </row>
    <row r="73" spans="1:16" ht="31" outlineLevel="1" x14ac:dyDescent="0.25">
      <c r="A73" s="1482">
        <v>11.2</v>
      </c>
      <c r="B73" s="1483" t="s">
        <v>1664</v>
      </c>
      <c r="C73" s="1482" t="s">
        <v>1662</v>
      </c>
      <c r="D73" s="1390">
        <v>41382</v>
      </c>
      <c r="E73" s="560">
        <v>6.1</v>
      </c>
      <c r="F73" s="1480">
        <v>0</v>
      </c>
      <c r="G73" s="1480">
        <v>0</v>
      </c>
      <c r="H73" s="1480">
        <f t="shared" si="0"/>
        <v>0</v>
      </c>
      <c r="I73" s="1480">
        <v>0</v>
      </c>
      <c r="J73" s="1480">
        <v>0</v>
      </c>
      <c r="K73" s="1480"/>
      <c r="L73" s="1480"/>
      <c r="M73" s="1480">
        <f t="shared" si="1"/>
        <v>0</v>
      </c>
      <c r="N73" s="1480">
        <f t="shared" si="2"/>
        <v>0</v>
      </c>
      <c r="O73" s="1481">
        <f t="shared" si="3"/>
        <v>0</v>
      </c>
      <c r="P73" s="1427">
        <f t="shared" si="4"/>
        <v>0</v>
      </c>
    </row>
    <row r="74" spans="1:16" ht="31" outlineLevel="1" x14ac:dyDescent="0.25">
      <c r="A74" s="1482">
        <v>11.3</v>
      </c>
      <c r="B74" s="1483" t="s">
        <v>1665</v>
      </c>
      <c r="C74" s="1482" t="s">
        <v>1662</v>
      </c>
      <c r="D74" s="1390">
        <v>41382</v>
      </c>
      <c r="E74" s="560">
        <v>8.0749999999999993</v>
      </c>
      <c r="F74" s="1480">
        <v>0</v>
      </c>
      <c r="G74" s="1480">
        <v>0</v>
      </c>
      <c r="H74" s="1480">
        <f t="shared" si="0"/>
        <v>0</v>
      </c>
      <c r="I74" s="1480">
        <v>0</v>
      </c>
      <c r="J74" s="1480">
        <v>0</v>
      </c>
      <c r="K74" s="1480"/>
      <c r="L74" s="1480"/>
      <c r="M74" s="1480">
        <f t="shared" si="1"/>
        <v>0</v>
      </c>
      <c r="N74" s="1480">
        <f t="shared" si="2"/>
        <v>0</v>
      </c>
      <c r="O74" s="1481">
        <f t="shared" si="3"/>
        <v>0</v>
      </c>
      <c r="P74" s="1427">
        <f t="shared" si="4"/>
        <v>0</v>
      </c>
    </row>
    <row r="75" spans="1:16" ht="31" outlineLevel="1" x14ac:dyDescent="0.25">
      <c r="A75" s="1482">
        <v>11.4</v>
      </c>
      <c r="B75" s="1483" t="s">
        <v>1666</v>
      </c>
      <c r="C75" s="1482" t="s">
        <v>1662</v>
      </c>
      <c r="D75" s="1390">
        <v>41382</v>
      </c>
      <c r="E75" s="560">
        <v>16</v>
      </c>
      <c r="F75" s="1480">
        <v>0</v>
      </c>
      <c r="G75" s="1480">
        <v>0</v>
      </c>
      <c r="H75" s="1480">
        <f t="shared" ref="H75:H138" si="5">F75-G75</f>
        <v>0</v>
      </c>
      <c r="I75" s="1480">
        <v>0</v>
      </c>
      <c r="J75" s="1480">
        <v>0</v>
      </c>
      <c r="K75" s="1480"/>
      <c r="L75" s="1480"/>
      <c r="M75" s="1480">
        <f t="shared" ref="M75:M138" si="6">SUM(J75:L75)</f>
        <v>0</v>
      </c>
      <c r="N75" s="1480">
        <f t="shared" ref="N75:N138" si="7">H75+I75-M75</f>
        <v>0</v>
      </c>
      <c r="O75" s="1481">
        <f t="shared" ref="O75:O138" si="8">MAX(0,IF(M75=0,0,IF(G75+M75&lt;E75,M75,E75-G75)))</f>
        <v>0</v>
      </c>
      <c r="P75" s="1427">
        <f t="shared" ref="P75:P138" si="9">M75-O75</f>
        <v>0</v>
      </c>
    </row>
    <row r="76" spans="1:16" ht="31" outlineLevel="1" x14ac:dyDescent="0.25">
      <c r="A76" s="1482">
        <v>11.5</v>
      </c>
      <c r="B76" s="1483" t="s">
        <v>1667</v>
      </c>
      <c r="C76" s="1482" t="s">
        <v>1662</v>
      </c>
      <c r="D76" s="1390">
        <v>41382</v>
      </c>
      <c r="E76" s="560">
        <v>0.45950000000000002</v>
      </c>
      <c r="F76" s="1480">
        <v>0</v>
      </c>
      <c r="G76" s="1480">
        <v>0</v>
      </c>
      <c r="H76" s="1480">
        <f t="shared" si="5"/>
        <v>0</v>
      </c>
      <c r="I76" s="1480">
        <v>0</v>
      </c>
      <c r="J76" s="1480">
        <v>0</v>
      </c>
      <c r="K76" s="1480"/>
      <c r="L76" s="1480"/>
      <c r="M76" s="1480">
        <f t="shared" si="6"/>
        <v>0</v>
      </c>
      <c r="N76" s="1480">
        <f t="shared" si="7"/>
        <v>0</v>
      </c>
      <c r="O76" s="1481">
        <f t="shared" si="8"/>
        <v>0</v>
      </c>
      <c r="P76" s="1427">
        <f t="shared" si="9"/>
        <v>0</v>
      </c>
    </row>
    <row r="77" spans="1:16" ht="31" outlineLevel="1" x14ac:dyDescent="0.25">
      <c r="A77" s="1482">
        <v>11.6</v>
      </c>
      <c r="B77" s="1483" t="s">
        <v>1668</v>
      </c>
      <c r="C77" s="1482" t="s">
        <v>1662</v>
      </c>
      <c r="D77" s="1390">
        <v>41382</v>
      </c>
      <c r="E77" s="560">
        <v>0.83</v>
      </c>
      <c r="F77" s="1480">
        <v>0</v>
      </c>
      <c r="G77" s="1480">
        <v>0</v>
      </c>
      <c r="H77" s="1480">
        <f t="shared" si="5"/>
        <v>0</v>
      </c>
      <c r="I77" s="1480">
        <v>0</v>
      </c>
      <c r="J77" s="1480">
        <v>0</v>
      </c>
      <c r="K77" s="1480"/>
      <c r="L77" s="1480"/>
      <c r="M77" s="1480">
        <f t="shared" si="6"/>
        <v>0</v>
      </c>
      <c r="N77" s="1480">
        <f t="shared" si="7"/>
        <v>0</v>
      </c>
      <c r="O77" s="1481">
        <f t="shared" si="8"/>
        <v>0</v>
      </c>
      <c r="P77" s="1427">
        <f t="shared" si="9"/>
        <v>0</v>
      </c>
    </row>
    <row r="78" spans="1:16" ht="31" outlineLevel="1" x14ac:dyDescent="0.25">
      <c r="A78" s="1482">
        <v>11.7</v>
      </c>
      <c r="B78" s="1483" t="s">
        <v>1669</v>
      </c>
      <c r="C78" s="1482" t="s">
        <v>1662</v>
      </c>
      <c r="D78" s="1390">
        <v>41382</v>
      </c>
      <c r="E78" s="560">
        <v>0.6</v>
      </c>
      <c r="F78" s="1480">
        <v>0</v>
      </c>
      <c r="G78" s="1480">
        <v>0</v>
      </c>
      <c r="H78" s="1480">
        <f t="shared" si="5"/>
        <v>0</v>
      </c>
      <c r="I78" s="1480">
        <v>0</v>
      </c>
      <c r="J78" s="1480">
        <v>0</v>
      </c>
      <c r="K78" s="1480"/>
      <c r="L78" s="1480"/>
      <c r="M78" s="1480">
        <f t="shared" si="6"/>
        <v>0</v>
      </c>
      <c r="N78" s="1480">
        <f t="shared" si="7"/>
        <v>0</v>
      </c>
      <c r="O78" s="1481">
        <f t="shared" si="8"/>
        <v>0</v>
      </c>
      <c r="P78" s="1427">
        <f t="shared" si="9"/>
        <v>0</v>
      </c>
    </row>
    <row r="79" spans="1:16" ht="31" outlineLevel="1" x14ac:dyDescent="0.25">
      <c r="A79" s="1482">
        <v>11.8</v>
      </c>
      <c r="B79" s="1483" t="s">
        <v>1670</v>
      </c>
      <c r="C79" s="1482" t="s">
        <v>1662</v>
      </c>
      <c r="D79" s="1390">
        <v>41382</v>
      </c>
      <c r="E79" s="560">
        <v>2.8674249999999999</v>
      </c>
      <c r="F79" s="1480">
        <v>0</v>
      </c>
      <c r="G79" s="1480">
        <v>0</v>
      </c>
      <c r="H79" s="1480">
        <f t="shared" si="5"/>
        <v>0</v>
      </c>
      <c r="I79" s="1480">
        <v>0</v>
      </c>
      <c r="J79" s="1480">
        <v>0</v>
      </c>
      <c r="K79" s="1480"/>
      <c r="L79" s="1480"/>
      <c r="M79" s="1480">
        <f t="shared" si="6"/>
        <v>0</v>
      </c>
      <c r="N79" s="1480">
        <f t="shared" si="7"/>
        <v>0</v>
      </c>
      <c r="O79" s="1481">
        <f t="shared" si="8"/>
        <v>0</v>
      </c>
      <c r="P79" s="1427">
        <f t="shared" si="9"/>
        <v>0</v>
      </c>
    </row>
    <row r="80" spans="1:16" ht="31" outlineLevel="1" x14ac:dyDescent="0.25">
      <c r="A80" s="1482">
        <v>11.9</v>
      </c>
      <c r="B80" s="1483" t="s">
        <v>1671</v>
      </c>
      <c r="C80" s="1482" t="s">
        <v>1662</v>
      </c>
      <c r="D80" s="1390">
        <v>41382</v>
      </c>
      <c r="E80" s="560">
        <v>3.8959999999999999</v>
      </c>
      <c r="F80" s="1480">
        <v>0</v>
      </c>
      <c r="G80" s="1480">
        <v>0</v>
      </c>
      <c r="H80" s="1480">
        <f t="shared" si="5"/>
        <v>0</v>
      </c>
      <c r="I80" s="1480">
        <v>0</v>
      </c>
      <c r="J80" s="1480">
        <v>0</v>
      </c>
      <c r="K80" s="1480"/>
      <c r="L80" s="1480"/>
      <c r="M80" s="1480">
        <f t="shared" si="6"/>
        <v>0</v>
      </c>
      <c r="N80" s="1480">
        <f t="shared" si="7"/>
        <v>0</v>
      </c>
      <c r="O80" s="1481">
        <f t="shared" si="8"/>
        <v>0</v>
      </c>
      <c r="P80" s="1427">
        <f t="shared" si="9"/>
        <v>0</v>
      </c>
    </row>
    <row r="81" spans="1:16" ht="31" outlineLevel="1" x14ac:dyDescent="0.25">
      <c r="A81" s="1482">
        <v>0</v>
      </c>
      <c r="B81" s="1483" t="s">
        <v>414</v>
      </c>
      <c r="C81" s="1482" t="s">
        <v>1662</v>
      </c>
      <c r="D81" s="1390">
        <v>41382</v>
      </c>
      <c r="E81" s="560">
        <v>3.07</v>
      </c>
      <c r="F81" s="1480">
        <v>0</v>
      </c>
      <c r="G81" s="1480">
        <v>0</v>
      </c>
      <c r="H81" s="1480">
        <f t="shared" si="5"/>
        <v>0</v>
      </c>
      <c r="I81" s="1480">
        <v>0</v>
      </c>
      <c r="J81" s="1480">
        <v>0</v>
      </c>
      <c r="K81" s="1480"/>
      <c r="L81" s="1480"/>
      <c r="M81" s="1480">
        <f t="shared" si="6"/>
        <v>0</v>
      </c>
      <c r="N81" s="1480">
        <f t="shared" si="7"/>
        <v>0</v>
      </c>
      <c r="O81" s="1481">
        <f t="shared" si="8"/>
        <v>0</v>
      </c>
      <c r="P81" s="1427">
        <f t="shared" si="9"/>
        <v>0</v>
      </c>
    </row>
    <row r="82" spans="1:16" ht="31" outlineLevel="1" x14ac:dyDescent="0.25">
      <c r="A82" s="1489">
        <v>12</v>
      </c>
      <c r="B82" s="1490" t="s">
        <v>1672</v>
      </c>
      <c r="C82" s="1486" t="s">
        <v>1673</v>
      </c>
      <c r="D82" s="1487">
        <v>41551</v>
      </c>
      <c r="E82" s="1383">
        <v>10.083855999999999</v>
      </c>
      <c r="F82" s="1480">
        <v>0</v>
      </c>
      <c r="G82" s="1480">
        <v>0</v>
      </c>
      <c r="H82" s="1480">
        <f t="shared" si="5"/>
        <v>0</v>
      </c>
      <c r="I82" s="1480">
        <v>0</v>
      </c>
      <c r="J82" s="1480">
        <v>0</v>
      </c>
      <c r="K82" s="1480"/>
      <c r="L82" s="1480"/>
      <c r="M82" s="1480">
        <f t="shared" si="6"/>
        <v>0</v>
      </c>
      <c r="N82" s="1480">
        <f t="shared" si="7"/>
        <v>0</v>
      </c>
      <c r="O82" s="1481">
        <f t="shared" si="8"/>
        <v>0</v>
      </c>
      <c r="P82" s="1427">
        <f t="shared" si="9"/>
        <v>0</v>
      </c>
    </row>
    <row r="83" spans="1:16" ht="31" outlineLevel="1" x14ac:dyDescent="0.25">
      <c r="A83" s="1484">
        <v>12.1</v>
      </c>
      <c r="B83" s="1485" t="s">
        <v>1674</v>
      </c>
      <c r="C83" s="1482" t="s">
        <v>1673</v>
      </c>
      <c r="D83" s="1390">
        <v>41551</v>
      </c>
      <c r="E83" s="560">
        <v>2.08</v>
      </c>
      <c r="F83" s="1480">
        <v>2.0369565389999997</v>
      </c>
      <c r="G83" s="1480">
        <v>2.0369565389999997</v>
      </c>
      <c r="H83" s="1480">
        <f t="shared" si="5"/>
        <v>0</v>
      </c>
      <c r="I83" s="1480">
        <v>0</v>
      </c>
      <c r="J83" s="1480">
        <v>0</v>
      </c>
      <c r="K83" s="1480"/>
      <c r="L83" s="1480"/>
      <c r="M83" s="1480">
        <f t="shared" si="6"/>
        <v>0</v>
      </c>
      <c r="N83" s="1480">
        <f t="shared" si="7"/>
        <v>0</v>
      </c>
      <c r="O83" s="1481">
        <f t="shared" si="8"/>
        <v>0</v>
      </c>
      <c r="P83" s="1427">
        <f t="shared" si="9"/>
        <v>0</v>
      </c>
    </row>
    <row r="84" spans="1:16" ht="31" outlineLevel="1" x14ac:dyDescent="0.25">
      <c r="A84" s="1484">
        <v>12.2</v>
      </c>
      <c r="B84" s="1485" t="s">
        <v>2428</v>
      </c>
      <c r="C84" s="1488" t="s">
        <v>1673</v>
      </c>
      <c r="D84" s="1413">
        <v>41551</v>
      </c>
      <c r="E84" s="560">
        <v>7.1338559999999998</v>
      </c>
      <c r="F84" s="1480">
        <v>0</v>
      </c>
      <c r="G84" s="1480">
        <v>0</v>
      </c>
      <c r="H84" s="1480">
        <f t="shared" si="5"/>
        <v>0</v>
      </c>
      <c r="I84" s="1480">
        <v>0</v>
      </c>
      <c r="J84" s="1480">
        <v>0</v>
      </c>
      <c r="K84" s="1480"/>
      <c r="L84" s="1480"/>
      <c r="M84" s="1480">
        <f t="shared" si="6"/>
        <v>0</v>
      </c>
      <c r="N84" s="1480">
        <f t="shared" si="7"/>
        <v>0</v>
      </c>
      <c r="O84" s="1481">
        <f t="shared" si="8"/>
        <v>0</v>
      </c>
      <c r="P84" s="1427">
        <f t="shared" si="9"/>
        <v>0</v>
      </c>
    </row>
    <row r="85" spans="1:16" ht="31" outlineLevel="1" x14ac:dyDescent="0.25">
      <c r="A85" s="1484">
        <v>0</v>
      </c>
      <c r="B85" s="1485" t="s">
        <v>414</v>
      </c>
      <c r="C85" s="1482" t="s">
        <v>1673</v>
      </c>
      <c r="D85" s="1390">
        <v>41551</v>
      </c>
      <c r="E85" s="560">
        <v>0.87</v>
      </c>
      <c r="F85" s="1480">
        <v>0</v>
      </c>
      <c r="G85" s="1480">
        <v>0</v>
      </c>
      <c r="H85" s="1480">
        <f t="shared" si="5"/>
        <v>0</v>
      </c>
      <c r="I85" s="1480">
        <v>0</v>
      </c>
      <c r="J85" s="1480">
        <v>0</v>
      </c>
      <c r="K85" s="1480"/>
      <c r="L85" s="1480"/>
      <c r="M85" s="1480">
        <f t="shared" si="6"/>
        <v>0</v>
      </c>
      <c r="N85" s="1480">
        <f t="shared" si="7"/>
        <v>0</v>
      </c>
      <c r="O85" s="1481">
        <f t="shared" si="8"/>
        <v>0</v>
      </c>
      <c r="P85" s="1427">
        <f t="shared" si="9"/>
        <v>0</v>
      </c>
    </row>
    <row r="86" spans="1:16" ht="31" outlineLevel="1" x14ac:dyDescent="0.25">
      <c r="A86" s="1477">
        <v>13</v>
      </c>
      <c r="B86" s="1478" t="s">
        <v>1676</v>
      </c>
      <c r="C86" s="1477" t="s">
        <v>1677</v>
      </c>
      <c r="D86" s="1479">
        <v>41647</v>
      </c>
      <c r="E86" s="1383">
        <v>76.570000000000007</v>
      </c>
      <c r="F86" s="1480">
        <v>0</v>
      </c>
      <c r="G86" s="1480">
        <v>0</v>
      </c>
      <c r="H86" s="1480">
        <f t="shared" si="5"/>
        <v>0</v>
      </c>
      <c r="I86" s="1480">
        <v>0</v>
      </c>
      <c r="J86" s="1480">
        <v>0</v>
      </c>
      <c r="K86" s="1480"/>
      <c r="L86" s="1480"/>
      <c r="M86" s="1480">
        <f t="shared" si="6"/>
        <v>0</v>
      </c>
      <c r="N86" s="1480">
        <f t="shared" si="7"/>
        <v>0</v>
      </c>
      <c r="O86" s="1481">
        <f t="shared" si="8"/>
        <v>0</v>
      </c>
      <c r="P86" s="1427">
        <f t="shared" si="9"/>
        <v>0</v>
      </c>
    </row>
    <row r="87" spans="1:16" ht="31" outlineLevel="1" x14ac:dyDescent="0.25">
      <c r="A87" s="1482">
        <v>13.1</v>
      </c>
      <c r="B87" s="1483" t="s">
        <v>1678</v>
      </c>
      <c r="C87" s="1482" t="s">
        <v>1677</v>
      </c>
      <c r="D87" s="1390">
        <v>41647</v>
      </c>
      <c r="E87" s="560">
        <v>32.76</v>
      </c>
      <c r="F87" s="1480">
        <v>11.660929755000002</v>
      </c>
      <c r="G87" s="1480">
        <v>11.660929755000002</v>
      </c>
      <c r="H87" s="1480">
        <f t="shared" si="5"/>
        <v>0</v>
      </c>
      <c r="I87" s="1480">
        <v>0</v>
      </c>
      <c r="J87" s="1480">
        <v>0</v>
      </c>
      <c r="K87" s="1480"/>
      <c r="L87" s="1480"/>
      <c r="M87" s="1480">
        <f t="shared" si="6"/>
        <v>0</v>
      </c>
      <c r="N87" s="1480">
        <f t="shared" si="7"/>
        <v>0</v>
      </c>
      <c r="O87" s="1481">
        <f t="shared" si="8"/>
        <v>0</v>
      </c>
      <c r="P87" s="1427">
        <f t="shared" si="9"/>
        <v>0</v>
      </c>
    </row>
    <row r="88" spans="1:16" ht="31" outlineLevel="1" x14ac:dyDescent="0.25">
      <c r="A88" s="1482">
        <v>13.2</v>
      </c>
      <c r="B88" s="1483" t="s">
        <v>1679</v>
      </c>
      <c r="C88" s="1482" t="s">
        <v>1677</v>
      </c>
      <c r="D88" s="1390">
        <v>41647</v>
      </c>
      <c r="E88" s="560">
        <v>3.88</v>
      </c>
      <c r="F88" s="1480">
        <v>3.5012203659999996</v>
      </c>
      <c r="G88" s="1480">
        <v>3.5012203659999996</v>
      </c>
      <c r="H88" s="1480">
        <f t="shared" si="5"/>
        <v>0</v>
      </c>
      <c r="I88" s="1480">
        <v>0</v>
      </c>
      <c r="J88" s="1480">
        <v>0</v>
      </c>
      <c r="K88" s="1480"/>
      <c r="L88" s="1480"/>
      <c r="M88" s="1480">
        <f t="shared" si="6"/>
        <v>0</v>
      </c>
      <c r="N88" s="1480">
        <f t="shared" si="7"/>
        <v>0</v>
      </c>
      <c r="O88" s="1481">
        <f t="shared" si="8"/>
        <v>0</v>
      </c>
      <c r="P88" s="1427">
        <f t="shared" si="9"/>
        <v>0</v>
      </c>
    </row>
    <row r="89" spans="1:16" ht="31" outlineLevel="1" x14ac:dyDescent="0.25">
      <c r="A89" s="1482">
        <v>13.3</v>
      </c>
      <c r="B89" s="1483" t="s">
        <v>1680</v>
      </c>
      <c r="C89" s="1482" t="s">
        <v>1677</v>
      </c>
      <c r="D89" s="1390">
        <v>41647</v>
      </c>
      <c r="E89" s="560">
        <v>9.81</v>
      </c>
      <c r="F89" s="1480">
        <v>4.9252947999999996</v>
      </c>
      <c r="G89" s="1480">
        <v>4.9252947999999996</v>
      </c>
      <c r="H89" s="1480">
        <f t="shared" si="5"/>
        <v>0</v>
      </c>
      <c r="I89" s="1480">
        <v>0</v>
      </c>
      <c r="J89" s="1480">
        <v>0</v>
      </c>
      <c r="K89" s="1480"/>
      <c r="L89" s="1480"/>
      <c r="M89" s="1480">
        <f t="shared" si="6"/>
        <v>0</v>
      </c>
      <c r="N89" s="1480">
        <f t="shared" si="7"/>
        <v>0</v>
      </c>
      <c r="O89" s="1481">
        <f t="shared" si="8"/>
        <v>0</v>
      </c>
      <c r="P89" s="1427">
        <f t="shared" si="9"/>
        <v>0</v>
      </c>
    </row>
    <row r="90" spans="1:16" ht="31" outlineLevel="1" x14ac:dyDescent="0.25">
      <c r="A90" s="1482">
        <v>13.4</v>
      </c>
      <c r="B90" s="1483" t="s">
        <v>1681</v>
      </c>
      <c r="C90" s="1482" t="s">
        <v>1677</v>
      </c>
      <c r="D90" s="1390">
        <v>41647</v>
      </c>
      <c r="E90" s="560">
        <v>4.76</v>
      </c>
      <c r="F90" s="1480">
        <v>2.7667891</v>
      </c>
      <c r="G90" s="1480">
        <v>2.7667891</v>
      </c>
      <c r="H90" s="1480">
        <f t="shared" si="5"/>
        <v>0</v>
      </c>
      <c r="I90" s="1480">
        <v>0</v>
      </c>
      <c r="J90" s="1480">
        <v>0</v>
      </c>
      <c r="K90" s="1480"/>
      <c r="L90" s="1480"/>
      <c r="M90" s="1480">
        <f t="shared" si="6"/>
        <v>0</v>
      </c>
      <c r="N90" s="1480">
        <f t="shared" si="7"/>
        <v>0</v>
      </c>
      <c r="O90" s="1481">
        <f t="shared" si="8"/>
        <v>0</v>
      </c>
      <c r="P90" s="1427">
        <f t="shared" si="9"/>
        <v>0</v>
      </c>
    </row>
    <row r="91" spans="1:16" ht="31" outlineLevel="1" x14ac:dyDescent="0.25">
      <c r="A91" s="1482">
        <v>13.5</v>
      </c>
      <c r="B91" s="1483" t="s">
        <v>1682</v>
      </c>
      <c r="C91" s="1482" t="s">
        <v>1677</v>
      </c>
      <c r="D91" s="1390">
        <v>41647</v>
      </c>
      <c r="E91" s="560">
        <v>13.41</v>
      </c>
      <c r="F91" s="1480">
        <v>6.3205716000000001</v>
      </c>
      <c r="G91" s="1480">
        <v>6.3205716000000001</v>
      </c>
      <c r="H91" s="1480">
        <f t="shared" si="5"/>
        <v>0</v>
      </c>
      <c r="I91" s="1480">
        <v>0</v>
      </c>
      <c r="J91" s="1480">
        <v>0</v>
      </c>
      <c r="K91" s="1480"/>
      <c r="L91" s="1480"/>
      <c r="M91" s="1480">
        <f t="shared" si="6"/>
        <v>0</v>
      </c>
      <c r="N91" s="1480">
        <f t="shared" si="7"/>
        <v>0</v>
      </c>
      <c r="O91" s="1481">
        <f t="shared" si="8"/>
        <v>0</v>
      </c>
      <c r="P91" s="1427">
        <f t="shared" si="9"/>
        <v>0</v>
      </c>
    </row>
    <row r="92" spans="1:16" ht="31" outlineLevel="1" x14ac:dyDescent="0.25">
      <c r="A92" s="1482">
        <v>13.6</v>
      </c>
      <c r="B92" s="1483" t="s">
        <v>1683</v>
      </c>
      <c r="C92" s="1482" t="s">
        <v>1677</v>
      </c>
      <c r="D92" s="1390">
        <v>41647</v>
      </c>
      <c r="E92" s="560">
        <v>5.05</v>
      </c>
      <c r="F92" s="1480">
        <v>0</v>
      </c>
      <c r="G92" s="1480">
        <v>0</v>
      </c>
      <c r="H92" s="1480">
        <f t="shared" si="5"/>
        <v>0</v>
      </c>
      <c r="I92" s="1480">
        <v>0</v>
      </c>
      <c r="J92" s="1480">
        <v>0</v>
      </c>
      <c r="K92" s="1480"/>
      <c r="L92" s="1480"/>
      <c r="M92" s="1480">
        <f t="shared" si="6"/>
        <v>0</v>
      </c>
      <c r="N92" s="1480">
        <f t="shared" si="7"/>
        <v>0</v>
      </c>
      <c r="O92" s="1481">
        <f t="shared" si="8"/>
        <v>0</v>
      </c>
      <c r="P92" s="1427">
        <f t="shared" si="9"/>
        <v>0</v>
      </c>
    </row>
    <row r="93" spans="1:16" ht="31" outlineLevel="1" x14ac:dyDescent="0.25">
      <c r="A93" s="1482">
        <v>0</v>
      </c>
      <c r="B93" s="1483" t="s">
        <v>414</v>
      </c>
      <c r="C93" s="1482" t="s">
        <v>1677</v>
      </c>
      <c r="D93" s="1390">
        <v>41647</v>
      </c>
      <c r="E93" s="560">
        <v>6.9</v>
      </c>
      <c r="F93" s="1480">
        <v>0</v>
      </c>
      <c r="G93" s="1480">
        <v>0</v>
      </c>
      <c r="H93" s="1480">
        <f t="shared" si="5"/>
        <v>0</v>
      </c>
      <c r="I93" s="1480">
        <v>0</v>
      </c>
      <c r="J93" s="1480">
        <v>0</v>
      </c>
      <c r="K93" s="1480"/>
      <c r="L93" s="1480"/>
      <c r="M93" s="1480">
        <f t="shared" si="6"/>
        <v>0</v>
      </c>
      <c r="N93" s="1480">
        <f t="shared" si="7"/>
        <v>0</v>
      </c>
      <c r="O93" s="1481">
        <f t="shared" si="8"/>
        <v>0</v>
      </c>
      <c r="P93" s="1427">
        <f t="shared" si="9"/>
        <v>0</v>
      </c>
    </row>
    <row r="94" spans="1:16" ht="31" outlineLevel="1" x14ac:dyDescent="0.25">
      <c r="A94" s="1477">
        <v>14</v>
      </c>
      <c r="B94" s="1478" t="s">
        <v>1684</v>
      </c>
      <c r="C94" s="1477" t="s">
        <v>1685</v>
      </c>
      <c r="D94" s="1479">
        <v>41548</v>
      </c>
      <c r="E94" s="1383">
        <v>83.823654699999992</v>
      </c>
      <c r="F94" s="1480">
        <v>0</v>
      </c>
      <c r="G94" s="1480">
        <v>0</v>
      </c>
      <c r="H94" s="1480">
        <f t="shared" si="5"/>
        <v>0</v>
      </c>
      <c r="I94" s="1480">
        <v>0</v>
      </c>
      <c r="J94" s="1480">
        <v>0</v>
      </c>
      <c r="K94" s="1480"/>
      <c r="L94" s="1480"/>
      <c r="M94" s="1480">
        <f t="shared" si="6"/>
        <v>0</v>
      </c>
      <c r="N94" s="1480">
        <f t="shared" si="7"/>
        <v>0</v>
      </c>
      <c r="O94" s="1481">
        <f t="shared" si="8"/>
        <v>0</v>
      </c>
      <c r="P94" s="1427">
        <f t="shared" si="9"/>
        <v>0</v>
      </c>
    </row>
    <row r="95" spans="1:16" ht="46.5" outlineLevel="1" x14ac:dyDescent="0.25">
      <c r="A95" s="1482">
        <v>14.1</v>
      </c>
      <c r="B95" s="1483" t="s">
        <v>1686</v>
      </c>
      <c r="C95" s="1482" t="s">
        <v>1685</v>
      </c>
      <c r="D95" s="1390">
        <v>41548</v>
      </c>
      <c r="E95" s="560">
        <v>48.039384900000002</v>
      </c>
      <c r="F95" s="1480">
        <v>48.039384900000002</v>
      </c>
      <c r="G95" s="1480">
        <v>48.039384900000002</v>
      </c>
      <c r="H95" s="1480">
        <f t="shared" si="5"/>
        <v>0</v>
      </c>
      <c r="I95" s="1480">
        <v>0</v>
      </c>
      <c r="J95" s="1480">
        <v>0</v>
      </c>
      <c r="K95" s="1480"/>
      <c r="L95" s="1480"/>
      <c r="M95" s="1480">
        <f t="shared" si="6"/>
        <v>0</v>
      </c>
      <c r="N95" s="1480">
        <f t="shared" si="7"/>
        <v>0</v>
      </c>
      <c r="O95" s="1481">
        <f t="shared" si="8"/>
        <v>0</v>
      </c>
      <c r="P95" s="1427">
        <f t="shared" si="9"/>
        <v>0</v>
      </c>
    </row>
    <row r="96" spans="1:16" ht="31" outlineLevel="1" x14ac:dyDescent="0.25">
      <c r="A96" s="1482">
        <v>14.2</v>
      </c>
      <c r="B96" s="1483" t="s">
        <v>1687</v>
      </c>
      <c r="C96" s="1482" t="s">
        <v>1685</v>
      </c>
      <c r="D96" s="1390">
        <v>41548</v>
      </c>
      <c r="E96" s="560">
        <v>35.784269799999997</v>
      </c>
      <c r="F96" s="1480">
        <v>35.784269799999997</v>
      </c>
      <c r="G96" s="1480">
        <v>35.784269799999997</v>
      </c>
      <c r="H96" s="1480">
        <f t="shared" si="5"/>
        <v>0</v>
      </c>
      <c r="I96" s="1480">
        <v>0</v>
      </c>
      <c r="J96" s="1480">
        <v>0</v>
      </c>
      <c r="K96" s="1480"/>
      <c r="L96" s="1480"/>
      <c r="M96" s="1480">
        <f t="shared" si="6"/>
        <v>0</v>
      </c>
      <c r="N96" s="1480">
        <f t="shared" si="7"/>
        <v>0</v>
      </c>
      <c r="O96" s="1481">
        <f t="shared" si="8"/>
        <v>0</v>
      </c>
      <c r="P96" s="1427">
        <f t="shared" si="9"/>
        <v>0</v>
      </c>
    </row>
    <row r="97" spans="1:16" ht="31" outlineLevel="1" x14ac:dyDescent="0.25">
      <c r="A97" s="1477">
        <v>15</v>
      </c>
      <c r="B97" s="1478" t="s">
        <v>1688</v>
      </c>
      <c r="C97" s="1477" t="s">
        <v>1689</v>
      </c>
      <c r="D97" s="1479">
        <v>41565</v>
      </c>
      <c r="E97" s="1383">
        <v>11.1699751</v>
      </c>
      <c r="F97" s="1480">
        <v>0</v>
      </c>
      <c r="G97" s="1480">
        <v>0</v>
      </c>
      <c r="H97" s="1480">
        <f t="shared" si="5"/>
        <v>0</v>
      </c>
      <c r="I97" s="1480">
        <v>0</v>
      </c>
      <c r="J97" s="1480">
        <v>0</v>
      </c>
      <c r="K97" s="1480"/>
      <c r="L97" s="1480"/>
      <c r="M97" s="1480">
        <f t="shared" si="6"/>
        <v>0</v>
      </c>
      <c r="N97" s="1480">
        <f t="shared" si="7"/>
        <v>0</v>
      </c>
      <c r="O97" s="1481">
        <f t="shared" si="8"/>
        <v>0</v>
      </c>
      <c r="P97" s="1427">
        <f t="shared" si="9"/>
        <v>0</v>
      </c>
    </row>
    <row r="98" spans="1:16" ht="31" outlineLevel="1" x14ac:dyDescent="0.25">
      <c r="A98" s="1482">
        <v>15.1</v>
      </c>
      <c r="B98" s="1483" t="s">
        <v>1690</v>
      </c>
      <c r="C98" s="1482" t="s">
        <v>1689</v>
      </c>
      <c r="D98" s="1390">
        <v>41565</v>
      </c>
      <c r="E98" s="560">
        <v>8.8553540000000002</v>
      </c>
      <c r="F98" s="1480">
        <v>0</v>
      </c>
      <c r="G98" s="1480">
        <v>0</v>
      </c>
      <c r="H98" s="1480">
        <f t="shared" si="5"/>
        <v>0</v>
      </c>
      <c r="I98" s="1480">
        <v>0</v>
      </c>
      <c r="J98" s="1480">
        <v>0</v>
      </c>
      <c r="K98" s="1480"/>
      <c r="L98" s="1480"/>
      <c r="M98" s="1480">
        <f t="shared" si="6"/>
        <v>0</v>
      </c>
      <c r="N98" s="1480">
        <f t="shared" si="7"/>
        <v>0</v>
      </c>
      <c r="O98" s="1481">
        <f t="shared" si="8"/>
        <v>0</v>
      </c>
      <c r="P98" s="1427">
        <f t="shared" si="9"/>
        <v>0</v>
      </c>
    </row>
    <row r="99" spans="1:16" ht="31" outlineLevel="1" x14ac:dyDescent="0.25">
      <c r="A99" s="1482">
        <v>15.2</v>
      </c>
      <c r="B99" s="1483" t="s">
        <v>2429</v>
      </c>
      <c r="C99" s="1482" t="s">
        <v>1689</v>
      </c>
      <c r="D99" s="1390">
        <v>41565</v>
      </c>
      <c r="E99" s="560">
        <v>2.14452</v>
      </c>
      <c r="F99" s="1480">
        <v>0</v>
      </c>
      <c r="G99" s="1480">
        <v>0</v>
      </c>
      <c r="H99" s="1480">
        <f t="shared" si="5"/>
        <v>0</v>
      </c>
      <c r="I99" s="1480">
        <v>0</v>
      </c>
      <c r="J99" s="1480">
        <v>0</v>
      </c>
      <c r="K99" s="1480"/>
      <c r="L99" s="1480"/>
      <c r="M99" s="1480">
        <f t="shared" si="6"/>
        <v>0</v>
      </c>
      <c r="N99" s="1480">
        <f t="shared" si="7"/>
        <v>0</v>
      </c>
      <c r="O99" s="1481">
        <f t="shared" si="8"/>
        <v>0</v>
      </c>
      <c r="P99" s="1427">
        <f t="shared" si="9"/>
        <v>0</v>
      </c>
    </row>
    <row r="100" spans="1:16" ht="31" outlineLevel="1" x14ac:dyDescent="0.25">
      <c r="A100" s="1482">
        <v>0</v>
      </c>
      <c r="B100" s="1483" t="s">
        <v>414</v>
      </c>
      <c r="C100" s="1482" t="s">
        <v>1689</v>
      </c>
      <c r="D100" s="1390">
        <v>41565</v>
      </c>
      <c r="E100" s="560">
        <v>0.17010110000000001</v>
      </c>
      <c r="F100" s="1480">
        <v>0</v>
      </c>
      <c r="G100" s="1480">
        <v>0</v>
      </c>
      <c r="H100" s="1480">
        <f t="shared" si="5"/>
        <v>0</v>
      </c>
      <c r="I100" s="1480">
        <v>0</v>
      </c>
      <c r="J100" s="1480">
        <v>0</v>
      </c>
      <c r="K100" s="1480"/>
      <c r="L100" s="1480"/>
      <c r="M100" s="1480">
        <f t="shared" si="6"/>
        <v>0</v>
      </c>
      <c r="N100" s="1480">
        <f t="shared" si="7"/>
        <v>0</v>
      </c>
      <c r="O100" s="1481">
        <f t="shared" si="8"/>
        <v>0</v>
      </c>
      <c r="P100" s="1427">
        <f t="shared" si="9"/>
        <v>0</v>
      </c>
    </row>
    <row r="101" spans="1:16" ht="31" outlineLevel="1" x14ac:dyDescent="0.25">
      <c r="A101" s="1477">
        <v>16</v>
      </c>
      <c r="B101" s="1478" t="s">
        <v>1692</v>
      </c>
      <c r="C101" s="1477" t="s">
        <v>1693</v>
      </c>
      <c r="D101" s="1479">
        <v>41792</v>
      </c>
      <c r="E101" s="1383">
        <v>11.7446</v>
      </c>
      <c r="F101" s="1480">
        <v>0</v>
      </c>
      <c r="G101" s="1480">
        <v>0</v>
      </c>
      <c r="H101" s="1480">
        <f t="shared" si="5"/>
        <v>0</v>
      </c>
      <c r="I101" s="1480">
        <v>0</v>
      </c>
      <c r="J101" s="1480">
        <v>0</v>
      </c>
      <c r="K101" s="1480"/>
      <c r="L101" s="1480"/>
      <c r="M101" s="1480">
        <f t="shared" si="6"/>
        <v>0</v>
      </c>
      <c r="N101" s="1480">
        <f t="shared" si="7"/>
        <v>0</v>
      </c>
      <c r="O101" s="1481">
        <f t="shared" si="8"/>
        <v>0</v>
      </c>
      <c r="P101" s="1427">
        <f t="shared" si="9"/>
        <v>0</v>
      </c>
    </row>
    <row r="102" spans="1:16" ht="31" outlineLevel="1" x14ac:dyDescent="0.25">
      <c r="A102" s="1482">
        <v>16.100000000000001</v>
      </c>
      <c r="B102" s="1483" t="s">
        <v>1694</v>
      </c>
      <c r="C102" s="1482" t="s">
        <v>1693</v>
      </c>
      <c r="D102" s="1390">
        <v>41792</v>
      </c>
      <c r="E102" s="560">
        <v>5.5023</v>
      </c>
      <c r="F102" s="1480">
        <v>4.2318929900000004</v>
      </c>
      <c r="G102" s="1480">
        <v>4.2318929900000004</v>
      </c>
      <c r="H102" s="1480">
        <f t="shared" si="5"/>
        <v>0</v>
      </c>
      <c r="I102" s="1480">
        <v>0</v>
      </c>
      <c r="J102" s="1480">
        <v>0</v>
      </c>
      <c r="K102" s="1480"/>
      <c r="L102" s="1480"/>
      <c r="M102" s="1480">
        <f t="shared" si="6"/>
        <v>0</v>
      </c>
      <c r="N102" s="1480">
        <f t="shared" si="7"/>
        <v>0</v>
      </c>
      <c r="O102" s="1481">
        <f t="shared" si="8"/>
        <v>0</v>
      </c>
      <c r="P102" s="1427">
        <f t="shared" si="9"/>
        <v>0</v>
      </c>
    </row>
    <row r="103" spans="1:16" ht="31" outlineLevel="1" x14ac:dyDescent="0.25">
      <c r="A103" s="1482">
        <v>16.2</v>
      </c>
      <c r="B103" s="1483" t="s">
        <v>1695</v>
      </c>
      <c r="C103" s="1482" t="s">
        <v>1693</v>
      </c>
      <c r="D103" s="1390">
        <v>41792</v>
      </c>
      <c r="E103" s="560">
        <v>5.5023</v>
      </c>
      <c r="F103" s="1480">
        <v>4.5024009140000008</v>
      </c>
      <c r="G103" s="1480">
        <v>4.5024009140000008</v>
      </c>
      <c r="H103" s="1480">
        <f t="shared" si="5"/>
        <v>0</v>
      </c>
      <c r="I103" s="1480">
        <v>0</v>
      </c>
      <c r="J103" s="1480">
        <v>0</v>
      </c>
      <c r="K103" s="1480"/>
      <c r="L103" s="1480"/>
      <c r="M103" s="1480">
        <f t="shared" si="6"/>
        <v>0</v>
      </c>
      <c r="N103" s="1480">
        <f t="shared" si="7"/>
        <v>0</v>
      </c>
      <c r="O103" s="1481">
        <f t="shared" si="8"/>
        <v>0</v>
      </c>
      <c r="P103" s="1427">
        <f t="shared" si="9"/>
        <v>0</v>
      </c>
    </row>
    <row r="104" spans="1:16" ht="31" outlineLevel="1" x14ac:dyDescent="0.25">
      <c r="A104" s="1482">
        <v>0</v>
      </c>
      <c r="B104" s="1483" t="s">
        <v>414</v>
      </c>
      <c r="C104" s="1482" t="s">
        <v>1693</v>
      </c>
      <c r="D104" s="1390">
        <v>41792</v>
      </c>
      <c r="E104" s="560">
        <v>0.74</v>
      </c>
      <c r="F104" s="1480">
        <v>0</v>
      </c>
      <c r="G104" s="1480">
        <v>0</v>
      </c>
      <c r="H104" s="1480">
        <f t="shared" si="5"/>
        <v>0</v>
      </c>
      <c r="I104" s="1480">
        <v>0</v>
      </c>
      <c r="J104" s="1480">
        <v>0</v>
      </c>
      <c r="K104" s="1480"/>
      <c r="L104" s="1480"/>
      <c r="M104" s="1480">
        <f t="shared" si="6"/>
        <v>0</v>
      </c>
      <c r="N104" s="1480">
        <f t="shared" si="7"/>
        <v>0</v>
      </c>
      <c r="O104" s="1481">
        <f t="shared" si="8"/>
        <v>0</v>
      </c>
      <c r="P104" s="1427">
        <f t="shared" si="9"/>
        <v>0</v>
      </c>
    </row>
    <row r="105" spans="1:16" ht="31" outlineLevel="1" x14ac:dyDescent="0.25">
      <c r="A105" s="1486">
        <v>17</v>
      </c>
      <c r="B105" s="1491" t="s">
        <v>1696</v>
      </c>
      <c r="C105" s="1486" t="s">
        <v>1697</v>
      </c>
      <c r="D105" s="1487">
        <v>41928</v>
      </c>
      <c r="E105" s="1383">
        <v>19.310244699999998</v>
      </c>
      <c r="F105" s="1480">
        <v>0</v>
      </c>
      <c r="G105" s="1480">
        <v>0</v>
      </c>
      <c r="H105" s="1480">
        <f t="shared" si="5"/>
        <v>0</v>
      </c>
      <c r="I105" s="1480">
        <v>0</v>
      </c>
      <c r="J105" s="1480">
        <v>0</v>
      </c>
      <c r="K105" s="1480"/>
      <c r="L105" s="1480"/>
      <c r="M105" s="1480">
        <f t="shared" si="6"/>
        <v>0</v>
      </c>
      <c r="N105" s="1480">
        <f t="shared" si="7"/>
        <v>0</v>
      </c>
      <c r="O105" s="1481">
        <f t="shared" si="8"/>
        <v>0</v>
      </c>
      <c r="P105" s="1427">
        <f t="shared" si="9"/>
        <v>0</v>
      </c>
    </row>
    <row r="106" spans="1:16" ht="62" outlineLevel="1" x14ac:dyDescent="0.25">
      <c r="A106" s="1488">
        <v>17.100000000000001</v>
      </c>
      <c r="B106" s="1492" t="s">
        <v>1698</v>
      </c>
      <c r="C106" s="1488" t="s">
        <v>1697</v>
      </c>
      <c r="D106" s="1413">
        <v>41928</v>
      </c>
      <c r="E106" s="560">
        <v>13.5092</v>
      </c>
      <c r="F106" s="1480">
        <v>1.3517447</v>
      </c>
      <c r="G106" s="1480">
        <v>1.3517447</v>
      </c>
      <c r="H106" s="1480">
        <f t="shared" si="5"/>
        <v>0</v>
      </c>
      <c r="I106" s="1480">
        <v>4.0367752799999996</v>
      </c>
      <c r="J106" s="1480">
        <v>4.0367752799999996</v>
      </c>
      <c r="K106" s="1480"/>
      <c r="L106" s="1480"/>
      <c r="M106" s="1480">
        <f t="shared" si="6"/>
        <v>4.0367752799999996</v>
      </c>
      <c r="N106" s="1480">
        <f t="shared" si="7"/>
        <v>0</v>
      </c>
      <c r="O106" s="1481">
        <f t="shared" si="8"/>
        <v>4.0367752799999996</v>
      </c>
      <c r="P106" s="1427">
        <f t="shared" si="9"/>
        <v>0</v>
      </c>
    </row>
    <row r="107" spans="1:16" ht="93" outlineLevel="1" x14ac:dyDescent="0.25">
      <c r="A107" s="1488">
        <v>17.2</v>
      </c>
      <c r="B107" s="1492" t="s">
        <v>1699</v>
      </c>
      <c r="C107" s="1488" t="s">
        <v>1697</v>
      </c>
      <c r="D107" s="1413">
        <v>41928</v>
      </c>
      <c r="E107" s="560">
        <v>4.5510447000000003</v>
      </c>
      <c r="F107" s="1480">
        <v>0</v>
      </c>
      <c r="G107" s="1480">
        <v>0</v>
      </c>
      <c r="H107" s="1480">
        <f t="shared" si="5"/>
        <v>0</v>
      </c>
      <c r="I107" s="1480">
        <v>2.3470200000000001</v>
      </c>
      <c r="J107" s="1480">
        <v>2.3470200000000001</v>
      </c>
      <c r="K107" s="1480"/>
      <c r="L107" s="1480"/>
      <c r="M107" s="1480">
        <f t="shared" si="6"/>
        <v>2.3470200000000001</v>
      </c>
      <c r="N107" s="1480">
        <f t="shared" si="7"/>
        <v>0</v>
      </c>
      <c r="O107" s="1481">
        <f t="shared" si="8"/>
        <v>2.3470200000000001</v>
      </c>
      <c r="P107" s="1427">
        <f t="shared" si="9"/>
        <v>0</v>
      </c>
    </row>
    <row r="108" spans="1:16" ht="31" outlineLevel="1" x14ac:dyDescent="0.25">
      <c r="A108" s="1482">
        <v>0</v>
      </c>
      <c r="B108" s="1483" t="s">
        <v>414</v>
      </c>
      <c r="C108" s="1482" t="s">
        <v>1697</v>
      </c>
      <c r="D108" s="1390">
        <v>41928</v>
      </c>
      <c r="E108" s="560">
        <v>1.25</v>
      </c>
      <c r="F108" s="1480">
        <v>0</v>
      </c>
      <c r="G108" s="1480">
        <v>0</v>
      </c>
      <c r="H108" s="1480">
        <f t="shared" si="5"/>
        <v>0</v>
      </c>
      <c r="I108" s="1480">
        <v>0</v>
      </c>
      <c r="J108" s="1480">
        <v>0</v>
      </c>
      <c r="K108" s="1480"/>
      <c r="L108" s="1480"/>
      <c r="M108" s="1480">
        <f t="shared" si="6"/>
        <v>0</v>
      </c>
      <c r="N108" s="1480">
        <f t="shared" si="7"/>
        <v>0</v>
      </c>
      <c r="O108" s="1481">
        <f t="shared" si="8"/>
        <v>0</v>
      </c>
      <c r="P108" s="1427">
        <f t="shared" si="9"/>
        <v>0</v>
      </c>
    </row>
    <row r="109" spans="1:16" ht="31" outlineLevel="1" x14ac:dyDescent="0.25">
      <c r="A109" s="1477">
        <v>18</v>
      </c>
      <c r="B109" s="1478" t="s">
        <v>1700</v>
      </c>
      <c r="C109" s="1477" t="s">
        <v>1701</v>
      </c>
      <c r="D109" s="1479">
        <v>41968</v>
      </c>
      <c r="E109" s="1383">
        <v>11.914453259999998</v>
      </c>
      <c r="F109" s="1480">
        <v>0</v>
      </c>
      <c r="G109" s="1480">
        <v>0</v>
      </c>
      <c r="H109" s="1480">
        <f t="shared" si="5"/>
        <v>0</v>
      </c>
      <c r="I109" s="1480">
        <v>0</v>
      </c>
      <c r="J109" s="1480">
        <v>0</v>
      </c>
      <c r="K109" s="1480"/>
      <c r="L109" s="1480"/>
      <c r="M109" s="1480">
        <f t="shared" si="6"/>
        <v>0</v>
      </c>
      <c r="N109" s="1480">
        <f t="shared" si="7"/>
        <v>0</v>
      </c>
      <c r="O109" s="1481">
        <f t="shared" si="8"/>
        <v>0</v>
      </c>
      <c r="P109" s="1427">
        <f t="shared" si="9"/>
        <v>0</v>
      </c>
    </row>
    <row r="110" spans="1:16" ht="62" outlineLevel="1" x14ac:dyDescent="0.25">
      <c r="A110" s="1482">
        <v>18.100000000000001</v>
      </c>
      <c r="B110" s="1483" t="s">
        <v>1702</v>
      </c>
      <c r="C110" s="1482" t="s">
        <v>1701</v>
      </c>
      <c r="D110" s="1390">
        <v>41968</v>
      </c>
      <c r="E110" s="560">
        <v>4.4387999999999996</v>
      </c>
      <c r="F110" s="1480">
        <v>1.621920096</v>
      </c>
      <c r="G110" s="1480">
        <v>1.621920096</v>
      </c>
      <c r="H110" s="1480">
        <f t="shared" si="5"/>
        <v>0</v>
      </c>
      <c r="I110" s="1480">
        <v>0</v>
      </c>
      <c r="J110" s="1480">
        <v>0</v>
      </c>
      <c r="K110" s="1480"/>
      <c r="L110" s="1480"/>
      <c r="M110" s="1480">
        <f t="shared" si="6"/>
        <v>0</v>
      </c>
      <c r="N110" s="1480">
        <f t="shared" si="7"/>
        <v>0</v>
      </c>
      <c r="O110" s="1481">
        <f t="shared" si="8"/>
        <v>0</v>
      </c>
      <c r="P110" s="1427">
        <f t="shared" si="9"/>
        <v>0</v>
      </c>
    </row>
    <row r="111" spans="1:16" ht="31" outlineLevel="1" x14ac:dyDescent="0.25">
      <c r="A111" s="1482">
        <v>18.2</v>
      </c>
      <c r="B111" s="1483" t="s">
        <v>1703</v>
      </c>
      <c r="C111" s="1482" t="s">
        <v>1701</v>
      </c>
      <c r="D111" s="1390">
        <v>41968</v>
      </c>
      <c r="E111" s="560">
        <v>2.2756532600000003</v>
      </c>
      <c r="F111" s="1480">
        <v>2.2756532600000003</v>
      </c>
      <c r="G111" s="1480">
        <v>2.2756532600000003</v>
      </c>
      <c r="H111" s="1480">
        <f t="shared" si="5"/>
        <v>0</v>
      </c>
      <c r="I111" s="1480">
        <v>0</v>
      </c>
      <c r="J111" s="1480">
        <v>0</v>
      </c>
      <c r="K111" s="1480"/>
      <c r="L111" s="1480"/>
      <c r="M111" s="1480">
        <f t="shared" si="6"/>
        <v>0</v>
      </c>
      <c r="N111" s="1480">
        <f t="shared" si="7"/>
        <v>0</v>
      </c>
      <c r="O111" s="1481">
        <f t="shared" si="8"/>
        <v>0</v>
      </c>
      <c r="P111" s="1427">
        <f t="shared" si="9"/>
        <v>0</v>
      </c>
    </row>
    <row r="112" spans="1:16" ht="62" outlineLevel="1" x14ac:dyDescent="0.25">
      <c r="A112" s="1482">
        <v>18.3</v>
      </c>
      <c r="B112" s="1483" t="s">
        <v>1704</v>
      </c>
      <c r="C112" s="1482" t="s">
        <v>1701</v>
      </c>
      <c r="D112" s="1390">
        <v>41968</v>
      </c>
      <c r="E112" s="560">
        <v>4.4664999999999999</v>
      </c>
      <c r="F112" s="1480">
        <v>2.2257651389999999</v>
      </c>
      <c r="G112" s="1480">
        <v>2.2257651389999999</v>
      </c>
      <c r="H112" s="1480">
        <f t="shared" si="5"/>
        <v>0</v>
      </c>
      <c r="I112" s="1480">
        <v>0</v>
      </c>
      <c r="J112" s="1480">
        <v>0</v>
      </c>
      <c r="K112" s="1480"/>
      <c r="L112" s="1480"/>
      <c r="M112" s="1480">
        <f t="shared" si="6"/>
        <v>0</v>
      </c>
      <c r="N112" s="1480">
        <f t="shared" si="7"/>
        <v>0</v>
      </c>
      <c r="O112" s="1481">
        <f t="shared" si="8"/>
        <v>0</v>
      </c>
      <c r="P112" s="1427">
        <f t="shared" si="9"/>
        <v>0</v>
      </c>
    </row>
    <row r="113" spans="1:16" ht="31" outlineLevel="1" x14ac:dyDescent="0.25">
      <c r="A113" s="1482">
        <v>0</v>
      </c>
      <c r="B113" s="1483" t="s">
        <v>414</v>
      </c>
      <c r="C113" s="1482" t="s">
        <v>1701</v>
      </c>
      <c r="D113" s="1390">
        <v>41968</v>
      </c>
      <c r="E113" s="560">
        <v>0.73350000000000004</v>
      </c>
      <c r="F113" s="1480">
        <v>0</v>
      </c>
      <c r="G113" s="1480">
        <v>0</v>
      </c>
      <c r="H113" s="1480">
        <f t="shared" si="5"/>
        <v>0</v>
      </c>
      <c r="I113" s="1480">
        <v>0</v>
      </c>
      <c r="J113" s="1480">
        <v>0</v>
      </c>
      <c r="K113" s="1480"/>
      <c r="L113" s="1480"/>
      <c r="M113" s="1480">
        <f t="shared" si="6"/>
        <v>0</v>
      </c>
      <c r="N113" s="1480">
        <f t="shared" si="7"/>
        <v>0</v>
      </c>
      <c r="O113" s="1481">
        <f t="shared" si="8"/>
        <v>0</v>
      </c>
      <c r="P113" s="1427">
        <f t="shared" si="9"/>
        <v>0</v>
      </c>
    </row>
    <row r="114" spans="1:16" ht="31" outlineLevel="1" x14ac:dyDescent="0.25">
      <c r="A114" s="1477">
        <v>19</v>
      </c>
      <c r="B114" s="1478" t="s">
        <v>1705</v>
      </c>
      <c r="C114" s="1477" t="s">
        <v>1706</v>
      </c>
      <c r="D114" s="1479">
        <v>41893</v>
      </c>
      <c r="E114" s="1383">
        <v>13.163734</v>
      </c>
      <c r="F114" s="1480">
        <v>0</v>
      </c>
      <c r="G114" s="1480">
        <v>0</v>
      </c>
      <c r="H114" s="1480">
        <f t="shared" si="5"/>
        <v>0</v>
      </c>
      <c r="I114" s="1480">
        <v>0</v>
      </c>
      <c r="J114" s="1480">
        <v>0</v>
      </c>
      <c r="K114" s="1480"/>
      <c r="L114" s="1480"/>
      <c r="M114" s="1480">
        <f t="shared" si="6"/>
        <v>0</v>
      </c>
      <c r="N114" s="1480">
        <f t="shared" si="7"/>
        <v>0</v>
      </c>
      <c r="O114" s="1481">
        <f t="shared" si="8"/>
        <v>0</v>
      </c>
      <c r="P114" s="1427">
        <f t="shared" si="9"/>
        <v>0</v>
      </c>
    </row>
    <row r="115" spans="1:16" ht="31" outlineLevel="1" x14ac:dyDescent="0.25">
      <c r="A115" s="1482">
        <v>19.100000000000001</v>
      </c>
      <c r="B115" s="1483" t="s">
        <v>1707</v>
      </c>
      <c r="C115" s="1482" t="s">
        <v>1706</v>
      </c>
      <c r="D115" s="1390">
        <v>41893</v>
      </c>
      <c r="E115" s="560">
        <v>4.87</v>
      </c>
      <c r="F115" s="1480">
        <v>2.8937499999999998</v>
      </c>
      <c r="G115" s="1480">
        <v>2.8937499999999998</v>
      </c>
      <c r="H115" s="1480">
        <f t="shared" si="5"/>
        <v>0</v>
      </c>
      <c r="I115" s="1480">
        <v>0</v>
      </c>
      <c r="J115" s="1480">
        <v>0</v>
      </c>
      <c r="K115" s="1480"/>
      <c r="L115" s="1480"/>
      <c r="M115" s="1480">
        <f t="shared" si="6"/>
        <v>0</v>
      </c>
      <c r="N115" s="1480">
        <f t="shared" si="7"/>
        <v>0</v>
      </c>
      <c r="O115" s="1481">
        <f t="shared" si="8"/>
        <v>0</v>
      </c>
      <c r="P115" s="1427">
        <f t="shared" si="9"/>
        <v>0</v>
      </c>
    </row>
    <row r="116" spans="1:16" ht="31" outlineLevel="1" x14ac:dyDescent="0.25">
      <c r="A116" s="1482">
        <v>19.2</v>
      </c>
      <c r="B116" s="1483" t="s">
        <v>1708</v>
      </c>
      <c r="C116" s="1482" t="s">
        <v>1706</v>
      </c>
      <c r="D116" s="1390">
        <v>41893</v>
      </c>
      <c r="E116" s="560">
        <v>7.0937340000000004</v>
      </c>
      <c r="F116" s="1480">
        <v>6.1698368290000003</v>
      </c>
      <c r="G116" s="1480">
        <v>6.1698368290000003</v>
      </c>
      <c r="H116" s="1480">
        <f t="shared" si="5"/>
        <v>0</v>
      </c>
      <c r="I116" s="1480">
        <v>0</v>
      </c>
      <c r="J116" s="1480">
        <v>0</v>
      </c>
      <c r="K116" s="1480"/>
      <c r="L116" s="1480"/>
      <c r="M116" s="1480">
        <f t="shared" si="6"/>
        <v>0</v>
      </c>
      <c r="N116" s="1480">
        <f t="shared" si="7"/>
        <v>0</v>
      </c>
      <c r="O116" s="1481">
        <f t="shared" si="8"/>
        <v>0</v>
      </c>
      <c r="P116" s="1427">
        <f t="shared" si="9"/>
        <v>0</v>
      </c>
    </row>
    <row r="117" spans="1:16" ht="31" outlineLevel="1" x14ac:dyDescent="0.25">
      <c r="A117" s="1482">
        <v>0</v>
      </c>
      <c r="B117" s="1483" t="s">
        <v>414</v>
      </c>
      <c r="C117" s="1482" t="s">
        <v>1706</v>
      </c>
      <c r="D117" s="1390">
        <v>41893</v>
      </c>
      <c r="E117" s="560">
        <v>1.2</v>
      </c>
      <c r="F117" s="1480">
        <v>0</v>
      </c>
      <c r="G117" s="1480">
        <v>0</v>
      </c>
      <c r="H117" s="1480">
        <f t="shared" si="5"/>
        <v>0</v>
      </c>
      <c r="I117" s="1480">
        <v>0</v>
      </c>
      <c r="J117" s="1480">
        <v>0</v>
      </c>
      <c r="K117" s="1480"/>
      <c r="L117" s="1480"/>
      <c r="M117" s="1480">
        <f t="shared" si="6"/>
        <v>0</v>
      </c>
      <c r="N117" s="1480">
        <f t="shared" si="7"/>
        <v>0</v>
      </c>
      <c r="O117" s="1481">
        <f t="shared" si="8"/>
        <v>0</v>
      </c>
      <c r="P117" s="1427">
        <f t="shared" si="9"/>
        <v>0</v>
      </c>
    </row>
    <row r="118" spans="1:16" ht="31" outlineLevel="1" x14ac:dyDescent="0.25">
      <c r="A118" s="1477">
        <v>20</v>
      </c>
      <c r="B118" s="1478" t="s">
        <v>1709</v>
      </c>
      <c r="C118" s="1477" t="s">
        <v>1710</v>
      </c>
      <c r="D118" s="1479">
        <v>42256</v>
      </c>
      <c r="E118" s="1383">
        <v>16.303000000000001</v>
      </c>
      <c r="F118" s="1480">
        <v>0</v>
      </c>
      <c r="G118" s="1480">
        <v>0</v>
      </c>
      <c r="H118" s="1480">
        <f t="shared" si="5"/>
        <v>0</v>
      </c>
      <c r="I118" s="1480">
        <v>0</v>
      </c>
      <c r="J118" s="1480">
        <v>0</v>
      </c>
      <c r="K118" s="1480"/>
      <c r="L118" s="1480"/>
      <c r="M118" s="1480">
        <f t="shared" si="6"/>
        <v>0</v>
      </c>
      <c r="N118" s="1480">
        <f t="shared" si="7"/>
        <v>0</v>
      </c>
      <c r="O118" s="1481">
        <f t="shared" si="8"/>
        <v>0</v>
      </c>
      <c r="P118" s="1427">
        <f t="shared" si="9"/>
        <v>0</v>
      </c>
    </row>
    <row r="119" spans="1:16" ht="31" outlineLevel="1" x14ac:dyDescent="0.25">
      <c r="A119" s="1482">
        <v>20.100000000000001</v>
      </c>
      <c r="B119" s="1483" t="s">
        <v>1711</v>
      </c>
      <c r="C119" s="1482" t="s">
        <v>1710</v>
      </c>
      <c r="D119" s="1390">
        <v>42256</v>
      </c>
      <c r="E119" s="560">
        <v>1.077</v>
      </c>
      <c r="F119" s="1480">
        <v>0.90834481999999994</v>
      </c>
      <c r="G119" s="1480">
        <v>0.90834481999999994</v>
      </c>
      <c r="H119" s="1480">
        <f t="shared" si="5"/>
        <v>0</v>
      </c>
      <c r="I119" s="1480">
        <v>0</v>
      </c>
      <c r="J119" s="1480">
        <v>0</v>
      </c>
      <c r="K119" s="1480"/>
      <c r="L119" s="1480"/>
      <c r="M119" s="1480">
        <f t="shared" si="6"/>
        <v>0</v>
      </c>
      <c r="N119" s="1480">
        <f t="shared" si="7"/>
        <v>0</v>
      </c>
      <c r="O119" s="1481">
        <f t="shared" si="8"/>
        <v>0</v>
      </c>
      <c r="P119" s="1427">
        <f t="shared" si="9"/>
        <v>0</v>
      </c>
    </row>
    <row r="120" spans="1:16" ht="62" outlineLevel="1" x14ac:dyDescent="0.25">
      <c r="A120" s="1482">
        <v>20.2</v>
      </c>
      <c r="B120" s="1483" t="s">
        <v>1712</v>
      </c>
      <c r="C120" s="1482" t="s">
        <v>1710</v>
      </c>
      <c r="D120" s="1390">
        <v>42256</v>
      </c>
      <c r="E120" s="560">
        <v>5.7590000000000003</v>
      </c>
      <c r="F120" s="1480">
        <v>2.894304</v>
      </c>
      <c r="G120" s="1480">
        <v>2.894304</v>
      </c>
      <c r="H120" s="1480">
        <f t="shared" si="5"/>
        <v>0</v>
      </c>
      <c r="I120" s="1480">
        <v>0</v>
      </c>
      <c r="J120" s="1480">
        <v>0</v>
      </c>
      <c r="K120" s="1480"/>
      <c r="L120" s="1480"/>
      <c r="M120" s="1480">
        <f t="shared" si="6"/>
        <v>0</v>
      </c>
      <c r="N120" s="1480">
        <f t="shared" si="7"/>
        <v>0</v>
      </c>
      <c r="O120" s="1481">
        <f t="shared" si="8"/>
        <v>0</v>
      </c>
      <c r="P120" s="1427">
        <f t="shared" si="9"/>
        <v>0</v>
      </c>
    </row>
    <row r="121" spans="1:16" ht="31" outlineLevel="1" x14ac:dyDescent="0.25">
      <c r="A121" s="1482">
        <v>20.3</v>
      </c>
      <c r="B121" s="1483" t="s">
        <v>1713</v>
      </c>
      <c r="C121" s="1482" t="s">
        <v>1710</v>
      </c>
      <c r="D121" s="1390">
        <v>42256</v>
      </c>
      <c r="E121" s="560">
        <v>5.12</v>
      </c>
      <c r="F121" s="1480">
        <v>7.9707386820000004</v>
      </c>
      <c r="G121" s="1480">
        <v>7.9707386820000004</v>
      </c>
      <c r="H121" s="1480">
        <f t="shared" si="5"/>
        <v>0</v>
      </c>
      <c r="I121" s="1480">
        <v>0</v>
      </c>
      <c r="J121" s="1480">
        <v>0</v>
      </c>
      <c r="K121" s="1480"/>
      <c r="L121" s="1480"/>
      <c r="M121" s="1480">
        <f t="shared" si="6"/>
        <v>0</v>
      </c>
      <c r="N121" s="1480">
        <f t="shared" si="7"/>
        <v>0</v>
      </c>
      <c r="O121" s="1481">
        <f t="shared" si="8"/>
        <v>0</v>
      </c>
      <c r="P121" s="1427">
        <f t="shared" si="9"/>
        <v>0</v>
      </c>
    </row>
    <row r="122" spans="1:16" ht="31" outlineLevel="1" x14ac:dyDescent="0.25">
      <c r="A122" s="1482">
        <v>20.399999999999999</v>
      </c>
      <c r="B122" s="1483" t="s">
        <v>1714</v>
      </c>
      <c r="C122" s="1482" t="s">
        <v>1710</v>
      </c>
      <c r="D122" s="1390">
        <v>42256</v>
      </c>
      <c r="E122" s="560">
        <v>3.8969999999999998</v>
      </c>
      <c r="F122" s="1480">
        <v>4.488435977</v>
      </c>
      <c r="G122" s="1480">
        <v>4.488435977</v>
      </c>
      <c r="H122" s="1480">
        <f t="shared" si="5"/>
        <v>0</v>
      </c>
      <c r="I122" s="1480">
        <v>0</v>
      </c>
      <c r="J122" s="1480">
        <v>0</v>
      </c>
      <c r="K122" s="1480"/>
      <c r="L122" s="1480"/>
      <c r="M122" s="1480">
        <f t="shared" si="6"/>
        <v>0</v>
      </c>
      <c r="N122" s="1480">
        <f t="shared" si="7"/>
        <v>0</v>
      </c>
      <c r="O122" s="1481">
        <f t="shared" si="8"/>
        <v>0</v>
      </c>
      <c r="P122" s="1427">
        <f t="shared" si="9"/>
        <v>0</v>
      </c>
    </row>
    <row r="123" spans="1:16" ht="31" outlineLevel="1" x14ac:dyDescent="0.25">
      <c r="A123" s="1482">
        <v>0</v>
      </c>
      <c r="B123" s="1483" t="s">
        <v>414</v>
      </c>
      <c r="C123" s="1482" t="s">
        <v>1710</v>
      </c>
      <c r="D123" s="1390">
        <v>42256</v>
      </c>
      <c r="E123" s="560">
        <v>0.45</v>
      </c>
      <c r="F123" s="1480">
        <v>0</v>
      </c>
      <c r="G123" s="1480">
        <v>0</v>
      </c>
      <c r="H123" s="1480">
        <f t="shared" si="5"/>
        <v>0</v>
      </c>
      <c r="I123" s="1480">
        <v>0</v>
      </c>
      <c r="J123" s="1480">
        <v>0</v>
      </c>
      <c r="K123" s="1480"/>
      <c r="L123" s="1480"/>
      <c r="M123" s="1480">
        <f t="shared" si="6"/>
        <v>0</v>
      </c>
      <c r="N123" s="1480">
        <f t="shared" si="7"/>
        <v>0</v>
      </c>
      <c r="O123" s="1481">
        <f t="shared" si="8"/>
        <v>0</v>
      </c>
      <c r="P123" s="1427">
        <f t="shared" si="9"/>
        <v>0</v>
      </c>
    </row>
    <row r="124" spans="1:16" ht="15.5" outlineLevel="1" x14ac:dyDescent="0.25">
      <c r="A124" s="1489">
        <v>21</v>
      </c>
      <c r="B124" s="1490" t="s">
        <v>1715</v>
      </c>
      <c r="C124" s="1477" t="s">
        <v>1716</v>
      </c>
      <c r="D124" s="1479">
        <v>42500</v>
      </c>
      <c r="E124" s="1383">
        <v>10.499999999999998</v>
      </c>
      <c r="F124" s="1480">
        <v>0</v>
      </c>
      <c r="G124" s="1480">
        <v>0</v>
      </c>
      <c r="H124" s="1480">
        <f t="shared" si="5"/>
        <v>0</v>
      </c>
      <c r="I124" s="1480">
        <v>0</v>
      </c>
      <c r="J124" s="1480">
        <v>0</v>
      </c>
      <c r="K124" s="1480"/>
      <c r="L124" s="1480"/>
      <c r="M124" s="1480">
        <f t="shared" si="6"/>
        <v>0</v>
      </c>
      <c r="N124" s="1480">
        <f t="shared" si="7"/>
        <v>0</v>
      </c>
      <c r="O124" s="1481">
        <f t="shared" si="8"/>
        <v>0</v>
      </c>
      <c r="P124" s="1427">
        <f t="shared" si="9"/>
        <v>0</v>
      </c>
    </row>
    <row r="125" spans="1:16" ht="31" outlineLevel="1" x14ac:dyDescent="0.25">
      <c r="A125" s="1484">
        <v>21.1</v>
      </c>
      <c r="B125" s="1485" t="s">
        <v>1717</v>
      </c>
      <c r="C125" s="1482" t="s">
        <v>1716</v>
      </c>
      <c r="D125" s="1390">
        <v>42500</v>
      </c>
      <c r="E125" s="560">
        <v>2.71</v>
      </c>
      <c r="F125" s="1480">
        <v>3.7130741999999999</v>
      </c>
      <c r="G125" s="1480">
        <v>3.7130741</v>
      </c>
      <c r="H125" s="1480">
        <f t="shared" si="5"/>
        <v>9.9999999836342113E-8</v>
      </c>
      <c r="I125" s="1480">
        <v>0</v>
      </c>
      <c r="J125" s="1480">
        <v>0</v>
      </c>
      <c r="K125" s="1480"/>
      <c r="L125" s="1480"/>
      <c r="M125" s="1480">
        <f t="shared" si="6"/>
        <v>0</v>
      </c>
      <c r="N125" s="1480">
        <f t="shared" si="7"/>
        <v>9.9999999836342113E-8</v>
      </c>
      <c r="O125" s="1481">
        <f t="shared" si="8"/>
        <v>0</v>
      </c>
      <c r="P125" s="1427">
        <f t="shared" si="9"/>
        <v>0</v>
      </c>
    </row>
    <row r="126" spans="1:16" ht="31" outlineLevel="1" x14ac:dyDescent="0.25">
      <c r="A126" s="1484">
        <v>21.2</v>
      </c>
      <c r="B126" s="1485" t="s">
        <v>2430</v>
      </c>
      <c r="C126" s="1482" t="s">
        <v>1716</v>
      </c>
      <c r="D126" s="1390">
        <v>42500</v>
      </c>
      <c r="E126" s="560">
        <v>0.55000000000000004</v>
      </c>
      <c r="F126" s="1480">
        <v>0.53016459999999999</v>
      </c>
      <c r="G126" s="1480">
        <v>0.53016459999999999</v>
      </c>
      <c r="H126" s="1480">
        <f t="shared" si="5"/>
        <v>0</v>
      </c>
      <c r="I126" s="1480">
        <v>0</v>
      </c>
      <c r="J126" s="1480">
        <v>0</v>
      </c>
      <c r="K126" s="1480"/>
      <c r="L126" s="1480"/>
      <c r="M126" s="1480">
        <f t="shared" si="6"/>
        <v>0</v>
      </c>
      <c r="N126" s="1480">
        <f t="shared" si="7"/>
        <v>0</v>
      </c>
      <c r="O126" s="1481">
        <f t="shared" si="8"/>
        <v>0</v>
      </c>
      <c r="P126" s="1427">
        <f t="shared" si="9"/>
        <v>0</v>
      </c>
    </row>
    <row r="127" spans="1:16" ht="31" outlineLevel="1" x14ac:dyDescent="0.25">
      <c r="A127" s="1484">
        <v>21.3</v>
      </c>
      <c r="B127" s="1485" t="s">
        <v>1719</v>
      </c>
      <c r="C127" s="1482" t="s">
        <v>1716</v>
      </c>
      <c r="D127" s="1390">
        <v>42500</v>
      </c>
      <c r="E127" s="560">
        <v>3.12</v>
      </c>
      <c r="F127" s="1480">
        <v>3.5539240080000001</v>
      </c>
      <c r="G127" s="1480">
        <v>3.5539240080000001</v>
      </c>
      <c r="H127" s="1480">
        <f t="shared" si="5"/>
        <v>0</v>
      </c>
      <c r="I127" s="1480">
        <v>0</v>
      </c>
      <c r="J127" s="1480">
        <v>0</v>
      </c>
      <c r="K127" s="1480"/>
      <c r="L127" s="1480"/>
      <c r="M127" s="1480">
        <f t="shared" si="6"/>
        <v>0</v>
      </c>
      <c r="N127" s="1480">
        <f t="shared" si="7"/>
        <v>0</v>
      </c>
      <c r="O127" s="1481">
        <f t="shared" si="8"/>
        <v>0</v>
      </c>
      <c r="P127" s="1427">
        <f t="shared" si="9"/>
        <v>0</v>
      </c>
    </row>
    <row r="128" spans="1:16" ht="15.5" outlineLevel="1" x14ac:dyDescent="0.25">
      <c r="A128" s="1484">
        <v>21.4</v>
      </c>
      <c r="B128" s="1485" t="s">
        <v>1720</v>
      </c>
      <c r="C128" s="1482" t="s">
        <v>1716</v>
      </c>
      <c r="D128" s="1390">
        <v>42500</v>
      </c>
      <c r="E128" s="560">
        <v>2.34</v>
      </c>
      <c r="F128" s="1480">
        <v>3.1297609999999998</v>
      </c>
      <c r="G128" s="1480">
        <v>3.1297609999999998</v>
      </c>
      <c r="H128" s="1480">
        <f t="shared" si="5"/>
        <v>0</v>
      </c>
      <c r="I128" s="1480">
        <v>0.19437573600000002</v>
      </c>
      <c r="J128" s="1480">
        <v>0.19437573600000002</v>
      </c>
      <c r="K128" s="1480"/>
      <c r="L128" s="1480"/>
      <c r="M128" s="1480">
        <f t="shared" si="6"/>
        <v>0.19437573600000002</v>
      </c>
      <c r="N128" s="1480">
        <f t="shared" si="7"/>
        <v>0</v>
      </c>
      <c r="O128" s="1481">
        <f t="shared" si="8"/>
        <v>0</v>
      </c>
      <c r="P128" s="1427">
        <f t="shared" si="9"/>
        <v>0.19437573600000002</v>
      </c>
    </row>
    <row r="129" spans="1:16" ht="46.5" outlineLevel="1" x14ac:dyDescent="0.25">
      <c r="A129" s="1484">
        <v>21.5</v>
      </c>
      <c r="B129" s="1485" t="s">
        <v>1721</v>
      </c>
      <c r="C129" s="1482" t="s">
        <v>1716</v>
      </c>
      <c r="D129" s="1390">
        <v>42500</v>
      </c>
      <c r="E129" s="560">
        <v>1.03</v>
      </c>
      <c r="F129" s="1480">
        <v>1.1915800000000001</v>
      </c>
      <c r="G129" s="1480">
        <v>1.1915800000000001</v>
      </c>
      <c r="H129" s="1480">
        <f t="shared" si="5"/>
        <v>0</v>
      </c>
      <c r="I129" s="1480">
        <v>0</v>
      </c>
      <c r="J129" s="1480">
        <v>0</v>
      </c>
      <c r="K129" s="1480"/>
      <c r="L129" s="1480"/>
      <c r="M129" s="1480">
        <f t="shared" si="6"/>
        <v>0</v>
      </c>
      <c r="N129" s="1480">
        <f t="shared" si="7"/>
        <v>0</v>
      </c>
      <c r="O129" s="1481">
        <f t="shared" si="8"/>
        <v>0</v>
      </c>
      <c r="P129" s="1427">
        <f t="shared" si="9"/>
        <v>0</v>
      </c>
    </row>
    <row r="130" spans="1:16" ht="15.5" outlineLevel="1" x14ac:dyDescent="0.25">
      <c r="A130" s="1484">
        <v>0</v>
      </c>
      <c r="B130" s="1485" t="s">
        <v>414</v>
      </c>
      <c r="C130" s="1482" t="s">
        <v>1716</v>
      </c>
      <c r="D130" s="1390">
        <v>42500</v>
      </c>
      <c r="E130" s="560">
        <v>0.75</v>
      </c>
      <c r="F130" s="1480">
        <v>0</v>
      </c>
      <c r="G130" s="1480">
        <v>0</v>
      </c>
      <c r="H130" s="1480">
        <f t="shared" si="5"/>
        <v>0</v>
      </c>
      <c r="I130" s="1480">
        <v>0</v>
      </c>
      <c r="J130" s="1480">
        <v>0</v>
      </c>
      <c r="K130" s="1480"/>
      <c r="L130" s="1480"/>
      <c r="M130" s="1480">
        <f t="shared" si="6"/>
        <v>0</v>
      </c>
      <c r="N130" s="1480">
        <f t="shared" si="7"/>
        <v>0</v>
      </c>
      <c r="O130" s="1481">
        <f t="shared" si="8"/>
        <v>0</v>
      </c>
      <c r="P130" s="1427">
        <f t="shared" si="9"/>
        <v>0</v>
      </c>
    </row>
    <row r="131" spans="1:16" ht="31" outlineLevel="1" x14ac:dyDescent="0.25">
      <c r="A131" s="1489">
        <v>22</v>
      </c>
      <c r="B131" s="1490" t="s">
        <v>1722</v>
      </c>
      <c r="C131" s="1486" t="s">
        <v>1723</v>
      </c>
      <c r="D131" s="1487">
        <v>42584</v>
      </c>
      <c r="E131" s="1383">
        <v>18.170000000000002</v>
      </c>
      <c r="F131" s="1480">
        <v>0</v>
      </c>
      <c r="G131" s="1480">
        <v>0</v>
      </c>
      <c r="H131" s="1480">
        <f t="shared" si="5"/>
        <v>0</v>
      </c>
      <c r="I131" s="1480">
        <v>0</v>
      </c>
      <c r="J131" s="1480">
        <v>0</v>
      </c>
      <c r="K131" s="1480"/>
      <c r="L131" s="1480"/>
      <c r="M131" s="1480">
        <f t="shared" si="6"/>
        <v>0</v>
      </c>
      <c r="N131" s="1480">
        <f t="shared" si="7"/>
        <v>0</v>
      </c>
      <c r="O131" s="1481">
        <f t="shared" si="8"/>
        <v>0</v>
      </c>
      <c r="P131" s="1427">
        <f t="shared" si="9"/>
        <v>0</v>
      </c>
    </row>
    <row r="132" spans="1:16" ht="31" outlineLevel="1" x14ac:dyDescent="0.25">
      <c r="A132" s="1484">
        <v>22.1</v>
      </c>
      <c r="B132" s="1485" t="s">
        <v>1724</v>
      </c>
      <c r="C132" s="1488" t="s">
        <v>1723</v>
      </c>
      <c r="D132" s="1413">
        <v>42584</v>
      </c>
      <c r="E132" s="560">
        <v>4.6100000000000003</v>
      </c>
      <c r="F132" s="1480">
        <v>3.8048728999999999</v>
      </c>
      <c r="G132" s="1480">
        <v>3.8048728999999999</v>
      </c>
      <c r="H132" s="1480">
        <f t="shared" si="5"/>
        <v>0</v>
      </c>
      <c r="I132" s="1480">
        <v>0.10730581400000005</v>
      </c>
      <c r="J132" s="1480">
        <v>0.10730581399999999</v>
      </c>
      <c r="K132" s="1480"/>
      <c r="L132" s="1480"/>
      <c r="M132" s="1480">
        <f t="shared" si="6"/>
        <v>0.10730581399999999</v>
      </c>
      <c r="N132" s="1480">
        <f t="shared" si="7"/>
        <v>0</v>
      </c>
      <c r="O132" s="1481">
        <f t="shared" si="8"/>
        <v>0.10730581399999999</v>
      </c>
      <c r="P132" s="1427">
        <f t="shared" si="9"/>
        <v>0</v>
      </c>
    </row>
    <row r="133" spans="1:16" ht="31" outlineLevel="1" x14ac:dyDescent="0.25">
      <c r="A133" s="1484">
        <v>22.2</v>
      </c>
      <c r="B133" s="1485" t="s">
        <v>1725</v>
      </c>
      <c r="C133" s="1488" t="s">
        <v>1723</v>
      </c>
      <c r="D133" s="1413">
        <v>42584</v>
      </c>
      <c r="E133" s="560">
        <v>4.6100000000000003</v>
      </c>
      <c r="F133" s="1480">
        <v>0</v>
      </c>
      <c r="G133" s="1480">
        <v>0</v>
      </c>
      <c r="H133" s="1480">
        <f t="shared" si="5"/>
        <v>0</v>
      </c>
      <c r="I133" s="1480">
        <v>0</v>
      </c>
      <c r="J133" s="1480">
        <v>0</v>
      </c>
      <c r="K133" s="1480"/>
      <c r="L133" s="1480"/>
      <c r="M133" s="1480">
        <f t="shared" si="6"/>
        <v>0</v>
      </c>
      <c r="N133" s="1480">
        <f t="shared" si="7"/>
        <v>0</v>
      </c>
      <c r="O133" s="1481">
        <f t="shared" si="8"/>
        <v>0</v>
      </c>
      <c r="P133" s="1427">
        <f t="shared" si="9"/>
        <v>0</v>
      </c>
    </row>
    <row r="134" spans="1:16" ht="31" outlineLevel="1" x14ac:dyDescent="0.25">
      <c r="A134" s="1484">
        <v>22.3</v>
      </c>
      <c r="B134" s="1485" t="s">
        <v>1726</v>
      </c>
      <c r="C134" s="1482" t="s">
        <v>1723</v>
      </c>
      <c r="D134" s="1390">
        <v>42584</v>
      </c>
      <c r="E134" s="560">
        <v>2.98</v>
      </c>
      <c r="F134" s="1480">
        <v>1.37732225</v>
      </c>
      <c r="G134" s="1480">
        <v>1.37732225</v>
      </c>
      <c r="H134" s="1480">
        <f t="shared" si="5"/>
        <v>0</v>
      </c>
      <c r="I134" s="1480">
        <v>0</v>
      </c>
      <c r="J134" s="1480">
        <v>0</v>
      </c>
      <c r="K134" s="1480"/>
      <c r="L134" s="1480"/>
      <c r="M134" s="1480">
        <f t="shared" si="6"/>
        <v>0</v>
      </c>
      <c r="N134" s="1480">
        <f t="shared" si="7"/>
        <v>0</v>
      </c>
      <c r="O134" s="1481">
        <f t="shared" si="8"/>
        <v>0</v>
      </c>
      <c r="P134" s="1427">
        <f t="shared" si="9"/>
        <v>0</v>
      </c>
    </row>
    <row r="135" spans="1:16" ht="62" outlineLevel="1" x14ac:dyDescent="0.25">
      <c r="A135" s="1484">
        <v>22.4</v>
      </c>
      <c r="B135" s="1485" t="s">
        <v>1727</v>
      </c>
      <c r="C135" s="1488" t="s">
        <v>1723</v>
      </c>
      <c r="D135" s="1413">
        <v>42584</v>
      </c>
      <c r="E135" s="560">
        <v>5.37</v>
      </c>
      <c r="F135" s="1480">
        <v>4.4975699999999996</v>
      </c>
      <c r="G135" s="1480">
        <v>0</v>
      </c>
      <c r="H135" s="1480">
        <f t="shared" si="5"/>
        <v>4.4975699999999996</v>
      </c>
      <c r="I135" s="1480">
        <v>7.5239999999999974E-2</v>
      </c>
      <c r="J135" s="1480">
        <v>4.5728099999999996</v>
      </c>
      <c r="K135" s="1480"/>
      <c r="L135" s="1480"/>
      <c r="M135" s="1480">
        <f t="shared" si="6"/>
        <v>4.5728099999999996</v>
      </c>
      <c r="N135" s="1480">
        <f t="shared" si="7"/>
        <v>0</v>
      </c>
      <c r="O135" s="1481">
        <f t="shared" si="8"/>
        <v>4.5728099999999996</v>
      </c>
      <c r="P135" s="1427">
        <f t="shared" si="9"/>
        <v>0</v>
      </c>
    </row>
    <row r="136" spans="1:16" ht="15.5" outlineLevel="1" x14ac:dyDescent="0.25">
      <c r="A136" s="1484">
        <v>0</v>
      </c>
      <c r="B136" s="1485" t="s">
        <v>414</v>
      </c>
      <c r="C136" s="1482" t="s">
        <v>1723</v>
      </c>
      <c r="D136" s="1390">
        <v>42584</v>
      </c>
      <c r="E136" s="560">
        <v>0.6</v>
      </c>
      <c r="F136" s="1480">
        <v>0</v>
      </c>
      <c r="G136" s="1480">
        <v>0</v>
      </c>
      <c r="H136" s="1480">
        <f t="shared" si="5"/>
        <v>0</v>
      </c>
      <c r="I136" s="1480">
        <v>0</v>
      </c>
      <c r="J136" s="1480">
        <v>0</v>
      </c>
      <c r="K136" s="1480"/>
      <c r="L136" s="1480"/>
      <c r="M136" s="1480">
        <f t="shared" si="6"/>
        <v>0</v>
      </c>
      <c r="N136" s="1480">
        <f t="shared" si="7"/>
        <v>0</v>
      </c>
      <c r="O136" s="1481">
        <f t="shared" si="8"/>
        <v>0</v>
      </c>
      <c r="P136" s="1427">
        <f t="shared" si="9"/>
        <v>0</v>
      </c>
    </row>
    <row r="137" spans="1:16" ht="15.5" outlineLevel="1" x14ac:dyDescent="0.25">
      <c r="A137" s="1477">
        <v>23</v>
      </c>
      <c r="B137" s="1478" t="s">
        <v>1728</v>
      </c>
      <c r="C137" s="1477" t="s">
        <v>1729</v>
      </c>
      <c r="D137" s="1479">
        <v>42702</v>
      </c>
      <c r="E137" s="1383">
        <v>18.78</v>
      </c>
      <c r="F137" s="1480">
        <v>0</v>
      </c>
      <c r="G137" s="1480">
        <v>0</v>
      </c>
      <c r="H137" s="1480">
        <f t="shared" si="5"/>
        <v>0</v>
      </c>
      <c r="I137" s="1480">
        <v>0</v>
      </c>
      <c r="J137" s="1480">
        <v>0</v>
      </c>
      <c r="K137" s="1480"/>
      <c r="L137" s="1480"/>
      <c r="M137" s="1480">
        <f t="shared" si="6"/>
        <v>0</v>
      </c>
      <c r="N137" s="1480">
        <f t="shared" si="7"/>
        <v>0</v>
      </c>
      <c r="O137" s="1481">
        <f t="shared" si="8"/>
        <v>0</v>
      </c>
      <c r="P137" s="1427">
        <f t="shared" si="9"/>
        <v>0</v>
      </c>
    </row>
    <row r="138" spans="1:16" ht="15.5" outlineLevel="1" x14ac:dyDescent="0.25">
      <c r="A138" s="1482">
        <v>23.1</v>
      </c>
      <c r="B138" s="1483" t="s">
        <v>1730</v>
      </c>
      <c r="C138" s="1482" t="s">
        <v>1729</v>
      </c>
      <c r="D138" s="1390">
        <v>42702</v>
      </c>
      <c r="E138" s="560">
        <v>5.76</v>
      </c>
      <c r="F138" s="1480">
        <v>5.2949505139999999</v>
      </c>
      <c r="G138" s="1480">
        <v>5.2949505139999999</v>
      </c>
      <c r="H138" s="1480">
        <f t="shared" si="5"/>
        <v>0</v>
      </c>
      <c r="I138" s="1480">
        <v>0</v>
      </c>
      <c r="J138" s="1480">
        <v>0</v>
      </c>
      <c r="K138" s="1480"/>
      <c r="L138" s="1480"/>
      <c r="M138" s="1480">
        <f t="shared" si="6"/>
        <v>0</v>
      </c>
      <c r="N138" s="1480">
        <f t="shared" si="7"/>
        <v>0</v>
      </c>
      <c r="O138" s="1481">
        <f t="shared" si="8"/>
        <v>0</v>
      </c>
      <c r="P138" s="1427">
        <f t="shared" si="9"/>
        <v>0</v>
      </c>
    </row>
    <row r="139" spans="1:16" ht="31" outlineLevel="1" x14ac:dyDescent="0.25">
      <c r="A139" s="1482">
        <v>23.2</v>
      </c>
      <c r="B139" s="1483" t="s">
        <v>1731</v>
      </c>
      <c r="C139" s="1482" t="s">
        <v>1729</v>
      </c>
      <c r="D139" s="1390">
        <v>42702</v>
      </c>
      <c r="E139" s="560">
        <v>2.19</v>
      </c>
      <c r="F139" s="1480">
        <v>2.3147547999999998</v>
      </c>
      <c r="G139" s="1480">
        <v>2.3147547999999998</v>
      </c>
      <c r="H139" s="1480">
        <f t="shared" ref="H139:H202" si="10">F139-G139</f>
        <v>0</v>
      </c>
      <c r="I139" s="1480">
        <v>0</v>
      </c>
      <c r="J139" s="1480">
        <v>0</v>
      </c>
      <c r="K139" s="1480"/>
      <c r="L139" s="1480"/>
      <c r="M139" s="1480">
        <f t="shared" ref="M139:M202" si="11">SUM(J139:L139)</f>
        <v>0</v>
      </c>
      <c r="N139" s="1480">
        <f t="shared" ref="N139:N202" si="12">H139+I139-M139</f>
        <v>0</v>
      </c>
      <c r="O139" s="1481">
        <f t="shared" ref="O139:O202" si="13">MAX(0,IF(M139=0,0,IF(G139+M139&lt;E139,M139,E139-G139)))</f>
        <v>0</v>
      </c>
      <c r="P139" s="1427">
        <f t="shared" ref="P139:P202" si="14">M139-O139</f>
        <v>0</v>
      </c>
    </row>
    <row r="140" spans="1:16" ht="31" outlineLevel="1" x14ac:dyDescent="0.25">
      <c r="A140" s="1482">
        <v>23.3</v>
      </c>
      <c r="B140" s="1483" t="s">
        <v>1732</v>
      </c>
      <c r="C140" s="1482" t="s">
        <v>1729</v>
      </c>
      <c r="D140" s="1390">
        <v>42702</v>
      </c>
      <c r="E140" s="560">
        <v>10.33</v>
      </c>
      <c r="F140" s="1480">
        <v>11.7941</v>
      </c>
      <c r="G140" s="1480">
        <v>11.7941</v>
      </c>
      <c r="H140" s="1480">
        <f t="shared" si="10"/>
        <v>0</v>
      </c>
      <c r="I140" s="1480">
        <v>0</v>
      </c>
      <c r="J140" s="1480">
        <v>0</v>
      </c>
      <c r="K140" s="1480"/>
      <c r="L140" s="1480"/>
      <c r="M140" s="1480">
        <f t="shared" si="11"/>
        <v>0</v>
      </c>
      <c r="N140" s="1480">
        <f t="shared" si="12"/>
        <v>0</v>
      </c>
      <c r="O140" s="1481">
        <f t="shared" si="13"/>
        <v>0</v>
      </c>
      <c r="P140" s="1427">
        <f t="shared" si="14"/>
        <v>0</v>
      </c>
    </row>
    <row r="141" spans="1:16" ht="15.5" outlineLevel="1" x14ac:dyDescent="0.25">
      <c r="A141" s="1482">
        <v>0</v>
      </c>
      <c r="B141" s="1483" t="s">
        <v>414</v>
      </c>
      <c r="C141" s="1482" t="s">
        <v>1729</v>
      </c>
      <c r="D141" s="1390">
        <v>42702</v>
      </c>
      <c r="E141" s="560">
        <v>0.5</v>
      </c>
      <c r="F141" s="1480">
        <v>0</v>
      </c>
      <c r="G141" s="1480">
        <v>0</v>
      </c>
      <c r="H141" s="1480">
        <f t="shared" si="10"/>
        <v>0</v>
      </c>
      <c r="I141" s="1480">
        <v>0</v>
      </c>
      <c r="J141" s="1480">
        <v>0</v>
      </c>
      <c r="K141" s="1480"/>
      <c r="L141" s="1480"/>
      <c r="M141" s="1480">
        <f t="shared" si="11"/>
        <v>0</v>
      </c>
      <c r="N141" s="1480">
        <f t="shared" si="12"/>
        <v>0</v>
      </c>
      <c r="O141" s="1481">
        <f t="shared" si="13"/>
        <v>0</v>
      </c>
      <c r="P141" s="1427">
        <f t="shared" si="14"/>
        <v>0</v>
      </c>
    </row>
    <row r="142" spans="1:16" ht="31" outlineLevel="1" x14ac:dyDescent="0.25">
      <c r="A142" s="1477">
        <v>24</v>
      </c>
      <c r="B142" s="1478" t="s">
        <v>1733</v>
      </c>
      <c r="C142" s="1477" t="s">
        <v>1734</v>
      </c>
      <c r="D142" s="1479">
        <v>42772</v>
      </c>
      <c r="E142" s="1383">
        <v>13.700000000000001</v>
      </c>
      <c r="F142" s="1480">
        <v>0</v>
      </c>
      <c r="G142" s="1480">
        <v>0</v>
      </c>
      <c r="H142" s="1480">
        <f t="shared" si="10"/>
        <v>0</v>
      </c>
      <c r="I142" s="1480">
        <v>0</v>
      </c>
      <c r="J142" s="1480">
        <v>0</v>
      </c>
      <c r="K142" s="1480"/>
      <c r="L142" s="1480"/>
      <c r="M142" s="1480">
        <f t="shared" si="11"/>
        <v>0</v>
      </c>
      <c r="N142" s="1480">
        <f t="shared" si="12"/>
        <v>0</v>
      </c>
      <c r="O142" s="1481">
        <f t="shared" si="13"/>
        <v>0</v>
      </c>
      <c r="P142" s="1427">
        <f t="shared" si="14"/>
        <v>0</v>
      </c>
    </row>
    <row r="143" spans="1:16" ht="31" outlineLevel="1" x14ac:dyDescent="0.25">
      <c r="A143" s="1482">
        <v>24.1</v>
      </c>
      <c r="B143" s="1483" t="s">
        <v>1735</v>
      </c>
      <c r="C143" s="1482" t="s">
        <v>1734</v>
      </c>
      <c r="D143" s="1390">
        <v>42772</v>
      </c>
      <c r="E143" s="560">
        <v>3.25</v>
      </c>
      <c r="F143" s="1480">
        <v>3.8744195499999998</v>
      </c>
      <c r="G143" s="1480">
        <v>3.8744195500000003</v>
      </c>
      <c r="H143" s="1480">
        <f t="shared" si="10"/>
        <v>0</v>
      </c>
      <c r="I143" s="1480">
        <v>0</v>
      </c>
      <c r="J143" s="1480">
        <v>0</v>
      </c>
      <c r="K143" s="1480"/>
      <c r="L143" s="1480"/>
      <c r="M143" s="1480">
        <f t="shared" si="11"/>
        <v>0</v>
      </c>
      <c r="N143" s="1480">
        <f t="shared" si="12"/>
        <v>0</v>
      </c>
      <c r="O143" s="1481">
        <f t="shared" si="13"/>
        <v>0</v>
      </c>
      <c r="P143" s="1427">
        <f t="shared" si="14"/>
        <v>0</v>
      </c>
    </row>
    <row r="144" spans="1:16" ht="31" outlineLevel="1" x14ac:dyDescent="0.25">
      <c r="A144" s="1482">
        <v>24.2</v>
      </c>
      <c r="B144" s="1483" t="s">
        <v>1736</v>
      </c>
      <c r="C144" s="1482" t="s">
        <v>1734</v>
      </c>
      <c r="D144" s="1390">
        <v>42772</v>
      </c>
      <c r="E144" s="560">
        <v>3.46</v>
      </c>
      <c r="F144" s="1480">
        <v>3.5522795499999997</v>
      </c>
      <c r="G144" s="1480">
        <v>3.5522795500000002</v>
      </c>
      <c r="H144" s="1480">
        <f t="shared" si="10"/>
        <v>0</v>
      </c>
      <c r="I144" s="1480">
        <v>0</v>
      </c>
      <c r="J144" s="1480">
        <v>0</v>
      </c>
      <c r="K144" s="1480"/>
      <c r="L144" s="1480"/>
      <c r="M144" s="1480">
        <f t="shared" si="11"/>
        <v>0</v>
      </c>
      <c r="N144" s="1480">
        <f t="shared" si="12"/>
        <v>0</v>
      </c>
      <c r="O144" s="1481">
        <f t="shared" si="13"/>
        <v>0</v>
      </c>
      <c r="P144" s="1427">
        <f t="shared" si="14"/>
        <v>0</v>
      </c>
    </row>
    <row r="145" spans="1:16" ht="31" outlineLevel="1" x14ac:dyDescent="0.25">
      <c r="A145" s="1482">
        <v>24.3</v>
      </c>
      <c r="B145" s="1483" t="s">
        <v>1737</v>
      </c>
      <c r="C145" s="1482" t="s">
        <v>1734</v>
      </c>
      <c r="D145" s="1390">
        <v>42772</v>
      </c>
      <c r="E145" s="560">
        <v>6.19</v>
      </c>
      <c r="F145" s="1480">
        <v>4.5767479</v>
      </c>
      <c r="G145" s="1480">
        <v>4.5767479</v>
      </c>
      <c r="H145" s="1480">
        <f t="shared" si="10"/>
        <v>0</v>
      </c>
      <c r="I145" s="1480">
        <v>0</v>
      </c>
      <c r="J145" s="1480">
        <v>0</v>
      </c>
      <c r="K145" s="1480"/>
      <c r="L145" s="1480"/>
      <c r="M145" s="1480">
        <f t="shared" si="11"/>
        <v>0</v>
      </c>
      <c r="N145" s="1480">
        <f t="shared" si="12"/>
        <v>0</v>
      </c>
      <c r="O145" s="1481">
        <f t="shared" si="13"/>
        <v>0</v>
      </c>
      <c r="P145" s="1427">
        <f t="shared" si="14"/>
        <v>0</v>
      </c>
    </row>
    <row r="146" spans="1:16" ht="15.5" outlineLevel="1" x14ac:dyDescent="0.25">
      <c r="A146" s="1482">
        <v>0</v>
      </c>
      <c r="B146" s="1483" t="s">
        <v>414</v>
      </c>
      <c r="C146" s="1482" t="s">
        <v>1734</v>
      </c>
      <c r="D146" s="1390">
        <v>42772</v>
      </c>
      <c r="E146" s="560">
        <v>0.8</v>
      </c>
      <c r="F146" s="1480">
        <v>0</v>
      </c>
      <c r="G146" s="1480">
        <v>0</v>
      </c>
      <c r="H146" s="1480">
        <f t="shared" si="10"/>
        <v>0</v>
      </c>
      <c r="I146" s="1480">
        <v>0</v>
      </c>
      <c r="J146" s="1480">
        <v>0</v>
      </c>
      <c r="K146" s="1480"/>
      <c r="L146" s="1480"/>
      <c r="M146" s="1480">
        <f t="shared" si="11"/>
        <v>0</v>
      </c>
      <c r="N146" s="1480">
        <f t="shared" si="12"/>
        <v>0</v>
      </c>
      <c r="O146" s="1481">
        <f t="shared" si="13"/>
        <v>0</v>
      </c>
      <c r="P146" s="1427">
        <f t="shared" si="14"/>
        <v>0</v>
      </c>
    </row>
    <row r="147" spans="1:16" ht="31" outlineLevel="1" x14ac:dyDescent="0.25">
      <c r="A147" s="1489">
        <v>25</v>
      </c>
      <c r="B147" s="1490" t="s">
        <v>1738</v>
      </c>
      <c r="C147" s="1477" t="s">
        <v>1739</v>
      </c>
      <c r="D147" s="1479">
        <v>42737</v>
      </c>
      <c r="E147" s="1383">
        <v>14.686</v>
      </c>
      <c r="F147" s="1480">
        <v>0</v>
      </c>
      <c r="G147" s="1480">
        <v>0</v>
      </c>
      <c r="H147" s="1480">
        <f t="shared" si="10"/>
        <v>0</v>
      </c>
      <c r="I147" s="1480">
        <v>0</v>
      </c>
      <c r="J147" s="1480">
        <v>0</v>
      </c>
      <c r="K147" s="1480"/>
      <c r="L147" s="1480"/>
      <c r="M147" s="1480">
        <f t="shared" si="11"/>
        <v>0</v>
      </c>
      <c r="N147" s="1480">
        <f t="shared" si="12"/>
        <v>0</v>
      </c>
      <c r="O147" s="1481">
        <f t="shared" si="13"/>
        <v>0</v>
      </c>
      <c r="P147" s="1427">
        <f t="shared" si="14"/>
        <v>0</v>
      </c>
    </row>
    <row r="148" spans="1:16" ht="31" outlineLevel="1" x14ac:dyDescent="0.25">
      <c r="A148" s="1484">
        <v>25.1</v>
      </c>
      <c r="B148" s="1485" t="s">
        <v>1738</v>
      </c>
      <c r="C148" s="1482" t="s">
        <v>1739</v>
      </c>
      <c r="D148" s="1390">
        <v>42737</v>
      </c>
      <c r="E148" s="560">
        <v>14.686</v>
      </c>
      <c r="F148" s="1480">
        <v>12.166746632999999</v>
      </c>
      <c r="G148" s="1480">
        <v>9.4180065000000006</v>
      </c>
      <c r="H148" s="1480">
        <f t="shared" si="10"/>
        <v>2.7487401329999983</v>
      </c>
      <c r="I148" s="1480">
        <v>0</v>
      </c>
      <c r="J148" s="1480">
        <v>2.594063717</v>
      </c>
      <c r="K148" s="1480"/>
      <c r="L148" s="1480"/>
      <c r="M148" s="1480">
        <f t="shared" si="11"/>
        <v>2.594063717</v>
      </c>
      <c r="N148" s="1480">
        <f t="shared" si="12"/>
        <v>0.15467641599999826</v>
      </c>
      <c r="O148" s="1481">
        <f t="shared" si="13"/>
        <v>2.594063717</v>
      </c>
      <c r="P148" s="1427">
        <f t="shared" si="14"/>
        <v>0</v>
      </c>
    </row>
    <row r="149" spans="1:16" ht="31" outlineLevel="1" x14ac:dyDescent="0.25">
      <c r="A149" s="1489">
        <v>26</v>
      </c>
      <c r="B149" s="1490" t="s">
        <v>1740</v>
      </c>
      <c r="C149" s="1477" t="s">
        <v>1741</v>
      </c>
      <c r="D149" s="1479">
        <v>42986</v>
      </c>
      <c r="E149" s="1383">
        <v>196.26</v>
      </c>
      <c r="F149" s="1480">
        <v>0</v>
      </c>
      <c r="G149" s="1480">
        <v>0</v>
      </c>
      <c r="H149" s="1480">
        <f t="shared" si="10"/>
        <v>0</v>
      </c>
      <c r="I149" s="1480">
        <v>0</v>
      </c>
      <c r="J149" s="1480">
        <v>0</v>
      </c>
      <c r="K149" s="1480"/>
      <c r="L149" s="1480"/>
      <c r="M149" s="1480">
        <f t="shared" si="11"/>
        <v>0</v>
      </c>
      <c r="N149" s="1480">
        <f t="shared" si="12"/>
        <v>0</v>
      </c>
      <c r="O149" s="1481">
        <f t="shared" si="13"/>
        <v>0</v>
      </c>
      <c r="P149" s="1427">
        <f t="shared" si="14"/>
        <v>0</v>
      </c>
    </row>
    <row r="150" spans="1:16" ht="31" outlineLevel="1" x14ac:dyDescent="0.25">
      <c r="A150" s="1484">
        <v>26.1</v>
      </c>
      <c r="B150" s="1485" t="s">
        <v>1740</v>
      </c>
      <c r="C150" s="1482" t="s">
        <v>1741</v>
      </c>
      <c r="D150" s="1390">
        <v>42986</v>
      </c>
      <c r="E150" s="560">
        <v>196.26</v>
      </c>
      <c r="F150" s="1480">
        <v>254.5851452</v>
      </c>
      <c r="G150" s="1480">
        <v>254.5851452</v>
      </c>
      <c r="H150" s="1480">
        <f t="shared" si="10"/>
        <v>0</v>
      </c>
      <c r="I150" s="1480">
        <v>1.8581917349999912</v>
      </c>
      <c r="J150" s="1480">
        <v>1.8581917350000001</v>
      </c>
      <c r="K150" s="1480"/>
      <c r="L150" s="1480"/>
      <c r="M150" s="1480">
        <f t="shared" si="11"/>
        <v>1.8581917350000001</v>
      </c>
      <c r="N150" s="1480">
        <f t="shared" si="12"/>
        <v>-8.8817841970012523E-15</v>
      </c>
      <c r="O150" s="1481">
        <f t="shared" si="13"/>
        <v>0</v>
      </c>
      <c r="P150" s="1427">
        <f t="shared" si="14"/>
        <v>1.8581917350000001</v>
      </c>
    </row>
    <row r="151" spans="1:16" ht="31" outlineLevel="1" x14ac:dyDescent="0.25">
      <c r="A151" s="1477">
        <v>27</v>
      </c>
      <c r="B151" s="1478" t="s">
        <v>1742</v>
      </c>
      <c r="C151" s="1477" t="s">
        <v>1743</v>
      </c>
      <c r="D151" s="1479">
        <v>42965</v>
      </c>
      <c r="E151" s="1403">
        <v>25.27</v>
      </c>
      <c r="F151" s="1480">
        <v>0</v>
      </c>
      <c r="G151" s="1480">
        <v>0</v>
      </c>
      <c r="H151" s="1480">
        <f t="shared" si="10"/>
        <v>0</v>
      </c>
      <c r="I151" s="1480">
        <v>0</v>
      </c>
      <c r="J151" s="1480">
        <v>0</v>
      </c>
      <c r="K151" s="1480"/>
      <c r="L151" s="1480"/>
      <c r="M151" s="1480">
        <f t="shared" si="11"/>
        <v>0</v>
      </c>
      <c r="N151" s="1480">
        <f t="shared" si="12"/>
        <v>0</v>
      </c>
      <c r="O151" s="1481">
        <f t="shared" si="13"/>
        <v>0</v>
      </c>
      <c r="P151" s="1427">
        <f t="shared" si="14"/>
        <v>0</v>
      </c>
    </row>
    <row r="152" spans="1:16" ht="31" outlineLevel="1" x14ac:dyDescent="0.25">
      <c r="A152" s="1482">
        <v>27.1</v>
      </c>
      <c r="B152" s="1483" t="s">
        <v>1744</v>
      </c>
      <c r="C152" s="1482" t="s">
        <v>1743</v>
      </c>
      <c r="D152" s="1390">
        <v>42965</v>
      </c>
      <c r="E152" s="560">
        <v>18.25</v>
      </c>
      <c r="F152" s="1480">
        <v>8.2829930689999998</v>
      </c>
      <c r="G152" s="1480">
        <v>8.2829930689999998</v>
      </c>
      <c r="H152" s="1480">
        <f t="shared" si="10"/>
        <v>0</v>
      </c>
      <c r="I152" s="1480">
        <v>0</v>
      </c>
      <c r="J152" s="1480">
        <v>0</v>
      </c>
      <c r="K152" s="1480"/>
      <c r="L152" s="1480"/>
      <c r="M152" s="1480">
        <f t="shared" si="11"/>
        <v>0</v>
      </c>
      <c r="N152" s="1480">
        <f t="shared" si="12"/>
        <v>0</v>
      </c>
      <c r="O152" s="1481">
        <f t="shared" si="13"/>
        <v>0</v>
      </c>
      <c r="P152" s="1427">
        <f t="shared" si="14"/>
        <v>0</v>
      </c>
    </row>
    <row r="153" spans="1:16" ht="31" outlineLevel="1" x14ac:dyDescent="0.25">
      <c r="A153" s="1482">
        <v>27.2</v>
      </c>
      <c r="B153" s="1483" t="s">
        <v>1745</v>
      </c>
      <c r="C153" s="1482" t="s">
        <v>1743</v>
      </c>
      <c r="D153" s="1390">
        <v>42965</v>
      </c>
      <c r="E153" s="560">
        <v>6.72</v>
      </c>
      <c r="F153" s="1480">
        <v>6.0757019999999997</v>
      </c>
      <c r="G153" s="1480">
        <v>6.0757019999999997</v>
      </c>
      <c r="H153" s="1480">
        <f t="shared" si="10"/>
        <v>0</v>
      </c>
      <c r="I153" s="1480">
        <v>0</v>
      </c>
      <c r="J153" s="1480">
        <v>0</v>
      </c>
      <c r="K153" s="1480"/>
      <c r="L153" s="1480"/>
      <c r="M153" s="1480">
        <f t="shared" si="11"/>
        <v>0</v>
      </c>
      <c r="N153" s="1480">
        <f t="shared" si="12"/>
        <v>0</v>
      </c>
      <c r="O153" s="1481">
        <f t="shared" si="13"/>
        <v>0</v>
      </c>
      <c r="P153" s="1427">
        <f t="shared" si="14"/>
        <v>0</v>
      </c>
    </row>
    <row r="154" spans="1:16" ht="15.5" outlineLevel="1" x14ac:dyDescent="0.25">
      <c r="A154" s="1482">
        <v>0</v>
      </c>
      <c r="B154" s="1483" t="s">
        <v>414</v>
      </c>
      <c r="C154" s="1482" t="s">
        <v>1743</v>
      </c>
      <c r="D154" s="1390">
        <v>42965</v>
      </c>
      <c r="E154" s="560">
        <v>0.3</v>
      </c>
      <c r="F154" s="1480">
        <v>0</v>
      </c>
      <c r="G154" s="1480">
        <v>0</v>
      </c>
      <c r="H154" s="1480">
        <f t="shared" si="10"/>
        <v>0</v>
      </c>
      <c r="I154" s="1480">
        <v>0</v>
      </c>
      <c r="J154" s="1480">
        <v>0</v>
      </c>
      <c r="K154" s="1480"/>
      <c r="L154" s="1480"/>
      <c r="M154" s="1480">
        <f t="shared" si="11"/>
        <v>0</v>
      </c>
      <c r="N154" s="1480">
        <f t="shared" si="12"/>
        <v>0</v>
      </c>
      <c r="O154" s="1481">
        <f t="shared" si="13"/>
        <v>0</v>
      </c>
      <c r="P154" s="1427">
        <f t="shared" si="14"/>
        <v>0</v>
      </c>
    </row>
    <row r="155" spans="1:16" ht="46.5" outlineLevel="1" x14ac:dyDescent="0.25">
      <c r="A155" s="1477">
        <v>28</v>
      </c>
      <c r="B155" s="1478" t="s">
        <v>1746</v>
      </c>
      <c r="C155" s="1486" t="s">
        <v>1747</v>
      </c>
      <c r="D155" s="1487">
        <v>43054</v>
      </c>
      <c r="E155" s="1383">
        <v>12.456</v>
      </c>
      <c r="F155" s="1480">
        <v>0</v>
      </c>
      <c r="G155" s="1480">
        <v>0</v>
      </c>
      <c r="H155" s="1480">
        <f t="shared" si="10"/>
        <v>0</v>
      </c>
      <c r="I155" s="1480">
        <v>0</v>
      </c>
      <c r="J155" s="1480">
        <v>0</v>
      </c>
      <c r="K155" s="1480"/>
      <c r="L155" s="1480"/>
      <c r="M155" s="1480">
        <f t="shared" si="11"/>
        <v>0</v>
      </c>
      <c r="N155" s="1480">
        <f t="shared" si="12"/>
        <v>0</v>
      </c>
      <c r="O155" s="1481">
        <f t="shared" si="13"/>
        <v>0</v>
      </c>
      <c r="P155" s="1427">
        <f t="shared" si="14"/>
        <v>0</v>
      </c>
    </row>
    <row r="156" spans="1:16" ht="31" outlineLevel="1" x14ac:dyDescent="0.25">
      <c r="A156" s="1482">
        <v>28.1</v>
      </c>
      <c r="B156" s="1483" t="s">
        <v>1748</v>
      </c>
      <c r="C156" s="1482" t="s">
        <v>1747</v>
      </c>
      <c r="D156" s="1390">
        <v>43054</v>
      </c>
      <c r="E156" s="560">
        <v>10.36</v>
      </c>
      <c r="F156" s="1480">
        <v>11.5757999</v>
      </c>
      <c r="G156" s="1480">
        <v>11.5757999</v>
      </c>
      <c r="H156" s="1480">
        <f t="shared" si="10"/>
        <v>0</v>
      </c>
      <c r="I156" s="1480">
        <v>0</v>
      </c>
      <c r="J156" s="1480">
        <v>0</v>
      </c>
      <c r="K156" s="1480"/>
      <c r="L156" s="1480"/>
      <c r="M156" s="1480">
        <f t="shared" si="11"/>
        <v>0</v>
      </c>
      <c r="N156" s="1480">
        <f t="shared" si="12"/>
        <v>0</v>
      </c>
      <c r="O156" s="1481">
        <f t="shared" si="13"/>
        <v>0</v>
      </c>
      <c r="P156" s="1427">
        <f t="shared" si="14"/>
        <v>0</v>
      </c>
    </row>
    <row r="157" spans="1:16" ht="31" outlineLevel="1" x14ac:dyDescent="0.25">
      <c r="A157" s="1482">
        <v>28.2</v>
      </c>
      <c r="B157" s="1483" t="s">
        <v>1749</v>
      </c>
      <c r="C157" s="1488" t="s">
        <v>1747</v>
      </c>
      <c r="D157" s="1413">
        <v>43054</v>
      </c>
      <c r="E157" s="560">
        <v>0.63</v>
      </c>
      <c r="F157" s="1480">
        <v>0</v>
      </c>
      <c r="G157" s="1480">
        <v>0</v>
      </c>
      <c r="H157" s="1480">
        <f t="shared" si="10"/>
        <v>0</v>
      </c>
      <c r="I157" s="1480">
        <v>0</v>
      </c>
      <c r="J157" s="1480">
        <v>0</v>
      </c>
      <c r="K157" s="1480"/>
      <c r="L157" s="1480"/>
      <c r="M157" s="1480">
        <f t="shared" si="11"/>
        <v>0</v>
      </c>
      <c r="N157" s="1480">
        <f t="shared" si="12"/>
        <v>0</v>
      </c>
      <c r="O157" s="1481">
        <f t="shared" si="13"/>
        <v>0</v>
      </c>
      <c r="P157" s="1427">
        <f t="shared" si="14"/>
        <v>0</v>
      </c>
    </row>
    <row r="158" spans="1:16" ht="31" outlineLevel="1" x14ac:dyDescent="0.25">
      <c r="A158" s="1482">
        <v>28.3</v>
      </c>
      <c r="B158" s="1483" t="s">
        <v>1750</v>
      </c>
      <c r="C158" s="1482" t="s">
        <v>1747</v>
      </c>
      <c r="D158" s="1390">
        <v>43054</v>
      </c>
      <c r="E158" s="560">
        <v>0.53600000000000003</v>
      </c>
      <c r="F158" s="1480">
        <v>0.51656219999999997</v>
      </c>
      <c r="G158" s="1480">
        <v>0.51656219999999997</v>
      </c>
      <c r="H158" s="1480">
        <f t="shared" si="10"/>
        <v>0</v>
      </c>
      <c r="I158" s="1480">
        <v>0</v>
      </c>
      <c r="J158" s="1480">
        <v>0</v>
      </c>
      <c r="K158" s="1480"/>
      <c r="L158" s="1480"/>
      <c r="M158" s="1480">
        <f t="shared" si="11"/>
        <v>0</v>
      </c>
      <c r="N158" s="1480">
        <f t="shared" si="12"/>
        <v>0</v>
      </c>
      <c r="O158" s="1481">
        <f t="shared" si="13"/>
        <v>0</v>
      </c>
      <c r="P158" s="1427">
        <f t="shared" si="14"/>
        <v>0</v>
      </c>
    </row>
    <row r="159" spans="1:16" ht="15.5" outlineLevel="1" x14ac:dyDescent="0.25">
      <c r="A159" s="1482">
        <v>0</v>
      </c>
      <c r="B159" s="1483" t="s">
        <v>414</v>
      </c>
      <c r="C159" s="1482" t="s">
        <v>1747</v>
      </c>
      <c r="D159" s="1390">
        <v>43054</v>
      </c>
      <c r="E159" s="560">
        <v>0.93</v>
      </c>
      <c r="F159" s="1480">
        <v>0</v>
      </c>
      <c r="G159" s="1480">
        <v>0</v>
      </c>
      <c r="H159" s="1480">
        <f t="shared" si="10"/>
        <v>0</v>
      </c>
      <c r="I159" s="1480">
        <v>0</v>
      </c>
      <c r="J159" s="1480">
        <v>0</v>
      </c>
      <c r="K159" s="1480"/>
      <c r="L159" s="1480"/>
      <c r="M159" s="1480">
        <f t="shared" si="11"/>
        <v>0</v>
      </c>
      <c r="N159" s="1480">
        <f t="shared" si="12"/>
        <v>0</v>
      </c>
      <c r="O159" s="1481">
        <f t="shared" si="13"/>
        <v>0</v>
      </c>
      <c r="P159" s="1427">
        <f t="shared" si="14"/>
        <v>0</v>
      </c>
    </row>
    <row r="160" spans="1:16" ht="46.5" outlineLevel="1" x14ac:dyDescent="0.25">
      <c r="A160" s="1477">
        <v>29</v>
      </c>
      <c r="B160" s="1478" t="s">
        <v>2431</v>
      </c>
      <c r="C160" s="1477" t="s">
        <v>1752</v>
      </c>
      <c r="D160" s="1479">
        <v>43154</v>
      </c>
      <c r="E160" s="1383">
        <v>15.489999999999998</v>
      </c>
      <c r="F160" s="1480">
        <v>0</v>
      </c>
      <c r="G160" s="1480">
        <v>0</v>
      </c>
      <c r="H160" s="1480">
        <f t="shared" si="10"/>
        <v>0</v>
      </c>
      <c r="I160" s="1480">
        <v>0</v>
      </c>
      <c r="J160" s="1480">
        <v>0</v>
      </c>
      <c r="K160" s="1480"/>
      <c r="L160" s="1480"/>
      <c r="M160" s="1480">
        <f t="shared" si="11"/>
        <v>0</v>
      </c>
      <c r="N160" s="1480">
        <f t="shared" si="12"/>
        <v>0</v>
      </c>
      <c r="O160" s="1481">
        <f t="shared" si="13"/>
        <v>0</v>
      </c>
      <c r="P160" s="1427">
        <f t="shared" si="14"/>
        <v>0</v>
      </c>
    </row>
    <row r="161" spans="1:16" ht="46.5" outlineLevel="1" x14ac:dyDescent="0.25">
      <c r="A161" s="1482">
        <v>29.1</v>
      </c>
      <c r="B161" s="1483" t="s">
        <v>1753</v>
      </c>
      <c r="C161" s="1482" t="s">
        <v>1752</v>
      </c>
      <c r="D161" s="1390">
        <v>43154</v>
      </c>
      <c r="E161" s="560">
        <v>2.0099999999999998</v>
      </c>
      <c r="F161" s="1480">
        <v>2.1150194</v>
      </c>
      <c r="G161" s="1480">
        <v>2.1150194</v>
      </c>
      <c r="H161" s="1480">
        <f t="shared" si="10"/>
        <v>0</v>
      </c>
      <c r="I161" s="1480">
        <v>0</v>
      </c>
      <c r="J161" s="1480">
        <v>0</v>
      </c>
      <c r="K161" s="1480"/>
      <c r="L161" s="1480"/>
      <c r="M161" s="1480">
        <f t="shared" si="11"/>
        <v>0</v>
      </c>
      <c r="N161" s="1480">
        <f t="shared" si="12"/>
        <v>0</v>
      </c>
      <c r="O161" s="1481">
        <f t="shared" si="13"/>
        <v>0</v>
      </c>
      <c r="P161" s="1427">
        <f t="shared" si="14"/>
        <v>0</v>
      </c>
    </row>
    <row r="162" spans="1:16" ht="31" outlineLevel="1" x14ac:dyDescent="0.25">
      <c r="A162" s="1482">
        <v>29.2</v>
      </c>
      <c r="B162" s="1483" t="s">
        <v>1754</v>
      </c>
      <c r="C162" s="1482" t="s">
        <v>1752</v>
      </c>
      <c r="D162" s="1390">
        <v>43154</v>
      </c>
      <c r="E162" s="560">
        <v>3.34</v>
      </c>
      <c r="F162" s="1480">
        <v>1.9274450000000001</v>
      </c>
      <c r="G162" s="1480">
        <v>1.9274450000000001</v>
      </c>
      <c r="H162" s="1480">
        <f t="shared" si="10"/>
        <v>0</v>
      </c>
      <c r="I162" s="1480">
        <v>0</v>
      </c>
      <c r="J162" s="1480">
        <v>0</v>
      </c>
      <c r="K162" s="1480"/>
      <c r="L162" s="1480"/>
      <c r="M162" s="1480">
        <f t="shared" si="11"/>
        <v>0</v>
      </c>
      <c r="N162" s="1480">
        <f t="shared" si="12"/>
        <v>0</v>
      </c>
      <c r="O162" s="1481">
        <f t="shared" si="13"/>
        <v>0</v>
      </c>
      <c r="P162" s="1427">
        <f t="shared" si="14"/>
        <v>0</v>
      </c>
    </row>
    <row r="163" spans="1:16" ht="31" outlineLevel="1" x14ac:dyDescent="0.25">
      <c r="A163" s="1482">
        <v>29.3</v>
      </c>
      <c r="B163" s="1483" t="s">
        <v>1755</v>
      </c>
      <c r="C163" s="1482" t="s">
        <v>1752</v>
      </c>
      <c r="D163" s="1390">
        <v>43154</v>
      </c>
      <c r="E163" s="560">
        <v>9.02</v>
      </c>
      <c r="F163" s="1480">
        <v>8.8301990999999997</v>
      </c>
      <c r="G163" s="1480">
        <v>8.8301990999999997</v>
      </c>
      <c r="H163" s="1480">
        <f t="shared" si="10"/>
        <v>0</v>
      </c>
      <c r="I163" s="1480">
        <v>0</v>
      </c>
      <c r="J163" s="1480">
        <v>0</v>
      </c>
      <c r="K163" s="1480"/>
      <c r="L163" s="1480"/>
      <c r="M163" s="1480">
        <f t="shared" si="11"/>
        <v>0</v>
      </c>
      <c r="N163" s="1480">
        <f t="shared" si="12"/>
        <v>0</v>
      </c>
      <c r="O163" s="1481">
        <f t="shared" si="13"/>
        <v>0</v>
      </c>
      <c r="P163" s="1427">
        <f t="shared" si="14"/>
        <v>0</v>
      </c>
    </row>
    <row r="164" spans="1:16" ht="15.5" outlineLevel="1" x14ac:dyDescent="0.25">
      <c r="A164" s="1482">
        <v>0</v>
      </c>
      <c r="B164" s="1483" t="s">
        <v>414</v>
      </c>
      <c r="C164" s="1482" t="s">
        <v>1752</v>
      </c>
      <c r="D164" s="1390">
        <v>43154</v>
      </c>
      <c r="E164" s="560">
        <v>1.1200000000000001</v>
      </c>
      <c r="F164" s="1480">
        <v>0</v>
      </c>
      <c r="G164" s="1480">
        <v>0</v>
      </c>
      <c r="H164" s="1480">
        <f t="shared" si="10"/>
        <v>0</v>
      </c>
      <c r="I164" s="1480">
        <v>0</v>
      </c>
      <c r="J164" s="1480">
        <v>0</v>
      </c>
      <c r="K164" s="1480"/>
      <c r="L164" s="1480"/>
      <c r="M164" s="1480">
        <f t="shared" si="11"/>
        <v>0</v>
      </c>
      <c r="N164" s="1480">
        <f t="shared" si="12"/>
        <v>0</v>
      </c>
      <c r="O164" s="1481">
        <f t="shared" si="13"/>
        <v>0</v>
      </c>
      <c r="P164" s="1427">
        <f t="shared" si="14"/>
        <v>0</v>
      </c>
    </row>
    <row r="165" spans="1:16" ht="15.5" outlineLevel="1" x14ac:dyDescent="0.25">
      <c r="A165" s="1489">
        <v>30</v>
      </c>
      <c r="B165" s="1490" t="s">
        <v>2432</v>
      </c>
      <c r="C165" s="1486" t="s">
        <v>1757</v>
      </c>
      <c r="D165" s="1487">
        <v>43238</v>
      </c>
      <c r="E165" s="1383">
        <v>117.57</v>
      </c>
      <c r="F165" s="1480">
        <v>0</v>
      </c>
      <c r="G165" s="1480">
        <v>0</v>
      </c>
      <c r="H165" s="1480">
        <f t="shared" si="10"/>
        <v>0</v>
      </c>
      <c r="I165" s="1480">
        <v>0</v>
      </c>
      <c r="J165" s="1480">
        <v>0</v>
      </c>
      <c r="K165" s="1480"/>
      <c r="L165" s="1480"/>
      <c r="M165" s="1480">
        <f t="shared" si="11"/>
        <v>0</v>
      </c>
      <c r="N165" s="1480">
        <f t="shared" si="12"/>
        <v>0</v>
      </c>
      <c r="O165" s="1481">
        <f t="shared" si="13"/>
        <v>0</v>
      </c>
      <c r="P165" s="1427">
        <f t="shared" si="14"/>
        <v>0</v>
      </c>
    </row>
    <row r="166" spans="1:16" ht="31" outlineLevel="1" x14ac:dyDescent="0.25">
      <c r="A166" s="1484">
        <v>30.1</v>
      </c>
      <c r="B166" s="1485" t="s">
        <v>1758</v>
      </c>
      <c r="C166" s="1482" t="s">
        <v>1757</v>
      </c>
      <c r="D166" s="1390">
        <v>43238</v>
      </c>
      <c r="E166" s="560">
        <v>82.6</v>
      </c>
      <c r="F166" s="1480">
        <v>81.733041562000011</v>
      </c>
      <c r="G166" s="1480">
        <v>74.318862700000011</v>
      </c>
      <c r="H166" s="1480">
        <f t="shared" si="10"/>
        <v>7.414178862</v>
      </c>
      <c r="I166" s="1480">
        <v>-4.8009104960000251</v>
      </c>
      <c r="J166" s="1480">
        <v>3.2832958999999899</v>
      </c>
      <c r="K166" s="1480"/>
      <c r="L166" s="1480"/>
      <c r="M166" s="1480">
        <f t="shared" si="11"/>
        <v>3.2832958999999899</v>
      </c>
      <c r="N166" s="1480">
        <f t="shared" si="12"/>
        <v>-0.67002753400001502</v>
      </c>
      <c r="O166" s="1481">
        <f t="shared" si="13"/>
        <v>3.2832958999999899</v>
      </c>
      <c r="P166" s="1427">
        <f t="shared" si="14"/>
        <v>0</v>
      </c>
    </row>
    <row r="167" spans="1:16" ht="15.5" outlineLevel="1" x14ac:dyDescent="0.25">
      <c r="A167" s="1484">
        <v>30.2</v>
      </c>
      <c r="B167" s="1485" t="s">
        <v>1759</v>
      </c>
      <c r="C167" s="1482" t="s">
        <v>1757</v>
      </c>
      <c r="D167" s="1390">
        <v>43238</v>
      </c>
      <c r="E167" s="560">
        <v>7.08</v>
      </c>
      <c r="F167" s="1480">
        <v>7.7981203580000003</v>
      </c>
      <c r="G167" s="1480">
        <v>5.8369603999999997</v>
      </c>
      <c r="H167" s="1480">
        <f t="shared" si="10"/>
        <v>1.9611599580000005</v>
      </c>
      <c r="I167" s="1480">
        <v>-1.4527592900000004</v>
      </c>
      <c r="J167" s="1480">
        <v>0.50840066799999994</v>
      </c>
      <c r="K167" s="1480"/>
      <c r="L167" s="1480"/>
      <c r="M167" s="1480">
        <f t="shared" si="11"/>
        <v>0.50840066799999994</v>
      </c>
      <c r="N167" s="1480">
        <f t="shared" si="12"/>
        <v>0</v>
      </c>
      <c r="O167" s="1481">
        <f t="shared" si="13"/>
        <v>0.50840066799999994</v>
      </c>
      <c r="P167" s="1427">
        <f t="shared" si="14"/>
        <v>0</v>
      </c>
    </row>
    <row r="168" spans="1:16" ht="31" outlineLevel="1" x14ac:dyDescent="0.25">
      <c r="A168" s="1484">
        <v>30.3</v>
      </c>
      <c r="B168" s="1485" t="s">
        <v>1760</v>
      </c>
      <c r="C168" s="1488" t="s">
        <v>1757</v>
      </c>
      <c r="D168" s="1413">
        <v>43238</v>
      </c>
      <c r="E168" s="560">
        <v>4.72</v>
      </c>
      <c r="F168" s="1480">
        <v>0</v>
      </c>
      <c r="G168" s="1480">
        <v>0</v>
      </c>
      <c r="H168" s="1480">
        <f t="shared" si="10"/>
        <v>0</v>
      </c>
      <c r="I168" s="1480">
        <v>0</v>
      </c>
      <c r="J168" s="1480">
        <v>0</v>
      </c>
      <c r="K168" s="1480"/>
      <c r="L168" s="1480"/>
      <c r="M168" s="1480">
        <f t="shared" si="11"/>
        <v>0</v>
      </c>
      <c r="N168" s="1480">
        <f t="shared" si="12"/>
        <v>0</v>
      </c>
      <c r="O168" s="1481">
        <f t="shared" si="13"/>
        <v>0</v>
      </c>
      <c r="P168" s="1427">
        <f t="shared" si="14"/>
        <v>0</v>
      </c>
    </row>
    <row r="169" spans="1:16" ht="46.5" outlineLevel="1" x14ac:dyDescent="0.25">
      <c r="A169" s="1484">
        <v>30.4</v>
      </c>
      <c r="B169" s="1485" t="s">
        <v>1761</v>
      </c>
      <c r="C169" s="1488" t="s">
        <v>1757</v>
      </c>
      <c r="D169" s="1413">
        <v>43238</v>
      </c>
      <c r="E169" s="560">
        <v>15.34</v>
      </c>
      <c r="F169" s="1480">
        <v>0.48953770000000002</v>
      </c>
      <c r="G169" s="1480">
        <v>0</v>
      </c>
      <c r="H169" s="1480">
        <f t="shared" si="10"/>
        <v>0.48953770000000002</v>
      </c>
      <c r="I169" s="1480">
        <v>1.1378111320000102</v>
      </c>
      <c r="J169" s="1480">
        <v>1.62734883200001</v>
      </c>
      <c r="K169" s="1480"/>
      <c r="L169" s="1480"/>
      <c r="M169" s="1480">
        <f t="shared" si="11"/>
        <v>1.62734883200001</v>
      </c>
      <c r="N169" s="1480">
        <f t="shared" si="12"/>
        <v>0</v>
      </c>
      <c r="O169" s="1481">
        <f t="shared" si="13"/>
        <v>1.62734883200001</v>
      </c>
      <c r="P169" s="1427">
        <f t="shared" si="14"/>
        <v>0</v>
      </c>
    </row>
    <row r="170" spans="1:16" ht="15.5" outlineLevel="1" x14ac:dyDescent="0.25">
      <c r="A170" s="1484">
        <v>0</v>
      </c>
      <c r="B170" s="1485" t="s">
        <v>414</v>
      </c>
      <c r="C170" s="1482" t="s">
        <v>1757</v>
      </c>
      <c r="D170" s="1390">
        <v>43238</v>
      </c>
      <c r="E170" s="560">
        <v>7.83</v>
      </c>
      <c r="F170" s="1480">
        <v>0</v>
      </c>
      <c r="G170" s="1480">
        <v>0</v>
      </c>
      <c r="H170" s="1480">
        <f t="shared" si="10"/>
        <v>0</v>
      </c>
      <c r="I170" s="1480">
        <v>5.4273518999999997</v>
      </c>
      <c r="J170" s="1480">
        <v>5.4273518999999997</v>
      </c>
      <c r="K170" s="1480"/>
      <c r="L170" s="1480"/>
      <c r="M170" s="1480">
        <f t="shared" si="11"/>
        <v>5.4273518999999997</v>
      </c>
      <c r="N170" s="1480">
        <f t="shared" si="12"/>
        <v>0</v>
      </c>
      <c r="O170" s="1481">
        <f t="shared" si="13"/>
        <v>5.4273518999999997</v>
      </c>
      <c r="P170" s="1427">
        <f t="shared" si="14"/>
        <v>0</v>
      </c>
    </row>
    <row r="171" spans="1:16" ht="15.5" outlineLevel="1" x14ac:dyDescent="0.25">
      <c r="A171" s="1486">
        <v>31</v>
      </c>
      <c r="B171" s="1491" t="s">
        <v>1661</v>
      </c>
      <c r="C171" s="1486" t="s">
        <v>1762</v>
      </c>
      <c r="D171" s="1487">
        <v>43529</v>
      </c>
      <c r="E171" s="1383">
        <v>76.410000000000025</v>
      </c>
      <c r="F171" s="1480">
        <v>0</v>
      </c>
      <c r="G171" s="1480">
        <v>0</v>
      </c>
      <c r="H171" s="1480">
        <f t="shared" si="10"/>
        <v>0</v>
      </c>
      <c r="I171" s="1480">
        <v>0</v>
      </c>
      <c r="J171" s="1480">
        <v>0</v>
      </c>
      <c r="K171" s="1480"/>
      <c r="L171" s="1480"/>
      <c r="M171" s="1480">
        <f t="shared" si="11"/>
        <v>0</v>
      </c>
      <c r="N171" s="1480">
        <f t="shared" si="12"/>
        <v>0</v>
      </c>
      <c r="O171" s="1481">
        <f t="shared" si="13"/>
        <v>0</v>
      </c>
      <c r="P171" s="1427">
        <f t="shared" si="14"/>
        <v>0</v>
      </c>
    </row>
    <row r="172" spans="1:16" ht="15.5" outlineLevel="1" x14ac:dyDescent="0.25">
      <c r="A172" s="1488">
        <v>31.1</v>
      </c>
      <c r="B172" s="1492" t="s">
        <v>1763</v>
      </c>
      <c r="C172" s="1488" t="s">
        <v>1762</v>
      </c>
      <c r="D172" s="1413">
        <v>43529</v>
      </c>
      <c r="E172" s="560">
        <v>24.03</v>
      </c>
      <c r="F172" s="1480">
        <v>0</v>
      </c>
      <c r="G172" s="1480">
        <v>0</v>
      </c>
      <c r="H172" s="1480">
        <f t="shared" si="10"/>
        <v>0</v>
      </c>
      <c r="I172" s="1480">
        <v>0</v>
      </c>
      <c r="J172" s="1480">
        <v>0</v>
      </c>
      <c r="K172" s="1480"/>
      <c r="L172" s="1480"/>
      <c r="M172" s="1480">
        <f t="shared" si="11"/>
        <v>0</v>
      </c>
      <c r="N172" s="1480">
        <f t="shared" si="12"/>
        <v>0</v>
      </c>
      <c r="O172" s="1481">
        <f t="shared" si="13"/>
        <v>0</v>
      </c>
      <c r="P172" s="1427">
        <f t="shared" si="14"/>
        <v>0</v>
      </c>
    </row>
    <row r="173" spans="1:16" ht="15.5" outlineLevel="1" x14ac:dyDescent="0.25">
      <c r="A173" s="1488">
        <v>31.2</v>
      </c>
      <c r="B173" s="1492" t="s">
        <v>1764</v>
      </c>
      <c r="C173" s="1488" t="s">
        <v>1762</v>
      </c>
      <c r="D173" s="1413">
        <v>43529</v>
      </c>
      <c r="E173" s="560">
        <v>4.33</v>
      </c>
      <c r="F173" s="1480">
        <v>0</v>
      </c>
      <c r="G173" s="1480">
        <v>0</v>
      </c>
      <c r="H173" s="1480">
        <f t="shared" si="10"/>
        <v>0</v>
      </c>
      <c r="I173" s="1480">
        <v>0</v>
      </c>
      <c r="J173" s="1480">
        <v>0</v>
      </c>
      <c r="K173" s="1480"/>
      <c r="L173" s="1480"/>
      <c r="M173" s="1480">
        <f t="shared" si="11"/>
        <v>0</v>
      </c>
      <c r="N173" s="1480">
        <f t="shared" si="12"/>
        <v>0</v>
      </c>
      <c r="O173" s="1481">
        <f t="shared" si="13"/>
        <v>0</v>
      </c>
      <c r="P173" s="1427">
        <f t="shared" si="14"/>
        <v>0</v>
      </c>
    </row>
    <row r="174" spans="1:16" ht="15.5" outlineLevel="1" x14ac:dyDescent="0.25">
      <c r="A174" s="1488">
        <v>31.3</v>
      </c>
      <c r="B174" s="1492" t="s">
        <v>1765</v>
      </c>
      <c r="C174" s="1488" t="s">
        <v>1762</v>
      </c>
      <c r="D174" s="1413">
        <v>43529</v>
      </c>
      <c r="E174" s="560">
        <v>0.48</v>
      </c>
      <c r="F174" s="1480">
        <v>0</v>
      </c>
      <c r="G174" s="1480">
        <v>0</v>
      </c>
      <c r="H174" s="1480">
        <f t="shared" si="10"/>
        <v>0</v>
      </c>
      <c r="I174" s="1480">
        <v>0</v>
      </c>
      <c r="J174" s="1480">
        <v>0</v>
      </c>
      <c r="K174" s="1480"/>
      <c r="L174" s="1480"/>
      <c r="M174" s="1480">
        <f t="shared" si="11"/>
        <v>0</v>
      </c>
      <c r="N174" s="1480">
        <f t="shared" si="12"/>
        <v>0</v>
      </c>
      <c r="O174" s="1481">
        <f t="shared" si="13"/>
        <v>0</v>
      </c>
      <c r="P174" s="1427">
        <f t="shared" si="14"/>
        <v>0</v>
      </c>
    </row>
    <row r="175" spans="1:16" ht="15.5" outlineLevel="1" x14ac:dyDescent="0.25">
      <c r="A175" s="1488">
        <v>31.4</v>
      </c>
      <c r="B175" s="1492" t="s">
        <v>1766</v>
      </c>
      <c r="C175" s="1488" t="s">
        <v>1762</v>
      </c>
      <c r="D175" s="1413">
        <v>43529</v>
      </c>
      <c r="E175" s="560">
        <v>1.93</v>
      </c>
      <c r="F175" s="1480">
        <v>0</v>
      </c>
      <c r="G175" s="1480">
        <v>0</v>
      </c>
      <c r="H175" s="1480">
        <f t="shared" si="10"/>
        <v>0</v>
      </c>
      <c r="I175" s="1480">
        <v>0</v>
      </c>
      <c r="J175" s="1480">
        <v>0</v>
      </c>
      <c r="K175" s="1480"/>
      <c r="L175" s="1480"/>
      <c r="M175" s="1480">
        <f t="shared" si="11"/>
        <v>0</v>
      </c>
      <c r="N175" s="1480">
        <f t="shared" si="12"/>
        <v>0</v>
      </c>
      <c r="O175" s="1481">
        <f t="shared" si="13"/>
        <v>0</v>
      </c>
      <c r="P175" s="1427">
        <f t="shared" si="14"/>
        <v>0</v>
      </c>
    </row>
    <row r="176" spans="1:16" ht="15.5" outlineLevel="1" x14ac:dyDescent="0.25">
      <c r="A176" s="1488">
        <v>31.5</v>
      </c>
      <c r="B176" s="1492" t="s">
        <v>1767</v>
      </c>
      <c r="C176" s="1488" t="s">
        <v>1762</v>
      </c>
      <c r="D176" s="1413">
        <v>43529</v>
      </c>
      <c r="E176" s="560">
        <v>1.76</v>
      </c>
      <c r="F176" s="1480">
        <v>0</v>
      </c>
      <c r="G176" s="1480">
        <v>0</v>
      </c>
      <c r="H176" s="1480">
        <f t="shared" si="10"/>
        <v>0</v>
      </c>
      <c r="I176" s="1480">
        <v>0</v>
      </c>
      <c r="J176" s="1480">
        <v>0</v>
      </c>
      <c r="K176" s="1480"/>
      <c r="L176" s="1480"/>
      <c r="M176" s="1480">
        <f t="shared" si="11"/>
        <v>0</v>
      </c>
      <c r="N176" s="1480">
        <f t="shared" si="12"/>
        <v>0</v>
      </c>
      <c r="O176" s="1481">
        <f t="shared" si="13"/>
        <v>0</v>
      </c>
      <c r="P176" s="1427">
        <f t="shared" si="14"/>
        <v>0</v>
      </c>
    </row>
    <row r="177" spans="1:16" ht="15.5" outlineLevel="1" x14ac:dyDescent="0.25">
      <c r="A177" s="1488">
        <v>31.6</v>
      </c>
      <c r="B177" s="1492" t="s">
        <v>1768</v>
      </c>
      <c r="C177" s="1488" t="s">
        <v>1762</v>
      </c>
      <c r="D177" s="1413">
        <v>43529</v>
      </c>
      <c r="E177" s="560">
        <v>1.25</v>
      </c>
      <c r="F177" s="1480">
        <v>0</v>
      </c>
      <c r="G177" s="1480">
        <v>0</v>
      </c>
      <c r="H177" s="1480">
        <f t="shared" si="10"/>
        <v>0</v>
      </c>
      <c r="I177" s="1480">
        <v>0</v>
      </c>
      <c r="J177" s="1480">
        <v>0</v>
      </c>
      <c r="K177" s="1480"/>
      <c r="L177" s="1480"/>
      <c r="M177" s="1480">
        <f t="shared" si="11"/>
        <v>0</v>
      </c>
      <c r="N177" s="1480">
        <f t="shared" si="12"/>
        <v>0</v>
      </c>
      <c r="O177" s="1481">
        <f t="shared" si="13"/>
        <v>0</v>
      </c>
      <c r="P177" s="1427">
        <f t="shared" si="14"/>
        <v>0</v>
      </c>
    </row>
    <row r="178" spans="1:16" ht="15.5" outlineLevel="1" x14ac:dyDescent="0.25">
      <c r="A178" s="1488">
        <v>31.7</v>
      </c>
      <c r="B178" s="1492" t="s">
        <v>1769</v>
      </c>
      <c r="C178" s="1488" t="s">
        <v>1762</v>
      </c>
      <c r="D178" s="1413">
        <v>43529</v>
      </c>
      <c r="E178" s="560">
        <v>9.35</v>
      </c>
      <c r="F178" s="1480">
        <v>0</v>
      </c>
      <c r="G178" s="1480">
        <v>0</v>
      </c>
      <c r="H178" s="1480">
        <f t="shared" si="10"/>
        <v>0</v>
      </c>
      <c r="I178" s="1480">
        <v>0</v>
      </c>
      <c r="J178" s="1480">
        <v>0</v>
      </c>
      <c r="K178" s="1480"/>
      <c r="L178" s="1480"/>
      <c r="M178" s="1480">
        <f t="shared" si="11"/>
        <v>0</v>
      </c>
      <c r="N178" s="1480">
        <f t="shared" si="12"/>
        <v>0</v>
      </c>
      <c r="O178" s="1481">
        <f t="shared" si="13"/>
        <v>0</v>
      </c>
      <c r="P178" s="1427">
        <f t="shared" si="14"/>
        <v>0</v>
      </c>
    </row>
    <row r="179" spans="1:16" ht="15.5" outlineLevel="1" x14ac:dyDescent="0.25">
      <c r="A179" s="1488">
        <v>31.8</v>
      </c>
      <c r="B179" s="1492" t="s">
        <v>1770</v>
      </c>
      <c r="C179" s="1488" t="s">
        <v>1762</v>
      </c>
      <c r="D179" s="1413">
        <v>43529</v>
      </c>
      <c r="E179" s="560">
        <v>0.31</v>
      </c>
      <c r="F179" s="1480">
        <v>0</v>
      </c>
      <c r="G179" s="1480">
        <v>0</v>
      </c>
      <c r="H179" s="1480">
        <f t="shared" si="10"/>
        <v>0</v>
      </c>
      <c r="I179" s="1480">
        <v>0</v>
      </c>
      <c r="J179" s="1480">
        <v>0</v>
      </c>
      <c r="K179" s="1480"/>
      <c r="L179" s="1480"/>
      <c r="M179" s="1480">
        <f t="shared" si="11"/>
        <v>0</v>
      </c>
      <c r="N179" s="1480">
        <f t="shared" si="12"/>
        <v>0</v>
      </c>
      <c r="O179" s="1481">
        <f t="shared" si="13"/>
        <v>0</v>
      </c>
      <c r="P179" s="1427">
        <f t="shared" si="14"/>
        <v>0</v>
      </c>
    </row>
    <row r="180" spans="1:16" ht="15.5" outlineLevel="1" x14ac:dyDescent="0.25">
      <c r="A180" s="1488">
        <v>31.9</v>
      </c>
      <c r="B180" s="1492" t="s">
        <v>1771</v>
      </c>
      <c r="C180" s="1488" t="s">
        <v>1762</v>
      </c>
      <c r="D180" s="1413">
        <v>43529</v>
      </c>
      <c r="E180" s="560">
        <v>2.74</v>
      </c>
      <c r="F180" s="1480">
        <v>0</v>
      </c>
      <c r="G180" s="1480">
        <v>0</v>
      </c>
      <c r="H180" s="1480">
        <f t="shared" si="10"/>
        <v>0</v>
      </c>
      <c r="I180" s="1480">
        <v>0</v>
      </c>
      <c r="J180" s="1480">
        <v>0</v>
      </c>
      <c r="K180" s="1480"/>
      <c r="L180" s="1480"/>
      <c r="M180" s="1480">
        <f t="shared" si="11"/>
        <v>0</v>
      </c>
      <c r="N180" s="1480">
        <f t="shared" si="12"/>
        <v>0</v>
      </c>
      <c r="O180" s="1481">
        <f t="shared" si="13"/>
        <v>0</v>
      </c>
      <c r="P180" s="1427">
        <f t="shared" si="14"/>
        <v>0</v>
      </c>
    </row>
    <row r="181" spans="1:16" ht="15.5" outlineLevel="1" x14ac:dyDescent="0.25">
      <c r="A181" s="1488" t="s">
        <v>1772</v>
      </c>
      <c r="B181" s="1492" t="s">
        <v>1773</v>
      </c>
      <c r="C181" s="1488" t="s">
        <v>1762</v>
      </c>
      <c r="D181" s="1413">
        <v>43529</v>
      </c>
      <c r="E181" s="560">
        <v>7.63</v>
      </c>
      <c r="F181" s="1480">
        <v>0</v>
      </c>
      <c r="G181" s="1480">
        <v>0</v>
      </c>
      <c r="H181" s="1480">
        <f t="shared" si="10"/>
        <v>0</v>
      </c>
      <c r="I181" s="1480">
        <v>0</v>
      </c>
      <c r="J181" s="1480">
        <v>0</v>
      </c>
      <c r="K181" s="1480"/>
      <c r="L181" s="1480"/>
      <c r="M181" s="1480">
        <f t="shared" si="11"/>
        <v>0</v>
      </c>
      <c r="N181" s="1480">
        <f t="shared" si="12"/>
        <v>0</v>
      </c>
      <c r="O181" s="1481">
        <f t="shared" si="13"/>
        <v>0</v>
      </c>
      <c r="P181" s="1427">
        <f t="shared" si="14"/>
        <v>0</v>
      </c>
    </row>
    <row r="182" spans="1:16" ht="46.5" outlineLevel="1" x14ac:dyDescent="0.25">
      <c r="A182" s="1488">
        <v>31.11</v>
      </c>
      <c r="B182" s="1492" t="s">
        <v>1774</v>
      </c>
      <c r="C182" s="1488" t="s">
        <v>1762</v>
      </c>
      <c r="D182" s="1413">
        <v>43529</v>
      </c>
      <c r="E182" s="560">
        <v>18.670000000000002</v>
      </c>
      <c r="F182" s="1480">
        <v>0</v>
      </c>
      <c r="G182" s="1480">
        <v>0</v>
      </c>
      <c r="H182" s="1480">
        <f t="shared" si="10"/>
        <v>0</v>
      </c>
      <c r="I182" s="1480">
        <v>0</v>
      </c>
      <c r="J182" s="1480">
        <v>0</v>
      </c>
      <c r="K182" s="1480"/>
      <c r="L182" s="1480"/>
      <c r="M182" s="1480">
        <f t="shared" si="11"/>
        <v>0</v>
      </c>
      <c r="N182" s="1480">
        <f t="shared" si="12"/>
        <v>0</v>
      </c>
      <c r="O182" s="1481">
        <f t="shared" si="13"/>
        <v>0</v>
      </c>
      <c r="P182" s="1427">
        <f t="shared" si="14"/>
        <v>0</v>
      </c>
    </row>
    <row r="183" spans="1:16" ht="15.5" outlineLevel="1" x14ac:dyDescent="0.25">
      <c r="A183" s="1488">
        <v>31.12</v>
      </c>
      <c r="B183" s="1492" t="s">
        <v>1775</v>
      </c>
      <c r="C183" s="1488" t="s">
        <v>1762</v>
      </c>
      <c r="D183" s="1413">
        <v>43529</v>
      </c>
      <c r="E183" s="560">
        <v>3.93</v>
      </c>
      <c r="F183" s="1480">
        <v>0</v>
      </c>
      <c r="G183" s="1480">
        <v>0</v>
      </c>
      <c r="H183" s="1480">
        <f t="shared" si="10"/>
        <v>0</v>
      </c>
      <c r="I183" s="1480">
        <v>0</v>
      </c>
      <c r="J183" s="1480">
        <v>0</v>
      </c>
      <c r="K183" s="1480"/>
      <c r="L183" s="1480"/>
      <c r="M183" s="1480">
        <f t="shared" si="11"/>
        <v>0</v>
      </c>
      <c r="N183" s="1480">
        <f t="shared" si="12"/>
        <v>0</v>
      </c>
      <c r="O183" s="1481">
        <f t="shared" si="13"/>
        <v>0</v>
      </c>
      <c r="P183" s="1427">
        <f t="shared" si="14"/>
        <v>0</v>
      </c>
    </row>
    <row r="184" spans="1:16" ht="46.5" outlineLevel="1" x14ac:dyDescent="0.25">
      <c r="A184" s="1486">
        <v>32</v>
      </c>
      <c r="B184" s="1491" t="s">
        <v>1776</v>
      </c>
      <c r="C184" s="1486" t="s">
        <v>1777</v>
      </c>
      <c r="D184" s="1487">
        <v>43363</v>
      </c>
      <c r="E184" s="1383">
        <v>38.629999999999995</v>
      </c>
      <c r="F184" s="1480">
        <v>0</v>
      </c>
      <c r="G184" s="1480">
        <v>0</v>
      </c>
      <c r="H184" s="1480">
        <f t="shared" si="10"/>
        <v>0</v>
      </c>
      <c r="I184" s="1480">
        <v>0</v>
      </c>
      <c r="J184" s="1480">
        <v>0</v>
      </c>
      <c r="K184" s="1480"/>
      <c r="L184" s="1480"/>
      <c r="M184" s="1480">
        <f t="shared" si="11"/>
        <v>0</v>
      </c>
      <c r="N184" s="1480">
        <f t="shared" si="12"/>
        <v>0</v>
      </c>
      <c r="O184" s="1481">
        <f t="shared" si="13"/>
        <v>0</v>
      </c>
      <c r="P184" s="1427">
        <f t="shared" si="14"/>
        <v>0</v>
      </c>
    </row>
    <row r="185" spans="1:16" ht="46.5" outlineLevel="1" x14ac:dyDescent="0.25">
      <c r="A185" s="1488">
        <v>32.1</v>
      </c>
      <c r="B185" s="1492" t="s">
        <v>1778</v>
      </c>
      <c r="C185" s="1488" t="s">
        <v>1777</v>
      </c>
      <c r="D185" s="1413">
        <v>43363</v>
      </c>
      <c r="E185" s="560">
        <v>32.56</v>
      </c>
      <c r="F185" s="1480">
        <v>0</v>
      </c>
      <c r="G185" s="1480">
        <v>0</v>
      </c>
      <c r="H185" s="1480">
        <f t="shared" si="10"/>
        <v>0</v>
      </c>
      <c r="I185" s="1480">
        <v>29.213259999999998</v>
      </c>
      <c r="J185" s="1480">
        <v>0</v>
      </c>
      <c r="K185" s="1480"/>
      <c r="L185" s="1480"/>
      <c r="M185" s="1480">
        <f t="shared" si="11"/>
        <v>0</v>
      </c>
      <c r="N185" s="1480">
        <f t="shared" si="12"/>
        <v>29.213259999999998</v>
      </c>
      <c r="O185" s="1481">
        <f t="shared" si="13"/>
        <v>0</v>
      </c>
      <c r="P185" s="1427">
        <f t="shared" si="14"/>
        <v>0</v>
      </c>
    </row>
    <row r="186" spans="1:16" ht="15.5" outlineLevel="1" x14ac:dyDescent="0.25">
      <c r="A186" s="1488">
        <v>32.200000000000003</v>
      </c>
      <c r="B186" s="1492" t="s">
        <v>1779</v>
      </c>
      <c r="C186" s="1488" t="s">
        <v>1777</v>
      </c>
      <c r="D186" s="1413">
        <v>43363</v>
      </c>
      <c r="E186" s="560">
        <v>4.91</v>
      </c>
      <c r="F186" s="1480">
        <v>0</v>
      </c>
      <c r="G186" s="1480">
        <v>0</v>
      </c>
      <c r="H186" s="1480">
        <f t="shared" si="10"/>
        <v>0</v>
      </c>
      <c r="I186" s="1480">
        <v>0</v>
      </c>
      <c r="J186" s="1480">
        <v>0</v>
      </c>
      <c r="K186" s="1480"/>
      <c r="L186" s="1480"/>
      <c r="M186" s="1480">
        <f t="shared" si="11"/>
        <v>0</v>
      </c>
      <c r="N186" s="1480">
        <f t="shared" si="12"/>
        <v>0</v>
      </c>
      <c r="O186" s="1481">
        <f t="shared" si="13"/>
        <v>0</v>
      </c>
      <c r="P186" s="1427">
        <f t="shared" si="14"/>
        <v>0</v>
      </c>
    </row>
    <row r="187" spans="1:16" ht="15.5" outlineLevel="1" x14ac:dyDescent="0.25">
      <c r="A187" s="1482">
        <v>0</v>
      </c>
      <c r="B187" s="1483" t="s">
        <v>414</v>
      </c>
      <c r="C187" s="1482" t="s">
        <v>1777</v>
      </c>
      <c r="D187" s="1390">
        <v>43363</v>
      </c>
      <c r="E187" s="560">
        <v>1.1599999999999999</v>
      </c>
      <c r="F187" s="1480">
        <v>0</v>
      </c>
      <c r="G187" s="1480">
        <v>0</v>
      </c>
      <c r="H187" s="1480">
        <f t="shared" si="10"/>
        <v>0</v>
      </c>
      <c r="I187" s="1480">
        <v>0</v>
      </c>
      <c r="J187" s="1480">
        <v>0</v>
      </c>
      <c r="K187" s="1480"/>
      <c r="L187" s="1480"/>
      <c r="M187" s="1480">
        <f t="shared" si="11"/>
        <v>0</v>
      </c>
      <c r="N187" s="1480">
        <f t="shared" si="12"/>
        <v>0</v>
      </c>
      <c r="O187" s="1481">
        <f t="shared" si="13"/>
        <v>0</v>
      </c>
      <c r="P187" s="1427">
        <f t="shared" si="14"/>
        <v>0</v>
      </c>
    </row>
    <row r="188" spans="1:16" ht="31" outlineLevel="1" x14ac:dyDescent="0.25">
      <c r="A188" s="1486">
        <v>33</v>
      </c>
      <c r="B188" s="1491" t="s">
        <v>1780</v>
      </c>
      <c r="C188" s="1486" t="s">
        <v>1781</v>
      </c>
      <c r="D188" s="1487">
        <v>43657</v>
      </c>
      <c r="E188" s="1383">
        <v>15.22025</v>
      </c>
      <c r="F188" s="1480">
        <v>0</v>
      </c>
      <c r="G188" s="1480">
        <v>0</v>
      </c>
      <c r="H188" s="1480">
        <f t="shared" si="10"/>
        <v>0</v>
      </c>
      <c r="I188" s="1480">
        <v>0</v>
      </c>
      <c r="J188" s="1480">
        <v>0</v>
      </c>
      <c r="K188" s="1480"/>
      <c r="L188" s="1480"/>
      <c r="M188" s="1480">
        <f t="shared" si="11"/>
        <v>0</v>
      </c>
      <c r="N188" s="1480">
        <f t="shared" si="12"/>
        <v>0</v>
      </c>
      <c r="O188" s="1481">
        <f t="shared" si="13"/>
        <v>0</v>
      </c>
      <c r="P188" s="1427">
        <f t="shared" si="14"/>
        <v>0</v>
      </c>
    </row>
    <row r="189" spans="1:16" ht="31" outlineLevel="1" x14ac:dyDescent="0.25">
      <c r="A189" s="1488">
        <v>33.1</v>
      </c>
      <c r="B189" s="1492" t="s">
        <v>1780</v>
      </c>
      <c r="C189" s="1488" t="s">
        <v>1781</v>
      </c>
      <c r="D189" s="1413">
        <v>43657</v>
      </c>
      <c r="E189" s="560">
        <v>14.20025</v>
      </c>
      <c r="F189" s="1480">
        <v>0</v>
      </c>
      <c r="G189" s="1480">
        <v>0</v>
      </c>
      <c r="H189" s="1480">
        <f t="shared" si="10"/>
        <v>0</v>
      </c>
      <c r="I189" s="1480">
        <v>0</v>
      </c>
      <c r="J189" s="1480">
        <v>0</v>
      </c>
      <c r="K189" s="1480"/>
      <c r="L189" s="1480"/>
      <c r="M189" s="1480">
        <f t="shared" si="11"/>
        <v>0</v>
      </c>
      <c r="N189" s="1480">
        <f t="shared" si="12"/>
        <v>0</v>
      </c>
      <c r="O189" s="1481">
        <f t="shared" si="13"/>
        <v>0</v>
      </c>
      <c r="P189" s="1427">
        <f t="shared" si="14"/>
        <v>0</v>
      </c>
    </row>
    <row r="190" spans="1:16" ht="15.5" outlineLevel="1" x14ac:dyDescent="0.25">
      <c r="A190" s="1482">
        <v>0</v>
      </c>
      <c r="B190" s="1483" t="s">
        <v>414</v>
      </c>
      <c r="C190" s="1482" t="s">
        <v>1781</v>
      </c>
      <c r="D190" s="1390">
        <v>43657</v>
      </c>
      <c r="E190" s="560">
        <v>1.02</v>
      </c>
      <c r="F190" s="1480">
        <v>0</v>
      </c>
      <c r="G190" s="1480">
        <v>0</v>
      </c>
      <c r="H190" s="1480">
        <f t="shared" si="10"/>
        <v>0</v>
      </c>
      <c r="I190" s="1480">
        <v>0</v>
      </c>
      <c r="J190" s="1480">
        <v>0</v>
      </c>
      <c r="K190" s="1480"/>
      <c r="L190" s="1480"/>
      <c r="M190" s="1480">
        <f t="shared" si="11"/>
        <v>0</v>
      </c>
      <c r="N190" s="1480">
        <f t="shared" si="12"/>
        <v>0</v>
      </c>
      <c r="O190" s="1481">
        <f t="shared" si="13"/>
        <v>0</v>
      </c>
      <c r="P190" s="1427">
        <f t="shared" si="14"/>
        <v>0</v>
      </c>
    </row>
    <row r="191" spans="1:16" ht="31" outlineLevel="1" x14ac:dyDescent="0.25">
      <c r="A191" s="1486">
        <v>34</v>
      </c>
      <c r="B191" s="1491" t="s">
        <v>1782</v>
      </c>
      <c r="C191" s="1486" t="s">
        <v>1783</v>
      </c>
      <c r="D191" s="1487">
        <v>43588</v>
      </c>
      <c r="E191" s="1383">
        <v>41.469115199999997</v>
      </c>
      <c r="F191" s="1480">
        <v>0</v>
      </c>
      <c r="G191" s="1480">
        <v>0</v>
      </c>
      <c r="H191" s="1480">
        <f t="shared" si="10"/>
        <v>0</v>
      </c>
      <c r="I191" s="1480">
        <v>0</v>
      </c>
      <c r="J191" s="1480">
        <v>0</v>
      </c>
      <c r="K191" s="1480"/>
      <c r="L191" s="1480"/>
      <c r="M191" s="1480">
        <f t="shared" si="11"/>
        <v>0</v>
      </c>
      <c r="N191" s="1480">
        <f t="shared" si="12"/>
        <v>0</v>
      </c>
      <c r="O191" s="1481">
        <f t="shared" si="13"/>
        <v>0</v>
      </c>
      <c r="P191" s="1427">
        <f t="shared" si="14"/>
        <v>0</v>
      </c>
    </row>
    <row r="192" spans="1:16" ht="46.5" outlineLevel="1" x14ac:dyDescent="0.25">
      <c r="A192" s="1488">
        <v>34.1</v>
      </c>
      <c r="B192" s="1492" t="s">
        <v>1784</v>
      </c>
      <c r="C192" s="1488" t="s">
        <v>1783</v>
      </c>
      <c r="D192" s="1413">
        <v>43588</v>
      </c>
      <c r="E192" s="560">
        <v>40.359115199999998</v>
      </c>
      <c r="F192" s="1480">
        <v>1.0992438</v>
      </c>
      <c r="G192" s="1480">
        <v>0.82599999999999996</v>
      </c>
      <c r="H192" s="1480">
        <f t="shared" si="10"/>
        <v>0.27324380000000004</v>
      </c>
      <c r="I192" s="1480">
        <v>41.090346100000005</v>
      </c>
      <c r="J192" s="1480">
        <v>41.363589900000001</v>
      </c>
      <c r="K192" s="1480"/>
      <c r="L192" s="1480"/>
      <c r="M192" s="1480">
        <f t="shared" si="11"/>
        <v>41.363589900000001</v>
      </c>
      <c r="N192" s="1480">
        <f t="shared" si="12"/>
        <v>0</v>
      </c>
      <c r="O192" s="1481">
        <f t="shared" si="13"/>
        <v>39.533115199999997</v>
      </c>
      <c r="P192" s="1427">
        <f t="shared" si="14"/>
        <v>1.8304747000000035</v>
      </c>
    </row>
    <row r="193" spans="1:16" ht="15.5" outlineLevel="1" x14ac:dyDescent="0.25">
      <c r="A193" s="1482">
        <v>0</v>
      </c>
      <c r="B193" s="1483" t="s">
        <v>414</v>
      </c>
      <c r="C193" s="1482" t="s">
        <v>1783</v>
      </c>
      <c r="D193" s="1390">
        <v>43588</v>
      </c>
      <c r="E193" s="560">
        <v>1.1100000000000001</v>
      </c>
      <c r="F193" s="1480">
        <v>0</v>
      </c>
      <c r="G193" s="1480">
        <v>0</v>
      </c>
      <c r="H193" s="1480">
        <f t="shared" si="10"/>
        <v>0</v>
      </c>
      <c r="I193" s="1480">
        <v>0</v>
      </c>
      <c r="J193" s="1480">
        <v>0</v>
      </c>
      <c r="K193" s="1480"/>
      <c r="L193" s="1480"/>
      <c r="M193" s="1480">
        <f t="shared" si="11"/>
        <v>0</v>
      </c>
      <c r="N193" s="1480">
        <f t="shared" si="12"/>
        <v>0</v>
      </c>
      <c r="O193" s="1481">
        <f t="shared" si="13"/>
        <v>0</v>
      </c>
      <c r="P193" s="1427">
        <f t="shared" si="14"/>
        <v>0</v>
      </c>
    </row>
    <row r="194" spans="1:16" ht="31" outlineLevel="1" x14ac:dyDescent="0.25">
      <c r="A194" s="1477">
        <v>35</v>
      </c>
      <c r="B194" s="1478" t="s">
        <v>1785</v>
      </c>
      <c r="C194" s="1486" t="s">
        <v>1786</v>
      </c>
      <c r="D194" s="1487">
        <v>43822</v>
      </c>
      <c r="E194" s="1383">
        <v>22.05</v>
      </c>
      <c r="F194" s="1480">
        <v>0</v>
      </c>
      <c r="G194" s="1480">
        <v>0</v>
      </c>
      <c r="H194" s="1480">
        <f t="shared" si="10"/>
        <v>0</v>
      </c>
      <c r="I194" s="1480">
        <v>0</v>
      </c>
      <c r="J194" s="1480">
        <v>0</v>
      </c>
      <c r="K194" s="1480"/>
      <c r="L194" s="1480"/>
      <c r="M194" s="1480">
        <f t="shared" si="11"/>
        <v>0</v>
      </c>
      <c r="N194" s="1480">
        <f t="shared" si="12"/>
        <v>0</v>
      </c>
      <c r="O194" s="1481">
        <f t="shared" si="13"/>
        <v>0</v>
      </c>
      <c r="P194" s="1427">
        <f t="shared" si="14"/>
        <v>0</v>
      </c>
    </row>
    <row r="195" spans="1:16" ht="31" outlineLevel="1" x14ac:dyDescent="0.25">
      <c r="A195" s="1482">
        <v>35.1</v>
      </c>
      <c r="B195" s="1483" t="s">
        <v>1785</v>
      </c>
      <c r="C195" s="1488" t="s">
        <v>1786</v>
      </c>
      <c r="D195" s="1413">
        <v>43822</v>
      </c>
      <c r="E195" s="1383">
        <v>21.66</v>
      </c>
      <c r="F195" s="1480">
        <v>22.854784800000001</v>
      </c>
      <c r="G195" s="1480">
        <v>22.854784800000001</v>
      </c>
      <c r="H195" s="1480">
        <f t="shared" si="10"/>
        <v>0</v>
      </c>
      <c r="I195" s="1480">
        <v>0</v>
      </c>
      <c r="J195" s="1480">
        <v>0</v>
      </c>
      <c r="K195" s="1480"/>
      <c r="L195" s="1480"/>
      <c r="M195" s="1480">
        <f t="shared" si="11"/>
        <v>0</v>
      </c>
      <c r="N195" s="1480">
        <f t="shared" si="12"/>
        <v>0</v>
      </c>
      <c r="O195" s="1481" t="e">
        <f>MAX(0,IF(#REF!=0,0,IF(#REF!+#REF!&lt;#REF!,#REF!,#REF!-#REF!)))</f>
        <v>#REF!</v>
      </c>
      <c r="P195" s="1427" t="e">
        <f>#REF!-O195</f>
        <v>#REF!</v>
      </c>
    </row>
    <row r="196" spans="1:16" ht="15.5" outlineLevel="1" x14ac:dyDescent="0.25">
      <c r="A196" s="1482">
        <v>0</v>
      </c>
      <c r="B196" s="1483" t="s">
        <v>414</v>
      </c>
      <c r="C196" s="1482" t="s">
        <v>1786</v>
      </c>
      <c r="D196" s="1390">
        <v>43822</v>
      </c>
      <c r="E196" s="1383">
        <v>0.39</v>
      </c>
      <c r="F196" s="1480">
        <v>0</v>
      </c>
      <c r="G196" s="1480">
        <v>0</v>
      </c>
      <c r="H196" s="1480">
        <f t="shared" si="10"/>
        <v>0</v>
      </c>
      <c r="I196" s="1480">
        <v>0</v>
      </c>
      <c r="J196" s="1480">
        <v>0</v>
      </c>
      <c r="K196" s="1480"/>
      <c r="L196" s="1480"/>
      <c r="M196" s="1480">
        <f t="shared" si="11"/>
        <v>0</v>
      </c>
      <c r="N196" s="1480">
        <f t="shared" si="12"/>
        <v>0</v>
      </c>
      <c r="O196" s="1481">
        <f t="shared" si="13"/>
        <v>0</v>
      </c>
      <c r="P196" s="1427">
        <f t="shared" si="14"/>
        <v>0</v>
      </c>
    </row>
    <row r="197" spans="1:16" ht="46.5" outlineLevel="1" x14ac:dyDescent="0.25">
      <c r="A197" s="1486">
        <v>36</v>
      </c>
      <c r="B197" s="1491" t="s">
        <v>1787</v>
      </c>
      <c r="C197" s="1486" t="s">
        <v>1788</v>
      </c>
      <c r="D197" s="1487">
        <v>44104</v>
      </c>
      <c r="E197" s="1383">
        <v>18.559999999999999</v>
      </c>
      <c r="F197" s="1480">
        <v>0</v>
      </c>
      <c r="G197" s="1480">
        <v>0</v>
      </c>
      <c r="H197" s="1480">
        <f t="shared" si="10"/>
        <v>0</v>
      </c>
      <c r="I197" s="1480">
        <v>0</v>
      </c>
      <c r="J197" s="1480">
        <v>0</v>
      </c>
      <c r="K197" s="1480"/>
      <c r="L197" s="1480"/>
      <c r="M197" s="1480">
        <f t="shared" si="11"/>
        <v>0</v>
      </c>
      <c r="N197" s="1480">
        <f t="shared" si="12"/>
        <v>0</v>
      </c>
      <c r="O197" s="1481">
        <f t="shared" si="13"/>
        <v>0</v>
      </c>
      <c r="P197" s="1427">
        <f t="shared" si="14"/>
        <v>0</v>
      </c>
    </row>
    <row r="198" spans="1:16" ht="46.5" outlineLevel="1" x14ac:dyDescent="0.25">
      <c r="A198" s="1488">
        <v>36.1</v>
      </c>
      <c r="B198" s="1492" t="s">
        <v>1789</v>
      </c>
      <c r="C198" s="1488" t="s">
        <v>1788</v>
      </c>
      <c r="D198" s="1413">
        <v>44104</v>
      </c>
      <c r="E198" s="560">
        <v>18.32</v>
      </c>
      <c r="F198" s="1480">
        <v>8.8347990999999997</v>
      </c>
      <c r="G198" s="1480">
        <v>8.8347990999999997</v>
      </c>
      <c r="H198" s="1480">
        <f t="shared" si="10"/>
        <v>0</v>
      </c>
      <c r="I198" s="1480">
        <v>7.3896264720000016</v>
      </c>
      <c r="J198" s="1480">
        <v>7.3896264719999998</v>
      </c>
      <c r="K198" s="1480"/>
      <c r="L198" s="1480"/>
      <c r="M198" s="1480">
        <f t="shared" si="11"/>
        <v>7.3896264719999998</v>
      </c>
      <c r="N198" s="1480">
        <f t="shared" si="12"/>
        <v>0</v>
      </c>
      <c r="O198" s="1481">
        <f t="shared" si="13"/>
        <v>7.3896264719999998</v>
      </c>
      <c r="P198" s="1427">
        <f t="shared" si="14"/>
        <v>0</v>
      </c>
    </row>
    <row r="199" spans="1:16" ht="31" outlineLevel="1" x14ac:dyDescent="0.25">
      <c r="A199" s="1482">
        <v>0</v>
      </c>
      <c r="B199" s="1483" t="s">
        <v>414</v>
      </c>
      <c r="C199" s="1482" t="s">
        <v>1788</v>
      </c>
      <c r="D199" s="1390">
        <v>44104</v>
      </c>
      <c r="E199" s="560">
        <v>0.24</v>
      </c>
      <c r="F199" s="1480">
        <v>0</v>
      </c>
      <c r="G199" s="1480">
        <v>0</v>
      </c>
      <c r="H199" s="1480">
        <f t="shared" si="10"/>
        <v>0</v>
      </c>
      <c r="I199" s="1480">
        <v>0</v>
      </c>
      <c r="J199" s="1480">
        <v>0</v>
      </c>
      <c r="K199" s="1480"/>
      <c r="L199" s="1480"/>
      <c r="M199" s="1480">
        <f t="shared" si="11"/>
        <v>0</v>
      </c>
      <c r="N199" s="1480">
        <f t="shared" si="12"/>
        <v>0</v>
      </c>
      <c r="O199" s="1481">
        <f t="shared" si="13"/>
        <v>0</v>
      </c>
      <c r="P199" s="1427">
        <f t="shared" si="14"/>
        <v>0</v>
      </c>
    </row>
    <row r="200" spans="1:16" ht="46.5" outlineLevel="1" x14ac:dyDescent="0.25">
      <c r="A200" s="1486">
        <v>37</v>
      </c>
      <c r="B200" s="1491" t="s">
        <v>1790</v>
      </c>
      <c r="C200" s="1486" t="s">
        <v>1791</v>
      </c>
      <c r="D200" s="1487">
        <v>44179</v>
      </c>
      <c r="E200" s="1383">
        <v>656.25</v>
      </c>
      <c r="F200" s="1480">
        <v>0</v>
      </c>
      <c r="G200" s="1480">
        <v>0</v>
      </c>
      <c r="H200" s="1480">
        <f t="shared" si="10"/>
        <v>0</v>
      </c>
      <c r="I200" s="1480">
        <v>0</v>
      </c>
      <c r="J200" s="1480">
        <v>0</v>
      </c>
      <c r="K200" s="1480"/>
      <c r="L200" s="1480"/>
      <c r="M200" s="1480">
        <f t="shared" si="11"/>
        <v>0</v>
      </c>
      <c r="N200" s="1480">
        <f t="shared" si="12"/>
        <v>0</v>
      </c>
      <c r="O200" s="1481">
        <f t="shared" si="13"/>
        <v>0</v>
      </c>
      <c r="P200" s="1427">
        <f t="shared" si="14"/>
        <v>0</v>
      </c>
    </row>
    <row r="201" spans="1:16" ht="46.5" outlineLevel="1" x14ac:dyDescent="0.25">
      <c r="A201" s="1488">
        <v>37.1</v>
      </c>
      <c r="B201" s="1492" t="s">
        <v>1790</v>
      </c>
      <c r="C201" s="1488" t="s">
        <v>1791</v>
      </c>
      <c r="D201" s="1413">
        <v>44179</v>
      </c>
      <c r="E201" s="560">
        <v>602.58000000000004</v>
      </c>
      <c r="F201" s="1480">
        <v>0</v>
      </c>
      <c r="G201" s="1480">
        <v>0</v>
      </c>
      <c r="H201" s="1480">
        <f t="shared" si="10"/>
        <v>0</v>
      </c>
      <c r="I201" s="1480">
        <v>0</v>
      </c>
      <c r="J201" s="1480">
        <v>0</v>
      </c>
      <c r="K201" s="1480"/>
      <c r="L201" s="1480"/>
      <c r="M201" s="1480">
        <f t="shared" si="11"/>
        <v>0</v>
      </c>
      <c r="N201" s="1480">
        <f t="shared" si="12"/>
        <v>0</v>
      </c>
      <c r="O201" s="1481">
        <f t="shared" si="13"/>
        <v>0</v>
      </c>
      <c r="P201" s="1427">
        <f t="shared" si="14"/>
        <v>0</v>
      </c>
    </row>
    <row r="202" spans="1:16" ht="31" outlineLevel="1" x14ac:dyDescent="0.25">
      <c r="A202" s="1488">
        <v>0</v>
      </c>
      <c r="B202" s="1492" t="s">
        <v>414</v>
      </c>
      <c r="C202" s="1488" t="s">
        <v>1791</v>
      </c>
      <c r="D202" s="1413">
        <v>44179</v>
      </c>
      <c r="E202" s="560">
        <v>53.67</v>
      </c>
      <c r="F202" s="1480">
        <v>0</v>
      </c>
      <c r="G202" s="1480">
        <v>0</v>
      </c>
      <c r="H202" s="1480">
        <f t="shared" si="10"/>
        <v>0</v>
      </c>
      <c r="I202" s="1480">
        <v>0</v>
      </c>
      <c r="J202" s="1480">
        <v>0</v>
      </c>
      <c r="K202" s="1480"/>
      <c r="L202" s="1480"/>
      <c r="M202" s="1480">
        <f t="shared" si="11"/>
        <v>0</v>
      </c>
      <c r="N202" s="1480">
        <f t="shared" si="12"/>
        <v>0</v>
      </c>
      <c r="O202" s="1481">
        <f t="shared" si="13"/>
        <v>0</v>
      </c>
      <c r="P202" s="1427">
        <f t="shared" si="14"/>
        <v>0</v>
      </c>
    </row>
    <row r="203" spans="1:16" ht="31" outlineLevel="1" x14ac:dyDescent="0.25">
      <c r="A203" s="1486">
        <v>38</v>
      </c>
      <c r="B203" s="1491" t="s">
        <v>1792</v>
      </c>
      <c r="C203" s="1486" t="s">
        <v>1793</v>
      </c>
      <c r="D203" s="1487">
        <v>42033</v>
      </c>
      <c r="E203" s="560">
        <v>10</v>
      </c>
      <c r="F203" s="1480">
        <v>0</v>
      </c>
      <c r="G203" s="1480">
        <v>0</v>
      </c>
      <c r="H203" s="1480">
        <f t="shared" ref="H203:H266" si="15">F203-G203</f>
        <v>0</v>
      </c>
      <c r="I203" s="1480">
        <v>0</v>
      </c>
      <c r="J203" s="1480">
        <v>0</v>
      </c>
      <c r="K203" s="1480"/>
      <c r="L203" s="1480"/>
      <c r="M203" s="1480">
        <f t="shared" ref="M203:M266" si="16">SUM(J203:L203)</f>
        <v>0</v>
      </c>
      <c r="N203" s="1480">
        <f t="shared" ref="N203:N266" si="17">H203+I203-M203</f>
        <v>0</v>
      </c>
      <c r="O203" s="1481">
        <f t="shared" ref="O203:O291" si="18">MAX(0,IF(M203=0,0,IF(G203+M203&lt;E203,M203,E203-G203)))</f>
        <v>0</v>
      </c>
      <c r="P203" s="1427">
        <f t="shared" ref="P203:P291" si="19">M203-O203</f>
        <v>0</v>
      </c>
    </row>
    <row r="204" spans="1:16" ht="31" outlineLevel="1" x14ac:dyDescent="0.25">
      <c r="A204" s="1488">
        <v>0</v>
      </c>
      <c r="B204" s="1492" t="s">
        <v>1794</v>
      </c>
      <c r="C204" s="1493" t="s">
        <v>1793</v>
      </c>
      <c r="D204" s="1494">
        <v>42033</v>
      </c>
      <c r="E204" s="560">
        <v>9.4</v>
      </c>
      <c r="F204" s="1480">
        <v>0</v>
      </c>
      <c r="G204" s="1480">
        <v>0</v>
      </c>
      <c r="H204" s="1480">
        <f t="shared" si="15"/>
        <v>0</v>
      </c>
      <c r="I204" s="1480">
        <v>0</v>
      </c>
      <c r="J204" s="1480">
        <v>0</v>
      </c>
      <c r="K204" s="1480"/>
      <c r="L204" s="1480"/>
      <c r="M204" s="1480">
        <f t="shared" si="16"/>
        <v>0</v>
      </c>
      <c r="N204" s="1480">
        <f t="shared" si="17"/>
        <v>0</v>
      </c>
      <c r="O204" s="1481">
        <f t="shared" si="18"/>
        <v>0</v>
      </c>
      <c r="P204" s="1427">
        <f t="shared" si="19"/>
        <v>0</v>
      </c>
    </row>
    <row r="205" spans="1:16" ht="31" outlineLevel="1" x14ac:dyDescent="0.25">
      <c r="A205" s="1488">
        <v>0</v>
      </c>
      <c r="B205" s="1492" t="s">
        <v>414</v>
      </c>
      <c r="C205" s="1493" t="s">
        <v>1793</v>
      </c>
      <c r="D205" s="1494">
        <v>42033</v>
      </c>
      <c r="E205" s="560">
        <v>0.6</v>
      </c>
      <c r="F205" s="1480">
        <v>0</v>
      </c>
      <c r="G205" s="1480">
        <v>0</v>
      </c>
      <c r="H205" s="1480">
        <f t="shared" si="15"/>
        <v>0</v>
      </c>
      <c r="I205" s="1480">
        <v>0</v>
      </c>
      <c r="J205" s="1480">
        <v>0</v>
      </c>
      <c r="K205" s="1480"/>
      <c r="L205" s="1480"/>
      <c r="M205" s="1480">
        <f t="shared" si="16"/>
        <v>0</v>
      </c>
      <c r="N205" s="1480">
        <f t="shared" si="17"/>
        <v>0</v>
      </c>
      <c r="O205" s="1481">
        <f t="shared" si="18"/>
        <v>0</v>
      </c>
      <c r="P205" s="1427">
        <f t="shared" si="19"/>
        <v>0</v>
      </c>
    </row>
    <row r="206" spans="1:16" ht="31" outlineLevel="1" x14ac:dyDescent="0.25">
      <c r="A206" s="1486">
        <v>39</v>
      </c>
      <c r="B206" s="1491" t="s">
        <v>1795</v>
      </c>
      <c r="C206" s="1486" t="s">
        <v>1796</v>
      </c>
      <c r="D206" s="1487">
        <v>44335</v>
      </c>
      <c r="E206" s="1383">
        <v>21.53</v>
      </c>
      <c r="F206" s="1480">
        <v>0</v>
      </c>
      <c r="G206" s="1480">
        <v>0</v>
      </c>
      <c r="H206" s="1480">
        <f t="shared" si="15"/>
        <v>0</v>
      </c>
      <c r="I206" s="1480">
        <v>0</v>
      </c>
      <c r="J206" s="1480">
        <v>0</v>
      </c>
      <c r="K206" s="1480"/>
      <c r="L206" s="1480"/>
      <c r="M206" s="1480">
        <f t="shared" si="16"/>
        <v>0</v>
      </c>
      <c r="N206" s="1480">
        <f t="shared" si="17"/>
        <v>0</v>
      </c>
      <c r="O206" s="1481">
        <f t="shared" si="18"/>
        <v>0</v>
      </c>
      <c r="P206" s="1427">
        <f t="shared" si="19"/>
        <v>0</v>
      </c>
    </row>
    <row r="207" spans="1:16" ht="77.5" outlineLevel="1" x14ac:dyDescent="0.25">
      <c r="A207" s="1488">
        <v>39.1</v>
      </c>
      <c r="B207" s="1492" t="s">
        <v>1797</v>
      </c>
      <c r="C207" s="1488" t="s">
        <v>1796</v>
      </c>
      <c r="D207" s="1413">
        <v>44335</v>
      </c>
      <c r="E207" s="560">
        <v>21.02</v>
      </c>
      <c r="F207" s="1480">
        <v>0</v>
      </c>
      <c r="G207" s="1480">
        <v>0</v>
      </c>
      <c r="H207" s="1480">
        <f t="shared" si="15"/>
        <v>0</v>
      </c>
      <c r="I207" s="1480">
        <v>0</v>
      </c>
      <c r="J207" s="1480">
        <v>0</v>
      </c>
      <c r="K207" s="1480"/>
      <c r="L207" s="1480"/>
      <c r="M207" s="1480">
        <f t="shared" si="16"/>
        <v>0</v>
      </c>
      <c r="N207" s="1480">
        <f t="shared" si="17"/>
        <v>0</v>
      </c>
      <c r="O207" s="1481">
        <f t="shared" si="18"/>
        <v>0</v>
      </c>
      <c r="P207" s="1427">
        <f t="shared" si="19"/>
        <v>0</v>
      </c>
    </row>
    <row r="208" spans="1:16" ht="31" outlineLevel="1" x14ac:dyDescent="0.25">
      <c r="A208" s="1488">
        <v>0</v>
      </c>
      <c r="B208" s="1492" t="s">
        <v>414</v>
      </c>
      <c r="C208" s="1488" t="s">
        <v>1796</v>
      </c>
      <c r="D208" s="1413">
        <v>44335</v>
      </c>
      <c r="E208" s="560">
        <v>0.51</v>
      </c>
      <c r="F208" s="1480">
        <v>0</v>
      </c>
      <c r="G208" s="1480">
        <v>0</v>
      </c>
      <c r="H208" s="1480">
        <f t="shared" si="15"/>
        <v>0</v>
      </c>
      <c r="I208" s="1480">
        <v>0</v>
      </c>
      <c r="J208" s="1480">
        <v>0</v>
      </c>
      <c r="K208" s="1480"/>
      <c r="L208" s="1480"/>
      <c r="M208" s="1480">
        <f t="shared" si="16"/>
        <v>0</v>
      </c>
      <c r="N208" s="1480">
        <f t="shared" si="17"/>
        <v>0</v>
      </c>
      <c r="O208" s="1481">
        <f t="shared" si="18"/>
        <v>0</v>
      </c>
      <c r="P208" s="1427">
        <f t="shared" si="19"/>
        <v>0</v>
      </c>
    </row>
    <row r="209" spans="1:16" ht="31" outlineLevel="1" x14ac:dyDescent="0.25">
      <c r="A209" s="1477" t="s">
        <v>1798</v>
      </c>
      <c r="B209" s="1478" t="s">
        <v>1799</v>
      </c>
      <c r="C209" s="1477" t="s">
        <v>1800</v>
      </c>
      <c r="D209" s="1479">
        <v>39232</v>
      </c>
      <c r="E209" s="1383">
        <v>9.6</v>
      </c>
      <c r="F209" s="1480">
        <v>0</v>
      </c>
      <c r="G209" s="1480">
        <v>0</v>
      </c>
      <c r="H209" s="1480">
        <f t="shared" si="15"/>
        <v>0</v>
      </c>
      <c r="I209" s="1480">
        <v>0</v>
      </c>
      <c r="J209" s="1480">
        <v>0</v>
      </c>
      <c r="K209" s="1480"/>
      <c r="L209" s="1480"/>
      <c r="M209" s="1480">
        <f t="shared" si="16"/>
        <v>0</v>
      </c>
      <c r="N209" s="1480">
        <f t="shared" si="17"/>
        <v>0</v>
      </c>
      <c r="O209" s="1481">
        <f t="shared" si="18"/>
        <v>0</v>
      </c>
      <c r="P209" s="1427">
        <f t="shared" si="19"/>
        <v>0</v>
      </c>
    </row>
    <row r="210" spans="1:16" ht="31" outlineLevel="1" x14ac:dyDescent="0.25">
      <c r="A210" s="1482" t="s">
        <v>1801</v>
      </c>
      <c r="B210" s="1483" t="s">
        <v>1802</v>
      </c>
      <c r="C210" s="1482" t="s">
        <v>1800</v>
      </c>
      <c r="D210" s="1390">
        <v>39232</v>
      </c>
      <c r="E210" s="560">
        <v>9.6</v>
      </c>
      <c r="F210" s="1480">
        <v>4.9831317769999997</v>
      </c>
      <c r="G210" s="1480">
        <v>4.9831317769999997</v>
      </c>
      <c r="H210" s="1480">
        <f t="shared" si="15"/>
        <v>0</v>
      </c>
      <c r="I210" s="1480">
        <v>0</v>
      </c>
      <c r="J210" s="1480">
        <v>0</v>
      </c>
      <c r="K210" s="1480"/>
      <c r="L210" s="1480"/>
      <c r="M210" s="1480">
        <f t="shared" si="16"/>
        <v>0</v>
      </c>
      <c r="N210" s="1480">
        <f t="shared" si="17"/>
        <v>0</v>
      </c>
      <c r="O210" s="1481">
        <f t="shared" si="18"/>
        <v>0</v>
      </c>
      <c r="P210" s="1427">
        <f t="shared" si="19"/>
        <v>0</v>
      </c>
    </row>
    <row r="211" spans="1:16" ht="31" outlineLevel="1" x14ac:dyDescent="0.25">
      <c r="A211" s="1477" t="s">
        <v>1803</v>
      </c>
      <c r="B211" s="1478" t="s">
        <v>1804</v>
      </c>
      <c r="C211" s="1477" t="s">
        <v>1805</v>
      </c>
      <c r="D211" s="1479">
        <v>41464</v>
      </c>
      <c r="E211" s="1383">
        <v>10.36</v>
      </c>
      <c r="F211" s="1480">
        <v>0</v>
      </c>
      <c r="G211" s="1480">
        <v>0</v>
      </c>
      <c r="H211" s="1480">
        <f t="shared" si="15"/>
        <v>0</v>
      </c>
      <c r="I211" s="1480">
        <v>0</v>
      </c>
      <c r="J211" s="1480">
        <v>0</v>
      </c>
      <c r="K211" s="1480"/>
      <c r="L211" s="1480"/>
      <c r="M211" s="1480">
        <f t="shared" si="16"/>
        <v>0</v>
      </c>
      <c r="N211" s="1480">
        <f t="shared" si="17"/>
        <v>0</v>
      </c>
      <c r="O211" s="1481">
        <f t="shared" si="18"/>
        <v>0</v>
      </c>
      <c r="P211" s="1427">
        <f t="shared" si="19"/>
        <v>0</v>
      </c>
    </row>
    <row r="212" spans="1:16" ht="31" outlineLevel="1" x14ac:dyDescent="0.25">
      <c r="A212" s="1482" t="s">
        <v>1806</v>
      </c>
      <c r="B212" s="1483" t="s">
        <v>1807</v>
      </c>
      <c r="C212" s="1482" t="s">
        <v>1805</v>
      </c>
      <c r="D212" s="1390">
        <v>41464</v>
      </c>
      <c r="E212" s="560">
        <v>10.36</v>
      </c>
      <c r="F212" s="1480">
        <v>0</v>
      </c>
      <c r="G212" s="1480">
        <v>0</v>
      </c>
      <c r="H212" s="1480">
        <f t="shared" si="15"/>
        <v>0</v>
      </c>
      <c r="I212" s="1480">
        <v>0</v>
      </c>
      <c r="J212" s="1480">
        <v>0</v>
      </c>
      <c r="K212" s="1480"/>
      <c r="L212" s="1480"/>
      <c r="M212" s="1480">
        <f t="shared" si="16"/>
        <v>0</v>
      </c>
      <c r="N212" s="1480">
        <f t="shared" si="17"/>
        <v>0</v>
      </c>
      <c r="O212" s="1481">
        <f t="shared" si="18"/>
        <v>0</v>
      </c>
      <c r="P212" s="1427">
        <f t="shared" si="19"/>
        <v>0</v>
      </c>
    </row>
    <row r="213" spans="1:16" ht="31" outlineLevel="1" x14ac:dyDescent="0.25">
      <c r="A213" s="1482">
        <v>0</v>
      </c>
      <c r="B213" s="1483" t="s">
        <v>414</v>
      </c>
      <c r="C213" s="1482" t="s">
        <v>1805</v>
      </c>
      <c r="D213" s="1390">
        <v>41464</v>
      </c>
      <c r="E213" s="560">
        <v>0</v>
      </c>
      <c r="F213" s="1480">
        <v>0</v>
      </c>
      <c r="G213" s="1480">
        <v>0</v>
      </c>
      <c r="H213" s="1480">
        <f t="shared" si="15"/>
        <v>0</v>
      </c>
      <c r="I213" s="1480">
        <v>0</v>
      </c>
      <c r="J213" s="1480">
        <v>0</v>
      </c>
      <c r="K213" s="1480"/>
      <c r="L213" s="1480"/>
      <c r="M213" s="1480">
        <f t="shared" si="16"/>
        <v>0</v>
      </c>
      <c r="N213" s="1480">
        <f t="shared" si="17"/>
        <v>0</v>
      </c>
      <c r="O213" s="1481">
        <f t="shared" si="18"/>
        <v>0</v>
      </c>
      <c r="P213" s="1427">
        <f t="shared" si="19"/>
        <v>0</v>
      </c>
    </row>
    <row r="214" spans="1:16" ht="46.5" outlineLevel="1" x14ac:dyDescent="0.25">
      <c r="A214" s="1477" t="s">
        <v>1808</v>
      </c>
      <c r="B214" s="1478" t="s">
        <v>944</v>
      </c>
      <c r="C214" s="1477" t="s">
        <v>945</v>
      </c>
      <c r="D214" s="1479">
        <v>41968</v>
      </c>
      <c r="E214" s="1383">
        <v>16.956</v>
      </c>
      <c r="F214" s="1480">
        <v>0</v>
      </c>
      <c r="G214" s="1480">
        <v>0</v>
      </c>
      <c r="H214" s="1480">
        <f t="shared" si="15"/>
        <v>0</v>
      </c>
      <c r="I214" s="1480">
        <v>0</v>
      </c>
      <c r="J214" s="1480">
        <v>0</v>
      </c>
      <c r="K214" s="1480"/>
      <c r="L214" s="1480"/>
      <c r="M214" s="1480">
        <f t="shared" si="16"/>
        <v>0</v>
      </c>
      <c r="N214" s="1480">
        <f t="shared" si="17"/>
        <v>0</v>
      </c>
      <c r="O214" s="1481">
        <f t="shared" si="18"/>
        <v>0</v>
      </c>
      <c r="P214" s="1427">
        <f t="shared" si="19"/>
        <v>0</v>
      </c>
    </row>
    <row r="215" spans="1:16" ht="46.5" outlineLevel="1" x14ac:dyDescent="0.25">
      <c r="A215" s="1482" t="s">
        <v>1809</v>
      </c>
      <c r="B215" s="1483" t="s">
        <v>1810</v>
      </c>
      <c r="C215" s="1482" t="s">
        <v>945</v>
      </c>
      <c r="D215" s="1390">
        <v>41968</v>
      </c>
      <c r="E215" s="560">
        <v>5.7060000000000004</v>
      </c>
      <c r="F215" s="1480">
        <v>0.90661499000000001</v>
      </c>
      <c r="G215" s="1480">
        <v>0.90661499000000001</v>
      </c>
      <c r="H215" s="1480">
        <f t="shared" si="15"/>
        <v>0</v>
      </c>
      <c r="I215" s="1480">
        <v>0</v>
      </c>
      <c r="J215" s="1480">
        <v>0</v>
      </c>
      <c r="K215" s="1480"/>
      <c r="L215" s="1480"/>
      <c r="M215" s="1480">
        <f t="shared" si="16"/>
        <v>0</v>
      </c>
      <c r="N215" s="1480">
        <f t="shared" si="17"/>
        <v>0</v>
      </c>
      <c r="O215" s="1481">
        <f t="shared" si="18"/>
        <v>0</v>
      </c>
      <c r="P215" s="1427">
        <f t="shared" si="19"/>
        <v>0</v>
      </c>
    </row>
    <row r="216" spans="1:16" ht="46.5" outlineLevel="1" x14ac:dyDescent="0.25">
      <c r="A216" s="1482" t="s">
        <v>1811</v>
      </c>
      <c r="B216" s="1483" t="s">
        <v>1812</v>
      </c>
      <c r="C216" s="1482" t="s">
        <v>945</v>
      </c>
      <c r="D216" s="1390">
        <v>41968</v>
      </c>
      <c r="E216" s="560">
        <v>11.25</v>
      </c>
      <c r="F216" s="1480">
        <v>5.7542039999999997</v>
      </c>
      <c r="G216" s="1480">
        <v>5.7542039999999997</v>
      </c>
      <c r="H216" s="1480">
        <f t="shared" si="15"/>
        <v>0</v>
      </c>
      <c r="I216" s="1480">
        <v>0</v>
      </c>
      <c r="J216" s="1480">
        <v>0</v>
      </c>
      <c r="K216" s="1480"/>
      <c r="L216" s="1480"/>
      <c r="M216" s="1480">
        <f t="shared" si="16"/>
        <v>0</v>
      </c>
      <c r="N216" s="1480">
        <f t="shared" si="17"/>
        <v>0</v>
      </c>
      <c r="O216" s="1481">
        <f t="shared" si="18"/>
        <v>0</v>
      </c>
      <c r="P216" s="1427">
        <f t="shared" si="19"/>
        <v>0</v>
      </c>
    </row>
    <row r="217" spans="1:16" ht="46.5" outlineLevel="1" x14ac:dyDescent="0.25">
      <c r="A217" s="1477" t="s">
        <v>946</v>
      </c>
      <c r="B217" s="1478" t="s">
        <v>947</v>
      </c>
      <c r="C217" s="1477" t="s">
        <v>948</v>
      </c>
      <c r="D217" s="1479">
        <v>42585</v>
      </c>
      <c r="E217" s="1383">
        <v>1.3257526714285714</v>
      </c>
      <c r="F217" s="1480">
        <v>0</v>
      </c>
      <c r="G217" s="1480">
        <v>0</v>
      </c>
      <c r="H217" s="1480">
        <f t="shared" si="15"/>
        <v>0</v>
      </c>
      <c r="I217" s="1480">
        <v>0</v>
      </c>
      <c r="J217" s="1480">
        <v>0</v>
      </c>
      <c r="K217" s="1480"/>
      <c r="L217" s="1480"/>
      <c r="M217" s="1480">
        <f t="shared" si="16"/>
        <v>0</v>
      </c>
      <c r="N217" s="1480">
        <f t="shared" si="17"/>
        <v>0</v>
      </c>
      <c r="O217" s="1481">
        <f t="shared" si="18"/>
        <v>0</v>
      </c>
      <c r="P217" s="1427">
        <f t="shared" si="19"/>
        <v>0</v>
      </c>
    </row>
    <row r="218" spans="1:16" ht="31" outlineLevel="1" x14ac:dyDescent="0.25">
      <c r="A218" s="1482" t="s">
        <v>1813</v>
      </c>
      <c r="B218" s="1483" t="s">
        <v>1814</v>
      </c>
      <c r="C218" s="1482" t="s">
        <v>948</v>
      </c>
      <c r="D218" s="1390">
        <v>42585</v>
      </c>
      <c r="E218" s="560">
        <v>1.3257526714285714</v>
      </c>
      <c r="F218" s="1480">
        <v>0</v>
      </c>
      <c r="G218" s="1480">
        <v>0</v>
      </c>
      <c r="H218" s="1480">
        <f t="shared" si="15"/>
        <v>0</v>
      </c>
      <c r="I218" s="1480">
        <v>0</v>
      </c>
      <c r="J218" s="1480">
        <v>0</v>
      </c>
      <c r="K218" s="1480"/>
      <c r="L218" s="1480"/>
      <c r="M218" s="1480">
        <f t="shared" si="16"/>
        <v>0</v>
      </c>
      <c r="N218" s="1480">
        <f t="shared" si="17"/>
        <v>0</v>
      </c>
      <c r="O218" s="1481">
        <f t="shared" si="18"/>
        <v>0</v>
      </c>
      <c r="P218" s="1427">
        <f t="shared" si="19"/>
        <v>0</v>
      </c>
    </row>
    <row r="219" spans="1:16" ht="31" outlineLevel="1" x14ac:dyDescent="0.25">
      <c r="A219" s="1486" t="s">
        <v>949</v>
      </c>
      <c r="B219" s="1491" t="s">
        <v>950</v>
      </c>
      <c r="C219" s="1477" t="s">
        <v>951</v>
      </c>
      <c r="D219" s="1479">
        <v>42643</v>
      </c>
      <c r="E219" s="1383">
        <v>7.0965999999999996</v>
      </c>
      <c r="F219" s="1480">
        <v>0</v>
      </c>
      <c r="G219" s="1480">
        <v>0</v>
      </c>
      <c r="H219" s="1480">
        <f t="shared" si="15"/>
        <v>0</v>
      </c>
      <c r="I219" s="1480">
        <v>0</v>
      </c>
      <c r="J219" s="1480">
        <v>0</v>
      </c>
      <c r="K219" s="1480"/>
      <c r="L219" s="1480"/>
      <c r="M219" s="1480">
        <f t="shared" si="16"/>
        <v>0</v>
      </c>
      <c r="N219" s="1480">
        <f t="shared" si="17"/>
        <v>0</v>
      </c>
      <c r="O219" s="1481">
        <f t="shared" si="18"/>
        <v>0</v>
      </c>
      <c r="P219" s="1427">
        <f t="shared" si="19"/>
        <v>0</v>
      </c>
    </row>
    <row r="220" spans="1:16" ht="31" outlineLevel="1" x14ac:dyDescent="0.25">
      <c r="A220" s="1488" t="s">
        <v>1815</v>
      </c>
      <c r="B220" s="1492" t="s">
        <v>1816</v>
      </c>
      <c r="C220" s="1482" t="s">
        <v>951</v>
      </c>
      <c r="D220" s="1390">
        <v>42643</v>
      </c>
      <c r="E220" s="560">
        <v>7.0965999999999996</v>
      </c>
      <c r="F220" s="1480">
        <v>0</v>
      </c>
      <c r="G220" s="1480">
        <v>0</v>
      </c>
      <c r="H220" s="1480">
        <f t="shared" si="15"/>
        <v>0</v>
      </c>
      <c r="I220" s="1480">
        <v>0</v>
      </c>
      <c r="J220" s="1480">
        <v>0</v>
      </c>
      <c r="K220" s="1480"/>
      <c r="L220" s="1480"/>
      <c r="M220" s="1480">
        <f t="shared" si="16"/>
        <v>0</v>
      </c>
      <c r="N220" s="1480">
        <f t="shared" si="17"/>
        <v>0</v>
      </c>
      <c r="O220" s="1481">
        <f t="shared" si="18"/>
        <v>0</v>
      </c>
      <c r="P220" s="1427">
        <f t="shared" si="19"/>
        <v>0</v>
      </c>
    </row>
    <row r="221" spans="1:16" ht="31" outlineLevel="1" x14ac:dyDescent="0.25">
      <c r="A221" s="1489" t="s">
        <v>1818</v>
      </c>
      <c r="B221" s="1490" t="s">
        <v>1819</v>
      </c>
      <c r="C221" s="1477" t="s">
        <v>1820</v>
      </c>
      <c r="D221" s="1479">
        <v>43052</v>
      </c>
      <c r="E221" s="1383">
        <v>4.1500000000000004</v>
      </c>
      <c r="F221" s="1480">
        <v>0</v>
      </c>
      <c r="G221" s="1480">
        <v>0</v>
      </c>
      <c r="H221" s="1480">
        <f t="shared" si="15"/>
        <v>0</v>
      </c>
      <c r="I221" s="1480">
        <v>0</v>
      </c>
      <c r="J221" s="1480">
        <v>0</v>
      </c>
      <c r="K221" s="1480"/>
      <c r="L221" s="1480"/>
      <c r="M221" s="1480">
        <f t="shared" si="16"/>
        <v>0</v>
      </c>
      <c r="N221" s="1480">
        <f t="shared" si="17"/>
        <v>0</v>
      </c>
      <c r="O221" s="1481">
        <f t="shared" si="18"/>
        <v>0</v>
      </c>
      <c r="P221" s="1427">
        <f t="shared" si="19"/>
        <v>0</v>
      </c>
    </row>
    <row r="222" spans="1:16" ht="31" outlineLevel="1" x14ac:dyDescent="0.25">
      <c r="A222" s="1484" t="s">
        <v>1821</v>
      </c>
      <c r="B222" s="1485" t="s">
        <v>1822</v>
      </c>
      <c r="C222" s="1482" t="s">
        <v>1820</v>
      </c>
      <c r="D222" s="1390">
        <v>43052</v>
      </c>
      <c r="E222" s="560">
        <v>2.9</v>
      </c>
      <c r="F222" s="1480">
        <v>0</v>
      </c>
      <c r="G222" s="1480">
        <v>0</v>
      </c>
      <c r="H222" s="1480">
        <f t="shared" si="15"/>
        <v>0</v>
      </c>
      <c r="I222" s="1480">
        <v>0.26772339999999994</v>
      </c>
      <c r="J222" s="1480">
        <v>0.2677234</v>
      </c>
      <c r="K222" s="1480"/>
      <c r="L222" s="1480"/>
      <c r="M222" s="1480">
        <f t="shared" si="16"/>
        <v>0.2677234</v>
      </c>
      <c r="N222" s="1480">
        <f t="shared" si="17"/>
        <v>0</v>
      </c>
      <c r="O222" s="1481">
        <f t="shared" si="18"/>
        <v>0.2677234</v>
      </c>
      <c r="P222" s="1427">
        <f t="shared" si="19"/>
        <v>0</v>
      </c>
    </row>
    <row r="223" spans="1:16" ht="31" outlineLevel="1" x14ac:dyDescent="0.25">
      <c r="A223" s="1484" t="s">
        <v>1823</v>
      </c>
      <c r="B223" s="1485" t="s">
        <v>1824</v>
      </c>
      <c r="C223" s="1482" t="s">
        <v>1820</v>
      </c>
      <c r="D223" s="1390">
        <v>43052</v>
      </c>
      <c r="E223" s="560">
        <v>1.25</v>
      </c>
      <c r="F223" s="1480">
        <v>0</v>
      </c>
      <c r="G223" s="1480">
        <v>0</v>
      </c>
      <c r="H223" s="1480">
        <f t="shared" si="15"/>
        <v>0</v>
      </c>
      <c r="I223" s="1480">
        <v>2.1846524010000001</v>
      </c>
      <c r="J223" s="1480">
        <v>2.1846524010000001</v>
      </c>
      <c r="K223" s="1480"/>
      <c r="L223" s="1480"/>
      <c r="M223" s="1480">
        <f t="shared" si="16"/>
        <v>2.1846524010000001</v>
      </c>
      <c r="N223" s="1480">
        <f t="shared" si="17"/>
        <v>0</v>
      </c>
      <c r="O223" s="1481">
        <f t="shared" si="18"/>
        <v>1.25</v>
      </c>
      <c r="P223" s="1427">
        <f t="shared" si="19"/>
        <v>0.93465240100000013</v>
      </c>
    </row>
    <row r="224" spans="1:16" ht="15.5" outlineLevel="1" x14ac:dyDescent="0.25">
      <c r="A224" s="1484">
        <v>0</v>
      </c>
      <c r="B224" s="1485" t="s">
        <v>414</v>
      </c>
      <c r="C224" s="1482" t="s">
        <v>1820</v>
      </c>
      <c r="D224" s="1390">
        <v>43052</v>
      </c>
      <c r="E224" s="560">
        <v>0</v>
      </c>
      <c r="F224" s="1480">
        <v>0</v>
      </c>
      <c r="G224" s="1480">
        <v>0</v>
      </c>
      <c r="H224" s="1480">
        <f t="shared" si="15"/>
        <v>0</v>
      </c>
      <c r="I224" s="1480">
        <v>0</v>
      </c>
      <c r="J224" s="1480">
        <v>0</v>
      </c>
      <c r="K224" s="1480"/>
      <c r="L224" s="1480"/>
      <c r="M224" s="1480">
        <f t="shared" si="16"/>
        <v>0</v>
      </c>
      <c r="N224" s="1480">
        <f t="shared" si="17"/>
        <v>0</v>
      </c>
      <c r="O224" s="1481">
        <f t="shared" si="18"/>
        <v>0</v>
      </c>
      <c r="P224" s="1427">
        <f t="shared" si="19"/>
        <v>0</v>
      </c>
    </row>
    <row r="225" spans="1:16" ht="31" outlineLevel="1" x14ac:dyDescent="0.25">
      <c r="A225" s="1489" t="s">
        <v>1825</v>
      </c>
      <c r="B225" s="1490" t="s">
        <v>1826</v>
      </c>
      <c r="C225" s="1486" t="s">
        <v>1827</v>
      </c>
      <c r="D225" s="1487">
        <v>43137</v>
      </c>
      <c r="E225" s="1383">
        <v>9.0741999999999994</v>
      </c>
      <c r="F225" s="1480">
        <v>0</v>
      </c>
      <c r="G225" s="1480">
        <v>0</v>
      </c>
      <c r="H225" s="1480">
        <f t="shared" si="15"/>
        <v>0</v>
      </c>
      <c r="I225" s="1480">
        <v>0</v>
      </c>
      <c r="J225" s="1480">
        <v>0</v>
      </c>
      <c r="K225" s="1480"/>
      <c r="L225" s="1480"/>
      <c r="M225" s="1480">
        <f t="shared" si="16"/>
        <v>0</v>
      </c>
      <c r="N225" s="1480">
        <f t="shared" si="17"/>
        <v>0</v>
      </c>
      <c r="O225" s="1481">
        <f t="shared" si="18"/>
        <v>0</v>
      </c>
      <c r="P225" s="1427">
        <f t="shared" si="19"/>
        <v>0</v>
      </c>
    </row>
    <row r="226" spans="1:16" ht="46.5" outlineLevel="1" x14ac:dyDescent="0.25">
      <c r="A226" s="1484" t="s">
        <v>1828</v>
      </c>
      <c r="B226" s="1485" t="s">
        <v>1829</v>
      </c>
      <c r="C226" s="1488" t="s">
        <v>1827</v>
      </c>
      <c r="D226" s="1413">
        <v>43137</v>
      </c>
      <c r="E226" s="560">
        <v>9.0741999999999994</v>
      </c>
      <c r="F226" s="1480">
        <v>7.7370372410000003</v>
      </c>
      <c r="G226" s="1480">
        <v>6.1288665000000009</v>
      </c>
      <c r="H226" s="1480">
        <f t="shared" si="15"/>
        <v>1.6081707409999995</v>
      </c>
      <c r="I226" s="1480">
        <v>1.2140461280000006</v>
      </c>
      <c r="J226" s="1480">
        <v>2.822216869</v>
      </c>
      <c r="K226" s="1480"/>
      <c r="L226" s="1480"/>
      <c r="M226" s="1480">
        <f t="shared" si="16"/>
        <v>2.822216869</v>
      </c>
      <c r="N226" s="1480">
        <f t="shared" si="17"/>
        <v>0</v>
      </c>
      <c r="O226" s="1481">
        <f t="shared" si="18"/>
        <v>2.822216869</v>
      </c>
      <c r="P226" s="1427">
        <f t="shared" si="19"/>
        <v>0</v>
      </c>
    </row>
    <row r="227" spans="1:16" ht="31" outlineLevel="1" x14ac:dyDescent="0.25">
      <c r="A227" s="1489" t="s">
        <v>1830</v>
      </c>
      <c r="B227" s="1490" t="s">
        <v>1831</v>
      </c>
      <c r="C227" s="1477" t="s">
        <v>1832</v>
      </c>
      <c r="D227" s="1479">
        <v>43703</v>
      </c>
      <c r="E227" s="1383">
        <v>11.13</v>
      </c>
      <c r="F227" s="1480">
        <v>0</v>
      </c>
      <c r="G227" s="1480">
        <v>0</v>
      </c>
      <c r="H227" s="1480">
        <f t="shared" si="15"/>
        <v>0</v>
      </c>
      <c r="I227" s="1480">
        <v>0</v>
      </c>
      <c r="J227" s="1480">
        <v>0</v>
      </c>
      <c r="K227" s="1480"/>
      <c r="L227" s="1480"/>
      <c r="M227" s="1480">
        <f t="shared" si="16"/>
        <v>0</v>
      </c>
      <c r="N227" s="1480">
        <f t="shared" si="17"/>
        <v>0</v>
      </c>
      <c r="O227" s="1481">
        <f t="shared" si="18"/>
        <v>0</v>
      </c>
      <c r="P227" s="1427">
        <f t="shared" si="19"/>
        <v>0</v>
      </c>
    </row>
    <row r="228" spans="1:16" ht="46.5" outlineLevel="1" x14ac:dyDescent="0.25">
      <c r="A228" s="1484" t="s">
        <v>1833</v>
      </c>
      <c r="B228" s="1485" t="s">
        <v>1834</v>
      </c>
      <c r="C228" s="1482" t="s">
        <v>1832</v>
      </c>
      <c r="D228" s="1390">
        <v>43703</v>
      </c>
      <c r="E228" s="560">
        <v>1.73</v>
      </c>
      <c r="F228" s="1480">
        <v>1.6959658</v>
      </c>
      <c r="G228" s="1480">
        <v>1.6959658</v>
      </c>
      <c r="H228" s="1480">
        <f t="shared" si="15"/>
        <v>0</v>
      </c>
      <c r="I228" s="1480">
        <v>0</v>
      </c>
      <c r="J228" s="1480">
        <v>0</v>
      </c>
      <c r="K228" s="1480"/>
      <c r="L228" s="1480"/>
      <c r="M228" s="1480">
        <f t="shared" si="16"/>
        <v>0</v>
      </c>
      <c r="N228" s="1480">
        <f t="shared" si="17"/>
        <v>0</v>
      </c>
      <c r="O228" s="1481">
        <f t="shared" si="18"/>
        <v>0</v>
      </c>
      <c r="P228" s="1427">
        <f t="shared" si="19"/>
        <v>0</v>
      </c>
    </row>
    <row r="229" spans="1:16" ht="46.5" outlineLevel="1" x14ac:dyDescent="0.25">
      <c r="A229" s="1484" t="s">
        <v>1835</v>
      </c>
      <c r="B229" s="1485" t="s">
        <v>1836</v>
      </c>
      <c r="C229" s="1482" t="s">
        <v>1832</v>
      </c>
      <c r="D229" s="1390">
        <v>43703</v>
      </c>
      <c r="E229" s="560">
        <v>9.4</v>
      </c>
      <c r="F229" s="1480">
        <v>8.9105042999999995</v>
      </c>
      <c r="G229" s="1480">
        <v>8.9105042999999995</v>
      </c>
      <c r="H229" s="1480">
        <f t="shared" si="15"/>
        <v>0</v>
      </c>
      <c r="I229" s="1480">
        <v>0</v>
      </c>
      <c r="J229" s="1480">
        <v>0</v>
      </c>
      <c r="K229" s="1480"/>
      <c r="L229" s="1480"/>
      <c r="M229" s="1480">
        <f t="shared" si="16"/>
        <v>0</v>
      </c>
      <c r="N229" s="1480">
        <f t="shared" si="17"/>
        <v>0</v>
      </c>
      <c r="O229" s="1481">
        <f t="shared" si="18"/>
        <v>0</v>
      </c>
      <c r="P229" s="1427">
        <f t="shared" si="19"/>
        <v>0</v>
      </c>
    </row>
    <row r="230" spans="1:16" ht="15.5" outlineLevel="1" x14ac:dyDescent="0.25">
      <c r="A230" s="1484">
        <v>0</v>
      </c>
      <c r="B230" s="1485" t="s">
        <v>414</v>
      </c>
      <c r="C230" s="1482" t="s">
        <v>1832</v>
      </c>
      <c r="D230" s="1390">
        <v>43703</v>
      </c>
      <c r="E230" s="560">
        <v>0</v>
      </c>
      <c r="F230" s="1480">
        <v>0</v>
      </c>
      <c r="G230" s="1480">
        <v>0</v>
      </c>
      <c r="H230" s="1480">
        <f t="shared" si="15"/>
        <v>0</v>
      </c>
      <c r="I230" s="1480">
        <v>0</v>
      </c>
      <c r="J230" s="1480">
        <v>0</v>
      </c>
      <c r="K230" s="1480"/>
      <c r="L230" s="1480"/>
      <c r="M230" s="1480">
        <f t="shared" si="16"/>
        <v>0</v>
      </c>
      <c r="N230" s="1480">
        <f t="shared" si="17"/>
        <v>0</v>
      </c>
      <c r="O230" s="1481">
        <f t="shared" si="18"/>
        <v>0</v>
      </c>
      <c r="P230" s="1427">
        <f t="shared" si="19"/>
        <v>0</v>
      </c>
    </row>
    <row r="231" spans="1:16" ht="31" outlineLevel="1" x14ac:dyDescent="0.25">
      <c r="A231" s="1489" t="s">
        <v>1837</v>
      </c>
      <c r="B231" s="1490" t="s">
        <v>1838</v>
      </c>
      <c r="C231" s="1486" t="s">
        <v>1839</v>
      </c>
      <c r="D231" s="1487">
        <v>44131</v>
      </c>
      <c r="E231" s="1383">
        <v>3.7552319999999999</v>
      </c>
      <c r="F231" s="1480">
        <v>0</v>
      </c>
      <c r="G231" s="1480">
        <v>0</v>
      </c>
      <c r="H231" s="1480">
        <f t="shared" si="15"/>
        <v>0</v>
      </c>
      <c r="I231" s="1480">
        <v>0</v>
      </c>
      <c r="J231" s="1480">
        <v>0</v>
      </c>
      <c r="K231" s="1480"/>
      <c r="L231" s="1480"/>
      <c r="M231" s="1480">
        <f t="shared" si="16"/>
        <v>0</v>
      </c>
      <c r="N231" s="1480">
        <f t="shared" si="17"/>
        <v>0</v>
      </c>
      <c r="O231" s="1481">
        <f t="shared" si="18"/>
        <v>0</v>
      </c>
      <c r="P231" s="1427">
        <f t="shared" si="19"/>
        <v>0</v>
      </c>
    </row>
    <row r="232" spans="1:16" ht="46.5" outlineLevel="1" x14ac:dyDescent="0.25">
      <c r="A232" s="1484" t="s">
        <v>1840</v>
      </c>
      <c r="B232" s="1485" t="s">
        <v>1841</v>
      </c>
      <c r="C232" s="1488" t="s">
        <v>1839</v>
      </c>
      <c r="D232" s="1413">
        <v>44131</v>
      </c>
      <c r="E232" s="560">
        <v>2.912712</v>
      </c>
      <c r="F232" s="1480">
        <v>0</v>
      </c>
      <c r="G232" s="1480">
        <v>0</v>
      </c>
      <c r="H232" s="1480">
        <f t="shared" si="15"/>
        <v>0</v>
      </c>
      <c r="I232" s="1480">
        <v>2.8883319000000003</v>
      </c>
      <c r="J232" s="1480">
        <v>2.8883319000000003</v>
      </c>
      <c r="K232" s="1480"/>
      <c r="L232" s="1480"/>
      <c r="M232" s="1480">
        <f t="shared" si="16"/>
        <v>2.8883319000000003</v>
      </c>
      <c r="N232" s="1480">
        <f t="shared" si="17"/>
        <v>0</v>
      </c>
      <c r="O232" s="1481">
        <f t="shared" si="18"/>
        <v>2.8883319000000003</v>
      </c>
      <c r="P232" s="1427">
        <f t="shared" si="19"/>
        <v>0</v>
      </c>
    </row>
    <row r="233" spans="1:16" ht="62" outlineLevel="1" x14ac:dyDescent="0.25">
      <c r="A233" s="1484" t="s">
        <v>1842</v>
      </c>
      <c r="B233" s="1485" t="s">
        <v>1843</v>
      </c>
      <c r="C233" s="1488" t="s">
        <v>1839</v>
      </c>
      <c r="D233" s="1413">
        <v>44131</v>
      </c>
      <c r="E233" s="560">
        <v>0.84251999999999994</v>
      </c>
      <c r="F233" s="1480">
        <v>0</v>
      </c>
      <c r="G233" s="1480">
        <v>0</v>
      </c>
      <c r="H233" s="1480">
        <f t="shared" si="15"/>
        <v>0</v>
      </c>
      <c r="I233" s="1480">
        <v>0.84251999999999994</v>
      </c>
      <c r="J233" s="1480">
        <v>0.84251999999999994</v>
      </c>
      <c r="K233" s="1480"/>
      <c r="L233" s="1480"/>
      <c r="M233" s="1480">
        <f t="shared" si="16"/>
        <v>0.84251999999999994</v>
      </c>
      <c r="N233" s="1480">
        <f t="shared" si="17"/>
        <v>0</v>
      </c>
      <c r="O233" s="1481">
        <f t="shared" si="18"/>
        <v>0.84251999999999994</v>
      </c>
      <c r="P233" s="1427">
        <f t="shared" si="19"/>
        <v>0</v>
      </c>
    </row>
    <row r="234" spans="1:16" ht="31" outlineLevel="1" x14ac:dyDescent="0.25">
      <c r="A234" s="1484">
        <v>0</v>
      </c>
      <c r="B234" s="1485" t="s">
        <v>414</v>
      </c>
      <c r="C234" s="1482" t="s">
        <v>1839</v>
      </c>
      <c r="D234" s="1390">
        <v>44131</v>
      </c>
      <c r="E234" s="560">
        <v>0</v>
      </c>
      <c r="F234" s="1480">
        <v>0</v>
      </c>
      <c r="G234" s="1480">
        <v>0</v>
      </c>
      <c r="H234" s="1480">
        <f t="shared" si="15"/>
        <v>0</v>
      </c>
      <c r="I234" s="1480">
        <v>0</v>
      </c>
      <c r="J234" s="1480">
        <v>0</v>
      </c>
      <c r="K234" s="1480"/>
      <c r="L234" s="1480"/>
      <c r="M234" s="1480">
        <f t="shared" si="16"/>
        <v>0</v>
      </c>
      <c r="N234" s="1480">
        <f t="shared" si="17"/>
        <v>0</v>
      </c>
      <c r="O234" s="1481">
        <f t="shared" si="18"/>
        <v>0</v>
      </c>
      <c r="P234" s="1427">
        <f t="shared" si="19"/>
        <v>0</v>
      </c>
    </row>
    <row r="235" spans="1:16" ht="46.5" outlineLevel="1" x14ac:dyDescent="0.25">
      <c r="A235" s="1489">
        <v>40</v>
      </c>
      <c r="B235" s="1490" t="s">
        <v>1844</v>
      </c>
      <c r="C235" s="1486" t="s">
        <v>1845</v>
      </c>
      <c r="D235" s="1487">
        <v>44357</v>
      </c>
      <c r="E235" s="1383">
        <v>10.89</v>
      </c>
      <c r="F235" s="1480">
        <v>0</v>
      </c>
      <c r="G235" s="1480">
        <v>0</v>
      </c>
      <c r="H235" s="1480">
        <f t="shared" si="15"/>
        <v>0</v>
      </c>
      <c r="I235" s="1480">
        <v>0</v>
      </c>
      <c r="J235" s="1480">
        <v>0</v>
      </c>
      <c r="K235" s="1480"/>
      <c r="L235" s="1480"/>
      <c r="M235" s="1480">
        <f t="shared" si="16"/>
        <v>0</v>
      </c>
      <c r="N235" s="1480">
        <f t="shared" si="17"/>
        <v>0</v>
      </c>
      <c r="O235" s="1481">
        <f t="shared" si="18"/>
        <v>0</v>
      </c>
      <c r="P235" s="1427">
        <f t="shared" si="19"/>
        <v>0</v>
      </c>
    </row>
    <row r="236" spans="1:16" ht="46.5" outlineLevel="1" x14ac:dyDescent="0.25">
      <c r="A236" s="1484">
        <v>40.1</v>
      </c>
      <c r="B236" s="1485" t="s">
        <v>1846</v>
      </c>
      <c r="C236" s="1488" t="s">
        <v>1845</v>
      </c>
      <c r="D236" s="1413">
        <v>44357</v>
      </c>
      <c r="E236" s="560">
        <v>6.2</v>
      </c>
      <c r="F236" s="1480">
        <v>0</v>
      </c>
      <c r="G236" s="1480">
        <v>0</v>
      </c>
      <c r="H236" s="1480">
        <f t="shared" si="15"/>
        <v>0</v>
      </c>
      <c r="I236" s="1480">
        <v>6.0121000000000002</v>
      </c>
      <c r="J236" s="1480">
        <v>6.0121000000000002</v>
      </c>
      <c r="K236" s="1480"/>
      <c r="L236" s="1480"/>
      <c r="M236" s="1480">
        <f t="shared" si="16"/>
        <v>6.0121000000000002</v>
      </c>
      <c r="N236" s="1480">
        <f t="shared" si="17"/>
        <v>0</v>
      </c>
      <c r="O236" s="1481">
        <f t="shared" si="18"/>
        <v>6.0121000000000002</v>
      </c>
      <c r="P236" s="1427">
        <f t="shared" si="19"/>
        <v>0</v>
      </c>
    </row>
    <row r="237" spans="1:16" ht="46.5" outlineLevel="1" x14ac:dyDescent="0.25">
      <c r="A237" s="1484">
        <v>40.200000000000003</v>
      </c>
      <c r="B237" s="1485" t="s">
        <v>1847</v>
      </c>
      <c r="C237" s="1488" t="s">
        <v>1845</v>
      </c>
      <c r="D237" s="1413">
        <v>44357</v>
      </c>
      <c r="E237" s="560">
        <v>4.3899999999999997</v>
      </c>
      <c r="F237" s="1480">
        <v>0</v>
      </c>
      <c r="G237" s="1480">
        <v>0</v>
      </c>
      <c r="H237" s="1480">
        <f t="shared" si="15"/>
        <v>0</v>
      </c>
      <c r="I237" s="1480">
        <v>4.3293638999999997</v>
      </c>
      <c r="J237" s="1480">
        <v>4.3293638999999997</v>
      </c>
      <c r="K237" s="1480"/>
      <c r="L237" s="1480"/>
      <c r="M237" s="1480">
        <f t="shared" si="16"/>
        <v>4.3293638999999997</v>
      </c>
      <c r="N237" s="1480">
        <f t="shared" si="17"/>
        <v>0</v>
      </c>
      <c r="O237" s="1481">
        <f t="shared" si="18"/>
        <v>4.3293638999999997</v>
      </c>
      <c r="P237" s="1427">
        <f t="shared" si="19"/>
        <v>0</v>
      </c>
    </row>
    <row r="238" spans="1:16" ht="31" outlineLevel="1" x14ac:dyDescent="0.25">
      <c r="A238" s="1484">
        <v>0</v>
      </c>
      <c r="B238" s="1485" t="s">
        <v>414</v>
      </c>
      <c r="C238" s="1482" t="s">
        <v>1845</v>
      </c>
      <c r="D238" s="1390">
        <v>44357</v>
      </c>
      <c r="E238" s="560">
        <v>0.3</v>
      </c>
      <c r="F238" s="1480">
        <v>0</v>
      </c>
      <c r="G238" s="1480">
        <v>0</v>
      </c>
      <c r="H238" s="1480">
        <f t="shared" si="15"/>
        <v>0</v>
      </c>
      <c r="I238" s="1480">
        <v>0</v>
      </c>
      <c r="J238" s="1480">
        <v>0</v>
      </c>
      <c r="K238" s="1480"/>
      <c r="L238" s="1480"/>
      <c r="M238" s="1480">
        <f t="shared" si="16"/>
        <v>0</v>
      </c>
      <c r="N238" s="1480">
        <f t="shared" si="17"/>
        <v>0</v>
      </c>
      <c r="O238" s="1481">
        <f t="shared" si="18"/>
        <v>0</v>
      </c>
      <c r="P238" s="1427">
        <f t="shared" si="19"/>
        <v>0</v>
      </c>
    </row>
    <row r="239" spans="1:16" ht="77.5" outlineLevel="1" x14ac:dyDescent="0.25">
      <c r="A239" s="1489">
        <v>41</v>
      </c>
      <c r="B239" s="1490" t="s">
        <v>1848</v>
      </c>
      <c r="C239" s="1486" t="s">
        <v>1849</v>
      </c>
      <c r="D239" s="1487">
        <v>44760</v>
      </c>
      <c r="E239" s="1383">
        <v>14.06</v>
      </c>
      <c r="F239" s="1480">
        <v>0</v>
      </c>
      <c r="G239" s="1480">
        <v>0</v>
      </c>
      <c r="H239" s="1480">
        <f t="shared" si="15"/>
        <v>0</v>
      </c>
      <c r="I239" s="1480">
        <v>0</v>
      </c>
      <c r="J239" s="1480">
        <v>0</v>
      </c>
      <c r="K239" s="1480"/>
      <c r="L239" s="1480"/>
      <c r="M239" s="1480">
        <f t="shared" si="16"/>
        <v>0</v>
      </c>
      <c r="N239" s="1480">
        <f t="shared" si="17"/>
        <v>0</v>
      </c>
      <c r="O239" s="1481">
        <f t="shared" si="18"/>
        <v>0</v>
      </c>
      <c r="P239" s="1427">
        <f t="shared" si="19"/>
        <v>0</v>
      </c>
    </row>
    <row r="240" spans="1:16" ht="46.5" outlineLevel="1" x14ac:dyDescent="0.25">
      <c r="A240" s="1484">
        <v>41.1</v>
      </c>
      <c r="B240" s="1485" t="s">
        <v>1850</v>
      </c>
      <c r="C240" s="1488" t="s">
        <v>1849</v>
      </c>
      <c r="D240" s="1413">
        <v>44760</v>
      </c>
      <c r="E240" s="560">
        <v>6.08</v>
      </c>
      <c r="F240" s="1480">
        <v>0</v>
      </c>
      <c r="G240" s="1480">
        <v>0</v>
      </c>
      <c r="H240" s="1480">
        <f t="shared" si="15"/>
        <v>0</v>
      </c>
      <c r="I240" s="1480">
        <v>0</v>
      </c>
      <c r="J240" s="1480">
        <v>0</v>
      </c>
      <c r="K240" s="1480"/>
      <c r="L240" s="1480"/>
      <c r="M240" s="1480">
        <f t="shared" si="16"/>
        <v>0</v>
      </c>
      <c r="N240" s="1480">
        <f t="shared" si="17"/>
        <v>0</v>
      </c>
      <c r="O240" s="1481">
        <f t="shared" si="18"/>
        <v>0</v>
      </c>
      <c r="P240" s="1427">
        <f t="shared" si="19"/>
        <v>0</v>
      </c>
    </row>
    <row r="241" spans="1:16" ht="46.5" outlineLevel="1" x14ac:dyDescent="0.25">
      <c r="A241" s="1484">
        <v>41.2</v>
      </c>
      <c r="B241" s="1485" t="s">
        <v>1851</v>
      </c>
      <c r="C241" s="1488" t="s">
        <v>1849</v>
      </c>
      <c r="D241" s="1413">
        <v>44760</v>
      </c>
      <c r="E241" s="560">
        <v>5.28</v>
      </c>
      <c r="F241" s="1480">
        <v>0</v>
      </c>
      <c r="G241" s="1480">
        <v>0</v>
      </c>
      <c r="H241" s="1480">
        <f t="shared" si="15"/>
        <v>0</v>
      </c>
      <c r="I241" s="1480">
        <v>0</v>
      </c>
      <c r="J241" s="1480">
        <v>0</v>
      </c>
      <c r="K241" s="1480"/>
      <c r="L241" s="1480"/>
      <c r="M241" s="1480">
        <f t="shared" si="16"/>
        <v>0</v>
      </c>
      <c r="N241" s="1480">
        <f t="shared" si="17"/>
        <v>0</v>
      </c>
      <c r="O241" s="1481">
        <f t="shared" si="18"/>
        <v>0</v>
      </c>
      <c r="P241" s="1427">
        <f t="shared" si="19"/>
        <v>0</v>
      </c>
    </row>
    <row r="242" spans="1:16" ht="15.5" outlineLevel="1" x14ac:dyDescent="0.25">
      <c r="A242" s="1484">
        <v>41.3</v>
      </c>
      <c r="B242" s="1485" t="s">
        <v>1852</v>
      </c>
      <c r="C242" s="1488" t="s">
        <v>1849</v>
      </c>
      <c r="D242" s="1413">
        <v>44760</v>
      </c>
      <c r="E242" s="560">
        <v>1.98</v>
      </c>
      <c r="F242" s="1480">
        <v>0</v>
      </c>
      <c r="G242" s="1480">
        <v>0</v>
      </c>
      <c r="H242" s="1480">
        <f t="shared" si="15"/>
        <v>0</v>
      </c>
      <c r="I242" s="1480">
        <v>1.7286999999999999</v>
      </c>
      <c r="J242" s="1480">
        <v>0</v>
      </c>
      <c r="K242" s="1480"/>
      <c r="L242" s="1480"/>
      <c r="M242" s="1480">
        <f t="shared" si="16"/>
        <v>0</v>
      </c>
      <c r="N242" s="1480">
        <f t="shared" si="17"/>
        <v>1.7286999999999999</v>
      </c>
      <c r="O242" s="1481">
        <f t="shared" si="18"/>
        <v>0</v>
      </c>
      <c r="P242" s="1427">
        <f t="shared" si="19"/>
        <v>0</v>
      </c>
    </row>
    <row r="243" spans="1:16" ht="15.5" outlineLevel="1" x14ac:dyDescent="0.25">
      <c r="A243" s="1484">
        <v>0</v>
      </c>
      <c r="B243" s="1485" t="s">
        <v>414</v>
      </c>
      <c r="C243" s="1482" t="s">
        <v>1849</v>
      </c>
      <c r="D243" s="1390">
        <v>44760</v>
      </c>
      <c r="E243" s="560">
        <v>0.72</v>
      </c>
      <c r="F243" s="1480">
        <v>0</v>
      </c>
      <c r="G243" s="1480">
        <v>0</v>
      </c>
      <c r="H243" s="1480">
        <f t="shared" si="15"/>
        <v>0</v>
      </c>
      <c r="I243" s="1480">
        <v>0</v>
      </c>
      <c r="J243" s="1480">
        <v>0</v>
      </c>
      <c r="K243" s="1480"/>
      <c r="L243" s="1480"/>
      <c r="M243" s="1480">
        <f t="shared" si="16"/>
        <v>0</v>
      </c>
      <c r="N243" s="1480">
        <f t="shared" si="17"/>
        <v>0</v>
      </c>
      <c r="O243" s="1481">
        <f t="shared" si="18"/>
        <v>0</v>
      </c>
      <c r="P243" s="1427">
        <f t="shared" si="19"/>
        <v>0</v>
      </c>
    </row>
    <row r="244" spans="1:16" ht="31" outlineLevel="1" x14ac:dyDescent="0.25">
      <c r="A244" s="1489">
        <v>42</v>
      </c>
      <c r="B244" s="1490" t="s">
        <v>1854</v>
      </c>
      <c r="C244" s="1486" t="s">
        <v>1855</v>
      </c>
      <c r="D244" s="1487">
        <v>44833</v>
      </c>
      <c r="E244" s="1383">
        <v>219.44</v>
      </c>
      <c r="F244" s="1480">
        <v>0</v>
      </c>
      <c r="G244" s="1480">
        <v>0</v>
      </c>
      <c r="H244" s="1480">
        <f t="shared" si="15"/>
        <v>0</v>
      </c>
      <c r="I244" s="1480">
        <v>0</v>
      </c>
      <c r="J244" s="1480">
        <v>0</v>
      </c>
      <c r="K244" s="1480"/>
      <c r="L244" s="1480"/>
      <c r="M244" s="1480">
        <f t="shared" si="16"/>
        <v>0</v>
      </c>
      <c r="N244" s="1480">
        <f t="shared" si="17"/>
        <v>0</v>
      </c>
      <c r="O244" s="1481">
        <f t="shared" si="18"/>
        <v>0</v>
      </c>
      <c r="P244" s="1427">
        <f t="shared" si="19"/>
        <v>0</v>
      </c>
    </row>
    <row r="245" spans="1:16" ht="31" outlineLevel="1" x14ac:dyDescent="0.25">
      <c r="A245" s="1484">
        <v>42.1</v>
      </c>
      <c r="B245" s="1485" t="s">
        <v>1856</v>
      </c>
      <c r="C245" s="1488" t="s">
        <v>1855</v>
      </c>
      <c r="D245" s="1413">
        <v>44833</v>
      </c>
      <c r="E245" s="560">
        <v>207.46</v>
      </c>
      <c r="F245" s="1480">
        <v>0</v>
      </c>
      <c r="G245" s="1480">
        <v>0</v>
      </c>
      <c r="H245" s="1480">
        <f t="shared" si="15"/>
        <v>0</v>
      </c>
      <c r="I245" s="1480">
        <v>0</v>
      </c>
      <c r="J245" s="1480">
        <v>0</v>
      </c>
      <c r="K245" s="1480"/>
      <c r="L245" s="1480"/>
      <c r="M245" s="1480">
        <f t="shared" si="16"/>
        <v>0</v>
      </c>
      <c r="N245" s="1480">
        <f t="shared" si="17"/>
        <v>0</v>
      </c>
      <c r="O245" s="1481">
        <f t="shared" si="18"/>
        <v>0</v>
      </c>
      <c r="P245" s="1427">
        <f t="shared" si="19"/>
        <v>0</v>
      </c>
    </row>
    <row r="246" spans="1:16" ht="31" outlineLevel="1" x14ac:dyDescent="0.25">
      <c r="A246" s="1484">
        <v>0</v>
      </c>
      <c r="B246" s="1485" t="s">
        <v>414</v>
      </c>
      <c r="C246" s="1482" t="s">
        <v>1855</v>
      </c>
      <c r="D246" s="1390">
        <v>44833</v>
      </c>
      <c r="E246" s="560">
        <v>11.98</v>
      </c>
      <c r="F246" s="1480">
        <v>0</v>
      </c>
      <c r="G246" s="1480">
        <v>0</v>
      </c>
      <c r="H246" s="1480">
        <f t="shared" si="15"/>
        <v>0</v>
      </c>
      <c r="I246" s="1480">
        <v>0</v>
      </c>
      <c r="J246" s="1480">
        <v>0</v>
      </c>
      <c r="K246" s="1480"/>
      <c r="L246" s="1480"/>
      <c r="M246" s="1480">
        <f t="shared" si="16"/>
        <v>0</v>
      </c>
      <c r="N246" s="1480">
        <f t="shared" si="17"/>
        <v>0</v>
      </c>
      <c r="O246" s="1481">
        <f t="shared" si="18"/>
        <v>0</v>
      </c>
      <c r="P246" s="1427">
        <f t="shared" si="19"/>
        <v>0</v>
      </c>
    </row>
    <row r="247" spans="1:16" ht="31" outlineLevel="1" x14ac:dyDescent="0.25">
      <c r="A247" s="1489">
        <v>43</v>
      </c>
      <c r="B247" s="1490" t="s">
        <v>1858</v>
      </c>
      <c r="C247" s="1486" t="s">
        <v>1859</v>
      </c>
      <c r="D247" s="1487">
        <v>45174</v>
      </c>
      <c r="E247" s="1383">
        <v>115.34</v>
      </c>
      <c r="F247" s="1480">
        <v>0</v>
      </c>
      <c r="G247" s="1480">
        <v>0</v>
      </c>
      <c r="H247" s="1480">
        <f t="shared" si="15"/>
        <v>0</v>
      </c>
      <c r="I247" s="1480">
        <v>0</v>
      </c>
      <c r="J247" s="1480">
        <v>0</v>
      </c>
      <c r="K247" s="1480"/>
      <c r="L247" s="1480"/>
      <c r="M247" s="1480">
        <f t="shared" si="16"/>
        <v>0</v>
      </c>
      <c r="N247" s="1480">
        <f t="shared" si="17"/>
        <v>0</v>
      </c>
      <c r="O247" s="1481">
        <f t="shared" si="18"/>
        <v>0</v>
      </c>
      <c r="P247" s="1427">
        <f t="shared" si="19"/>
        <v>0</v>
      </c>
    </row>
    <row r="248" spans="1:16" ht="31" outlineLevel="1" x14ac:dyDescent="0.25">
      <c r="A248" s="1484">
        <v>43.1</v>
      </c>
      <c r="B248" s="1485" t="s">
        <v>1860</v>
      </c>
      <c r="C248" s="1488" t="s">
        <v>1859</v>
      </c>
      <c r="D248" s="1413">
        <v>45174</v>
      </c>
      <c r="E248" s="560">
        <v>109.4</v>
      </c>
      <c r="F248" s="1480">
        <v>0</v>
      </c>
      <c r="G248" s="1480">
        <v>0</v>
      </c>
      <c r="H248" s="1480">
        <f t="shared" si="15"/>
        <v>0</v>
      </c>
      <c r="I248" s="1480">
        <v>0</v>
      </c>
      <c r="J248" s="1480">
        <v>0</v>
      </c>
      <c r="K248" s="1480"/>
      <c r="L248" s="1480"/>
      <c r="M248" s="1480">
        <f t="shared" si="16"/>
        <v>0</v>
      </c>
      <c r="N248" s="1480">
        <f t="shared" si="17"/>
        <v>0</v>
      </c>
      <c r="O248" s="1481">
        <f t="shared" si="18"/>
        <v>0</v>
      </c>
      <c r="P248" s="1427">
        <f t="shared" si="19"/>
        <v>0</v>
      </c>
    </row>
    <row r="249" spans="1:16" ht="31" outlineLevel="1" x14ac:dyDescent="0.25">
      <c r="A249" s="1484">
        <v>0</v>
      </c>
      <c r="B249" s="1485" t="s">
        <v>414</v>
      </c>
      <c r="C249" s="1488" t="s">
        <v>1859</v>
      </c>
      <c r="D249" s="1413">
        <v>45174</v>
      </c>
      <c r="E249" s="560">
        <v>5.94</v>
      </c>
      <c r="F249" s="1480">
        <v>0</v>
      </c>
      <c r="G249" s="1480">
        <v>0</v>
      </c>
      <c r="H249" s="1480">
        <f t="shared" si="15"/>
        <v>0</v>
      </c>
      <c r="I249" s="1480">
        <v>0</v>
      </c>
      <c r="J249" s="1480">
        <v>0</v>
      </c>
      <c r="K249" s="1480"/>
      <c r="L249" s="1480"/>
      <c r="M249" s="1480">
        <f t="shared" si="16"/>
        <v>0</v>
      </c>
      <c r="N249" s="1480">
        <f t="shared" si="17"/>
        <v>0</v>
      </c>
      <c r="O249" s="1481">
        <f t="shared" si="18"/>
        <v>0</v>
      </c>
      <c r="P249" s="1427">
        <f t="shared" si="19"/>
        <v>0</v>
      </c>
    </row>
    <row r="250" spans="1:16" ht="77.5" outlineLevel="1" x14ac:dyDescent="0.25">
      <c r="A250" s="1489">
        <v>44</v>
      </c>
      <c r="B250" s="1490" t="s">
        <v>1861</v>
      </c>
      <c r="C250" s="1486" t="s">
        <v>1862</v>
      </c>
      <c r="D250" s="1487">
        <v>44806</v>
      </c>
      <c r="E250" s="1383">
        <v>33.268000000000001</v>
      </c>
      <c r="F250" s="1480">
        <v>0</v>
      </c>
      <c r="G250" s="1480">
        <v>0</v>
      </c>
      <c r="H250" s="1480">
        <f t="shared" si="15"/>
        <v>0</v>
      </c>
      <c r="I250" s="1480">
        <v>0</v>
      </c>
      <c r="J250" s="1480">
        <v>0</v>
      </c>
      <c r="K250" s="1480"/>
      <c r="L250" s="1480"/>
      <c r="M250" s="1480">
        <f t="shared" si="16"/>
        <v>0</v>
      </c>
      <c r="N250" s="1480">
        <f t="shared" si="17"/>
        <v>0</v>
      </c>
      <c r="O250" s="1481">
        <f t="shared" si="18"/>
        <v>0</v>
      </c>
      <c r="P250" s="1427">
        <f t="shared" si="19"/>
        <v>0</v>
      </c>
    </row>
    <row r="251" spans="1:16" ht="93" outlineLevel="1" x14ac:dyDescent="0.25">
      <c r="A251" s="1484">
        <v>44.1</v>
      </c>
      <c r="B251" s="1485" t="s">
        <v>1863</v>
      </c>
      <c r="C251" s="1488" t="s">
        <v>1862</v>
      </c>
      <c r="D251" s="1413">
        <v>44806</v>
      </c>
      <c r="E251" s="560">
        <v>32.567999999999998</v>
      </c>
      <c r="F251" s="1480">
        <v>0</v>
      </c>
      <c r="G251" s="1480">
        <v>0</v>
      </c>
      <c r="H251" s="1480">
        <f t="shared" si="15"/>
        <v>0</v>
      </c>
      <c r="I251" s="1480">
        <v>0</v>
      </c>
      <c r="J251" s="1480">
        <v>0</v>
      </c>
      <c r="K251" s="1480"/>
      <c r="L251" s="1480"/>
      <c r="M251" s="1480">
        <f t="shared" si="16"/>
        <v>0</v>
      </c>
      <c r="N251" s="1480">
        <f t="shared" si="17"/>
        <v>0</v>
      </c>
      <c r="O251" s="1481">
        <f t="shared" si="18"/>
        <v>0</v>
      </c>
      <c r="P251" s="1427">
        <f t="shared" si="19"/>
        <v>0</v>
      </c>
    </row>
    <row r="252" spans="1:16" ht="15.5" outlineLevel="1" x14ac:dyDescent="0.25">
      <c r="A252" s="1484">
        <v>0</v>
      </c>
      <c r="B252" s="1485" t="s">
        <v>414</v>
      </c>
      <c r="C252" s="1482" t="s">
        <v>1862</v>
      </c>
      <c r="D252" s="1390">
        <v>44806</v>
      </c>
      <c r="E252" s="560">
        <v>0.7</v>
      </c>
      <c r="F252" s="1480">
        <v>0</v>
      </c>
      <c r="G252" s="1480">
        <v>0</v>
      </c>
      <c r="H252" s="1480">
        <f t="shared" si="15"/>
        <v>0</v>
      </c>
      <c r="I252" s="1480">
        <v>0</v>
      </c>
      <c r="J252" s="1480">
        <v>0</v>
      </c>
      <c r="K252" s="1480"/>
      <c r="L252" s="1480"/>
      <c r="M252" s="1480">
        <f t="shared" si="16"/>
        <v>0</v>
      </c>
      <c r="N252" s="1480">
        <f t="shared" si="17"/>
        <v>0</v>
      </c>
      <c r="O252" s="1481">
        <f t="shared" si="18"/>
        <v>0</v>
      </c>
      <c r="P252" s="1427">
        <f t="shared" si="19"/>
        <v>0</v>
      </c>
    </row>
    <row r="253" spans="1:16" ht="93" outlineLevel="1" x14ac:dyDescent="0.25">
      <c r="A253" s="1489">
        <v>45</v>
      </c>
      <c r="B253" s="1490" t="s">
        <v>1865</v>
      </c>
      <c r="C253" s="1486" t="s">
        <v>1866</v>
      </c>
      <c r="D253" s="1487">
        <v>45174</v>
      </c>
      <c r="E253" s="1383">
        <v>145.05495436368</v>
      </c>
      <c r="F253" s="1480">
        <v>0</v>
      </c>
      <c r="G253" s="1480">
        <v>0</v>
      </c>
      <c r="H253" s="1480">
        <f t="shared" si="15"/>
        <v>0</v>
      </c>
      <c r="I253" s="1480">
        <v>0</v>
      </c>
      <c r="J253" s="1480">
        <v>0</v>
      </c>
      <c r="K253" s="1480"/>
      <c r="L253" s="1480"/>
      <c r="M253" s="1480">
        <f t="shared" si="16"/>
        <v>0</v>
      </c>
      <c r="N253" s="1480">
        <f t="shared" si="17"/>
        <v>0</v>
      </c>
      <c r="O253" s="1481"/>
      <c r="P253" s="1427"/>
    </row>
    <row r="254" spans="1:16" ht="31" outlineLevel="1" x14ac:dyDescent="0.25">
      <c r="A254" s="1484">
        <v>45.1</v>
      </c>
      <c r="B254" s="1485" t="s">
        <v>1867</v>
      </c>
      <c r="C254" s="1488" t="s">
        <v>1866</v>
      </c>
      <c r="D254" s="1413">
        <v>45174</v>
      </c>
      <c r="E254" s="560">
        <v>101.81018586775998</v>
      </c>
      <c r="F254" s="1480">
        <v>0</v>
      </c>
      <c r="G254" s="1480">
        <v>0</v>
      </c>
      <c r="H254" s="1480">
        <f t="shared" si="15"/>
        <v>0</v>
      </c>
      <c r="I254" s="1480">
        <v>0</v>
      </c>
      <c r="J254" s="1480">
        <v>0</v>
      </c>
      <c r="K254" s="1480"/>
      <c r="L254" s="1480"/>
      <c r="M254" s="1480">
        <f t="shared" si="16"/>
        <v>0</v>
      </c>
      <c r="N254" s="1480">
        <f t="shared" si="17"/>
        <v>0</v>
      </c>
      <c r="O254" s="1481"/>
      <c r="P254" s="1427"/>
    </row>
    <row r="255" spans="1:16" ht="31" outlineLevel="1" x14ac:dyDescent="0.25">
      <c r="A255" s="1484">
        <v>45.2</v>
      </c>
      <c r="B255" s="1485" t="s">
        <v>1868</v>
      </c>
      <c r="C255" s="1488" t="s">
        <v>1866</v>
      </c>
      <c r="D255" s="1413">
        <v>45174</v>
      </c>
      <c r="E255" s="560">
        <v>1.7079926814999997</v>
      </c>
      <c r="F255" s="1480">
        <v>0</v>
      </c>
      <c r="G255" s="1480">
        <v>0</v>
      </c>
      <c r="H255" s="1480">
        <f t="shared" si="15"/>
        <v>0</v>
      </c>
      <c r="I255" s="1480">
        <v>0</v>
      </c>
      <c r="J255" s="1480">
        <v>0</v>
      </c>
      <c r="K255" s="1480"/>
      <c r="L255" s="1480"/>
      <c r="M255" s="1480">
        <f t="shared" si="16"/>
        <v>0</v>
      </c>
      <c r="N255" s="1480">
        <f t="shared" si="17"/>
        <v>0</v>
      </c>
      <c r="O255" s="1481"/>
      <c r="P255" s="1427"/>
    </row>
    <row r="256" spans="1:16" ht="31" outlineLevel="1" x14ac:dyDescent="0.25">
      <c r="A256" s="1484">
        <v>45.3</v>
      </c>
      <c r="B256" s="1485" t="s">
        <v>1869</v>
      </c>
      <c r="C256" s="1488" t="s">
        <v>1866</v>
      </c>
      <c r="D256" s="1413">
        <v>45174</v>
      </c>
      <c r="E256" s="560">
        <v>4.2692499462199995</v>
      </c>
      <c r="F256" s="1480">
        <v>0</v>
      </c>
      <c r="G256" s="1480">
        <v>0</v>
      </c>
      <c r="H256" s="1480">
        <f t="shared" si="15"/>
        <v>0</v>
      </c>
      <c r="I256" s="1480">
        <v>0</v>
      </c>
      <c r="J256" s="1480">
        <v>0</v>
      </c>
      <c r="K256" s="1480"/>
      <c r="L256" s="1480"/>
      <c r="M256" s="1480">
        <f t="shared" si="16"/>
        <v>0</v>
      </c>
      <c r="N256" s="1480">
        <f t="shared" si="17"/>
        <v>0</v>
      </c>
      <c r="O256" s="1481"/>
      <c r="P256" s="1427"/>
    </row>
    <row r="257" spans="1:16" ht="31" outlineLevel="1" x14ac:dyDescent="0.25">
      <c r="A257" s="1484">
        <v>45.4</v>
      </c>
      <c r="B257" s="1485" t="s">
        <v>1870</v>
      </c>
      <c r="C257" s="1488" t="s">
        <v>1866</v>
      </c>
      <c r="D257" s="1413">
        <v>45174</v>
      </c>
      <c r="E257" s="560">
        <v>25.657525868199997</v>
      </c>
      <c r="F257" s="1480">
        <v>0</v>
      </c>
      <c r="G257" s="1480">
        <v>0</v>
      </c>
      <c r="H257" s="1480">
        <f t="shared" si="15"/>
        <v>0</v>
      </c>
      <c r="I257" s="1480">
        <v>0</v>
      </c>
      <c r="J257" s="1480">
        <v>0</v>
      </c>
      <c r="K257" s="1480"/>
      <c r="L257" s="1480"/>
      <c r="M257" s="1480">
        <f t="shared" si="16"/>
        <v>0</v>
      </c>
      <c r="N257" s="1480">
        <f t="shared" si="17"/>
        <v>0</v>
      </c>
      <c r="O257" s="1481"/>
      <c r="P257" s="1427"/>
    </row>
    <row r="258" spans="1:16" ht="31" outlineLevel="1" x14ac:dyDescent="0.25">
      <c r="A258" s="1484">
        <v>0</v>
      </c>
      <c r="B258" s="1485" t="s">
        <v>414</v>
      </c>
      <c r="C258" s="1482" t="s">
        <v>1866</v>
      </c>
      <c r="D258" s="1390">
        <v>45174</v>
      </c>
      <c r="E258" s="560">
        <v>11.61</v>
      </c>
      <c r="F258" s="1480">
        <v>0</v>
      </c>
      <c r="G258" s="1480">
        <v>0</v>
      </c>
      <c r="H258" s="1480">
        <f t="shared" si="15"/>
        <v>0</v>
      </c>
      <c r="I258" s="1480">
        <v>0</v>
      </c>
      <c r="J258" s="1480">
        <v>0</v>
      </c>
      <c r="K258" s="1480"/>
      <c r="L258" s="1480"/>
      <c r="M258" s="1480">
        <f t="shared" si="16"/>
        <v>0</v>
      </c>
      <c r="N258" s="1480">
        <f t="shared" si="17"/>
        <v>0</v>
      </c>
      <c r="O258" s="1481"/>
      <c r="P258" s="1427"/>
    </row>
    <row r="259" spans="1:16" ht="46.5" outlineLevel="1" x14ac:dyDescent="0.25">
      <c r="A259" s="1489">
        <v>46</v>
      </c>
      <c r="B259" s="1490" t="s">
        <v>1871</v>
      </c>
      <c r="C259" s="1486" t="s">
        <v>1872</v>
      </c>
      <c r="D259" s="1487">
        <v>45429</v>
      </c>
      <c r="E259" s="1383">
        <v>37.32</v>
      </c>
      <c r="F259" s="1480">
        <v>0</v>
      </c>
      <c r="G259" s="1480">
        <v>0</v>
      </c>
      <c r="H259" s="1480">
        <f t="shared" si="15"/>
        <v>0</v>
      </c>
      <c r="I259" s="1480">
        <v>0</v>
      </c>
      <c r="J259" s="1480">
        <v>0</v>
      </c>
      <c r="K259" s="1480"/>
      <c r="L259" s="1480"/>
      <c r="M259" s="1480">
        <f t="shared" si="16"/>
        <v>0</v>
      </c>
      <c r="N259" s="1480">
        <f t="shared" si="17"/>
        <v>0</v>
      </c>
      <c r="O259" s="1481"/>
      <c r="P259" s="1427"/>
    </row>
    <row r="260" spans="1:16" ht="46.5" outlineLevel="1" x14ac:dyDescent="0.25">
      <c r="A260" s="1484">
        <v>46.1</v>
      </c>
      <c r="B260" s="1485" t="s">
        <v>1871</v>
      </c>
      <c r="C260" s="1488" t="s">
        <v>1872</v>
      </c>
      <c r="D260" s="1495">
        <v>45429</v>
      </c>
      <c r="E260" s="560">
        <v>0</v>
      </c>
      <c r="F260" s="1480">
        <v>0</v>
      </c>
      <c r="G260" s="1480">
        <v>0</v>
      </c>
      <c r="H260" s="1480">
        <f t="shared" si="15"/>
        <v>0</v>
      </c>
      <c r="I260" s="1480">
        <v>0</v>
      </c>
      <c r="J260" s="1480">
        <v>0</v>
      </c>
      <c r="K260" s="1480"/>
      <c r="L260" s="1480"/>
      <c r="M260" s="1480">
        <f t="shared" si="16"/>
        <v>0</v>
      </c>
      <c r="N260" s="1480">
        <f t="shared" si="17"/>
        <v>0</v>
      </c>
      <c r="O260" s="1481"/>
      <c r="P260" s="1427"/>
    </row>
    <row r="261" spans="1:16" ht="31" outlineLevel="1" x14ac:dyDescent="0.25">
      <c r="A261" s="1484">
        <v>0</v>
      </c>
      <c r="B261" s="1485" t="s">
        <v>414</v>
      </c>
      <c r="C261" s="1488" t="s">
        <v>1872</v>
      </c>
      <c r="D261" s="1495">
        <v>45429</v>
      </c>
      <c r="E261" s="560">
        <v>0</v>
      </c>
      <c r="F261" s="1480">
        <v>0</v>
      </c>
      <c r="G261" s="1480">
        <v>0</v>
      </c>
      <c r="H261" s="1480">
        <f t="shared" si="15"/>
        <v>0</v>
      </c>
      <c r="I261" s="1480">
        <v>0</v>
      </c>
      <c r="J261" s="1480">
        <v>0</v>
      </c>
      <c r="K261" s="1480"/>
      <c r="L261" s="1480"/>
      <c r="M261" s="1480">
        <f t="shared" si="16"/>
        <v>0</v>
      </c>
      <c r="N261" s="1480">
        <f t="shared" si="17"/>
        <v>0</v>
      </c>
      <c r="O261" s="1481"/>
      <c r="P261" s="1427"/>
    </row>
    <row r="262" spans="1:16" ht="31" outlineLevel="1" x14ac:dyDescent="0.25">
      <c r="A262" s="1489">
        <v>47</v>
      </c>
      <c r="B262" s="1490" t="s">
        <v>1874</v>
      </c>
      <c r="C262" s="1486" t="s">
        <v>1875</v>
      </c>
      <c r="D262" s="1413">
        <v>45230</v>
      </c>
      <c r="E262" s="1383">
        <v>43.01</v>
      </c>
      <c r="F262" s="1480">
        <v>0</v>
      </c>
      <c r="G262" s="1480">
        <v>0</v>
      </c>
      <c r="H262" s="1480">
        <f t="shared" si="15"/>
        <v>0</v>
      </c>
      <c r="I262" s="1480">
        <v>0</v>
      </c>
      <c r="J262" s="1480">
        <v>0</v>
      </c>
      <c r="K262" s="1480"/>
      <c r="L262" s="1480"/>
      <c r="M262" s="1480">
        <f t="shared" si="16"/>
        <v>0</v>
      </c>
      <c r="N262" s="1480">
        <f t="shared" si="17"/>
        <v>0</v>
      </c>
      <c r="O262" s="1481"/>
      <c r="P262" s="1427"/>
    </row>
    <row r="263" spans="1:16" ht="31" outlineLevel="1" x14ac:dyDescent="0.25">
      <c r="A263" s="1484">
        <v>47.1</v>
      </c>
      <c r="B263" s="1485" t="s">
        <v>1876</v>
      </c>
      <c r="C263" s="1488" t="s">
        <v>1875</v>
      </c>
      <c r="D263" s="1413">
        <v>45230</v>
      </c>
      <c r="E263" s="560">
        <v>5.66</v>
      </c>
      <c r="F263" s="1480">
        <v>0</v>
      </c>
      <c r="G263" s="1480">
        <v>0</v>
      </c>
      <c r="H263" s="1480">
        <f t="shared" si="15"/>
        <v>0</v>
      </c>
      <c r="I263" s="1480">
        <v>0</v>
      </c>
      <c r="J263" s="1480">
        <v>0</v>
      </c>
      <c r="K263" s="1480"/>
      <c r="L263" s="1480"/>
      <c r="M263" s="1480">
        <f t="shared" si="16"/>
        <v>0</v>
      </c>
      <c r="N263" s="1480">
        <f t="shared" si="17"/>
        <v>0</v>
      </c>
      <c r="O263" s="1481"/>
      <c r="P263" s="1427"/>
    </row>
    <row r="264" spans="1:16" ht="31" outlineLevel="1" x14ac:dyDescent="0.25">
      <c r="A264" s="1484">
        <v>47.2</v>
      </c>
      <c r="B264" s="1485" t="s">
        <v>1877</v>
      </c>
      <c r="C264" s="1488" t="s">
        <v>1875</v>
      </c>
      <c r="D264" s="1413">
        <v>45230</v>
      </c>
      <c r="E264" s="560">
        <v>8.17</v>
      </c>
      <c r="F264" s="1480">
        <v>0</v>
      </c>
      <c r="G264" s="1480">
        <v>0</v>
      </c>
      <c r="H264" s="1480">
        <f t="shared" si="15"/>
        <v>0</v>
      </c>
      <c r="I264" s="1480">
        <v>0</v>
      </c>
      <c r="J264" s="1480">
        <v>0</v>
      </c>
      <c r="K264" s="1480"/>
      <c r="L264" s="1480"/>
      <c r="M264" s="1480">
        <f t="shared" si="16"/>
        <v>0</v>
      </c>
      <c r="N264" s="1480">
        <f t="shared" si="17"/>
        <v>0</v>
      </c>
      <c r="O264" s="1481"/>
      <c r="P264" s="1427"/>
    </row>
    <row r="265" spans="1:16" ht="31" outlineLevel="1" x14ac:dyDescent="0.25">
      <c r="A265" s="1484">
        <v>47.3</v>
      </c>
      <c r="B265" s="1485" t="s">
        <v>1878</v>
      </c>
      <c r="C265" s="1488" t="s">
        <v>1875</v>
      </c>
      <c r="D265" s="1413">
        <v>45230</v>
      </c>
      <c r="E265" s="560">
        <v>4.12</v>
      </c>
      <c r="F265" s="1480">
        <v>0</v>
      </c>
      <c r="G265" s="1480">
        <v>0</v>
      </c>
      <c r="H265" s="1480">
        <f t="shared" si="15"/>
        <v>0</v>
      </c>
      <c r="I265" s="1480">
        <v>0</v>
      </c>
      <c r="J265" s="1480">
        <v>0</v>
      </c>
      <c r="K265" s="1480"/>
      <c r="L265" s="1480"/>
      <c r="M265" s="1480">
        <f t="shared" si="16"/>
        <v>0</v>
      </c>
      <c r="N265" s="1480">
        <f t="shared" si="17"/>
        <v>0</v>
      </c>
      <c r="O265" s="1481"/>
      <c r="P265" s="1427"/>
    </row>
    <row r="266" spans="1:16" ht="46.5" outlineLevel="1" x14ac:dyDescent="0.25">
      <c r="A266" s="1484">
        <v>47.4</v>
      </c>
      <c r="B266" s="1485" t="s">
        <v>1879</v>
      </c>
      <c r="C266" s="1488" t="s">
        <v>1875</v>
      </c>
      <c r="D266" s="1413">
        <v>45230</v>
      </c>
      <c r="E266" s="560">
        <v>3.72</v>
      </c>
      <c r="F266" s="1480">
        <v>0</v>
      </c>
      <c r="G266" s="1480">
        <v>0</v>
      </c>
      <c r="H266" s="1480">
        <f t="shared" si="15"/>
        <v>0</v>
      </c>
      <c r="I266" s="1480">
        <v>0</v>
      </c>
      <c r="J266" s="1480">
        <v>0</v>
      </c>
      <c r="K266" s="1480"/>
      <c r="L266" s="1480"/>
      <c r="M266" s="1480">
        <f t="shared" si="16"/>
        <v>0</v>
      </c>
      <c r="N266" s="1480">
        <f t="shared" si="17"/>
        <v>0</v>
      </c>
      <c r="O266" s="1481"/>
      <c r="P266" s="1427"/>
    </row>
    <row r="267" spans="1:16" ht="46.5" outlineLevel="1" x14ac:dyDescent="0.25">
      <c r="A267" s="1484">
        <v>47.5</v>
      </c>
      <c r="B267" s="1485" t="s">
        <v>1880</v>
      </c>
      <c r="C267" s="1488" t="s">
        <v>1875</v>
      </c>
      <c r="D267" s="1413">
        <v>45230</v>
      </c>
      <c r="E267" s="560">
        <v>3.45</v>
      </c>
      <c r="F267" s="1480">
        <v>0</v>
      </c>
      <c r="G267" s="1480">
        <v>0</v>
      </c>
      <c r="H267" s="1480">
        <f t="shared" ref="H267:H330" si="20">F267-G267</f>
        <v>0</v>
      </c>
      <c r="I267" s="1480">
        <v>0</v>
      </c>
      <c r="J267" s="1480">
        <v>0</v>
      </c>
      <c r="K267" s="1480"/>
      <c r="L267" s="1480"/>
      <c r="M267" s="1480">
        <f t="shared" ref="M267:M330" si="21">SUM(J267:L267)</f>
        <v>0</v>
      </c>
      <c r="N267" s="1480">
        <f t="shared" ref="N267:N330" si="22">H267+I267-M267</f>
        <v>0</v>
      </c>
      <c r="O267" s="1481"/>
      <c r="P267" s="1427"/>
    </row>
    <row r="268" spans="1:16" ht="46.5" outlineLevel="1" x14ac:dyDescent="0.25">
      <c r="A268" s="1484">
        <v>47.6</v>
      </c>
      <c r="B268" s="1485" t="s">
        <v>1881</v>
      </c>
      <c r="C268" s="1488" t="s">
        <v>1875</v>
      </c>
      <c r="D268" s="1413">
        <v>45230</v>
      </c>
      <c r="E268" s="560">
        <v>4.5999999999999996</v>
      </c>
      <c r="F268" s="1480">
        <v>0</v>
      </c>
      <c r="G268" s="1480">
        <v>0</v>
      </c>
      <c r="H268" s="1480">
        <f t="shared" si="20"/>
        <v>0</v>
      </c>
      <c r="I268" s="1480">
        <v>0</v>
      </c>
      <c r="J268" s="1480">
        <v>0</v>
      </c>
      <c r="K268" s="1480"/>
      <c r="L268" s="1480"/>
      <c r="M268" s="1480">
        <f t="shared" si="21"/>
        <v>0</v>
      </c>
      <c r="N268" s="1480">
        <f t="shared" si="22"/>
        <v>0</v>
      </c>
      <c r="O268" s="1481"/>
      <c r="P268" s="1427"/>
    </row>
    <row r="269" spans="1:16" ht="31" outlineLevel="1" x14ac:dyDescent="0.25">
      <c r="A269" s="1484">
        <v>47.7</v>
      </c>
      <c r="B269" s="1485" t="s">
        <v>1882</v>
      </c>
      <c r="C269" s="1488" t="s">
        <v>1875</v>
      </c>
      <c r="D269" s="1413">
        <v>45230</v>
      </c>
      <c r="E269" s="560">
        <v>8.14</v>
      </c>
      <c r="F269" s="1480">
        <v>0</v>
      </c>
      <c r="G269" s="1480">
        <v>0</v>
      </c>
      <c r="H269" s="1480">
        <f t="shared" si="20"/>
        <v>0</v>
      </c>
      <c r="I269" s="1480">
        <v>0</v>
      </c>
      <c r="J269" s="1480">
        <v>0</v>
      </c>
      <c r="K269" s="1480"/>
      <c r="L269" s="1480"/>
      <c r="M269" s="1480">
        <f t="shared" si="21"/>
        <v>0</v>
      </c>
      <c r="N269" s="1480">
        <f t="shared" si="22"/>
        <v>0</v>
      </c>
      <c r="O269" s="1481"/>
      <c r="P269" s="1427"/>
    </row>
    <row r="270" spans="1:16" ht="46.5" outlineLevel="1" x14ac:dyDescent="0.25">
      <c r="A270" s="1484">
        <v>47.8</v>
      </c>
      <c r="B270" s="1485" t="s">
        <v>1883</v>
      </c>
      <c r="C270" s="1488" t="s">
        <v>1875</v>
      </c>
      <c r="D270" s="1413">
        <v>45230</v>
      </c>
      <c r="E270" s="560">
        <v>4.18</v>
      </c>
      <c r="F270" s="1480">
        <v>0</v>
      </c>
      <c r="G270" s="1480">
        <v>0</v>
      </c>
      <c r="H270" s="1480">
        <f t="shared" si="20"/>
        <v>0</v>
      </c>
      <c r="I270" s="1480">
        <v>0</v>
      </c>
      <c r="J270" s="1480">
        <v>0</v>
      </c>
      <c r="K270" s="1480"/>
      <c r="L270" s="1480"/>
      <c r="M270" s="1480">
        <f t="shared" si="21"/>
        <v>0</v>
      </c>
      <c r="N270" s="1480">
        <f t="shared" si="22"/>
        <v>0</v>
      </c>
      <c r="O270" s="1481"/>
      <c r="P270" s="1427"/>
    </row>
    <row r="271" spans="1:16" ht="31" outlineLevel="1" x14ac:dyDescent="0.25">
      <c r="A271" s="1484">
        <v>0</v>
      </c>
      <c r="B271" s="1485" t="s">
        <v>414</v>
      </c>
      <c r="C271" s="1488" t="s">
        <v>1875</v>
      </c>
      <c r="D271" s="1413">
        <v>45230</v>
      </c>
      <c r="E271" s="560">
        <v>0.97</v>
      </c>
      <c r="F271" s="1480">
        <v>0</v>
      </c>
      <c r="G271" s="1480">
        <v>0</v>
      </c>
      <c r="H271" s="1480">
        <f t="shared" si="20"/>
        <v>0</v>
      </c>
      <c r="I271" s="1480">
        <v>0</v>
      </c>
      <c r="J271" s="1480">
        <v>0</v>
      </c>
      <c r="K271" s="1480"/>
      <c r="L271" s="1480"/>
      <c r="M271" s="1480">
        <f t="shared" si="21"/>
        <v>0</v>
      </c>
      <c r="N271" s="1480">
        <f t="shared" si="22"/>
        <v>0</v>
      </c>
      <c r="O271" s="1481"/>
      <c r="P271" s="1427"/>
    </row>
    <row r="272" spans="1:16" ht="31" outlineLevel="1" x14ac:dyDescent="0.25">
      <c r="A272" s="1489" t="s">
        <v>1884</v>
      </c>
      <c r="B272" s="1490" t="s">
        <v>1885</v>
      </c>
      <c r="C272" s="1486" t="s">
        <v>1886</v>
      </c>
      <c r="D272" s="1487">
        <v>44604</v>
      </c>
      <c r="E272" s="1383">
        <v>57</v>
      </c>
      <c r="F272" s="1480">
        <v>0</v>
      </c>
      <c r="G272" s="1480">
        <v>0</v>
      </c>
      <c r="H272" s="1480">
        <f t="shared" si="20"/>
        <v>0</v>
      </c>
      <c r="I272" s="1480">
        <v>0</v>
      </c>
      <c r="J272" s="1480">
        <v>0</v>
      </c>
      <c r="K272" s="1480"/>
      <c r="L272" s="1480"/>
      <c r="M272" s="1480">
        <f t="shared" si="21"/>
        <v>0</v>
      </c>
      <c r="N272" s="1480">
        <f t="shared" si="22"/>
        <v>0</v>
      </c>
      <c r="O272" s="1481"/>
      <c r="P272" s="1427"/>
    </row>
    <row r="273" spans="1:16" ht="46.5" outlineLevel="1" x14ac:dyDescent="0.25">
      <c r="A273" s="1484" t="s">
        <v>1887</v>
      </c>
      <c r="B273" s="1485" t="s">
        <v>1885</v>
      </c>
      <c r="C273" s="1493" t="s">
        <v>1886</v>
      </c>
      <c r="D273" s="1494">
        <v>44604</v>
      </c>
      <c r="E273" s="560">
        <v>54.24</v>
      </c>
      <c r="F273" s="1480">
        <v>0</v>
      </c>
      <c r="G273" s="1480">
        <v>0</v>
      </c>
      <c r="H273" s="1480">
        <f t="shared" si="20"/>
        <v>0</v>
      </c>
      <c r="I273" s="1480">
        <v>0</v>
      </c>
      <c r="J273" s="1480">
        <v>0</v>
      </c>
      <c r="K273" s="1480"/>
      <c r="L273" s="1480"/>
      <c r="M273" s="1480">
        <f t="shared" si="21"/>
        <v>0</v>
      </c>
      <c r="N273" s="1480">
        <f t="shared" si="22"/>
        <v>0</v>
      </c>
      <c r="O273" s="1481"/>
      <c r="P273" s="1427"/>
    </row>
    <row r="274" spans="1:16" ht="31" outlineLevel="1" x14ac:dyDescent="0.25">
      <c r="A274" s="1496">
        <v>0</v>
      </c>
      <c r="B274" s="1485" t="s">
        <v>414</v>
      </c>
      <c r="C274" s="1493" t="s">
        <v>1886</v>
      </c>
      <c r="D274" s="1494">
        <v>44604</v>
      </c>
      <c r="E274" s="560">
        <v>2.76</v>
      </c>
      <c r="F274" s="1480">
        <v>0</v>
      </c>
      <c r="G274" s="1480">
        <v>0</v>
      </c>
      <c r="H274" s="1480">
        <f t="shared" si="20"/>
        <v>0</v>
      </c>
      <c r="I274" s="1480">
        <v>0</v>
      </c>
      <c r="J274" s="1480">
        <v>0</v>
      </c>
      <c r="K274" s="1480"/>
      <c r="L274" s="1480"/>
      <c r="M274" s="1480">
        <f t="shared" si="21"/>
        <v>0</v>
      </c>
      <c r="N274" s="1480">
        <f t="shared" si="22"/>
        <v>0</v>
      </c>
      <c r="O274" s="1481"/>
      <c r="P274" s="1427"/>
    </row>
    <row r="275" spans="1:16" ht="31" outlineLevel="1" x14ac:dyDescent="0.25">
      <c r="A275" s="1489" t="s">
        <v>1888</v>
      </c>
      <c r="B275" s="1490" t="s">
        <v>1889</v>
      </c>
      <c r="C275" s="1486" t="s">
        <v>1890</v>
      </c>
      <c r="D275" s="1487">
        <v>45232</v>
      </c>
      <c r="E275" s="1383">
        <v>69.308999999999997</v>
      </c>
      <c r="F275" s="1480">
        <v>0</v>
      </c>
      <c r="G275" s="1480">
        <v>0</v>
      </c>
      <c r="H275" s="1480">
        <f t="shared" si="20"/>
        <v>0</v>
      </c>
      <c r="I275" s="1480">
        <v>0</v>
      </c>
      <c r="J275" s="1480">
        <v>0</v>
      </c>
      <c r="K275" s="1480"/>
      <c r="L275" s="1480"/>
      <c r="M275" s="1480">
        <f t="shared" si="21"/>
        <v>0</v>
      </c>
      <c r="N275" s="1480">
        <f t="shared" si="22"/>
        <v>0</v>
      </c>
      <c r="O275" s="1481"/>
      <c r="P275" s="1427"/>
    </row>
    <row r="276" spans="1:16" ht="46.5" outlineLevel="1" x14ac:dyDescent="0.25">
      <c r="A276" s="1484" t="s">
        <v>1891</v>
      </c>
      <c r="B276" s="1485" t="s">
        <v>1889</v>
      </c>
      <c r="C276" s="1493" t="s">
        <v>1890</v>
      </c>
      <c r="D276" s="1494">
        <v>45232</v>
      </c>
      <c r="E276" s="560">
        <v>66.009</v>
      </c>
      <c r="F276" s="1480">
        <v>0</v>
      </c>
      <c r="G276" s="1480">
        <v>0</v>
      </c>
      <c r="H276" s="1480">
        <f t="shared" si="20"/>
        <v>0</v>
      </c>
      <c r="I276" s="1480">
        <v>0</v>
      </c>
      <c r="J276" s="1480">
        <v>0</v>
      </c>
      <c r="K276" s="1480"/>
      <c r="L276" s="1480"/>
      <c r="M276" s="1480">
        <f t="shared" si="21"/>
        <v>0</v>
      </c>
      <c r="N276" s="1480">
        <f t="shared" si="22"/>
        <v>0</v>
      </c>
      <c r="O276" s="1481"/>
      <c r="P276" s="1427"/>
    </row>
    <row r="277" spans="1:16" ht="31" outlineLevel="1" x14ac:dyDescent="0.25">
      <c r="A277" s="1496">
        <v>0</v>
      </c>
      <c r="B277" s="1485" t="s">
        <v>414</v>
      </c>
      <c r="C277" s="1493" t="s">
        <v>1890</v>
      </c>
      <c r="D277" s="1494">
        <v>45232</v>
      </c>
      <c r="E277" s="560">
        <v>3.3</v>
      </c>
      <c r="F277" s="1480">
        <v>0</v>
      </c>
      <c r="G277" s="1480">
        <v>0</v>
      </c>
      <c r="H277" s="1480">
        <f t="shared" si="20"/>
        <v>0</v>
      </c>
      <c r="I277" s="1480">
        <v>0</v>
      </c>
      <c r="J277" s="1480">
        <v>0</v>
      </c>
      <c r="K277" s="1480"/>
      <c r="L277" s="1480"/>
      <c r="M277" s="1480">
        <f t="shared" si="21"/>
        <v>0</v>
      </c>
      <c r="N277" s="1480">
        <f t="shared" si="22"/>
        <v>0</v>
      </c>
      <c r="O277" s="1481"/>
      <c r="P277" s="1427"/>
    </row>
    <row r="278" spans="1:16" ht="62" outlineLevel="1" x14ac:dyDescent="0.25">
      <c r="A278" s="1486" t="s">
        <v>1892</v>
      </c>
      <c r="B278" s="1491" t="s">
        <v>1893</v>
      </c>
      <c r="C278" s="1486" t="s">
        <v>1894</v>
      </c>
      <c r="D278" s="1487">
        <v>45510</v>
      </c>
      <c r="E278" s="560">
        <v>81.350000000000009</v>
      </c>
      <c r="F278" s="1480">
        <v>0</v>
      </c>
      <c r="G278" s="1480">
        <v>0</v>
      </c>
      <c r="H278" s="1480">
        <f t="shared" si="20"/>
        <v>0</v>
      </c>
      <c r="I278" s="1480">
        <v>0</v>
      </c>
      <c r="J278" s="1480">
        <v>0</v>
      </c>
      <c r="K278" s="1480"/>
      <c r="L278" s="1480"/>
      <c r="M278" s="1480">
        <f t="shared" si="21"/>
        <v>0</v>
      </c>
      <c r="N278" s="1480">
        <f t="shared" si="22"/>
        <v>0</v>
      </c>
      <c r="O278" s="1481"/>
      <c r="P278" s="1427"/>
    </row>
    <row r="279" spans="1:16" ht="62" outlineLevel="1" x14ac:dyDescent="0.25">
      <c r="A279" s="1488">
        <v>2.1</v>
      </c>
      <c r="B279" s="1492" t="s">
        <v>1893</v>
      </c>
      <c r="C279" s="1488" t="s">
        <v>1894</v>
      </c>
      <c r="D279" s="1413">
        <v>45510</v>
      </c>
      <c r="E279" s="560">
        <v>80.150000000000006</v>
      </c>
      <c r="F279" s="1480">
        <v>0</v>
      </c>
      <c r="G279" s="1480">
        <v>0</v>
      </c>
      <c r="H279" s="1480">
        <f t="shared" si="20"/>
        <v>0</v>
      </c>
      <c r="I279" s="1480">
        <v>0</v>
      </c>
      <c r="J279" s="1480">
        <v>0</v>
      </c>
      <c r="K279" s="1480"/>
      <c r="L279" s="1480"/>
      <c r="M279" s="1480">
        <f t="shared" si="21"/>
        <v>0</v>
      </c>
      <c r="N279" s="1480">
        <f t="shared" si="22"/>
        <v>0</v>
      </c>
      <c r="O279" s="1481"/>
      <c r="P279" s="1427"/>
    </row>
    <row r="280" spans="1:16" ht="31" outlineLevel="1" x14ac:dyDescent="0.25">
      <c r="A280" s="1488">
        <v>0</v>
      </c>
      <c r="B280" s="1492" t="s">
        <v>414</v>
      </c>
      <c r="C280" s="1488" t="s">
        <v>1894</v>
      </c>
      <c r="D280" s="1413">
        <v>45510</v>
      </c>
      <c r="E280" s="560">
        <v>1.2</v>
      </c>
      <c r="F280" s="1480">
        <v>0</v>
      </c>
      <c r="G280" s="1480">
        <v>0</v>
      </c>
      <c r="H280" s="1480">
        <f t="shared" si="20"/>
        <v>0</v>
      </c>
      <c r="I280" s="1480">
        <v>0</v>
      </c>
      <c r="J280" s="1480">
        <v>0</v>
      </c>
      <c r="K280" s="1480"/>
      <c r="L280" s="1480"/>
      <c r="M280" s="1480">
        <f t="shared" si="21"/>
        <v>0</v>
      </c>
      <c r="N280" s="1480">
        <f t="shared" si="22"/>
        <v>0</v>
      </c>
      <c r="O280" s="1481"/>
      <c r="P280" s="1427"/>
    </row>
    <row r="281" spans="1:16" ht="77.5" outlineLevel="1" x14ac:dyDescent="0.25">
      <c r="A281" s="1486" t="s">
        <v>1895</v>
      </c>
      <c r="B281" s="1491" t="s">
        <v>1896</v>
      </c>
      <c r="C281" s="1486" t="s">
        <v>1897</v>
      </c>
      <c r="D281" s="1487">
        <v>45510</v>
      </c>
      <c r="E281" s="560">
        <v>25.78</v>
      </c>
      <c r="F281" s="1480">
        <v>0</v>
      </c>
      <c r="G281" s="1480">
        <v>0</v>
      </c>
      <c r="H281" s="1480">
        <f t="shared" si="20"/>
        <v>0</v>
      </c>
      <c r="I281" s="1480">
        <v>0</v>
      </c>
      <c r="J281" s="1480">
        <v>0</v>
      </c>
      <c r="K281" s="1480"/>
      <c r="L281" s="1480"/>
      <c r="M281" s="1480">
        <f t="shared" si="21"/>
        <v>0</v>
      </c>
      <c r="N281" s="1480">
        <f t="shared" si="22"/>
        <v>0</v>
      </c>
      <c r="O281" s="1481"/>
      <c r="P281" s="1427"/>
    </row>
    <row r="282" spans="1:16" ht="31" outlineLevel="1" x14ac:dyDescent="0.25">
      <c r="A282" s="1488">
        <v>3.1</v>
      </c>
      <c r="B282" s="1497" t="s">
        <v>2433</v>
      </c>
      <c r="C282" s="1488" t="s">
        <v>1897</v>
      </c>
      <c r="D282" s="1413">
        <v>45510</v>
      </c>
      <c r="E282" s="560">
        <v>7.19</v>
      </c>
      <c r="F282" s="1480">
        <v>0</v>
      </c>
      <c r="G282" s="1480">
        <v>0</v>
      </c>
      <c r="H282" s="1480">
        <f t="shared" si="20"/>
        <v>0</v>
      </c>
      <c r="I282" s="1480">
        <v>0</v>
      </c>
      <c r="J282" s="1480">
        <v>0</v>
      </c>
      <c r="K282" s="1480"/>
      <c r="L282" s="1480"/>
      <c r="M282" s="1480">
        <f t="shared" si="21"/>
        <v>0</v>
      </c>
      <c r="N282" s="1480">
        <f t="shared" si="22"/>
        <v>0</v>
      </c>
      <c r="O282" s="1481">
        <f t="shared" si="18"/>
        <v>0</v>
      </c>
      <c r="P282" s="1427">
        <f t="shared" si="19"/>
        <v>0</v>
      </c>
    </row>
    <row r="283" spans="1:16" ht="31" outlineLevel="1" x14ac:dyDescent="0.25">
      <c r="A283" s="1488">
        <v>3.1</v>
      </c>
      <c r="B283" s="1497" t="s">
        <v>2434</v>
      </c>
      <c r="C283" s="1488" t="s">
        <v>1897</v>
      </c>
      <c r="D283" s="1413">
        <v>45510</v>
      </c>
      <c r="E283" s="560">
        <v>0.8</v>
      </c>
      <c r="F283" s="1480">
        <v>0</v>
      </c>
      <c r="G283" s="1480">
        <v>0</v>
      </c>
      <c r="H283" s="1480">
        <f t="shared" si="20"/>
        <v>0</v>
      </c>
      <c r="I283" s="1480">
        <v>0</v>
      </c>
      <c r="J283" s="1480">
        <v>0</v>
      </c>
      <c r="K283" s="1480"/>
      <c r="L283" s="1480"/>
      <c r="M283" s="1480">
        <f t="shared" si="21"/>
        <v>0</v>
      </c>
      <c r="N283" s="1480">
        <f t="shared" si="22"/>
        <v>0</v>
      </c>
      <c r="O283" s="1481">
        <f t="shared" si="18"/>
        <v>0</v>
      </c>
      <c r="P283" s="1427">
        <f t="shared" si="19"/>
        <v>0</v>
      </c>
    </row>
    <row r="284" spans="1:16" ht="31" outlineLevel="1" x14ac:dyDescent="0.25">
      <c r="A284" s="1488">
        <v>3.1</v>
      </c>
      <c r="B284" s="1497" t="s">
        <v>2435</v>
      </c>
      <c r="C284" s="1488" t="s">
        <v>1897</v>
      </c>
      <c r="D284" s="1413">
        <v>45510</v>
      </c>
      <c r="E284" s="560">
        <v>2.97</v>
      </c>
      <c r="F284" s="1480">
        <v>0</v>
      </c>
      <c r="G284" s="1480">
        <v>0</v>
      </c>
      <c r="H284" s="1480">
        <f t="shared" si="20"/>
        <v>0</v>
      </c>
      <c r="I284" s="1480">
        <v>0</v>
      </c>
      <c r="J284" s="1480">
        <v>0</v>
      </c>
      <c r="K284" s="1480"/>
      <c r="L284" s="1480"/>
      <c r="M284" s="1480">
        <f t="shared" si="21"/>
        <v>0</v>
      </c>
      <c r="N284" s="1480">
        <f t="shared" si="22"/>
        <v>0</v>
      </c>
      <c r="O284" s="1481">
        <f t="shared" si="18"/>
        <v>0</v>
      </c>
      <c r="P284" s="1427">
        <f t="shared" si="19"/>
        <v>0</v>
      </c>
    </row>
    <row r="285" spans="1:16" ht="77.5" outlineLevel="1" x14ac:dyDescent="0.25">
      <c r="A285" s="1488">
        <v>3.1</v>
      </c>
      <c r="B285" s="1497" t="s">
        <v>1901</v>
      </c>
      <c r="C285" s="1488" t="s">
        <v>1897</v>
      </c>
      <c r="D285" s="1413">
        <v>45510</v>
      </c>
      <c r="E285" s="560">
        <v>10.48</v>
      </c>
      <c r="F285" s="1480">
        <v>0</v>
      </c>
      <c r="G285" s="1480">
        <v>0</v>
      </c>
      <c r="H285" s="1480">
        <f t="shared" si="20"/>
        <v>0</v>
      </c>
      <c r="I285" s="1480">
        <v>0</v>
      </c>
      <c r="J285" s="1480">
        <v>0</v>
      </c>
      <c r="K285" s="1480"/>
      <c r="L285" s="1480"/>
      <c r="M285" s="1480">
        <f t="shared" si="21"/>
        <v>0</v>
      </c>
      <c r="N285" s="1480">
        <f t="shared" si="22"/>
        <v>0</v>
      </c>
      <c r="O285" s="1481">
        <f t="shared" si="18"/>
        <v>0</v>
      </c>
      <c r="P285" s="1427">
        <f t="shared" si="19"/>
        <v>0</v>
      </c>
    </row>
    <row r="286" spans="1:16" ht="62" outlineLevel="1" x14ac:dyDescent="0.25">
      <c r="A286" s="1488">
        <v>3.1</v>
      </c>
      <c r="B286" s="1497" t="s">
        <v>1902</v>
      </c>
      <c r="C286" s="1488" t="s">
        <v>1897</v>
      </c>
      <c r="D286" s="1413">
        <v>45510</v>
      </c>
      <c r="E286" s="560">
        <v>3.66</v>
      </c>
      <c r="F286" s="1480">
        <v>0</v>
      </c>
      <c r="G286" s="1480">
        <v>0</v>
      </c>
      <c r="H286" s="1480">
        <f t="shared" si="20"/>
        <v>0</v>
      </c>
      <c r="I286" s="1480">
        <v>0</v>
      </c>
      <c r="J286" s="1480">
        <v>0</v>
      </c>
      <c r="K286" s="1480"/>
      <c r="L286" s="1480"/>
      <c r="M286" s="1480">
        <f t="shared" si="21"/>
        <v>0</v>
      </c>
      <c r="N286" s="1480">
        <f t="shared" si="22"/>
        <v>0</v>
      </c>
      <c r="O286" s="1481">
        <f t="shared" si="18"/>
        <v>0</v>
      </c>
      <c r="P286" s="1427">
        <f t="shared" si="19"/>
        <v>0</v>
      </c>
    </row>
    <row r="287" spans="1:16" ht="31" outlineLevel="1" x14ac:dyDescent="0.25">
      <c r="A287" s="1488">
        <v>0</v>
      </c>
      <c r="B287" s="1497" t="s">
        <v>414</v>
      </c>
      <c r="C287" s="1488" t="s">
        <v>1897</v>
      </c>
      <c r="D287" s="1413">
        <v>45510</v>
      </c>
      <c r="E287" s="560">
        <v>0.68</v>
      </c>
      <c r="F287" s="1480">
        <v>0</v>
      </c>
      <c r="G287" s="1480">
        <v>0</v>
      </c>
      <c r="H287" s="1480">
        <f t="shared" si="20"/>
        <v>0</v>
      </c>
      <c r="I287" s="1480">
        <v>0</v>
      </c>
      <c r="J287" s="1480">
        <v>0</v>
      </c>
      <c r="K287" s="1480"/>
      <c r="L287" s="1480"/>
      <c r="M287" s="1480">
        <f t="shared" si="21"/>
        <v>0</v>
      </c>
      <c r="N287" s="1480">
        <f t="shared" si="22"/>
        <v>0</v>
      </c>
      <c r="O287" s="1481">
        <f t="shared" si="18"/>
        <v>0</v>
      </c>
      <c r="P287" s="1427">
        <f t="shared" si="19"/>
        <v>0</v>
      </c>
    </row>
    <row r="288" spans="1:16" ht="31" outlineLevel="1" x14ac:dyDescent="0.25">
      <c r="A288" s="1486" t="s">
        <v>1903</v>
      </c>
      <c r="B288" s="1491" t="s">
        <v>1904</v>
      </c>
      <c r="C288" s="1486" t="s">
        <v>1905</v>
      </c>
      <c r="D288" s="1487">
        <v>45510</v>
      </c>
      <c r="E288" s="560">
        <v>0</v>
      </c>
      <c r="F288" s="1480">
        <v>0</v>
      </c>
      <c r="G288" s="1480">
        <v>0</v>
      </c>
      <c r="H288" s="1480">
        <f t="shared" si="20"/>
        <v>0</v>
      </c>
      <c r="I288" s="1480">
        <v>0</v>
      </c>
      <c r="J288" s="1480">
        <v>0</v>
      </c>
      <c r="K288" s="1480"/>
      <c r="L288" s="1480"/>
      <c r="M288" s="1480">
        <f t="shared" si="21"/>
        <v>0</v>
      </c>
      <c r="N288" s="1480">
        <f t="shared" si="22"/>
        <v>0</v>
      </c>
      <c r="O288" s="1481">
        <f t="shared" si="18"/>
        <v>0</v>
      </c>
      <c r="P288" s="1427">
        <f t="shared" si="19"/>
        <v>0</v>
      </c>
    </row>
    <row r="289" spans="1:16" ht="31" outlineLevel="1" x14ac:dyDescent="0.25">
      <c r="A289" s="1488">
        <v>4.0999999999999996</v>
      </c>
      <c r="B289" s="1492" t="s">
        <v>1904</v>
      </c>
      <c r="C289" s="1488" t="s">
        <v>1905</v>
      </c>
      <c r="D289" s="1413">
        <v>45510</v>
      </c>
      <c r="E289" s="560">
        <v>0</v>
      </c>
      <c r="F289" s="1480">
        <v>0</v>
      </c>
      <c r="G289" s="1480">
        <v>0</v>
      </c>
      <c r="H289" s="1480">
        <f t="shared" si="20"/>
        <v>0</v>
      </c>
      <c r="I289" s="1480">
        <v>0</v>
      </c>
      <c r="J289" s="1480">
        <v>0</v>
      </c>
      <c r="K289" s="1480"/>
      <c r="L289" s="1480"/>
      <c r="M289" s="1480">
        <f t="shared" si="21"/>
        <v>0</v>
      </c>
      <c r="N289" s="1480">
        <f t="shared" si="22"/>
        <v>0</v>
      </c>
      <c r="O289" s="1481">
        <f t="shared" si="18"/>
        <v>0</v>
      </c>
      <c r="P289" s="1427">
        <f t="shared" si="19"/>
        <v>0</v>
      </c>
    </row>
    <row r="290" spans="1:16" ht="31" outlineLevel="1" x14ac:dyDescent="0.25">
      <c r="A290" s="1488">
        <v>0</v>
      </c>
      <c r="B290" s="1492" t="s">
        <v>414</v>
      </c>
      <c r="C290" s="1488" t="s">
        <v>1905</v>
      </c>
      <c r="D290" s="1413">
        <v>45510</v>
      </c>
      <c r="E290" s="560">
        <v>0</v>
      </c>
      <c r="F290" s="1480">
        <v>0</v>
      </c>
      <c r="G290" s="1480">
        <v>0</v>
      </c>
      <c r="H290" s="1480">
        <f t="shared" si="20"/>
        <v>0</v>
      </c>
      <c r="I290" s="1480">
        <v>0</v>
      </c>
      <c r="J290" s="1480">
        <v>0</v>
      </c>
      <c r="K290" s="1480"/>
      <c r="L290" s="1480"/>
      <c r="M290" s="1480">
        <f t="shared" si="21"/>
        <v>0</v>
      </c>
      <c r="N290" s="1480">
        <f t="shared" si="22"/>
        <v>0</v>
      </c>
      <c r="O290" s="1481">
        <f t="shared" si="18"/>
        <v>0</v>
      </c>
      <c r="P290" s="1427">
        <f t="shared" si="19"/>
        <v>0</v>
      </c>
    </row>
    <row r="291" spans="1:16" ht="31" outlineLevel="1" x14ac:dyDescent="0.25">
      <c r="A291" s="1486" t="s">
        <v>1906</v>
      </c>
      <c r="B291" s="1491" t="s">
        <v>1907</v>
      </c>
      <c r="C291" s="1486" t="s">
        <v>1908</v>
      </c>
      <c r="D291" s="1487">
        <v>45506</v>
      </c>
      <c r="E291" s="560">
        <v>0</v>
      </c>
      <c r="F291" s="1480">
        <v>0</v>
      </c>
      <c r="G291" s="1480">
        <v>0</v>
      </c>
      <c r="H291" s="1480">
        <f t="shared" si="20"/>
        <v>0</v>
      </c>
      <c r="I291" s="1480">
        <v>0</v>
      </c>
      <c r="J291" s="1480">
        <v>0</v>
      </c>
      <c r="K291" s="1480"/>
      <c r="L291" s="1480"/>
      <c r="M291" s="1480">
        <f t="shared" si="21"/>
        <v>0</v>
      </c>
      <c r="N291" s="1480">
        <f t="shared" si="22"/>
        <v>0</v>
      </c>
      <c r="O291" s="1481">
        <f t="shared" si="18"/>
        <v>0</v>
      </c>
      <c r="P291" s="1427">
        <f t="shared" si="19"/>
        <v>0</v>
      </c>
    </row>
    <row r="292" spans="1:16" ht="31" outlineLevel="1" x14ac:dyDescent="0.25">
      <c r="A292" s="1488">
        <v>5.0999999999999996</v>
      </c>
      <c r="B292" s="1492" t="s">
        <v>2436</v>
      </c>
      <c r="C292" s="1488" t="s">
        <v>1908</v>
      </c>
      <c r="D292" s="1413">
        <v>45506</v>
      </c>
      <c r="E292" s="560">
        <v>0</v>
      </c>
      <c r="F292" s="1480">
        <v>0</v>
      </c>
      <c r="G292" s="1480">
        <v>0</v>
      </c>
      <c r="H292" s="1480">
        <f t="shared" si="20"/>
        <v>0</v>
      </c>
      <c r="I292" s="1480">
        <v>0</v>
      </c>
      <c r="J292" s="1480">
        <v>0</v>
      </c>
      <c r="K292" s="1480"/>
      <c r="L292" s="1480"/>
      <c r="M292" s="1480">
        <f t="shared" si="21"/>
        <v>0</v>
      </c>
      <c r="N292" s="1480">
        <f t="shared" si="22"/>
        <v>0</v>
      </c>
      <c r="O292" s="1481">
        <f t="shared" ref="O292:O304" si="23">MAX(0,IF(M292=0,0,IF(G292+M292&lt;E292,M292,E292-G292)))</f>
        <v>0</v>
      </c>
      <c r="P292" s="1427">
        <f t="shared" ref="P292:P304" si="24">M292-O292</f>
        <v>0</v>
      </c>
    </row>
    <row r="293" spans="1:16" ht="31" outlineLevel="1" x14ac:dyDescent="0.25">
      <c r="A293" s="1488">
        <v>5.2</v>
      </c>
      <c r="B293" s="1492" t="s">
        <v>2437</v>
      </c>
      <c r="C293" s="1488" t="s">
        <v>1908</v>
      </c>
      <c r="D293" s="1413">
        <v>45506</v>
      </c>
      <c r="E293" s="560">
        <v>0</v>
      </c>
      <c r="F293" s="1480">
        <v>0</v>
      </c>
      <c r="G293" s="1480">
        <v>0</v>
      </c>
      <c r="H293" s="1480">
        <f t="shared" si="20"/>
        <v>0</v>
      </c>
      <c r="I293" s="1480">
        <v>0</v>
      </c>
      <c r="J293" s="1480">
        <v>0</v>
      </c>
      <c r="K293" s="1480"/>
      <c r="L293" s="1480"/>
      <c r="M293" s="1480">
        <f t="shared" si="21"/>
        <v>0</v>
      </c>
      <c r="N293" s="1480">
        <f t="shared" si="22"/>
        <v>0</v>
      </c>
      <c r="O293" s="1481">
        <f t="shared" si="23"/>
        <v>0</v>
      </c>
      <c r="P293" s="1427">
        <f t="shared" si="24"/>
        <v>0</v>
      </c>
    </row>
    <row r="294" spans="1:16" ht="31" outlineLevel="1" x14ac:dyDescent="0.25">
      <c r="A294" s="1488">
        <v>5.3</v>
      </c>
      <c r="B294" s="1492" t="s">
        <v>2438</v>
      </c>
      <c r="C294" s="1488" t="s">
        <v>1908</v>
      </c>
      <c r="D294" s="1413">
        <v>45506</v>
      </c>
      <c r="E294" s="560">
        <v>0</v>
      </c>
      <c r="F294" s="1480">
        <v>0</v>
      </c>
      <c r="G294" s="1480">
        <v>0</v>
      </c>
      <c r="H294" s="1480">
        <f t="shared" si="20"/>
        <v>0</v>
      </c>
      <c r="I294" s="1480">
        <v>0</v>
      </c>
      <c r="J294" s="1480">
        <v>0</v>
      </c>
      <c r="K294" s="1480"/>
      <c r="L294" s="1480"/>
      <c r="M294" s="1480">
        <f t="shared" si="21"/>
        <v>0</v>
      </c>
      <c r="N294" s="1480">
        <f t="shared" si="22"/>
        <v>0</v>
      </c>
      <c r="O294" s="1481">
        <f t="shared" si="23"/>
        <v>0</v>
      </c>
      <c r="P294" s="1427">
        <f t="shared" si="24"/>
        <v>0</v>
      </c>
    </row>
    <row r="295" spans="1:16" ht="31" outlineLevel="1" x14ac:dyDescent="0.25">
      <c r="A295" s="1488">
        <v>5.4</v>
      </c>
      <c r="B295" s="1492" t="s">
        <v>2439</v>
      </c>
      <c r="C295" s="1488" t="s">
        <v>1908</v>
      </c>
      <c r="D295" s="1413">
        <v>45506</v>
      </c>
      <c r="E295" s="560">
        <v>0</v>
      </c>
      <c r="F295" s="1480">
        <v>0</v>
      </c>
      <c r="G295" s="1480">
        <v>0</v>
      </c>
      <c r="H295" s="1480">
        <f t="shared" si="20"/>
        <v>0</v>
      </c>
      <c r="I295" s="1480">
        <v>0</v>
      </c>
      <c r="J295" s="1480">
        <v>0</v>
      </c>
      <c r="K295" s="1480"/>
      <c r="L295" s="1480"/>
      <c r="M295" s="1480">
        <f t="shared" si="21"/>
        <v>0</v>
      </c>
      <c r="N295" s="1480">
        <f t="shared" si="22"/>
        <v>0</v>
      </c>
      <c r="O295" s="1481">
        <f t="shared" si="23"/>
        <v>0</v>
      </c>
      <c r="P295" s="1427">
        <f t="shared" si="24"/>
        <v>0</v>
      </c>
    </row>
    <row r="296" spans="1:16" ht="46.5" outlineLevel="1" x14ac:dyDescent="0.25">
      <c r="A296" s="1488">
        <v>5.5</v>
      </c>
      <c r="B296" s="1492" t="s">
        <v>2440</v>
      </c>
      <c r="C296" s="1488" t="s">
        <v>1908</v>
      </c>
      <c r="D296" s="1413">
        <v>45506</v>
      </c>
      <c r="E296" s="560">
        <v>0</v>
      </c>
      <c r="F296" s="1480">
        <v>0</v>
      </c>
      <c r="G296" s="1480">
        <v>0</v>
      </c>
      <c r="H296" s="1480">
        <f t="shared" si="20"/>
        <v>0</v>
      </c>
      <c r="I296" s="1480">
        <v>0</v>
      </c>
      <c r="J296" s="1480">
        <v>0</v>
      </c>
      <c r="K296" s="1480"/>
      <c r="L296" s="1480"/>
      <c r="M296" s="1480">
        <f t="shared" si="21"/>
        <v>0</v>
      </c>
      <c r="N296" s="1480">
        <f t="shared" si="22"/>
        <v>0</v>
      </c>
      <c r="O296" s="1481">
        <f t="shared" si="23"/>
        <v>0</v>
      </c>
      <c r="P296" s="1427">
        <f t="shared" si="24"/>
        <v>0</v>
      </c>
    </row>
    <row r="297" spans="1:16" ht="46.5" outlineLevel="1" x14ac:dyDescent="0.25">
      <c r="A297" s="1488">
        <v>5.6</v>
      </c>
      <c r="B297" s="1492" t="s">
        <v>2441</v>
      </c>
      <c r="C297" s="1488" t="s">
        <v>1908</v>
      </c>
      <c r="D297" s="1413">
        <v>45506</v>
      </c>
      <c r="E297" s="560">
        <v>0</v>
      </c>
      <c r="F297" s="1480">
        <v>0</v>
      </c>
      <c r="G297" s="1480">
        <v>0</v>
      </c>
      <c r="H297" s="1480">
        <f t="shared" si="20"/>
        <v>0</v>
      </c>
      <c r="I297" s="1480">
        <v>0</v>
      </c>
      <c r="J297" s="1480">
        <v>0</v>
      </c>
      <c r="K297" s="1480"/>
      <c r="L297" s="1480"/>
      <c r="M297" s="1480">
        <f t="shared" si="21"/>
        <v>0</v>
      </c>
      <c r="N297" s="1480">
        <f t="shared" si="22"/>
        <v>0</v>
      </c>
      <c r="O297" s="1481">
        <f t="shared" si="23"/>
        <v>0</v>
      </c>
      <c r="P297" s="1427">
        <f t="shared" si="24"/>
        <v>0</v>
      </c>
    </row>
    <row r="298" spans="1:16" ht="46.5" outlineLevel="1" x14ac:dyDescent="0.25">
      <c r="A298" s="1488">
        <v>5.7</v>
      </c>
      <c r="B298" s="1492" t="s">
        <v>2442</v>
      </c>
      <c r="C298" s="1488" t="s">
        <v>1908</v>
      </c>
      <c r="D298" s="1413">
        <v>45506</v>
      </c>
      <c r="E298" s="560">
        <v>0</v>
      </c>
      <c r="F298" s="1480">
        <v>0</v>
      </c>
      <c r="G298" s="1480">
        <v>0</v>
      </c>
      <c r="H298" s="1480">
        <f t="shared" si="20"/>
        <v>0</v>
      </c>
      <c r="I298" s="1480">
        <v>0</v>
      </c>
      <c r="J298" s="1480">
        <v>0</v>
      </c>
      <c r="K298" s="1480"/>
      <c r="L298" s="1480"/>
      <c r="M298" s="1480">
        <f t="shared" si="21"/>
        <v>0</v>
      </c>
      <c r="N298" s="1480">
        <f t="shared" si="22"/>
        <v>0</v>
      </c>
      <c r="O298" s="1481">
        <f t="shared" si="23"/>
        <v>0</v>
      </c>
      <c r="P298" s="1427">
        <f t="shared" si="24"/>
        <v>0</v>
      </c>
    </row>
    <row r="299" spans="1:16" ht="31" outlineLevel="1" x14ac:dyDescent="0.25">
      <c r="A299" s="1488">
        <v>0</v>
      </c>
      <c r="B299" s="1492" t="s">
        <v>414</v>
      </c>
      <c r="C299" s="1488" t="s">
        <v>1908</v>
      </c>
      <c r="D299" s="1413">
        <v>45506</v>
      </c>
      <c r="E299" s="560">
        <v>0</v>
      </c>
      <c r="F299" s="1480">
        <v>0</v>
      </c>
      <c r="G299" s="1480">
        <v>0</v>
      </c>
      <c r="H299" s="1480">
        <f t="shared" si="20"/>
        <v>0</v>
      </c>
      <c r="I299" s="1480">
        <v>0</v>
      </c>
      <c r="J299" s="1480">
        <v>0</v>
      </c>
      <c r="K299" s="1480"/>
      <c r="L299" s="1480"/>
      <c r="M299" s="1480">
        <f t="shared" si="21"/>
        <v>0</v>
      </c>
      <c r="N299" s="1480">
        <f t="shared" si="22"/>
        <v>0</v>
      </c>
      <c r="O299" s="1481">
        <f t="shared" si="23"/>
        <v>0</v>
      </c>
      <c r="P299" s="1427">
        <f t="shared" si="24"/>
        <v>0</v>
      </c>
    </row>
    <row r="300" spans="1:16" ht="62" outlineLevel="1" x14ac:dyDescent="0.25">
      <c r="A300" s="1486">
        <v>63</v>
      </c>
      <c r="B300" s="1491" t="s">
        <v>1916</v>
      </c>
      <c r="C300" s="1486" t="s">
        <v>1917</v>
      </c>
      <c r="D300" s="1413">
        <v>45512</v>
      </c>
      <c r="E300" s="560">
        <v>38.4</v>
      </c>
      <c r="F300" s="1480">
        <v>0</v>
      </c>
      <c r="G300" s="1480">
        <v>0</v>
      </c>
      <c r="H300" s="1480">
        <f t="shared" si="20"/>
        <v>0</v>
      </c>
      <c r="I300" s="1480">
        <v>0</v>
      </c>
      <c r="J300" s="1480">
        <v>0</v>
      </c>
      <c r="K300" s="1480"/>
      <c r="L300" s="1480"/>
      <c r="M300" s="1480">
        <f t="shared" si="21"/>
        <v>0</v>
      </c>
      <c r="N300" s="1480">
        <f t="shared" si="22"/>
        <v>0</v>
      </c>
      <c r="O300" s="1481">
        <f t="shared" si="23"/>
        <v>0</v>
      </c>
      <c r="P300" s="1427">
        <f t="shared" si="24"/>
        <v>0</v>
      </c>
    </row>
    <row r="301" spans="1:16" ht="31" outlineLevel="1" x14ac:dyDescent="0.25">
      <c r="A301" s="1488">
        <v>6.1</v>
      </c>
      <c r="B301" s="1492" t="s">
        <v>1918</v>
      </c>
      <c r="C301" s="1488" t="s">
        <v>1917</v>
      </c>
      <c r="D301" s="1413">
        <v>45512</v>
      </c>
      <c r="E301" s="560">
        <v>9.58</v>
      </c>
      <c r="F301" s="1480">
        <v>0</v>
      </c>
      <c r="G301" s="1480">
        <v>0</v>
      </c>
      <c r="H301" s="1480">
        <f t="shared" si="20"/>
        <v>0</v>
      </c>
      <c r="I301" s="1480">
        <v>0</v>
      </c>
      <c r="J301" s="1480">
        <v>0</v>
      </c>
      <c r="K301" s="1480"/>
      <c r="L301" s="1480"/>
      <c r="M301" s="1480">
        <f t="shared" si="21"/>
        <v>0</v>
      </c>
      <c r="N301" s="1480">
        <f t="shared" si="22"/>
        <v>0</v>
      </c>
      <c r="O301" s="1481">
        <f t="shared" si="23"/>
        <v>0</v>
      </c>
      <c r="P301" s="1427">
        <f t="shared" si="24"/>
        <v>0</v>
      </c>
    </row>
    <row r="302" spans="1:16" ht="31" outlineLevel="1" x14ac:dyDescent="0.25">
      <c r="A302" s="1488">
        <v>6.2</v>
      </c>
      <c r="B302" s="1492" t="s">
        <v>1919</v>
      </c>
      <c r="C302" s="1488" t="s">
        <v>1917</v>
      </c>
      <c r="D302" s="1413">
        <v>45512</v>
      </c>
      <c r="E302" s="560">
        <v>2.95</v>
      </c>
      <c r="F302" s="1480">
        <v>0</v>
      </c>
      <c r="G302" s="1480">
        <v>0</v>
      </c>
      <c r="H302" s="1480">
        <f t="shared" si="20"/>
        <v>0</v>
      </c>
      <c r="I302" s="1480">
        <v>0</v>
      </c>
      <c r="J302" s="1480">
        <v>0</v>
      </c>
      <c r="K302" s="1480"/>
      <c r="L302" s="1480"/>
      <c r="M302" s="1480">
        <f t="shared" si="21"/>
        <v>0</v>
      </c>
      <c r="N302" s="1480">
        <f t="shared" si="22"/>
        <v>0</v>
      </c>
      <c r="O302" s="1481">
        <f t="shared" si="23"/>
        <v>0</v>
      </c>
      <c r="P302" s="1427">
        <f t="shared" si="24"/>
        <v>0</v>
      </c>
    </row>
    <row r="303" spans="1:16" ht="31" outlineLevel="1" x14ac:dyDescent="0.25">
      <c r="A303" s="1488">
        <v>6.3</v>
      </c>
      <c r="B303" s="1492" t="s">
        <v>1920</v>
      </c>
      <c r="C303" s="1488" t="s">
        <v>1917</v>
      </c>
      <c r="D303" s="1413">
        <v>45512</v>
      </c>
      <c r="E303" s="560">
        <v>7.95</v>
      </c>
      <c r="F303" s="1480">
        <v>0</v>
      </c>
      <c r="G303" s="1480">
        <v>0</v>
      </c>
      <c r="H303" s="1480">
        <f t="shared" si="20"/>
        <v>0</v>
      </c>
      <c r="I303" s="1480">
        <v>0</v>
      </c>
      <c r="J303" s="1480">
        <v>0</v>
      </c>
      <c r="K303" s="1480"/>
      <c r="L303" s="1480"/>
      <c r="M303" s="1480">
        <f t="shared" si="21"/>
        <v>0</v>
      </c>
      <c r="N303" s="1480">
        <f t="shared" si="22"/>
        <v>0</v>
      </c>
      <c r="O303" s="1481">
        <f t="shared" si="23"/>
        <v>0</v>
      </c>
      <c r="P303" s="1427">
        <f t="shared" si="24"/>
        <v>0</v>
      </c>
    </row>
    <row r="304" spans="1:16" ht="31" outlineLevel="1" x14ac:dyDescent="0.25">
      <c r="A304" s="1488">
        <v>6.4</v>
      </c>
      <c r="B304" s="1492" t="s">
        <v>1921</v>
      </c>
      <c r="C304" s="1488" t="s">
        <v>1917</v>
      </c>
      <c r="D304" s="1413">
        <v>45512</v>
      </c>
      <c r="E304" s="560">
        <v>17.46</v>
      </c>
      <c r="F304" s="1480">
        <v>0</v>
      </c>
      <c r="G304" s="1480">
        <v>0</v>
      </c>
      <c r="H304" s="1480">
        <f t="shared" si="20"/>
        <v>0</v>
      </c>
      <c r="I304" s="1480">
        <v>0</v>
      </c>
      <c r="J304" s="1480">
        <v>0</v>
      </c>
      <c r="K304" s="1480"/>
      <c r="L304" s="1480"/>
      <c r="M304" s="1480">
        <f t="shared" si="21"/>
        <v>0</v>
      </c>
      <c r="N304" s="1480">
        <f t="shared" si="22"/>
        <v>0</v>
      </c>
      <c r="O304" s="1481">
        <f t="shared" si="23"/>
        <v>0</v>
      </c>
      <c r="P304" s="1427">
        <f t="shared" si="24"/>
        <v>0</v>
      </c>
    </row>
    <row r="305" spans="1:16" ht="31" outlineLevel="1" x14ac:dyDescent="0.25">
      <c r="A305" s="1488">
        <v>0</v>
      </c>
      <c r="B305" s="1492" t="s">
        <v>414</v>
      </c>
      <c r="C305" s="1488" t="s">
        <v>1917</v>
      </c>
      <c r="D305" s="1413">
        <v>45512</v>
      </c>
      <c r="E305" s="560">
        <v>0.46</v>
      </c>
      <c r="F305" s="1480">
        <v>0</v>
      </c>
      <c r="G305" s="1480">
        <v>0</v>
      </c>
      <c r="H305" s="1480">
        <f t="shared" si="20"/>
        <v>0</v>
      </c>
      <c r="I305" s="1480">
        <v>0</v>
      </c>
      <c r="J305" s="1480">
        <v>0</v>
      </c>
      <c r="K305" s="1480"/>
      <c r="L305" s="1480"/>
      <c r="M305" s="1480">
        <f t="shared" si="21"/>
        <v>0</v>
      </c>
      <c r="N305" s="1480">
        <f t="shared" si="22"/>
        <v>0</v>
      </c>
      <c r="O305" s="1481"/>
      <c r="P305" s="1427"/>
    </row>
    <row r="306" spans="1:16" ht="46.5" outlineLevel="1" x14ac:dyDescent="0.25">
      <c r="A306" s="1486">
        <v>64</v>
      </c>
      <c r="B306" s="1491" t="s">
        <v>1922</v>
      </c>
      <c r="C306" s="1488" t="s">
        <v>1923</v>
      </c>
      <c r="D306" s="1413">
        <v>45544</v>
      </c>
      <c r="E306" s="560">
        <v>32.549999999999997</v>
      </c>
      <c r="F306" s="1480">
        <v>0</v>
      </c>
      <c r="G306" s="1480">
        <v>0</v>
      </c>
      <c r="H306" s="1480">
        <f t="shared" si="20"/>
        <v>0</v>
      </c>
      <c r="I306" s="1480">
        <v>0</v>
      </c>
      <c r="J306" s="1480">
        <v>0</v>
      </c>
      <c r="K306" s="1480"/>
      <c r="L306" s="1480"/>
      <c r="M306" s="1480">
        <f t="shared" si="21"/>
        <v>0</v>
      </c>
      <c r="N306" s="1480">
        <f t="shared" si="22"/>
        <v>0</v>
      </c>
    </row>
    <row r="307" spans="1:16" ht="46.5" outlineLevel="1" x14ac:dyDescent="0.25">
      <c r="A307" s="1488">
        <v>0</v>
      </c>
      <c r="B307" s="1497" t="s">
        <v>1924</v>
      </c>
      <c r="C307" s="1488" t="s">
        <v>1923</v>
      </c>
      <c r="D307" s="1413">
        <v>45544</v>
      </c>
      <c r="E307" s="560">
        <v>17.61</v>
      </c>
      <c r="F307" s="1480">
        <v>0</v>
      </c>
      <c r="G307" s="1480">
        <v>0</v>
      </c>
      <c r="H307" s="1480">
        <f t="shared" si="20"/>
        <v>0</v>
      </c>
      <c r="I307" s="1480">
        <v>0</v>
      </c>
      <c r="J307" s="1480">
        <v>0</v>
      </c>
      <c r="K307" s="1480"/>
      <c r="L307" s="1480"/>
      <c r="M307" s="1480">
        <f t="shared" si="21"/>
        <v>0</v>
      </c>
      <c r="N307" s="1480">
        <f t="shared" si="22"/>
        <v>0</v>
      </c>
    </row>
    <row r="308" spans="1:16" ht="46.5" outlineLevel="1" x14ac:dyDescent="0.25">
      <c r="A308" s="1488">
        <v>0</v>
      </c>
      <c r="B308" s="1497" t="s">
        <v>1925</v>
      </c>
      <c r="C308" s="1488" t="s">
        <v>1923</v>
      </c>
      <c r="D308" s="1413">
        <v>45544</v>
      </c>
      <c r="E308" s="560">
        <v>14.65</v>
      </c>
      <c r="F308" s="1480">
        <v>0</v>
      </c>
      <c r="G308" s="1480">
        <v>0</v>
      </c>
      <c r="H308" s="1480">
        <f t="shared" si="20"/>
        <v>0</v>
      </c>
      <c r="I308" s="1480">
        <v>0</v>
      </c>
      <c r="J308" s="1480">
        <v>0</v>
      </c>
      <c r="K308" s="1480"/>
      <c r="L308" s="1480"/>
      <c r="M308" s="1480">
        <f t="shared" si="21"/>
        <v>0</v>
      </c>
      <c r="N308" s="1480">
        <f t="shared" si="22"/>
        <v>0</v>
      </c>
    </row>
    <row r="309" spans="1:16" ht="46.5" outlineLevel="1" x14ac:dyDescent="0.25">
      <c r="A309" s="1488">
        <v>0</v>
      </c>
      <c r="B309" s="1497" t="s">
        <v>414</v>
      </c>
      <c r="C309" s="1488" t="s">
        <v>1923</v>
      </c>
      <c r="D309" s="1413">
        <v>45544</v>
      </c>
      <c r="E309" s="560">
        <v>0.28999999999999998</v>
      </c>
      <c r="F309" s="1480">
        <v>0</v>
      </c>
      <c r="G309" s="1480">
        <v>0</v>
      </c>
      <c r="H309" s="1480">
        <f t="shared" si="20"/>
        <v>0</v>
      </c>
      <c r="I309" s="1480">
        <v>0</v>
      </c>
      <c r="J309" s="1480">
        <v>0</v>
      </c>
      <c r="K309" s="1480"/>
      <c r="L309" s="1480"/>
      <c r="M309" s="1480">
        <f t="shared" si="21"/>
        <v>0</v>
      </c>
      <c r="N309" s="1480">
        <f t="shared" si="22"/>
        <v>0</v>
      </c>
    </row>
    <row r="310" spans="1:16" ht="15.5" outlineLevel="1" x14ac:dyDescent="0.25">
      <c r="A310" s="1498">
        <v>0</v>
      </c>
      <c r="B310" s="1492">
        <v>0</v>
      </c>
      <c r="C310" s="1498">
        <v>0</v>
      </c>
      <c r="D310" s="1499" t="s">
        <v>1873</v>
      </c>
      <c r="E310" s="560">
        <v>0</v>
      </c>
      <c r="F310" s="1480">
        <v>0</v>
      </c>
      <c r="G310" s="1480">
        <v>0</v>
      </c>
      <c r="H310" s="1480">
        <f t="shared" si="20"/>
        <v>0</v>
      </c>
      <c r="I310" s="1480">
        <v>0</v>
      </c>
      <c r="J310" s="1480">
        <v>0</v>
      </c>
      <c r="K310" s="1480"/>
      <c r="L310" s="1480"/>
      <c r="M310" s="1480">
        <f t="shared" si="21"/>
        <v>0</v>
      </c>
      <c r="N310" s="1480">
        <f t="shared" si="22"/>
        <v>0</v>
      </c>
    </row>
    <row r="311" spans="1:16" ht="15.5" outlineLevel="1" x14ac:dyDescent="0.25">
      <c r="A311" s="1498">
        <v>0</v>
      </c>
      <c r="B311" s="1492">
        <v>0</v>
      </c>
      <c r="C311" s="1498">
        <v>0</v>
      </c>
      <c r="D311" s="1499" t="s">
        <v>1873</v>
      </c>
      <c r="E311" s="560">
        <v>0</v>
      </c>
      <c r="F311" s="1480">
        <v>0</v>
      </c>
      <c r="G311" s="1480">
        <v>0</v>
      </c>
      <c r="H311" s="1480">
        <f t="shared" si="20"/>
        <v>0</v>
      </c>
      <c r="I311" s="1480">
        <v>0</v>
      </c>
      <c r="J311" s="1480">
        <v>0</v>
      </c>
      <c r="K311" s="1480"/>
      <c r="L311" s="1480"/>
      <c r="M311" s="1480">
        <f t="shared" si="21"/>
        <v>0</v>
      </c>
      <c r="N311" s="1480">
        <f t="shared" si="22"/>
        <v>0</v>
      </c>
      <c r="O311" s="1481"/>
      <c r="P311" s="1427"/>
    </row>
    <row r="312" spans="1:16" ht="15.5" outlineLevel="1" x14ac:dyDescent="0.25">
      <c r="A312" s="1500">
        <v>0</v>
      </c>
      <c r="B312" s="1483">
        <v>0</v>
      </c>
      <c r="C312" s="1500">
        <v>0</v>
      </c>
      <c r="D312" s="1501" t="s">
        <v>1873</v>
      </c>
      <c r="E312" s="560">
        <v>0</v>
      </c>
      <c r="F312" s="1480">
        <v>0</v>
      </c>
      <c r="G312" s="1480">
        <v>0</v>
      </c>
      <c r="H312" s="1480">
        <f t="shared" si="20"/>
        <v>0</v>
      </c>
      <c r="I312" s="1480">
        <v>0</v>
      </c>
      <c r="J312" s="1480">
        <v>0</v>
      </c>
      <c r="K312" s="1480"/>
      <c r="L312" s="1480"/>
      <c r="M312" s="1480">
        <f t="shared" si="21"/>
        <v>0</v>
      </c>
      <c r="N312" s="1480">
        <f t="shared" si="22"/>
        <v>0</v>
      </c>
    </row>
    <row r="313" spans="1:16" ht="15.5" outlineLevel="1" x14ac:dyDescent="0.25">
      <c r="A313" s="131">
        <v>0</v>
      </c>
      <c r="B313" s="1476" t="s">
        <v>1926</v>
      </c>
      <c r="C313" s="166">
        <v>0</v>
      </c>
      <c r="D313" s="1413" t="s">
        <v>1873</v>
      </c>
      <c r="E313" s="560">
        <v>0</v>
      </c>
      <c r="F313" s="1480">
        <v>0</v>
      </c>
      <c r="G313" s="1480">
        <v>0</v>
      </c>
      <c r="H313" s="1480">
        <f t="shared" si="20"/>
        <v>0</v>
      </c>
      <c r="I313" s="1480">
        <v>0</v>
      </c>
      <c r="J313" s="1480">
        <v>0</v>
      </c>
      <c r="K313" s="1480"/>
      <c r="L313" s="1480"/>
      <c r="M313" s="1480">
        <f t="shared" si="21"/>
        <v>0</v>
      </c>
      <c r="N313" s="1480">
        <f t="shared" si="22"/>
        <v>0</v>
      </c>
    </row>
    <row r="314" spans="1:16" ht="93" outlineLevel="1" x14ac:dyDescent="0.25">
      <c r="A314" s="1486" t="s">
        <v>1927</v>
      </c>
      <c r="B314" s="1491" t="s">
        <v>1928</v>
      </c>
      <c r="C314" s="1486" t="s">
        <v>1929</v>
      </c>
      <c r="D314" s="1487" t="s">
        <v>1873</v>
      </c>
      <c r="E314" s="560">
        <v>0</v>
      </c>
      <c r="F314" s="1480">
        <v>0</v>
      </c>
      <c r="G314" s="1480">
        <v>0</v>
      </c>
      <c r="H314" s="1480">
        <f t="shared" si="20"/>
        <v>0</v>
      </c>
      <c r="I314" s="1480">
        <v>0</v>
      </c>
      <c r="J314" s="1480">
        <v>0</v>
      </c>
      <c r="K314" s="1480"/>
      <c r="L314" s="1480"/>
      <c r="M314" s="1480">
        <f t="shared" si="21"/>
        <v>0</v>
      </c>
      <c r="N314" s="1480">
        <f t="shared" si="22"/>
        <v>0</v>
      </c>
      <c r="O314" s="1481"/>
      <c r="P314" s="1427"/>
    </row>
    <row r="315" spans="1:16" ht="15.5" outlineLevel="1" x14ac:dyDescent="0.25">
      <c r="A315" s="1488">
        <v>0</v>
      </c>
      <c r="B315" s="1497" t="s">
        <v>1930</v>
      </c>
      <c r="C315" s="1488" t="s">
        <v>1929</v>
      </c>
      <c r="D315" s="1413" t="s">
        <v>1873</v>
      </c>
      <c r="E315" s="560">
        <v>0</v>
      </c>
      <c r="F315" s="1480">
        <v>0</v>
      </c>
      <c r="G315" s="1480">
        <v>0</v>
      </c>
      <c r="H315" s="1480">
        <f t="shared" si="20"/>
        <v>0</v>
      </c>
      <c r="I315" s="1480">
        <v>0</v>
      </c>
      <c r="J315" s="1480">
        <v>0</v>
      </c>
      <c r="K315" s="1480"/>
      <c r="L315" s="1480"/>
      <c r="M315" s="1480">
        <f t="shared" si="21"/>
        <v>0</v>
      </c>
      <c r="N315" s="1480">
        <f t="shared" si="22"/>
        <v>0</v>
      </c>
    </row>
    <row r="316" spans="1:16" ht="31" outlineLevel="1" x14ac:dyDescent="0.25">
      <c r="A316" s="1488">
        <v>0</v>
      </c>
      <c r="B316" s="1497" t="s">
        <v>1933</v>
      </c>
      <c r="C316" s="1488" t="s">
        <v>1929</v>
      </c>
      <c r="D316" s="1413" t="s">
        <v>1873</v>
      </c>
      <c r="E316" s="560">
        <v>0</v>
      </c>
      <c r="F316" s="1480">
        <v>0</v>
      </c>
      <c r="G316" s="1480">
        <v>0</v>
      </c>
      <c r="H316" s="1480">
        <f t="shared" si="20"/>
        <v>0</v>
      </c>
      <c r="I316" s="1480">
        <v>0</v>
      </c>
      <c r="J316" s="1480">
        <v>0</v>
      </c>
      <c r="K316" s="1480"/>
      <c r="L316" s="1480"/>
      <c r="M316" s="1480">
        <f t="shared" si="21"/>
        <v>0</v>
      </c>
      <c r="N316" s="1480">
        <f t="shared" si="22"/>
        <v>0</v>
      </c>
    </row>
    <row r="317" spans="1:16" ht="15.5" outlineLevel="1" x14ac:dyDescent="0.25">
      <c r="A317" s="1488">
        <v>0</v>
      </c>
      <c r="B317" s="1497" t="s">
        <v>1935</v>
      </c>
      <c r="C317" s="1488" t="s">
        <v>1929</v>
      </c>
      <c r="D317" s="1413" t="s">
        <v>1873</v>
      </c>
      <c r="E317" s="560">
        <v>0</v>
      </c>
      <c r="F317" s="1480">
        <v>0</v>
      </c>
      <c r="G317" s="1480">
        <v>0</v>
      </c>
      <c r="H317" s="1480">
        <f t="shared" si="20"/>
        <v>0</v>
      </c>
      <c r="I317" s="1480">
        <v>0</v>
      </c>
      <c r="J317" s="1480">
        <v>0</v>
      </c>
      <c r="K317" s="1480"/>
      <c r="L317" s="1480"/>
      <c r="M317" s="1480">
        <f t="shared" si="21"/>
        <v>0</v>
      </c>
      <c r="N317" s="1480">
        <f t="shared" si="22"/>
        <v>0</v>
      </c>
    </row>
    <row r="318" spans="1:16" ht="31" outlineLevel="1" x14ac:dyDescent="0.25">
      <c r="A318" s="1488">
        <v>0</v>
      </c>
      <c r="B318" s="1497" t="s">
        <v>1936</v>
      </c>
      <c r="C318" s="1488" t="s">
        <v>1929</v>
      </c>
      <c r="D318" s="1413" t="s">
        <v>1873</v>
      </c>
      <c r="E318" s="560">
        <v>0</v>
      </c>
      <c r="F318" s="1480">
        <v>0</v>
      </c>
      <c r="G318" s="1480">
        <v>0</v>
      </c>
      <c r="H318" s="1480">
        <f t="shared" si="20"/>
        <v>0</v>
      </c>
      <c r="I318" s="1480">
        <v>0</v>
      </c>
      <c r="J318" s="1480">
        <v>0</v>
      </c>
      <c r="K318" s="1480"/>
      <c r="L318" s="1480"/>
      <c r="M318" s="1480">
        <f t="shared" si="21"/>
        <v>0</v>
      </c>
      <c r="N318" s="1480">
        <f t="shared" si="22"/>
        <v>0</v>
      </c>
    </row>
    <row r="319" spans="1:16" ht="15.5" outlineLevel="1" x14ac:dyDescent="0.25">
      <c r="A319" s="1488">
        <v>0</v>
      </c>
      <c r="B319" s="1497" t="s">
        <v>414</v>
      </c>
      <c r="C319" s="1488" t="s">
        <v>1929</v>
      </c>
      <c r="D319" s="1413" t="s">
        <v>1873</v>
      </c>
      <c r="E319" s="560">
        <v>0</v>
      </c>
      <c r="F319" s="1480">
        <v>0</v>
      </c>
      <c r="G319" s="1480">
        <v>0</v>
      </c>
      <c r="H319" s="1480">
        <f t="shared" si="20"/>
        <v>0</v>
      </c>
      <c r="I319" s="1480">
        <v>0</v>
      </c>
      <c r="J319" s="1480">
        <v>0</v>
      </c>
      <c r="K319" s="1480"/>
      <c r="L319" s="1480"/>
      <c r="M319" s="1480">
        <f t="shared" si="21"/>
        <v>0</v>
      </c>
      <c r="N319" s="1480">
        <f t="shared" si="22"/>
        <v>0</v>
      </c>
      <c r="O319" s="1481"/>
      <c r="P319" s="1427"/>
    </row>
    <row r="320" spans="1:16" ht="62" outlineLevel="1" x14ac:dyDescent="0.25">
      <c r="A320" s="1486" t="s">
        <v>1937</v>
      </c>
      <c r="B320" s="1491" t="s">
        <v>1938</v>
      </c>
      <c r="C320" s="1486" t="s">
        <v>1929</v>
      </c>
      <c r="D320" s="1413" t="s">
        <v>1873</v>
      </c>
      <c r="E320" s="560">
        <v>0</v>
      </c>
      <c r="F320" s="1480">
        <v>0</v>
      </c>
      <c r="G320" s="1480">
        <v>0</v>
      </c>
      <c r="H320" s="1480">
        <f t="shared" si="20"/>
        <v>0</v>
      </c>
      <c r="I320" s="1480">
        <v>0</v>
      </c>
      <c r="J320" s="1480">
        <v>0</v>
      </c>
      <c r="K320" s="1480"/>
      <c r="L320" s="1480"/>
      <c r="M320" s="1480">
        <f t="shared" si="21"/>
        <v>0</v>
      </c>
      <c r="N320" s="1480">
        <f t="shared" si="22"/>
        <v>0</v>
      </c>
    </row>
    <row r="321" spans="1:16" ht="46.5" outlineLevel="1" x14ac:dyDescent="0.25">
      <c r="A321" s="1488">
        <v>0</v>
      </c>
      <c r="B321" s="1497" t="s">
        <v>1939</v>
      </c>
      <c r="C321" s="1488" t="s">
        <v>1929</v>
      </c>
      <c r="D321" s="1413" t="s">
        <v>1873</v>
      </c>
      <c r="E321" s="560">
        <v>0</v>
      </c>
      <c r="F321" s="1480">
        <v>0</v>
      </c>
      <c r="G321" s="1480">
        <v>0</v>
      </c>
      <c r="H321" s="1480">
        <f t="shared" si="20"/>
        <v>0</v>
      </c>
      <c r="I321" s="1480">
        <v>0</v>
      </c>
      <c r="J321" s="1480">
        <v>0</v>
      </c>
      <c r="K321" s="1480"/>
      <c r="L321" s="1480"/>
      <c r="M321" s="1480">
        <f t="shared" si="21"/>
        <v>0</v>
      </c>
      <c r="N321" s="1480">
        <f t="shared" si="22"/>
        <v>0</v>
      </c>
    </row>
    <row r="322" spans="1:16" ht="62" outlineLevel="1" x14ac:dyDescent="0.25">
      <c r="A322" s="1488">
        <v>0</v>
      </c>
      <c r="B322" s="1497" t="s">
        <v>1940</v>
      </c>
      <c r="C322" s="1488" t="s">
        <v>1929</v>
      </c>
      <c r="D322" s="1413" t="s">
        <v>1873</v>
      </c>
      <c r="E322" s="560">
        <v>0</v>
      </c>
      <c r="F322" s="1480">
        <v>0</v>
      </c>
      <c r="G322" s="1480">
        <v>0</v>
      </c>
      <c r="H322" s="1480">
        <f t="shared" si="20"/>
        <v>0</v>
      </c>
      <c r="I322" s="1480">
        <v>0</v>
      </c>
      <c r="J322" s="1480">
        <v>0</v>
      </c>
      <c r="K322" s="1480"/>
      <c r="L322" s="1480"/>
      <c r="M322" s="1480">
        <f t="shared" si="21"/>
        <v>0</v>
      </c>
      <c r="N322" s="1480">
        <f t="shared" si="22"/>
        <v>0</v>
      </c>
    </row>
    <row r="323" spans="1:16" ht="15.5" outlineLevel="1" x14ac:dyDescent="0.25">
      <c r="A323" s="1488">
        <v>0</v>
      </c>
      <c r="B323" s="1497" t="s">
        <v>414</v>
      </c>
      <c r="C323" s="1488" t="s">
        <v>1929</v>
      </c>
      <c r="D323" s="1413" t="s">
        <v>1873</v>
      </c>
      <c r="E323" s="560">
        <v>0</v>
      </c>
      <c r="F323" s="1480">
        <v>0</v>
      </c>
      <c r="G323" s="1480">
        <v>0</v>
      </c>
      <c r="H323" s="1480">
        <f t="shared" si="20"/>
        <v>0</v>
      </c>
      <c r="I323" s="1480">
        <v>0</v>
      </c>
      <c r="J323" s="1480">
        <v>0</v>
      </c>
      <c r="K323" s="1480"/>
      <c r="L323" s="1480"/>
      <c r="M323" s="1480">
        <f t="shared" si="21"/>
        <v>0</v>
      </c>
      <c r="N323" s="1480">
        <f t="shared" si="22"/>
        <v>0</v>
      </c>
    </row>
    <row r="324" spans="1:16" ht="62" outlineLevel="1" x14ac:dyDescent="0.25">
      <c r="A324" s="1486" t="s">
        <v>1941</v>
      </c>
      <c r="B324" s="1491" t="s">
        <v>1942</v>
      </c>
      <c r="C324" s="1486" t="s">
        <v>1929</v>
      </c>
      <c r="D324" s="1413" t="s">
        <v>1873</v>
      </c>
      <c r="E324" s="560">
        <v>0</v>
      </c>
      <c r="F324" s="1480">
        <v>0</v>
      </c>
      <c r="G324" s="1480">
        <v>0</v>
      </c>
      <c r="H324" s="1480">
        <f t="shared" si="20"/>
        <v>0</v>
      </c>
      <c r="I324" s="1480">
        <v>0</v>
      </c>
      <c r="J324" s="1480">
        <v>0</v>
      </c>
      <c r="K324" s="1480"/>
      <c r="L324" s="1480"/>
      <c r="M324" s="1480">
        <f t="shared" si="21"/>
        <v>0</v>
      </c>
      <c r="N324" s="1480">
        <f t="shared" si="22"/>
        <v>0</v>
      </c>
    </row>
    <row r="325" spans="1:16" ht="46.5" outlineLevel="1" x14ac:dyDescent="0.25">
      <c r="A325" s="1488">
        <v>0</v>
      </c>
      <c r="B325" s="1497" t="s">
        <v>1943</v>
      </c>
      <c r="C325" s="1488" t="s">
        <v>1929</v>
      </c>
      <c r="D325" s="1413" t="s">
        <v>1873</v>
      </c>
      <c r="E325" s="560">
        <v>0</v>
      </c>
      <c r="F325" s="1480">
        <v>0</v>
      </c>
      <c r="G325" s="1480">
        <v>0</v>
      </c>
      <c r="H325" s="1480">
        <f t="shared" si="20"/>
        <v>0</v>
      </c>
      <c r="I325" s="1480">
        <v>0</v>
      </c>
      <c r="J325" s="1480">
        <v>0</v>
      </c>
      <c r="K325" s="1480"/>
      <c r="L325" s="1480"/>
      <c r="M325" s="1480">
        <f t="shared" si="21"/>
        <v>0</v>
      </c>
      <c r="N325" s="1480">
        <f t="shared" si="22"/>
        <v>0</v>
      </c>
    </row>
    <row r="326" spans="1:16" ht="46.5" outlineLevel="1" x14ac:dyDescent="0.25">
      <c r="A326" s="1488">
        <v>0</v>
      </c>
      <c r="B326" s="1497" t="s">
        <v>1944</v>
      </c>
      <c r="C326" s="1488" t="s">
        <v>1929</v>
      </c>
      <c r="D326" s="1413" t="s">
        <v>1873</v>
      </c>
      <c r="E326" s="560">
        <v>0</v>
      </c>
      <c r="F326" s="1480">
        <v>0</v>
      </c>
      <c r="G326" s="1480">
        <v>0</v>
      </c>
      <c r="H326" s="1480">
        <f t="shared" si="20"/>
        <v>0</v>
      </c>
      <c r="I326" s="1480">
        <v>0</v>
      </c>
      <c r="J326" s="1480">
        <v>0</v>
      </c>
      <c r="K326" s="1480"/>
      <c r="L326" s="1480"/>
      <c r="M326" s="1480">
        <f t="shared" si="21"/>
        <v>0</v>
      </c>
      <c r="N326" s="1480">
        <f t="shared" si="22"/>
        <v>0</v>
      </c>
      <c r="O326" s="1481"/>
      <c r="P326" s="1427"/>
    </row>
    <row r="327" spans="1:16" ht="15.5" outlineLevel="1" x14ac:dyDescent="0.25">
      <c r="A327" s="1488">
        <v>0</v>
      </c>
      <c r="B327" s="1497" t="s">
        <v>414</v>
      </c>
      <c r="C327" s="1488" t="s">
        <v>1929</v>
      </c>
      <c r="D327" s="1413" t="s">
        <v>1873</v>
      </c>
      <c r="E327" s="560">
        <v>0</v>
      </c>
      <c r="F327" s="1480">
        <v>0</v>
      </c>
      <c r="G327" s="1480">
        <v>0</v>
      </c>
      <c r="H327" s="1480">
        <f t="shared" si="20"/>
        <v>0</v>
      </c>
      <c r="I327" s="1480">
        <v>0</v>
      </c>
      <c r="J327" s="1480">
        <v>0</v>
      </c>
      <c r="K327" s="1480"/>
      <c r="L327" s="1480"/>
      <c r="M327" s="1480">
        <f t="shared" si="21"/>
        <v>0</v>
      </c>
      <c r="N327" s="1480">
        <f t="shared" si="22"/>
        <v>0</v>
      </c>
    </row>
    <row r="328" spans="1:16" ht="46.5" outlineLevel="1" x14ac:dyDescent="0.25">
      <c r="A328" s="1486" t="s">
        <v>1945</v>
      </c>
      <c r="B328" s="1491" t="s">
        <v>1946</v>
      </c>
      <c r="C328" s="1486" t="s">
        <v>1929</v>
      </c>
      <c r="D328" s="1413" t="s">
        <v>1873</v>
      </c>
      <c r="E328" s="560">
        <v>0</v>
      </c>
      <c r="F328" s="1480">
        <v>0</v>
      </c>
      <c r="G328" s="1480">
        <v>0</v>
      </c>
      <c r="H328" s="1480">
        <f t="shared" si="20"/>
        <v>0</v>
      </c>
      <c r="I328" s="1480">
        <v>0</v>
      </c>
      <c r="J328" s="1480">
        <v>0</v>
      </c>
      <c r="K328" s="1480"/>
      <c r="L328" s="1480"/>
      <c r="M328" s="1480">
        <f t="shared" si="21"/>
        <v>0</v>
      </c>
      <c r="N328" s="1480">
        <f t="shared" si="22"/>
        <v>0</v>
      </c>
      <c r="O328" s="1481"/>
      <c r="P328" s="1427"/>
    </row>
    <row r="329" spans="1:16" ht="31" outlineLevel="1" x14ac:dyDescent="0.25">
      <c r="A329" s="1488">
        <v>0</v>
      </c>
      <c r="B329" s="1497" t="s">
        <v>1947</v>
      </c>
      <c r="C329" s="1488" t="s">
        <v>1929</v>
      </c>
      <c r="D329" s="1413" t="s">
        <v>1873</v>
      </c>
      <c r="E329" s="560">
        <v>0</v>
      </c>
      <c r="F329" s="1480">
        <v>0</v>
      </c>
      <c r="G329" s="1480">
        <v>0</v>
      </c>
      <c r="H329" s="1480">
        <f t="shared" si="20"/>
        <v>0</v>
      </c>
      <c r="I329" s="1480">
        <v>0</v>
      </c>
      <c r="J329" s="1480">
        <v>0</v>
      </c>
      <c r="K329" s="1480"/>
      <c r="L329" s="1480"/>
      <c r="M329" s="1480">
        <f t="shared" si="21"/>
        <v>0</v>
      </c>
      <c r="N329" s="1480">
        <f t="shared" si="22"/>
        <v>0</v>
      </c>
    </row>
    <row r="330" spans="1:16" ht="46.5" outlineLevel="1" x14ac:dyDescent="0.25">
      <c r="A330" s="1488">
        <v>0</v>
      </c>
      <c r="B330" s="1497" t="s">
        <v>1948</v>
      </c>
      <c r="C330" s="1488" t="s">
        <v>1929</v>
      </c>
      <c r="D330" s="1413" t="s">
        <v>1873</v>
      </c>
      <c r="E330" s="560">
        <v>0</v>
      </c>
      <c r="F330" s="1480">
        <v>0</v>
      </c>
      <c r="G330" s="1480">
        <v>0</v>
      </c>
      <c r="H330" s="1480">
        <f t="shared" si="20"/>
        <v>0</v>
      </c>
      <c r="I330" s="1480">
        <v>0</v>
      </c>
      <c r="J330" s="1480">
        <v>0</v>
      </c>
      <c r="K330" s="1480"/>
      <c r="L330" s="1480"/>
      <c r="M330" s="1480">
        <f t="shared" si="21"/>
        <v>0</v>
      </c>
      <c r="N330" s="1480">
        <f t="shared" si="22"/>
        <v>0</v>
      </c>
      <c r="O330" s="1481"/>
      <c r="P330" s="1427"/>
    </row>
    <row r="331" spans="1:16" ht="31" outlineLevel="1" x14ac:dyDescent="0.25">
      <c r="A331" s="1488">
        <v>0</v>
      </c>
      <c r="B331" s="1497" t="s">
        <v>1949</v>
      </c>
      <c r="C331" s="1488" t="s">
        <v>1929</v>
      </c>
      <c r="D331" s="1413" t="s">
        <v>1873</v>
      </c>
      <c r="E331" s="560">
        <v>0</v>
      </c>
      <c r="F331" s="1480">
        <v>0</v>
      </c>
      <c r="G331" s="1480">
        <v>0</v>
      </c>
      <c r="H331" s="1480">
        <f t="shared" ref="H331:H394" si="25">F331-G331</f>
        <v>0</v>
      </c>
      <c r="I331" s="1480">
        <v>0</v>
      </c>
      <c r="J331" s="1480">
        <v>0</v>
      </c>
      <c r="K331" s="1480"/>
      <c r="L331" s="1480"/>
      <c r="M331" s="1480">
        <f t="shared" ref="M331:M394" si="26">SUM(J331:L331)</f>
        <v>0</v>
      </c>
      <c r="N331" s="1480">
        <f t="shared" ref="N331:N394" si="27">H331+I331-M331</f>
        <v>0</v>
      </c>
    </row>
    <row r="332" spans="1:16" ht="31" outlineLevel="1" x14ac:dyDescent="0.25">
      <c r="A332" s="1488">
        <v>0</v>
      </c>
      <c r="B332" s="1497" t="s">
        <v>1950</v>
      </c>
      <c r="C332" s="1488" t="s">
        <v>1929</v>
      </c>
      <c r="D332" s="1413" t="s">
        <v>1873</v>
      </c>
      <c r="E332" s="560">
        <v>0</v>
      </c>
      <c r="F332" s="1480">
        <v>0</v>
      </c>
      <c r="G332" s="1480">
        <v>0</v>
      </c>
      <c r="H332" s="1480">
        <f t="shared" si="25"/>
        <v>0</v>
      </c>
      <c r="I332" s="1480">
        <v>0</v>
      </c>
      <c r="J332" s="1480">
        <v>0</v>
      </c>
      <c r="K332" s="1480"/>
      <c r="L332" s="1480"/>
      <c r="M332" s="1480">
        <f t="shared" si="26"/>
        <v>0</v>
      </c>
      <c r="N332" s="1480">
        <f t="shared" si="27"/>
        <v>0</v>
      </c>
      <c r="O332" s="1481"/>
      <c r="P332" s="1427"/>
    </row>
    <row r="333" spans="1:16" ht="31" outlineLevel="1" x14ac:dyDescent="0.25">
      <c r="A333" s="1488">
        <v>0</v>
      </c>
      <c r="B333" s="1497" t="s">
        <v>1951</v>
      </c>
      <c r="C333" s="1488" t="s">
        <v>1929</v>
      </c>
      <c r="D333" s="1413" t="s">
        <v>1873</v>
      </c>
      <c r="E333" s="560">
        <v>0</v>
      </c>
      <c r="F333" s="1480">
        <v>0</v>
      </c>
      <c r="G333" s="1480">
        <v>0</v>
      </c>
      <c r="H333" s="1480">
        <f t="shared" si="25"/>
        <v>0</v>
      </c>
      <c r="I333" s="1480">
        <v>0</v>
      </c>
      <c r="J333" s="1480">
        <v>0</v>
      </c>
      <c r="K333" s="1480"/>
      <c r="L333" s="1480"/>
      <c r="M333" s="1480">
        <f t="shared" si="26"/>
        <v>0</v>
      </c>
      <c r="N333" s="1480">
        <f t="shared" si="27"/>
        <v>0</v>
      </c>
    </row>
    <row r="334" spans="1:16" ht="15.5" outlineLevel="1" x14ac:dyDescent="0.25">
      <c r="A334" s="1488">
        <v>0</v>
      </c>
      <c r="B334" s="1497" t="s">
        <v>414</v>
      </c>
      <c r="C334" s="1488" t="s">
        <v>1929</v>
      </c>
      <c r="D334" s="1413" t="s">
        <v>1873</v>
      </c>
      <c r="E334" s="560">
        <v>0</v>
      </c>
      <c r="F334" s="1480">
        <v>0</v>
      </c>
      <c r="G334" s="1480">
        <v>0</v>
      </c>
      <c r="H334" s="1480">
        <f t="shared" si="25"/>
        <v>0</v>
      </c>
      <c r="I334" s="1480">
        <v>0</v>
      </c>
      <c r="J334" s="1480">
        <v>0</v>
      </c>
      <c r="K334" s="1480"/>
      <c r="L334" s="1480"/>
      <c r="M334" s="1480">
        <f t="shared" si="26"/>
        <v>0</v>
      </c>
      <c r="N334" s="1480">
        <f t="shared" si="27"/>
        <v>0</v>
      </c>
      <c r="O334" s="1481"/>
      <c r="P334" s="1427"/>
    </row>
    <row r="335" spans="1:16" ht="46.5" outlineLevel="1" x14ac:dyDescent="0.25">
      <c r="A335" s="1486" t="s">
        <v>1952</v>
      </c>
      <c r="B335" s="1491" t="s">
        <v>1953</v>
      </c>
      <c r="C335" s="1486" t="s">
        <v>1929</v>
      </c>
      <c r="D335" s="1413" t="s">
        <v>1873</v>
      </c>
      <c r="E335" s="560">
        <v>0</v>
      </c>
      <c r="F335" s="1480">
        <v>0</v>
      </c>
      <c r="G335" s="1480">
        <v>0</v>
      </c>
      <c r="H335" s="1480">
        <f t="shared" si="25"/>
        <v>0</v>
      </c>
      <c r="I335" s="1480">
        <v>0</v>
      </c>
      <c r="J335" s="1480">
        <v>0</v>
      </c>
      <c r="K335" s="1480"/>
      <c r="L335" s="1480"/>
      <c r="M335" s="1480">
        <f t="shared" si="26"/>
        <v>0</v>
      </c>
      <c r="N335" s="1480">
        <f t="shared" si="27"/>
        <v>0</v>
      </c>
    </row>
    <row r="336" spans="1:16" ht="46.5" outlineLevel="1" x14ac:dyDescent="0.25">
      <c r="A336" s="1488">
        <v>0</v>
      </c>
      <c r="B336" s="1497" t="s">
        <v>1954</v>
      </c>
      <c r="C336" s="1488" t="s">
        <v>1929</v>
      </c>
      <c r="D336" s="1413" t="s">
        <v>1873</v>
      </c>
      <c r="E336" s="560">
        <v>0</v>
      </c>
      <c r="F336" s="1480">
        <v>0</v>
      </c>
      <c r="G336" s="1480">
        <v>0</v>
      </c>
      <c r="H336" s="1480">
        <f t="shared" si="25"/>
        <v>0</v>
      </c>
      <c r="I336" s="1480">
        <v>0</v>
      </c>
      <c r="J336" s="1480">
        <v>0</v>
      </c>
      <c r="K336" s="1480"/>
      <c r="L336" s="1480"/>
      <c r="M336" s="1480">
        <f t="shared" si="26"/>
        <v>0</v>
      </c>
      <c r="N336" s="1480">
        <f t="shared" si="27"/>
        <v>0</v>
      </c>
      <c r="O336" s="1481"/>
      <c r="P336" s="1427"/>
    </row>
    <row r="337" spans="1:16" ht="15.5" outlineLevel="1" x14ac:dyDescent="0.25">
      <c r="A337" s="1488">
        <v>0</v>
      </c>
      <c r="B337" s="1497" t="s">
        <v>1955</v>
      </c>
      <c r="C337" s="1488" t="s">
        <v>1929</v>
      </c>
      <c r="D337" s="1413" t="s">
        <v>1873</v>
      </c>
      <c r="E337" s="560">
        <v>0</v>
      </c>
      <c r="F337" s="1480">
        <v>0</v>
      </c>
      <c r="G337" s="1480">
        <v>0</v>
      </c>
      <c r="H337" s="1480">
        <f t="shared" si="25"/>
        <v>0</v>
      </c>
      <c r="I337" s="1480">
        <v>0</v>
      </c>
      <c r="J337" s="1480">
        <v>0</v>
      </c>
      <c r="K337" s="1480"/>
      <c r="L337" s="1480"/>
      <c r="M337" s="1480">
        <f t="shared" si="26"/>
        <v>0</v>
      </c>
      <c r="N337" s="1480">
        <f t="shared" si="27"/>
        <v>0</v>
      </c>
    </row>
    <row r="338" spans="1:16" ht="46.5" outlineLevel="1" x14ac:dyDescent="0.25">
      <c r="A338" s="1488">
        <v>0</v>
      </c>
      <c r="B338" s="1497" t="s">
        <v>1956</v>
      </c>
      <c r="C338" s="1488" t="s">
        <v>1929</v>
      </c>
      <c r="D338" s="1413" t="s">
        <v>1873</v>
      </c>
      <c r="E338" s="560">
        <v>0</v>
      </c>
      <c r="F338" s="1480">
        <v>0</v>
      </c>
      <c r="G338" s="1480">
        <v>0</v>
      </c>
      <c r="H338" s="1480">
        <f t="shared" si="25"/>
        <v>0</v>
      </c>
      <c r="I338" s="1480">
        <v>0</v>
      </c>
      <c r="J338" s="1480">
        <v>0</v>
      </c>
      <c r="K338" s="1480"/>
      <c r="L338" s="1480"/>
      <c r="M338" s="1480">
        <f t="shared" si="26"/>
        <v>0</v>
      </c>
      <c r="N338" s="1480">
        <f t="shared" si="27"/>
        <v>0</v>
      </c>
      <c r="O338" s="1481"/>
      <c r="P338" s="1427"/>
    </row>
    <row r="339" spans="1:16" ht="31" outlineLevel="1" x14ac:dyDescent="0.25">
      <c r="A339" s="1488">
        <v>0</v>
      </c>
      <c r="B339" s="1497" t="s">
        <v>1957</v>
      </c>
      <c r="C339" s="1488" t="s">
        <v>1929</v>
      </c>
      <c r="D339" s="1413" t="s">
        <v>1873</v>
      </c>
      <c r="E339" s="560">
        <v>0</v>
      </c>
      <c r="F339" s="1480">
        <v>0</v>
      </c>
      <c r="G339" s="1480">
        <v>0</v>
      </c>
      <c r="H339" s="1480">
        <f t="shared" si="25"/>
        <v>0</v>
      </c>
      <c r="I339" s="1480">
        <v>0</v>
      </c>
      <c r="J339" s="1480">
        <v>0</v>
      </c>
      <c r="K339" s="1480"/>
      <c r="L339" s="1480"/>
      <c r="M339" s="1480">
        <f t="shared" si="26"/>
        <v>0</v>
      </c>
      <c r="N339" s="1480">
        <f t="shared" si="27"/>
        <v>0</v>
      </c>
    </row>
    <row r="340" spans="1:16" ht="15.5" outlineLevel="1" x14ac:dyDescent="0.25">
      <c r="A340" s="1488">
        <v>0</v>
      </c>
      <c r="B340" s="1497" t="s">
        <v>414</v>
      </c>
      <c r="C340" s="1488" t="s">
        <v>1929</v>
      </c>
      <c r="D340" s="1413" t="s">
        <v>1873</v>
      </c>
      <c r="E340" s="560">
        <v>0</v>
      </c>
      <c r="F340" s="1480">
        <v>0</v>
      </c>
      <c r="G340" s="1480">
        <v>0</v>
      </c>
      <c r="H340" s="1480">
        <f t="shared" si="25"/>
        <v>0</v>
      </c>
      <c r="I340" s="1480">
        <v>0</v>
      </c>
      <c r="J340" s="1480">
        <v>0</v>
      </c>
      <c r="K340" s="1480"/>
      <c r="L340" s="1480"/>
      <c r="M340" s="1480">
        <f t="shared" si="26"/>
        <v>0</v>
      </c>
      <c r="N340" s="1480">
        <f t="shared" si="27"/>
        <v>0</v>
      </c>
    </row>
    <row r="341" spans="1:16" ht="46.5" outlineLevel="1" x14ac:dyDescent="0.25">
      <c r="A341" s="1486" t="s">
        <v>1958</v>
      </c>
      <c r="B341" s="1491" t="s">
        <v>1959</v>
      </c>
      <c r="C341" s="1486" t="s">
        <v>1929</v>
      </c>
      <c r="D341" s="1413" t="s">
        <v>1873</v>
      </c>
      <c r="E341" s="560">
        <v>0</v>
      </c>
      <c r="F341" s="1480">
        <v>0</v>
      </c>
      <c r="G341" s="1480">
        <v>0</v>
      </c>
      <c r="H341" s="1480">
        <f t="shared" si="25"/>
        <v>0</v>
      </c>
      <c r="I341" s="1480">
        <v>0</v>
      </c>
      <c r="J341" s="1480">
        <v>0</v>
      </c>
      <c r="K341" s="1480"/>
      <c r="L341" s="1480"/>
      <c r="M341" s="1480">
        <f t="shared" si="26"/>
        <v>0</v>
      </c>
      <c r="N341" s="1480">
        <f t="shared" si="27"/>
        <v>0</v>
      </c>
      <c r="O341" s="1481"/>
      <c r="P341" s="1427"/>
    </row>
    <row r="342" spans="1:16" ht="31" outlineLevel="1" x14ac:dyDescent="0.25">
      <c r="A342" s="1488">
        <v>0</v>
      </c>
      <c r="B342" s="1497" t="s">
        <v>1960</v>
      </c>
      <c r="C342" s="1488" t="s">
        <v>1929</v>
      </c>
      <c r="D342" s="1413" t="s">
        <v>1873</v>
      </c>
      <c r="E342" s="560">
        <v>0</v>
      </c>
      <c r="F342" s="1480">
        <v>0</v>
      </c>
      <c r="G342" s="1480">
        <v>0</v>
      </c>
      <c r="H342" s="1480">
        <f t="shared" si="25"/>
        <v>0</v>
      </c>
      <c r="I342" s="1480">
        <v>0</v>
      </c>
      <c r="J342" s="1480">
        <v>0</v>
      </c>
      <c r="K342" s="1480"/>
      <c r="L342" s="1480"/>
      <c r="M342" s="1480">
        <f t="shared" si="26"/>
        <v>0</v>
      </c>
      <c r="N342" s="1480">
        <f t="shared" si="27"/>
        <v>0</v>
      </c>
    </row>
    <row r="343" spans="1:16" ht="15.5" outlineLevel="1" x14ac:dyDescent="0.25">
      <c r="A343" s="1488">
        <v>0</v>
      </c>
      <c r="B343" s="1497" t="s">
        <v>414</v>
      </c>
      <c r="C343" s="1488" t="s">
        <v>1929</v>
      </c>
      <c r="D343" s="1413" t="s">
        <v>1873</v>
      </c>
      <c r="E343" s="560">
        <v>0</v>
      </c>
      <c r="F343" s="1480">
        <v>0</v>
      </c>
      <c r="G343" s="1480">
        <v>0</v>
      </c>
      <c r="H343" s="1480">
        <f t="shared" si="25"/>
        <v>0</v>
      </c>
      <c r="I343" s="1480">
        <v>0</v>
      </c>
      <c r="J343" s="1480">
        <v>0</v>
      </c>
      <c r="K343" s="1480"/>
      <c r="L343" s="1480"/>
      <c r="M343" s="1480">
        <f t="shared" si="26"/>
        <v>0</v>
      </c>
      <c r="N343" s="1480">
        <f t="shared" si="27"/>
        <v>0</v>
      </c>
      <c r="O343" s="1481"/>
      <c r="P343" s="1427"/>
    </row>
    <row r="344" spans="1:16" ht="15.5" outlineLevel="1" x14ac:dyDescent="0.25">
      <c r="A344" s="1488">
        <v>0</v>
      </c>
      <c r="B344" s="1497">
        <v>0</v>
      </c>
      <c r="C344" s="1488">
        <v>0</v>
      </c>
      <c r="D344" s="1413" t="s">
        <v>1873</v>
      </c>
      <c r="E344" s="560">
        <v>0</v>
      </c>
      <c r="F344" s="1480">
        <v>0</v>
      </c>
      <c r="G344" s="1480">
        <v>0</v>
      </c>
      <c r="H344" s="1480">
        <f t="shared" si="25"/>
        <v>0</v>
      </c>
      <c r="I344" s="1480">
        <v>0</v>
      </c>
      <c r="J344" s="1480">
        <v>0</v>
      </c>
      <c r="K344" s="1480"/>
      <c r="L344" s="1480"/>
      <c r="M344" s="1480">
        <f t="shared" si="26"/>
        <v>0</v>
      </c>
      <c r="N344" s="1480">
        <f t="shared" si="27"/>
        <v>0</v>
      </c>
    </row>
    <row r="345" spans="1:16" ht="15.5" outlineLevel="1" x14ac:dyDescent="0.25">
      <c r="A345" s="1488">
        <v>0</v>
      </c>
      <c r="B345" s="1497">
        <v>0</v>
      </c>
      <c r="C345" s="1488">
        <v>0</v>
      </c>
      <c r="D345" s="1413" t="s">
        <v>1873</v>
      </c>
      <c r="E345" s="560">
        <v>0</v>
      </c>
      <c r="F345" s="1480">
        <v>0</v>
      </c>
      <c r="G345" s="1480">
        <v>0</v>
      </c>
      <c r="H345" s="1480">
        <f t="shared" si="25"/>
        <v>0</v>
      </c>
      <c r="I345" s="1480">
        <v>0</v>
      </c>
      <c r="J345" s="1480">
        <v>0</v>
      </c>
      <c r="K345" s="1480"/>
      <c r="L345" s="1480"/>
      <c r="M345" s="1480">
        <f t="shared" si="26"/>
        <v>0</v>
      </c>
      <c r="N345" s="1480">
        <f t="shared" si="27"/>
        <v>0</v>
      </c>
      <c r="O345" s="1481"/>
      <c r="P345" s="1427"/>
    </row>
    <row r="346" spans="1:16" ht="15.5" outlineLevel="1" x14ac:dyDescent="0.25">
      <c r="A346" s="1500">
        <v>0</v>
      </c>
      <c r="B346" s="1502">
        <v>0</v>
      </c>
      <c r="C346" s="1500">
        <v>0</v>
      </c>
      <c r="D346" s="1501" t="s">
        <v>1873</v>
      </c>
      <c r="E346" s="560">
        <v>0</v>
      </c>
      <c r="F346" s="1480">
        <v>0</v>
      </c>
      <c r="G346" s="1480">
        <v>0</v>
      </c>
      <c r="H346" s="1480">
        <f t="shared" si="25"/>
        <v>0</v>
      </c>
      <c r="I346" s="1480">
        <v>0</v>
      </c>
      <c r="J346" s="1480">
        <v>0</v>
      </c>
      <c r="K346" s="1480"/>
      <c r="L346" s="1480"/>
      <c r="M346" s="1480">
        <f t="shared" si="26"/>
        <v>0</v>
      </c>
      <c r="N346" s="1480">
        <f t="shared" si="27"/>
        <v>0</v>
      </c>
    </row>
    <row r="347" spans="1:16" ht="15.5" outlineLevel="1" x14ac:dyDescent="0.25">
      <c r="A347" s="1453">
        <v>0</v>
      </c>
      <c r="B347" s="1476" t="s">
        <v>1961</v>
      </c>
      <c r="C347" s="1453">
        <v>0</v>
      </c>
      <c r="D347" s="1503" t="s">
        <v>1873</v>
      </c>
      <c r="E347" s="560">
        <v>0</v>
      </c>
      <c r="F347" s="1480">
        <v>0</v>
      </c>
      <c r="G347" s="1480">
        <v>0</v>
      </c>
      <c r="H347" s="1480">
        <f t="shared" si="25"/>
        <v>0</v>
      </c>
      <c r="I347" s="1480">
        <v>0</v>
      </c>
      <c r="J347" s="1480">
        <v>0</v>
      </c>
      <c r="K347" s="1480"/>
      <c r="L347" s="1480"/>
      <c r="M347" s="1480">
        <f t="shared" si="26"/>
        <v>0</v>
      </c>
      <c r="N347" s="1480">
        <f t="shared" si="27"/>
        <v>0</v>
      </c>
      <c r="O347" s="1481"/>
      <c r="P347" s="1427"/>
    </row>
    <row r="348" spans="1:16" ht="15.5" outlineLevel="1" x14ac:dyDescent="0.25">
      <c r="A348" s="1453">
        <v>0</v>
      </c>
      <c r="B348" s="1476">
        <v>0</v>
      </c>
      <c r="C348" s="1453">
        <v>0</v>
      </c>
      <c r="D348" s="1503" t="s">
        <v>1873</v>
      </c>
      <c r="E348" s="560">
        <v>0</v>
      </c>
      <c r="F348" s="1480">
        <v>0</v>
      </c>
      <c r="G348" s="1480">
        <v>0</v>
      </c>
      <c r="H348" s="1480">
        <f t="shared" si="25"/>
        <v>0</v>
      </c>
      <c r="I348" s="1480">
        <v>0</v>
      </c>
      <c r="J348" s="1480">
        <v>0</v>
      </c>
      <c r="K348" s="1480"/>
      <c r="L348" s="1480"/>
      <c r="M348" s="1480">
        <f t="shared" si="26"/>
        <v>0</v>
      </c>
      <c r="N348" s="1480">
        <f t="shared" si="27"/>
        <v>0</v>
      </c>
    </row>
    <row r="349" spans="1:16" ht="77.5" outlineLevel="1" x14ac:dyDescent="0.25">
      <c r="A349" s="1486">
        <v>2</v>
      </c>
      <c r="B349" s="1491" t="s">
        <v>1962</v>
      </c>
      <c r="C349" s="166">
        <v>0</v>
      </c>
      <c r="D349" s="1413" t="s">
        <v>1873</v>
      </c>
      <c r="E349" s="560">
        <v>118.75</v>
      </c>
      <c r="F349" s="1480">
        <v>0</v>
      </c>
      <c r="G349" s="1480">
        <v>0</v>
      </c>
      <c r="H349" s="1480">
        <f t="shared" si="25"/>
        <v>0</v>
      </c>
      <c r="I349" s="1480">
        <v>0</v>
      </c>
      <c r="J349" s="1480">
        <v>0</v>
      </c>
      <c r="K349" s="1480"/>
      <c r="L349" s="1480"/>
      <c r="M349" s="1480">
        <f t="shared" si="26"/>
        <v>0</v>
      </c>
      <c r="N349" s="1480">
        <f t="shared" si="27"/>
        <v>0</v>
      </c>
      <c r="O349" s="1481"/>
      <c r="P349" s="1427"/>
    </row>
    <row r="350" spans="1:16" ht="77.5" outlineLevel="1" x14ac:dyDescent="0.25">
      <c r="A350" s="1492">
        <v>0</v>
      </c>
      <c r="B350" s="1492" t="s">
        <v>1962</v>
      </c>
      <c r="C350" s="166">
        <v>0</v>
      </c>
      <c r="D350" s="1413" t="s">
        <v>1873</v>
      </c>
      <c r="E350" s="560">
        <v>118.75</v>
      </c>
      <c r="F350" s="1480">
        <v>0</v>
      </c>
      <c r="G350" s="1480">
        <v>0</v>
      </c>
      <c r="H350" s="1480">
        <f t="shared" si="25"/>
        <v>0</v>
      </c>
      <c r="I350" s="1480">
        <v>0</v>
      </c>
      <c r="J350" s="1480">
        <v>0</v>
      </c>
      <c r="K350" s="1480"/>
      <c r="L350" s="1480"/>
      <c r="M350" s="1480">
        <f t="shared" si="26"/>
        <v>0</v>
      </c>
      <c r="N350" s="1480">
        <f t="shared" si="27"/>
        <v>0</v>
      </c>
    </row>
    <row r="351" spans="1:16" ht="62" outlineLevel="1" x14ac:dyDescent="0.25">
      <c r="A351" s="1486">
        <v>3</v>
      </c>
      <c r="B351" s="1491" t="s">
        <v>1963</v>
      </c>
      <c r="C351" s="166">
        <v>0</v>
      </c>
      <c r="D351" s="1413" t="s">
        <v>1873</v>
      </c>
      <c r="E351" s="560">
        <v>31.56</v>
      </c>
      <c r="F351" s="1480">
        <v>0</v>
      </c>
      <c r="G351" s="1480">
        <v>0</v>
      </c>
      <c r="H351" s="1480">
        <f t="shared" si="25"/>
        <v>0</v>
      </c>
      <c r="I351" s="1480">
        <v>0</v>
      </c>
      <c r="J351" s="1480">
        <v>0</v>
      </c>
      <c r="K351" s="1480"/>
      <c r="L351" s="1480"/>
      <c r="M351" s="1480">
        <f t="shared" si="26"/>
        <v>0</v>
      </c>
      <c r="N351" s="1480">
        <f t="shared" si="27"/>
        <v>0</v>
      </c>
      <c r="O351" s="1481"/>
      <c r="P351" s="1427"/>
    </row>
    <row r="352" spans="1:16" ht="62" outlineLevel="1" x14ac:dyDescent="0.25">
      <c r="A352" s="1492">
        <v>0</v>
      </c>
      <c r="B352" s="1492" t="s">
        <v>1963</v>
      </c>
      <c r="C352" s="166">
        <v>0</v>
      </c>
      <c r="D352" s="1413" t="s">
        <v>1873</v>
      </c>
      <c r="E352" s="560">
        <v>31.56</v>
      </c>
      <c r="F352" s="1480">
        <v>0</v>
      </c>
      <c r="G352" s="1480">
        <v>0</v>
      </c>
      <c r="H352" s="1480">
        <f t="shared" si="25"/>
        <v>0</v>
      </c>
      <c r="I352" s="1480">
        <v>0</v>
      </c>
      <c r="J352" s="1480">
        <v>0</v>
      </c>
      <c r="K352" s="1480"/>
      <c r="L352" s="1480"/>
      <c r="M352" s="1480">
        <f t="shared" si="26"/>
        <v>0</v>
      </c>
      <c r="N352" s="1480">
        <f t="shared" si="27"/>
        <v>0</v>
      </c>
    </row>
    <row r="353" spans="1:16" ht="46.5" outlineLevel="1" x14ac:dyDescent="0.25">
      <c r="A353" s="1486">
        <v>4</v>
      </c>
      <c r="B353" s="1491" t="s">
        <v>1964</v>
      </c>
      <c r="C353" s="166">
        <v>0</v>
      </c>
      <c r="D353" s="1413" t="s">
        <v>1873</v>
      </c>
      <c r="E353" s="560">
        <v>35</v>
      </c>
      <c r="F353" s="1480">
        <v>0</v>
      </c>
      <c r="G353" s="1480">
        <v>0</v>
      </c>
      <c r="H353" s="1480">
        <f t="shared" si="25"/>
        <v>0</v>
      </c>
      <c r="I353" s="1480">
        <v>0</v>
      </c>
      <c r="J353" s="1480">
        <v>0</v>
      </c>
      <c r="K353" s="1480"/>
      <c r="L353" s="1480"/>
      <c r="M353" s="1480">
        <f t="shared" si="26"/>
        <v>0</v>
      </c>
      <c r="N353" s="1480">
        <f t="shared" si="27"/>
        <v>0</v>
      </c>
      <c r="O353" s="1481"/>
      <c r="P353" s="1427"/>
    </row>
    <row r="354" spans="1:16" ht="46.5" outlineLevel="1" x14ac:dyDescent="0.25">
      <c r="A354" s="1492">
        <v>0</v>
      </c>
      <c r="B354" s="1492" t="s">
        <v>1964</v>
      </c>
      <c r="C354" s="166">
        <v>0</v>
      </c>
      <c r="D354" s="1413" t="s">
        <v>1873</v>
      </c>
      <c r="E354" s="560">
        <v>35</v>
      </c>
      <c r="F354" s="1480">
        <v>0</v>
      </c>
      <c r="G354" s="1480">
        <v>0</v>
      </c>
      <c r="H354" s="1480">
        <f t="shared" si="25"/>
        <v>0</v>
      </c>
      <c r="I354" s="1480">
        <v>0</v>
      </c>
      <c r="J354" s="1480">
        <v>0</v>
      </c>
      <c r="K354" s="1480"/>
      <c r="L354" s="1480"/>
      <c r="M354" s="1480">
        <f t="shared" si="26"/>
        <v>0</v>
      </c>
      <c r="N354" s="1480">
        <f t="shared" si="27"/>
        <v>0</v>
      </c>
    </row>
    <row r="355" spans="1:16" ht="31" outlineLevel="1" x14ac:dyDescent="0.25">
      <c r="A355" s="1486">
        <v>5</v>
      </c>
      <c r="B355" s="1491" t="s">
        <v>1966</v>
      </c>
      <c r="C355" s="166">
        <v>0</v>
      </c>
      <c r="D355" s="1413" t="s">
        <v>1873</v>
      </c>
      <c r="E355" s="560">
        <v>41.24</v>
      </c>
      <c r="F355" s="1480">
        <v>0</v>
      </c>
      <c r="G355" s="1480">
        <v>0</v>
      </c>
      <c r="H355" s="1480">
        <f t="shared" si="25"/>
        <v>0</v>
      </c>
      <c r="I355" s="1480">
        <v>0</v>
      </c>
      <c r="J355" s="1480">
        <v>0</v>
      </c>
      <c r="K355" s="1480"/>
      <c r="L355" s="1480"/>
      <c r="M355" s="1480">
        <f t="shared" si="26"/>
        <v>0</v>
      </c>
      <c r="N355" s="1480">
        <f t="shared" si="27"/>
        <v>0</v>
      </c>
      <c r="O355" s="1481"/>
      <c r="P355" s="1427"/>
    </row>
    <row r="356" spans="1:16" ht="31" outlineLevel="1" x14ac:dyDescent="0.25">
      <c r="A356" s="1492">
        <v>0</v>
      </c>
      <c r="B356" s="1492" t="s">
        <v>1967</v>
      </c>
      <c r="C356" s="166">
        <v>0</v>
      </c>
      <c r="D356" s="1413" t="s">
        <v>1873</v>
      </c>
      <c r="E356" s="560">
        <v>5.42</v>
      </c>
      <c r="F356" s="1480">
        <v>0</v>
      </c>
      <c r="G356" s="1480">
        <v>0</v>
      </c>
      <c r="H356" s="1480">
        <f t="shared" si="25"/>
        <v>0</v>
      </c>
      <c r="I356" s="1480">
        <v>0</v>
      </c>
      <c r="J356" s="1480">
        <v>0</v>
      </c>
      <c r="K356" s="1480"/>
      <c r="L356" s="1480"/>
      <c r="M356" s="1480">
        <f t="shared" si="26"/>
        <v>0</v>
      </c>
      <c r="N356" s="1480">
        <f t="shared" si="27"/>
        <v>0</v>
      </c>
    </row>
    <row r="357" spans="1:16" ht="31" outlineLevel="1" x14ac:dyDescent="0.25">
      <c r="A357" s="1492">
        <v>0</v>
      </c>
      <c r="B357" s="1492" t="s">
        <v>1969</v>
      </c>
      <c r="C357" s="166">
        <v>0</v>
      </c>
      <c r="D357" s="1413" t="s">
        <v>1873</v>
      </c>
      <c r="E357" s="560">
        <v>35.82</v>
      </c>
      <c r="F357" s="1480">
        <v>0</v>
      </c>
      <c r="G357" s="1480">
        <v>0</v>
      </c>
      <c r="H357" s="1480">
        <f t="shared" si="25"/>
        <v>0</v>
      </c>
      <c r="I357" s="1480">
        <v>0</v>
      </c>
      <c r="J357" s="1480">
        <v>0</v>
      </c>
      <c r="K357" s="1480"/>
      <c r="L357" s="1480"/>
      <c r="M357" s="1480">
        <f t="shared" si="26"/>
        <v>0</v>
      </c>
      <c r="N357" s="1480">
        <f t="shared" si="27"/>
        <v>0</v>
      </c>
      <c r="O357" s="1481"/>
      <c r="P357" s="1427"/>
    </row>
    <row r="358" spans="1:16" ht="31" outlineLevel="1" x14ac:dyDescent="0.25">
      <c r="A358" s="1486">
        <v>6</v>
      </c>
      <c r="B358" s="1491" t="s">
        <v>1970</v>
      </c>
      <c r="C358" s="166">
        <v>0</v>
      </c>
      <c r="D358" s="1413" t="s">
        <v>1873</v>
      </c>
      <c r="E358" s="560">
        <v>33.47</v>
      </c>
      <c r="F358" s="1480">
        <v>0</v>
      </c>
      <c r="G358" s="1480">
        <v>0</v>
      </c>
      <c r="H358" s="1480">
        <f t="shared" si="25"/>
        <v>0</v>
      </c>
      <c r="I358" s="1480">
        <v>0</v>
      </c>
      <c r="J358" s="1480">
        <v>0</v>
      </c>
      <c r="K358" s="1480"/>
      <c r="L358" s="1480"/>
      <c r="M358" s="1480">
        <f t="shared" si="26"/>
        <v>0</v>
      </c>
      <c r="N358" s="1480">
        <f t="shared" si="27"/>
        <v>0</v>
      </c>
    </row>
    <row r="359" spans="1:16" ht="31" outlineLevel="1" x14ac:dyDescent="0.25">
      <c r="A359" s="1492">
        <v>0</v>
      </c>
      <c r="B359" s="1492" t="s">
        <v>1970</v>
      </c>
      <c r="C359" s="166">
        <v>0</v>
      </c>
      <c r="D359" s="1413" t="s">
        <v>1873</v>
      </c>
      <c r="E359" s="560">
        <v>33.47</v>
      </c>
      <c r="F359" s="1480">
        <v>0</v>
      </c>
      <c r="G359" s="1480">
        <v>0</v>
      </c>
      <c r="H359" s="1480">
        <f t="shared" si="25"/>
        <v>0</v>
      </c>
      <c r="I359" s="1480">
        <v>0</v>
      </c>
      <c r="J359" s="1480">
        <v>0</v>
      </c>
      <c r="K359" s="1480"/>
      <c r="L359" s="1480"/>
      <c r="M359" s="1480">
        <f t="shared" si="26"/>
        <v>0</v>
      </c>
      <c r="N359" s="1480">
        <f t="shared" si="27"/>
        <v>0</v>
      </c>
    </row>
    <row r="360" spans="1:16" ht="46.5" outlineLevel="1" x14ac:dyDescent="0.25">
      <c r="A360" s="1486">
        <v>7</v>
      </c>
      <c r="B360" s="1491" t="s">
        <v>1971</v>
      </c>
      <c r="C360" s="166">
        <v>0</v>
      </c>
      <c r="D360" s="1413" t="s">
        <v>1873</v>
      </c>
      <c r="E360" s="560">
        <v>71.5</v>
      </c>
      <c r="F360" s="1480">
        <v>0</v>
      </c>
      <c r="G360" s="1480">
        <v>0</v>
      </c>
      <c r="H360" s="1480">
        <f t="shared" si="25"/>
        <v>0</v>
      </c>
      <c r="I360" s="1480">
        <v>0</v>
      </c>
      <c r="J360" s="1480">
        <v>0</v>
      </c>
      <c r="K360" s="1480"/>
      <c r="L360" s="1480"/>
      <c r="M360" s="1480">
        <f t="shared" si="26"/>
        <v>0</v>
      </c>
      <c r="N360" s="1480">
        <f t="shared" si="27"/>
        <v>0</v>
      </c>
      <c r="O360" s="1481"/>
      <c r="P360" s="1427"/>
    </row>
    <row r="361" spans="1:16" ht="46.5" outlineLevel="1" x14ac:dyDescent="0.25">
      <c r="A361" s="1492">
        <v>0</v>
      </c>
      <c r="B361" s="1492" t="s">
        <v>1971</v>
      </c>
      <c r="C361" s="166">
        <v>0</v>
      </c>
      <c r="D361" s="1413" t="s">
        <v>1873</v>
      </c>
      <c r="E361" s="560">
        <v>71.5</v>
      </c>
      <c r="F361" s="1480">
        <v>0</v>
      </c>
      <c r="G361" s="1480">
        <v>0</v>
      </c>
      <c r="H361" s="1480">
        <f t="shared" si="25"/>
        <v>0</v>
      </c>
      <c r="I361" s="1480">
        <v>0</v>
      </c>
      <c r="J361" s="1480">
        <v>0</v>
      </c>
      <c r="K361" s="1480"/>
      <c r="L361" s="1480"/>
      <c r="M361" s="1480">
        <f t="shared" si="26"/>
        <v>0</v>
      </c>
      <c r="N361" s="1480">
        <f t="shared" si="27"/>
        <v>0</v>
      </c>
    </row>
    <row r="362" spans="1:16" ht="15.5" outlineLevel="1" x14ac:dyDescent="0.25">
      <c r="A362" s="1504">
        <v>0</v>
      </c>
      <c r="B362" s="1504" t="s">
        <v>1972</v>
      </c>
      <c r="C362" s="166">
        <v>0</v>
      </c>
      <c r="D362" s="1413" t="s">
        <v>1873</v>
      </c>
      <c r="E362" s="560">
        <v>0</v>
      </c>
      <c r="F362" s="1480">
        <v>0</v>
      </c>
      <c r="G362" s="1480">
        <v>0</v>
      </c>
      <c r="H362" s="1480">
        <f t="shared" si="25"/>
        <v>0</v>
      </c>
      <c r="I362" s="1480">
        <v>0</v>
      </c>
      <c r="J362" s="1480">
        <v>0</v>
      </c>
      <c r="K362" s="1480"/>
      <c r="L362" s="1480"/>
      <c r="M362" s="1480">
        <f t="shared" si="26"/>
        <v>0</v>
      </c>
      <c r="N362" s="1480">
        <f t="shared" si="27"/>
        <v>0</v>
      </c>
    </row>
    <row r="363" spans="1:16" ht="15.5" outlineLevel="1" x14ac:dyDescent="0.25">
      <c r="A363" s="1486">
        <v>1</v>
      </c>
      <c r="B363" s="1491" t="s">
        <v>1973</v>
      </c>
      <c r="C363" s="166">
        <v>0</v>
      </c>
      <c r="D363" s="1413" t="s">
        <v>1873</v>
      </c>
      <c r="E363" s="560">
        <v>54.74</v>
      </c>
      <c r="F363" s="1480">
        <v>0</v>
      </c>
      <c r="G363" s="1480">
        <v>0</v>
      </c>
      <c r="H363" s="1480">
        <f t="shared" si="25"/>
        <v>0</v>
      </c>
      <c r="I363" s="1480">
        <v>0</v>
      </c>
      <c r="J363" s="1480">
        <v>0</v>
      </c>
      <c r="K363" s="1480"/>
      <c r="L363" s="1480"/>
      <c r="M363" s="1480">
        <f t="shared" si="26"/>
        <v>0</v>
      </c>
      <c r="N363" s="1480">
        <f t="shared" si="27"/>
        <v>0</v>
      </c>
      <c r="O363" s="1481"/>
      <c r="P363" s="1427"/>
    </row>
    <row r="364" spans="1:16" ht="31" outlineLevel="1" x14ac:dyDescent="0.25">
      <c r="A364" s="1492">
        <v>0</v>
      </c>
      <c r="B364" s="1492" t="s">
        <v>1974</v>
      </c>
      <c r="C364" s="166">
        <v>0</v>
      </c>
      <c r="D364" s="1413" t="s">
        <v>1873</v>
      </c>
      <c r="E364" s="560">
        <v>18.739999999999998</v>
      </c>
      <c r="F364" s="1480">
        <v>0</v>
      </c>
      <c r="G364" s="1480">
        <v>0</v>
      </c>
      <c r="H364" s="1480">
        <f t="shared" si="25"/>
        <v>0</v>
      </c>
      <c r="I364" s="1480">
        <v>0</v>
      </c>
      <c r="J364" s="1480">
        <v>0</v>
      </c>
      <c r="K364" s="1480"/>
      <c r="L364" s="1480"/>
      <c r="M364" s="1480">
        <f t="shared" si="26"/>
        <v>0</v>
      </c>
      <c r="N364" s="1480">
        <f t="shared" si="27"/>
        <v>0</v>
      </c>
    </row>
    <row r="365" spans="1:16" ht="31" outlineLevel="1" x14ac:dyDescent="0.25">
      <c r="A365" s="1492">
        <v>0</v>
      </c>
      <c r="B365" s="1492" t="s">
        <v>1976</v>
      </c>
      <c r="C365" s="166">
        <v>0</v>
      </c>
      <c r="D365" s="1413" t="s">
        <v>1873</v>
      </c>
      <c r="E365" s="560">
        <v>36</v>
      </c>
      <c r="F365" s="1480">
        <v>0</v>
      </c>
      <c r="G365" s="1480">
        <v>0</v>
      </c>
      <c r="H365" s="1480">
        <f t="shared" si="25"/>
        <v>0</v>
      </c>
      <c r="I365" s="1480">
        <v>0</v>
      </c>
      <c r="J365" s="1480">
        <v>0</v>
      </c>
      <c r="K365" s="1480"/>
      <c r="L365" s="1480"/>
      <c r="M365" s="1480">
        <f t="shared" si="26"/>
        <v>0</v>
      </c>
      <c r="N365" s="1480">
        <f t="shared" si="27"/>
        <v>0</v>
      </c>
    </row>
    <row r="366" spans="1:16" ht="15.5" outlineLevel="1" x14ac:dyDescent="0.25">
      <c r="A366" s="1486">
        <v>2</v>
      </c>
      <c r="B366" s="1491" t="s">
        <v>1977</v>
      </c>
      <c r="C366" s="1488">
        <v>0</v>
      </c>
      <c r="D366" s="1413" t="s">
        <v>1873</v>
      </c>
      <c r="E366" s="560">
        <v>28.94</v>
      </c>
      <c r="F366" s="1480">
        <v>0</v>
      </c>
      <c r="G366" s="1480">
        <v>0</v>
      </c>
      <c r="H366" s="1480">
        <f t="shared" si="25"/>
        <v>0</v>
      </c>
      <c r="I366" s="1480">
        <v>0</v>
      </c>
      <c r="J366" s="1480">
        <v>0</v>
      </c>
      <c r="K366" s="1480"/>
      <c r="L366" s="1480"/>
      <c r="M366" s="1480">
        <f t="shared" si="26"/>
        <v>0</v>
      </c>
      <c r="N366" s="1480">
        <f t="shared" si="27"/>
        <v>0</v>
      </c>
      <c r="O366" s="1481"/>
      <c r="P366" s="1427"/>
    </row>
    <row r="367" spans="1:16" ht="31" outlineLevel="1" x14ac:dyDescent="0.25">
      <c r="A367" s="1492">
        <v>0</v>
      </c>
      <c r="B367" s="1492" t="s">
        <v>1978</v>
      </c>
      <c r="C367" s="1488">
        <v>0</v>
      </c>
      <c r="D367" s="1413" t="s">
        <v>1873</v>
      </c>
      <c r="E367" s="560">
        <v>4.9400000000000004</v>
      </c>
      <c r="F367" s="1480">
        <v>0</v>
      </c>
      <c r="G367" s="1480">
        <v>0</v>
      </c>
      <c r="H367" s="1480">
        <f t="shared" si="25"/>
        <v>0</v>
      </c>
      <c r="I367" s="1480">
        <v>0</v>
      </c>
      <c r="J367" s="1480">
        <v>0</v>
      </c>
      <c r="K367" s="1480"/>
      <c r="L367" s="1480"/>
      <c r="M367" s="1480">
        <f t="shared" si="26"/>
        <v>0</v>
      </c>
      <c r="N367" s="1480">
        <f t="shared" si="27"/>
        <v>0</v>
      </c>
    </row>
    <row r="368" spans="1:16" ht="31" outlineLevel="1" x14ac:dyDescent="0.25">
      <c r="A368" s="1492">
        <v>0</v>
      </c>
      <c r="B368" s="1492" t="s">
        <v>1979</v>
      </c>
      <c r="C368" s="1488">
        <v>0</v>
      </c>
      <c r="D368" s="1413" t="s">
        <v>1873</v>
      </c>
      <c r="E368" s="560">
        <v>24</v>
      </c>
      <c r="F368" s="1480">
        <v>0</v>
      </c>
      <c r="G368" s="1480">
        <v>0</v>
      </c>
      <c r="H368" s="1480">
        <f t="shared" si="25"/>
        <v>0</v>
      </c>
      <c r="I368" s="1480">
        <v>0</v>
      </c>
      <c r="J368" s="1480">
        <v>0</v>
      </c>
      <c r="K368" s="1480"/>
      <c r="L368" s="1480"/>
      <c r="M368" s="1480">
        <f t="shared" si="26"/>
        <v>0</v>
      </c>
      <c r="N368" s="1480">
        <f t="shared" si="27"/>
        <v>0</v>
      </c>
    </row>
    <row r="369" spans="1:16" ht="15.5" outlineLevel="1" x14ac:dyDescent="0.25">
      <c r="A369" s="1486">
        <v>3</v>
      </c>
      <c r="B369" s="1491" t="s">
        <v>1980</v>
      </c>
      <c r="C369" s="1488">
        <v>0</v>
      </c>
      <c r="D369" s="1413" t="s">
        <v>1873</v>
      </c>
      <c r="E369" s="560">
        <v>45</v>
      </c>
      <c r="F369" s="1480">
        <v>0</v>
      </c>
      <c r="G369" s="1480">
        <v>0</v>
      </c>
      <c r="H369" s="1480">
        <f t="shared" si="25"/>
        <v>0</v>
      </c>
      <c r="I369" s="1480">
        <v>0</v>
      </c>
      <c r="J369" s="1480">
        <v>0</v>
      </c>
      <c r="K369" s="1480"/>
      <c r="L369" s="1480"/>
      <c r="M369" s="1480">
        <f t="shared" si="26"/>
        <v>0</v>
      </c>
      <c r="N369" s="1480">
        <f t="shared" si="27"/>
        <v>0</v>
      </c>
      <c r="O369" s="1481"/>
      <c r="P369" s="1427"/>
    </row>
    <row r="370" spans="1:16" ht="15.5" outlineLevel="1" x14ac:dyDescent="0.25">
      <c r="A370" s="1492">
        <v>0</v>
      </c>
      <c r="B370" s="1492" t="s">
        <v>1981</v>
      </c>
      <c r="C370" s="1488">
        <v>0</v>
      </c>
      <c r="D370" s="1413" t="s">
        <v>1873</v>
      </c>
      <c r="E370" s="560">
        <v>20</v>
      </c>
      <c r="F370" s="1480">
        <v>0</v>
      </c>
      <c r="G370" s="1480">
        <v>0</v>
      </c>
      <c r="H370" s="1480">
        <f t="shared" si="25"/>
        <v>0</v>
      </c>
      <c r="I370" s="1480">
        <v>0</v>
      </c>
      <c r="J370" s="1480">
        <v>0</v>
      </c>
      <c r="K370" s="1480"/>
      <c r="L370" s="1480"/>
      <c r="M370" s="1480">
        <f t="shared" si="26"/>
        <v>0</v>
      </c>
      <c r="N370" s="1480">
        <f t="shared" si="27"/>
        <v>0</v>
      </c>
    </row>
    <row r="371" spans="1:16" ht="15.5" outlineLevel="1" x14ac:dyDescent="0.25">
      <c r="A371" s="1492">
        <v>0</v>
      </c>
      <c r="B371" s="1492" t="s">
        <v>1982</v>
      </c>
      <c r="C371" s="1488">
        <v>0</v>
      </c>
      <c r="D371" s="1413" t="s">
        <v>1873</v>
      </c>
      <c r="E371" s="560">
        <v>25</v>
      </c>
      <c r="F371" s="1480">
        <v>0</v>
      </c>
      <c r="G371" s="1480">
        <v>0</v>
      </c>
      <c r="H371" s="1480">
        <f t="shared" si="25"/>
        <v>0</v>
      </c>
      <c r="I371" s="1480">
        <v>0</v>
      </c>
      <c r="J371" s="1480">
        <v>0</v>
      </c>
      <c r="K371" s="1480"/>
      <c r="L371" s="1480"/>
      <c r="M371" s="1480">
        <f t="shared" si="26"/>
        <v>0</v>
      </c>
      <c r="N371" s="1480">
        <f t="shared" si="27"/>
        <v>0</v>
      </c>
    </row>
    <row r="372" spans="1:16" ht="31" outlineLevel="1" x14ac:dyDescent="0.25">
      <c r="A372" s="1486">
        <v>4</v>
      </c>
      <c r="B372" s="1491" t="s">
        <v>1983</v>
      </c>
      <c r="C372" s="1488">
        <v>0</v>
      </c>
      <c r="D372" s="1413" t="s">
        <v>1873</v>
      </c>
      <c r="E372" s="560">
        <v>30</v>
      </c>
      <c r="F372" s="1480">
        <v>0</v>
      </c>
      <c r="G372" s="1480">
        <v>0</v>
      </c>
      <c r="H372" s="1480">
        <f t="shared" si="25"/>
        <v>0</v>
      </c>
      <c r="I372" s="1480">
        <v>0</v>
      </c>
      <c r="J372" s="1480">
        <v>0</v>
      </c>
      <c r="K372" s="1480"/>
      <c r="L372" s="1480"/>
      <c r="M372" s="1480">
        <f t="shared" si="26"/>
        <v>0</v>
      </c>
      <c r="N372" s="1480">
        <f t="shared" si="27"/>
        <v>0</v>
      </c>
      <c r="O372" s="1481"/>
      <c r="P372" s="1427"/>
    </row>
    <row r="373" spans="1:16" ht="31" outlineLevel="1" x14ac:dyDescent="0.25">
      <c r="A373" s="1492">
        <v>0</v>
      </c>
      <c r="B373" s="1492" t="s">
        <v>1983</v>
      </c>
      <c r="C373" s="1488">
        <v>0</v>
      </c>
      <c r="D373" s="1413" t="s">
        <v>1873</v>
      </c>
      <c r="E373" s="560">
        <v>30</v>
      </c>
      <c r="F373" s="1480">
        <v>0</v>
      </c>
      <c r="G373" s="1480">
        <v>0</v>
      </c>
      <c r="H373" s="1480">
        <f t="shared" si="25"/>
        <v>0</v>
      </c>
      <c r="I373" s="1480">
        <v>0</v>
      </c>
      <c r="J373" s="1480">
        <v>0</v>
      </c>
      <c r="K373" s="1480"/>
      <c r="L373" s="1480"/>
      <c r="M373" s="1480">
        <f t="shared" si="26"/>
        <v>0</v>
      </c>
      <c r="N373" s="1480">
        <f t="shared" si="27"/>
        <v>0</v>
      </c>
    </row>
    <row r="374" spans="1:16" ht="15.5" outlineLevel="1" x14ac:dyDescent="0.25">
      <c r="A374" s="1504">
        <v>0</v>
      </c>
      <c r="B374" s="1504" t="s">
        <v>1984</v>
      </c>
      <c r="C374" s="1488">
        <v>0</v>
      </c>
      <c r="D374" s="1413" t="s">
        <v>1873</v>
      </c>
      <c r="E374" s="560">
        <v>0</v>
      </c>
      <c r="F374" s="1480">
        <v>0</v>
      </c>
      <c r="G374" s="1480">
        <v>0</v>
      </c>
      <c r="H374" s="1480">
        <f t="shared" si="25"/>
        <v>0</v>
      </c>
      <c r="I374" s="1480">
        <v>0</v>
      </c>
      <c r="J374" s="1480">
        <v>0</v>
      </c>
      <c r="K374" s="1480"/>
      <c r="L374" s="1480"/>
      <c r="M374" s="1480">
        <f t="shared" si="26"/>
        <v>0</v>
      </c>
      <c r="N374" s="1480">
        <f t="shared" si="27"/>
        <v>0</v>
      </c>
    </row>
    <row r="375" spans="1:16" ht="31" outlineLevel="1" x14ac:dyDescent="0.25">
      <c r="A375" s="1486">
        <v>1</v>
      </c>
      <c r="B375" s="1491" t="s">
        <v>1985</v>
      </c>
      <c r="C375" s="1488">
        <v>0</v>
      </c>
      <c r="D375" s="1413" t="s">
        <v>1873</v>
      </c>
      <c r="E375" s="560">
        <v>35</v>
      </c>
      <c r="F375" s="1480">
        <v>0</v>
      </c>
      <c r="G375" s="1480">
        <v>0</v>
      </c>
      <c r="H375" s="1480">
        <f t="shared" si="25"/>
        <v>0</v>
      </c>
      <c r="I375" s="1480">
        <v>0</v>
      </c>
      <c r="J375" s="1480">
        <v>0</v>
      </c>
      <c r="K375" s="1480"/>
      <c r="L375" s="1480"/>
      <c r="M375" s="1480">
        <f t="shared" si="26"/>
        <v>0</v>
      </c>
      <c r="N375" s="1480">
        <f t="shared" si="27"/>
        <v>0</v>
      </c>
      <c r="O375" s="1481"/>
      <c r="P375" s="1427"/>
    </row>
    <row r="376" spans="1:16" ht="15.5" outlineLevel="1" x14ac:dyDescent="0.25">
      <c r="A376" s="1492">
        <v>0</v>
      </c>
      <c r="B376" s="1492" t="s">
        <v>1986</v>
      </c>
      <c r="C376" s="1488">
        <v>0</v>
      </c>
      <c r="D376" s="1413" t="s">
        <v>1873</v>
      </c>
      <c r="E376" s="560">
        <v>16</v>
      </c>
      <c r="F376" s="1480">
        <v>0</v>
      </c>
      <c r="G376" s="1480">
        <v>0</v>
      </c>
      <c r="H376" s="1480">
        <f t="shared" si="25"/>
        <v>0</v>
      </c>
      <c r="I376" s="1480">
        <v>0</v>
      </c>
      <c r="J376" s="1480">
        <v>0</v>
      </c>
      <c r="K376" s="1480"/>
      <c r="L376" s="1480"/>
      <c r="M376" s="1480">
        <f t="shared" si="26"/>
        <v>0</v>
      </c>
      <c r="N376" s="1480">
        <f t="shared" si="27"/>
        <v>0</v>
      </c>
    </row>
    <row r="377" spans="1:16" ht="31" outlineLevel="1" x14ac:dyDescent="0.25">
      <c r="A377" s="1492">
        <v>0</v>
      </c>
      <c r="B377" s="1492" t="s">
        <v>1987</v>
      </c>
      <c r="C377" s="1488">
        <v>0</v>
      </c>
      <c r="D377" s="1413" t="s">
        <v>1873</v>
      </c>
      <c r="E377" s="560">
        <v>19</v>
      </c>
      <c r="F377" s="1480">
        <v>0</v>
      </c>
      <c r="G377" s="1480">
        <v>0</v>
      </c>
      <c r="H377" s="1480">
        <f t="shared" si="25"/>
        <v>0</v>
      </c>
      <c r="I377" s="1480">
        <v>0</v>
      </c>
      <c r="J377" s="1480">
        <v>0</v>
      </c>
      <c r="K377" s="1480"/>
      <c r="L377" s="1480"/>
      <c r="M377" s="1480">
        <f t="shared" si="26"/>
        <v>0</v>
      </c>
      <c r="N377" s="1480">
        <f t="shared" si="27"/>
        <v>0</v>
      </c>
    </row>
    <row r="378" spans="1:16" ht="15.5" outlineLevel="1" x14ac:dyDescent="0.25">
      <c r="A378" s="1486">
        <v>2</v>
      </c>
      <c r="B378" s="1491" t="s">
        <v>1988</v>
      </c>
      <c r="C378" s="1488">
        <v>0</v>
      </c>
      <c r="D378" s="1413" t="s">
        <v>1873</v>
      </c>
      <c r="E378" s="560">
        <v>26</v>
      </c>
      <c r="F378" s="1480">
        <v>0</v>
      </c>
      <c r="G378" s="1480">
        <v>0</v>
      </c>
      <c r="H378" s="1480">
        <f t="shared" si="25"/>
        <v>0</v>
      </c>
      <c r="I378" s="1480">
        <v>0</v>
      </c>
      <c r="J378" s="1480">
        <v>0</v>
      </c>
      <c r="K378" s="1480"/>
      <c r="L378" s="1480"/>
      <c r="M378" s="1480">
        <f t="shared" si="26"/>
        <v>0</v>
      </c>
      <c r="N378" s="1480">
        <f t="shared" si="27"/>
        <v>0</v>
      </c>
    </row>
    <row r="379" spans="1:16" ht="46.5" outlineLevel="1" x14ac:dyDescent="0.25">
      <c r="A379" s="1492">
        <v>0</v>
      </c>
      <c r="B379" s="1492" t="s">
        <v>1989</v>
      </c>
      <c r="C379" s="1488">
        <v>0</v>
      </c>
      <c r="D379" s="1413" t="s">
        <v>1873</v>
      </c>
      <c r="E379" s="560">
        <v>6</v>
      </c>
      <c r="F379" s="1480">
        <v>0</v>
      </c>
      <c r="G379" s="1480">
        <v>0</v>
      </c>
      <c r="H379" s="1480">
        <f t="shared" si="25"/>
        <v>0</v>
      </c>
      <c r="I379" s="1480">
        <v>0</v>
      </c>
      <c r="J379" s="1480">
        <v>0</v>
      </c>
      <c r="K379" s="1480"/>
      <c r="L379" s="1480"/>
      <c r="M379" s="1480">
        <f t="shared" si="26"/>
        <v>0</v>
      </c>
      <c r="N379" s="1480">
        <f t="shared" si="27"/>
        <v>0</v>
      </c>
      <c r="O379" s="1481"/>
      <c r="P379" s="1427"/>
    </row>
    <row r="380" spans="1:16" ht="31" outlineLevel="1" x14ac:dyDescent="0.25">
      <c r="A380" s="1492">
        <v>0</v>
      </c>
      <c r="B380" s="1492" t="s">
        <v>1990</v>
      </c>
      <c r="C380" s="1488">
        <v>0</v>
      </c>
      <c r="D380" s="1413" t="s">
        <v>1873</v>
      </c>
      <c r="E380" s="560">
        <v>10</v>
      </c>
      <c r="F380" s="1480">
        <v>0</v>
      </c>
      <c r="G380" s="1480">
        <v>0</v>
      </c>
      <c r="H380" s="1480">
        <f t="shared" si="25"/>
        <v>0</v>
      </c>
      <c r="I380" s="1480">
        <v>0</v>
      </c>
      <c r="J380" s="1480">
        <v>0</v>
      </c>
      <c r="K380" s="1480"/>
      <c r="L380" s="1480"/>
      <c r="M380" s="1480">
        <f t="shared" si="26"/>
        <v>0</v>
      </c>
      <c r="N380" s="1480">
        <f t="shared" si="27"/>
        <v>0</v>
      </c>
    </row>
    <row r="381" spans="1:16" ht="15.5" outlineLevel="1" x14ac:dyDescent="0.25">
      <c r="A381" s="1492">
        <v>0</v>
      </c>
      <c r="B381" s="1492" t="s">
        <v>1991</v>
      </c>
      <c r="C381" s="1488">
        <v>0</v>
      </c>
      <c r="D381" s="1413" t="s">
        <v>1873</v>
      </c>
      <c r="E381" s="560">
        <v>10</v>
      </c>
      <c r="F381" s="1480">
        <v>0</v>
      </c>
      <c r="G381" s="1480">
        <v>0</v>
      </c>
      <c r="H381" s="1480">
        <f t="shared" si="25"/>
        <v>0</v>
      </c>
      <c r="I381" s="1480">
        <v>0</v>
      </c>
      <c r="J381" s="1480">
        <v>0</v>
      </c>
      <c r="K381" s="1480"/>
      <c r="L381" s="1480"/>
      <c r="M381" s="1480">
        <f t="shared" si="26"/>
        <v>0</v>
      </c>
      <c r="N381" s="1480">
        <f t="shared" si="27"/>
        <v>0</v>
      </c>
    </row>
    <row r="382" spans="1:16" ht="15.5" outlineLevel="1" x14ac:dyDescent="0.25">
      <c r="A382" s="1486">
        <v>3</v>
      </c>
      <c r="B382" s="1491" t="s">
        <v>1992</v>
      </c>
      <c r="C382" s="1488">
        <v>0</v>
      </c>
      <c r="D382" s="1413" t="s">
        <v>1873</v>
      </c>
      <c r="E382" s="560">
        <v>25</v>
      </c>
      <c r="F382" s="1480">
        <v>0</v>
      </c>
      <c r="G382" s="1480">
        <v>0</v>
      </c>
      <c r="H382" s="1480">
        <f t="shared" si="25"/>
        <v>0</v>
      </c>
      <c r="I382" s="1480">
        <v>0</v>
      </c>
      <c r="J382" s="1480">
        <v>0</v>
      </c>
      <c r="K382" s="1480"/>
      <c r="L382" s="1480"/>
      <c r="M382" s="1480">
        <f t="shared" si="26"/>
        <v>0</v>
      </c>
      <c r="N382" s="1480">
        <f t="shared" si="27"/>
        <v>0</v>
      </c>
    </row>
    <row r="383" spans="1:16" ht="15.5" outlineLevel="1" x14ac:dyDescent="0.25">
      <c r="A383" s="1492">
        <v>0</v>
      </c>
      <c r="B383" s="1492" t="s">
        <v>1993</v>
      </c>
      <c r="C383" s="1488">
        <v>0</v>
      </c>
      <c r="D383" s="1413" t="s">
        <v>1873</v>
      </c>
      <c r="E383" s="560">
        <v>15</v>
      </c>
      <c r="F383" s="1480">
        <v>0</v>
      </c>
      <c r="G383" s="1480">
        <v>0</v>
      </c>
      <c r="H383" s="1480">
        <f t="shared" si="25"/>
        <v>0</v>
      </c>
      <c r="I383" s="1480">
        <v>0</v>
      </c>
      <c r="J383" s="1480">
        <v>0</v>
      </c>
      <c r="K383" s="1480"/>
      <c r="L383" s="1480"/>
      <c r="M383" s="1480">
        <f t="shared" si="26"/>
        <v>0</v>
      </c>
      <c r="N383" s="1480">
        <f t="shared" si="27"/>
        <v>0</v>
      </c>
    </row>
    <row r="384" spans="1:16" ht="31" outlineLevel="1" x14ac:dyDescent="0.25">
      <c r="A384" s="1492">
        <v>0</v>
      </c>
      <c r="B384" s="1492" t="s">
        <v>1994</v>
      </c>
      <c r="C384" s="1488">
        <v>0</v>
      </c>
      <c r="D384" s="1413" t="s">
        <v>1873</v>
      </c>
      <c r="E384" s="560">
        <v>5</v>
      </c>
      <c r="F384" s="1480">
        <v>0</v>
      </c>
      <c r="G384" s="1480">
        <v>0</v>
      </c>
      <c r="H384" s="1480">
        <f t="shared" si="25"/>
        <v>0</v>
      </c>
      <c r="I384" s="1480">
        <v>0</v>
      </c>
      <c r="J384" s="1480">
        <v>0</v>
      </c>
      <c r="K384" s="1480"/>
      <c r="L384" s="1480"/>
      <c r="M384" s="1480">
        <f t="shared" si="26"/>
        <v>0</v>
      </c>
      <c r="N384" s="1480">
        <f t="shared" si="27"/>
        <v>0</v>
      </c>
      <c r="O384" s="1481"/>
      <c r="P384" s="1427"/>
    </row>
    <row r="385" spans="1:16" ht="31" outlineLevel="1" x14ac:dyDescent="0.25">
      <c r="A385" s="1492">
        <v>0</v>
      </c>
      <c r="B385" s="1492" t="s">
        <v>1995</v>
      </c>
      <c r="C385" s="1488">
        <v>0</v>
      </c>
      <c r="D385" s="1413" t="s">
        <v>1873</v>
      </c>
      <c r="E385" s="560">
        <v>5</v>
      </c>
      <c r="F385" s="1480">
        <v>0</v>
      </c>
      <c r="G385" s="1480">
        <v>0</v>
      </c>
      <c r="H385" s="1480">
        <f t="shared" si="25"/>
        <v>0</v>
      </c>
      <c r="I385" s="1480">
        <v>0</v>
      </c>
      <c r="J385" s="1480">
        <v>0</v>
      </c>
      <c r="K385" s="1480"/>
      <c r="L385" s="1480"/>
      <c r="M385" s="1480">
        <f t="shared" si="26"/>
        <v>0</v>
      </c>
      <c r="N385" s="1480">
        <f t="shared" si="27"/>
        <v>0</v>
      </c>
    </row>
    <row r="386" spans="1:16" ht="15.5" outlineLevel="1" x14ac:dyDescent="0.25">
      <c r="A386" s="1504">
        <v>0</v>
      </c>
      <c r="B386" s="1504" t="s">
        <v>1996</v>
      </c>
      <c r="C386" s="1488">
        <v>0</v>
      </c>
      <c r="D386" s="1413" t="s">
        <v>1873</v>
      </c>
      <c r="E386" s="560">
        <v>0</v>
      </c>
      <c r="F386" s="1480">
        <v>0</v>
      </c>
      <c r="G386" s="1480">
        <v>0</v>
      </c>
      <c r="H386" s="1480">
        <f t="shared" si="25"/>
        <v>0</v>
      </c>
      <c r="I386" s="1480">
        <v>0</v>
      </c>
      <c r="J386" s="1480">
        <v>0</v>
      </c>
      <c r="K386" s="1480"/>
      <c r="L386" s="1480"/>
      <c r="M386" s="1480">
        <f t="shared" si="26"/>
        <v>0</v>
      </c>
      <c r="N386" s="1480">
        <f t="shared" si="27"/>
        <v>0</v>
      </c>
    </row>
    <row r="387" spans="1:16" ht="31" outlineLevel="1" x14ac:dyDescent="0.25">
      <c r="A387" s="1486">
        <v>1</v>
      </c>
      <c r="B387" s="1491" t="s">
        <v>1997</v>
      </c>
      <c r="C387" s="1488">
        <v>0</v>
      </c>
      <c r="D387" s="1413" t="s">
        <v>1873</v>
      </c>
      <c r="E387" s="560">
        <v>47.3</v>
      </c>
      <c r="F387" s="1480">
        <v>0</v>
      </c>
      <c r="G387" s="1480">
        <v>0</v>
      </c>
      <c r="H387" s="1480">
        <f t="shared" si="25"/>
        <v>0</v>
      </c>
      <c r="I387" s="1480">
        <v>0</v>
      </c>
      <c r="J387" s="1480">
        <v>0</v>
      </c>
      <c r="K387" s="1480"/>
      <c r="L387" s="1480"/>
      <c r="M387" s="1480">
        <f t="shared" si="26"/>
        <v>0</v>
      </c>
      <c r="N387" s="1480">
        <f t="shared" si="27"/>
        <v>0</v>
      </c>
    </row>
    <row r="388" spans="1:16" ht="15.5" outlineLevel="1" x14ac:dyDescent="0.25">
      <c r="A388" s="1492">
        <v>0</v>
      </c>
      <c r="B388" s="1492" t="s">
        <v>1998</v>
      </c>
      <c r="C388" s="1488">
        <v>0</v>
      </c>
      <c r="D388" s="1413" t="s">
        <v>1873</v>
      </c>
      <c r="E388" s="560">
        <v>47.3</v>
      </c>
      <c r="F388" s="1480">
        <v>0</v>
      </c>
      <c r="G388" s="1480">
        <v>0</v>
      </c>
      <c r="H388" s="1480">
        <f t="shared" si="25"/>
        <v>0</v>
      </c>
      <c r="I388" s="1480">
        <v>0</v>
      </c>
      <c r="J388" s="1480">
        <v>0</v>
      </c>
      <c r="K388" s="1480"/>
      <c r="L388" s="1480"/>
      <c r="M388" s="1480">
        <f t="shared" si="26"/>
        <v>0</v>
      </c>
      <c r="N388" s="1480">
        <f t="shared" si="27"/>
        <v>0</v>
      </c>
    </row>
    <row r="389" spans="1:16" ht="31" outlineLevel="1" x14ac:dyDescent="0.25">
      <c r="A389" s="1486">
        <v>2</v>
      </c>
      <c r="B389" s="1491" t="s">
        <v>1999</v>
      </c>
      <c r="C389" s="1488">
        <v>0</v>
      </c>
      <c r="D389" s="1413" t="s">
        <v>1873</v>
      </c>
      <c r="E389" s="560">
        <v>25.679999999999996</v>
      </c>
      <c r="F389" s="1480">
        <v>0</v>
      </c>
      <c r="G389" s="1480">
        <v>0</v>
      </c>
      <c r="H389" s="1480">
        <f t="shared" si="25"/>
        <v>0</v>
      </c>
      <c r="I389" s="1480">
        <v>0</v>
      </c>
      <c r="J389" s="1480">
        <v>0</v>
      </c>
      <c r="K389" s="1480"/>
      <c r="L389" s="1480"/>
      <c r="M389" s="1480">
        <f t="shared" si="26"/>
        <v>0</v>
      </c>
      <c r="N389" s="1480">
        <f t="shared" si="27"/>
        <v>0</v>
      </c>
      <c r="O389" s="1481"/>
      <c r="P389" s="1427"/>
    </row>
    <row r="390" spans="1:16" ht="31" outlineLevel="1" x14ac:dyDescent="0.25">
      <c r="A390" s="1492">
        <v>0</v>
      </c>
      <c r="B390" s="1492" t="s">
        <v>2000</v>
      </c>
      <c r="C390" s="1488">
        <v>0</v>
      </c>
      <c r="D390" s="1413" t="s">
        <v>1873</v>
      </c>
      <c r="E390" s="560">
        <v>12.52</v>
      </c>
      <c r="F390" s="1480">
        <v>0</v>
      </c>
      <c r="G390" s="1480">
        <v>0</v>
      </c>
      <c r="H390" s="1480">
        <f t="shared" si="25"/>
        <v>0</v>
      </c>
      <c r="I390" s="1480">
        <v>0</v>
      </c>
      <c r="J390" s="1480">
        <v>0</v>
      </c>
      <c r="K390" s="1480"/>
      <c r="L390" s="1480"/>
      <c r="M390" s="1480">
        <f t="shared" si="26"/>
        <v>0</v>
      </c>
      <c r="N390" s="1480">
        <f t="shared" si="27"/>
        <v>0</v>
      </c>
    </row>
    <row r="391" spans="1:16" ht="31" outlineLevel="1" x14ac:dyDescent="0.25">
      <c r="A391" s="1492">
        <v>0</v>
      </c>
      <c r="B391" s="1492" t="s">
        <v>2001</v>
      </c>
      <c r="C391" s="1488">
        <v>0</v>
      </c>
      <c r="D391" s="1413" t="s">
        <v>1873</v>
      </c>
      <c r="E391" s="560">
        <v>12.35</v>
      </c>
      <c r="F391" s="1480">
        <v>0</v>
      </c>
      <c r="G391" s="1480">
        <v>0</v>
      </c>
      <c r="H391" s="1480">
        <f t="shared" si="25"/>
        <v>0</v>
      </c>
      <c r="I391" s="1480">
        <v>0</v>
      </c>
      <c r="J391" s="1480">
        <v>0</v>
      </c>
      <c r="K391" s="1480"/>
      <c r="L391" s="1480"/>
      <c r="M391" s="1480">
        <f t="shared" si="26"/>
        <v>0</v>
      </c>
      <c r="N391" s="1480">
        <f t="shared" si="27"/>
        <v>0</v>
      </c>
      <c r="O391" s="1481"/>
      <c r="P391" s="1427"/>
    </row>
    <row r="392" spans="1:16" ht="15.5" outlineLevel="1" x14ac:dyDescent="0.25">
      <c r="A392" s="1492">
        <v>0</v>
      </c>
      <c r="B392" s="1492" t="s">
        <v>2002</v>
      </c>
      <c r="C392" s="1488">
        <v>0</v>
      </c>
      <c r="D392" s="1413" t="s">
        <v>1873</v>
      </c>
      <c r="E392" s="560">
        <v>0.81</v>
      </c>
      <c r="F392" s="1480">
        <v>0</v>
      </c>
      <c r="G392" s="1480">
        <v>0</v>
      </c>
      <c r="H392" s="1480">
        <f t="shared" si="25"/>
        <v>0</v>
      </c>
      <c r="I392" s="1480">
        <v>0</v>
      </c>
      <c r="J392" s="1480">
        <v>0</v>
      </c>
      <c r="K392" s="1480"/>
      <c r="L392" s="1480"/>
      <c r="M392" s="1480">
        <f t="shared" si="26"/>
        <v>0</v>
      </c>
      <c r="N392" s="1480">
        <f t="shared" si="27"/>
        <v>0</v>
      </c>
    </row>
    <row r="393" spans="1:16" ht="31" outlineLevel="1" x14ac:dyDescent="0.25">
      <c r="A393" s="1486">
        <v>3</v>
      </c>
      <c r="B393" s="1491" t="s">
        <v>2003</v>
      </c>
      <c r="C393" s="1488">
        <v>0</v>
      </c>
      <c r="D393" s="1413" t="s">
        <v>1873</v>
      </c>
      <c r="E393" s="560">
        <v>29</v>
      </c>
      <c r="F393" s="1480">
        <v>0</v>
      </c>
      <c r="G393" s="1480">
        <v>0</v>
      </c>
      <c r="H393" s="1480">
        <f t="shared" si="25"/>
        <v>0</v>
      </c>
      <c r="I393" s="1480">
        <v>0</v>
      </c>
      <c r="J393" s="1480">
        <v>0</v>
      </c>
      <c r="K393" s="1480"/>
      <c r="L393" s="1480"/>
      <c r="M393" s="1480">
        <f t="shared" si="26"/>
        <v>0</v>
      </c>
      <c r="N393" s="1480">
        <f t="shared" si="27"/>
        <v>0</v>
      </c>
      <c r="O393" s="1481"/>
      <c r="P393" s="1427"/>
    </row>
    <row r="394" spans="1:16" ht="31" outlineLevel="1" x14ac:dyDescent="0.25">
      <c r="A394" s="1492">
        <v>0</v>
      </c>
      <c r="B394" s="1492" t="s">
        <v>2004</v>
      </c>
      <c r="C394" s="1488">
        <v>0</v>
      </c>
      <c r="D394" s="1413" t="s">
        <v>1873</v>
      </c>
      <c r="E394" s="560">
        <v>14</v>
      </c>
      <c r="F394" s="1480">
        <v>0</v>
      </c>
      <c r="G394" s="1480">
        <v>0</v>
      </c>
      <c r="H394" s="1480">
        <f t="shared" si="25"/>
        <v>0</v>
      </c>
      <c r="I394" s="1480">
        <v>0</v>
      </c>
      <c r="J394" s="1480">
        <v>0</v>
      </c>
      <c r="K394" s="1480"/>
      <c r="L394" s="1480"/>
      <c r="M394" s="1480">
        <f t="shared" si="26"/>
        <v>0</v>
      </c>
      <c r="N394" s="1480">
        <f t="shared" si="27"/>
        <v>0</v>
      </c>
    </row>
    <row r="395" spans="1:16" ht="15.5" outlineLevel="1" x14ac:dyDescent="0.25">
      <c r="A395" s="1492">
        <v>0</v>
      </c>
      <c r="B395" s="1492" t="s">
        <v>2005</v>
      </c>
      <c r="C395" s="1488">
        <v>0</v>
      </c>
      <c r="D395" s="1413" t="s">
        <v>1873</v>
      </c>
      <c r="E395" s="560">
        <v>6.8000000000000007</v>
      </c>
      <c r="F395" s="1480">
        <v>0</v>
      </c>
      <c r="G395" s="1480">
        <v>0</v>
      </c>
      <c r="H395" s="1480">
        <f t="shared" ref="H395:H458" si="28">F395-G395</f>
        <v>0</v>
      </c>
      <c r="I395" s="1480">
        <v>0</v>
      </c>
      <c r="J395" s="1480">
        <v>0</v>
      </c>
      <c r="K395" s="1480"/>
      <c r="L395" s="1480"/>
      <c r="M395" s="1480">
        <f t="shared" ref="M395:M458" si="29">SUM(J395:L395)</f>
        <v>0</v>
      </c>
      <c r="N395" s="1480">
        <f t="shared" ref="N395:N458" si="30">H395+I395-M395</f>
        <v>0</v>
      </c>
    </row>
    <row r="396" spans="1:16" ht="31" outlineLevel="1" x14ac:dyDescent="0.25">
      <c r="A396" s="1492">
        <v>0</v>
      </c>
      <c r="B396" s="1492" t="s">
        <v>2006</v>
      </c>
      <c r="C396" s="1488">
        <v>0</v>
      </c>
      <c r="D396" s="1413" t="s">
        <v>1873</v>
      </c>
      <c r="E396" s="560">
        <v>1.8</v>
      </c>
      <c r="F396" s="1480">
        <v>0</v>
      </c>
      <c r="G396" s="1480">
        <v>0</v>
      </c>
      <c r="H396" s="1480">
        <f t="shared" si="28"/>
        <v>0</v>
      </c>
      <c r="I396" s="1480">
        <v>0</v>
      </c>
      <c r="J396" s="1480">
        <v>0</v>
      </c>
      <c r="K396" s="1480"/>
      <c r="L396" s="1480"/>
      <c r="M396" s="1480">
        <f t="shared" si="29"/>
        <v>0</v>
      </c>
      <c r="N396" s="1480">
        <f t="shared" si="30"/>
        <v>0</v>
      </c>
      <c r="O396" s="1481"/>
      <c r="P396" s="1427"/>
    </row>
    <row r="397" spans="1:16" ht="31" outlineLevel="1" x14ac:dyDescent="0.25">
      <c r="A397" s="1492">
        <v>0</v>
      </c>
      <c r="B397" s="1492" t="s">
        <v>2007</v>
      </c>
      <c r="C397" s="166">
        <v>0</v>
      </c>
      <c r="D397" s="1413" t="s">
        <v>1873</v>
      </c>
      <c r="E397" s="560">
        <v>6.4</v>
      </c>
      <c r="F397" s="1480">
        <v>0</v>
      </c>
      <c r="G397" s="1480">
        <v>0</v>
      </c>
      <c r="H397" s="1480">
        <f t="shared" si="28"/>
        <v>0</v>
      </c>
      <c r="I397" s="1480">
        <v>0</v>
      </c>
      <c r="J397" s="1480">
        <v>0</v>
      </c>
      <c r="K397" s="1480"/>
      <c r="L397" s="1480"/>
      <c r="M397" s="1480">
        <f t="shared" si="29"/>
        <v>0</v>
      </c>
      <c r="N397" s="1480">
        <f t="shared" si="30"/>
        <v>0</v>
      </c>
    </row>
    <row r="398" spans="1:16" ht="15.5" outlineLevel="1" x14ac:dyDescent="0.25">
      <c r="A398" s="1504">
        <v>0</v>
      </c>
      <c r="B398" s="1504" t="s">
        <v>2008</v>
      </c>
      <c r="C398" s="1488">
        <v>0</v>
      </c>
      <c r="D398" s="1413" t="s">
        <v>1873</v>
      </c>
      <c r="E398" s="560">
        <v>0</v>
      </c>
      <c r="F398" s="1480">
        <v>0</v>
      </c>
      <c r="G398" s="1480">
        <v>0</v>
      </c>
      <c r="H398" s="1480">
        <f t="shared" si="28"/>
        <v>0</v>
      </c>
      <c r="I398" s="1480">
        <v>0</v>
      </c>
      <c r="J398" s="1480">
        <v>0</v>
      </c>
      <c r="K398" s="1480"/>
      <c r="L398" s="1480"/>
      <c r="M398" s="1480">
        <f t="shared" si="29"/>
        <v>0</v>
      </c>
      <c r="N398" s="1480">
        <f t="shared" si="30"/>
        <v>0</v>
      </c>
      <c r="O398" s="1481"/>
      <c r="P398" s="1427"/>
    </row>
    <row r="399" spans="1:16" ht="62" outlineLevel="1" x14ac:dyDescent="0.25">
      <c r="A399" s="1486">
        <v>1</v>
      </c>
      <c r="B399" s="1491" t="s">
        <v>2009</v>
      </c>
      <c r="C399" s="1488">
        <v>0</v>
      </c>
      <c r="D399" s="1413" t="s">
        <v>1873</v>
      </c>
      <c r="E399" s="560">
        <v>48.607999999999997</v>
      </c>
      <c r="F399" s="1480">
        <v>0</v>
      </c>
      <c r="G399" s="1480">
        <v>0</v>
      </c>
      <c r="H399" s="1480">
        <f t="shared" si="28"/>
        <v>0</v>
      </c>
      <c r="I399" s="1480">
        <v>0</v>
      </c>
      <c r="J399" s="1480">
        <v>0</v>
      </c>
      <c r="K399" s="1480"/>
      <c r="L399" s="1480"/>
      <c r="M399" s="1480">
        <f t="shared" si="29"/>
        <v>0</v>
      </c>
      <c r="N399" s="1480">
        <f t="shared" si="30"/>
        <v>0</v>
      </c>
    </row>
    <row r="400" spans="1:16" ht="62" outlineLevel="1" x14ac:dyDescent="0.25">
      <c r="A400" s="1492">
        <v>0</v>
      </c>
      <c r="B400" s="1492" t="s">
        <v>2010</v>
      </c>
      <c r="C400" s="1488">
        <v>0</v>
      </c>
      <c r="D400" s="1413" t="s">
        <v>1873</v>
      </c>
      <c r="E400" s="560">
        <v>48.607999999999997</v>
      </c>
      <c r="F400" s="1480">
        <v>0</v>
      </c>
      <c r="G400" s="1480">
        <v>0</v>
      </c>
      <c r="H400" s="1480">
        <f t="shared" si="28"/>
        <v>0</v>
      </c>
      <c r="I400" s="1480">
        <v>0</v>
      </c>
      <c r="J400" s="1480">
        <v>0</v>
      </c>
      <c r="K400" s="1480"/>
      <c r="L400" s="1480"/>
      <c r="M400" s="1480">
        <f t="shared" si="29"/>
        <v>0</v>
      </c>
      <c r="N400" s="1480">
        <f t="shared" si="30"/>
        <v>0</v>
      </c>
      <c r="O400" s="1481"/>
      <c r="P400" s="1427"/>
    </row>
    <row r="401" spans="1:16" ht="62" outlineLevel="1" x14ac:dyDescent="0.25">
      <c r="A401" s="1486">
        <v>2</v>
      </c>
      <c r="B401" s="1491" t="s">
        <v>2011</v>
      </c>
      <c r="C401" s="1488">
        <v>0</v>
      </c>
      <c r="D401" s="1413" t="s">
        <v>1873</v>
      </c>
      <c r="E401" s="560">
        <v>25.39</v>
      </c>
      <c r="F401" s="1480">
        <v>0</v>
      </c>
      <c r="G401" s="1480">
        <v>0</v>
      </c>
      <c r="H401" s="1480">
        <f t="shared" si="28"/>
        <v>0</v>
      </c>
      <c r="I401" s="1480">
        <v>0</v>
      </c>
      <c r="J401" s="1480">
        <v>0</v>
      </c>
      <c r="K401" s="1480"/>
      <c r="L401" s="1480"/>
      <c r="M401" s="1480">
        <f t="shared" si="29"/>
        <v>0</v>
      </c>
      <c r="N401" s="1480">
        <f t="shared" si="30"/>
        <v>0</v>
      </c>
    </row>
    <row r="402" spans="1:16" ht="31" outlineLevel="1" x14ac:dyDescent="0.25">
      <c r="A402" s="1492">
        <v>0</v>
      </c>
      <c r="B402" s="1492" t="s">
        <v>2012</v>
      </c>
      <c r="C402" s="1488">
        <v>0</v>
      </c>
      <c r="D402" s="1413" t="s">
        <v>1873</v>
      </c>
      <c r="E402" s="560">
        <v>6</v>
      </c>
      <c r="F402" s="1480">
        <v>0</v>
      </c>
      <c r="G402" s="1480">
        <v>0</v>
      </c>
      <c r="H402" s="1480">
        <f t="shared" si="28"/>
        <v>0</v>
      </c>
      <c r="I402" s="1480">
        <v>0</v>
      </c>
      <c r="J402" s="1480">
        <v>0</v>
      </c>
      <c r="K402" s="1480"/>
      <c r="L402" s="1480"/>
      <c r="M402" s="1480">
        <f t="shared" si="29"/>
        <v>0</v>
      </c>
      <c r="N402" s="1480">
        <f t="shared" si="30"/>
        <v>0</v>
      </c>
      <c r="O402" s="1481"/>
      <c r="P402" s="1427"/>
    </row>
    <row r="403" spans="1:16" ht="31" outlineLevel="1" x14ac:dyDescent="0.25">
      <c r="A403" s="1492">
        <v>0</v>
      </c>
      <c r="B403" s="1492" t="s">
        <v>2013</v>
      </c>
      <c r="C403" s="1488">
        <v>0</v>
      </c>
      <c r="D403" s="1413" t="s">
        <v>1873</v>
      </c>
      <c r="E403" s="560">
        <v>3.89</v>
      </c>
      <c r="F403" s="1480">
        <v>0</v>
      </c>
      <c r="G403" s="1480">
        <v>0</v>
      </c>
      <c r="H403" s="1480">
        <f t="shared" si="28"/>
        <v>0</v>
      </c>
      <c r="I403" s="1480">
        <v>0</v>
      </c>
      <c r="J403" s="1480">
        <v>0</v>
      </c>
      <c r="K403" s="1480"/>
      <c r="L403" s="1480"/>
      <c r="M403" s="1480">
        <f t="shared" si="29"/>
        <v>0</v>
      </c>
      <c r="N403" s="1480">
        <f t="shared" si="30"/>
        <v>0</v>
      </c>
    </row>
    <row r="404" spans="1:16" ht="46.5" outlineLevel="1" x14ac:dyDescent="0.25">
      <c r="A404" s="1492">
        <v>0</v>
      </c>
      <c r="B404" s="1492" t="s">
        <v>2014</v>
      </c>
      <c r="C404" s="1488">
        <v>0</v>
      </c>
      <c r="D404" s="1413" t="s">
        <v>1873</v>
      </c>
      <c r="E404" s="560">
        <v>3</v>
      </c>
      <c r="F404" s="1480">
        <v>0</v>
      </c>
      <c r="G404" s="1480">
        <v>0</v>
      </c>
      <c r="H404" s="1480">
        <f t="shared" si="28"/>
        <v>0</v>
      </c>
      <c r="I404" s="1480">
        <v>0</v>
      </c>
      <c r="J404" s="1480">
        <v>0</v>
      </c>
      <c r="K404" s="1480"/>
      <c r="L404" s="1480"/>
      <c r="M404" s="1480">
        <f t="shared" si="29"/>
        <v>0</v>
      </c>
      <c r="N404" s="1480">
        <f t="shared" si="30"/>
        <v>0</v>
      </c>
      <c r="O404" s="1481"/>
      <c r="P404" s="1427"/>
    </row>
    <row r="405" spans="1:16" ht="31" outlineLevel="1" x14ac:dyDescent="0.25">
      <c r="A405" s="1492">
        <v>0</v>
      </c>
      <c r="B405" s="1492" t="s">
        <v>2015</v>
      </c>
      <c r="C405" s="1488">
        <v>0</v>
      </c>
      <c r="D405" s="1413" t="s">
        <v>1873</v>
      </c>
      <c r="E405" s="560">
        <v>3.5</v>
      </c>
      <c r="F405" s="1480">
        <v>0</v>
      </c>
      <c r="G405" s="1480">
        <v>0</v>
      </c>
      <c r="H405" s="1480">
        <f t="shared" si="28"/>
        <v>0</v>
      </c>
      <c r="I405" s="1480">
        <v>0</v>
      </c>
      <c r="J405" s="1480">
        <v>0</v>
      </c>
      <c r="K405" s="1480"/>
      <c r="L405" s="1480"/>
      <c r="M405" s="1480">
        <f t="shared" si="29"/>
        <v>0</v>
      </c>
      <c r="N405" s="1480">
        <f t="shared" si="30"/>
        <v>0</v>
      </c>
    </row>
    <row r="406" spans="1:16" ht="31" outlineLevel="1" x14ac:dyDescent="0.25">
      <c r="A406" s="1492">
        <v>0</v>
      </c>
      <c r="B406" s="1492" t="s">
        <v>2016</v>
      </c>
      <c r="C406" s="1488">
        <v>0</v>
      </c>
      <c r="D406" s="1413" t="s">
        <v>1873</v>
      </c>
      <c r="E406" s="560">
        <v>3</v>
      </c>
      <c r="F406" s="1480">
        <v>0</v>
      </c>
      <c r="G406" s="1480">
        <v>0</v>
      </c>
      <c r="H406" s="1480">
        <f t="shared" si="28"/>
        <v>0</v>
      </c>
      <c r="I406" s="1480">
        <v>0</v>
      </c>
      <c r="J406" s="1480">
        <v>0</v>
      </c>
      <c r="K406" s="1480"/>
      <c r="L406" s="1480"/>
      <c r="M406" s="1480">
        <f t="shared" si="29"/>
        <v>0</v>
      </c>
      <c r="N406" s="1480">
        <f t="shared" si="30"/>
        <v>0</v>
      </c>
      <c r="O406" s="1481"/>
      <c r="P406" s="1427"/>
    </row>
    <row r="407" spans="1:16" ht="31" outlineLevel="1" x14ac:dyDescent="0.25">
      <c r="A407" s="1492">
        <v>0</v>
      </c>
      <c r="B407" s="1492" t="s">
        <v>2017</v>
      </c>
      <c r="C407" s="1488">
        <v>0</v>
      </c>
      <c r="D407" s="1413" t="s">
        <v>1873</v>
      </c>
      <c r="E407" s="560">
        <v>3</v>
      </c>
      <c r="F407" s="1480">
        <v>0</v>
      </c>
      <c r="G407" s="1480">
        <v>0</v>
      </c>
      <c r="H407" s="1480">
        <f t="shared" si="28"/>
        <v>0</v>
      </c>
      <c r="I407" s="1480">
        <v>0</v>
      </c>
      <c r="J407" s="1480">
        <v>0</v>
      </c>
      <c r="K407" s="1480"/>
      <c r="L407" s="1480"/>
      <c r="M407" s="1480">
        <f t="shared" si="29"/>
        <v>0</v>
      </c>
      <c r="N407" s="1480">
        <f t="shared" si="30"/>
        <v>0</v>
      </c>
    </row>
    <row r="408" spans="1:16" ht="31" outlineLevel="1" x14ac:dyDescent="0.25">
      <c r="A408" s="1492">
        <v>0</v>
      </c>
      <c r="B408" s="1492" t="s">
        <v>2018</v>
      </c>
      <c r="C408" s="1488">
        <v>0</v>
      </c>
      <c r="D408" s="1413" t="s">
        <v>1873</v>
      </c>
      <c r="E408" s="560">
        <v>3</v>
      </c>
      <c r="F408" s="1480">
        <v>0</v>
      </c>
      <c r="G408" s="1480">
        <v>0</v>
      </c>
      <c r="H408" s="1480">
        <f t="shared" si="28"/>
        <v>0</v>
      </c>
      <c r="I408" s="1480">
        <v>0</v>
      </c>
      <c r="J408" s="1480">
        <v>0</v>
      </c>
      <c r="K408" s="1480"/>
      <c r="L408" s="1480"/>
      <c r="M408" s="1480">
        <f t="shared" si="29"/>
        <v>0</v>
      </c>
      <c r="N408" s="1480">
        <f t="shared" si="30"/>
        <v>0</v>
      </c>
    </row>
    <row r="409" spans="1:16" ht="31" outlineLevel="1" x14ac:dyDescent="0.25">
      <c r="A409" s="1486">
        <v>3</v>
      </c>
      <c r="B409" s="1491" t="s">
        <v>2019</v>
      </c>
      <c r="C409" s="1488">
        <v>0</v>
      </c>
      <c r="D409" s="1413" t="s">
        <v>1873</v>
      </c>
      <c r="E409" s="560">
        <v>30</v>
      </c>
      <c r="F409" s="1480">
        <v>0</v>
      </c>
      <c r="G409" s="1480">
        <v>0</v>
      </c>
      <c r="H409" s="1480">
        <f t="shared" si="28"/>
        <v>0</v>
      </c>
      <c r="I409" s="1480">
        <v>0</v>
      </c>
      <c r="J409" s="1480">
        <v>0</v>
      </c>
      <c r="K409" s="1480"/>
      <c r="L409" s="1480"/>
      <c r="M409" s="1480">
        <f t="shared" si="29"/>
        <v>0</v>
      </c>
      <c r="N409" s="1480">
        <f t="shared" si="30"/>
        <v>0</v>
      </c>
      <c r="O409" s="1481"/>
      <c r="P409" s="1427"/>
    </row>
    <row r="410" spans="1:16" ht="31" outlineLevel="1" x14ac:dyDescent="0.25">
      <c r="A410" s="1492">
        <v>0</v>
      </c>
      <c r="B410" s="1492" t="s">
        <v>2019</v>
      </c>
      <c r="C410" s="1488">
        <v>0</v>
      </c>
      <c r="D410" s="1413" t="s">
        <v>1873</v>
      </c>
      <c r="E410" s="560">
        <v>30</v>
      </c>
      <c r="F410" s="1480">
        <v>0</v>
      </c>
      <c r="G410" s="1480">
        <v>0</v>
      </c>
      <c r="H410" s="1480">
        <f t="shared" si="28"/>
        <v>0</v>
      </c>
      <c r="I410" s="1480">
        <v>0</v>
      </c>
      <c r="J410" s="1480">
        <v>0</v>
      </c>
      <c r="K410" s="1480"/>
      <c r="L410" s="1480"/>
      <c r="M410" s="1480">
        <f t="shared" si="29"/>
        <v>0</v>
      </c>
      <c r="N410" s="1480">
        <f t="shared" si="30"/>
        <v>0</v>
      </c>
    </row>
    <row r="411" spans="1:16" ht="31" outlineLevel="1" x14ac:dyDescent="0.25">
      <c r="A411" s="1486">
        <v>4</v>
      </c>
      <c r="B411" s="1491" t="s">
        <v>2020</v>
      </c>
      <c r="C411" s="1488">
        <v>0</v>
      </c>
      <c r="D411" s="1413" t="s">
        <v>1873</v>
      </c>
      <c r="E411" s="560">
        <v>60</v>
      </c>
      <c r="F411" s="1480">
        <v>0</v>
      </c>
      <c r="G411" s="1480">
        <v>0</v>
      </c>
      <c r="H411" s="1480">
        <f t="shared" si="28"/>
        <v>0</v>
      </c>
      <c r="I411" s="1480">
        <v>0</v>
      </c>
      <c r="J411" s="1480">
        <v>0</v>
      </c>
      <c r="K411" s="1480"/>
      <c r="L411" s="1480"/>
      <c r="M411" s="1480">
        <f t="shared" si="29"/>
        <v>0</v>
      </c>
      <c r="N411" s="1480">
        <f t="shared" si="30"/>
        <v>0</v>
      </c>
      <c r="O411" s="1481"/>
      <c r="P411" s="1427"/>
    </row>
    <row r="412" spans="1:16" ht="31" outlineLevel="1" x14ac:dyDescent="0.25">
      <c r="A412" s="1492">
        <v>0</v>
      </c>
      <c r="B412" s="1492" t="s">
        <v>2020</v>
      </c>
      <c r="C412" s="1488">
        <v>0</v>
      </c>
      <c r="D412" s="1413" t="s">
        <v>1873</v>
      </c>
      <c r="E412" s="560">
        <v>60</v>
      </c>
      <c r="F412" s="1480">
        <v>0</v>
      </c>
      <c r="G412" s="1480">
        <v>0</v>
      </c>
      <c r="H412" s="1480">
        <f t="shared" si="28"/>
        <v>0</v>
      </c>
      <c r="I412" s="1480">
        <v>0</v>
      </c>
      <c r="J412" s="1480">
        <v>0</v>
      </c>
      <c r="K412" s="1480"/>
      <c r="L412" s="1480"/>
      <c r="M412" s="1480">
        <f t="shared" si="29"/>
        <v>0</v>
      </c>
      <c r="N412" s="1480">
        <f t="shared" si="30"/>
        <v>0</v>
      </c>
    </row>
    <row r="413" spans="1:16" ht="15.5" outlineLevel="1" x14ac:dyDescent="0.25">
      <c r="A413" s="1486">
        <v>5</v>
      </c>
      <c r="B413" s="1491" t="s">
        <v>2021</v>
      </c>
      <c r="C413" s="1488">
        <v>0</v>
      </c>
      <c r="D413" s="1413" t="s">
        <v>1873</v>
      </c>
      <c r="E413" s="560">
        <v>26.4</v>
      </c>
      <c r="F413" s="1480">
        <v>0</v>
      </c>
      <c r="G413" s="1480">
        <v>0</v>
      </c>
      <c r="H413" s="1480">
        <f t="shared" si="28"/>
        <v>0</v>
      </c>
      <c r="I413" s="1480">
        <v>0</v>
      </c>
      <c r="J413" s="1480">
        <v>0</v>
      </c>
      <c r="K413" s="1480"/>
      <c r="L413" s="1480"/>
      <c r="M413" s="1480">
        <f t="shared" si="29"/>
        <v>0</v>
      </c>
      <c r="N413" s="1480">
        <f t="shared" si="30"/>
        <v>0</v>
      </c>
      <c r="O413" s="1481"/>
      <c r="P413" s="1427"/>
    </row>
    <row r="414" spans="1:16" ht="31" outlineLevel="1" x14ac:dyDescent="0.25">
      <c r="A414" s="1492">
        <v>0</v>
      </c>
      <c r="B414" s="1492" t="s">
        <v>2022</v>
      </c>
      <c r="C414" s="1488">
        <v>0</v>
      </c>
      <c r="D414" s="1413" t="s">
        <v>1873</v>
      </c>
      <c r="E414" s="560">
        <v>8.1999999999999993</v>
      </c>
      <c r="F414" s="1480">
        <v>0</v>
      </c>
      <c r="G414" s="1480">
        <v>0</v>
      </c>
      <c r="H414" s="1480">
        <f t="shared" si="28"/>
        <v>0</v>
      </c>
      <c r="I414" s="1480">
        <v>0</v>
      </c>
      <c r="J414" s="1480">
        <v>0</v>
      </c>
      <c r="K414" s="1480"/>
      <c r="L414" s="1480"/>
      <c r="M414" s="1480">
        <f t="shared" si="29"/>
        <v>0</v>
      </c>
      <c r="N414" s="1480">
        <f t="shared" si="30"/>
        <v>0</v>
      </c>
    </row>
    <row r="415" spans="1:16" ht="31" outlineLevel="1" x14ac:dyDescent="0.25">
      <c r="A415" s="1492">
        <v>0</v>
      </c>
      <c r="B415" s="1492" t="s">
        <v>2023</v>
      </c>
      <c r="C415" s="1488">
        <v>0</v>
      </c>
      <c r="D415" s="1413" t="s">
        <v>1873</v>
      </c>
      <c r="E415" s="560">
        <v>2.4500000000000002</v>
      </c>
      <c r="F415" s="1480">
        <v>0</v>
      </c>
      <c r="G415" s="1480">
        <v>0</v>
      </c>
      <c r="H415" s="1480">
        <f t="shared" si="28"/>
        <v>0</v>
      </c>
      <c r="I415" s="1480">
        <v>0</v>
      </c>
      <c r="J415" s="1480">
        <v>0</v>
      </c>
      <c r="K415" s="1480"/>
      <c r="L415" s="1480"/>
      <c r="M415" s="1480">
        <f t="shared" si="29"/>
        <v>0</v>
      </c>
      <c r="N415" s="1480">
        <f t="shared" si="30"/>
        <v>0</v>
      </c>
      <c r="O415" s="1481"/>
      <c r="P415" s="1427"/>
    </row>
    <row r="416" spans="1:16" ht="31" outlineLevel="1" x14ac:dyDescent="0.25">
      <c r="A416" s="1492">
        <v>0</v>
      </c>
      <c r="B416" s="1492" t="s">
        <v>2024</v>
      </c>
      <c r="C416" s="1488">
        <v>0</v>
      </c>
      <c r="D416" s="1413" t="s">
        <v>1873</v>
      </c>
      <c r="E416" s="560">
        <v>15.75</v>
      </c>
      <c r="F416" s="1480">
        <v>0</v>
      </c>
      <c r="G416" s="1480">
        <v>0</v>
      </c>
      <c r="H416" s="1480">
        <f t="shared" si="28"/>
        <v>0</v>
      </c>
      <c r="I416" s="1480">
        <v>0</v>
      </c>
      <c r="J416" s="1480">
        <v>0</v>
      </c>
      <c r="K416" s="1480"/>
      <c r="L416" s="1480"/>
      <c r="M416" s="1480">
        <f t="shared" si="29"/>
        <v>0</v>
      </c>
      <c r="N416" s="1480">
        <f t="shared" si="30"/>
        <v>0</v>
      </c>
    </row>
    <row r="417" spans="1:16" ht="15.5" outlineLevel="1" x14ac:dyDescent="0.25">
      <c r="A417" s="1504">
        <v>0</v>
      </c>
      <c r="B417" s="1504" t="s">
        <v>2025</v>
      </c>
      <c r="C417" s="1488">
        <v>0</v>
      </c>
      <c r="D417" s="1413" t="s">
        <v>1873</v>
      </c>
      <c r="E417" s="560">
        <v>0</v>
      </c>
      <c r="F417" s="1480">
        <v>0</v>
      </c>
      <c r="G417" s="1480">
        <v>0</v>
      </c>
      <c r="H417" s="1480">
        <f t="shared" si="28"/>
        <v>0</v>
      </c>
      <c r="I417" s="1480">
        <v>0</v>
      </c>
      <c r="J417" s="1480">
        <v>0</v>
      </c>
      <c r="K417" s="1480"/>
      <c r="L417" s="1480"/>
      <c r="M417" s="1480">
        <f t="shared" si="29"/>
        <v>0</v>
      </c>
      <c r="N417" s="1480">
        <f t="shared" si="30"/>
        <v>0</v>
      </c>
      <c r="O417" s="1481"/>
      <c r="P417" s="1427"/>
    </row>
    <row r="418" spans="1:16" ht="31" outlineLevel="1" x14ac:dyDescent="0.25">
      <c r="A418" s="1486">
        <v>1</v>
      </c>
      <c r="B418" s="1491" t="s">
        <v>2026</v>
      </c>
      <c r="C418" s="1488">
        <v>0</v>
      </c>
      <c r="D418" s="1413" t="s">
        <v>1873</v>
      </c>
      <c r="E418" s="560">
        <v>58</v>
      </c>
      <c r="F418" s="1480">
        <v>0</v>
      </c>
      <c r="G418" s="1480">
        <v>0</v>
      </c>
      <c r="H418" s="1480">
        <f t="shared" si="28"/>
        <v>0</v>
      </c>
      <c r="I418" s="1480">
        <v>0</v>
      </c>
      <c r="J418" s="1480">
        <v>0</v>
      </c>
      <c r="K418" s="1480"/>
      <c r="L418" s="1480"/>
      <c r="M418" s="1480">
        <f t="shared" si="29"/>
        <v>0</v>
      </c>
      <c r="N418" s="1480">
        <f t="shared" si="30"/>
        <v>0</v>
      </c>
    </row>
    <row r="419" spans="1:16" ht="31" outlineLevel="1" x14ac:dyDescent="0.25">
      <c r="A419" s="1492">
        <v>0</v>
      </c>
      <c r="B419" s="1492" t="s">
        <v>2027</v>
      </c>
      <c r="C419" s="1488">
        <v>0</v>
      </c>
      <c r="D419" s="1413" t="s">
        <v>1873</v>
      </c>
      <c r="E419" s="560">
        <v>38</v>
      </c>
      <c r="F419" s="1480">
        <v>0</v>
      </c>
      <c r="G419" s="1480">
        <v>0</v>
      </c>
      <c r="H419" s="1480">
        <f t="shared" si="28"/>
        <v>0</v>
      </c>
      <c r="I419" s="1480">
        <v>0</v>
      </c>
      <c r="J419" s="1480">
        <v>0</v>
      </c>
      <c r="K419" s="1480"/>
      <c r="L419" s="1480"/>
      <c r="M419" s="1480">
        <f t="shared" si="29"/>
        <v>0</v>
      </c>
      <c r="N419" s="1480">
        <f t="shared" si="30"/>
        <v>0</v>
      </c>
      <c r="O419" s="1481"/>
      <c r="P419" s="1427"/>
    </row>
    <row r="420" spans="1:16" ht="31" outlineLevel="1" x14ac:dyDescent="0.25">
      <c r="A420" s="1492">
        <v>0</v>
      </c>
      <c r="B420" s="1492" t="s">
        <v>2028</v>
      </c>
      <c r="C420" s="1488">
        <v>0</v>
      </c>
      <c r="D420" s="1413" t="s">
        <v>1873</v>
      </c>
      <c r="E420" s="560">
        <v>15</v>
      </c>
      <c r="F420" s="1480">
        <v>0</v>
      </c>
      <c r="G420" s="1480">
        <v>0</v>
      </c>
      <c r="H420" s="1480">
        <f t="shared" si="28"/>
        <v>0</v>
      </c>
      <c r="I420" s="1480">
        <v>0</v>
      </c>
      <c r="J420" s="1480">
        <v>0</v>
      </c>
      <c r="K420" s="1480"/>
      <c r="L420" s="1480"/>
      <c r="M420" s="1480">
        <f t="shared" si="29"/>
        <v>0</v>
      </c>
      <c r="N420" s="1480">
        <f t="shared" si="30"/>
        <v>0</v>
      </c>
    </row>
    <row r="421" spans="1:16" ht="31" outlineLevel="1" x14ac:dyDescent="0.25">
      <c r="A421" s="1492">
        <v>0</v>
      </c>
      <c r="B421" s="1492" t="s">
        <v>2029</v>
      </c>
      <c r="C421" s="1488">
        <v>0</v>
      </c>
      <c r="D421" s="1413" t="s">
        <v>1873</v>
      </c>
      <c r="E421" s="560">
        <v>5</v>
      </c>
      <c r="F421" s="1480">
        <v>0</v>
      </c>
      <c r="G421" s="1480">
        <v>0</v>
      </c>
      <c r="H421" s="1480">
        <f t="shared" si="28"/>
        <v>0</v>
      </c>
      <c r="I421" s="1480">
        <v>0</v>
      </c>
      <c r="J421" s="1480">
        <v>0</v>
      </c>
      <c r="K421" s="1480"/>
      <c r="L421" s="1480"/>
      <c r="M421" s="1480">
        <f t="shared" si="29"/>
        <v>0</v>
      </c>
      <c r="N421" s="1480">
        <f t="shared" si="30"/>
        <v>0</v>
      </c>
    </row>
    <row r="422" spans="1:16" ht="77.5" outlineLevel="1" x14ac:dyDescent="0.25">
      <c r="A422" s="1486">
        <v>2</v>
      </c>
      <c r="B422" s="1491" t="s">
        <v>2030</v>
      </c>
      <c r="C422" s="1488">
        <v>0</v>
      </c>
      <c r="D422" s="1413" t="s">
        <v>1873</v>
      </c>
      <c r="E422" s="560">
        <v>33</v>
      </c>
      <c r="F422" s="1480">
        <v>0</v>
      </c>
      <c r="G422" s="1480">
        <v>0</v>
      </c>
      <c r="H422" s="1480">
        <f t="shared" si="28"/>
        <v>0</v>
      </c>
      <c r="I422" s="1480">
        <v>0</v>
      </c>
      <c r="J422" s="1480">
        <v>0</v>
      </c>
      <c r="K422" s="1480"/>
      <c r="L422" s="1480"/>
      <c r="M422" s="1480">
        <f t="shared" si="29"/>
        <v>0</v>
      </c>
      <c r="N422" s="1480">
        <f t="shared" si="30"/>
        <v>0</v>
      </c>
    </row>
    <row r="423" spans="1:16" ht="31" outlineLevel="1" x14ac:dyDescent="0.25">
      <c r="A423" s="1492">
        <v>0</v>
      </c>
      <c r="B423" s="1492" t="s">
        <v>2031</v>
      </c>
      <c r="C423" s="1488">
        <v>0</v>
      </c>
      <c r="D423" s="1413" t="s">
        <v>1873</v>
      </c>
      <c r="E423" s="560">
        <v>12</v>
      </c>
      <c r="F423" s="1480">
        <v>0</v>
      </c>
      <c r="G423" s="1480">
        <v>0</v>
      </c>
      <c r="H423" s="1480">
        <f t="shared" si="28"/>
        <v>0</v>
      </c>
      <c r="I423" s="1480">
        <v>0</v>
      </c>
      <c r="J423" s="1480">
        <v>0</v>
      </c>
      <c r="K423" s="1480"/>
      <c r="L423" s="1480"/>
      <c r="M423" s="1480">
        <f t="shared" si="29"/>
        <v>0</v>
      </c>
      <c r="N423" s="1480">
        <f t="shared" si="30"/>
        <v>0</v>
      </c>
    </row>
    <row r="424" spans="1:16" ht="15.5" outlineLevel="1" x14ac:dyDescent="0.25">
      <c r="A424" s="1492">
        <v>0</v>
      </c>
      <c r="B424" s="1492" t="s">
        <v>2032</v>
      </c>
      <c r="C424" s="1488">
        <v>0</v>
      </c>
      <c r="D424" s="1413" t="s">
        <v>1873</v>
      </c>
      <c r="E424" s="560">
        <v>10</v>
      </c>
      <c r="F424" s="1480">
        <v>0</v>
      </c>
      <c r="G424" s="1480">
        <v>0</v>
      </c>
      <c r="H424" s="1480">
        <f t="shared" si="28"/>
        <v>0</v>
      </c>
      <c r="I424" s="1480">
        <v>0</v>
      </c>
      <c r="J424" s="1480">
        <v>0</v>
      </c>
      <c r="K424" s="1480"/>
      <c r="L424" s="1480"/>
      <c r="M424" s="1480">
        <f t="shared" si="29"/>
        <v>0</v>
      </c>
      <c r="N424" s="1480">
        <f t="shared" si="30"/>
        <v>0</v>
      </c>
      <c r="O424" s="1481"/>
      <c r="P424" s="1427"/>
    </row>
    <row r="425" spans="1:16" ht="31" outlineLevel="1" x14ac:dyDescent="0.25">
      <c r="A425" s="1492">
        <v>0</v>
      </c>
      <c r="B425" s="1492" t="s">
        <v>2033</v>
      </c>
      <c r="C425" s="1488">
        <v>0</v>
      </c>
      <c r="D425" s="1413" t="s">
        <v>1873</v>
      </c>
      <c r="E425" s="560">
        <v>5.5</v>
      </c>
      <c r="F425" s="1480">
        <v>0</v>
      </c>
      <c r="G425" s="1480">
        <v>0</v>
      </c>
      <c r="H425" s="1480">
        <f t="shared" si="28"/>
        <v>0</v>
      </c>
      <c r="I425" s="1480">
        <v>0</v>
      </c>
      <c r="J425" s="1480">
        <v>0</v>
      </c>
      <c r="K425" s="1480"/>
      <c r="L425" s="1480"/>
      <c r="M425" s="1480">
        <f t="shared" si="29"/>
        <v>0</v>
      </c>
      <c r="N425" s="1480">
        <f t="shared" si="30"/>
        <v>0</v>
      </c>
    </row>
    <row r="426" spans="1:16" ht="31" outlineLevel="1" x14ac:dyDescent="0.25">
      <c r="A426" s="1492">
        <v>0</v>
      </c>
      <c r="B426" s="1492" t="s">
        <v>2034</v>
      </c>
      <c r="C426" s="1488">
        <v>0</v>
      </c>
      <c r="D426" s="1413" t="s">
        <v>1873</v>
      </c>
      <c r="E426" s="560">
        <v>5.5</v>
      </c>
      <c r="F426" s="1480">
        <v>0</v>
      </c>
      <c r="G426" s="1480">
        <v>0</v>
      </c>
      <c r="H426" s="1480">
        <f t="shared" si="28"/>
        <v>0</v>
      </c>
      <c r="I426" s="1480">
        <v>0</v>
      </c>
      <c r="J426" s="1480">
        <v>0</v>
      </c>
      <c r="K426" s="1480"/>
      <c r="L426" s="1480"/>
      <c r="M426" s="1480">
        <f t="shared" si="29"/>
        <v>0</v>
      </c>
      <c r="N426" s="1480">
        <f t="shared" si="30"/>
        <v>0</v>
      </c>
    </row>
    <row r="427" spans="1:16" ht="31" outlineLevel="1" x14ac:dyDescent="0.25">
      <c r="A427" s="1486">
        <v>3</v>
      </c>
      <c r="B427" s="1491" t="s">
        <v>2035</v>
      </c>
      <c r="C427" s="1488">
        <v>0</v>
      </c>
      <c r="D427" s="1413" t="s">
        <v>1873</v>
      </c>
      <c r="E427" s="560">
        <v>32</v>
      </c>
      <c r="F427" s="1480">
        <v>0</v>
      </c>
      <c r="G427" s="1480">
        <v>0</v>
      </c>
      <c r="H427" s="1480">
        <f t="shared" si="28"/>
        <v>0</v>
      </c>
      <c r="I427" s="1480">
        <v>0</v>
      </c>
      <c r="J427" s="1480">
        <v>0</v>
      </c>
      <c r="K427" s="1480"/>
      <c r="L427" s="1480"/>
      <c r="M427" s="1480">
        <f t="shared" si="29"/>
        <v>0</v>
      </c>
      <c r="N427" s="1480">
        <f t="shared" si="30"/>
        <v>0</v>
      </c>
    </row>
    <row r="428" spans="1:16" ht="15.5" outlineLevel="1" x14ac:dyDescent="0.25">
      <c r="A428" s="1492">
        <v>0</v>
      </c>
      <c r="B428" s="1492" t="s">
        <v>2036</v>
      </c>
      <c r="C428" s="1488">
        <v>0</v>
      </c>
      <c r="D428" s="1413" t="s">
        <v>1873</v>
      </c>
      <c r="E428" s="560">
        <v>12</v>
      </c>
      <c r="F428" s="1480">
        <v>0</v>
      </c>
      <c r="G428" s="1480">
        <v>0</v>
      </c>
      <c r="H428" s="1480">
        <f t="shared" si="28"/>
        <v>0</v>
      </c>
      <c r="I428" s="1480">
        <v>0</v>
      </c>
      <c r="J428" s="1480">
        <v>0</v>
      </c>
      <c r="K428" s="1480"/>
      <c r="L428" s="1480"/>
      <c r="M428" s="1480">
        <f t="shared" si="29"/>
        <v>0</v>
      </c>
      <c r="N428" s="1480">
        <f t="shared" si="30"/>
        <v>0</v>
      </c>
      <c r="O428" s="1481"/>
      <c r="P428" s="1427"/>
    </row>
    <row r="429" spans="1:16" ht="15.5" outlineLevel="1" x14ac:dyDescent="0.25">
      <c r="A429" s="1492">
        <v>0</v>
      </c>
      <c r="B429" s="1492" t="s">
        <v>2037</v>
      </c>
      <c r="C429" s="1488">
        <v>0</v>
      </c>
      <c r="D429" s="1413" t="s">
        <v>1873</v>
      </c>
      <c r="E429" s="560">
        <v>9</v>
      </c>
      <c r="F429" s="1480">
        <v>0</v>
      </c>
      <c r="G429" s="1480">
        <v>0</v>
      </c>
      <c r="H429" s="1480">
        <f t="shared" si="28"/>
        <v>0</v>
      </c>
      <c r="I429" s="1480">
        <v>0</v>
      </c>
      <c r="J429" s="1480">
        <v>0</v>
      </c>
      <c r="K429" s="1480"/>
      <c r="L429" s="1480"/>
      <c r="M429" s="1480">
        <f t="shared" si="29"/>
        <v>0</v>
      </c>
      <c r="N429" s="1480">
        <f t="shared" si="30"/>
        <v>0</v>
      </c>
    </row>
    <row r="430" spans="1:16" ht="31" outlineLevel="1" x14ac:dyDescent="0.25">
      <c r="A430" s="1492">
        <v>0</v>
      </c>
      <c r="B430" s="1492" t="s">
        <v>2038</v>
      </c>
      <c r="C430" s="1488">
        <v>0</v>
      </c>
      <c r="D430" s="1413" t="s">
        <v>1873</v>
      </c>
      <c r="E430" s="560">
        <v>5</v>
      </c>
      <c r="F430" s="1480">
        <v>0</v>
      </c>
      <c r="G430" s="1480">
        <v>0</v>
      </c>
      <c r="H430" s="1480">
        <f t="shared" si="28"/>
        <v>0</v>
      </c>
      <c r="I430" s="1480">
        <v>0</v>
      </c>
      <c r="J430" s="1480">
        <v>0</v>
      </c>
      <c r="K430" s="1480"/>
      <c r="L430" s="1480"/>
      <c r="M430" s="1480">
        <f t="shared" si="29"/>
        <v>0</v>
      </c>
      <c r="N430" s="1480">
        <f t="shared" si="30"/>
        <v>0</v>
      </c>
    </row>
    <row r="431" spans="1:16" ht="31" outlineLevel="1" x14ac:dyDescent="0.25">
      <c r="A431" s="1492">
        <v>0</v>
      </c>
      <c r="B431" s="1492" t="s">
        <v>2039</v>
      </c>
      <c r="C431" s="1488">
        <v>0</v>
      </c>
      <c r="D431" s="1413" t="s">
        <v>1873</v>
      </c>
      <c r="E431" s="560">
        <v>6</v>
      </c>
      <c r="F431" s="1480">
        <v>0</v>
      </c>
      <c r="G431" s="1480">
        <v>0</v>
      </c>
      <c r="H431" s="1480">
        <f t="shared" si="28"/>
        <v>0</v>
      </c>
      <c r="I431" s="1480">
        <v>0</v>
      </c>
      <c r="J431" s="1480">
        <v>0</v>
      </c>
      <c r="K431" s="1480"/>
      <c r="L431" s="1480"/>
      <c r="M431" s="1480">
        <f t="shared" si="29"/>
        <v>0</v>
      </c>
      <c r="N431" s="1480">
        <f t="shared" si="30"/>
        <v>0</v>
      </c>
    </row>
    <row r="432" spans="1:16" ht="15.5" outlineLevel="1" x14ac:dyDescent="0.25">
      <c r="A432" s="1504">
        <v>0</v>
      </c>
      <c r="B432" s="1504" t="s">
        <v>2040</v>
      </c>
      <c r="C432" s="1488">
        <v>0</v>
      </c>
      <c r="D432" s="1413" t="s">
        <v>1873</v>
      </c>
      <c r="E432" s="560">
        <v>0</v>
      </c>
      <c r="F432" s="1480">
        <v>0</v>
      </c>
      <c r="G432" s="1480">
        <v>0</v>
      </c>
      <c r="H432" s="1480">
        <f t="shared" si="28"/>
        <v>0</v>
      </c>
      <c r="I432" s="1480">
        <v>0</v>
      </c>
      <c r="J432" s="1480">
        <v>0</v>
      </c>
      <c r="K432" s="1480"/>
      <c r="L432" s="1480"/>
      <c r="M432" s="1480">
        <f t="shared" si="29"/>
        <v>0</v>
      </c>
      <c r="N432" s="1480">
        <f t="shared" si="30"/>
        <v>0</v>
      </c>
    </row>
    <row r="433" spans="1:16" ht="31" outlineLevel="1" x14ac:dyDescent="0.25">
      <c r="A433" s="1486">
        <v>1</v>
      </c>
      <c r="B433" s="1491" t="s">
        <v>2041</v>
      </c>
      <c r="C433" s="1488">
        <v>0</v>
      </c>
      <c r="D433" s="1413" t="s">
        <v>1873</v>
      </c>
      <c r="E433" s="560">
        <v>85.69</v>
      </c>
      <c r="F433" s="1480">
        <v>0</v>
      </c>
      <c r="G433" s="1480">
        <v>0</v>
      </c>
      <c r="H433" s="1480">
        <f t="shared" si="28"/>
        <v>0</v>
      </c>
      <c r="I433" s="1480">
        <v>0</v>
      </c>
      <c r="J433" s="1480">
        <v>0</v>
      </c>
      <c r="K433" s="1480"/>
      <c r="L433" s="1480"/>
      <c r="M433" s="1480">
        <f t="shared" si="29"/>
        <v>0</v>
      </c>
      <c r="N433" s="1480">
        <f t="shared" si="30"/>
        <v>0</v>
      </c>
      <c r="O433" s="1481"/>
      <c r="P433" s="1427"/>
    </row>
    <row r="434" spans="1:16" ht="31" outlineLevel="1" x14ac:dyDescent="0.25">
      <c r="A434" s="1492">
        <v>0</v>
      </c>
      <c r="B434" s="1492" t="s">
        <v>2041</v>
      </c>
      <c r="C434" s="1488">
        <v>0</v>
      </c>
      <c r="D434" s="1413" t="s">
        <v>1873</v>
      </c>
      <c r="E434" s="560">
        <v>85.679999999999993</v>
      </c>
      <c r="F434" s="1480">
        <v>0</v>
      </c>
      <c r="G434" s="1480">
        <v>0</v>
      </c>
      <c r="H434" s="1480">
        <f t="shared" si="28"/>
        <v>0</v>
      </c>
      <c r="I434" s="1480">
        <v>0</v>
      </c>
      <c r="J434" s="1480">
        <v>0</v>
      </c>
      <c r="K434" s="1480"/>
      <c r="L434" s="1480"/>
      <c r="M434" s="1480">
        <f t="shared" si="29"/>
        <v>0</v>
      </c>
      <c r="N434" s="1480">
        <f t="shared" si="30"/>
        <v>0</v>
      </c>
    </row>
    <row r="435" spans="1:16" ht="62" outlineLevel="1" x14ac:dyDescent="0.25">
      <c r="A435" s="1486">
        <v>2</v>
      </c>
      <c r="B435" s="1491" t="s">
        <v>2042</v>
      </c>
      <c r="C435" s="1488">
        <v>0</v>
      </c>
      <c r="D435" s="1413" t="s">
        <v>1873</v>
      </c>
      <c r="E435" s="560">
        <v>32.28</v>
      </c>
      <c r="F435" s="1480">
        <v>0</v>
      </c>
      <c r="G435" s="1480">
        <v>0</v>
      </c>
      <c r="H435" s="1480">
        <f t="shared" si="28"/>
        <v>0</v>
      </c>
      <c r="I435" s="1480">
        <v>0</v>
      </c>
      <c r="J435" s="1480">
        <v>0</v>
      </c>
      <c r="K435" s="1480"/>
      <c r="L435" s="1480"/>
      <c r="M435" s="1480">
        <f t="shared" si="29"/>
        <v>0</v>
      </c>
      <c r="N435" s="1480">
        <f t="shared" si="30"/>
        <v>0</v>
      </c>
    </row>
    <row r="436" spans="1:16" ht="62" outlineLevel="1" x14ac:dyDescent="0.25">
      <c r="A436" s="1492">
        <v>0</v>
      </c>
      <c r="B436" s="1492" t="s">
        <v>2042</v>
      </c>
      <c r="C436" s="1488">
        <v>0</v>
      </c>
      <c r="D436" s="1413" t="s">
        <v>1873</v>
      </c>
      <c r="E436" s="560">
        <v>32.28</v>
      </c>
      <c r="F436" s="1480">
        <v>0</v>
      </c>
      <c r="G436" s="1480">
        <v>0</v>
      </c>
      <c r="H436" s="1480">
        <f t="shared" si="28"/>
        <v>0</v>
      </c>
      <c r="I436" s="1480">
        <v>0</v>
      </c>
      <c r="J436" s="1480">
        <v>0</v>
      </c>
      <c r="K436" s="1480"/>
      <c r="L436" s="1480"/>
      <c r="M436" s="1480">
        <f t="shared" si="29"/>
        <v>0</v>
      </c>
      <c r="N436" s="1480">
        <f t="shared" si="30"/>
        <v>0</v>
      </c>
    </row>
    <row r="437" spans="1:16" ht="31" outlineLevel="1" x14ac:dyDescent="0.25">
      <c r="A437" s="1486">
        <v>3</v>
      </c>
      <c r="B437" s="1491" t="s">
        <v>2043</v>
      </c>
      <c r="C437" s="1488">
        <v>0</v>
      </c>
      <c r="D437" s="1413" t="s">
        <v>1873</v>
      </c>
      <c r="E437" s="560">
        <v>30</v>
      </c>
      <c r="F437" s="1480">
        <v>0</v>
      </c>
      <c r="G437" s="1480">
        <v>0</v>
      </c>
      <c r="H437" s="1480">
        <f t="shared" si="28"/>
        <v>0</v>
      </c>
      <c r="I437" s="1480">
        <v>0</v>
      </c>
      <c r="J437" s="1480">
        <v>0</v>
      </c>
      <c r="K437" s="1480"/>
      <c r="L437" s="1480"/>
      <c r="M437" s="1480">
        <f t="shared" si="29"/>
        <v>0</v>
      </c>
      <c r="N437" s="1480">
        <f t="shared" si="30"/>
        <v>0</v>
      </c>
    </row>
    <row r="438" spans="1:16" ht="31" outlineLevel="1" x14ac:dyDescent="0.25">
      <c r="A438" s="1492">
        <v>0</v>
      </c>
      <c r="B438" s="1492" t="s">
        <v>2043</v>
      </c>
      <c r="C438" s="1488">
        <v>0</v>
      </c>
      <c r="D438" s="1413" t="s">
        <v>1873</v>
      </c>
      <c r="E438" s="560">
        <v>30</v>
      </c>
      <c r="F438" s="1480">
        <v>0</v>
      </c>
      <c r="G438" s="1480">
        <v>0</v>
      </c>
      <c r="H438" s="1480">
        <f t="shared" si="28"/>
        <v>0</v>
      </c>
      <c r="I438" s="1480">
        <v>0</v>
      </c>
      <c r="J438" s="1480">
        <v>0</v>
      </c>
      <c r="K438" s="1480"/>
      <c r="L438" s="1480"/>
      <c r="M438" s="1480">
        <f t="shared" si="29"/>
        <v>0</v>
      </c>
      <c r="N438" s="1480">
        <f t="shared" si="30"/>
        <v>0</v>
      </c>
    </row>
    <row r="439" spans="1:16" ht="62" outlineLevel="1" x14ac:dyDescent="0.25">
      <c r="A439" s="1486">
        <v>4</v>
      </c>
      <c r="B439" s="1491" t="s">
        <v>2044</v>
      </c>
      <c r="C439" s="1488">
        <v>0</v>
      </c>
      <c r="D439" s="1413" t="s">
        <v>1873</v>
      </c>
      <c r="E439" s="560">
        <v>25</v>
      </c>
      <c r="F439" s="1480">
        <v>0</v>
      </c>
      <c r="G439" s="1480">
        <v>0</v>
      </c>
      <c r="H439" s="1480">
        <f t="shared" si="28"/>
        <v>0</v>
      </c>
      <c r="I439" s="1480">
        <v>0</v>
      </c>
      <c r="J439" s="1480">
        <v>0</v>
      </c>
      <c r="K439" s="1480"/>
      <c r="L439" s="1480"/>
      <c r="M439" s="1480">
        <f t="shared" si="29"/>
        <v>0</v>
      </c>
      <c r="N439" s="1480">
        <f t="shared" si="30"/>
        <v>0</v>
      </c>
      <c r="O439" s="1481"/>
      <c r="P439" s="1427"/>
    </row>
    <row r="440" spans="1:16" ht="77.5" outlineLevel="1" x14ac:dyDescent="0.25">
      <c r="A440" s="1492">
        <v>0</v>
      </c>
      <c r="B440" s="1492" t="s">
        <v>2044</v>
      </c>
      <c r="C440" s="1488">
        <v>0</v>
      </c>
      <c r="D440" s="1413" t="s">
        <v>1873</v>
      </c>
      <c r="E440" s="560">
        <v>25</v>
      </c>
      <c r="F440" s="1480">
        <v>0</v>
      </c>
      <c r="G440" s="1480">
        <v>0</v>
      </c>
      <c r="H440" s="1480">
        <f t="shared" si="28"/>
        <v>0</v>
      </c>
      <c r="I440" s="1480">
        <v>0</v>
      </c>
      <c r="J440" s="1480">
        <v>0</v>
      </c>
      <c r="K440" s="1480"/>
      <c r="L440" s="1480"/>
      <c r="M440" s="1480">
        <f t="shared" si="29"/>
        <v>0</v>
      </c>
      <c r="N440" s="1480">
        <f t="shared" si="30"/>
        <v>0</v>
      </c>
    </row>
    <row r="441" spans="1:16" ht="31" outlineLevel="1" x14ac:dyDescent="0.25">
      <c r="A441" s="1486">
        <v>5</v>
      </c>
      <c r="B441" s="1491" t="s">
        <v>2045</v>
      </c>
      <c r="C441" s="1488">
        <v>0</v>
      </c>
      <c r="D441" s="1413" t="s">
        <v>1873</v>
      </c>
      <c r="E441" s="560">
        <v>25</v>
      </c>
      <c r="F441" s="1480">
        <v>0</v>
      </c>
      <c r="G441" s="1480">
        <v>0</v>
      </c>
      <c r="H441" s="1480">
        <f t="shared" si="28"/>
        <v>0</v>
      </c>
      <c r="I441" s="1480">
        <v>0</v>
      </c>
      <c r="J441" s="1480">
        <v>0</v>
      </c>
      <c r="K441" s="1480"/>
      <c r="L441" s="1480"/>
      <c r="M441" s="1480">
        <f t="shared" si="29"/>
        <v>0</v>
      </c>
      <c r="N441" s="1480">
        <f t="shared" si="30"/>
        <v>0</v>
      </c>
      <c r="O441" s="1481"/>
      <c r="P441" s="1427"/>
    </row>
    <row r="442" spans="1:16" ht="31" outlineLevel="1" x14ac:dyDescent="0.25">
      <c r="A442" s="1492">
        <v>0</v>
      </c>
      <c r="B442" s="1492" t="s">
        <v>2045</v>
      </c>
      <c r="C442" s="1488">
        <v>0</v>
      </c>
      <c r="D442" s="1413" t="s">
        <v>1873</v>
      </c>
      <c r="E442" s="560">
        <v>25</v>
      </c>
      <c r="F442" s="1480">
        <v>0</v>
      </c>
      <c r="G442" s="1480">
        <v>0</v>
      </c>
      <c r="H442" s="1480">
        <f t="shared" si="28"/>
        <v>0</v>
      </c>
      <c r="I442" s="1480">
        <v>0</v>
      </c>
      <c r="J442" s="1480">
        <v>0</v>
      </c>
      <c r="K442" s="1480"/>
      <c r="L442" s="1480"/>
      <c r="M442" s="1480">
        <f t="shared" si="29"/>
        <v>0</v>
      </c>
      <c r="N442" s="1480">
        <f t="shared" si="30"/>
        <v>0</v>
      </c>
    </row>
    <row r="443" spans="1:16" ht="108.5" outlineLevel="1" x14ac:dyDescent="0.25">
      <c r="A443" s="1486">
        <v>6</v>
      </c>
      <c r="B443" s="1491" t="s">
        <v>2046</v>
      </c>
      <c r="C443" s="1488">
        <v>0</v>
      </c>
      <c r="D443" s="1413" t="s">
        <v>1873</v>
      </c>
      <c r="E443" s="560">
        <v>40</v>
      </c>
      <c r="F443" s="1480">
        <v>0</v>
      </c>
      <c r="G443" s="1480">
        <v>0</v>
      </c>
      <c r="H443" s="1480">
        <f t="shared" si="28"/>
        <v>0</v>
      </c>
      <c r="I443" s="1480">
        <v>0</v>
      </c>
      <c r="J443" s="1480">
        <v>0</v>
      </c>
      <c r="K443" s="1480"/>
      <c r="L443" s="1480"/>
      <c r="M443" s="1480">
        <f t="shared" si="29"/>
        <v>0</v>
      </c>
      <c r="N443" s="1480">
        <f t="shared" si="30"/>
        <v>0</v>
      </c>
      <c r="O443" s="1481"/>
      <c r="P443" s="1427"/>
    </row>
    <row r="444" spans="1:16" ht="108.5" outlineLevel="1" x14ac:dyDescent="0.25">
      <c r="A444" s="1492">
        <v>0</v>
      </c>
      <c r="B444" s="1492" t="s">
        <v>2046</v>
      </c>
      <c r="C444" s="1488">
        <v>0</v>
      </c>
      <c r="D444" s="1413" t="s">
        <v>1873</v>
      </c>
      <c r="E444" s="560">
        <v>40</v>
      </c>
      <c r="F444" s="1480">
        <v>0</v>
      </c>
      <c r="G444" s="1480">
        <v>0</v>
      </c>
      <c r="H444" s="1480">
        <f t="shared" si="28"/>
        <v>0</v>
      </c>
      <c r="I444" s="1480">
        <v>0</v>
      </c>
      <c r="J444" s="1480">
        <v>0</v>
      </c>
      <c r="K444" s="1480"/>
      <c r="L444" s="1480"/>
      <c r="M444" s="1480">
        <f t="shared" si="29"/>
        <v>0</v>
      </c>
      <c r="N444" s="1480">
        <f t="shared" si="30"/>
        <v>0</v>
      </c>
    </row>
    <row r="445" spans="1:16" ht="46.5" outlineLevel="1" x14ac:dyDescent="0.25">
      <c r="A445" s="1486">
        <v>7</v>
      </c>
      <c r="B445" s="1491" t="s">
        <v>2047</v>
      </c>
      <c r="C445" s="1488">
        <v>0</v>
      </c>
      <c r="D445" s="1413" t="s">
        <v>1873</v>
      </c>
      <c r="E445" s="560">
        <v>40</v>
      </c>
      <c r="F445" s="1480">
        <v>0</v>
      </c>
      <c r="G445" s="1480">
        <v>0</v>
      </c>
      <c r="H445" s="1480">
        <f t="shared" si="28"/>
        <v>0</v>
      </c>
      <c r="I445" s="1480">
        <v>0</v>
      </c>
      <c r="J445" s="1480">
        <v>0</v>
      </c>
      <c r="K445" s="1480"/>
      <c r="L445" s="1480"/>
      <c r="M445" s="1480">
        <f t="shared" si="29"/>
        <v>0</v>
      </c>
      <c r="N445" s="1480">
        <f t="shared" si="30"/>
        <v>0</v>
      </c>
      <c r="O445" s="1481"/>
      <c r="P445" s="1427"/>
    </row>
    <row r="446" spans="1:16" ht="46.5" outlineLevel="1" x14ac:dyDescent="0.25">
      <c r="A446" s="1492">
        <v>0</v>
      </c>
      <c r="B446" s="1492" t="s">
        <v>2047</v>
      </c>
      <c r="C446" s="1488">
        <v>0</v>
      </c>
      <c r="D446" s="1413" t="s">
        <v>1873</v>
      </c>
      <c r="E446" s="560">
        <v>40</v>
      </c>
      <c r="F446" s="1480">
        <v>0</v>
      </c>
      <c r="G446" s="1480">
        <v>0</v>
      </c>
      <c r="H446" s="1480">
        <f t="shared" si="28"/>
        <v>0</v>
      </c>
      <c r="I446" s="1480">
        <v>0</v>
      </c>
      <c r="J446" s="1480">
        <v>0</v>
      </c>
      <c r="K446" s="1480"/>
      <c r="L446" s="1480"/>
      <c r="M446" s="1480">
        <f t="shared" si="29"/>
        <v>0</v>
      </c>
      <c r="N446" s="1480">
        <f t="shared" si="30"/>
        <v>0</v>
      </c>
    </row>
    <row r="447" spans="1:16" ht="46.5" outlineLevel="1" x14ac:dyDescent="0.25">
      <c r="A447" s="1486">
        <v>8</v>
      </c>
      <c r="B447" s="1491" t="s">
        <v>2048</v>
      </c>
      <c r="C447" s="1488">
        <v>0</v>
      </c>
      <c r="D447" s="1413" t="s">
        <v>1873</v>
      </c>
      <c r="E447" s="560">
        <v>52</v>
      </c>
      <c r="F447" s="1480">
        <v>0</v>
      </c>
      <c r="G447" s="1480">
        <v>0</v>
      </c>
      <c r="H447" s="1480">
        <f t="shared" si="28"/>
        <v>0</v>
      </c>
      <c r="I447" s="1480">
        <v>0</v>
      </c>
      <c r="J447" s="1480">
        <v>0</v>
      </c>
      <c r="K447" s="1480"/>
      <c r="L447" s="1480"/>
      <c r="M447" s="1480">
        <f t="shared" si="29"/>
        <v>0</v>
      </c>
      <c r="N447" s="1480">
        <f t="shared" si="30"/>
        <v>0</v>
      </c>
      <c r="O447" s="1481"/>
      <c r="P447" s="1427"/>
    </row>
    <row r="448" spans="1:16" ht="46.5" outlineLevel="1" x14ac:dyDescent="0.25">
      <c r="A448" s="1492">
        <v>0</v>
      </c>
      <c r="B448" s="1492" t="s">
        <v>2048</v>
      </c>
      <c r="C448" s="1488">
        <v>0</v>
      </c>
      <c r="D448" s="1413" t="s">
        <v>1873</v>
      </c>
      <c r="E448" s="560">
        <v>52</v>
      </c>
      <c r="F448" s="1480">
        <v>0</v>
      </c>
      <c r="G448" s="1480">
        <v>0</v>
      </c>
      <c r="H448" s="1480">
        <f t="shared" si="28"/>
        <v>0</v>
      </c>
      <c r="I448" s="1480">
        <v>0</v>
      </c>
      <c r="J448" s="1480">
        <v>0</v>
      </c>
      <c r="K448" s="1480"/>
      <c r="L448" s="1480"/>
      <c r="M448" s="1480">
        <f t="shared" si="29"/>
        <v>0</v>
      </c>
      <c r="N448" s="1480">
        <f t="shared" si="30"/>
        <v>0</v>
      </c>
    </row>
    <row r="449" spans="1:16" ht="31" outlineLevel="1" x14ac:dyDescent="0.25">
      <c r="A449" s="1486">
        <v>9</v>
      </c>
      <c r="B449" s="1491" t="s">
        <v>2049</v>
      </c>
      <c r="C449" s="1488">
        <v>0</v>
      </c>
      <c r="D449" s="1413" t="s">
        <v>1873</v>
      </c>
      <c r="E449" s="560">
        <v>30</v>
      </c>
      <c r="F449" s="1480">
        <v>0</v>
      </c>
      <c r="G449" s="1480">
        <v>0</v>
      </c>
      <c r="H449" s="1480">
        <f t="shared" si="28"/>
        <v>0</v>
      </c>
      <c r="I449" s="1480">
        <v>0</v>
      </c>
      <c r="J449" s="1480">
        <v>0</v>
      </c>
      <c r="K449" s="1480"/>
      <c r="L449" s="1480"/>
      <c r="M449" s="1480">
        <f t="shared" si="29"/>
        <v>0</v>
      </c>
      <c r="N449" s="1480">
        <f t="shared" si="30"/>
        <v>0</v>
      </c>
      <c r="O449" s="1481"/>
      <c r="P449" s="1427"/>
    </row>
    <row r="450" spans="1:16" ht="46.5" outlineLevel="1" x14ac:dyDescent="0.25">
      <c r="A450" s="1492">
        <v>0</v>
      </c>
      <c r="B450" s="1492" t="s">
        <v>2050</v>
      </c>
      <c r="C450" s="1488">
        <v>0</v>
      </c>
      <c r="D450" s="1413" t="s">
        <v>1873</v>
      </c>
      <c r="E450" s="560">
        <v>30</v>
      </c>
      <c r="F450" s="1480">
        <v>0</v>
      </c>
      <c r="G450" s="1480">
        <v>0</v>
      </c>
      <c r="H450" s="1480">
        <f t="shared" si="28"/>
        <v>0</v>
      </c>
      <c r="I450" s="1480">
        <v>0</v>
      </c>
      <c r="J450" s="1480">
        <v>0</v>
      </c>
      <c r="K450" s="1480"/>
      <c r="L450" s="1480"/>
      <c r="M450" s="1480">
        <f t="shared" si="29"/>
        <v>0</v>
      </c>
      <c r="N450" s="1480">
        <f t="shared" si="30"/>
        <v>0</v>
      </c>
    </row>
    <row r="451" spans="1:16" ht="46.5" outlineLevel="1" x14ac:dyDescent="0.25">
      <c r="A451" s="1486">
        <v>10</v>
      </c>
      <c r="B451" s="1491" t="s">
        <v>2051</v>
      </c>
      <c r="C451" s="1488">
        <v>0</v>
      </c>
      <c r="D451" s="1413" t="s">
        <v>1873</v>
      </c>
      <c r="E451" s="560">
        <v>52.62</v>
      </c>
      <c r="F451" s="1480">
        <v>0</v>
      </c>
      <c r="G451" s="1480">
        <v>0</v>
      </c>
      <c r="H451" s="1480">
        <f t="shared" si="28"/>
        <v>0</v>
      </c>
      <c r="I451" s="1480">
        <v>0</v>
      </c>
      <c r="J451" s="1480">
        <v>0</v>
      </c>
      <c r="K451" s="1480"/>
      <c r="L451" s="1480"/>
      <c r="M451" s="1480">
        <f t="shared" si="29"/>
        <v>0</v>
      </c>
      <c r="N451" s="1480">
        <f t="shared" si="30"/>
        <v>0</v>
      </c>
      <c r="O451" s="1481"/>
      <c r="P451" s="1427"/>
    </row>
    <row r="452" spans="1:16" ht="46.5" outlineLevel="1" x14ac:dyDescent="0.25">
      <c r="A452" s="1492">
        <v>0</v>
      </c>
      <c r="B452" s="1492" t="s">
        <v>2051</v>
      </c>
      <c r="C452" s="1488">
        <v>0</v>
      </c>
      <c r="D452" s="1413" t="s">
        <v>1873</v>
      </c>
      <c r="E452" s="560">
        <v>52.62</v>
      </c>
      <c r="F452" s="1480">
        <v>0</v>
      </c>
      <c r="G452" s="1480">
        <v>0</v>
      </c>
      <c r="H452" s="1480">
        <f t="shared" si="28"/>
        <v>0</v>
      </c>
      <c r="I452" s="1480">
        <v>0</v>
      </c>
      <c r="J452" s="1480">
        <v>0</v>
      </c>
      <c r="K452" s="1480"/>
      <c r="L452" s="1480"/>
      <c r="M452" s="1480">
        <f t="shared" si="29"/>
        <v>0</v>
      </c>
      <c r="N452" s="1480">
        <f t="shared" si="30"/>
        <v>0</v>
      </c>
    </row>
    <row r="453" spans="1:16" ht="15.5" outlineLevel="1" x14ac:dyDescent="0.25">
      <c r="A453" s="1504">
        <v>0</v>
      </c>
      <c r="B453" s="1504" t="s">
        <v>2052</v>
      </c>
      <c r="C453" s="1488">
        <v>0</v>
      </c>
      <c r="D453" s="1413" t="s">
        <v>1873</v>
      </c>
      <c r="E453" s="560">
        <v>0</v>
      </c>
      <c r="F453" s="1480">
        <v>0</v>
      </c>
      <c r="G453" s="1480">
        <v>0</v>
      </c>
      <c r="H453" s="1480">
        <f t="shared" si="28"/>
        <v>0</v>
      </c>
      <c r="I453" s="1480">
        <v>0</v>
      </c>
      <c r="J453" s="1480">
        <v>0</v>
      </c>
      <c r="K453" s="1480"/>
      <c r="L453" s="1480"/>
      <c r="M453" s="1480">
        <f t="shared" si="29"/>
        <v>0</v>
      </c>
      <c r="N453" s="1480">
        <f t="shared" si="30"/>
        <v>0</v>
      </c>
      <c r="O453" s="1481"/>
      <c r="P453" s="1427"/>
    </row>
    <row r="454" spans="1:16" ht="46.5" outlineLevel="1" x14ac:dyDescent="0.25">
      <c r="A454" s="1486">
        <v>1</v>
      </c>
      <c r="B454" s="1491" t="s">
        <v>2053</v>
      </c>
      <c r="C454" s="166">
        <v>0</v>
      </c>
      <c r="D454" s="1413" t="s">
        <v>1873</v>
      </c>
      <c r="E454" s="560">
        <v>25.42</v>
      </c>
      <c r="F454" s="1480">
        <v>0</v>
      </c>
      <c r="G454" s="1480">
        <v>0</v>
      </c>
      <c r="H454" s="1480">
        <f t="shared" si="28"/>
        <v>0</v>
      </c>
      <c r="I454" s="1480">
        <v>0</v>
      </c>
      <c r="J454" s="1480">
        <v>0</v>
      </c>
      <c r="K454" s="1480"/>
      <c r="L454" s="1480"/>
      <c r="M454" s="1480">
        <f t="shared" si="29"/>
        <v>0</v>
      </c>
      <c r="N454" s="1480">
        <f t="shared" si="30"/>
        <v>0</v>
      </c>
    </row>
    <row r="455" spans="1:16" ht="46.5" outlineLevel="1" x14ac:dyDescent="0.25">
      <c r="A455" s="1492">
        <v>0</v>
      </c>
      <c r="B455" s="1492" t="s">
        <v>2053</v>
      </c>
      <c r="C455" s="166">
        <v>0</v>
      </c>
      <c r="D455" s="1413" t="s">
        <v>1873</v>
      </c>
      <c r="E455" s="560">
        <v>25.42</v>
      </c>
      <c r="F455" s="1480">
        <v>0</v>
      </c>
      <c r="G455" s="1480">
        <v>0</v>
      </c>
      <c r="H455" s="1480">
        <f t="shared" si="28"/>
        <v>0</v>
      </c>
      <c r="I455" s="1480">
        <v>0</v>
      </c>
      <c r="J455" s="1480">
        <v>0</v>
      </c>
      <c r="K455" s="1480"/>
      <c r="L455" s="1480"/>
      <c r="M455" s="1480">
        <f t="shared" si="29"/>
        <v>0</v>
      </c>
      <c r="N455" s="1480">
        <f t="shared" si="30"/>
        <v>0</v>
      </c>
      <c r="O455" s="1481"/>
      <c r="P455" s="1427"/>
    </row>
    <row r="456" spans="1:16" ht="31" outlineLevel="1" x14ac:dyDescent="0.25">
      <c r="A456" s="1486">
        <v>2</v>
      </c>
      <c r="B456" s="1491" t="s">
        <v>2054</v>
      </c>
      <c r="C456" s="1488">
        <v>0</v>
      </c>
      <c r="D456" s="1413" t="s">
        <v>1873</v>
      </c>
      <c r="E456" s="560">
        <v>25</v>
      </c>
      <c r="F456" s="1480">
        <v>0</v>
      </c>
      <c r="G456" s="1480">
        <v>0</v>
      </c>
      <c r="H456" s="1480">
        <f t="shared" si="28"/>
        <v>0</v>
      </c>
      <c r="I456" s="1480">
        <v>0</v>
      </c>
      <c r="J456" s="1480">
        <v>0</v>
      </c>
      <c r="K456" s="1480"/>
      <c r="L456" s="1480"/>
      <c r="M456" s="1480">
        <f t="shared" si="29"/>
        <v>0</v>
      </c>
      <c r="N456" s="1480">
        <f t="shared" si="30"/>
        <v>0</v>
      </c>
    </row>
    <row r="457" spans="1:16" ht="46.5" outlineLevel="1" x14ac:dyDescent="0.25">
      <c r="A457" s="1492">
        <v>0</v>
      </c>
      <c r="B457" s="1492" t="s">
        <v>2055</v>
      </c>
      <c r="C457" s="1488">
        <v>0</v>
      </c>
      <c r="D457" s="1413" t="s">
        <v>1873</v>
      </c>
      <c r="E457" s="560">
        <v>25</v>
      </c>
      <c r="F457" s="1480">
        <v>0</v>
      </c>
      <c r="G457" s="1480">
        <v>0</v>
      </c>
      <c r="H457" s="1480">
        <f t="shared" si="28"/>
        <v>0</v>
      </c>
      <c r="I457" s="1480">
        <v>0</v>
      </c>
      <c r="J457" s="1480">
        <v>0</v>
      </c>
      <c r="K457" s="1480"/>
      <c r="L457" s="1480"/>
      <c r="M457" s="1480">
        <f t="shared" si="29"/>
        <v>0</v>
      </c>
      <c r="N457" s="1480">
        <f t="shared" si="30"/>
        <v>0</v>
      </c>
      <c r="O457" s="1481"/>
      <c r="P457" s="1427"/>
    </row>
    <row r="458" spans="1:16" ht="31" outlineLevel="1" x14ac:dyDescent="0.25">
      <c r="A458" s="1486">
        <v>3</v>
      </c>
      <c r="B458" s="1491" t="s">
        <v>2056</v>
      </c>
      <c r="C458" s="1488">
        <v>0</v>
      </c>
      <c r="D458" s="1413" t="s">
        <v>1873</v>
      </c>
      <c r="E458" s="560">
        <v>44.25</v>
      </c>
      <c r="F458" s="1480">
        <v>0</v>
      </c>
      <c r="G458" s="1480">
        <v>0</v>
      </c>
      <c r="H458" s="1480">
        <f t="shared" si="28"/>
        <v>0</v>
      </c>
      <c r="I458" s="1480">
        <v>0</v>
      </c>
      <c r="J458" s="1480">
        <v>0</v>
      </c>
      <c r="K458" s="1480"/>
      <c r="L458" s="1480"/>
      <c r="M458" s="1480">
        <f t="shared" si="29"/>
        <v>0</v>
      </c>
      <c r="N458" s="1480">
        <f t="shared" si="30"/>
        <v>0</v>
      </c>
    </row>
    <row r="459" spans="1:16" ht="31" outlineLevel="1" x14ac:dyDescent="0.25">
      <c r="A459" s="1492">
        <v>0</v>
      </c>
      <c r="B459" s="1492" t="s">
        <v>2057</v>
      </c>
      <c r="C459" s="1488">
        <v>0</v>
      </c>
      <c r="D459" s="1413" t="s">
        <v>1873</v>
      </c>
      <c r="E459" s="560">
        <v>7.2</v>
      </c>
      <c r="F459" s="1480">
        <v>0</v>
      </c>
      <c r="G459" s="1480">
        <v>0</v>
      </c>
      <c r="H459" s="1480">
        <f t="shared" ref="H459:H522" si="31">F459-G459</f>
        <v>0</v>
      </c>
      <c r="I459" s="1480">
        <v>0</v>
      </c>
      <c r="J459" s="1480">
        <v>0</v>
      </c>
      <c r="K459" s="1480"/>
      <c r="L459" s="1480"/>
      <c r="M459" s="1480">
        <f t="shared" ref="M459:M522" si="32">SUM(J459:L459)</f>
        <v>0</v>
      </c>
      <c r="N459" s="1480">
        <f t="shared" ref="N459:N522" si="33">H459+I459-M459</f>
        <v>0</v>
      </c>
      <c r="O459" s="1481"/>
      <c r="P459" s="1427"/>
    </row>
    <row r="460" spans="1:16" ht="31" outlineLevel="1" x14ac:dyDescent="0.25">
      <c r="A460" s="1492">
        <v>0</v>
      </c>
      <c r="B460" s="1492" t="s">
        <v>2058</v>
      </c>
      <c r="C460" s="1488">
        <v>0</v>
      </c>
      <c r="D460" s="1413" t="s">
        <v>1873</v>
      </c>
      <c r="E460" s="560">
        <v>11.2</v>
      </c>
      <c r="F460" s="1480">
        <v>0</v>
      </c>
      <c r="G460" s="1480">
        <v>0</v>
      </c>
      <c r="H460" s="1480">
        <f t="shared" si="31"/>
        <v>0</v>
      </c>
      <c r="I460" s="1480">
        <v>0</v>
      </c>
      <c r="J460" s="1480">
        <v>0</v>
      </c>
      <c r="K460" s="1480"/>
      <c r="L460" s="1480"/>
      <c r="M460" s="1480">
        <f t="shared" si="32"/>
        <v>0</v>
      </c>
      <c r="N460" s="1480">
        <f t="shared" si="33"/>
        <v>0</v>
      </c>
    </row>
    <row r="461" spans="1:16" ht="31" outlineLevel="1" x14ac:dyDescent="0.25">
      <c r="A461" s="1492">
        <v>0</v>
      </c>
      <c r="B461" s="1492" t="s">
        <v>2059</v>
      </c>
      <c r="C461" s="1488">
        <v>0</v>
      </c>
      <c r="D461" s="1413" t="s">
        <v>1873</v>
      </c>
      <c r="E461" s="560">
        <v>15.85</v>
      </c>
      <c r="F461" s="1480">
        <v>0</v>
      </c>
      <c r="G461" s="1480">
        <v>0</v>
      </c>
      <c r="H461" s="1480">
        <f t="shared" si="31"/>
        <v>0</v>
      </c>
      <c r="I461" s="1480">
        <v>0</v>
      </c>
      <c r="J461" s="1480">
        <v>0</v>
      </c>
      <c r="K461" s="1480"/>
      <c r="L461" s="1480"/>
      <c r="M461" s="1480">
        <f t="shared" si="32"/>
        <v>0</v>
      </c>
      <c r="N461" s="1480">
        <f t="shared" si="33"/>
        <v>0</v>
      </c>
    </row>
    <row r="462" spans="1:16" ht="31" outlineLevel="1" x14ac:dyDescent="0.25">
      <c r="A462" s="1492">
        <v>0</v>
      </c>
      <c r="B462" s="1492" t="s">
        <v>2060</v>
      </c>
      <c r="C462" s="1488">
        <v>0</v>
      </c>
      <c r="D462" s="1413" t="s">
        <v>1873</v>
      </c>
      <c r="E462" s="560">
        <v>8.5</v>
      </c>
      <c r="F462" s="1480">
        <v>0</v>
      </c>
      <c r="G462" s="1480">
        <v>0</v>
      </c>
      <c r="H462" s="1480">
        <f t="shared" si="31"/>
        <v>0</v>
      </c>
      <c r="I462" s="1480">
        <v>0</v>
      </c>
      <c r="J462" s="1480">
        <v>0</v>
      </c>
      <c r="K462" s="1480"/>
      <c r="L462" s="1480"/>
      <c r="M462" s="1480">
        <f t="shared" si="32"/>
        <v>0</v>
      </c>
      <c r="N462" s="1480">
        <f t="shared" si="33"/>
        <v>0</v>
      </c>
      <c r="O462" s="1481"/>
      <c r="P462" s="1427"/>
    </row>
    <row r="463" spans="1:16" ht="31" outlineLevel="1" x14ac:dyDescent="0.25">
      <c r="A463" s="1492">
        <v>0</v>
      </c>
      <c r="B463" s="1492" t="s">
        <v>2061</v>
      </c>
      <c r="C463" s="1488">
        <v>0</v>
      </c>
      <c r="D463" s="1413" t="s">
        <v>1873</v>
      </c>
      <c r="E463" s="560">
        <v>1.5</v>
      </c>
      <c r="F463" s="1480">
        <v>0</v>
      </c>
      <c r="G463" s="1480">
        <v>0</v>
      </c>
      <c r="H463" s="1480">
        <f t="shared" si="31"/>
        <v>0</v>
      </c>
      <c r="I463" s="1480">
        <v>0</v>
      </c>
      <c r="J463" s="1480">
        <v>0</v>
      </c>
      <c r="K463" s="1480"/>
      <c r="L463" s="1480"/>
      <c r="M463" s="1480">
        <f t="shared" si="32"/>
        <v>0</v>
      </c>
      <c r="N463" s="1480">
        <f t="shared" si="33"/>
        <v>0</v>
      </c>
    </row>
    <row r="464" spans="1:16" ht="31" outlineLevel="1" x14ac:dyDescent="0.25">
      <c r="A464" s="1486">
        <v>4</v>
      </c>
      <c r="B464" s="1491" t="s">
        <v>2062</v>
      </c>
      <c r="C464" s="1488">
        <v>0</v>
      </c>
      <c r="D464" s="1413" t="s">
        <v>1873</v>
      </c>
      <c r="E464" s="560">
        <v>36.81</v>
      </c>
      <c r="F464" s="1480">
        <v>0</v>
      </c>
      <c r="G464" s="1480">
        <v>0</v>
      </c>
      <c r="H464" s="1480">
        <f t="shared" si="31"/>
        <v>0</v>
      </c>
      <c r="I464" s="1480">
        <v>0</v>
      </c>
      <c r="J464" s="1480">
        <v>0</v>
      </c>
      <c r="K464" s="1480"/>
      <c r="L464" s="1480"/>
      <c r="M464" s="1480">
        <f t="shared" si="32"/>
        <v>0</v>
      </c>
      <c r="N464" s="1480">
        <f t="shared" si="33"/>
        <v>0</v>
      </c>
      <c r="O464" s="1481"/>
      <c r="P464" s="1427"/>
    </row>
    <row r="465" spans="1:16" ht="46.5" outlineLevel="1" x14ac:dyDescent="0.25">
      <c r="A465" s="1492">
        <v>0</v>
      </c>
      <c r="B465" s="1492" t="s">
        <v>2063</v>
      </c>
      <c r="C465" s="1488">
        <v>0</v>
      </c>
      <c r="D465" s="1413" t="s">
        <v>1873</v>
      </c>
      <c r="E465" s="560">
        <v>24</v>
      </c>
      <c r="F465" s="1480">
        <v>0</v>
      </c>
      <c r="G465" s="1480">
        <v>0</v>
      </c>
      <c r="H465" s="1480">
        <f t="shared" si="31"/>
        <v>0</v>
      </c>
      <c r="I465" s="1480">
        <v>0</v>
      </c>
      <c r="J465" s="1480">
        <v>0</v>
      </c>
      <c r="K465" s="1480"/>
      <c r="L465" s="1480"/>
      <c r="M465" s="1480">
        <f t="shared" si="32"/>
        <v>0</v>
      </c>
      <c r="N465" s="1480">
        <f t="shared" si="33"/>
        <v>0</v>
      </c>
    </row>
    <row r="466" spans="1:16" ht="31" outlineLevel="1" x14ac:dyDescent="0.25">
      <c r="A466" s="1492">
        <v>0</v>
      </c>
      <c r="B466" s="1492" t="s">
        <v>2064</v>
      </c>
      <c r="C466" s="1488">
        <v>0</v>
      </c>
      <c r="D466" s="1413" t="s">
        <v>1873</v>
      </c>
      <c r="E466" s="560">
        <v>9.81</v>
      </c>
      <c r="F466" s="1480">
        <v>0</v>
      </c>
      <c r="G466" s="1480">
        <v>0</v>
      </c>
      <c r="H466" s="1480">
        <f t="shared" si="31"/>
        <v>0</v>
      </c>
      <c r="I466" s="1480">
        <v>0</v>
      </c>
      <c r="J466" s="1480">
        <v>0</v>
      </c>
      <c r="K466" s="1480"/>
      <c r="L466" s="1480"/>
      <c r="M466" s="1480">
        <f t="shared" si="32"/>
        <v>0</v>
      </c>
      <c r="N466" s="1480">
        <f t="shared" si="33"/>
        <v>0</v>
      </c>
    </row>
    <row r="467" spans="1:16" ht="31" outlineLevel="1" x14ac:dyDescent="0.25">
      <c r="A467" s="1492">
        <v>0</v>
      </c>
      <c r="B467" s="1492" t="s">
        <v>2065</v>
      </c>
      <c r="C467" s="1488">
        <v>0</v>
      </c>
      <c r="D467" s="1413" t="s">
        <v>1873</v>
      </c>
      <c r="E467" s="560">
        <v>3</v>
      </c>
      <c r="F467" s="1480">
        <v>0</v>
      </c>
      <c r="G467" s="1480">
        <v>0</v>
      </c>
      <c r="H467" s="1480">
        <f t="shared" si="31"/>
        <v>0</v>
      </c>
      <c r="I467" s="1480">
        <v>0</v>
      </c>
      <c r="J467" s="1480">
        <v>0</v>
      </c>
      <c r="K467" s="1480"/>
      <c r="L467" s="1480"/>
      <c r="M467" s="1480">
        <f t="shared" si="32"/>
        <v>0</v>
      </c>
      <c r="N467" s="1480">
        <f t="shared" si="33"/>
        <v>0</v>
      </c>
    </row>
    <row r="468" spans="1:16" ht="15.5" outlineLevel="1" x14ac:dyDescent="0.25">
      <c r="A468" s="1486">
        <v>5</v>
      </c>
      <c r="B468" s="1491" t="s">
        <v>2066</v>
      </c>
      <c r="C468" s="1488">
        <v>0</v>
      </c>
      <c r="D468" s="1413" t="s">
        <v>1873</v>
      </c>
      <c r="E468" s="560">
        <v>45</v>
      </c>
      <c r="F468" s="1480">
        <v>0</v>
      </c>
      <c r="G468" s="1480">
        <v>0</v>
      </c>
      <c r="H468" s="1480">
        <f t="shared" si="31"/>
        <v>0</v>
      </c>
      <c r="I468" s="1480">
        <v>0</v>
      </c>
      <c r="J468" s="1480">
        <v>0</v>
      </c>
      <c r="K468" s="1480"/>
      <c r="L468" s="1480"/>
      <c r="M468" s="1480">
        <f t="shared" si="32"/>
        <v>0</v>
      </c>
      <c r="N468" s="1480">
        <f t="shared" si="33"/>
        <v>0</v>
      </c>
    </row>
    <row r="469" spans="1:16" ht="31" outlineLevel="1" x14ac:dyDescent="0.25">
      <c r="A469" s="1492">
        <v>0</v>
      </c>
      <c r="B469" s="1492" t="s">
        <v>2067</v>
      </c>
      <c r="C469" s="1488">
        <v>0</v>
      </c>
      <c r="D469" s="1413" t="s">
        <v>1873</v>
      </c>
      <c r="E469" s="560">
        <v>10</v>
      </c>
      <c r="F469" s="1480">
        <v>0</v>
      </c>
      <c r="G469" s="1480">
        <v>0</v>
      </c>
      <c r="H469" s="1480">
        <f t="shared" si="31"/>
        <v>0</v>
      </c>
      <c r="I469" s="1480">
        <v>0</v>
      </c>
      <c r="J469" s="1480">
        <v>0</v>
      </c>
      <c r="K469" s="1480"/>
      <c r="L469" s="1480"/>
      <c r="M469" s="1480">
        <f t="shared" si="32"/>
        <v>0</v>
      </c>
      <c r="N469" s="1480">
        <f t="shared" si="33"/>
        <v>0</v>
      </c>
    </row>
    <row r="470" spans="1:16" ht="46.5" outlineLevel="1" x14ac:dyDescent="0.25">
      <c r="A470" s="1492">
        <v>0</v>
      </c>
      <c r="B470" s="1492" t="s">
        <v>2068</v>
      </c>
      <c r="C470" s="1488">
        <v>0</v>
      </c>
      <c r="D470" s="1413" t="s">
        <v>1873</v>
      </c>
      <c r="E470" s="560">
        <v>35</v>
      </c>
      <c r="F470" s="1480">
        <v>0</v>
      </c>
      <c r="G470" s="1480">
        <v>0</v>
      </c>
      <c r="H470" s="1480">
        <f t="shared" si="31"/>
        <v>0</v>
      </c>
      <c r="I470" s="1480">
        <v>0</v>
      </c>
      <c r="J470" s="1480">
        <v>0</v>
      </c>
      <c r="K470" s="1480"/>
      <c r="L470" s="1480"/>
      <c r="M470" s="1480">
        <f t="shared" si="32"/>
        <v>0</v>
      </c>
      <c r="N470" s="1480">
        <f t="shared" si="33"/>
        <v>0</v>
      </c>
      <c r="O470" s="1481"/>
      <c r="P470" s="1427"/>
    </row>
    <row r="471" spans="1:16" ht="31" outlineLevel="1" x14ac:dyDescent="0.25">
      <c r="A471" s="1486">
        <v>6</v>
      </c>
      <c r="B471" s="1491" t="s">
        <v>2069</v>
      </c>
      <c r="C471" s="1488">
        <v>0</v>
      </c>
      <c r="D471" s="1413" t="s">
        <v>1873</v>
      </c>
      <c r="E471" s="560">
        <v>35</v>
      </c>
      <c r="F471" s="1480">
        <v>0</v>
      </c>
      <c r="G471" s="1480">
        <v>0</v>
      </c>
      <c r="H471" s="1480">
        <f t="shared" si="31"/>
        <v>0</v>
      </c>
      <c r="I471" s="1480">
        <v>0</v>
      </c>
      <c r="J471" s="1480">
        <v>0</v>
      </c>
      <c r="K471" s="1480"/>
      <c r="L471" s="1480"/>
      <c r="M471" s="1480">
        <f t="shared" si="32"/>
        <v>0</v>
      </c>
      <c r="N471" s="1480">
        <f t="shared" si="33"/>
        <v>0</v>
      </c>
    </row>
    <row r="472" spans="1:16" ht="46.5" outlineLevel="1" x14ac:dyDescent="0.25">
      <c r="A472" s="1492">
        <v>0</v>
      </c>
      <c r="B472" s="1492" t="s">
        <v>2070</v>
      </c>
      <c r="C472" s="1488">
        <v>0</v>
      </c>
      <c r="D472" s="1413" t="s">
        <v>1873</v>
      </c>
      <c r="E472" s="560">
        <v>35</v>
      </c>
      <c r="F472" s="1480">
        <v>0</v>
      </c>
      <c r="G472" s="1480">
        <v>0</v>
      </c>
      <c r="H472" s="1480">
        <f t="shared" si="31"/>
        <v>0</v>
      </c>
      <c r="I472" s="1480">
        <v>0</v>
      </c>
      <c r="J472" s="1480">
        <v>0</v>
      </c>
      <c r="K472" s="1480"/>
      <c r="L472" s="1480"/>
      <c r="M472" s="1480">
        <f t="shared" si="32"/>
        <v>0</v>
      </c>
      <c r="N472" s="1480">
        <f t="shared" si="33"/>
        <v>0</v>
      </c>
    </row>
    <row r="473" spans="1:16" ht="15.5" outlineLevel="1" x14ac:dyDescent="0.25">
      <c r="A473" s="1486">
        <v>7</v>
      </c>
      <c r="B473" s="1491" t="s">
        <v>2071</v>
      </c>
      <c r="C473" s="1488">
        <v>0</v>
      </c>
      <c r="D473" s="1413" t="s">
        <v>1873</v>
      </c>
      <c r="E473" s="560">
        <v>30</v>
      </c>
      <c r="F473" s="1480">
        <v>0</v>
      </c>
      <c r="G473" s="1480">
        <v>0</v>
      </c>
      <c r="H473" s="1480">
        <f t="shared" si="31"/>
        <v>0</v>
      </c>
      <c r="I473" s="1480">
        <v>0</v>
      </c>
      <c r="J473" s="1480">
        <v>0</v>
      </c>
      <c r="K473" s="1480"/>
      <c r="L473" s="1480"/>
      <c r="M473" s="1480">
        <f t="shared" si="32"/>
        <v>0</v>
      </c>
      <c r="N473" s="1480">
        <f t="shared" si="33"/>
        <v>0</v>
      </c>
    </row>
    <row r="474" spans="1:16" ht="31" outlineLevel="1" x14ac:dyDescent="0.25">
      <c r="A474" s="1492">
        <v>0</v>
      </c>
      <c r="B474" s="1492" t="s">
        <v>2072</v>
      </c>
      <c r="C474" s="1488">
        <v>0</v>
      </c>
      <c r="D474" s="1413" t="s">
        <v>1873</v>
      </c>
      <c r="E474" s="560">
        <v>30</v>
      </c>
      <c r="F474" s="1480">
        <v>0</v>
      </c>
      <c r="G474" s="1480">
        <v>0</v>
      </c>
      <c r="H474" s="1480">
        <f t="shared" si="31"/>
        <v>0</v>
      </c>
      <c r="I474" s="1480">
        <v>0</v>
      </c>
      <c r="J474" s="1480">
        <v>0</v>
      </c>
      <c r="K474" s="1480"/>
      <c r="L474" s="1480"/>
      <c r="M474" s="1480">
        <f t="shared" si="32"/>
        <v>0</v>
      </c>
      <c r="N474" s="1480">
        <f t="shared" si="33"/>
        <v>0</v>
      </c>
    </row>
    <row r="475" spans="1:16" ht="15.5" outlineLevel="1" x14ac:dyDescent="0.25">
      <c r="A475" s="1486">
        <v>8</v>
      </c>
      <c r="B475" s="1491" t="s">
        <v>2073</v>
      </c>
      <c r="C475" s="1488">
        <v>0</v>
      </c>
      <c r="D475" s="1413" t="s">
        <v>1873</v>
      </c>
      <c r="E475" s="560">
        <v>50</v>
      </c>
      <c r="F475" s="1480">
        <v>0</v>
      </c>
      <c r="G475" s="1480">
        <v>0</v>
      </c>
      <c r="H475" s="1480">
        <f t="shared" si="31"/>
        <v>0</v>
      </c>
      <c r="I475" s="1480">
        <v>0</v>
      </c>
      <c r="J475" s="1480">
        <v>0</v>
      </c>
      <c r="K475" s="1480"/>
      <c r="L475" s="1480"/>
      <c r="M475" s="1480">
        <f t="shared" si="32"/>
        <v>0</v>
      </c>
      <c r="N475" s="1480">
        <f t="shared" si="33"/>
        <v>0</v>
      </c>
    </row>
    <row r="476" spans="1:16" ht="46.5" outlineLevel="1" x14ac:dyDescent="0.25">
      <c r="A476" s="1492">
        <v>0</v>
      </c>
      <c r="B476" s="1492" t="s">
        <v>2074</v>
      </c>
      <c r="C476" s="1488">
        <v>0</v>
      </c>
      <c r="D476" s="1413" t="s">
        <v>1873</v>
      </c>
      <c r="E476" s="560">
        <v>50</v>
      </c>
      <c r="F476" s="1480">
        <v>0</v>
      </c>
      <c r="G476" s="1480">
        <v>0</v>
      </c>
      <c r="H476" s="1480">
        <f t="shared" si="31"/>
        <v>0</v>
      </c>
      <c r="I476" s="1480">
        <v>0</v>
      </c>
      <c r="J476" s="1480">
        <v>0</v>
      </c>
      <c r="K476" s="1480"/>
      <c r="L476" s="1480"/>
      <c r="M476" s="1480">
        <f t="shared" si="32"/>
        <v>0</v>
      </c>
      <c r="N476" s="1480">
        <f t="shared" si="33"/>
        <v>0</v>
      </c>
    </row>
    <row r="477" spans="1:16" ht="15.5" outlineLevel="1" x14ac:dyDescent="0.25">
      <c r="A477" s="1504">
        <v>0</v>
      </c>
      <c r="B477" s="1504" t="s">
        <v>2075</v>
      </c>
      <c r="C477" s="1488">
        <v>0</v>
      </c>
      <c r="D477" s="1413" t="s">
        <v>1873</v>
      </c>
      <c r="E477" s="560">
        <v>0</v>
      </c>
      <c r="F477" s="1480">
        <v>0</v>
      </c>
      <c r="G477" s="1480">
        <v>0</v>
      </c>
      <c r="H477" s="1480">
        <f t="shared" si="31"/>
        <v>0</v>
      </c>
      <c r="I477" s="1480">
        <v>0</v>
      </c>
      <c r="J477" s="1480">
        <v>0</v>
      </c>
      <c r="K477" s="1480"/>
      <c r="L477" s="1480"/>
      <c r="M477" s="1480">
        <f t="shared" si="32"/>
        <v>0</v>
      </c>
      <c r="N477" s="1480">
        <f t="shared" si="33"/>
        <v>0</v>
      </c>
      <c r="O477" s="1481"/>
      <c r="P477" s="1427"/>
    </row>
    <row r="478" spans="1:16" ht="139.5" outlineLevel="1" x14ac:dyDescent="0.25">
      <c r="A478" s="1486">
        <v>1</v>
      </c>
      <c r="B478" s="1491" t="s">
        <v>2076</v>
      </c>
      <c r="C478" s="1488">
        <v>0</v>
      </c>
      <c r="D478" s="1413" t="s">
        <v>1873</v>
      </c>
      <c r="E478" s="560">
        <v>25.07</v>
      </c>
      <c r="F478" s="1480">
        <v>0</v>
      </c>
      <c r="G478" s="1480">
        <v>0</v>
      </c>
      <c r="H478" s="1480">
        <f t="shared" si="31"/>
        <v>0</v>
      </c>
      <c r="I478" s="1480">
        <v>0</v>
      </c>
      <c r="J478" s="1480">
        <v>0</v>
      </c>
      <c r="K478" s="1480"/>
      <c r="L478" s="1480"/>
      <c r="M478" s="1480">
        <f t="shared" si="32"/>
        <v>0</v>
      </c>
      <c r="N478" s="1480">
        <f t="shared" si="33"/>
        <v>0</v>
      </c>
    </row>
    <row r="479" spans="1:16" ht="77.5" outlineLevel="1" x14ac:dyDescent="0.25">
      <c r="A479" s="1492">
        <v>0</v>
      </c>
      <c r="B479" s="1492" t="s">
        <v>2077</v>
      </c>
      <c r="C479" s="1488">
        <v>0</v>
      </c>
      <c r="D479" s="1413" t="s">
        <v>1873</v>
      </c>
      <c r="E479" s="560">
        <v>15.07</v>
      </c>
      <c r="F479" s="1480">
        <v>0</v>
      </c>
      <c r="G479" s="1480">
        <v>0</v>
      </c>
      <c r="H479" s="1480">
        <f t="shared" si="31"/>
        <v>0</v>
      </c>
      <c r="I479" s="1480">
        <v>0</v>
      </c>
      <c r="J479" s="1480">
        <v>0</v>
      </c>
      <c r="K479" s="1480"/>
      <c r="L479" s="1480"/>
      <c r="M479" s="1480">
        <f t="shared" si="32"/>
        <v>0</v>
      </c>
      <c r="N479" s="1480">
        <f t="shared" si="33"/>
        <v>0</v>
      </c>
      <c r="O479" s="1481"/>
      <c r="P479" s="1427"/>
    </row>
    <row r="480" spans="1:16" ht="108.5" outlineLevel="1" x14ac:dyDescent="0.25">
      <c r="A480" s="1492">
        <v>0</v>
      </c>
      <c r="B480" s="1492" t="s">
        <v>2078</v>
      </c>
      <c r="C480" s="1488">
        <v>0</v>
      </c>
      <c r="D480" s="1413" t="s">
        <v>1873</v>
      </c>
      <c r="E480" s="560">
        <v>10</v>
      </c>
      <c r="F480" s="1480">
        <v>0</v>
      </c>
      <c r="G480" s="1480">
        <v>0</v>
      </c>
      <c r="H480" s="1480">
        <f t="shared" si="31"/>
        <v>0</v>
      </c>
      <c r="I480" s="1480">
        <v>0</v>
      </c>
      <c r="J480" s="1480">
        <v>0</v>
      </c>
      <c r="K480" s="1480"/>
      <c r="L480" s="1480"/>
      <c r="M480" s="1480">
        <f t="shared" si="32"/>
        <v>0</v>
      </c>
      <c r="N480" s="1480">
        <f t="shared" si="33"/>
        <v>0</v>
      </c>
    </row>
    <row r="481" spans="1:16" ht="31" outlineLevel="1" x14ac:dyDescent="0.25">
      <c r="A481" s="1486">
        <v>2</v>
      </c>
      <c r="B481" s="1491" t="s">
        <v>2079</v>
      </c>
      <c r="C481" s="1488">
        <v>0</v>
      </c>
      <c r="D481" s="1413" t="s">
        <v>1873</v>
      </c>
      <c r="E481" s="560">
        <v>44.31</v>
      </c>
      <c r="F481" s="1480">
        <v>0</v>
      </c>
      <c r="G481" s="1480">
        <v>0</v>
      </c>
      <c r="H481" s="1480">
        <f t="shared" si="31"/>
        <v>0</v>
      </c>
      <c r="I481" s="1480">
        <v>0</v>
      </c>
      <c r="J481" s="1480">
        <v>0</v>
      </c>
      <c r="K481" s="1480"/>
      <c r="L481" s="1480"/>
      <c r="M481" s="1480">
        <f t="shared" si="32"/>
        <v>0</v>
      </c>
      <c r="N481" s="1480">
        <f t="shared" si="33"/>
        <v>0</v>
      </c>
      <c r="O481" s="1481"/>
      <c r="P481" s="1427"/>
    </row>
    <row r="482" spans="1:16" ht="31" outlineLevel="1" x14ac:dyDescent="0.25">
      <c r="A482" s="1492">
        <v>0</v>
      </c>
      <c r="B482" s="1492" t="s">
        <v>2080</v>
      </c>
      <c r="C482" s="1488">
        <v>0</v>
      </c>
      <c r="D482" s="1413" t="s">
        <v>1873</v>
      </c>
      <c r="E482" s="560">
        <v>44.31</v>
      </c>
      <c r="F482" s="1480">
        <v>0</v>
      </c>
      <c r="G482" s="1480">
        <v>0</v>
      </c>
      <c r="H482" s="1480">
        <f t="shared" si="31"/>
        <v>0</v>
      </c>
      <c r="I482" s="1480">
        <v>0</v>
      </c>
      <c r="J482" s="1480">
        <v>0</v>
      </c>
      <c r="K482" s="1480"/>
      <c r="L482" s="1480"/>
      <c r="M482" s="1480">
        <f t="shared" si="32"/>
        <v>0</v>
      </c>
      <c r="N482" s="1480">
        <f t="shared" si="33"/>
        <v>0</v>
      </c>
    </row>
    <row r="483" spans="1:16" ht="31" outlineLevel="1" x14ac:dyDescent="0.25">
      <c r="A483" s="1486">
        <v>3</v>
      </c>
      <c r="B483" s="1491" t="s">
        <v>2081</v>
      </c>
      <c r="C483" s="1488">
        <v>0</v>
      </c>
      <c r="D483" s="1413" t="s">
        <v>1873</v>
      </c>
      <c r="E483" s="560">
        <v>25</v>
      </c>
      <c r="F483" s="1480">
        <v>0</v>
      </c>
      <c r="G483" s="1480">
        <v>0</v>
      </c>
      <c r="H483" s="1480">
        <f t="shared" si="31"/>
        <v>0</v>
      </c>
      <c r="I483" s="1480">
        <v>0</v>
      </c>
      <c r="J483" s="1480">
        <v>0</v>
      </c>
      <c r="K483" s="1480"/>
      <c r="L483" s="1480"/>
      <c r="M483" s="1480">
        <f t="shared" si="32"/>
        <v>0</v>
      </c>
      <c r="N483" s="1480">
        <f t="shared" si="33"/>
        <v>0</v>
      </c>
    </row>
    <row r="484" spans="1:16" ht="31" outlineLevel="1" x14ac:dyDescent="0.25">
      <c r="A484" s="1492">
        <v>0</v>
      </c>
      <c r="B484" s="1492" t="s">
        <v>2082</v>
      </c>
      <c r="C484" s="1488">
        <v>0</v>
      </c>
      <c r="D484" s="1413" t="s">
        <v>1873</v>
      </c>
      <c r="E484" s="560">
        <v>25</v>
      </c>
      <c r="F484" s="1480">
        <v>0</v>
      </c>
      <c r="G484" s="1480">
        <v>0</v>
      </c>
      <c r="H484" s="1480">
        <f t="shared" si="31"/>
        <v>0</v>
      </c>
      <c r="I484" s="1480">
        <v>0</v>
      </c>
      <c r="J484" s="1480">
        <v>0</v>
      </c>
      <c r="K484" s="1480"/>
      <c r="L484" s="1480"/>
      <c r="M484" s="1480">
        <f t="shared" si="32"/>
        <v>0</v>
      </c>
      <c r="N484" s="1480">
        <f t="shared" si="33"/>
        <v>0</v>
      </c>
      <c r="O484" s="1481"/>
      <c r="P484" s="1427"/>
    </row>
    <row r="485" spans="1:16" ht="108.5" outlineLevel="1" x14ac:dyDescent="0.25">
      <c r="A485" s="1486">
        <v>4</v>
      </c>
      <c r="B485" s="1491" t="s">
        <v>2083</v>
      </c>
      <c r="C485" s="1488">
        <v>0</v>
      </c>
      <c r="D485" s="1413" t="s">
        <v>1873</v>
      </c>
      <c r="E485" s="560">
        <v>38</v>
      </c>
      <c r="F485" s="1480">
        <v>0</v>
      </c>
      <c r="G485" s="1480">
        <v>0</v>
      </c>
      <c r="H485" s="1480">
        <f t="shared" si="31"/>
        <v>0</v>
      </c>
      <c r="I485" s="1480">
        <v>0</v>
      </c>
      <c r="J485" s="1480">
        <v>0</v>
      </c>
      <c r="K485" s="1480"/>
      <c r="L485" s="1480"/>
      <c r="M485" s="1480">
        <f t="shared" si="32"/>
        <v>0</v>
      </c>
      <c r="N485" s="1480">
        <f t="shared" si="33"/>
        <v>0</v>
      </c>
    </row>
    <row r="486" spans="1:16" ht="46.5" outlineLevel="1" x14ac:dyDescent="0.25">
      <c r="A486" s="1492">
        <v>0</v>
      </c>
      <c r="B486" s="1492" t="s">
        <v>2084</v>
      </c>
      <c r="C486" s="1488">
        <v>0</v>
      </c>
      <c r="D486" s="1413" t="s">
        <v>1873</v>
      </c>
      <c r="E486" s="560">
        <v>10</v>
      </c>
      <c r="F486" s="1480">
        <v>0</v>
      </c>
      <c r="G486" s="1480">
        <v>0</v>
      </c>
      <c r="H486" s="1480">
        <f t="shared" si="31"/>
        <v>0</v>
      </c>
      <c r="I486" s="1480">
        <v>0</v>
      </c>
      <c r="J486" s="1480">
        <v>0</v>
      </c>
      <c r="K486" s="1480"/>
      <c r="L486" s="1480"/>
      <c r="M486" s="1480">
        <f t="shared" si="32"/>
        <v>0</v>
      </c>
      <c r="N486" s="1480">
        <f t="shared" si="33"/>
        <v>0</v>
      </c>
    </row>
    <row r="487" spans="1:16" ht="46.5" outlineLevel="1" x14ac:dyDescent="0.25">
      <c r="A487" s="1492">
        <v>0</v>
      </c>
      <c r="B487" s="1492" t="s">
        <v>2085</v>
      </c>
      <c r="C487" s="1488">
        <v>0</v>
      </c>
      <c r="D487" s="1413" t="s">
        <v>1873</v>
      </c>
      <c r="E487" s="560">
        <v>3</v>
      </c>
      <c r="F487" s="1480">
        <v>0</v>
      </c>
      <c r="G487" s="1480">
        <v>0</v>
      </c>
      <c r="H487" s="1480">
        <f t="shared" si="31"/>
        <v>0</v>
      </c>
      <c r="I487" s="1480">
        <v>0</v>
      </c>
      <c r="J487" s="1480">
        <v>0</v>
      </c>
      <c r="K487" s="1480"/>
      <c r="L487" s="1480"/>
      <c r="M487" s="1480">
        <f t="shared" si="32"/>
        <v>0</v>
      </c>
      <c r="N487" s="1480">
        <f t="shared" si="33"/>
        <v>0</v>
      </c>
      <c r="O487" s="1481"/>
      <c r="P487" s="1427"/>
    </row>
    <row r="488" spans="1:16" ht="31" outlineLevel="1" x14ac:dyDescent="0.25">
      <c r="A488" s="1492">
        <v>0</v>
      </c>
      <c r="B488" s="1492" t="s">
        <v>2086</v>
      </c>
      <c r="C488" s="1488">
        <v>0</v>
      </c>
      <c r="D488" s="1413" t="s">
        <v>1873</v>
      </c>
      <c r="E488" s="560">
        <v>25</v>
      </c>
      <c r="F488" s="1480">
        <v>0</v>
      </c>
      <c r="G488" s="1480">
        <v>0</v>
      </c>
      <c r="H488" s="1480">
        <f t="shared" si="31"/>
        <v>0</v>
      </c>
      <c r="I488" s="1480">
        <v>0</v>
      </c>
      <c r="J488" s="1480">
        <v>0</v>
      </c>
      <c r="K488" s="1480"/>
      <c r="L488" s="1480"/>
      <c r="M488" s="1480">
        <f t="shared" si="32"/>
        <v>0</v>
      </c>
      <c r="N488" s="1480">
        <f t="shared" si="33"/>
        <v>0</v>
      </c>
    </row>
    <row r="489" spans="1:16" ht="62" outlineLevel="1" x14ac:dyDescent="0.25">
      <c r="A489" s="1486">
        <v>5</v>
      </c>
      <c r="B489" s="1491" t="s">
        <v>2087</v>
      </c>
      <c r="C489" s="1488">
        <v>0</v>
      </c>
      <c r="D489" s="1413" t="s">
        <v>1873</v>
      </c>
      <c r="E489" s="560">
        <v>26</v>
      </c>
      <c r="F489" s="1480">
        <v>0</v>
      </c>
      <c r="G489" s="1480">
        <v>0</v>
      </c>
      <c r="H489" s="1480">
        <f t="shared" si="31"/>
        <v>0</v>
      </c>
      <c r="I489" s="1480">
        <v>0</v>
      </c>
      <c r="J489" s="1480">
        <v>0</v>
      </c>
      <c r="K489" s="1480"/>
      <c r="L489" s="1480"/>
      <c r="M489" s="1480">
        <f t="shared" si="32"/>
        <v>0</v>
      </c>
      <c r="N489" s="1480">
        <f t="shared" si="33"/>
        <v>0</v>
      </c>
    </row>
    <row r="490" spans="1:16" ht="62" outlineLevel="1" x14ac:dyDescent="0.25">
      <c r="A490" s="1492">
        <v>0</v>
      </c>
      <c r="B490" s="1492" t="s">
        <v>2088</v>
      </c>
      <c r="C490" s="1488">
        <v>0</v>
      </c>
      <c r="D490" s="1413" t="s">
        <v>1873</v>
      </c>
      <c r="E490" s="560">
        <v>26</v>
      </c>
      <c r="F490" s="1480">
        <v>0</v>
      </c>
      <c r="G490" s="1480">
        <v>0</v>
      </c>
      <c r="H490" s="1480">
        <f t="shared" si="31"/>
        <v>0</v>
      </c>
      <c r="I490" s="1480">
        <v>0</v>
      </c>
      <c r="J490" s="1480">
        <v>0</v>
      </c>
      <c r="K490" s="1480"/>
      <c r="L490" s="1480"/>
      <c r="M490" s="1480">
        <f t="shared" si="32"/>
        <v>0</v>
      </c>
      <c r="N490" s="1480">
        <f t="shared" si="33"/>
        <v>0</v>
      </c>
    </row>
    <row r="491" spans="1:16" ht="31" outlineLevel="1" x14ac:dyDescent="0.25">
      <c r="A491" s="1486">
        <v>6</v>
      </c>
      <c r="B491" s="1491" t="s">
        <v>2089</v>
      </c>
      <c r="C491" s="1488">
        <v>0</v>
      </c>
      <c r="D491" s="1413" t="s">
        <v>1873</v>
      </c>
      <c r="E491" s="560">
        <v>25</v>
      </c>
      <c r="F491" s="1480">
        <v>0</v>
      </c>
      <c r="G491" s="1480">
        <v>0</v>
      </c>
      <c r="H491" s="1480">
        <f t="shared" si="31"/>
        <v>0</v>
      </c>
      <c r="I491" s="1480">
        <v>0</v>
      </c>
      <c r="J491" s="1480">
        <v>0</v>
      </c>
      <c r="K491" s="1480"/>
      <c r="L491" s="1480"/>
      <c r="M491" s="1480">
        <f t="shared" si="32"/>
        <v>0</v>
      </c>
      <c r="N491" s="1480">
        <f t="shared" si="33"/>
        <v>0</v>
      </c>
    </row>
    <row r="492" spans="1:16" ht="31" outlineLevel="1" x14ac:dyDescent="0.25">
      <c r="A492" s="1492">
        <v>0</v>
      </c>
      <c r="B492" s="1492" t="s">
        <v>2090</v>
      </c>
      <c r="C492" s="1488">
        <v>0</v>
      </c>
      <c r="D492" s="1413" t="s">
        <v>1873</v>
      </c>
      <c r="E492" s="560">
        <v>25</v>
      </c>
      <c r="F492" s="1480">
        <v>0</v>
      </c>
      <c r="G492" s="1480">
        <v>0</v>
      </c>
      <c r="H492" s="1480">
        <f t="shared" si="31"/>
        <v>0</v>
      </c>
      <c r="I492" s="1480">
        <v>0</v>
      </c>
      <c r="J492" s="1480">
        <v>0</v>
      </c>
      <c r="K492" s="1480"/>
      <c r="L492" s="1480"/>
      <c r="M492" s="1480">
        <f t="shared" si="32"/>
        <v>0</v>
      </c>
      <c r="N492" s="1480">
        <f t="shared" si="33"/>
        <v>0</v>
      </c>
      <c r="O492" s="1481"/>
      <c r="P492" s="1427"/>
    </row>
    <row r="493" spans="1:16" ht="31" outlineLevel="1" x14ac:dyDescent="0.25">
      <c r="A493" s="1486">
        <v>7</v>
      </c>
      <c r="B493" s="1491" t="s">
        <v>2091</v>
      </c>
      <c r="C493" s="1488">
        <v>0</v>
      </c>
      <c r="D493" s="1413" t="s">
        <v>1873</v>
      </c>
      <c r="E493" s="560">
        <v>25</v>
      </c>
      <c r="F493" s="1480">
        <v>0</v>
      </c>
      <c r="G493" s="1480">
        <v>0</v>
      </c>
      <c r="H493" s="1480">
        <f t="shared" si="31"/>
        <v>0</v>
      </c>
      <c r="I493" s="1480">
        <v>0</v>
      </c>
      <c r="J493" s="1480">
        <v>0</v>
      </c>
      <c r="K493" s="1480"/>
      <c r="L493" s="1480"/>
      <c r="M493" s="1480">
        <f t="shared" si="32"/>
        <v>0</v>
      </c>
      <c r="N493" s="1480">
        <f t="shared" si="33"/>
        <v>0</v>
      </c>
    </row>
    <row r="494" spans="1:16" ht="31" outlineLevel="1" x14ac:dyDescent="0.25">
      <c r="A494" s="1492">
        <v>0</v>
      </c>
      <c r="B494" s="1492" t="s">
        <v>2092</v>
      </c>
      <c r="C494" s="1488">
        <v>0</v>
      </c>
      <c r="D494" s="1413" t="s">
        <v>1873</v>
      </c>
      <c r="E494" s="560">
        <v>25</v>
      </c>
      <c r="F494" s="1480">
        <v>0</v>
      </c>
      <c r="G494" s="1480">
        <v>0</v>
      </c>
      <c r="H494" s="1480">
        <f t="shared" si="31"/>
        <v>0</v>
      </c>
      <c r="I494" s="1480">
        <v>0</v>
      </c>
      <c r="J494" s="1480">
        <v>0</v>
      </c>
      <c r="K494" s="1480"/>
      <c r="L494" s="1480"/>
      <c r="M494" s="1480">
        <f t="shared" si="32"/>
        <v>0</v>
      </c>
      <c r="N494" s="1480">
        <f t="shared" si="33"/>
        <v>0</v>
      </c>
      <c r="O494" s="1481"/>
      <c r="P494" s="1427"/>
    </row>
    <row r="495" spans="1:16" ht="31" outlineLevel="1" x14ac:dyDescent="0.25">
      <c r="A495" s="1486">
        <v>8</v>
      </c>
      <c r="B495" s="1491" t="s">
        <v>2093</v>
      </c>
      <c r="C495" s="1488">
        <v>0</v>
      </c>
      <c r="D495" s="1413" t="s">
        <v>1873</v>
      </c>
      <c r="E495" s="560">
        <v>30</v>
      </c>
      <c r="F495" s="1480">
        <v>0</v>
      </c>
      <c r="G495" s="1480">
        <v>0</v>
      </c>
      <c r="H495" s="1480">
        <f t="shared" si="31"/>
        <v>0</v>
      </c>
      <c r="I495" s="1480">
        <v>0</v>
      </c>
      <c r="J495" s="1480">
        <v>0</v>
      </c>
      <c r="K495" s="1480"/>
      <c r="L495" s="1480"/>
      <c r="M495" s="1480">
        <f t="shared" si="32"/>
        <v>0</v>
      </c>
      <c r="N495" s="1480">
        <f t="shared" si="33"/>
        <v>0</v>
      </c>
    </row>
    <row r="496" spans="1:16" ht="31" outlineLevel="1" x14ac:dyDescent="0.25">
      <c r="A496" s="1492">
        <v>0</v>
      </c>
      <c r="B496" s="1492" t="s">
        <v>2093</v>
      </c>
      <c r="C496" s="1488">
        <v>0</v>
      </c>
      <c r="D496" s="1413" t="s">
        <v>1873</v>
      </c>
      <c r="E496" s="560">
        <v>30</v>
      </c>
      <c r="F496" s="1480">
        <v>0</v>
      </c>
      <c r="G496" s="1480">
        <v>0</v>
      </c>
      <c r="H496" s="1480">
        <f t="shared" si="31"/>
        <v>0</v>
      </c>
      <c r="I496" s="1480">
        <v>0</v>
      </c>
      <c r="J496" s="1480">
        <v>0</v>
      </c>
      <c r="K496" s="1480"/>
      <c r="L496" s="1480"/>
      <c r="M496" s="1480">
        <f t="shared" si="32"/>
        <v>0</v>
      </c>
      <c r="N496" s="1480">
        <f t="shared" si="33"/>
        <v>0</v>
      </c>
      <c r="O496" s="1481"/>
      <c r="P496" s="1427"/>
    </row>
    <row r="497" spans="1:16" ht="15.5" outlineLevel="1" x14ac:dyDescent="0.25">
      <c r="A497" s="1504">
        <v>0</v>
      </c>
      <c r="B497" s="1504" t="s">
        <v>2094</v>
      </c>
      <c r="C497" s="1488">
        <v>0</v>
      </c>
      <c r="D497" s="1413" t="s">
        <v>1873</v>
      </c>
      <c r="E497" s="560">
        <v>0</v>
      </c>
      <c r="F497" s="1480">
        <v>0</v>
      </c>
      <c r="G497" s="1480">
        <v>0</v>
      </c>
      <c r="H497" s="1480">
        <f t="shared" si="31"/>
        <v>0</v>
      </c>
      <c r="I497" s="1480">
        <v>0</v>
      </c>
      <c r="J497" s="1480">
        <v>0</v>
      </c>
      <c r="K497" s="1480"/>
      <c r="L497" s="1480"/>
      <c r="M497" s="1480">
        <f t="shared" si="32"/>
        <v>0</v>
      </c>
      <c r="N497" s="1480">
        <f t="shared" si="33"/>
        <v>0</v>
      </c>
    </row>
    <row r="498" spans="1:16" ht="31" outlineLevel="1" x14ac:dyDescent="0.25">
      <c r="A498" s="1486">
        <v>1</v>
      </c>
      <c r="B498" s="1491" t="s">
        <v>2095</v>
      </c>
      <c r="C498" s="1488">
        <v>0</v>
      </c>
      <c r="D498" s="1413" t="s">
        <v>1873</v>
      </c>
      <c r="E498" s="560">
        <v>30</v>
      </c>
      <c r="F498" s="1480">
        <v>0</v>
      </c>
      <c r="G498" s="1480">
        <v>0</v>
      </c>
      <c r="H498" s="1480">
        <f t="shared" si="31"/>
        <v>0</v>
      </c>
      <c r="I498" s="1480">
        <v>0</v>
      </c>
      <c r="J498" s="1480">
        <v>0</v>
      </c>
      <c r="K498" s="1480"/>
      <c r="L498" s="1480"/>
      <c r="M498" s="1480">
        <f t="shared" si="32"/>
        <v>0</v>
      </c>
      <c r="N498" s="1480">
        <f t="shared" si="33"/>
        <v>0</v>
      </c>
      <c r="O498" s="1481"/>
      <c r="P498" s="1427"/>
    </row>
    <row r="499" spans="1:16" ht="31" outlineLevel="1" x14ac:dyDescent="0.25">
      <c r="A499" s="1492">
        <v>0</v>
      </c>
      <c r="B499" s="1492" t="s">
        <v>2096</v>
      </c>
      <c r="C499" s="1488">
        <v>0</v>
      </c>
      <c r="D499" s="1413" t="s">
        <v>1873</v>
      </c>
      <c r="E499" s="560">
        <v>30</v>
      </c>
      <c r="F499" s="1480">
        <v>0</v>
      </c>
      <c r="G499" s="1480">
        <v>0</v>
      </c>
      <c r="H499" s="1480">
        <f t="shared" si="31"/>
        <v>0</v>
      </c>
      <c r="I499" s="1480">
        <v>0</v>
      </c>
      <c r="J499" s="1480">
        <v>0</v>
      </c>
      <c r="K499" s="1480"/>
      <c r="L499" s="1480"/>
      <c r="M499" s="1480">
        <f t="shared" si="32"/>
        <v>0</v>
      </c>
      <c r="N499" s="1480">
        <f t="shared" si="33"/>
        <v>0</v>
      </c>
    </row>
    <row r="500" spans="1:16" ht="31" outlineLevel="1" x14ac:dyDescent="0.25">
      <c r="A500" s="1486">
        <v>2</v>
      </c>
      <c r="B500" s="1491" t="s">
        <v>2097</v>
      </c>
      <c r="C500" s="1488">
        <v>0</v>
      </c>
      <c r="D500" s="1413" t="s">
        <v>1873</v>
      </c>
      <c r="E500" s="560">
        <v>40</v>
      </c>
      <c r="F500" s="1480">
        <v>0</v>
      </c>
      <c r="G500" s="1480">
        <v>0</v>
      </c>
      <c r="H500" s="1480">
        <f t="shared" si="31"/>
        <v>0</v>
      </c>
      <c r="I500" s="1480">
        <v>0</v>
      </c>
      <c r="J500" s="1480">
        <v>0</v>
      </c>
      <c r="K500" s="1480"/>
      <c r="L500" s="1480"/>
      <c r="M500" s="1480">
        <f t="shared" si="32"/>
        <v>0</v>
      </c>
      <c r="N500" s="1480">
        <f t="shared" si="33"/>
        <v>0</v>
      </c>
      <c r="O500" s="1481"/>
      <c r="P500" s="1427"/>
    </row>
    <row r="501" spans="1:16" ht="31" outlineLevel="1" x14ac:dyDescent="0.25">
      <c r="A501" s="1492">
        <v>0</v>
      </c>
      <c r="B501" s="1492" t="s">
        <v>2097</v>
      </c>
      <c r="C501" s="1488">
        <v>0</v>
      </c>
      <c r="D501" s="1413" t="s">
        <v>1873</v>
      </c>
      <c r="E501" s="560">
        <v>40</v>
      </c>
      <c r="F501" s="1480">
        <v>0</v>
      </c>
      <c r="G501" s="1480">
        <v>0</v>
      </c>
      <c r="H501" s="1480">
        <f t="shared" si="31"/>
        <v>0</v>
      </c>
      <c r="I501" s="1480">
        <v>0</v>
      </c>
      <c r="J501" s="1480">
        <v>0</v>
      </c>
      <c r="K501" s="1480"/>
      <c r="L501" s="1480"/>
      <c r="M501" s="1480">
        <f t="shared" si="32"/>
        <v>0</v>
      </c>
      <c r="N501" s="1480">
        <f t="shared" si="33"/>
        <v>0</v>
      </c>
    </row>
    <row r="502" spans="1:16" ht="46.5" outlineLevel="1" x14ac:dyDescent="0.25">
      <c r="A502" s="1486">
        <v>3</v>
      </c>
      <c r="B502" s="1491" t="s">
        <v>2098</v>
      </c>
      <c r="C502" s="1488">
        <v>0</v>
      </c>
      <c r="D502" s="1413" t="s">
        <v>1873</v>
      </c>
      <c r="E502" s="560">
        <v>26.1</v>
      </c>
      <c r="F502" s="1480">
        <v>0</v>
      </c>
      <c r="G502" s="1480">
        <v>0</v>
      </c>
      <c r="H502" s="1480">
        <f t="shared" si="31"/>
        <v>0</v>
      </c>
      <c r="I502" s="1480">
        <v>0</v>
      </c>
      <c r="J502" s="1480">
        <v>0</v>
      </c>
      <c r="K502" s="1480"/>
      <c r="L502" s="1480"/>
      <c r="M502" s="1480">
        <f t="shared" si="32"/>
        <v>0</v>
      </c>
      <c r="N502" s="1480">
        <f t="shared" si="33"/>
        <v>0</v>
      </c>
      <c r="O502" s="1481"/>
      <c r="P502" s="1427"/>
    </row>
    <row r="503" spans="1:16" ht="15.5" outlineLevel="1" x14ac:dyDescent="0.25">
      <c r="A503" s="1492">
        <v>0</v>
      </c>
      <c r="B503" s="1492" t="s">
        <v>2099</v>
      </c>
      <c r="C503" s="1488">
        <v>0</v>
      </c>
      <c r="D503" s="1413" t="s">
        <v>1873</v>
      </c>
      <c r="E503" s="560">
        <v>4.5</v>
      </c>
      <c r="F503" s="1480">
        <v>0</v>
      </c>
      <c r="G503" s="1480">
        <v>0</v>
      </c>
      <c r="H503" s="1480">
        <f t="shared" si="31"/>
        <v>0</v>
      </c>
      <c r="I503" s="1480">
        <v>0</v>
      </c>
      <c r="J503" s="1480">
        <v>0</v>
      </c>
      <c r="K503" s="1480"/>
      <c r="L503" s="1480"/>
      <c r="M503" s="1480">
        <f t="shared" si="32"/>
        <v>0</v>
      </c>
      <c r="N503" s="1480">
        <f t="shared" si="33"/>
        <v>0</v>
      </c>
    </row>
    <row r="504" spans="1:16" ht="31" outlineLevel="1" x14ac:dyDescent="0.25">
      <c r="A504" s="1492">
        <v>0</v>
      </c>
      <c r="B504" s="1492" t="s">
        <v>2100</v>
      </c>
      <c r="C504" s="1488">
        <v>0</v>
      </c>
      <c r="D504" s="1413" t="s">
        <v>1873</v>
      </c>
      <c r="E504" s="560">
        <v>5.5</v>
      </c>
      <c r="F504" s="1480">
        <v>0</v>
      </c>
      <c r="G504" s="1480">
        <v>0</v>
      </c>
      <c r="H504" s="1480">
        <f t="shared" si="31"/>
        <v>0</v>
      </c>
      <c r="I504" s="1480">
        <v>0</v>
      </c>
      <c r="J504" s="1480">
        <v>0</v>
      </c>
      <c r="K504" s="1480"/>
      <c r="L504" s="1480"/>
      <c r="M504" s="1480">
        <f t="shared" si="32"/>
        <v>0</v>
      </c>
      <c r="N504" s="1480">
        <f t="shared" si="33"/>
        <v>0</v>
      </c>
      <c r="O504" s="1481"/>
      <c r="P504" s="1427"/>
    </row>
    <row r="505" spans="1:16" ht="15.5" outlineLevel="1" x14ac:dyDescent="0.25">
      <c r="A505" s="1492">
        <v>0</v>
      </c>
      <c r="B505" s="1492" t="s">
        <v>2101</v>
      </c>
      <c r="C505" s="1488">
        <v>0</v>
      </c>
      <c r="D505" s="1413" t="s">
        <v>1873</v>
      </c>
      <c r="E505" s="560">
        <v>8.1</v>
      </c>
      <c r="F505" s="1480">
        <v>0</v>
      </c>
      <c r="G505" s="1480">
        <v>0</v>
      </c>
      <c r="H505" s="1480">
        <f t="shared" si="31"/>
        <v>0</v>
      </c>
      <c r="I505" s="1480">
        <v>0</v>
      </c>
      <c r="J505" s="1480">
        <v>0</v>
      </c>
      <c r="K505" s="1480"/>
      <c r="L505" s="1480"/>
      <c r="M505" s="1480">
        <f t="shared" si="32"/>
        <v>0</v>
      </c>
      <c r="N505" s="1480">
        <f t="shared" si="33"/>
        <v>0</v>
      </c>
    </row>
    <row r="506" spans="1:16" ht="46.5" outlineLevel="1" x14ac:dyDescent="0.25">
      <c r="A506" s="1492">
        <v>0</v>
      </c>
      <c r="B506" s="1492" t="s">
        <v>2102</v>
      </c>
      <c r="C506" s="1488">
        <v>0</v>
      </c>
      <c r="D506" s="1413" t="s">
        <v>1873</v>
      </c>
      <c r="E506" s="560">
        <v>2</v>
      </c>
      <c r="F506" s="1480">
        <v>0</v>
      </c>
      <c r="G506" s="1480">
        <v>0</v>
      </c>
      <c r="H506" s="1480">
        <f t="shared" si="31"/>
        <v>0</v>
      </c>
      <c r="I506" s="1480">
        <v>0</v>
      </c>
      <c r="J506" s="1480">
        <v>0</v>
      </c>
      <c r="K506" s="1480"/>
      <c r="L506" s="1480"/>
      <c r="M506" s="1480">
        <f t="shared" si="32"/>
        <v>0</v>
      </c>
      <c r="N506" s="1480">
        <f t="shared" si="33"/>
        <v>0</v>
      </c>
      <c r="O506" s="1481"/>
      <c r="P506" s="1427"/>
    </row>
    <row r="507" spans="1:16" ht="31" outlineLevel="1" x14ac:dyDescent="0.25">
      <c r="A507" s="1492">
        <v>0</v>
      </c>
      <c r="B507" s="1492" t="s">
        <v>2103</v>
      </c>
      <c r="C507" s="1488">
        <v>0</v>
      </c>
      <c r="D507" s="1413" t="s">
        <v>1873</v>
      </c>
      <c r="E507" s="560">
        <v>6</v>
      </c>
      <c r="F507" s="1480">
        <v>0</v>
      </c>
      <c r="G507" s="1480">
        <v>0</v>
      </c>
      <c r="H507" s="1480">
        <f t="shared" si="31"/>
        <v>0</v>
      </c>
      <c r="I507" s="1480">
        <v>0</v>
      </c>
      <c r="J507" s="1480">
        <v>0</v>
      </c>
      <c r="K507" s="1480"/>
      <c r="L507" s="1480"/>
      <c r="M507" s="1480">
        <f t="shared" si="32"/>
        <v>0</v>
      </c>
      <c r="N507" s="1480">
        <f t="shared" si="33"/>
        <v>0</v>
      </c>
    </row>
    <row r="508" spans="1:16" ht="62" outlineLevel="1" x14ac:dyDescent="0.25">
      <c r="A508" s="1486">
        <v>4</v>
      </c>
      <c r="B508" s="1491" t="s">
        <v>2104</v>
      </c>
      <c r="C508" s="1488">
        <v>0</v>
      </c>
      <c r="D508" s="1413" t="s">
        <v>1873</v>
      </c>
      <c r="E508" s="560">
        <v>26</v>
      </c>
      <c r="F508" s="1480">
        <v>0</v>
      </c>
      <c r="G508" s="1480">
        <v>0</v>
      </c>
      <c r="H508" s="1480">
        <f t="shared" si="31"/>
        <v>0</v>
      </c>
      <c r="I508" s="1480">
        <v>0</v>
      </c>
      <c r="J508" s="1480">
        <v>0</v>
      </c>
      <c r="K508" s="1480"/>
      <c r="L508" s="1480"/>
      <c r="M508" s="1480">
        <f t="shared" si="32"/>
        <v>0</v>
      </c>
      <c r="N508" s="1480">
        <f t="shared" si="33"/>
        <v>0</v>
      </c>
      <c r="O508" s="1481"/>
      <c r="P508" s="1427"/>
    </row>
    <row r="509" spans="1:16" ht="46.5" outlineLevel="1" x14ac:dyDescent="0.25">
      <c r="A509" s="1492">
        <v>0</v>
      </c>
      <c r="B509" s="1492" t="s">
        <v>2105</v>
      </c>
      <c r="C509" s="1488">
        <v>0</v>
      </c>
      <c r="D509" s="1413" t="s">
        <v>1873</v>
      </c>
      <c r="E509" s="560">
        <v>9</v>
      </c>
      <c r="F509" s="1480">
        <v>0</v>
      </c>
      <c r="G509" s="1480">
        <v>0</v>
      </c>
      <c r="H509" s="1480">
        <f t="shared" si="31"/>
        <v>0</v>
      </c>
      <c r="I509" s="1480">
        <v>0</v>
      </c>
      <c r="J509" s="1480">
        <v>0</v>
      </c>
      <c r="K509" s="1480"/>
      <c r="L509" s="1480"/>
      <c r="M509" s="1480">
        <f t="shared" si="32"/>
        <v>0</v>
      </c>
      <c r="N509" s="1480">
        <f t="shared" si="33"/>
        <v>0</v>
      </c>
    </row>
    <row r="510" spans="1:16" ht="46.5" outlineLevel="1" x14ac:dyDescent="0.25">
      <c r="A510" s="1492">
        <v>0</v>
      </c>
      <c r="B510" s="1492" t="s">
        <v>2106</v>
      </c>
      <c r="C510" s="1488">
        <v>0</v>
      </c>
      <c r="D510" s="1413" t="s">
        <v>1873</v>
      </c>
      <c r="E510" s="560">
        <v>7</v>
      </c>
      <c r="F510" s="1480">
        <v>0</v>
      </c>
      <c r="G510" s="1480">
        <v>0</v>
      </c>
      <c r="H510" s="1480">
        <f t="shared" si="31"/>
        <v>0</v>
      </c>
      <c r="I510" s="1480">
        <v>0</v>
      </c>
      <c r="J510" s="1480">
        <v>0</v>
      </c>
      <c r="K510" s="1480"/>
      <c r="L510" s="1480"/>
      <c r="M510" s="1480">
        <f t="shared" si="32"/>
        <v>0</v>
      </c>
      <c r="N510" s="1480">
        <f t="shared" si="33"/>
        <v>0</v>
      </c>
      <c r="O510" s="1481"/>
      <c r="P510" s="1427"/>
    </row>
    <row r="511" spans="1:16" ht="31" outlineLevel="1" x14ac:dyDescent="0.25">
      <c r="A511" s="1492">
        <v>0</v>
      </c>
      <c r="B511" s="1492" t="s">
        <v>2107</v>
      </c>
      <c r="C511" s="1488">
        <v>0</v>
      </c>
      <c r="D511" s="1413" t="s">
        <v>1873</v>
      </c>
      <c r="E511" s="560">
        <v>4</v>
      </c>
      <c r="F511" s="1480">
        <v>0</v>
      </c>
      <c r="G511" s="1480">
        <v>0</v>
      </c>
      <c r="H511" s="1480">
        <f t="shared" si="31"/>
        <v>0</v>
      </c>
      <c r="I511" s="1480">
        <v>0</v>
      </c>
      <c r="J511" s="1480">
        <v>0</v>
      </c>
      <c r="K511" s="1480"/>
      <c r="L511" s="1480"/>
      <c r="M511" s="1480">
        <f t="shared" si="32"/>
        <v>0</v>
      </c>
      <c r="N511" s="1480">
        <f t="shared" si="33"/>
        <v>0</v>
      </c>
    </row>
    <row r="512" spans="1:16" ht="15.5" outlineLevel="1" x14ac:dyDescent="0.25">
      <c r="A512" s="1492">
        <v>0</v>
      </c>
      <c r="B512" s="1492" t="s">
        <v>2108</v>
      </c>
      <c r="C512" s="1488">
        <v>0</v>
      </c>
      <c r="D512" s="1413" t="s">
        <v>1873</v>
      </c>
      <c r="E512" s="560">
        <v>2</v>
      </c>
      <c r="F512" s="1480">
        <v>0</v>
      </c>
      <c r="G512" s="1480">
        <v>0</v>
      </c>
      <c r="H512" s="1480">
        <f t="shared" si="31"/>
        <v>0</v>
      </c>
      <c r="I512" s="1480">
        <v>0</v>
      </c>
      <c r="J512" s="1480">
        <v>0</v>
      </c>
      <c r="K512" s="1480"/>
      <c r="L512" s="1480"/>
      <c r="M512" s="1480">
        <f t="shared" si="32"/>
        <v>0</v>
      </c>
      <c r="N512" s="1480">
        <f t="shared" si="33"/>
        <v>0</v>
      </c>
      <c r="O512" s="1481"/>
      <c r="P512" s="1427"/>
    </row>
    <row r="513" spans="1:16" ht="31" outlineLevel="1" x14ac:dyDescent="0.25">
      <c r="A513" s="1492">
        <v>0</v>
      </c>
      <c r="B513" s="1492" t="s">
        <v>2109</v>
      </c>
      <c r="C513" s="1488">
        <v>0</v>
      </c>
      <c r="D513" s="1413" t="s">
        <v>1873</v>
      </c>
      <c r="E513" s="560">
        <v>4</v>
      </c>
      <c r="F513" s="1480">
        <v>0</v>
      </c>
      <c r="G513" s="1480">
        <v>0</v>
      </c>
      <c r="H513" s="1480">
        <f t="shared" si="31"/>
        <v>0</v>
      </c>
      <c r="I513" s="1480">
        <v>0</v>
      </c>
      <c r="J513" s="1480">
        <v>0</v>
      </c>
      <c r="K513" s="1480"/>
      <c r="L513" s="1480"/>
      <c r="M513" s="1480">
        <f t="shared" si="32"/>
        <v>0</v>
      </c>
      <c r="N513" s="1480">
        <f t="shared" si="33"/>
        <v>0</v>
      </c>
    </row>
    <row r="514" spans="1:16" ht="15.5" outlineLevel="1" x14ac:dyDescent="0.25">
      <c r="A514" s="1504">
        <v>0</v>
      </c>
      <c r="B514" s="1504" t="s">
        <v>2110</v>
      </c>
      <c r="C514" s="1488">
        <v>0</v>
      </c>
      <c r="D514" s="1413" t="s">
        <v>1873</v>
      </c>
      <c r="E514" s="560">
        <v>0</v>
      </c>
      <c r="F514" s="1480">
        <v>0</v>
      </c>
      <c r="G514" s="1480">
        <v>0</v>
      </c>
      <c r="H514" s="1480">
        <f t="shared" si="31"/>
        <v>0</v>
      </c>
      <c r="I514" s="1480">
        <v>0</v>
      </c>
      <c r="J514" s="1480">
        <v>0</v>
      </c>
      <c r="K514" s="1480"/>
      <c r="L514" s="1480"/>
      <c r="M514" s="1480">
        <f t="shared" si="32"/>
        <v>0</v>
      </c>
      <c r="N514" s="1480">
        <f t="shared" si="33"/>
        <v>0</v>
      </c>
      <c r="O514" s="1481"/>
      <c r="P514" s="1427"/>
    </row>
    <row r="515" spans="1:16" ht="31" outlineLevel="1" x14ac:dyDescent="0.25">
      <c r="A515" s="1486">
        <v>1</v>
      </c>
      <c r="B515" s="1491" t="s">
        <v>2111</v>
      </c>
      <c r="C515" s="1488">
        <v>0</v>
      </c>
      <c r="D515" s="1413" t="s">
        <v>1873</v>
      </c>
      <c r="E515" s="560">
        <v>92</v>
      </c>
      <c r="F515" s="1480">
        <v>0</v>
      </c>
      <c r="G515" s="1480">
        <v>0</v>
      </c>
      <c r="H515" s="1480">
        <f t="shared" si="31"/>
        <v>0</v>
      </c>
      <c r="I515" s="1480">
        <v>0</v>
      </c>
      <c r="J515" s="1480">
        <v>0</v>
      </c>
      <c r="K515" s="1480"/>
      <c r="L515" s="1480"/>
      <c r="M515" s="1480">
        <f t="shared" si="32"/>
        <v>0</v>
      </c>
      <c r="N515" s="1480">
        <f t="shared" si="33"/>
        <v>0</v>
      </c>
    </row>
    <row r="516" spans="1:16" ht="15.5" outlineLevel="1" x14ac:dyDescent="0.25">
      <c r="A516" s="1492">
        <v>0</v>
      </c>
      <c r="B516" s="1492" t="s">
        <v>2112</v>
      </c>
      <c r="C516" s="1488">
        <v>0</v>
      </c>
      <c r="D516" s="1413" t="s">
        <v>1873</v>
      </c>
      <c r="E516" s="560">
        <v>45</v>
      </c>
      <c r="F516" s="1480">
        <v>0</v>
      </c>
      <c r="G516" s="1480">
        <v>0</v>
      </c>
      <c r="H516" s="1480">
        <f t="shared" si="31"/>
        <v>0</v>
      </c>
      <c r="I516" s="1480">
        <v>0</v>
      </c>
      <c r="J516" s="1480">
        <v>0</v>
      </c>
      <c r="K516" s="1480"/>
      <c r="L516" s="1480"/>
      <c r="M516" s="1480">
        <f t="shared" si="32"/>
        <v>0</v>
      </c>
      <c r="N516" s="1480">
        <f t="shared" si="33"/>
        <v>0</v>
      </c>
      <c r="O516" s="1481"/>
      <c r="P516" s="1427"/>
    </row>
    <row r="517" spans="1:16" ht="46.5" outlineLevel="1" x14ac:dyDescent="0.25">
      <c r="A517" s="1492">
        <v>0</v>
      </c>
      <c r="B517" s="1492" t="s">
        <v>2113</v>
      </c>
      <c r="C517" s="1488">
        <v>0</v>
      </c>
      <c r="D517" s="1413" t="s">
        <v>1873</v>
      </c>
      <c r="E517" s="560">
        <v>47</v>
      </c>
      <c r="F517" s="1480">
        <v>0</v>
      </c>
      <c r="G517" s="1480">
        <v>0</v>
      </c>
      <c r="H517" s="1480">
        <f t="shared" si="31"/>
        <v>0</v>
      </c>
      <c r="I517" s="1480">
        <v>0</v>
      </c>
      <c r="J517" s="1480">
        <v>0</v>
      </c>
      <c r="K517" s="1480"/>
      <c r="L517" s="1480"/>
      <c r="M517" s="1480">
        <f t="shared" si="32"/>
        <v>0</v>
      </c>
      <c r="N517" s="1480">
        <f t="shared" si="33"/>
        <v>0</v>
      </c>
    </row>
    <row r="518" spans="1:16" ht="31" outlineLevel="1" x14ac:dyDescent="0.25">
      <c r="A518" s="1486">
        <v>2</v>
      </c>
      <c r="B518" s="1491" t="s">
        <v>2114</v>
      </c>
      <c r="C518" s="1488">
        <v>0</v>
      </c>
      <c r="D518" s="1413" t="s">
        <v>1873</v>
      </c>
      <c r="E518" s="560">
        <v>121</v>
      </c>
      <c r="F518" s="1480">
        <v>0</v>
      </c>
      <c r="G518" s="1480">
        <v>0</v>
      </c>
      <c r="H518" s="1480">
        <f t="shared" si="31"/>
        <v>0</v>
      </c>
      <c r="I518" s="1480">
        <v>0</v>
      </c>
      <c r="J518" s="1480">
        <v>0</v>
      </c>
      <c r="K518" s="1480"/>
      <c r="L518" s="1480"/>
      <c r="M518" s="1480">
        <f t="shared" si="32"/>
        <v>0</v>
      </c>
      <c r="N518" s="1480">
        <f t="shared" si="33"/>
        <v>0</v>
      </c>
    </row>
    <row r="519" spans="1:16" ht="31" outlineLevel="1" x14ac:dyDescent="0.25">
      <c r="A519" s="1492">
        <v>0</v>
      </c>
      <c r="B519" s="1492" t="s">
        <v>2115</v>
      </c>
      <c r="C519" s="1488">
        <v>0</v>
      </c>
      <c r="D519" s="1413" t="s">
        <v>1873</v>
      </c>
      <c r="E519" s="560">
        <v>100</v>
      </c>
      <c r="F519" s="1480">
        <v>0</v>
      </c>
      <c r="G519" s="1480">
        <v>0</v>
      </c>
      <c r="H519" s="1480">
        <f t="shared" si="31"/>
        <v>0</v>
      </c>
      <c r="I519" s="1480">
        <v>0</v>
      </c>
      <c r="J519" s="1480">
        <v>0</v>
      </c>
      <c r="K519" s="1480"/>
      <c r="L519" s="1480"/>
      <c r="M519" s="1480">
        <f t="shared" si="32"/>
        <v>0</v>
      </c>
      <c r="N519" s="1480">
        <f t="shared" si="33"/>
        <v>0</v>
      </c>
    </row>
    <row r="520" spans="1:16" ht="31" outlineLevel="1" x14ac:dyDescent="0.25">
      <c r="A520" s="1492">
        <v>0</v>
      </c>
      <c r="B520" s="1492" t="s">
        <v>2116</v>
      </c>
      <c r="C520" s="1488">
        <v>0</v>
      </c>
      <c r="D520" s="1413" t="s">
        <v>1873</v>
      </c>
      <c r="E520" s="560">
        <v>11</v>
      </c>
      <c r="F520" s="1480">
        <v>0</v>
      </c>
      <c r="G520" s="1480">
        <v>0</v>
      </c>
      <c r="H520" s="1480">
        <f t="shared" si="31"/>
        <v>0</v>
      </c>
      <c r="I520" s="1480">
        <v>0</v>
      </c>
      <c r="J520" s="1480">
        <v>0</v>
      </c>
      <c r="K520" s="1480"/>
      <c r="L520" s="1480"/>
      <c r="M520" s="1480">
        <f t="shared" si="32"/>
        <v>0</v>
      </c>
      <c r="N520" s="1480">
        <f t="shared" si="33"/>
        <v>0</v>
      </c>
    </row>
    <row r="521" spans="1:16" ht="31" outlineLevel="1" x14ac:dyDescent="0.25">
      <c r="A521" s="1492">
        <v>0</v>
      </c>
      <c r="B521" s="1492" t="s">
        <v>2117</v>
      </c>
      <c r="C521" s="1488">
        <v>0</v>
      </c>
      <c r="D521" s="1413" t="s">
        <v>1873</v>
      </c>
      <c r="E521" s="560">
        <v>8</v>
      </c>
      <c r="F521" s="1480">
        <v>0</v>
      </c>
      <c r="G521" s="1480">
        <v>0</v>
      </c>
      <c r="H521" s="1480">
        <f t="shared" si="31"/>
        <v>0</v>
      </c>
      <c r="I521" s="1480">
        <v>0</v>
      </c>
      <c r="J521" s="1480">
        <v>0</v>
      </c>
      <c r="K521" s="1480"/>
      <c r="L521" s="1480"/>
      <c r="M521" s="1480">
        <f t="shared" si="32"/>
        <v>0</v>
      </c>
      <c r="N521" s="1480">
        <f t="shared" si="33"/>
        <v>0</v>
      </c>
    </row>
    <row r="522" spans="1:16" ht="31" outlineLevel="1" x14ac:dyDescent="0.25">
      <c r="A522" s="1492">
        <v>0</v>
      </c>
      <c r="B522" s="1492" t="s">
        <v>2118</v>
      </c>
      <c r="C522" s="1488">
        <v>0</v>
      </c>
      <c r="D522" s="1413" t="s">
        <v>1873</v>
      </c>
      <c r="E522" s="560">
        <v>2</v>
      </c>
      <c r="F522" s="1480">
        <v>0</v>
      </c>
      <c r="G522" s="1480">
        <v>0</v>
      </c>
      <c r="H522" s="1480">
        <f t="shared" si="31"/>
        <v>0</v>
      </c>
      <c r="I522" s="1480">
        <v>0</v>
      </c>
      <c r="J522" s="1480">
        <v>0</v>
      </c>
      <c r="K522" s="1480"/>
      <c r="L522" s="1480"/>
      <c r="M522" s="1480">
        <f t="shared" si="32"/>
        <v>0</v>
      </c>
      <c r="N522" s="1480">
        <f t="shared" si="33"/>
        <v>0</v>
      </c>
    </row>
    <row r="523" spans="1:16" ht="77.5" outlineLevel="1" x14ac:dyDescent="0.25">
      <c r="A523" s="1486">
        <v>3</v>
      </c>
      <c r="B523" s="1491" t="s">
        <v>2119</v>
      </c>
      <c r="C523" s="1488">
        <v>0</v>
      </c>
      <c r="D523" s="1413" t="s">
        <v>1873</v>
      </c>
      <c r="E523" s="560">
        <v>56</v>
      </c>
      <c r="F523" s="1480">
        <v>0</v>
      </c>
      <c r="G523" s="1480">
        <v>0</v>
      </c>
      <c r="H523" s="1480">
        <f t="shared" ref="H523:H586" si="34">F523-G523</f>
        <v>0</v>
      </c>
      <c r="I523" s="1480">
        <v>0</v>
      </c>
      <c r="J523" s="1480">
        <v>0</v>
      </c>
      <c r="K523" s="1480"/>
      <c r="L523" s="1480"/>
      <c r="M523" s="1480">
        <f t="shared" ref="M523:M586" si="35">SUM(J523:L523)</f>
        <v>0</v>
      </c>
      <c r="N523" s="1480">
        <f t="shared" ref="N523:N586" si="36">H523+I523-M523</f>
        <v>0</v>
      </c>
    </row>
    <row r="524" spans="1:16" ht="77.5" outlineLevel="1" x14ac:dyDescent="0.25">
      <c r="A524" s="1492">
        <v>0</v>
      </c>
      <c r="B524" s="1492" t="s">
        <v>2119</v>
      </c>
      <c r="C524" s="1488">
        <v>0</v>
      </c>
      <c r="D524" s="1413" t="s">
        <v>1873</v>
      </c>
      <c r="E524" s="560">
        <v>56</v>
      </c>
      <c r="F524" s="1480">
        <v>0</v>
      </c>
      <c r="G524" s="1480">
        <v>0</v>
      </c>
      <c r="H524" s="1480">
        <f t="shared" si="34"/>
        <v>0</v>
      </c>
      <c r="I524" s="1480">
        <v>0</v>
      </c>
      <c r="J524" s="1480">
        <v>0</v>
      </c>
      <c r="K524" s="1480"/>
      <c r="L524" s="1480"/>
      <c r="M524" s="1480">
        <f t="shared" si="35"/>
        <v>0</v>
      </c>
      <c r="N524" s="1480">
        <f t="shared" si="36"/>
        <v>0</v>
      </c>
    </row>
    <row r="525" spans="1:16" ht="31" outlineLevel="1" x14ac:dyDescent="0.25">
      <c r="A525" s="1486">
        <v>4</v>
      </c>
      <c r="B525" s="1491" t="s">
        <v>2120</v>
      </c>
      <c r="C525" s="1488">
        <v>0</v>
      </c>
      <c r="D525" s="1413" t="s">
        <v>1873</v>
      </c>
      <c r="E525" s="560">
        <v>58.37</v>
      </c>
      <c r="F525" s="1480">
        <v>0</v>
      </c>
      <c r="G525" s="1480">
        <v>0</v>
      </c>
      <c r="H525" s="1480">
        <f t="shared" si="34"/>
        <v>0</v>
      </c>
      <c r="I525" s="1480">
        <v>0</v>
      </c>
      <c r="J525" s="1480">
        <v>0</v>
      </c>
      <c r="K525" s="1480"/>
      <c r="L525" s="1480"/>
      <c r="M525" s="1480">
        <f t="shared" si="35"/>
        <v>0</v>
      </c>
      <c r="N525" s="1480">
        <f t="shared" si="36"/>
        <v>0</v>
      </c>
    </row>
    <row r="526" spans="1:16" ht="31" outlineLevel="1" x14ac:dyDescent="0.25">
      <c r="A526" s="1492">
        <v>0</v>
      </c>
      <c r="B526" s="1492" t="s">
        <v>2121</v>
      </c>
      <c r="C526" s="1488">
        <v>0</v>
      </c>
      <c r="D526" s="1413" t="s">
        <v>1873</v>
      </c>
      <c r="E526" s="560">
        <v>20.190000000000001</v>
      </c>
      <c r="F526" s="1480">
        <v>0</v>
      </c>
      <c r="G526" s="1480">
        <v>0</v>
      </c>
      <c r="H526" s="1480">
        <f t="shared" si="34"/>
        <v>0</v>
      </c>
      <c r="I526" s="1480">
        <v>0</v>
      </c>
      <c r="J526" s="1480">
        <v>0</v>
      </c>
      <c r="K526" s="1480"/>
      <c r="L526" s="1480"/>
      <c r="M526" s="1480">
        <f t="shared" si="35"/>
        <v>0</v>
      </c>
      <c r="N526" s="1480">
        <f t="shared" si="36"/>
        <v>0</v>
      </c>
    </row>
    <row r="527" spans="1:16" ht="46.5" outlineLevel="1" x14ac:dyDescent="0.25">
      <c r="A527" s="1492">
        <v>0</v>
      </c>
      <c r="B527" s="1492" t="s">
        <v>2122</v>
      </c>
      <c r="C527" s="1488">
        <v>0</v>
      </c>
      <c r="D527" s="1413" t="s">
        <v>1873</v>
      </c>
      <c r="E527" s="560">
        <v>38.18</v>
      </c>
      <c r="F527" s="1480">
        <v>0</v>
      </c>
      <c r="G527" s="1480">
        <v>0</v>
      </c>
      <c r="H527" s="1480">
        <f t="shared" si="34"/>
        <v>0</v>
      </c>
      <c r="I527" s="1480">
        <v>0</v>
      </c>
      <c r="J527" s="1480">
        <v>0</v>
      </c>
      <c r="K527" s="1480"/>
      <c r="L527" s="1480"/>
      <c r="M527" s="1480">
        <f t="shared" si="35"/>
        <v>0</v>
      </c>
      <c r="N527" s="1480">
        <f t="shared" si="36"/>
        <v>0</v>
      </c>
    </row>
    <row r="528" spans="1:16" ht="46.5" outlineLevel="1" x14ac:dyDescent="0.25">
      <c r="A528" s="1486">
        <v>5</v>
      </c>
      <c r="B528" s="1491" t="s">
        <v>2123</v>
      </c>
      <c r="C528" s="1488">
        <v>0</v>
      </c>
      <c r="D528" s="1413" t="s">
        <v>1873</v>
      </c>
      <c r="E528" s="560">
        <v>27.55</v>
      </c>
      <c r="F528" s="1480">
        <v>0</v>
      </c>
      <c r="G528" s="1480">
        <v>0</v>
      </c>
      <c r="H528" s="1480">
        <f t="shared" si="34"/>
        <v>0</v>
      </c>
      <c r="I528" s="1480">
        <v>0</v>
      </c>
      <c r="J528" s="1480">
        <v>0</v>
      </c>
      <c r="K528" s="1480"/>
      <c r="L528" s="1480"/>
      <c r="M528" s="1480">
        <f t="shared" si="35"/>
        <v>0</v>
      </c>
      <c r="N528" s="1480">
        <f t="shared" si="36"/>
        <v>0</v>
      </c>
    </row>
    <row r="529" spans="1:14" ht="46.5" outlineLevel="1" x14ac:dyDescent="0.25">
      <c r="A529" s="1492">
        <v>0</v>
      </c>
      <c r="B529" s="1492" t="s">
        <v>2123</v>
      </c>
      <c r="C529" s="1488">
        <v>0</v>
      </c>
      <c r="D529" s="1413" t="s">
        <v>1873</v>
      </c>
      <c r="E529" s="560">
        <v>27.55</v>
      </c>
      <c r="F529" s="1480">
        <v>0</v>
      </c>
      <c r="G529" s="1480">
        <v>0</v>
      </c>
      <c r="H529" s="1480">
        <f t="shared" si="34"/>
        <v>0</v>
      </c>
      <c r="I529" s="1480">
        <v>0</v>
      </c>
      <c r="J529" s="1480">
        <v>0</v>
      </c>
      <c r="K529" s="1480"/>
      <c r="L529" s="1480"/>
      <c r="M529" s="1480">
        <f t="shared" si="35"/>
        <v>0</v>
      </c>
      <c r="N529" s="1480">
        <f t="shared" si="36"/>
        <v>0</v>
      </c>
    </row>
    <row r="530" spans="1:14" ht="31" outlineLevel="1" x14ac:dyDescent="0.25">
      <c r="A530" s="1486">
        <v>6</v>
      </c>
      <c r="B530" s="1491" t="s">
        <v>2124</v>
      </c>
      <c r="C530" s="1488">
        <v>0</v>
      </c>
      <c r="D530" s="1413" t="s">
        <v>1873</v>
      </c>
      <c r="E530" s="560">
        <v>81.06</v>
      </c>
      <c r="F530" s="1480">
        <v>0</v>
      </c>
      <c r="G530" s="1480">
        <v>0</v>
      </c>
      <c r="H530" s="1480">
        <f t="shared" si="34"/>
        <v>0</v>
      </c>
      <c r="I530" s="1480">
        <v>0</v>
      </c>
      <c r="J530" s="1480">
        <v>0</v>
      </c>
      <c r="K530" s="1480"/>
      <c r="L530" s="1480"/>
      <c r="M530" s="1480">
        <f t="shared" si="35"/>
        <v>0</v>
      </c>
      <c r="N530" s="1480">
        <f t="shared" si="36"/>
        <v>0</v>
      </c>
    </row>
    <row r="531" spans="1:14" ht="46.5" outlineLevel="1" x14ac:dyDescent="0.25">
      <c r="A531" s="1492">
        <v>0</v>
      </c>
      <c r="B531" s="1492" t="s">
        <v>2125</v>
      </c>
      <c r="C531" s="1488">
        <v>0</v>
      </c>
      <c r="D531" s="1413" t="s">
        <v>1873</v>
      </c>
      <c r="E531" s="560">
        <v>81.06</v>
      </c>
      <c r="F531" s="1480">
        <v>0</v>
      </c>
      <c r="G531" s="1480">
        <v>0</v>
      </c>
      <c r="H531" s="1480">
        <f t="shared" si="34"/>
        <v>0</v>
      </c>
      <c r="I531" s="1480">
        <v>0</v>
      </c>
      <c r="J531" s="1480">
        <v>0</v>
      </c>
      <c r="K531" s="1480"/>
      <c r="L531" s="1480"/>
      <c r="M531" s="1480">
        <f t="shared" si="35"/>
        <v>0</v>
      </c>
      <c r="N531" s="1480">
        <f t="shared" si="36"/>
        <v>0</v>
      </c>
    </row>
    <row r="532" spans="1:14" ht="15.5" outlineLevel="1" x14ac:dyDescent="0.25">
      <c r="A532" s="1504">
        <v>0</v>
      </c>
      <c r="B532" s="1504" t="s">
        <v>2126</v>
      </c>
      <c r="C532" s="1488">
        <v>0</v>
      </c>
      <c r="D532" s="1413" t="s">
        <v>1873</v>
      </c>
      <c r="E532" s="560">
        <v>0</v>
      </c>
      <c r="F532" s="1480">
        <v>0</v>
      </c>
      <c r="G532" s="1480">
        <v>0</v>
      </c>
      <c r="H532" s="1480">
        <f t="shared" si="34"/>
        <v>0</v>
      </c>
      <c r="I532" s="1480">
        <v>0</v>
      </c>
      <c r="J532" s="1480">
        <v>0</v>
      </c>
      <c r="K532" s="1480"/>
      <c r="L532" s="1480"/>
      <c r="M532" s="1480">
        <f t="shared" si="35"/>
        <v>0</v>
      </c>
      <c r="N532" s="1480">
        <f t="shared" si="36"/>
        <v>0</v>
      </c>
    </row>
    <row r="533" spans="1:14" ht="31" outlineLevel="1" x14ac:dyDescent="0.25">
      <c r="A533" s="1486">
        <v>1</v>
      </c>
      <c r="B533" s="1491" t="s">
        <v>2127</v>
      </c>
      <c r="C533" s="1488">
        <v>0</v>
      </c>
      <c r="D533" s="1413" t="s">
        <v>1873</v>
      </c>
      <c r="E533" s="560">
        <v>95.65</v>
      </c>
      <c r="F533" s="1480">
        <v>0</v>
      </c>
      <c r="G533" s="1480">
        <v>0</v>
      </c>
      <c r="H533" s="1480">
        <f t="shared" si="34"/>
        <v>0</v>
      </c>
      <c r="I533" s="1480">
        <v>0</v>
      </c>
      <c r="J533" s="1480">
        <v>0</v>
      </c>
      <c r="K533" s="1480"/>
      <c r="L533" s="1480"/>
      <c r="M533" s="1480">
        <f t="shared" si="35"/>
        <v>0</v>
      </c>
      <c r="N533" s="1480">
        <f t="shared" si="36"/>
        <v>0</v>
      </c>
    </row>
    <row r="534" spans="1:14" ht="31" outlineLevel="1" x14ac:dyDescent="0.25">
      <c r="A534" s="1492">
        <v>0</v>
      </c>
      <c r="B534" s="1492" t="s">
        <v>2128</v>
      </c>
      <c r="C534" s="1488">
        <v>0</v>
      </c>
      <c r="D534" s="1413" t="s">
        <v>1873</v>
      </c>
      <c r="E534" s="560">
        <v>16</v>
      </c>
      <c r="F534" s="1480">
        <v>0</v>
      </c>
      <c r="G534" s="1480">
        <v>0</v>
      </c>
      <c r="H534" s="1480">
        <f t="shared" si="34"/>
        <v>0</v>
      </c>
      <c r="I534" s="1480">
        <v>0</v>
      </c>
      <c r="J534" s="1480">
        <v>0</v>
      </c>
      <c r="K534" s="1480"/>
      <c r="L534" s="1480"/>
      <c r="M534" s="1480">
        <f t="shared" si="35"/>
        <v>0</v>
      </c>
      <c r="N534" s="1480">
        <f t="shared" si="36"/>
        <v>0</v>
      </c>
    </row>
    <row r="535" spans="1:14" ht="31" outlineLevel="1" x14ac:dyDescent="0.25">
      <c r="A535" s="1492">
        <v>0</v>
      </c>
      <c r="B535" s="1492" t="s">
        <v>2129</v>
      </c>
      <c r="C535" s="1488">
        <v>0</v>
      </c>
      <c r="D535" s="1413" t="s">
        <v>1873</v>
      </c>
      <c r="E535" s="560">
        <v>85.529939999999996</v>
      </c>
      <c r="F535" s="1480">
        <v>0</v>
      </c>
      <c r="G535" s="1480">
        <v>0</v>
      </c>
      <c r="H535" s="1480">
        <f t="shared" si="34"/>
        <v>0</v>
      </c>
      <c r="I535" s="1480">
        <v>0</v>
      </c>
      <c r="J535" s="1480">
        <v>0</v>
      </c>
      <c r="K535" s="1480"/>
      <c r="L535" s="1480"/>
      <c r="M535" s="1480">
        <f t="shared" si="35"/>
        <v>0</v>
      </c>
      <c r="N535" s="1480">
        <f t="shared" si="36"/>
        <v>0</v>
      </c>
    </row>
    <row r="536" spans="1:14" ht="15.5" outlineLevel="1" x14ac:dyDescent="0.25">
      <c r="A536" s="1504">
        <v>0</v>
      </c>
      <c r="B536" s="1504" t="s">
        <v>2130</v>
      </c>
      <c r="C536" s="1488">
        <v>0</v>
      </c>
      <c r="D536" s="1413" t="s">
        <v>1873</v>
      </c>
      <c r="E536" s="560">
        <v>0</v>
      </c>
      <c r="F536" s="1480">
        <v>0</v>
      </c>
      <c r="G536" s="1480">
        <v>0</v>
      </c>
      <c r="H536" s="1480">
        <f t="shared" si="34"/>
        <v>0</v>
      </c>
      <c r="I536" s="1480">
        <v>0</v>
      </c>
      <c r="J536" s="1480">
        <v>0</v>
      </c>
      <c r="K536" s="1480"/>
      <c r="L536" s="1480"/>
      <c r="M536" s="1480">
        <f t="shared" si="35"/>
        <v>0</v>
      </c>
      <c r="N536" s="1480">
        <f t="shared" si="36"/>
        <v>0</v>
      </c>
    </row>
    <row r="537" spans="1:14" ht="46.5" outlineLevel="1" x14ac:dyDescent="0.25">
      <c r="A537" s="1486">
        <v>1</v>
      </c>
      <c r="B537" s="1491" t="s">
        <v>2131</v>
      </c>
      <c r="C537" s="1488">
        <v>0</v>
      </c>
      <c r="D537" s="1413" t="s">
        <v>1873</v>
      </c>
      <c r="E537" s="560">
        <v>38</v>
      </c>
      <c r="F537" s="1480">
        <v>0</v>
      </c>
      <c r="G537" s="1480">
        <v>0</v>
      </c>
      <c r="H537" s="1480">
        <f t="shared" si="34"/>
        <v>0</v>
      </c>
      <c r="I537" s="1480">
        <v>0</v>
      </c>
      <c r="J537" s="1480">
        <v>0</v>
      </c>
      <c r="K537" s="1480"/>
      <c r="L537" s="1480"/>
      <c r="M537" s="1480">
        <f t="shared" si="35"/>
        <v>0</v>
      </c>
      <c r="N537" s="1480">
        <f t="shared" si="36"/>
        <v>0</v>
      </c>
    </row>
    <row r="538" spans="1:14" ht="46.5" outlineLevel="1" x14ac:dyDescent="0.25">
      <c r="A538" s="1492">
        <v>0</v>
      </c>
      <c r="B538" s="1492" t="s">
        <v>2132</v>
      </c>
      <c r="C538" s="1488">
        <v>0</v>
      </c>
      <c r="D538" s="1413" t="s">
        <v>1873</v>
      </c>
      <c r="E538" s="560">
        <v>16</v>
      </c>
      <c r="F538" s="1480">
        <v>0</v>
      </c>
      <c r="G538" s="1480">
        <v>0</v>
      </c>
      <c r="H538" s="1480">
        <f t="shared" si="34"/>
        <v>0</v>
      </c>
      <c r="I538" s="1480">
        <v>0</v>
      </c>
      <c r="J538" s="1480">
        <v>0</v>
      </c>
      <c r="K538" s="1480"/>
      <c r="L538" s="1480"/>
      <c r="M538" s="1480">
        <f t="shared" si="35"/>
        <v>0</v>
      </c>
      <c r="N538" s="1480">
        <f t="shared" si="36"/>
        <v>0</v>
      </c>
    </row>
    <row r="539" spans="1:14" ht="31" outlineLevel="1" x14ac:dyDescent="0.25">
      <c r="A539" s="1492">
        <v>0</v>
      </c>
      <c r="B539" s="1492" t="s">
        <v>2133</v>
      </c>
      <c r="C539" s="1488">
        <v>0</v>
      </c>
      <c r="D539" s="1413" t="s">
        <v>1873</v>
      </c>
      <c r="E539" s="560">
        <v>7</v>
      </c>
      <c r="F539" s="1480">
        <v>0</v>
      </c>
      <c r="G539" s="1480">
        <v>0</v>
      </c>
      <c r="H539" s="1480">
        <f t="shared" si="34"/>
        <v>0</v>
      </c>
      <c r="I539" s="1480">
        <v>0</v>
      </c>
      <c r="J539" s="1480">
        <v>0</v>
      </c>
      <c r="K539" s="1480"/>
      <c r="L539" s="1480"/>
      <c r="M539" s="1480">
        <f t="shared" si="35"/>
        <v>0</v>
      </c>
      <c r="N539" s="1480">
        <f t="shared" si="36"/>
        <v>0</v>
      </c>
    </row>
    <row r="540" spans="1:14" ht="46.5" outlineLevel="1" x14ac:dyDescent="0.25">
      <c r="A540" s="1492">
        <v>0</v>
      </c>
      <c r="B540" s="1492" t="s">
        <v>2134</v>
      </c>
      <c r="C540" s="1488">
        <v>0</v>
      </c>
      <c r="D540" s="1413" t="s">
        <v>1873</v>
      </c>
      <c r="E540" s="560">
        <v>5</v>
      </c>
      <c r="F540" s="1480">
        <v>0</v>
      </c>
      <c r="G540" s="1480">
        <v>0</v>
      </c>
      <c r="H540" s="1480">
        <f t="shared" si="34"/>
        <v>0</v>
      </c>
      <c r="I540" s="1480">
        <v>0</v>
      </c>
      <c r="J540" s="1480">
        <v>0</v>
      </c>
      <c r="K540" s="1480"/>
      <c r="L540" s="1480"/>
      <c r="M540" s="1480">
        <f t="shared" si="35"/>
        <v>0</v>
      </c>
      <c r="N540" s="1480">
        <f t="shared" si="36"/>
        <v>0</v>
      </c>
    </row>
    <row r="541" spans="1:14" ht="31" outlineLevel="1" x14ac:dyDescent="0.25">
      <c r="A541" s="1486">
        <v>2</v>
      </c>
      <c r="B541" s="1491" t="s">
        <v>2135</v>
      </c>
      <c r="C541" s="1488">
        <v>0</v>
      </c>
      <c r="D541" s="1413" t="s">
        <v>1873</v>
      </c>
      <c r="E541" s="560">
        <v>75</v>
      </c>
      <c r="F541" s="1480">
        <v>0</v>
      </c>
      <c r="G541" s="1480">
        <v>0</v>
      </c>
      <c r="H541" s="1480">
        <f t="shared" si="34"/>
        <v>0</v>
      </c>
      <c r="I541" s="1480">
        <v>0</v>
      </c>
      <c r="J541" s="1480">
        <v>0</v>
      </c>
      <c r="K541" s="1480"/>
      <c r="L541" s="1480"/>
      <c r="M541" s="1480">
        <f t="shared" si="35"/>
        <v>0</v>
      </c>
      <c r="N541" s="1480">
        <f t="shared" si="36"/>
        <v>0</v>
      </c>
    </row>
    <row r="542" spans="1:14" ht="31" outlineLevel="1" x14ac:dyDescent="0.25">
      <c r="A542" s="1492">
        <v>0</v>
      </c>
      <c r="B542" s="1492" t="s">
        <v>2136</v>
      </c>
      <c r="C542" s="1488">
        <v>0</v>
      </c>
      <c r="D542" s="1413" t="s">
        <v>1873</v>
      </c>
      <c r="E542" s="560">
        <v>39</v>
      </c>
      <c r="F542" s="1480">
        <v>0</v>
      </c>
      <c r="G542" s="1480">
        <v>0</v>
      </c>
      <c r="H542" s="1480">
        <f t="shared" si="34"/>
        <v>0</v>
      </c>
      <c r="I542" s="1480">
        <v>0</v>
      </c>
      <c r="J542" s="1480">
        <v>0</v>
      </c>
      <c r="K542" s="1480"/>
      <c r="L542" s="1480"/>
      <c r="M542" s="1480">
        <f t="shared" si="35"/>
        <v>0</v>
      </c>
      <c r="N542" s="1480">
        <f t="shared" si="36"/>
        <v>0</v>
      </c>
    </row>
    <row r="543" spans="1:14" ht="15.5" outlineLevel="1" x14ac:dyDescent="0.25">
      <c r="A543" s="1492">
        <v>0</v>
      </c>
      <c r="B543" s="1492" t="s">
        <v>2137</v>
      </c>
      <c r="C543" s="1488">
        <v>0</v>
      </c>
      <c r="D543" s="1413" t="s">
        <v>1873</v>
      </c>
      <c r="E543" s="560">
        <v>15</v>
      </c>
      <c r="F543" s="1480">
        <v>0</v>
      </c>
      <c r="G543" s="1480">
        <v>0</v>
      </c>
      <c r="H543" s="1480">
        <f t="shared" si="34"/>
        <v>0</v>
      </c>
      <c r="I543" s="1480">
        <v>0</v>
      </c>
      <c r="J543" s="1480">
        <v>0</v>
      </c>
      <c r="K543" s="1480"/>
      <c r="L543" s="1480"/>
      <c r="M543" s="1480">
        <f t="shared" si="35"/>
        <v>0</v>
      </c>
      <c r="N543" s="1480">
        <f t="shared" si="36"/>
        <v>0</v>
      </c>
    </row>
    <row r="544" spans="1:14" ht="31" outlineLevel="1" x14ac:dyDescent="0.25">
      <c r="A544" s="1492">
        <v>0</v>
      </c>
      <c r="B544" s="1492" t="s">
        <v>2138</v>
      </c>
      <c r="C544" s="1488">
        <v>0</v>
      </c>
      <c r="D544" s="1413" t="s">
        <v>1873</v>
      </c>
      <c r="E544" s="560">
        <v>11</v>
      </c>
      <c r="F544" s="1480">
        <v>0</v>
      </c>
      <c r="G544" s="1480">
        <v>0</v>
      </c>
      <c r="H544" s="1480">
        <f t="shared" si="34"/>
        <v>0</v>
      </c>
      <c r="I544" s="1480">
        <v>0</v>
      </c>
      <c r="J544" s="1480">
        <v>0</v>
      </c>
      <c r="K544" s="1480"/>
      <c r="L544" s="1480"/>
      <c r="M544" s="1480">
        <f t="shared" si="35"/>
        <v>0</v>
      </c>
      <c r="N544" s="1480">
        <f t="shared" si="36"/>
        <v>0</v>
      </c>
    </row>
    <row r="545" spans="1:14" ht="31" outlineLevel="1" x14ac:dyDescent="0.25">
      <c r="A545" s="1492">
        <v>0</v>
      </c>
      <c r="B545" s="1492" t="s">
        <v>2139</v>
      </c>
      <c r="C545" s="1488">
        <v>0</v>
      </c>
      <c r="D545" s="1413" t="s">
        <v>1873</v>
      </c>
      <c r="E545" s="560">
        <v>10</v>
      </c>
      <c r="F545" s="1480">
        <v>0</v>
      </c>
      <c r="G545" s="1480">
        <v>0</v>
      </c>
      <c r="H545" s="1480">
        <f t="shared" si="34"/>
        <v>0</v>
      </c>
      <c r="I545" s="1480">
        <v>0</v>
      </c>
      <c r="J545" s="1480">
        <v>0</v>
      </c>
      <c r="K545" s="1480"/>
      <c r="L545" s="1480"/>
      <c r="M545" s="1480">
        <f t="shared" si="35"/>
        <v>0</v>
      </c>
      <c r="N545" s="1480">
        <f t="shared" si="36"/>
        <v>0</v>
      </c>
    </row>
    <row r="546" spans="1:14" ht="46.5" outlineLevel="1" x14ac:dyDescent="0.25">
      <c r="A546" s="1486">
        <v>3</v>
      </c>
      <c r="B546" s="1491" t="s">
        <v>2140</v>
      </c>
      <c r="C546" s="1488">
        <v>0</v>
      </c>
      <c r="D546" s="1413" t="s">
        <v>1873</v>
      </c>
      <c r="E546" s="560">
        <v>29</v>
      </c>
      <c r="F546" s="1480">
        <v>0</v>
      </c>
      <c r="G546" s="1480">
        <v>0</v>
      </c>
      <c r="H546" s="1480">
        <f t="shared" si="34"/>
        <v>0</v>
      </c>
      <c r="I546" s="1480">
        <v>0</v>
      </c>
      <c r="J546" s="1480">
        <v>0</v>
      </c>
      <c r="K546" s="1480"/>
      <c r="L546" s="1480"/>
      <c r="M546" s="1480">
        <f t="shared" si="35"/>
        <v>0</v>
      </c>
      <c r="N546" s="1480">
        <f t="shared" si="36"/>
        <v>0</v>
      </c>
    </row>
    <row r="547" spans="1:14" ht="31" outlineLevel="1" x14ac:dyDescent="0.25">
      <c r="A547" s="1492">
        <v>0</v>
      </c>
      <c r="B547" s="1492" t="s">
        <v>2141</v>
      </c>
      <c r="C547" s="1488">
        <v>0</v>
      </c>
      <c r="D547" s="1413" t="s">
        <v>1873</v>
      </c>
      <c r="E547" s="560">
        <v>9</v>
      </c>
      <c r="F547" s="1480">
        <v>0</v>
      </c>
      <c r="G547" s="1480">
        <v>0</v>
      </c>
      <c r="H547" s="1480">
        <f t="shared" si="34"/>
        <v>0</v>
      </c>
      <c r="I547" s="1480">
        <v>0</v>
      </c>
      <c r="J547" s="1480">
        <v>0</v>
      </c>
      <c r="K547" s="1480"/>
      <c r="L547" s="1480"/>
      <c r="M547" s="1480">
        <f t="shared" si="35"/>
        <v>0</v>
      </c>
      <c r="N547" s="1480">
        <f t="shared" si="36"/>
        <v>0</v>
      </c>
    </row>
    <row r="548" spans="1:14" ht="46.5" outlineLevel="1" x14ac:dyDescent="0.25">
      <c r="A548" s="1492">
        <v>0</v>
      </c>
      <c r="B548" s="1492" t="s">
        <v>2142</v>
      </c>
      <c r="C548" s="1488">
        <v>0</v>
      </c>
      <c r="D548" s="1413" t="s">
        <v>1873</v>
      </c>
      <c r="E548" s="560">
        <v>20</v>
      </c>
      <c r="F548" s="1480">
        <v>0</v>
      </c>
      <c r="G548" s="1480">
        <v>0</v>
      </c>
      <c r="H548" s="1480">
        <f t="shared" si="34"/>
        <v>0</v>
      </c>
      <c r="I548" s="1480">
        <v>0</v>
      </c>
      <c r="J548" s="1480">
        <v>0</v>
      </c>
      <c r="K548" s="1480"/>
      <c r="L548" s="1480"/>
      <c r="M548" s="1480">
        <f t="shared" si="35"/>
        <v>0</v>
      </c>
      <c r="N548" s="1480">
        <f t="shared" si="36"/>
        <v>0</v>
      </c>
    </row>
    <row r="549" spans="1:14" ht="31" outlineLevel="1" x14ac:dyDescent="0.25">
      <c r="A549" s="1486">
        <v>4</v>
      </c>
      <c r="B549" s="1491" t="s">
        <v>2143</v>
      </c>
      <c r="C549" s="1488">
        <v>0</v>
      </c>
      <c r="D549" s="1413" t="s">
        <v>1873</v>
      </c>
      <c r="E549" s="560">
        <v>29</v>
      </c>
      <c r="F549" s="1480">
        <v>0</v>
      </c>
      <c r="G549" s="1480">
        <v>0</v>
      </c>
      <c r="H549" s="1480">
        <f t="shared" si="34"/>
        <v>0</v>
      </c>
      <c r="I549" s="1480">
        <v>0</v>
      </c>
      <c r="J549" s="1480">
        <v>0</v>
      </c>
      <c r="K549" s="1480"/>
      <c r="L549" s="1480"/>
      <c r="M549" s="1480">
        <f t="shared" si="35"/>
        <v>0</v>
      </c>
      <c r="N549" s="1480">
        <f t="shared" si="36"/>
        <v>0</v>
      </c>
    </row>
    <row r="550" spans="1:14" ht="31" outlineLevel="1" x14ac:dyDescent="0.25">
      <c r="A550" s="1492">
        <v>0</v>
      </c>
      <c r="B550" s="1492" t="s">
        <v>2144</v>
      </c>
      <c r="C550" s="1488">
        <v>0</v>
      </c>
      <c r="D550" s="1413" t="s">
        <v>1873</v>
      </c>
      <c r="E550" s="560">
        <v>8</v>
      </c>
      <c r="F550" s="1480">
        <v>0</v>
      </c>
      <c r="G550" s="1480">
        <v>0</v>
      </c>
      <c r="H550" s="1480">
        <f t="shared" si="34"/>
        <v>0</v>
      </c>
      <c r="I550" s="1480">
        <v>0</v>
      </c>
      <c r="J550" s="1480">
        <v>0</v>
      </c>
      <c r="K550" s="1480"/>
      <c r="L550" s="1480"/>
      <c r="M550" s="1480">
        <f t="shared" si="35"/>
        <v>0</v>
      </c>
      <c r="N550" s="1480">
        <f t="shared" si="36"/>
        <v>0</v>
      </c>
    </row>
    <row r="551" spans="1:14" ht="46.5" outlineLevel="1" x14ac:dyDescent="0.25">
      <c r="A551" s="1492">
        <v>0</v>
      </c>
      <c r="B551" s="1492" t="s">
        <v>2145</v>
      </c>
      <c r="C551" s="1488">
        <v>0</v>
      </c>
      <c r="D551" s="1413" t="s">
        <v>1873</v>
      </c>
      <c r="E551" s="560">
        <v>4</v>
      </c>
      <c r="F551" s="1480">
        <v>0</v>
      </c>
      <c r="G551" s="1480">
        <v>0</v>
      </c>
      <c r="H551" s="1480">
        <f t="shared" si="34"/>
        <v>0</v>
      </c>
      <c r="I551" s="1480">
        <v>0</v>
      </c>
      <c r="J551" s="1480">
        <v>0</v>
      </c>
      <c r="K551" s="1480"/>
      <c r="L551" s="1480"/>
      <c r="M551" s="1480">
        <f t="shared" si="35"/>
        <v>0</v>
      </c>
      <c r="N551" s="1480">
        <f t="shared" si="36"/>
        <v>0</v>
      </c>
    </row>
    <row r="552" spans="1:14" ht="31" outlineLevel="1" x14ac:dyDescent="0.25">
      <c r="A552" s="1492">
        <v>0</v>
      </c>
      <c r="B552" s="1492" t="s">
        <v>2146</v>
      </c>
      <c r="C552" s="1488">
        <v>0</v>
      </c>
      <c r="D552" s="1413" t="s">
        <v>1873</v>
      </c>
      <c r="E552" s="560">
        <v>8</v>
      </c>
      <c r="F552" s="1480">
        <v>0</v>
      </c>
      <c r="G552" s="1480">
        <v>0</v>
      </c>
      <c r="H552" s="1480">
        <f t="shared" si="34"/>
        <v>0</v>
      </c>
      <c r="I552" s="1480">
        <v>0</v>
      </c>
      <c r="J552" s="1480">
        <v>0</v>
      </c>
      <c r="K552" s="1480"/>
      <c r="L552" s="1480"/>
      <c r="M552" s="1480">
        <f t="shared" si="35"/>
        <v>0</v>
      </c>
      <c r="N552" s="1480">
        <f t="shared" si="36"/>
        <v>0</v>
      </c>
    </row>
    <row r="553" spans="1:14" ht="31" outlineLevel="1" x14ac:dyDescent="0.25">
      <c r="A553" s="1492">
        <v>0</v>
      </c>
      <c r="B553" s="1492" t="s">
        <v>2147</v>
      </c>
      <c r="C553" s="1488">
        <v>0</v>
      </c>
      <c r="D553" s="1413" t="s">
        <v>1873</v>
      </c>
      <c r="E553" s="560">
        <v>4</v>
      </c>
      <c r="F553" s="1480">
        <v>0</v>
      </c>
      <c r="G553" s="1480">
        <v>0</v>
      </c>
      <c r="H553" s="1480">
        <f t="shared" si="34"/>
        <v>0</v>
      </c>
      <c r="I553" s="1480">
        <v>0</v>
      </c>
      <c r="J553" s="1480">
        <v>0</v>
      </c>
      <c r="K553" s="1480"/>
      <c r="L553" s="1480"/>
      <c r="M553" s="1480">
        <f t="shared" si="35"/>
        <v>0</v>
      </c>
      <c r="N553" s="1480">
        <f t="shared" si="36"/>
        <v>0</v>
      </c>
    </row>
    <row r="554" spans="1:14" ht="31" outlineLevel="1" x14ac:dyDescent="0.25">
      <c r="A554" s="1492">
        <v>0</v>
      </c>
      <c r="B554" s="1492" t="s">
        <v>2148</v>
      </c>
      <c r="C554" s="1488">
        <v>0</v>
      </c>
      <c r="D554" s="1413" t="s">
        <v>1873</v>
      </c>
      <c r="E554" s="560">
        <v>5</v>
      </c>
      <c r="F554" s="1480">
        <v>0</v>
      </c>
      <c r="G554" s="1480">
        <v>0</v>
      </c>
      <c r="H554" s="1480">
        <f t="shared" si="34"/>
        <v>0</v>
      </c>
      <c r="I554" s="1480">
        <v>0</v>
      </c>
      <c r="J554" s="1480">
        <v>0</v>
      </c>
      <c r="K554" s="1480"/>
      <c r="L554" s="1480"/>
      <c r="M554" s="1480">
        <f t="shared" si="35"/>
        <v>0</v>
      </c>
      <c r="N554" s="1480">
        <f t="shared" si="36"/>
        <v>0</v>
      </c>
    </row>
    <row r="555" spans="1:14" ht="15.5" outlineLevel="1" x14ac:dyDescent="0.25">
      <c r="A555" s="1486">
        <v>5</v>
      </c>
      <c r="B555" s="1491" t="s">
        <v>2149</v>
      </c>
      <c r="C555" s="1488">
        <v>0</v>
      </c>
      <c r="D555" s="1413" t="s">
        <v>1873</v>
      </c>
      <c r="E555" s="560">
        <v>29</v>
      </c>
      <c r="F555" s="1480">
        <v>0</v>
      </c>
      <c r="G555" s="1480">
        <v>0</v>
      </c>
      <c r="H555" s="1480">
        <f t="shared" si="34"/>
        <v>0</v>
      </c>
      <c r="I555" s="1480">
        <v>0</v>
      </c>
      <c r="J555" s="1480">
        <v>0</v>
      </c>
      <c r="K555" s="1480"/>
      <c r="L555" s="1480"/>
      <c r="M555" s="1480">
        <f t="shared" si="35"/>
        <v>0</v>
      </c>
      <c r="N555" s="1480">
        <f t="shared" si="36"/>
        <v>0</v>
      </c>
    </row>
    <row r="556" spans="1:14" ht="62" outlineLevel="1" x14ac:dyDescent="0.25">
      <c r="A556" s="1492">
        <v>0</v>
      </c>
      <c r="B556" s="1492" t="s">
        <v>2150</v>
      </c>
      <c r="C556" s="1488">
        <v>0</v>
      </c>
      <c r="D556" s="1413" t="s">
        <v>1873</v>
      </c>
      <c r="E556" s="560">
        <v>14</v>
      </c>
      <c r="F556" s="1480">
        <v>0</v>
      </c>
      <c r="G556" s="1480">
        <v>0</v>
      </c>
      <c r="H556" s="1480">
        <f t="shared" si="34"/>
        <v>0</v>
      </c>
      <c r="I556" s="1480">
        <v>0</v>
      </c>
      <c r="J556" s="1480">
        <v>0</v>
      </c>
      <c r="K556" s="1480"/>
      <c r="L556" s="1480"/>
      <c r="M556" s="1480">
        <f t="shared" si="35"/>
        <v>0</v>
      </c>
      <c r="N556" s="1480">
        <f t="shared" si="36"/>
        <v>0</v>
      </c>
    </row>
    <row r="557" spans="1:14" ht="46.5" outlineLevel="1" x14ac:dyDescent="0.25">
      <c r="A557" s="1492">
        <v>0</v>
      </c>
      <c r="B557" s="1492" t="s">
        <v>2151</v>
      </c>
      <c r="C557" s="1488">
        <v>0</v>
      </c>
      <c r="D557" s="1413" t="s">
        <v>1873</v>
      </c>
      <c r="E557" s="560">
        <v>15</v>
      </c>
      <c r="F557" s="1480">
        <v>0</v>
      </c>
      <c r="G557" s="1480">
        <v>0</v>
      </c>
      <c r="H557" s="1480">
        <f t="shared" si="34"/>
        <v>0</v>
      </c>
      <c r="I557" s="1480">
        <v>0</v>
      </c>
      <c r="J557" s="1480">
        <v>0</v>
      </c>
      <c r="K557" s="1480"/>
      <c r="L557" s="1480"/>
      <c r="M557" s="1480">
        <f t="shared" si="35"/>
        <v>0</v>
      </c>
      <c r="N557" s="1480">
        <f t="shared" si="36"/>
        <v>0</v>
      </c>
    </row>
    <row r="558" spans="1:14" ht="46.5" outlineLevel="1" x14ac:dyDescent="0.25">
      <c r="A558" s="1486">
        <v>6</v>
      </c>
      <c r="B558" s="1491" t="s">
        <v>2152</v>
      </c>
      <c r="C558" s="1488">
        <v>0</v>
      </c>
      <c r="D558" s="1413" t="s">
        <v>1873</v>
      </c>
      <c r="E558" s="560">
        <v>100</v>
      </c>
      <c r="F558" s="1480">
        <v>0</v>
      </c>
      <c r="G558" s="1480">
        <v>0</v>
      </c>
      <c r="H558" s="1480">
        <f t="shared" si="34"/>
        <v>0</v>
      </c>
      <c r="I558" s="1480">
        <v>0</v>
      </c>
      <c r="J558" s="1480">
        <v>0</v>
      </c>
      <c r="K558" s="1480"/>
      <c r="L558" s="1480"/>
      <c r="M558" s="1480">
        <f t="shared" si="35"/>
        <v>0</v>
      </c>
      <c r="N558" s="1480">
        <f t="shared" si="36"/>
        <v>0</v>
      </c>
    </row>
    <row r="559" spans="1:14" ht="46.5" outlineLevel="1" x14ac:dyDescent="0.25">
      <c r="A559" s="1492">
        <v>0</v>
      </c>
      <c r="B559" s="1492" t="s">
        <v>2153</v>
      </c>
      <c r="C559" s="1488">
        <v>0</v>
      </c>
      <c r="D559" s="1413" t="s">
        <v>1873</v>
      </c>
      <c r="E559" s="560">
        <v>100</v>
      </c>
      <c r="F559" s="1480">
        <v>0</v>
      </c>
      <c r="G559" s="1480">
        <v>0</v>
      </c>
      <c r="H559" s="1480">
        <f t="shared" si="34"/>
        <v>0</v>
      </c>
      <c r="I559" s="1480">
        <v>0</v>
      </c>
      <c r="J559" s="1480">
        <v>0</v>
      </c>
      <c r="K559" s="1480"/>
      <c r="L559" s="1480"/>
      <c r="M559" s="1480">
        <f t="shared" si="35"/>
        <v>0</v>
      </c>
      <c r="N559" s="1480">
        <f t="shared" si="36"/>
        <v>0</v>
      </c>
    </row>
    <row r="560" spans="1:14" ht="15.5" outlineLevel="1" x14ac:dyDescent="0.25">
      <c r="A560" s="1504">
        <v>0</v>
      </c>
      <c r="B560" s="1504" t="s">
        <v>2154</v>
      </c>
      <c r="C560" s="1488">
        <v>0</v>
      </c>
      <c r="D560" s="1413" t="s">
        <v>1873</v>
      </c>
      <c r="E560" s="560">
        <v>0</v>
      </c>
      <c r="F560" s="1480">
        <v>0</v>
      </c>
      <c r="G560" s="1480">
        <v>0</v>
      </c>
      <c r="H560" s="1480">
        <f t="shared" si="34"/>
        <v>0</v>
      </c>
      <c r="I560" s="1480">
        <v>0</v>
      </c>
      <c r="J560" s="1480">
        <v>0</v>
      </c>
      <c r="K560" s="1480"/>
      <c r="L560" s="1480"/>
      <c r="M560" s="1480">
        <f t="shared" si="35"/>
        <v>0</v>
      </c>
      <c r="N560" s="1480">
        <f t="shared" si="36"/>
        <v>0</v>
      </c>
    </row>
    <row r="561" spans="1:14" ht="31" outlineLevel="1" x14ac:dyDescent="0.25">
      <c r="A561" s="1486">
        <v>1</v>
      </c>
      <c r="B561" s="1491" t="s">
        <v>2155</v>
      </c>
      <c r="C561" s="1488">
        <v>0</v>
      </c>
      <c r="D561" s="1413" t="s">
        <v>1873</v>
      </c>
      <c r="E561" s="560">
        <v>25</v>
      </c>
      <c r="F561" s="1480">
        <v>0</v>
      </c>
      <c r="G561" s="1480">
        <v>0</v>
      </c>
      <c r="H561" s="1480">
        <f t="shared" si="34"/>
        <v>0</v>
      </c>
      <c r="I561" s="1480">
        <v>0</v>
      </c>
      <c r="J561" s="1480">
        <v>0</v>
      </c>
      <c r="K561" s="1480"/>
      <c r="L561" s="1480"/>
      <c r="M561" s="1480">
        <f t="shared" si="35"/>
        <v>0</v>
      </c>
      <c r="N561" s="1480">
        <f t="shared" si="36"/>
        <v>0</v>
      </c>
    </row>
    <row r="562" spans="1:14" ht="31" outlineLevel="1" x14ac:dyDescent="0.25">
      <c r="A562" s="1492">
        <v>0</v>
      </c>
      <c r="B562" s="1492" t="s">
        <v>2155</v>
      </c>
      <c r="C562" s="1488">
        <v>0</v>
      </c>
      <c r="D562" s="1413" t="s">
        <v>1873</v>
      </c>
      <c r="E562" s="560">
        <v>25</v>
      </c>
      <c r="F562" s="1480">
        <v>0</v>
      </c>
      <c r="G562" s="1480">
        <v>0</v>
      </c>
      <c r="H562" s="1480">
        <f t="shared" si="34"/>
        <v>0</v>
      </c>
      <c r="I562" s="1480">
        <v>0</v>
      </c>
      <c r="J562" s="1480">
        <v>0</v>
      </c>
      <c r="K562" s="1480"/>
      <c r="L562" s="1480"/>
      <c r="M562" s="1480">
        <f t="shared" si="35"/>
        <v>0</v>
      </c>
      <c r="N562" s="1480">
        <f t="shared" si="36"/>
        <v>0</v>
      </c>
    </row>
    <row r="563" spans="1:14" ht="31" outlineLevel="1" x14ac:dyDescent="0.25">
      <c r="A563" s="1486">
        <v>2</v>
      </c>
      <c r="B563" s="1491" t="s">
        <v>2156</v>
      </c>
      <c r="C563" s="1488">
        <v>0</v>
      </c>
      <c r="D563" s="1413" t="s">
        <v>1873</v>
      </c>
      <c r="E563" s="560">
        <v>15</v>
      </c>
      <c r="F563" s="1480">
        <v>0</v>
      </c>
      <c r="G563" s="1480">
        <v>0</v>
      </c>
      <c r="H563" s="1480">
        <f t="shared" si="34"/>
        <v>0</v>
      </c>
      <c r="I563" s="1480">
        <v>0</v>
      </c>
      <c r="J563" s="1480">
        <v>0</v>
      </c>
      <c r="K563" s="1480"/>
      <c r="L563" s="1480"/>
      <c r="M563" s="1480">
        <f t="shared" si="35"/>
        <v>0</v>
      </c>
      <c r="N563" s="1480">
        <f t="shared" si="36"/>
        <v>0</v>
      </c>
    </row>
    <row r="564" spans="1:14" ht="31" outlineLevel="1" x14ac:dyDescent="0.25">
      <c r="A564" s="1492">
        <v>0</v>
      </c>
      <c r="B564" s="1492" t="s">
        <v>2156</v>
      </c>
      <c r="C564" s="1488">
        <v>0</v>
      </c>
      <c r="D564" s="1413" t="s">
        <v>1873</v>
      </c>
      <c r="E564" s="560">
        <v>15</v>
      </c>
      <c r="F564" s="1480">
        <v>0</v>
      </c>
      <c r="G564" s="1480">
        <v>0</v>
      </c>
      <c r="H564" s="1480">
        <f t="shared" si="34"/>
        <v>0</v>
      </c>
      <c r="I564" s="1480">
        <v>0</v>
      </c>
      <c r="J564" s="1480">
        <v>0</v>
      </c>
      <c r="K564" s="1480"/>
      <c r="L564" s="1480"/>
      <c r="M564" s="1480">
        <f t="shared" si="35"/>
        <v>0</v>
      </c>
      <c r="N564" s="1480">
        <f t="shared" si="36"/>
        <v>0</v>
      </c>
    </row>
    <row r="565" spans="1:14" ht="31" outlineLevel="1" x14ac:dyDescent="0.25">
      <c r="A565" s="1486">
        <v>3</v>
      </c>
      <c r="B565" s="1491" t="s">
        <v>2157</v>
      </c>
      <c r="C565" s="1488">
        <v>0</v>
      </c>
      <c r="D565" s="1413" t="s">
        <v>1873</v>
      </c>
      <c r="E565" s="560">
        <v>6</v>
      </c>
      <c r="F565" s="1480">
        <v>0</v>
      </c>
      <c r="G565" s="1480">
        <v>0</v>
      </c>
      <c r="H565" s="1480">
        <f t="shared" si="34"/>
        <v>0</v>
      </c>
      <c r="I565" s="1480">
        <v>0</v>
      </c>
      <c r="J565" s="1480">
        <v>0</v>
      </c>
      <c r="K565" s="1480"/>
      <c r="L565" s="1480"/>
      <c r="M565" s="1480">
        <f t="shared" si="35"/>
        <v>0</v>
      </c>
      <c r="N565" s="1480">
        <f t="shared" si="36"/>
        <v>0</v>
      </c>
    </row>
    <row r="566" spans="1:14" ht="31" outlineLevel="1" x14ac:dyDescent="0.25">
      <c r="A566" s="1492">
        <v>0</v>
      </c>
      <c r="B566" s="1492" t="s">
        <v>2157</v>
      </c>
      <c r="C566" s="1488">
        <v>0</v>
      </c>
      <c r="D566" s="1413" t="s">
        <v>1873</v>
      </c>
      <c r="E566" s="560">
        <v>6</v>
      </c>
      <c r="F566" s="1480">
        <v>0</v>
      </c>
      <c r="G566" s="1480">
        <v>0</v>
      </c>
      <c r="H566" s="1480">
        <f t="shared" si="34"/>
        <v>0</v>
      </c>
      <c r="I566" s="1480">
        <v>0</v>
      </c>
      <c r="J566" s="1480">
        <v>0</v>
      </c>
      <c r="K566" s="1480"/>
      <c r="L566" s="1480"/>
      <c r="M566" s="1480">
        <f t="shared" si="35"/>
        <v>0</v>
      </c>
      <c r="N566" s="1480">
        <f t="shared" si="36"/>
        <v>0</v>
      </c>
    </row>
    <row r="567" spans="1:14" ht="31" outlineLevel="1" x14ac:dyDescent="0.25">
      <c r="A567" s="1486">
        <v>4</v>
      </c>
      <c r="B567" s="1491" t="s">
        <v>2158</v>
      </c>
      <c r="C567" s="1488">
        <v>0</v>
      </c>
      <c r="D567" s="1413" t="s">
        <v>1873</v>
      </c>
      <c r="E567" s="560">
        <v>10</v>
      </c>
      <c r="F567" s="1480">
        <v>0</v>
      </c>
      <c r="G567" s="1480">
        <v>0</v>
      </c>
      <c r="H567" s="1480">
        <f t="shared" si="34"/>
        <v>0</v>
      </c>
      <c r="I567" s="1480">
        <v>0</v>
      </c>
      <c r="J567" s="1480">
        <v>0</v>
      </c>
      <c r="K567" s="1480"/>
      <c r="L567" s="1480"/>
      <c r="M567" s="1480">
        <f t="shared" si="35"/>
        <v>0</v>
      </c>
      <c r="N567" s="1480">
        <f t="shared" si="36"/>
        <v>0</v>
      </c>
    </row>
    <row r="568" spans="1:14" ht="31" outlineLevel="1" x14ac:dyDescent="0.25">
      <c r="A568" s="1492">
        <v>0</v>
      </c>
      <c r="B568" s="1492" t="s">
        <v>2158</v>
      </c>
      <c r="C568" s="1488">
        <v>0</v>
      </c>
      <c r="D568" s="1413" t="s">
        <v>1873</v>
      </c>
      <c r="E568" s="560">
        <v>10</v>
      </c>
      <c r="F568" s="1480">
        <v>0</v>
      </c>
      <c r="G568" s="1480">
        <v>0</v>
      </c>
      <c r="H568" s="1480">
        <f t="shared" si="34"/>
        <v>0</v>
      </c>
      <c r="I568" s="1480">
        <v>0</v>
      </c>
      <c r="J568" s="1480">
        <v>0</v>
      </c>
      <c r="K568" s="1480"/>
      <c r="L568" s="1480"/>
      <c r="M568" s="1480">
        <f t="shared" si="35"/>
        <v>0</v>
      </c>
      <c r="N568" s="1480">
        <f t="shared" si="36"/>
        <v>0</v>
      </c>
    </row>
    <row r="569" spans="1:14" ht="15.5" outlineLevel="1" x14ac:dyDescent="0.25">
      <c r="A569" s="1504">
        <v>0</v>
      </c>
      <c r="B569" s="1504" t="s">
        <v>2159</v>
      </c>
      <c r="C569" s="1488">
        <v>0</v>
      </c>
      <c r="D569" s="1413" t="s">
        <v>1873</v>
      </c>
      <c r="E569" s="560">
        <v>0</v>
      </c>
      <c r="F569" s="1480">
        <v>0</v>
      </c>
      <c r="G569" s="1480">
        <v>0</v>
      </c>
      <c r="H569" s="1480">
        <f t="shared" si="34"/>
        <v>0</v>
      </c>
      <c r="I569" s="1480">
        <v>0</v>
      </c>
      <c r="J569" s="1480">
        <v>0</v>
      </c>
      <c r="K569" s="1480"/>
      <c r="L569" s="1480"/>
      <c r="M569" s="1480">
        <f t="shared" si="35"/>
        <v>0</v>
      </c>
      <c r="N569" s="1480">
        <f t="shared" si="36"/>
        <v>0</v>
      </c>
    </row>
    <row r="570" spans="1:14" ht="31" outlineLevel="1" x14ac:dyDescent="0.25">
      <c r="A570" s="1486">
        <v>1</v>
      </c>
      <c r="B570" s="1491" t="s">
        <v>2160</v>
      </c>
      <c r="C570" s="1488">
        <v>0</v>
      </c>
      <c r="D570" s="1413" t="s">
        <v>1873</v>
      </c>
      <c r="E570" s="560">
        <v>37.57</v>
      </c>
      <c r="F570" s="1480">
        <v>0</v>
      </c>
      <c r="G570" s="1480">
        <v>0</v>
      </c>
      <c r="H570" s="1480">
        <f t="shared" si="34"/>
        <v>0</v>
      </c>
      <c r="I570" s="1480">
        <v>0</v>
      </c>
      <c r="J570" s="1480">
        <v>0</v>
      </c>
      <c r="K570" s="1480"/>
      <c r="L570" s="1480"/>
      <c r="M570" s="1480">
        <f t="shared" si="35"/>
        <v>0</v>
      </c>
      <c r="N570" s="1480">
        <f t="shared" si="36"/>
        <v>0</v>
      </c>
    </row>
    <row r="571" spans="1:14" ht="31" outlineLevel="1" x14ac:dyDescent="0.25">
      <c r="A571" s="1492">
        <v>0</v>
      </c>
      <c r="B571" s="1492" t="s">
        <v>2161</v>
      </c>
      <c r="C571" s="1488">
        <v>0</v>
      </c>
      <c r="D571" s="1413" t="s">
        <v>1873</v>
      </c>
      <c r="E571" s="560">
        <v>37.57</v>
      </c>
      <c r="F571" s="1480">
        <v>0</v>
      </c>
      <c r="G571" s="1480">
        <v>0</v>
      </c>
      <c r="H571" s="1480">
        <f t="shared" si="34"/>
        <v>0</v>
      </c>
      <c r="I571" s="1480">
        <v>0</v>
      </c>
      <c r="J571" s="1480">
        <v>0</v>
      </c>
      <c r="K571" s="1480"/>
      <c r="L571" s="1480"/>
      <c r="M571" s="1480">
        <f t="shared" si="35"/>
        <v>0</v>
      </c>
      <c r="N571" s="1480">
        <f t="shared" si="36"/>
        <v>0</v>
      </c>
    </row>
    <row r="572" spans="1:14" ht="31" outlineLevel="1" x14ac:dyDescent="0.25">
      <c r="A572" s="1486">
        <v>2</v>
      </c>
      <c r="B572" s="1491" t="s">
        <v>2162</v>
      </c>
      <c r="C572" s="1488">
        <v>0</v>
      </c>
      <c r="D572" s="1413" t="s">
        <v>1873</v>
      </c>
      <c r="E572" s="560">
        <v>47.15</v>
      </c>
      <c r="F572" s="1480">
        <v>0</v>
      </c>
      <c r="G572" s="1480">
        <v>0</v>
      </c>
      <c r="H572" s="1480">
        <f t="shared" si="34"/>
        <v>0</v>
      </c>
      <c r="I572" s="1480">
        <v>0</v>
      </c>
      <c r="J572" s="1480">
        <v>0</v>
      </c>
      <c r="K572" s="1480"/>
      <c r="L572" s="1480"/>
      <c r="M572" s="1480">
        <f t="shared" si="35"/>
        <v>0</v>
      </c>
      <c r="N572" s="1480">
        <f t="shared" si="36"/>
        <v>0</v>
      </c>
    </row>
    <row r="573" spans="1:14" ht="46.5" outlineLevel="1" x14ac:dyDescent="0.25">
      <c r="A573" s="1492">
        <v>0</v>
      </c>
      <c r="B573" s="1492" t="s">
        <v>2163</v>
      </c>
      <c r="C573" s="1488">
        <v>0</v>
      </c>
      <c r="D573" s="1413" t="s">
        <v>1873</v>
      </c>
      <c r="E573" s="560">
        <v>47.15</v>
      </c>
      <c r="F573" s="1480">
        <v>0</v>
      </c>
      <c r="G573" s="1480">
        <v>0</v>
      </c>
      <c r="H573" s="1480">
        <f t="shared" si="34"/>
        <v>0</v>
      </c>
      <c r="I573" s="1480">
        <v>0</v>
      </c>
      <c r="J573" s="1480">
        <v>0</v>
      </c>
      <c r="K573" s="1480"/>
      <c r="L573" s="1480"/>
      <c r="M573" s="1480">
        <f t="shared" si="35"/>
        <v>0</v>
      </c>
      <c r="N573" s="1480">
        <f t="shared" si="36"/>
        <v>0</v>
      </c>
    </row>
    <row r="574" spans="1:14" ht="31" outlineLevel="1" x14ac:dyDescent="0.25">
      <c r="A574" s="1486">
        <v>3</v>
      </c>
      <c r="B574" s="1491" t="s">
        <v>2164</v>
      </c>
      <c r="C574" s="1488">
        <v>0</v>
      </c>
      <c r="D574" s="1413" t="s">
        <v>1873</v>
      </c>
      <c r="E574" s="560">
        <v>27.05</v>
      </c>
      <c r="F574" s="1480">
        <v>0</v>
      </c>
      <c r="G574" s="1480">
        <v>0</v>
      </c>
      <c r="H574" s="1480">
        <f t="shared" si="34"/>
        <v>0</v>
      </c>
      <c r="I574" s="1480">
        <v>0</v>
      </c>
      <c r="J574" s="1480">
        <v>0</v>
      </c>
      <c r="K574" s="1480"/>
      <c r="L574" s="1480"/>
      <c r="M574" s="1480">
        <f t="shared" si="35"/>
        <v>0</v>
      </c>
      <c r="N574" s="1480">
        <f t="shared" si="36"/>
        <v>0</v>
      </c>
    </row>
    <row r="575" spans="1:14" ht="31" outlineLevel="1" x14ac:dyDescent="0.25">
      <c r="A575" s="1492">
        <v>0</v>
      </c>
      <c r="B575" s="1492" t="s">
        <v>2164</v>
      </c>
      <c r="C575" s="1488">
        <v>0</v>
      </c>
      <c r="D575" s="1413" t="s">
        <v>1873</v>
      </c>
      <c r="E575" s="560">
        <v>27.05</v>
      </c>
      <c r="F575" s="1480">
        <v>0</v>
      </c>
      <c r="G575" s="1480">
        <v>0</v>
      </c>
      <c r="H575" s="1480">
        <f t="shared" si="34"/>
        <v>0</v>
      </c>
      <c r="I575" s="1480">
        <v>0</v>
      </c>
      <c r="J575" s="1480">
        <v>0</v>
      </c>
      <c r="K575" s="1480"/>
      <c r="L575" s="1480"/>
      <c r="M575" s="1480">
        <f t="shared" si="35"/>
        <v>0</v>
      </c>
      <c r="N575" s="1480">
        <f t="shared" si="36"/>
        <v>0</v>
      </c>
    </row>
    <row r="576" spans="1:14" ht="31" outlineLevel="1" x14ac:dyDescent="0.25">
      <c r="A576" s="1486">
        <v>4</v>
      </c>
      <c r="B576" s="1491" t="s">
        <v>2165</v>
      </c>
      <c r="C576" s="1488">
        <v>0</v>
      </c>
      <c r="D576" s="1413" t="s">
        <v>1873</v>
      </c>
      <c r="E576" s="560">
        <v>30</v>
      </c>
      <c r="F576" s="1480">
        <v>0</v>
      </c>
      <c r="G576" s="1480">
        <v>0</v>
      </c>
      <c r="H576" s="1480">
        <f t="shared" si="34"/>
        <v>0</v>
      </c>
      <c r="I576" s="1480">
        <v>0</v>
      </c>
      <c r="J576" s="1480">
        <v>0</v>
      </c>
      <c r="K576" s="1480"/>
      <c r="L576" s="1480"/>
      <c r="M576" s="1480">
        <f t="shared" si="35"/>
        <v>0</v>
      </c>
      <c r="N576" s="1480">
        <f t="shared" si="36"/>
        <v>0</v>
      </c>
    </row>
    <row r="577" spans="1:14" ht="62" outlineLevel="1" x14ac:dyDescent="0.25">
      <c r="A577" s="1492">
        <v>0</v>
      </c>
      <c r="B577" s="1492" t="s">
        <v>2166</v>
      </c>
      <c r="C577" s="1488">
        <v>0</v>
      </c>
      <c r="D577" s="1413" t="s">
        <v>1873</v>
      </c>
      <c r="E577" s="560">
        <v>30</v>
      </c>
      <c r="F577" s="1480">
        <v>0</v>
      </c>
      <c r="G577" s="1480">
        <v>0</v>
      </c>
      <c r="H577" s="1480">
        <f t="shared" si="34"/>
        <v>0</v>
      </c>
      <c r="I577" s="1480">
        <v>0</v>
      </c>
      <c r="J577" s="1480">
        <v>0</v>
      </c>
      <c r="K577" s="1480"/>
      <c r="L577" s="1480"/>
      <c r="M577" s="1480">
        <f t="shared" si="35"/>
        <v>0</v>
      </c>
      <c r="N577" s="1480">
        <f t="shared" si="36"/>
        <v>0</v>
      </c>
    </row>
    <row r="578" spans="1:14" ht="15.5" outlineLevel="1" x14ac:dyDescent="0.25">
      <c r="A578" s="1486">
        <v>5</v>
      </c>
      <c r="B578" s="1491" t="s">
        <v>2167</v>
      </c>
      <c r="C578" s="1488">
        <v>0</v>
      </c>
      <c r="D578" s="1413" t="s">
        <v>1873</v>
      </c>
      <c r="E578" s="560">
        <v>40</v>
      </c>
      <c r="F578" s="1480">
        <v>0</v>
      </c>
      <c r="G578" s="1480">
        <v>0</v>
      </c>
      <c r="H578" s="1480">
        <f t="shared" si="34"/>
        <v>0</v>
      </c>
      <c r="I578" s="1480">
        <v>0</v>
      </c>
      <c r="J578" s="1480">
        <v>0</v>
      </c>
      <c r="K578" s="1480"/>
      <c r="L578" s="1480"/>
      <c r="M578" s="1480">
        <f t="shared" si="35"/>
        <v>0</v>
      </c>
      <c r="N578" s="1480">
        <f t="shared" si="36"/>
        <v>0</v>
      </c>
    </row>
    <row r="579" spans="1:14" ht="15.5" outlineLevel="1" x14ac:dyDescent="0.25">
      <c r="A579" s="1492">
        <v>0</v>
      </c>
      <c r="B579" s="1492" t="s">
        <v>2167</v>
      </c>
      <c r="C579" s="1488">
        <v>0</v>
      </c>
      <c r="D579" s="1413" t="s">
        <v>1873</v>
      </c>
      <c r="E579" s="560">
        <v>30</v>
      </c>
      <c r="F579" s="1480">
        <v>0</v>
      </c>
      <c r="G579" s="1480">
        <v>0</v>
      </c>
      <c r="H579" s="1480">
        <f t="shared" si="34"/>
        <v>0</v>
      </c>
      <c r="I579" s="1480">
        <v>0</v>
      </c>
      <c r="J579" s="1480">
        <v>0</v>
      </c>
      <c r="K579" s="1480"/>
      <c r="L579" s="1480"/>
      <c r="M579" s="1480">
        <f t="shared" si="35"/>
        <v>0</v>
      </c>
      <c r="N579" s="1480">
        <f t="shared" si="36"/>
        <v>0</v>
      </c>
    </row>
    <row r="580" spans="1:14" ht="15.5" outlineLevel="1" x14ac:dyDescent="0.25">
      <c r="A580" s="1492">
        <v>0</v>
      </c>
      <c r="B580" s="1492" t="s">
        <v>2168</v>
      </c>
      <c r="C580" s="1488">
        <v>0</v>
      </c>
      <c r="D580" s="1413" t="s">
        <v>1873</v>
      </c>
      <c r="E580" s="560">
        <v>10</v>
      </c>
      <c r="F580" s="1480">
        <v>0</v>
      </c>
      <c r="G580" s="1480">
        <v>0</v>
      </c>
      <c r="H580" s="1480">
        <f t="shared" si="34"/>
        <v>0</v>
      </c>
      <c r="I580" s="1480">
        <v>0</v>
      </c>
      <c r="J580" s="1480">
        <v>0</v>
      </c>
      <c r="K580" s="1480"/>
      <c r="L580" s="1480"/>
      <c r="M580" s="1480">
        <f t="shared" si="35"/>
        <v>0</v>
      </c>
      <c r="N580" s="1480">
        <f t="shared" si="36"/>
        <v>0</v>
      </c>
    </row>
    <row r="581" spans="1:14" ht="31" outlineLevel="1" x14ac:dyDescent="0.25">
      <c r="A581" s="1486">
        <v>6</v>
      </c>
      <c r="B581" s="1491" t="s">
        <v>2169</v>
      </c>
      <c r="C581" s="1488">
        <v>0</v>
      </c>
      <c r="D581" s="1413" t="s">
        <v>1873</v>
      </c>
      <c r="E581" s="560">
        <v>67.900000000000006</v>
      </c>
      <c r="F581" s="1480">
        <v>0</v>
      </c>
      <c r="G581" s="1480">
        <v>0</v>
      </c>
      <c r="H581" s="1480">
        <f t="shared" si="34"/>
        <v>0</v>
      </c>
      <c r="I581" s="1480">
        <v>0</v>
      </c>
      <c r="J581" s="1480">
        <v>0</v>
      </c>
      <c r="K581" s="1480"/>
      <c r="L581" s="1480"/>
      <c r="M581" s="1480">
        <f t="shared" si="35"/>
        <v>0</v>
      </c>
      <c r="N581" s="1480">
        <f t="shared" si="36"/>
        <v>0</v>
      </c>
    </row>
    <row r="582" spans="1:14" ht="31" outlineLevel="1" x14ac:dyDescent="0.25">
      <c r="A582" s="1492">
        <v>0</v>
      </c>
      <c r="B582" s="1492" t="s">
        <v>2170</v>
      </c>
      <c r="C582" s="1488">
        <v>0</v>
      </c>
      <c r="D582" s="1413" t="s">
        <v>1873</v>
      </c>
      <c r="E582" s="560">
        <v>3.78</v>
      </c>
      <c r="F582" s="1480">
        <v>0</v>
      </c>
      <c r="G582" s="1480">
        <v>0</v>
      </c>
      <c r="H582" s="1480">
        <f t="shared" si="34"/>
        <v>0</v>
      </c>
      <c r="I582" s="1480">
        <v>0</v>
      </c>
      <c r="J582" s="1480">
        <v>0</v>
      </c>
      <c r="K582" s="1480"/>
      <c r="L582" s="1480"/>
      <c r="M582" s="1480">
        <f t="shared" si="35"/>
        <v>0</v>
      </c>
      <c r="N582" s="1480">
        <f t="shared" si="36"/>
        <v>0</v>
      </c>
    </row>
    <row r="583" spans="1:14" ht="31" outlineLevel="1" x14ac:dyDescent="0.25">
      <c r="A583" s="1492">
        <v>0</v>
      </c>
      <c r="B583" s="1492" t="s">
        <v>2171</v>
      </c>
      <c r="C583" s="1488">
        <v>0</v>
      </c>
      <c r="D583" s="1413" t="s">
        <v>1873</v>
      </c>
      <c r="E583" s="560">
        <v>4.05</v>
      </c>
      <c r="F583" s="1480">
        <v>0</v>
      </c>
      <c r="G583" s="1480">
        <v>0</v>
      </c>
      <c r="H583" s="1480">
        <f t="shared" si="34"/>
        <v>0</v>
      </c>
      <c r="I583" s="1480">
        <v>0</v>
      </c>
      <c r="J583" s="1480">
        <v>0</v>
      </c>
      <c r="K583" s="1480"/>
      <c r="L583" s="1480"/>
      <c r="M583" s="1480">
        <f t="shared" si="35"/>
        <v>0</v>
      </c>
      <c r="N583" s="1480">
        <f t="shared" si="36"/>
        <v>0</v>
      </c>
    </row>
    <row r="584" spans="1:14" ht="31" outlineLevel="1" x14ac:dyDescent="0.25">
      <c r="A584" s="1492">
        <v>0</v>
      </c>
      <c r="B584" s="1492" t="s">
        <v>2172</v>
      </c>
      <c r="C584" s="1488">
        <v>0</v>
      </c>
      <c r="D584" s="1413" t="s">
        <v>1873</v>
      </c>
      <c r="E584" s="560">
        <v>7.01</v>
      </c>
      <c r="F584" s="1480">
        <v>0</v>
      </c>
      <c r="G584" s="1480">
        <v>0</v>
      </c>
      <c r="H584" s="1480">
        <f t="shared" si="34"/>
        <v>0</v>
      </c>
      <c r="I584" s="1480">
        <v>0</v>
      </c>
      <c r="J584" s="1480">
        <v>0</v>
      </c>
      <c r="K584" s="1480"/>
      <c r="L584" s="1480"/>
      <c r="M584" s="1480">
        <f t="shared" si="35"/>
        <v>0</v>
      </c>
      <c r="N584" s="1480">
        <f t="shared" si="36"/>
        <v>0</v>
      </c>
    </row>
    <row r="585" spans="1:14" ht="31" outlineLevel="1" x14ac:dyDescent="0.25">
      <c r="A585" s="1492">
        <v>0</v>
      </c>
      <c r="B585" s="1492" t="s">
        <v>2173</v>
      </c>
      <c r="C585" s="1488">
        <v>0</v>
      </c>
      <c r="D585" s="1413" t="s">
        <v>1873</v>
      </c>
      <c r="E585" s="560">
        <v>6.34</v>
      </c>
      <c r="F585" s="1480">
        <v>0</v>
      </c>
      <c r="G585" s="1480">
        <v>0</v>
      </c>
      <c r="H585" s="1480">
        <f t="shared" si="34"/>
        <v>0</v>
      </c>
      <c r="I585" s="1480">
        <v>0</v>
      </c>
      <c r="J585" s="1480">
        <v>0</v>
      </c>
      <c r="K585" s="1480"/>
      <c r="L585" s="1480"/>
      <c r="M585" s="1480">
        <f t="shared" si="35"/>
        <v>0</v>
      </c>
      <c r="N585" s="1480">
        <f t="shared" si="36"/>
        <v>0</v>
      </c>
    </row>
    <row r="586" spans="1:14" ht="31" outlineLevel="1" x14ac:dyDescent="0.25">
      <c r="A586" s="1492">
        <v>0</v>
      </c>
      <c r="B586" s="1492" t="s">
        <v>2174</v>
      </c>
      <c r="C586" s="1488">
        <v>0</v>
      </c>
      <c r="D586" s="1413" t="s">
        <v>1873</v>
      </c>
      <c r="E586" s="560">
        <v>16.86</v>
      </c>
      <c r="F586" s="1480">
        <v>0</v>
      </c>
      <c r="G586" s="1480">
        <v>0</v>
      </c>
      <c r="H586" s="1480">
        <f t="shared" si="34"/>
        <v>0</v>
      </c>
      <c r="I586" s="1480">
        <v>0</v>
      </c>
      <c r="J586" s="1480">
        <v>0</v>
      </c>
      <c r="K586" s="1480"/>
      <c r="L586" s="1480"/>
      <c r="M586" s="1480">
        <f t="shared" si="35"/>
        <v>0</v>
      </c>
      <c r="N586" s="1480">
        <f t="shared" si="36"/>
        <v>0</v>
      </c>
    </row>
    <row r="587" spans="1:14" ht="31" outlineLevel="1" x14ac:dyDescent="0.25">
      <c r="A587" s="1492">
        <v>0</v>
      </c>
      <c r="B587" s="1492" t="s">
        <v>2175</v>
      </c>
      <c r="C587" s="1488">
        <v>0</v>
      </c>
      <c r="D587" s="1413" t="s">
        <v>1873</v>
      </c>
      <c r="E587" s="560">
        <v>29.81</v>
      </c>
      <c r="F587" s="1480">
        <v>0</v>
      </c>
      <c r="G587" s="1480">
        <v>0</v>
      </c>
      <c r="H587" s="1480">
        <f t="shared" ref="H587:H650" si="37">F587-G587</f>
        <v>0</v>
      </c>
      <c r="I587" s="1480">
        <v>0</v>
      </c>
      <c r="J587" s="1480">
        <v>0</v>
      </c>
      <c r="K587" s="1480"/>
      <c r="L587" s="1480"/>
      <c r="M587" s="1480">
        <f t="shared" ref="M587:M650" si="38">SUM(J587:L587)</f>
        <v>0</v>
      </c>
      <c r="N587" s="1480">
        <f t="shared" ref="N587:N650" si="39">H587+I587-M587</f>
        <v>0</v>
      </c>
    </row>
    <row r="588" spans="1:14" ht="31" outlineLevel="1" x14ac:dyDescent="0.25">
      <c r="A588" s="1486">
        <v>7</v>
      </c>
      <c r="B588" s="1491" t="s">
        <v>2176</v>
      </c>
      <c r="C588" s="1488">
        <v>0</v>
      </c>
      <c r="D588" s="1413" t="s">
        <v>1873</v>
      </c>
      <c r="E588" s="560">
        <v>209</v>
      </c>
      <c r="F588" s="1480">
        <v>0</v>
      </c>
      <c r="G588" s="1480">
        <v>0</v>
      </c>
      <c r="H588" s="1480">
        <f t="shared" si="37"/>
        <v>0</v>
      </c>
      <c r="I588" s="1480">
        <v>0</v>
      </c>
      <c r="J588" s="1480">
        <v>0</v>
      </c>
      <c r="K588" s="1480"/>
      <c r="L588" s="1480"/>
      <c r="M588" s="1480">
        <f t="shared" si="38"/>
        <v>0</v>
      </c>
      <c r="N588" s="1480">
        <f t="shared" si="39"/>
        <v>0</v>
      </c>
    </row>
    <row r="589" spans="1:14" ht="31" outlineLevel="1" x14ac:dyDescent="0.25">
      <c r="A589" s="1492">
        <v>0</v>
      </c>
      <c r="B589" s="1492" t="s">
        <v>2177</v>
      </c>
      <c r="C589" s="1488">
        <v>0</v>
      </c>
      <c r="D589" s="1413" t="s">
        <v>1873</v>
      </c>
      <c r="E589" s="560">
        <v>132</v>
      </c>
      <c r="F589" s="1480">
        <v>0</v>
      </c>
      <c r="G589" s="1480">
        <v>0</v>
      </c>
      <c r="H589" s="1480">
        <f t="shared" si="37"/>
        <v>0</v>
      </c>
      <c r="I589" s="1480">
        <v>0</v>
      </c>
      <c r="J589" s="1480">
        <v>0</v>
      </c>
      <c r="K589" s="1480"/>
      <c r="L589" s="1480"/>
      <c r="M589" s="1480">
        <f t="shared" si="38"/>
        <v>0</v>
      </c>
      <c r="N589" s="1480">
        <f t="shared" si="39"/>
        <v>0</v>
      </c>
    </row>
    <row r="590" spans="1:14" ht="15.5" outlineLevel="1" x14ac:dyDescent="0.25">
      <c r="A590" s="1492">
        <v>0</v>
      </c>
      <c r="B590" s="1492" t="s">
        <v>2178</v>
      </c>
      <c r="C590" s="1488">
        <v>0</v>
      </c>
      <c r="D590" s="1413" t="s">
        <v>1873</v>
      </c>
      <c r="E590" s="560">
        <v>2</v>
      </c>
      <c r="F590" s="1480">
        <v>0</v>
      </c>
      <c r="G590" s="1480">
        <v>0</v>
      </c>
      <c r="H590" s="1480">
        <f t="shared" si="37"/>
        <v>0</v>
      </c>
      <c r="I590" s="1480">
        <v>0</v>
      </c>
      <c r="J590" s="1480">
        <v>0</v>
      </c>
      <c r="K590" s="1480"/>
      <c r="L590" s="1480"/>
      <c r="M590" s="1480">
        <f t="shared" si="38"/>
        <v>0</v>
      </c>
      <c r="N590" s="1480">
        <f t="shared" si="39"/>
        <v>0</v>
      </c>
    </row>
    <row r="591" spans="1:14" ht="31" outlineLevel="1" x14ac:dyDescent="0.25">
      <c r="A591" s="1492">
        <v>0</v>
      </c>
      <c r="B591" s="1492" t="s">
        <v>2179</v>
      </c>
      <c r="C591" s="1488">
        <v>0</v>
      </c>
      <c r="D591" s="1413" t="s">
        <v>1873</v>
      </c>
      <c r="E591" s="560">
        <v>55</v>
      </c>
      <c r="F591" s="1480">
        <v>0</v>
      </c>
      <c r="G591" s="1480">
        <v>0</v>
      </c>
      <c r="H591" s="1480">
        <f t="shared" si="37"/>
        <v>0</v>
      </c>
      <c r="I591" s="1480">
        <v>0</v>
      </c>
      <c r="J591" s="1480">
        <v>0</v>
      </c>
      <c r="K591" s="1480"/>
      <c r="L591" s="1480"/>
      <c r="M591" s="1480">
        <f t="shared" si="38"/>
        <v>0</v>
      </c>
      <c r="N591" s="1480">
        <f t="shared" si="39"/>
        <v>0</v>
      </c>
    </row>
    <row r="592" spans="1:14" ht="31" outlineLevel="1" x14ac:dyDescent="0.25">
      <c r="A592" s="1492">
        <v>0</v>
      </c>
      <c r="B592" s="1492" t="s">
        <v>2180</v>
      </c>
      <c r="C592" s="1488">
        <v>0</v>
      </c>
      <c r="D592" s="1413" t="s">
        <v>1873</v>
      </c>
      <c r="E592" s="560">
        <v>1.5</v>
      </c>
      <c r="F592" s="1480">
        <v>0</v>
      </c>
      <c r="G592" s="1480">
        <v>0</v>
      </c>
      <c r="H592" s="1480">
        <f t="shared" si="37"/>
        <v>0</v>
      </c>
      <c r="I592" s="1480">
        <v>0</v>
      </c>
      <c r="J592" s="1480">
        <v>0</v>
      </c>
      <c r="K592" s="1480"/>
      <c r="L592" s="1480"/>
      <c r="M592" s="1480">
        <f t="shared" si="38"/>
        <v>0</v>
      </c>
      <c r="N592" s="1480">
        <f t="shared" si="39"/>
        <v>0</v>
      </c>
    </row>
    <row r="593" spans="1:14" ht="31" outlineLevel="1" x14ac:dyDescent="0.25">
      <c r="A593" s="1492">
        <v>0</v>
      </c>
      <c r="B593" s="1492" t="s">
        <v>2181</v>
      </c>
      <c r="C593" s="1488">
        <v>0</v>
      </c>
      <c r="D593" s="1413" t="s">
        <v>1873</v>
      </c>
      <c r="E593" s="560">
        <v>1.5</v>
      </c>
      <c r="F593" s="1480">
        <v>0</v>
      </c>
      <c r="G593" s="1480">
        <v>0</v>
      </c>
      <c r="H593" s="1480">
        <f t="shared" si="37"/>
        <v>0</v>
      </c>
      <c r="I593" s="1480">
        <v>0</v>
      </c>
      <c r="J593" s="1480">
        <v>0</v>
      </c>
      <c r="K593" s="1480"/>
      <c r="L593" s="1480"/>
      <c r="M593" s="1480">
        <f t="shared" si="38"/>
        <v>0</v>
      </c>
      <c r="N593" s="1480">
        <f t="shared" si="39"/>
        <v>0</v>
      </c>
    </row>
    <row r="594" spans="1:14" ht="15.5" outlineLevel="1" x14ac:dyDescent="0.25">
      <c r="A594" s="1492">
        <v>0</v>
      </c>
      <c r="B594" s="1492" t="s">
        <v>2182</v>
      </c>
      <c r="C594" s="1488">
        <v>0</v>
      </c>
      <c r="D594" s="1413" t="s">
        <v>1873</v>
      </c>
      <c r="E594" s="560">
        <v>2</v>
      </c>
      <c r="F594" s="1480">
        <v>0</v>
      </c>
      <c r="G594" s="1480">
        <v>0</v>
      </c>
      <c r="H594" s="1480">
        <f t="shared" si="37"/>
        <v>0</v>
      </c>
      <c r="I594" s="1480">
        <v>0</v>
      </c>
      <c r="J594" s="1480">
        <v>0</v>
      </c>
      <c r="K594" s="1480"/>
      <c r="L594" s="1480"/>
      <c r="M594" s="1480">
        <f t="shared" si="38"/>
        <v>0</v>
      </c>
      <c r="N594" s="1480">
        <f t="shared" si="39"/>
        <v>0</v>
      </c>
    </row>
    <row r="595" spans="1:14" ht="31" outlineLevel="1" x14ac:dyDescent="0.25">
      <c r="A595" s="1492">
        <v>0</v>
      </c>
      <c r="B595" s="1492" t="s">
        <v>2183</v>
      </c>
      <c r="C595" s="1488">
        <v>0</v>
      </c>
      <c r="D595" s="1413" t="s">
        <v>1873</v>
      </c>
      <c r="E595" s="560">
        <v>15</v>
      </c>
      <c r="F595" s="1480">
        <v>0</v>
      </c>
      <c r="G595" s="1480">
        <v>0</v>
      </c>
      <c r="H595" s="1480">
        <f t="shared" si="37"/>
        <v>0</v>
      </c>
      <c r="I595" s="1480">
        <v>0</v>
      </c>
      <c r="J595" s="1480">
        <v>0</v>
      </c>
      <c r="K595" s="1480"/>
      <c r="L595" s="1480"/>
      <c r="M595" s="1480">
        <f t="shared" si="38"/>
        <v>0</v>
      </c>
      <c r="N595" s="1480">
        <f t="shared" si="39"/>
        <v>0</v>
      </c>
    </row>
    <row r="596" spans="1:14" ht="46.5" outlineLevel="1" x14ac:dyDescent="0.25">
      <c r="A596" s="1486">
        <v>8</v>
      </c>
      <c r="B596" s="1491" t="s">
        <v>2184</v>
      </c>
      <c r="C596" s="1488">
        <v>0</v>
      </c>
      <c r="D596" s="1413" t="s">
        <v>1873</v>
      </c>
      <c r="E596" s="560">
        <v>76.25</v>
      </c>
      <c r="F596" s="1480">
        <v>0</v>
      </c>
      <c r="G596" s="1480">
        <v>0</v>
      </c>
      <c r="H596" s="1480">
        <f t="shared" si="37"/>
        <v>0</v>
      </c>
      <c r="I596" s="1480">
        <v>0</v>
      </c>
      <c r="J596" s="1480">
        <v>0</v>
      </c>
      <c r="K596" s="1480"/>
      <c r="L596" s="1480"/>
      <c r="M596" s="1480">
        <f t="shared" si="38"/>
        <v>0</v>
      </c>
      <c r="N596" s="1480">
        <f t="shared" si="39"/>
        <v>0</v>
      </c>
    </row>
    <row r="597" spans="1:14" ht="31" outlineLevel="1" x14ac:dyDescent="0.25">
      <c r="A597" s="1492">
        <v>0</v>
      </c>
      <c r="B597" s="1492" t="s">
        <v>2185</v>
      </c>
      <c r="C597" s="1488">
        <v>0</v>
      </c>
      <c r="D597" s="1413" t="s">
        <v>1873</v>
      </c>
      <c r="E597" s="560">
        <v>60</v>
      </c>
      <c r="F597" s="1480">
        <v>0</v>
      </c>
      <c r="G597" s="1480">
        <v>0</v>
      </c>
      <c r="H597" s="1480">
        <f t="shared" si="37"/>
        <v>0</v>
      </c>
      <c r="I597" s="1480">
        <v>0</v>
      </c>
      <c r="J597" s="1480">
        <v>0</v>
      </c>
      <c r="K597" s="1480"/>
      <c r="L597" s="1480"/>
      <c r="M597" s="1480">
        <f t="shared" si="38"/>
        <v>0</v>
      </c>
      <c r="N597" s="1480">
        <f t="shared" si="39"/>
        <v>0</v>
      </c>
    </row>
    <row r="598" spans="1:14" ht="15.5" outlineLevel="1" x14ac:dyDescent="0.25">
      <c r="A598" s="1492">
        <v>0</v>
      </c>
      <c r="B598" s="1492" t="s">
        <v>2186</v>
      </c>
      <c r="C598" s="1488">
        <v>0</v>
      </c>
      <c r="D598" s="1413" t="s">
        <v>1873</v>
      </c>
      <c r="E598" s="560">
        <v>2</v>
      </c>
      <c r="F598" s="1480">
        <v>0</v>
      </c>
      <c r="G598" s="1480">
        <v>0</v>
      </c>
      <c r="H598" s="1480">
        <f t="shared" si="37"/>
        <v>0</v>
      </c>
      <c r="I598" s="1480">
        <v>0</v>
      </c>
      <c r="J598" s="1480">
        <v>0</v>
      </c>
      <c r="K598" s="1480"/>
      <c r="L598" s="1480"/>
      <c r="M598" s="1480">
        <f t="shared" si="38"/>
        <v>0</v>
      </c>
      <c r="N598" s="1480">
        <f t="shared" si="39"/>
        <v>0</v>
      </c>
    </row>
    <row r="599" spans="1:14" ht="31" outlineLevel="1" x14ac:dyDescent="0.25">
      <c r="A599" s="1492">
        <v>0</v>
      </c>
      <c r="B599" s="1492" t="s">
        <v>2187</v>
      </c>
      <c r="C599" s="1488">
        <v>0</v>
      </c>
      <c r="D599" s="1413" t="s">
        <v>1873</v>
      </c>
      <c r="E599" s="560">
        <v>7.5</v>
      </c>
      <c r="F599" s="1480">
        <v>0</v>
      </c>
      <c r="G599" s="1480">
        <v>0</v>
      </c>
      <c r="H599" s="1480">
        <f t="shared" si="37"/>
        <v>0</v>
      </c>
      <c r="I599" s="1480">
        <v>0</v>
      </c>
      <c r="J599" s="1480">
        <v>0</v>
      </c>
      <c r="K599" s="1480"/>
      <c r="L599" s="1480"/>
      <c r="M599" s="1480">
        <f t="shared" si="38"/>
        <v>0</v>
      </c>
      <c r="N599" s="1480">
        <f t="shared" si="39"/>
        <v>0</v>
      </c>
    </row>
    <row r="600" spans="1:14" ht="31" outlineLevel="1" x14ac:dyDescent="0.25">
      <c r="A600" s="1492">
        <v>0</v>
      </c>
      <c r="B600" s="1492" t="s">
        <v>2188</v>
      </c>
      <c r="C600" s="1488">
        <v>0</v>
      </c>
      <c r="D600" s="1413" t="s">
        <v>1873</v>
      </c>
      <c r="E600" s="560">
        <v>0.75</v>
      </c>
      <c r="F600" s="1480">
        <v>0</v>
      </c>
      <c r="G600" s="1480">
        <v>0</v>
      </c>
      <c r="H600" s="1480">
        <f t="shared" si="37"/>
        <v>0</v>
      </c>
      <c r="I600" s="1480">
        <v>0</v>
      </c>
      <c r="J600" s="1480">
        <v>0</v>
      </c>
      <c r="K600" s="1480"/>
      <c r="L600" s="1480"/>
      <c r="M600" s="1480">
        <f t="shared" si="38"/>
        <v>0</v>
      </c>
      <c r="N600" s="1480">
        <f t="shared" si="39"/>
        <v>0</v>
      </c>
    </row>
    <row r="601" spans="1:14" ht="31" outlineLevel="1" x14ac:dyDescent="0.25">
      <c r="A601" s="1492">
        <v>0</v>
      </c>
      <c r="B601" s="1492" t="s">
        <v>2189</v>
      </c>
      <c r="C601" s="1488">
        <v>0</v>
      </c>
      <c r="D601" s="1413" t="s">
        <v>1873</v>
      </c>
      <c r="E601" s="560">
        <v>2</v>
      </c>
      <c r="F601" s="1480">
        <v>0</v>
      </c>
      <c r="G601" s="1480">
        <v>0</v>
      </c>
      <c r="H601" s="1480">
        <f t="shared" si="37"/>
        <v>0</v>
      </c>
      <c r="I601" s="1480">
        <v>0</v>
      </c>
      <c r="J601" s="1480">
        <v>0</v>
      </c>
      <c r="K601" s="1480"/>
      <c r="L601" s="1480"/>
      <c r="M601" s="1480">
        <f t="shared" si="38"/>
        <v>0</v>
      </c>
      <c r="N601" s="1480">
        <f t="shared" si="39"/>
        <v>0</v>
      </c>
    </row>
    <row r="602" spans="1:14" ht="46.5" outlineLevel="1" x14ac:dyDescent="0.25">
      <c r="A602" s="1492">
        <v>0</v>
      </c>
      <c r="B602" s="1492" t="s">
        <v>2190</v>
      </c>
      <c r="C602" s="1488">
        <v>0</v>
      </c>
      <c r="D602" s="1413" t="s">
        <v>1873</v>
      </c>
      <c r="E602" s="560">
        <v>2</v>
      </c>
      <c r="F602" s="1480">
        <v>0</v>
      </c>
      <c r="G602" s="1480">
        <v>0</v>
      </c>
      <c r="H602" s="1480">
        <f t="shared" si="37"/>
        <v>0</v>
      </c>
      <c r="I602" s="1480">
        <v>0</v>
      </c>
      <c r="J602" s="1480">
        <v>0</v>
      </c>
      <c r="K602" s="1480"/>
      <c r="L602" s="1480"/>
      <c r="M602" s="1480">
        <f t="shared" si="38"/>
        <v>0</v>
      </c>
      <c r="N602" s="1480">
        <f t="shared" si="39"/>
        <v>0</v>
      </c>
    </row>
    <row r="603" spans="1:14" ht="31" outlineLevel="1" x14ac:dyDescent="0.25">
      <c r="A603" s="1492">
        <v>0</v>
      </c>
      <c r="B603" s="1492" t="s">
        <v>2191</v>
      </c>
      <c r="C603" s="1488">
        <v>0</v>
      </c>
      <c r="D603" s="1413" t="s">
        <v>1873</v>
      </c>
      <c r="E603" s="560">
        <v>2</v>
      </c>
      <c r="F603" s="1480">
        <v>0</v>
      </c>
      <c r="G603" s="1480">
        <v>0</v>
      </c>
      <c r="H603" s="1480">
        <f t="shared" si="37"/>
        <v>0</v>
      </c>
      <c r="I603" s="1480">
        <v>0</v>
      </c>
      <c r="J603" s="1480">
        <v>0</v>
      </c>
      <c r="K603" s="1480"/>
      <c r="L603" s="1480"/>
      <c r="M603" s="1480">
        <f t="shared" si="38"/>
        <v>0</v>
      </c>
      <c r="N603" s="1480">
        <f t="shared" si="39"/>
        <v>0</v>
      </c>
    </row>
    <row r="604" spans="1:14" ht="15.5" outlineLevel="1" x14ac:dyDescent="0.25">
      <c r="A604" s="1486">
        <v>9</v>
      </c>
      <c r="B604" s="1491" t="s">
        <v>2192</v>
      </c>
      <c r="C604" s="1488">
        <v>0</v>
      </c>
      <c r="D604" s="1413" t="s">
        <v>1873</v>
      </c>
      <c r="E604" s="560">
        <v>29.950000000000003</v>
      </c>
      <c r="F604" s="1480">
        <v>0</v>
      </c>
      <c r="G604" s="1480">
        <v>0</v>
      </c>
      <c r="H604" s="1480">
        <f t="shared" si="37"/>
        <v>0</v>
      </c>
      <c r="I604" s="1480">
        <v>0</v>
      </c>
      <c r="J604" s="1480">
        <v>0</v>
      </c>
      <c r="K604" s="1480"/>
      <c r="L604" s="1480"/>
      <c r="M604" s="1480">
        <f t="shared" si="38"/>
        <v>0</v>
      </c>
      <c r="N604" s="1480">
        <f t="shared" si="39"/>
        <v>0</v>
      </c>
    </row>
    <row r="605" spans="1:14" ht="15.5" outlineLevel="1" x14ac:dyDescent="0.25">
      <c r="A605" s="1492">
        <v>0</v>
      </c>
      <c r="B605" s="1492" t="s">
        <v>2193</v>
      </c>
      <c r="C605" s="1488">
        <v>0</v>
      </c>
      <c r="D605" s="1413" t="s">
        <v>1873</v>
      </c>
      <c r="E605" s="560">
        <v>7.51</v>
      </c>
      <c r="F605" s="1480">
        <v>0</v>
      </c>
      <c r="G605" s="1480">
        <v>0</v>
      </c>
      <c r="H605" s="1480">
        <f t="shared" si="37"/>
        <v>0</v>
      </c>
      <c r="I605" s="1480">
        <v>0</v>
      </c>
      <c r="J605" s="1480">
        <v>0</v>
      </c>
      <c r="K605" s="1480"/>
      <c r="L605" s="1480"/>
      <c r="M605" s="1480">
        <f t="shared" si="38"/>
        <v>0</v>
      </c>
      <c r="N605" s="1480">
        <f t="shared" si="39"/>
        <v>0</v>
      </c>
    </row>
    <row r="606" spans="1:14" ht="31" outlineLevel="1" x14ac:dyDescent="0.25">
      <c r="A606" s="1492">
        <v>0</v>
      </c>
      <c r="B606" s="1492" t="s">
        <v>2194</v>
      </c>
      <c r="C606" s="1488">
        <v>0</v>
      </c>
      <c r="D606" s="1413" t="s">
        <v>1873</v>
      </c>
      <c r="E606" s="560">
        <v>12.22</v>
      </c>
      <c r="F606" s="1480">
        <v>0</v>
      </c>
      <c r="G606" s="1480">
        <v>0</v>
      </c>
      <c r="H606" s="1480">
        <f t="shared" si="37"/>
        <v>0</v>
      </c>
      <c r="I606" s="1480">
        <v>0</v>
      </c>
      <c r="J606" s="1480">
        <v>0</v>
      </c>
      <c r="K606" s="1480"/>
      <c r="L606" s="1480"/>
      <c r="M606" s="1480">
        <f t="shared" si="38"/>
        <v>0</v>
      </c>
      <c r="N606" s="1480">
        <f t="shared" si="39"/>
        <v>0</v>
      </c>
    </row>
    <row r="607" spans="1:14" ht="31" outlineLevel="1" x14ac:dyDescent="0.25">
      <c r="A607" s="1492">
        <v>0</v>
      </c>
      <c r="B607" s="1492" t="s">
        <v>2195</v>
      </c>
      <c r="C607" s="1488">
        <v>0</v>
      </c>
      <c r="D607" s="1413" t="s">
        <v>1873</v>
      </c>
      <c r="E607" s="560">
        <v>6.65</v>
      </c>
      <c r="F607" s="1480">
        <v>0</v>
      </c>
      <c r="G607" s="1480">
        <v>0</v>
      </c>
      <c r="H607" s="1480">
        <f t="shared" si="37"/>
        <v>0</v>
      </c>
      <c r="I607" s="1480">
        <v>0</v>
      </c>
      <c r="J607" s="1480">
        <v>0</v>
      </c>
      <c r="K607" s="1480"/>
      <c r="L607" s="1480"/>
      <c r="M607" s="1480">
        <f t="shared" si="38"/>
        <v>0</v>
      </c>
      <c r="N607" s="1480">
        <f t="shared" si="39"/>
        <v>0</v>
      </c>
    </row>
    <row r="608" spans="1:14" ht="46.5" outlineLevel="1" x14ac:dyDescent="0.25">
      <c r="A608" s="1492">
        <v>0</v>
      </c>
      <c r="B608" s="1492" t="s">
        <v>2196</v>
      </c>
      <c r="C608" s="1488">
        <v>0</v>
      </c>
      <c r="D608" s="1413" t="s">
        <v>1873</v>
      </c>
      <c r="E608" s="560">
        <v>3.57</v>
      </c>
      <c r="F608" s="1480">
        <v>0</v>
      </c>
      <c r="G608" s="1480">
        <v>0</v>
      </c>
      <c r="H608" s="1480">
        <f t="shared" si="37"/>
        <v>0</v>
      </c>
      <c r="I608" s="1480">
        <v>0</v>
      </c>
      <c r="J608" s="1480">
        <v>0</v>
      </c>
      <c r="K608" s="1480"/>
      <c r="L608" s="1480"/>
      <c r="M608" s="1480">
        <f t="shared" si="38"/>
        <v>0</v>
      </c>
      <c r="N608" s="1480">
        <f t="shared" si="39"/>
        <v>0</v>
      </c>
    </row>
    <row r="609" spans="1:14" ht="15.5" outlineLevel="1" x14ac:dyDescent="0.25">
      <c r="A609" s="1486">
        <v>10</v>
      </c>
      <c r="B609" s="1491" t="s">
        <v>2197</v>
      </c>
      <c r="C609" s="1488">
        <v>0</v>
      </c>
      <c r="D609" s="1413" t="s">
        <v>1873</v>
      </c>
      <c r="E609" s="560">
        <v>400</v>
      </c>
      <c r="F609" s="1480">
        <v>0</v>
      </c>
      <c r="G609" s="1480">
        <v>0</v>
      </c>
      <c r="H609" s="1480">
        <f t="shared" si="37"/>
        <v>0</v>
      </c>
      <c r="I609" s="1480">
        <v>0</v>
      </c>
      <c r="J609" s="1480">
        <v>0</v>
      </c>
      <c r="K609" s="1480"/>
      <c r="L609" s="1480"/>
      <c r="M609" s="1480">
        <f t="shared" si="38"/>
        <v>0</v>
      </c>
      <c r="N609" s="1480">
        <f t="shared" si="39"/>
        <v>0</v>
      </c>
    </row>
    <row r="610" spans="1:14" ht="15.5" outlineLevel="1" x14ac:dyDescent="0.25">
      <c r="A610" s="1492">
        <v>0</v>
      </c>
      <c r="B610" s="1492" t="s">
        <v>2198</v>
      </c>
      <c r="C610" s="1488">
        <v>0</v>
      </c>
      <c r="D610" s="1413" t="s">
        <v>1873</v>
      </c>
      <c r="E610" s="560">
        <v>293</v>
      </c>
      <c r="F610" s="1480">
        <v>0</v>
      </c>
      <c r="G610" s="1480">
        <v>0</v>
      </c>
      <c r="H610" s="1480">
        <f t="shared" si="37"/>
        <v>0</v>
      </c>
      <c r="I610" s="1480">
        <v>0</v>
      </c>
      <c r="J610" s="1480">
        <v>0</v>
      </c>
      <c r="K610" s="1480"/>
      <c r="L610" s="1480"/>
      <c r="M610" s="1480">
        <f t="shared" si="38"/>
        <v>0</v>
      </c>
      <c r="N610" s="1480">
        <f t="shared" si="39"/>
        <v>0</v>
      </c>
    </row>
    <row r="611" spans="1:14" ht="15.5" outlineLevel="1" x14ac:dyDescent="0.25">
      <c r="A611" s="1492">
        <v>0</v>
      </c>
      <c r="B611" s="1492" t="s">
        <v>2199</v>
      </c>
      <c r="C611" s="1488">
        <v>0</v>
      </c>
      <c r="D611" s="1413" t="s">
        <v>1873</v>
      </c>
      <c r="E611" s="560">
        <v>300</v>
      </c>
      <c r="F611" s="1480">
        <v>0</v>
      </c>
      <c r="G611" s="1480">
        <v>0</v>
      </c>
      <c r="H611" s="1480">
        <f t="shared" si="37"/>
        <v>0</v>
      </c>
      <c r="I611" s="1480">
        <v>0</v>
      </c>
      <c r="J611" s="1480">
        <v>0</v>
      </c>
      <c r="K611" s="1480"/>
      <c r="L611" s="1480"/>
      <c r="M611" s="1480">
        <f t="shared" si="38"/>
        <v>0</v>
      </c>
      <c r="N611" s="1480">
        <f t="shared" si="39"/>
        <v>0</v>
      </c>
    </row>
    <row r="612" spans="1:14" ht="15.5" outlineLevel="1" x14ac:dyDescent="0.25">
      <c r="A612" s="1486">
        <v>11</v>
      </c>
      <c r="B612" s="1491" t="s">
        <v>2200</v>
      </c>
      <c r="C612" s="1488">
        <v>0</v>
      </c>
      <c r="D612" s="1413" t="s">
        <v>1873</v>
      </c>
      <c r="E612" s="560">
        <v>100</v>
      </c>
      <c r="F612" s="1480">
        <v>0</v>
      </c>
      <c r="G612" s="1480">
        <v>0</v>
      </c>
      <c r="H612" s="1480">
        <f t="shared" si="37"/>
        <v>0</v>
      </c>
      <c r="I612" s="1480">
        <v>0</v>
      </c>
      <c r="J612" s="1480">
        <v>0</v>
      </c>
      <c r="K612" s="1480"/>
      <c r="L612" s="1480"/>
      <c r="M612" s="1480">
        <f t="shared" si="38"/>
        <v>0</v>
      </c>
      <c r="N612" s="1480">
        <f t="shared" si="39"/>
        <v>0</v>
      </c>
    </row>
    <row r="613" spans="1:14" ht="15.5" outlineLevel="1" x14ac:dyDescent="0.25">
      <c r="A613" s="1492">
        <v>0</v>
      </c>
      <c r="B613" s="1492" t="s">
        <v>2201</v>
      </c>
      <c r="C613" s="1488">
        <v>0</v>
      </c>
      <c r="D613" s="1413" t="s">
        <v>1873</v>
      </c>
      <c r="E613" s="560">
        <v>100</v>
      </c>
      <c r="F613" s="1480">
        <v>0</v>
      </c>
      <c r="G613" s="1480">
        <v>0</v>
      </c>
      <c r="H613" s="1480">
        <f t="shared" si="37"/>
        <v>0</v>
      </c>
      <c r="I613" s="1480">
        <v>0</v>
      </c>
      <c r="J613" s="1480">
        <v>0</v>
      </c>
      <c r="K613" s="1480"/>
      <c r="L613" s="1480"/>
      <c r="M613" s="1480">
        <f t="shared" si="38"/>
        <v>0</v>
      </c>
      <c r="N613" s="1480">
        <f t="shared" si="39"/>
        <v>0</v>
      </c>
    </row>
    <row r="614" spans="1:14" ht="15.5" outlineLevel="1" x14ac:dyDescent="0.25">
      <c r="A614" s="1486">
        <v>12</v>
      </c>
      <c r="B614" s="1491" t="s">
        <v>2202</v>
      </c>
      <c r="C614" s="1488">
        <v>0</v>
      </c>
      <c r="D614" s="1413" t="s">
        <v>1873</v>
      </c>
      <c r="E614" s="560">
        <v>200</v>
      </c>
      <c r="F614" s="1480">
        <v>0</v>
      </c>
      <c r="G614" s="1480">
        <v>0</v>
      </c>
      <c r="H614" s="1480">
        <f t="shared" si="37"/>
        <v>0</v>
      </c>
      <c r="I614" s="1480">
        <v>0</v>
      </c>
      <c r="J614" s="1480">
        <v>0</v>
      </c>
      <c r="K614" s="1480"/>
      <c r="L614" s="1480"/>
      <c r="M614" s="1480">
        <f t="shared" si="38"/>
        <v>0</v>
      </c>
      <c r="N614" s="1480">
        <f t="shared" si="39"/>
        <v>0</v>
      </c>
    </row>
    <row r="615" spans="1:14" ht="15.5" outlineLevel="1" x14ac:dyDescent="0.25">
      <c r="A615" s="1492">
        <v>0</v>
      </c>
      <c r="B615" s="1492" t="s">
        <v>2202</v>
      </c>
      <c r="C615" s="1488">
        <v>0</v>
      </c>
      <c r="D615" s="1413" t="s">
        <v>1873</v>
      </c>
      <c r="E615" s="560">
        <v>200</v>
      </c>
      <c r="F615" s="1480">
        <v>0</v>
      </c>
      <c r="G615" s="1480">
        <v>0</v>
      </c>
      <c r="H615" s="1480">
        <f t="shared" si="37"/>
        <v>0</v>
      </c>
      <c r="I615" s="1480">
        <v>0</v>
      </c>
      <c r="J615" s="1480">
        <v>0</v>
      </c>
      <c r="K615" s="1480"/>
      <c r="L615" s="1480"/>
      <c r="M615" s="1480">
        <f t="shared" si="38"/>
        <v>0</v>
      </c>
      <c r="N615" s="1480">
        <f t="shared" si="39"/>
        <v>0</v>
      </c>
    </row>
    <row r="616" spans="1:14" ht="62" outlineLevel="1" x14ac:dyDescent="0.25">
      <c r="A616" s="1486">
        <v>13</v>
      </c>
      <c r="B616" s="1491" t="s">
        <v>2203</v>
      </c>
      <c r="C616" s="1488">
        <v>0</v>
      </c>
      <c r="D616" s="1413" t="s">
        <v>1873</v>
      </c>
      <c r="E616" s="560">
        <v>42</v>
      </c>
      <c r="F616" s="1480">
        <v>0</v>
      </c>
      <c r="G616" s="1480">
        <v>0</v>
      </c>
      <c r="H616" s="1480">
        <f t="shared" si="37"/>
        <v>0</v>
      </c>
      <c r="I616" s="1480">
        <v>0</v>
      </c>
      <c r="J616" s="1480">
        <v>0</v>
      </c>
      <c r="K616" s="1480"/>
      <c r="L616" s="1480"/>
      <c r="M616" s="1480">
        <f t="shared" si="38"/>
        <v>0</v>
      </c>
      <c r="N616" s="1480">
        <f t="shared" si="39"/>
        <v>0</v>
      </c>
    </row>
    <row r="617" spans="1:14" ht="62" outlineLevel="1" x14ac:dyDescent="0.25">
      <c r="A617" s="1492">
        <v>0</v>
      </c>
      <c r="B617" s="1492" t="s">
        <v>2203</v>
      </c>
      <c r="C617" s="1488">
        <v>0</v>
      </c>
      <c r="D617" s="1413" t="s">
        <v>1873</v>
      </c>
      <c r="E617" s="560">
        <v>42</v>
      </c>
      <c r="F617" s="1480">
        <v>0</v>
      </c>
      <c r="G617" s="1480">
        <v>0</v>
      </c>
      <c r="H617" s="1480">
        <f t="shared" si="37"/>
        <v>0</v>
      </c>
      <c r="I617" s="1480">
        <v>0</v>
      </c>
      <c r="J617" s="1480">
        <v>0</v>
      </c>
      <c r="K617" s="1480"/>
      <c r="L617" s="1480"/>
      <c r="M617" s="1480">
        <f t="shared" si="38"/>
        <v>0</v>
      </c>
      <c r="N617" s="1480">
        <f t="shared" si="39"/>
        <v>0</v>
      </c>
    </row>
    <row r="618" spans="1:14" ht="15.5" outlineLevel="1" x14ac:dyDescent="0.25">
      <c r="A618" s="1486">
        <v>14</v>
      </c>
      <c r="B618" s="1491" t="s">
        <v>2204</v>
      </c>
      <c r="C618" s="1488">
        <v>0</v>
      </c>
      <c r="D618" s="1413" t="s">
        <v>1873</v>
      </c>
      <c r="E618" s="560">
        <v>25</v>
      </c>
      <c r="F618" s="1480">
        <v>0</v>
      </c>
      <c r="G618" s="1480">
        <v>0</v>
      </c>
      <c r="H618" s="1480">
        <f t="shared" si="37"/>
        <v>0</v>
      </c>
      <c r="I618" s="1480">
        <v>0</v>
      </c>
      <c r="J618" s="1480">
        <v>0</v>
      </c>
      <c r="K618" s="1480"/>
      <c r="L618" s="1480"/>
      <c r="M618" s="1480">
        <f t="shared" si="38"/>
        <v>0</v>
      </c>
      <c r="N618" s="1480">
        <f t="shared" si="39"/>
        <v>0</v>
      </c>
    </row>
    <row r="619" spans="1:14" ht="15.5" outlineLevel="1" x14ac:dyDescent="0.25">
      <c r="A619" s="1492">
        <v>0</v>
      </c>
      <c r="B619" s="1492" t="s">
        <v>2205</v>
      </c>
      <c r="C619" s="1488">
        <v>0</v>
      </c>
      <c r="D619" s="1413" t="s">
        <v>1873</v>
      </c>
      <c r="E619" s="560">
        <v>25</v>
      </c>
      <c r="F619" s="1480">
        <v>0</v>
      </c>
      <c r="G619" s="1480">
        <v>0</v>
      </c>
      <c r="H619" s="1480">
        <f t="shared" si="37"/>
        <v>0</v>
      </c>
      <c r="I619" s="1480">
        <v>0</v>
      </c>
      <c r="J619" s="1480">
        <v>0</v>
      </c>
      <c r="K619" s="1480"/>
      <c r="L619" s="1480"/>
      <c r="M619" s="1480">
        <f t="shared" si="38"/>
        <v>0</v>
      </c>
      <c r="N619" s="1480">
        <f t="shared" si="39"/>
        <v>0</v>
      </c>
    </row>
    <row r="620" spans="1:14" ht="15.5" outlineLevel="1" x14ac:dyDescent="0.25">
      <c r="A620" s="1486">
        <v>15</v>
      </c>
      <c r="B620" s="1491" t="s">
        <v>2206</v>
      </c>
      <c r="C620" s="1488">
        <v>0</v>
      </c>
      <c r="D620" s="1413" t="s">
        <v>1873</v>
      </c>
      <c r="E620" s="560">
        <v>278.5</v>
      </c>
      <c r="F620" s="1480">
        <v>0</v>
      </c>
      <c r="G620" s="1480">
        <v>0</v>
      </c>
      <c r="H620" s="1480">
        <f t="shared" si="37"/>
        <v>0</v>
      </c>
      <c r="I620" s="1480">
        <v>0</v>
      </c>
      <c r="J620" s="1480">
        <v>0</v>
      </c>
      <c r="K620" s="1480"/>
      <c r="L620" s="1480"/>
      <c r="M620" s="1480">
        <f t="shared" si="38"/>
        <v>0</v>
      </c>
      <c r="N620" s="1480">
        <f t="shared" si="39"/>
        <v>0</v>
      </c>
    </row>
    <row r="621" spans="1:14" ht="31" outlineLevel="1" x14ac:dyDescent="0.25">
      <c r="A621" s="1492">
        <v>0</v>
      </c>
      <c r="B621" s="1492" t="s">
        <v>2207</v>
      </c>
      <c r="C621" s="1488">
        <v>0</v>
      </c>
      <c r="D621" s="1413" t="s">
        <v>1873</v>
      </c>
      <c r="E621" s="560">
        <v>268</v>
      </c>
      <c r="F621" s="1480">
        <v>0</v>
      </c>
      <c r="G621" s="1480">
        <v>0</v>
      </c>
      <c r="H621" s="1480">
        <f t="shared" si="37"/>
        <v>0</v>
      </c>
      <c r="I621" s="1480">
        <v>0</v>
      </c>
      <c r="J621" s="1480">
        <v>0</v>
      </c>
      <c r="K621" s="1480"/>
      <c r="L621" s="1480"/>
      <c r="M621" s="1480">
        <f t="shared" si="38"/>
        <v>0</v>
      </c>
      <c r="N621" s="1480">
        <f t="shared" si="39"/>
        <v>0</v>
      </c>
    </row>
    <row r="622" spans="1:14" ht="31" outlineLevel="1" x14ac:dyDescent="0.25">
      <c r="A622" s="1492">
        <v>0</v>
      </c>
      <c r="B622" s="1492" t="s">
        <v>2208</v>
      </c>
      <c r="C622" s="1488">
        <v>0</v>
      </c>
      <c r="D622" s="1413" t="s">
        <v>1873</v>
      </c>
      <c r="E622" s="560">
        <v>10</v>
      </c>
      <c r="F622" s="1480">
        <v>0</v>
      </c>
      <c r="G622" s="1480">
        <v>0</v>
      </c>
      <c r="H622" s="1480">
        <f t="shared" si="37"/>
        <v>0</v>
      </c>
      <c r="I622" s="1480">
        <v>0</v>
      </c>
      <c r="J622" s="1480">
        <v>0</v>
      </c>
      <c r="K622" s="1480"/>
      <c r="L622" s="1480"/>
      <c r="M622" s="1480">
        <f t="shared" si="38"/>
        <v>0</v>
      </c>
      <c r="N622" s="1480">
        <f t="shared" si="39"/>
        <v>0</v>
      </c>
    </row>
    <row r="623" spans="1:14" ht="46.5" outlineLevel="1" x14ac:dyDescent="0.25">
      <c r="A623" s="1492">
        <v>0</v>
      </c>
      <c r="B623" s="1492" t="s">
        <v>2209</v>
      </c>
      <c r="C623" s="1488">
        <v>0</v>
      </c>
      <c r="D623" s="1413" t="s">
        <v>1873</v>
      </c>
      <c r="E623" s="560">
        <v>0.5</v>
      </c>
      <c r="F623" s="1480">
        <v>0</v>
      </c>
      <c r="G623" s="1480">
        <v>0</v>
      </c>
      <c r="H623" s="1480">
        <f t="shared" si="37"/>
        <v>0</v>
      </c>
      <c r="I623" s="1480">
        <v>0</v>
      </c>
      <c r="J623" s="1480">
        <v>0</v>
      </c>
      <c r="K623" s="1480"/>
      <c r="L623" s="1480"/>
      <c r="M623" s="1480">
        <f t="shared" si="38"/>
        <v>0</v>
      </c>
      <c r="N623" s="1480">
        <f t="shared" si="39"/>
        <v>0</v>
      </c>
    </row>
    <row r="624" spans="1:14" ht="15.5" outlineLevel="1" x14ac:dyDescent="0.25">
      <c r="A624" s="1486">
        <v>16</v>
      </c>
      <c r="B624" s="1491" t="s">
        <v>2210</v>
      </c>
      <c r="C624" s="1488">
        <v>0</v>
      </c>
      <c r="D624" s="1413" t="s">
        <v>1873</v>
      </c>
      <c r="E624" s="560">
        <v>25</v>
      </c>
      <c r="F624" s="1480">
        <v>0</v>
      </c>
      <c r="G624" s="1480">
        <v>0</v>
      </c>
      <c r="H624" s="1480">
        <f t="shared" si="37"/>
        <v>0</v>
      </c>
      <c r="I624" s="1480">
        <v>0</v>
      </c>
      <c r="J624" s="1480">
        <v>0</v>
      </c>
      <c r="K624" s="1480"/>
      <c r="L624" s="1480"/>
      <c r="M624" s="1480">
        <f t="shared" si="38"/>
        <v>0</v>
      </c>
      <c r="N624" s="1480">
        <f t="shared" si="39"/>
        <v>0</v>
      </c>
    </row>
    <row r="625" spans="1:14" ht="15.5" outlineLevel="1" x14ac:dyDescent="0.25">
      <c r="A625" s="1492">
        <v>0</v>
      </c>
      <c r="B625" s="1492" t="s">
        <v>2210</v>
      </c>
      <c r="C625" s="1488">
        <v>0</v>
      </c>
      <c r="D625" s="1413" t="s">
        <v>1873</v>
      </c>
      <c r="E625" s="560">
        <v>25</v>
      </c>
      <c r="F625" s="1480">
        <v>0</v>
      </c>
      <c r="G625" s="1480">
        <v>0</v>
      </c>
      <c r="H625" s="1480">
        <f t="shared" si="37"/>
        <v>0</v>
      </c>
      <c r="I625" s="1480">
        <v>0</v>
      </c>
      <c r="J625" s="1480">
        <v>0</v>
      </c>
      <c r="K625" s="1480"/>
      <c r="L625" s="1480"/>
      <c r="M625" s="1480">
        <f t="shared" si="38"/>
        <v>0</v>
      </c>
      <c r="N625" s="1480">
        <f t="shared" si="39"/>
        <v>0</v>
      </c>
    </row>
    <row r="626" spans="1:14" ht="62" outlineLevel="1" x14ac:dyDescent="0.25">
      <c r="A626" s="1486">
        <v>17</v>
      </c>
      <c r="B626" s="1491" t="s">
        <v>2211</v>
      </c>
      <c r="C626" s="1488">
        <v>0</v>
      </c>
      <c r="D626" s="1413" t="s">
        <v>1873</v>
      </c>
      <c r="E626" s="560">
        <v>27.6</v>
      </c>
      <c r="F626" s="1480">
        <v>0</v>
      </c>
      <c r="G626" s="1480">
        <v>0</v>
      </c>
      <c r="H626" s="1480">
        <f t="shared" si="37"/>
        <v>0</v>
      </c>
      <c r="I626" s="1480">
        <v>0</v>
      </c>
      <c r="J626" s="1480">
        <v>0</v>
      </c>
      <c r="K626" s="1480"/>
      <c r="L626" s="1480"/>
      <c r="M626" s="1480">
        <f t="shared" si="38"/>
        <v>0</v>
      </c>
      <c r="N626" s="1480">
        <f t="shared" si="39"/>
        <v>0</v>
      </c>
    </row>
    <row r="627" spans="1:14" ht="62" outlineLevel="1" x14ac:dyDescent="0.25">
      <c r="A627" s="1492">
        <v>0</v>
      </c>
      <c r="B627" s="1492" t="s">
        <v>2212</v>
      </c>
      <c r="C627" s="1488">
        <v>0</v>
      </c>
      <c r="D627" s="1413" t="s">
        <v>1873</v>
      </c>
      <c r="E627" s="560">
        <v>8.9</v>
      </c>
      <c r="F627" s="1480">
        <v>0</v>
      </c>
      <c r="G627" s="1480">
        <v>0</v>
      </c>
      <c r="H627" s="1480">
        <f t="shared" si="37"/>
        <v>0</v>
      </c>
      <c r="I627" s="1480">
        <v>0</v>
      </c>
      <c r="J627" s="1480">
        <v>0</v>
      </c>
      <c r="K627" s="1480"/>
      <c r="L627" s="1480"/>
      <c r="M627" s="1480">
        <f t="shared" si="38"/>
        <v>0</v>
      </c>
      <c r="N627" s="1480">
        <f t="shared" si="39"/>
        <v>0</v>
      </c>
    </row>
    <row r="628" spans="1:14" ht="46.5" outlineLevel="1" x14ac:dyDescent="0.25">
      <c r="A628" s="1492">
        <v>0</v>
      </c>
      <c r="B628" s="1492" t="s">
        <v>2213</v>
      </c>
      <c r="C628" s="1488">
        <v>0</v>
      </c>
      <c r="D628" s="1413" t="s">
        <v>1873</v>
      </c>
      <c r="E628" s="560">
        <v>10.82</v>
      </c>
      <c r="F628" s="1480">
        <v>0</v>
      </c>
      <c r="G628" s="1480">
        <v>0</v>
      </c>
      <c r="H628" s="1480">
        <f t="shared" si="37"/>
        <v>0</v>
      </c>
      <c r="I628" s="1480">
        <v>0</v>
      </c>
      <c r="J628" s="1480">
        <v>0</v>
      </c>
      <c r="K628" s="1480"/>
      <c r="L628" s="1480"/>
      <c r="M628" s="1480">
        <f t="shared" si="38"/>
        <v>0</v>
      </c>
      <c r="N628" s="1480">
        <f t="shared" si="39"/>
        <v>0</v>
      </c>
    </row>
    <row r="629" spans="1:14" ht="62" outlineLevel="1" x14ac:dyDescent="0.25">
      <c r="A629" s="1492">
        <v>0</v>
      </c>
      <c r="B629" s="1492" t="s">
        <v>2214</v>
      </c>
      <c r="C629" s="1488">
        <v>0</v>
      </c>
      <c r="D629" s="1413" t="s">
        <v>1873</v>
      </c>
      <c r="E629" s="560">
        <v>7.88</v>
      </c>
      <c r="F629" s="1480">
        <v>0</v>
      </c>
      <c r="G629" s="1480">
        <v>0</v>
      </c>
      <c r="H629" s="1480">
        <f t="shared" si="37"/>
        <v>0</v>
      </c>
      <c r="I629" s="1480">
        <v>0</v>
      </c>
      <c r="J629" s="1480">
        <v>0</v>
      </c>
      <c r="K629" s="1480"/>
      <c r="L629" s="1480"/>
      <c r="M629" s="1480">
        <f t="shared" si="38"/>
        <v>0</v>
      </c>
      <c r="N629" s="1480">
        <f t="shared" si="39"/>
        <v>0</v>
      </c>
    </row>
    <row r="630" spans="1:14" ht="15.5" outlineLevel="1" x14ac:dyDescent="0.25">
      <c r="A630" s="1486">
        <v>18</v>
      </c>
      <c r="B630" s="1491" t="s">
        <v>2215</v>
      </c>
      <c r="C630" s="1488">
        <v>0</v>
      </c>
      <c r="D630" s="1413" t="s">
        <v>1873</v>
      </c>
      <c r="E630" s="560">
        <v>120</v>
      </c>
      <c r="F630" s="1480">
        <v>0</v>
      </c>
      <c r="G630" s="1480">
        <v>0</v>
      </c>
      <c r="H630" s="1480">
        <f t="shared" si="37"/>
        <v>0</v>
      </c>
      <c r="I630" s="1480">
        <v>0</v>
      </c>
      <c r="J630" s="1480">
        <v>0</v>
      </c>
      <c r="K630" s="1480"/>
      <c r="L630" s="1480"/>
      <c r="M630" s="1480">
        <f t="shared" si="38"/>
        <v>0</v>
      </c>
      <c r="N630" s="1480">
        <f t="shared" si="39"/>
        <v>0</v>
      </c>
    </row>
    <row r="631" spans="1:14" ht="15.5" outlineLevel="1" x14ac:dyDescent="0.25">
      <c r="A631" s="1492">
        <v>0</v>
      </c>
      <c r="B631" s="1492" t="s">
        <v>2215</v>
      </c>
      <c r="C631" s="1488">
        <v>0</v>
      </c>
      <c r="D631" s="1413" t="s">
        <v>1873</v>
      </c>
      <c r="E631" s="560">
        <v>120</v>
      </c>
      <c r="F631" s="1480">
        <v>0</v>
      </c>
      <c r="G631" s="1480">
        <v>0</v>
      </c>
      <c r="H631" s="1480">
        <f t="shared" si="37"/>
        <v>0</v>
      </c>
      <c r="I631" s="1480">
        <v>0</v>
      </c>
      <c r="J631" s="1480">
        <v>0</v>
      </c>
      <c r="K631" s="1480"/>
      <c r="L631" s="1480"/>
      <c r="M631" s="1480">
        <f t="shared" si="38"/>
        <v>0</v>
      </c>
      <c r="N631" s="1480">
        <f t="shared" si="39"/>
        <v>0</v>
      </c>
    </row>
    <row r="632" spans="1:14" ht="15.5" outlineLevel="1" x14ac:dyDescent="0.25">
      <c r="A632" s="1486">
        <v>19</v>
      </c>
      <c r="B632" s="1491" t="s">
        <v>2216</v>
      </c>
      <c r="C632" s="1488">
        <v>0</v>
      </c>
      <c r="D632" s="1413" t="s">
        <v>1873</v>
      </c>
      <c r="E632" s="560">
        <v>100</v>
      </c>
      <c r="F632" s="1480">
        <v>0</v>
      </c>
      <c r="G632" s="1480">
        <v>0</v>
      </c>
      <c r="H632" s="1480">
        <f t="shared" si="37"/>
        <v>0</v>
      </c>
      <c r="I632" s="1480">
        <v>0</v>
      </c>
      <c r="J632" s="1480">
        <v>0</v>
      </c>
      <c r="K632" s="1480"/>
      <c r="L632" s="1480"/>
      <c r="M632" s="1480">
        <f t="shared" si="38"/>
        <v>0</v>
      </c>
      <c r="N632" s="1480">
        <f t="shared" si="39"/>
        <v>0</v>
      </c>
    </row>
    <row r="633" spans="1:14" ht="15.5" outlineLevel="1" x14ac:dyDescent="0.25">
      <c r="A633" s="1492">
        <v>0</v>
      </c>
      <c r="B633" s="1492" t="s">
        <v>2216</v>
      </c>
      <c r="C633" s="1488">
        <v>0</v>
      </c>
      <c r="D633" s="1413" t="s">
        <v>1873</v>
      </c>
      <c r="E633" s="560">
        <v>100</v>
      </c>
      <c r="F633" s="1480">
        <v>0</v>
      </c>
      <c r="G633" s="1480">
        <v>0</v>
      </c>
      <c r="H633" s="1480">
        <f t="shared" si="37"/>
        <v>0</v>
      </c>
      <c r="I633" s="1480">
        <v>0</v>
      </c>
      <c r="J633" s="1480">
        <v>0</v>
      </c>
      <c r="K633" s="1480"/>
      <c r="L633" s="1480"/>
      <c r="M633" s="1480">
        <f t="shared" si="38"/>
        <v>0</v>
      </c>
      <c r="N633" s="1480">
        <f t="shared" si="39"/>
        <v>0</v>
      </c>
    </row>
    <row r="634" spans="1:14" ht="15.5" outlineLevel="1" x14ac:dyDescent="0.25">
      <c r="A634" s="1486">
        <v>20</v>
      </c>
      <c r="B634" s="1491" t="s">
        <v>2217</v>
      </c>
      <c r="C634" s="1488">
        <v>0</v>
      </c>
      <c r="D634" s="1413" t="s">
        <v>1873</v>
      </c>
      <c r="E634" s="560">
        <v>110</v>
      </c>
      <c r="F634" s="1480">
        <v>0</v>
      </c>
      <c r="G634" s="1480">
        <v>0</v>
      </c>
      <c r="H634" s="1480">
        <f t="shared" si="37"/>
        <v>0</v>
      </c>
      <c r="I634" s="1480">
        <v>0</v>
      </c>
      <c r="J634" s="1480">
        <v>0</v>
      </c>
      <c r="K634" s="1480"/>
      <c r="L634" s="1480"/>
      <c r="M634" s="1480">
        <f t="shared" si="38"/>
        <v>0</v>
      </c>
      <c r="N634" s="1480">
        <f t="shared" si="39"/>
        <v>0</v>
      </c>
    </row>
    <row r="635" spans="1:14" ht="15.5" outlineLevel="1" x14ac:dyDescent="0.25">
      <c r="A635" s="1492">
        <v>0</v>
      </c>
      <c r="B635" s="1492" t="s">
        <v>2217</v>
      </c>
      <c r="C635" s="1488">
        <v>0</v>
      </c>
      <c r="D635" s="1413" t="s">
        <v>1873</v>
      </c>
      <c r="E635" s="560">
        <v>110</v>
      </c>
      <c r="F635" s="1480">
        <v>0</v>
      </c>
      <c r="G635" s="1480">
        <v>0</v>
      </c>
      <c r="H635" s="1480">
        <f t="shared" si="37"/>
        <v>0</v>
      </c>
      <c r="I635" s="1480">
        <v>0</v>
      </c>
      <c r="J635" s="1480">
        <v>0</v>
      </c>
      <c r="K635" s="1480"/>
      <c r="L635" s="1480"/>
      <c r="M635" s="1480">
        <f t="shared" si="38"/>
        <v>0</v>
      </c>
      <c r="N635" s="1480">
        <f t="shared" si="39"/>
        <v>0</v>
      </c>
    </row>
    <row r="636" spans="1:14" ht="15.5" outlineLevel="1" x14ac:dyDescent="0.25">
      <c r="A636" s="1486">
        <v>21</v>
      </c>
      <c r="B636" s="1491" t="s">
        <v>2218</v>
      </c>
      <c r="C636" s="1488">
        <v>0</v>
      </c>
      <c r="D636" s="1413" t="s">
        <v>1873</v>
      </c>
      <c r="E636" s="560">
        <v>50</v>
      </c>
      <c r="F636" s="1480">
        <v>0</v>
      </c>
      <c r="G636" s="1480">
        <v>0</v>
      </c>
      <c r="H636" s="1480">
        <f t="shared" si="37"/>
        <v>0</v>
      </c>
      <c r="I636" s="1480">
        <v>0</v>
      </c>
      <c r="J636" s="1480">
        <v>0</v>
      </c>
      <c r="K636" s="1480"/>
      <c r="L636" s="1480"/>
      <c r="M636" s="1480">
        <f t="shared" si="38"/>
        <v>0</v>
      </c>
      <c r="N636" s="1480">
        <f t="shared" si="39"/>
        <v>0</v>
      </c>
    </row>
    <row r="637" spans="1:14" ht="15.5" outlineLevel="1" x14ac:dyDescent="0.25">
      <c r="A637" s="1492">
        <v>0</v>
      </c>
      <c r="B637" s="1492" t="s">
        <v>2219</v>
      </c>
      <c r="C637" s="1488">
        <v>0</v>
      </c>
      <c r="D637" s="1413" t="s">
        <v>1873</v>
      </c>
      <c r="E637" s="560">
        <v>50</v>
      </c>
      <c r="F637" s="1480">
        <v>0</v>
      </c>
      <c r="G637" s="1480">
        <v>0</v>
      </c>
      <c r="H637" s="1480">
        <f t="shared" si="37"/>
        <v>0</v>
      </c>
      <c r="I637" s="1480">
        <v>0</v>
      </c>
      <c r="J637" s="1480">
        <v>0</v>
      </c>
      <c r="K637" s="1480"/>
      <c r="L637" s="1480"/>
      <c r="M637" s="1480">
        <f t="shared" si="38"/>
        <v>0</v>
      </c>
      <c r="N637" s="1480">
        <f t="shared" si="39"/>
        <v>0</v>
      </c>
    </row>
    <row r="638" spans="1:14" ht="15.5" outlineLevel="1" x14ac:dyDescent="0.25">
      <c r="A638" s="1453">
        <v>0</v>
      </c>
      <c r="B638" s="96">
        <v>0</v>
      </c>
      <c r="C638" s="1453">
        <v>0</v>
      </c>
      <c r="D638" s="1503" t="s">
        <v>1873</v>
      </c>
      <c r="E638" s="560">
        <v>0</v>
      </c>
      <c r="F638" s="1480">
        <v>0</v>
      </c>
      <c r="G638" s="1480">
        <v>0</v>
      </c>
      <c r="H638" s="1480">
        <f t="shared" si="37"/>
        <v>0</v>
      </c>
      <c r="I638" s="1480">
        <v>0</v>
      </c>
      <c r="J638" s="1480">
        <v>0</v>
      </c>
      <c r="K638" s="1480"/>
      <c r="L638" s="1480"/>
      <c r="M638" s="1480">
        <f t="shared" si="38"/>
        <v>0</v>
      </c>
      <c r="N638" s="1480">
        <f t="shared" si="39"/>
        <v>0</v>
      </c>
    </row>
    <row r="639" spans="1:14" ht="15.5" outlineLevel="1" x14ac:dyDescent="0.25">
      <c r="A639" s="1488">
        <v>0</v>
      </c>
      <c r="B639" s="1492">
        <v>0</v>
      </c>
      <c r="C639" s="1488">
        <v>0</v>
      </c>
      <c r="D639" s="1413" t="s">
        <v>1873</v>
      </c>
      <c r="E639" s="560">
        <v>0</v>
      </c>
      <c r="F639" s="1480">
        <v>0</v>
      </c>
      <c r="G639" s="1480">
        <v>0</v>
      </c>
      <c r="H639" s="1480">
        <f t="shared" si="37"/>
        <v>0</v>
      </c>
      <c r="I639" s="1480">
        <v>0</v>
      </c>
      <c r="J639" s="1480">
        <v>0</v>
      </c>
      <c r="K639" s="1480"/>
      <c r="L639" s="1480"/>
      <c r="M639" s="1480">
        <f t="shared" si="38"/>
        <v>0</v>
      </c>
      <c r="N639" s="1480">
        <f t="shared" si="39"/>
        <v>0</v>
      </c>
    </row>
    <row r="640" spans="1:14" ht="15.5" outlineLevel="1" x14ac:dyDescent="0.25">
      <c r="A640" s="1505">
        <v>0</v>
      </c>
      <c r="B640" s="1492">
        <v>0</v>
      </c>
      <c r="C640" s="1505">
        <v>0</v>
      </c>
      <c r="D640" s="1503" t="s">
        <v>1873</v>
      </c>
      <c r="E640" s="560">
        <v>0</v>
      </c>
      <c r="F640" s="1480">
        <v>0</v>
      </c>
      <c r="G640" s="1480">
        <v>0</v>
      </c>
      <c r="H640" s="1480">
        <f t="shared" si="37"/>
        <v>0</v>
      </c>
      <c r="I640" s="1480">
        <v>0</v>
      </c>
      <c r="J640" s="1480">
        <v>0</v>
      </c>
      <c r="K640" s="1480"/>
      <c r="L640" s="1480"/>
      <c r="M640" s="1480">
        <f t="shared" si="38"/>
        <v>0</v>
      </c>
      <c r="N640" s="1480">
        <f t="shared" si="39"/>
        <v>0</v>
      </c>
    </row>
    <row r="641" spans="1:14" ht="15.5" outlineLevel="1" x14ac:dyDescent="0.25">
      <c r="A641" s="1453">
        <v>0</v>
      </c>
      <c r="B641" s="1389" t="s">
        <v>952</v>
      </c>
      <c r="C641" s="1453">
        <v>0</v>
      </c>
      <c r="D641" s="1503" t="s">
        <v>1873</v>
      </c>
      <c r="E641" s="560">
        <v>0</v>
      </c>
      <c r="F641" s="1480">
        <v>0</v>
      </c>
      <c r="G641" s="1480">
        <v>0</v>
      </c>
      <c r="H641" s="1480">
        <f t="shared" si="37"/>
        <v>0</v>
      </c>
      <c r="I641" s="1480">
        <v>0</v>
      </c>
      <c r="J641" s="1480">
        <v>0</v>
      </c>
      <c r="K641" s="1480"/>
      <c r="L641" s="1480"/>
      <c r="M641" s="1480">
        <f t="shared" si="38"/>
        <v>0</v>
      </c>
      <c r="N641" s="1480">
        <f t="shared" si="39"/>
        <v>0</v>
      </c>
    </row>
    <row r="642" spans="1:14" ht="15.5" outlineLevel="1" x14ac:dyDescent="0.25">
      <c r="A642" s="1488">
        <v>1</v>
      </c>
      <c r="B642" s="1492" t="s">
        <v>2220</v>
      </c>
      <c r="C642" s="1488">
        <v>0</v>
      </c>
      <c r="D642" s="1413" t="s">
        <v>1873</v>
      </c>
      <c r="E642" s="560">
        <v>20</v>
      </c>
      <c r="F642" s="1480">
        <v>4.0730226179999995</v>
      </c>
      <c r="G642" s="1480">
        <v>4.0730226179999995</v>
      </c>
      <c r="H642" s="1480">
        <f t="shared" si="37"/>
        <v>0</v>
      </c>
      <c r="I642" s="1480">
        <v>1.3031580909999998</v>
      </c>
      <c r="J642" s="1480">
        <v>1.3031580909999998</v>
      </c>
      <c r="K642" s="1480"/>
      <c r="L642" s="1480"/>
      <c r="M642" s="1480">
        <f t="shared" si="38"/>
        <v>1.3031580909999998</v>
      </c>
      <c r="N642" s="1480">
        <f t="shared" si="39"/>
        <v>0</v>
      </c>
    </row>
    <row r="643" spans="1:14" ht="15.5" outlineLevel="1" x14ac:dyDescent="0.25">
      <c r="A643" s="1488">
        <v>2</v>
      </c>
      <c r="B643" s="1492" t="s">
        <v>2221</v>
      </c>
      <c r="C643" s="1488">
        <v>0</v>
      </c>
      <c r="D643" s="1413" t="s">
        <v>1873</v>
      </c>
      <c r="E643" s="560">
        <v>1.3764700000000001</v>
      </c>
      <c r="F643" s="1480">
        <v>0.68823500000000004</v>
      </c>
      <c r="G643" s="1480">
        <v>0</v>
      </c>
      <c r="H643" s="1480">
        <f t="shared" si="37"/>
        <v>0.68823500000000004</v>
      </c>
      <c r="I643" s="1480">
        <v>0</v>
      </c>
      <c r="J643" s="1480">
        <v>0.68823500000000004</v>
      </c>
      <c r="K643" s="1480"/>
      <c r="L643" s="1480"/>
      <c r="M643" s="1480">
        <f t="shared" si="38"/>
        <v>0.68823500000000004</v>
      </c>
      <c r="N643" s="1480">
        <f t="shared" si="39"/>
        <v>0</v>
      </c>
    </row>
    <row r="644" spans="1:14" ht="15.5" outlineLevel="1" x14ac:dyDescent="0.25">
      <c r="A644" s="1488">
        <v>3</v>
      </c>
      <c r="B644" s="1492" t="s">
        <v>2222</v>
      </c>
      <c r="C644" s="1488">
        <v>0</v>
      </c>
      <c r="D644" s="1413" t="s">
        <v>1873</v>
      </c>
      <c r="E644" s="560">
        <v>3.1821571</v>
      </c>
      <c r="F644" s="1480">
        <v>3.1821571</v>
      </c>
      <c r="G644" s="1480">
        <v>0</v>
      </c>
      <c r="H644" s="1480">
        <f t="shared" si="37"/>
        <v>3.1821571</v>
      </c>
      <c r="I644" s="1480">
        <v>-3.1821571</v>
      </c>
      <c r="J644" s="1480">
        <v>0</v>
      </c>
      <c r="K644" s="1480"/>
      <c r="L644" s="1480"/>
      <c r="M644" s="1480">
        <f t="shared" si="38"/>
        <v>0</v>
      </c>
      <c r="N644" s="1480">
        <f t="shared" si="39"/>
        <v>0</v>
      </c>
    </row>
    <row r="645" spans="1:14" ht="62" outlineLevel="1" x14ac:dyDescent="0.25">
      <c r="A645" s="1488">
        <v>4</v>
      </c>
      <c r="B645" s="1492" t="s">
        <v>2223</v>
      </c>
      <c r="C645" s="1488">
        <v>0</v>
      </c>
      <c r="D645" s="1413" t="s">
        <v>1873</v>
      </c>
      <c r="E645" s="560">
        <v>4.8622366000000001</v>
      </c>
      <c r="F645" s="1480">
        <v>0</v>
      </c>
      <c r="G645" s="1480">
        <v>0</v>
      </c>
      <c r="H645" s="1480">
        <f t="shared" si="37"/>
        <v>0</v>
      </c>
      <c r="I645" s="1480">
        <v>4.8622366000000001</v>
      </c>
      <c r="J645" s="1480">
        <v>4.8622366000000001</v>
      </c>
      <c r="K645" s="1480"/>
      <c r="L645" s="1480"/>
      <c r="M645" s="1480">
        <f t="shared" si="38"/>
        <v>4.8622366000000001</v>
      </c>
      <c r="N645" s="1480">
        <f t="shared" si="39"/>
        <v>0</v>
      </c>
    </row>
    <row r="646" spans="1:14" ht="46.5" outlineLevel="1" x14ac:dyDescent="0.25">
      <c r="A646" s="1488">
        <v>5</v>
      </c>
      <c r="B646" s="1492" t="s">
        <v>2224</v>
      </c>
      <c r="C646" s="1488">
        <v>0</v>
      </c>
      <c r="D646" s="1413" t="s">
        <v>1873</v>
      </c>
      <c r="E646" s="560">
        <v>4.7420485000000001</v>
      </c>
      <c r="F646" s="1480">
        <v>0</v>
      </c>
      <c r="G646" s="1480">
        <v>0</v>
      </c>
      <c r="H646" s="1480">
        <f t="shared" si="37"/>
        <v>0</v>
      </c>
      <c r="I646" s="1480">
        <v>4.7420485000000001</v>
      </c>
      <c r="J646" s="1480">
        <v>4.7420485000000001</v>
      </c>
      <c r="K646" s="1480"/>
      <c r="L646" s="1480"/>
      <c r="M646" s="1480">
        <f t="shared" si="38"/>
        <v>4.7420485000000001</v>
      </c>
      <c r="N646" s="1480">
        <f t="shared" si="39"/>
        <v>0</v>
      </c>
    </row>
    <row r="647" spans="1:14" ht="46.5" outlineLevel="1" x14ac:dyDescent="0.25">
      <c r="A647" s="1488">
        <v>6</v>
      </c>
      <c r="B647" s="1492" t="s">
        <v>2225</v>
      </c>
      <c r="C647" s="1488">
        <v>0</v>
      </c>
      <c r="D647" s="1413" t="s">
        <v>1873</v>
      </c>
      <c r="E647" s="560">
        <v>4.51</v>
      </c>
      <c r="F647" s="1480">
        <v>2.2542719999999998</v>
      </c>
      <c r="G647" s="1480">
        <v>0</v>
      </c>
      <c r="H647" s="1480">
        <f t="shared" si="37"/>
        <v>2.2542719999999998</v>
      </c>
      <c r="I647" s="1480">
        <v>2.2542719999999998</v>
      </c>
      <c r="J647" s="1480">
        <v>4.5085439999999997</v>
      </c>
      <c r="K647" s="1480"/>
      <c r="L647" s="1480"/>
      <c r="M647" s="1480">
        <f t="shared" si="38"/>
        <v>4.5085439999999997</v>
      </c>
      <c r="N647" s="1480">
        <f t="shared" si="39"/>
        <v>0</v>
      </c>
    </row>
    <row r="648" spans="1:14" ht="46.5" outlineLevel="1" x14ac:dyDescent="0.25">
      <c r="A648" s="1488">
        <v>7</v>
      </c>
      <c r="B648" s="1492" t="s">
        <v>2226</v>
      </c>
      <c r="C648" s="1488">
        <v>0</v>
      </c>
      <c r="D648" s="1413" t="s">
        <v>1873</v>
      </c>
      <c r="E648" s="560">
        <v>3.45</v>
      </c>
      <c r="F648" s="1480">
        <v>0</v>
      </c>
      <c r="G648" s="1480">
        <v>0</v>
      </c>
      <c r="H648" s="1480">
        <f t="shared" si="37"/>
        <v>0</v>
      </c>
      <c r="I648" s="1480">
        <v>3.4450571999999999</v>
      </c>
      <c r="J648" s="1480">
        <v>3.4450571999999999</v>
      </c>
      <c r="K648" s="1480"/>
      <c r="L648" s="1480"/>
      <c r="M648" s="1480">
        <f t="shared" si="38"/>
        <v>3.4450571999999999</v>
      </c>
      <c r="N648" s="1480">
        <f t="shared" si="39"/>
        <v>0</v>
      </c>
    </row>
    <row r="649" spans="1:14" ht="62" outlineLevel="1" x14ac:dyDescent="0.25">
      <c r="A649" s="1488">
        <v>8</v>
      </c>
      <c r="B649" s="1492" t="s">
        <v>2227</v>
      </c>
      <c r="C649" s="1488">
        <v>0</v>
      </c>
      <c r="D649" s="1413" t="s">
        <v>1873</v>
      </c>
      <c r="E649" s="560">
        <v>6.41</v>
      </c>
      <c r="F649" s="1480">
        <v>0</v>
      </c>
      <c r="G649" s="1480">
        <v>0</v>
      </c>
      <c r="H649" s="1480">
        <f t="shared" si="37"/>
        <v>0</v>
      </c>
      <c r="I649" s="1480">
        <v>0.81083681100000005</v>
      </c>
      <c r="J649" s="1480">
        <v>0</v>
      </c>
      <c r="K649" s="1480"/>
      <c r="L649" s="1480"/>
      <c r="M649" s="1480">
        <f t="shared" si="38"/>
        <v>0</v>
      </c>
      <c r="N649" s="1480">
        <f t="shared" si="39"/>
        <v>0.81083681100000005</v>
      </c>
    </row>
    <row r="650" spans="1:14" ht="46.5" outlineLevel="1" x14ac:dyDescent="0.25">
      <c r="A650" s="1488">
        <v>9</v>
      </c>
      <c r="B650" s="1492" t="s">
        <v>2228</v>
      </c>
      <c r="C650" s="1488">
        <v>0</v>
      </c>
      <c r="D650" s="1413" t="s">
        <v>1873</v>
      </c>
      <c r="E650" s="560">
        <v>7.95</v>
      </c>
      <c r="F650" s="1480">
        <v>2.5032657999999999</v>
      </c>
      <c r="G650" s="1480">
        <v>0</v>
      </c>
      <c r="H650" s="1480">
        <f t="shared" si="37"/>
        <v>2.5032657999999999</v>
      </c>
      <c r="I650" s="1480">
        <v>4.5199579999999999</v>
      </c>
      <c r="J650" s="1480">
        <v>0</v>
      </c>
      <c r="K650" s="1480"/>
      <c r="L650" s="1480"/>
      <c r="M650" s="1480">
        <f t="shared" si="38"/>
        <v>0</v>
      </c>
      <c r="N650" s="1480">
        <f t="shared" si="39"/>
        <v>7.0232238000000002</v>
      </c>
    </row>
    <row r="651" spans="1:14" ht="62" outlineLevel="1" x14ac:dyDescent="0.25">
      <c r="A651" s="1488">
        <v>10</v>
      </c>
      <c r="B651" s="1506" t="s">
        <v>2229</v>
      </c>
      <c r="C651" s="1488">
        <v>0</v>
      </c>
      <c r="D651" s="1413" t="s">
        <v>1873</v>
      </c>
      <c r="E651" s="560">
        <v>4.7</v>
      </c>
      <c r="F651" s="1480">
        <v>0</v>
      </c>
      <c r="G651" s="1480">
        <v>0</v>
      </c>
      <c r="H651" s="1480">
        <f t="shared" ref="H651:H674" si="40">F651-G651</f>
        <v>0</v>
      </c>
      <c r="I651" s="1480">
        <v>0.91373035999999996</v>
      </c>
      <c r="J651" s="1480">
        <v>0</v>
      </c>
      <c r="K651" s="1480"/>
      <c r="L651" s="1480"/>
      <c r="M651" s="1480">
        <f t="shared" ref="M651:M674" si="41">SUM(J651:L651)</f>
        <v>0</v>
      </c>
      <c r="N651" s="1480">
        <f t="shared" ref="N651:N674" si="42">H651+I651-M651</f>
        <v>0.91373035999999996</v>
      </c>
    </row>
    <row r="652" spans="1:14" ht="46.5" outlineLevel="1" x14ac:dyDescent="0.25">
      <c r="A652" s="1488">
        <v>11</v>
      </c>
      <c r="B652" s="1492" t="s">
        <v>2230</v>
      </c>
      <c r="C652" s="1488">
        <v>0</v>
      </c>
      <c r="D652" s="1413" t="s">
        <v>1873</v>
      </c>
      <c r="E652" s="560">
        <v>4.6024180000000001</v>
      </c>
      <c r="F652" s="1480">
        <v>0</v>
      </c>
      <c r="G652" s="1480">
        <v>0</v>
      </c>
      <c r="H652" s="1480">
        <f t="shared" si="40"/>
        <v>0</v>
      </c>
      <c r="I652" s="1480">
        <v>2.301418</v>
      </c>
      <c r="J652" s="1480">
        <v>0</v>
      </c>
      <c r="K652" s="1480"/>
      <c r="L652" s="1480"/>
      <c r="M652" s="1480">
        <f t="shared" si="41"/>
        <v>0</v>
      </c>
      <c r="N652" s="1480">
        <f t="shared" si="42"/>
        <v>2.301418</v>
      </c>
    </row>
    <row r="653" spans="1:14" ht="46.5" outlineLevel="1" x14ac:dyDescent="0.25">
      <c r="A653" s="1488">
        <v>12</v>
      </c>
      <c r="B653" s="1492" t="s">
        <v>2231</v>
      </c>
      <c r="C653" s="1488">
        <v>0</v>
      </c>
      <c r="D653" s="1413" t="s">
        <v>1873</v>
      </c>
      <c r="E653" s="560">
        <v>7.2510000000000003</v>
      </c>
      <c r="F653" s="1480">
        <v>0</v>
      </c>
      <c r="G653" s="1480">
        <v>0</v>
      </c>
      <c r="H653" s="1480">
        <f t="shared" si="40"/>
        <v>0</v>
      </c>
      <c r="I653" s="1480">
        <v>0</v>
      </c>
      <c r="J653" s="1480">
        <v>0</v>
      </c>
      <c r="K653" s="1480"/>
      <c r="L653" s="1480"/>
      <c r="M653" s="1480">
        <f t="shared" si="41"/>
        <v>0</v>
      </c>
      <c r="N653" s="1480">
        <f t="shared" si="42"/>
        <v>0</v>
      </c>
    </row>
    <row r="654" spans="1:14" ht="31" outlineLevel="1" x14ac:dyDescent="0.25">
      <c r="A654" s="1488">
        <v>14</v>
      </c>
      <c r="B654" s="1492" t="s">
        <v>2232</v>
      </c>
      <c r="C654" s="1488">
        <v>0</v>
      </c>
      <c r="D654" s="1413" t="s">
        <v>1873</v>
      </c>
      <c r="E654" s="560">
        <v>5.27</v>
      </c>
      <c r="F654" s="1480">
        <v>0</v>
      </c>
      <c r="G654" s="1480">
        <v>0</v>
      </c>
      <c r="H654" s="1480">
        <f t="shared" si="40"/>
        <v>0</v>
      </c>
      <c r="I654" s="1480">
        <v>0</v>
      </c>
      <c r="J654" s="1480">
        <v>0</v>
      </c>
      <c r="K654" s="1480"/>
      <c r="L654" s="1480"/>
      <c r="M654" s="1480">
        <f t="shared" si="41"/>
        <v>0</v>
      </c>
      <c r="N654" s="1480">
        <f t="shared" si="42"/>
        <v>0</v>
      </c>
    </row>
    <row r="655" spans="1:14" ht="62" outlineLevel="1" x14ac:dyDescent="0.25">
      <c r="A655" s="1488">
        <v>15</v>
      </c>
      <c r="B655" s="1492" t="s">
        <v>2233</v>
      </c>
      <c r="C655" s="1488">
        <v>0</v>
      </c>
      <c r="D655" s="1413" t="s">
        <v>1873</v>
      </c>
      <c r="E655" s="560">
        <v>5.61</v>
      </c>
      <c r="F655" s="1480">
        <v>0</v>
      </c>
      <c r="G655" s="1480">
        <v>0</v>
      </c>
      <c r="H655" s="1480">
        <f t="shared" si="40"/>
        <v>0</v>
      </c>
      <c r="I655" s="1480">
        <v>0</v>
      </c>
      <c r="J655" s="1480">
        <v>0</v>
      </c>
      <c r="K655" s="1480"/>
      <c r="L655" s="1480"/>
      <c r="M655" s="1480">
        <f t="shared" si="41"/>
        <v>0</v>
      </c>
      <c r="N655" s="1480">
        <f t="shared" si="42"/>
        <v>0</v>
      </c>
    </row>
    <row r="656" spans="1:14" ht="46.5" outlineLevel="1" x14ac:dyDescent="0.25">
      <c r="A656" s="1488">
        <v>16</v>
      </c>
      <c r="B656" s="1492" t="s">
        <v>2234</v>
      </c>
      <c r="C656" s="1488">
        <v>0</v>
      </c>
      <c r="D656" s="1413" t="s">
        <v>1873</v>
      </c>
      <c r="E656" s="560">
        <v>9.09</v>
      </c>
      <c r="F656" s="1480">
        <v>0</v>
      </c>
      <c r="G656" s="1480">
        <v>0</v>
      </c>
      <c r="H656" s="1480">
        <f t="shared" si="40"/>
        <v>0</v>
      </c>
      <c r="I656" s="1480">
        <v>0</v>
      </c>
      <c r="J656" s="1480">
        <v>0</v>
      </c>
      <c r="K656" s="1480"/>
      <c r="L656" s="1480"/>
      <c r="M656" s="1480">
        <f t="shared" si="41"/>
        <v>0</v>
      </c>
      <c r="N656" s="1480">
        <f t="shared" si="42"/>
        <v>0</v>
      </c>
    </row>
    <row r="657" spans="1:14" ht="46.5" outlineLevel="1" x14ac:dyDescent="0.25">
      <c r="A657" s="1488">
        <v>17</v>
      </c>
      <c r="B657" s="1492" t="s">
        <v>2235</v>
      </c>
      <c r="C657" s="1488">
        <v>0</v>
      </c>
      <c r="D657" s="1413" t="s">
        <v>1873</v>
      </c>
      <c r="E657" s="560">
        <v>9.9499999999999993</v>
      </c>
      <c r="F657" s="1480">
        <v>0</v>
      </c>
      <c r="G657" s="1480">
        <v>0</v>
      </c>
      <c r="H657" s="1480">
        <f t="shared" si="40"/>
        <v>0</v>
      </c>
      <c r="I657" s="1480">
        <v>0</v>
      </c>
      <c r="J657" s="1480">
        <v>0</v>
      </c>
      <c r="K657" s="1480"/>
      <c r="L657" s="1480"/>
      <c r="M657" s="1480">
        <f t="shared" si="41"/>
        <v>0</v>
      </c>
      <c r="N657" s="1480">
        <f t="shared" si="42"/>
        <v>0</v>
      </c>
    </row>
    <row r="658" spans="1:14" ht="46.5" outlineLevel="1" x14ac:dyDescent="0.25">
      <c r="A658" s="1488">
        <v>18</v>
      </c>
      <c r="B658" s="1492" t="s">
        <v>2236</v>
      </c>
      <c r="C658" s="1488">
        <v>0</v>
      </c>
      <c r="D658" s="1413" t="s">
        <v>1873</v>
      </c>
      <c r="E658" s="560">
        <v>4.9000000000000004</v>
      </c>
      <c r="F658" s="1480">
        <v>0</v>
      </c>
      <c r="G658" s="1480">
        <v>0</v>
      </c>
      <c r="H658" s="1480">
        <f t="shared" si="40"/>
        <v>0</v>
      </c>
      <c r="I658" s="1480">
        <v>0</v>
      </c>
      <c r="J658" s="1480">
        <v>0</v>
      </c>
      <c r="K658" s="1480"/>
      <c r="L658" s="1480"/>
      <c r="M658" s="1480">
        <f t="shared" si="41"/>
        <v>0</v>
      </c>
      <c r="N658" s="1480">
        <f t="shared" si="42"/>
        <v>0</v>
      </c>
    </row>
    <row r="659" spans="1:14" ht="46.5" outlineLevel="1" x14ac:dyDescent="0.25">
      <c r="A659" s="1488">
        <v>19</v>
      </c>
      <c r="B659" s="1492" t="s">
        <v>2237</v>
      </c>
      <c r="C659" s="1488">
        <v>0</v>
      </c>
      <c r="D659" s="1413" t="s">
        <v>1873</v>
      </c>
      <c r="E659" s="560">
        <v>3.66</v>
      </c>
      <c r="F659" s="1480">
        <v>0</v>
      </c>
      <c r="G659" s="1480">
        <v>0</v>
      </c>
      <c r="H659" s="1480">
        <f t="shared" si="40"/>
        <v>0</v>
      </c>
      <c r="I659" s="1480">
        <v>0</v>
      </c>
      <c r="J659" s="1480">
        <v>0</v>
      </c>
      <c r="K659" s="1480"/>
      <c r="L659" s="1480"/>
      <c r="M659" s="1480">
        <f t="shared" si="41"/>
        <v>0</v>
      </c>
      <c r="N659" s="1480">
        <f t="shared" si="42"/>
        <v>0</v>
      </c>
    </row>
    <row r="660" spans="1:14" ht="31" outlineLevel="1" x14ac:dyDescent="0.25">
      <c r="A660" s="1488">
        <v>20</v>
      </c>
      <c r="B660" s="1492" t="s">
        <v>2238</v>
      </c>
      <c r="C660" s="1488">
        <v>0</v>
      </c>
      <c r="D660" s="1413" t="s">
        <v>1873</v>
      </c>
      <c r="E660" s="560">
        <v>4.37</v>
      </c>
      <c r="F660" s="1480">
        <v>0</v>
      </c>
      <c r="G660" s="1480">
        <v>0</v>
      </c>
      <c r="H660" s="1480">
        <f t="shared" si="40"/>
        <v>0</v>
      </c>
      <c r="I660" s="1480">
        <v>0</v>
      </c>
      <c r="J660" s="1480">
        <v>0</v>
      </c>
      <c r="K660" s="1480"/>
      <c r="L660" s="1480"/>
      <c r="M660" s="1480">
        <f t="shared" si="41"/>
        <v>0</v>
      </c>
      <c r="N660" s="1480">
        <f t="shared" si="42"/>
        <v>0</v>
      </c>
    </row>
    <row r="661" spans="1:14" ht="77.5" outlineLevel="1" x14ac:dyDescent="0.25">
      <c r="A661" s="1488">
        <v>21</v>
      </c>
      <c r="B661" s="1492" t="s">
        <v>2239</v>
      </c>
      <c r="C661" s="1488">
        <v>0</v>
      </c>
      <c r="D661" s="1413" t="s">
        <v>1873</v>
      </c>
      <c r="E661" s="560">
        <v>2.2400000000000002</v>
      </c>
      <c r="F661" s="1480">
        <v>0</v>
      </c>
      <c r="G661" s="1480">
        <v>0</v>
      </c>
      <c r="H661" s="1480">
        <f t="shared" si="40"/>
        <v>0</v>
      </c>
      <c r="I661" s="1480">
        <v>0</v>
      </c>
      <c r="J661" s="1480">
        <v>0</v>
      </c>
      <c r="K661" s="1480"/>
      <c r="L661" s="1480"/>
      <c r="M661" s="1480">
        <f t="shared" si="41"/>
        <v>0</v>
      </c>
      <c r="N661" s="1480">
        <f t="shared" si="42"/>
        <v>0</v>
      </c>
    </row>
    <row r="662" spans="1:14" ht="31" outlineLevel="1" x14ac:dyDescent="0.25">
      <c r="A662" s="1488">
        <v>22</v>
      </c>
      <c r="B662" s="1492" t="s">
        <v>2240</v>
      </c>
      <c r="C662" s="1488">
        <v>0</v>
      </c>
      <c r="D662" s="1413" t="s">
        <v>1873</v>
      </c>
      <c r="E662" s="560">
        <v>1.6</v>
      </c>
      <c r="F662" s="1480">
        <v>0</v>
      </c>
      <c r="G662" s="1480">
        <v>0</v>
      </c>
      <c r="H662" s="1480">
        <f t="shared" si="40"/>
        <v>0</v>
      </c>
      <c r="I662" s="1480">
        <v>0</v>
      </c>
      <c r="J662" s="1480">
        <v>0</v>
      </c>
      <c r="K662" s="1480"/>
      <c r="L662" s="1480"/>
      <c r="M662" s="1480">
        <f t="shared" si="41"/>
        <v>0</v>
      </c>
      <c r="N662" s="1480">
        <f t="shared" si="42"/>
        <v>0</v>
      </c>
    </row>
    <row r="663" spans="1:14" ht="31" outlineLevel="1" x14ac:dyDescent="0.25">
      <c r="A663" s="1488">
        <v>23</v>
      </c>
      <c r="B663" s="1492" t="s">
        <v>2241</v>
      </c>
      <c r="C663" s="1488">
        <v>0</v>
      </c>
      <c r="D663" s="1413" t="s">
        <v>1873</v>
      </c>
      <c r="E663" s="560">
        <v>9.01</v>
      </c>
      <c r="F663" s="1480">
        <v>0</v>
      </c>
      <c r="G663" s="1480">
        <v>0</v>
      </c>
      <c r="H663" s="1480">
        <f t="shared" si="40"/>
        <v>0</v>
      </c>
      <c r="I663" s="1480">
        <v>0</v>
      </c>
      <c r="J663" s="1480">
        <v>0</v>
      </c>
      <c r="K663" s="1480"/>
      <c r="L663" s="1480"/>
      <c r="M663" s="1480">
        <f t="shared" si="41"/>
        <v>0</v>
      </c>
      <c r="N663" s="1480">
        <f t="shared" si="42"/>
        <v>0</v>
      </c>
    </row>
    <row r="664" spans="1:14" ht="46.5" outlineLevel="1" x14ac:dyDescent="0.25">
      <c r="A664" s="1488">
        <v>24</v>
      </c>
      <c r="B664" s="1492" t="s">
        <v>2242</v>
      </c>
      <c r="C664" s="1488">
        <v>0</v>
      </c>
      <c r="D664" s="1413" t="s">
        <v>1873</v>
      </c>
      <c r="E664" s="560">
        <v>2.57</v>
      </c>
      <c r="F664" s="1480">
        <v>0</v>
      </c>
      <c r="G664" s="1480">
        <v>0</v>
      </c>
      <c r="H664" s="1480">
        <f t="shared" si="40"/>
        <v>0</v>
      </c>
      <c r="I664" s="1480">
        <v>0</v>
      </c>
      <c r="J664" s="1480">
        <v>0</v>
      </c>
      <c r="K664" s="1480"/>
      <c r="L664" s="1480"/>
      <c r="M664" s="1480">
        <f t="shared" si="41"/>
        <v>0</v>
      </c>
      <c r="N664" s="1480">
        <f t="shared" si="42"/>
        <v>0</v>
      </c>
    </row>
    <row r="665" spans="1:14" ht="31" outlineLevel="1" x14ac:dyDescent="0.25">
      <c r="A665" s="1488">
        <v>25</v>
      </c>
      <c r="B665" s="1492" t="s">
        <v>2243</v>
      </c>
      <c r="C665" s="1488">
        <v>0</v>
      </c>
      <c r="D665" s="1413" t="s">
        <v>1873</v>
      </c>
      <c r="E665" s="560">
        <v>4.2</v>
      </c>
      <c r="F665" s="1480">
        <v>0</v>
      </c>
      <c r="G665" s="1480">
        <v>0</v>
      </c>
      <c r="H665" s="1480">
        <f t="shared" si="40"/>
        <v>0</v>
      </c>
      <c r="I665" s="1480">
        <v>0</v>
      </c>
      <c r="J665" s="1480">
        <v>0</v>
      </c>
      <c r="K665" s="1480"/>
      <c r="L665" s="1480"/>
      <c r="M665" s="1480">
        <f t="shared" si="41"/>
        <v>0</v>
      </c>
      <c r="N665" s="1480">
        <f t="shared" si="42"/>
        <v>0</v>
      </c>
    </row>
    <row r="666" spans="1:14" ht="77.5" outlineLevel="1" x14ac:dyDescent="0.25">
      <c r="A666" s="1488">
        <v>26</v>
      </c>
      <c r="B666" s="1492" t="s">
        <v>2244</v>
      </c>
      <c r="C666" s="1488">
        <v>0</v>
      </c>
      <c r="D666" s="1413" t="s">
        <v>1873</v>
      </c>
      <c r="E666" s="560">
        <v>2.1</v>
      </c>
      <c r="F666" s="1480">
        <v>0</v>
      </c>
      <c r="G666" s="1480">
        <v>0</v>
      </c>
      <c r="H666" s="1480">
        <f t="shared" si="40"/>
        <v>0</v>
      </c>
      <c r="I666" s="1480">
        <v>0</v>
      </c>
      <c r="J666" s="1480">
        <v>0</v>
      </c>
      <c r="K666" s="1480"/>
      <c r="L666" s="1480"/>
      <c r="M666" s="1480">
        <f t="shared" si="41"/>
        <v>0</v>
      </c>
      <c r="N666" s="1480">
        <f t="shared" si="42"/>
        <v>0</v>
      </c>
    </row>
    <row r="667" spans="1:14" ht="62" outlineLevel="1" x14ac:dyDescent="0.25">
      <c r="A667" s="1488">
        <v>27</v>
      </c>
      <c r="B667" s="1492" t="s">
        <v>2245</v>
      </c>
      <c r="C667" s="1488">
        <v>0</v>
      </c>
      <c r="D667" s="1413" t="s">
        <v>1873</v>
      </c>
      <c r="E667" s="560">
        <v>4.55</v>
      </c>
      <c r="F667" s="1480">
        <v>0</v>
      </c>
      <c r="G667" s="1480">
        <v>0</v>
      </c>
      <c r="H667" s="1480">
        <f t="shared" si="40"/>
        <v>0</v>
      </c>
      <c r="I667" s="1480">
        <v>0</v>
      </c>
      <c r="J667" s="1480">
        <v>0</v>
      </c>
      <c r="K667" s="1480"/>
      <c r="L667" s="1480"/>
      <c r="M667" s="1480">
        <f t="shared" si="41"/>
        <v>0</v>
      </c>
      <c r="N667" s="1480">
        <f t="shared" si="42"/>
        <v>0</v>
      </c>
    </row>
    <row r="668" spans="1:14" ht="62" outlineLevel="1" x14ac:dyDescent="0.25">
      <c r="A668" s="1488">
        <v>28</v>
      </c>
      <c r="B668" s="1492" t="s">
        <v>2246</v>
      </c>
      <c r="C668" s="1488">
        <v>0</v>
      </c>
      <c r="D668" s="1413" t="s">
        <v>1873</v>
      </c>
      <c r="E668" s="560">
        <v>0.97</v>
      </c>
      <c r="F668" s="1480">
        <v>0</v>
      </c>
      <c r="G668" s="1480">
        <v>0</v>
      </c>
      <c r="H668" s="1480">
        <f t="shared" si="40"/>
        <v>0</v>
      </c>
      <c r="I668" s="1480">
        <v>0</v>
      </c>
      <c r="J668" s="1480">
        <v>0</v>
      </c>
      <c r="K668" s="1480"/>
      <c r="L668" s="1480"/>
      <c r="M668" s="1480">
        <f t="shared" si="41"/>
        <v>0</v>
      </c>
      <c r="N668" s="1480">
        <f t="shared" si="42"/>
        <v>0</v>
      </c>
    </row>
    <row r="669" spans="1:14" ht="62" outlineLevel="1" x14ac:dyDescent="0.25">
      <c r="A669" s="1488">
        <v>29</v>
      </c>
      <c r="B669" s="1492" t="s">
        <v>2247</v>
      </c>
      <c r="C669" s="1488">
        <v>0</v>
      </c>
      <c r="D669" s="1413" t="s">
        <v>1873</v>
      </c>
      <c r="E669" s="560">
        <v>7.89</v>
      </c>
      <c r="F669" s="1480">
        <v>0</v>
      </c>
      <c r="G669" s="1480">
        <v>0</v>
      </c>
      <c r="H669" s="1480">
        <f t="shared" si="40"/>
        <v>0</v>
      </c>
      <c r="I669" s="1480">
        <v>0</v>
      </c>
      <c r="J669" s="1480">
        <v>0</v>
      </c>
      <c r="K669" s="1480"/>
      <c r="L669" s="1480"/>
      <c r="M669" s="1480">
        <f t="shared" si="41"/>
        <v>0</v>
      </c>
      <c r="N669" s="1480">
        <f t="shared" si="42"/>
        <v>0</v>
      </c>
    </row>
    <row r="670" spans="1:14" ht="46.5" outlineLevel="1" x14ac:dyDescent="0.25">
      <c r="A670" s="1488">
        <v>30</v>
      </c>
      <c r="B670" s="1492" t="s">
        <v>2248</v>
      </c>
      <c r="C670" s="1488">
        <v>0</v>
      </c>
      <c r="D670" s="1413" t="s">
        <v>1873</v>
      </c>
      <c r="E670" s="560">
        <v>5.44</v>
      </c>
      <c r="F670" s="1480">
        <v>0</v>
      </c>
      <c r="G670" s="1480">
        <v>0</v>
      </c>
      <c r="H670" s="1480">
        <f t="shared" si="40"/>
        <v>0</v>
      </c>
      <c r="I670" s="1480">
        <v>0</v>
      </c>
      <c r="J670" s="1480">
        <v>0</v>
      </c>
      <c r="K670" s="1480"/>
      <c r="L670" s="1480"/>
      <c r="M670" s="1480">
        <f t="shared" si="41"/>
        <v>0</v>
      </c>
      <c r="N670" s="1480">
        <f t="shared" si="42"/>
        <v>0</v>
      </c>
    </row>
    <row r="671" spans="1:14" ht="15.5" outlineLevel="1" x14ac:dyDescent="0.25">
      <c r="A671" s="1488">
        <v>31</v>
      </c>
      <c r="B671" s="1492" t="s">
        <v>2249</v>
      </c>
      <c r="C671" s="1488">
        <v>0</v>
      </c>
      <c r="D671" s="1413" t="s">
        <v>1873</v>
      </c>
      <c r="E671" s="560">
        <v>1.3756576</v>
      </c>
      <c r="F671" s="1480">
        <v>0</v>
      </c>
      <c r="G671" s="1480">
        <v>0</v>
      </c>
      <c r="H671" s="1480">
        <f t="shared" si="40"/>
        <v>0</v>
      </c>
      <c r="I671" s="1480">
        <v>0</v>
      </c>
      <c r="J671" s="1480">
        <v>0</v>
      </c>
      <c r="K671" s="1480"/>
      <c r="L671" s="1480"/>
      <c r="M671" s="1480">
        <f t="shared" si="41"/>
        <v>0</v>
      </c>
      <c r="N671" s="1480">
        <f t="shared" si="42"/>
        <v>0</v>
      </c>
    </row>
    <row r="672" spans="1:14" ht="15.5" outlineLevel="1" x14ac:dyDescent="0.25">
      <c r="A672" s="1488">
        <v>32</v>
      </c>
      <c r="B672" s="1492" t="s">
        <v>2250</v>
      </c>
      <c r="C672" s="1488">
        <v>0</v>
      </c>
      <c r="D672" s="1413" t="s">
        <v>1873</v>
      </c>
      <c r="E672" s="560">
        <v>0.82545579999999996</v>
      </c>
      <c r="F672" s="1480">
        <v>0</v>
      </c>
      <c r="G672" s="1480">
        <v>0</v>
      </c>
      <c r="H672" s="1480">
        <f t="shared" si="40"/>
        <v>0</v>
      </c>
      <c r="I672" s="1480">
        <v>0</v>
      </c>
      <c r="J672" s="1480">
        <v>0</v>
      </c>
      <c r="K672" s="1480"/>
      <c r="L672" s="1480"/>
      <c r="M672" s="1480">
        <f t="shared" si="41"/>
        <v>0</v>
      </c>
      <c r="N672" s="1480">
        <f t="shared" si="42"/>
        <v>0</v>
      </c>
    </row>
    <row r="673" spans="1:16" ht="31" outlineLevel="1" x14ac:dyDescent="0.25">
      <c r="A673" s="1488">
        <v>33</v>
      </c>
      <c r="B673" s="1492" t="s">
        <v>2251</v>
      </c>
      <c r="C673" s="1488">
        <v>0</v>
      </c>
      <c r="D673" s="1413" t="s">
        <v>1873</v>
      </c>
      <c r="E673" s="560">
        <v>10.3</v>
      </c>
      <c r="F673" s="1480">
        <v>0</v>
      </c>
      <c r="G673" s="1480">
        <v>0</v>
      </c>
      <c r="H673" s="1480">
        <f t="shared" si="40"/>
        <v>0</v>
      </c>
      <c r="I673" s="1480">
        <v>0</v>
      </c>
      <c r="J673" s="1480">
        <v>0</v>
      </c>
      <c r="K673" s="1480"/>
      <c r="L673" s="1480"/>
      <c r="M673" s="1480">
        <f t="shared" si="41"/>
        <v>0</v>
      </c>
      <c r="N673" s="1480">
        <f t="shared" si="42"/>
        <v>0</v>
      </c>
    </row>
    <row r="674" spans="1:16" ht="62.5" outlineLevel="1" thickBot="1" x14ac:dyDescent="0.3">
      <c r="A674" s="1488">
        <v>34</v>
      </c>
      <c r="B674" s="1492" t="s">
        <v>2252</v>
      </c>
      <c r="C674" s="1488">
        <v>0</v>
      </c>
      <c r="D674" s="1413" t="s">
        <v>1873</v>
      </c>
      <c r="E674" s="560">
        <v>5.62</v>
      </c>
      <c r="F674" s="1480">
        <v>0</v>
      </c>
      <c r="G674" s="1480">
        <v>0</v>
      </c>
      <c r="H674" s="1480">
        <f t="shared" si="40"/>
        <v>0</v>
      </c>
      <c r="I674" s="1480">
        <v>0</v>
      </c>
      <c r="J674" s="1480">
        <v>0</v>
      </c>
      <c r="K674" s="1480"/>
      <c r="L674" s="1480"/>
      <c r="M674" s="1480">
        <f t="shared" si="41"/>
        <v>0</v>
      </c>
      <c r="N674" s="1480">
        <f t="shared" si="42"/>
        <v>0</v>
      </c>
    </row>
    <row r="675" spans="1:16" s="570" customFormat="1" ht="15.5" thickBot="1" x14ac:dyDescent="0.3">
      <c r="A675" s="1428"/>
      <c r="B675" s="1429" t="s">
        <v>271</v>
      </c>
      <c r="C675" s="1430"/>
      <c r="D675" s="1431"/>
      <c r="E675" s="1507"/>
      <c r="F675" s="1507">
        <f t="shared" ref="F675:N675" si="43">SUM(F10:F668)</f>
        <v>878.58373883255217</v>
      </c>
      <c r="G675" s="1507">
        <f t="shared" si="43"/>
        <v>849.32617722855196</v>
      </c>
      <c r="H675" s="1507">
        <f t="shared" si="43"/>
        <v>29.257561603999996</v>
      </c>
      <c r="I675" s="1507">
        <f t="shared" si="43"/>
        <v>131.05613579299998</v>
      </c>
      <c r="J675" s="1507">
        <f t="shared" si="43"/>
        <v>117.32257103399999</v>
      </c>
      <c r="K675" s="1507">
        <f t="shared" si="43"/>
        <v>0</v>
      </c>
      <c r="L675" s="1507">
        <f t="shared" si="43"/>
        <v>0</v>
      </c>
      <c r="M675" s="1507">
        <f t="shared" si="43"/>
        <v>117.32257103399999</v>
      </c>
      <c r="N675" s="1507">
        <f t="shared" si="43"/>
        <v>42.991126362999978</v>
      </c>
    </row>
    <row r="677" spans="1:16" x14ac:dyDescent="0.25">
      <c r="A677" s="1419"/>
      <c r="B677" s="569" t="s">
        <v>507</v>
      </c>
      <c r="C677" s="1474"/>
      <c r="D677" s="1475"/>
      <c r="E677" s="320"/>
      <c r="F677" s="320"/>
      <c r="G677" s="320"/>
      <c r="H677" s="320"/>
      <c r="I677" s="320"/>
      <c r="J677" s="320"/>
      <c r="K677" s="320"/>
      <c r="L677" s="320"/>
      <c r="M677" s="320"/>
      <c r="N677" s="320"/>
    </row>
    <row r="678" spans="1:16" outlineLevel="1" x14ac:dyDescent="0.25">
      <c r="A678" s="131"/>
      <c r="B678" s="1389" t="str">
        <f t="shared" ref="B678:E693" si="44">B8</f>
        <v>a) DPR Schemes</v>
      </c>
      <c r="C678" s="166"/>
      <c r="D678" s="166"/>
      <c r="E678" s="320"/>
      <c r="F678" s="320"/>
      <c r="G678" s="320"/>
      <c r="H678" s="320"/>
      <c r="I678" s="320"/>
      <c r="J678" s="320"/>
      <c r="K678" s="320"/>
      <c r="L678" s="320"/>
      <c r="M678" s="320"/>
      <c r="N678" s="320"/>
    </row>
    <row r="679" spans="1:16" outlineLevel="1" x14ac:dyDescent="0.25">
      <c r="A679" s="131"/>
      <c r="B679" s="1476" t="str">
        <f t="shared" si="44"/>
        <v>(i) In Principally Approved By MERC</v>
      </c>
      <c r="C679" s="166"/>
      <c r="D679" s="166"/>
      <c r="E679" s="320"/>
      <c r="F679" s="320"/>
      <c r="G679" s="320"/>
      <c r="H679" s="320"/>
      <c r="I679" s="320"/>
      <c r="J679" s="320"/>
      <c r="K679" s="320"/>
      <c r="L679" s="320"/>
      <c r="M679" s="320"/>
      <c r="N679" s="320"/>
    </row>
    <row r="680" spans="1:16" ht="15.5" outlineLevel="1" x14ac:dyDescent="0.25">
      <c r="A680" s="1477">
        <f t="shared" ref="A680:E695" si="45">A10</f>
        <v>1</v>
      </c>
      <c r="B680" s="1478" t="str">
        <f t="shared" si="44"/>
        <v>Boiler &amp; Turbine Improvement</v>
      </c>
      <c r="C680" s="1477" t="str">
        <f t="shared" si="44"/>
        <v>MERC/CAPEX/20102011/01755</v>
      </c>
      <c r="D680" s="1479">
        <f t="shared" si="44"/>
        <v>40507</v>
      </c>
      <c r="E680" s="1383">
        <f t="shared" si="44"/>
        <v>181.82700000000003</v>
      </c>
      <c r="F680" s="1480">
        <f t="shared" ref="F680:F743" si="46">F10+I10</f>
        <v>0</v>
      </c>
      <c r="G680" s="1480">
        <f t="shared" ref="G680:G743" si="47">G10+M10</f>
        <v>0</v>
      </c>
      <c r="H680" s="1480">
        <f>F680-G680</f>
        <v>0</v>
      </c>
      <c r="I680" s="1480">
        <v>0</v>
      </c>
      <c r="J680" s="1480">
        <v>0</v>
      </c>
      <c r="K680" s="1480"/>
      <c r="L680" s="1480"/>
      <c r="M680" s="1480">
        <f>SUM(J680:L680)</f>
        <v>0</v>
      </c>
      <c r="N680" s="1480">
        <f>H680+I680-M680</f>
        <v>0</v>
      </c>
      <c r="O680" s="1481">
        <f t="shared" ref="O680:O743" si="48">MAX(0,IF(M680=0,0,IF(G680+M680&lt;E680,M680,E680-G680)))</f>
        <v>0</v>
      </c>
      <c r="P680" s="1427">
        <f t="shared" ref="P680:P743" si="49">M680-O680</f>
        <v>0</v>
      </c>
    </row>
    <row r="681" spans="1:16" ht="31" outlineLevel="1" x14ac:dyDescent="0.25">
      <c r="A681" s="1482">
        <f t="shared" si="45"/>
        <v>1.1000000000000001</v>
      </c>
      <c r="B681" s="1483" t="str">
        <f t="shared" si="44"/>
        <v>Installation of Sonic soot blowers for unit 5, 6 and  7 - Sonic soot blowers will be installed in LTSH and Eco zones (48 nos)</v>
      </c>
      <c r="C681" s="1482" t="str">
        <f t="shared" si="44"/>
        <v>MERC/CAPEX/20102011/01755</v>
      </c>
      <c r="D681" s="1390">
        <f t="shared" si="44"/>
        <v>40507</v>
      </c>
      <c r="E681" s="560">
        <f t="shared" si="44"/>
        <v>1.06</v>
      </c>
      <c r="F681" s="1508">
        <f t="shared" si="46"/>
        <v>0.44763439999999999</v>
      </c>
      <c r="G681" s="1508">
        <f t="shared" si="47"/>
        <v>0.44763439999999999</v>
      </c>
      <c r="H681" s="1508">
        <f t="shared" ref="H681:H744" si="50">F681-G681</f>
        <v>0</v>
      </c>
      <c r="I681" s="1480">
        <v>0</v>
      </c>
      <c r="J681" s="1480">
        <v>0</v>
      </c>
      <c r="K681" s="1508"/>
      <c r="L681" s="1508"/>
      <c r="M681" s="1509">
        <f t="shared" ref="M681:M744" si="51">SUM(J681:L681)</f>
        <v>0</v>
      </c>
      <c r="N681" s="1508">
        <f t="shared" ref="N681:N744" si="52">H681+I681-M681</f>
        <v>0</v>
      </c>
      <c r="O681" s="1481">
        <f t="shared" si="48"/>
        <v>0</v>
      </c>
      <c r="P681" s="1427">
        <f t="shared" si="49"/>
        <v>0</v>
      </c>
    </row>
    <row r="682" spans="1:16" ht="46.5" outlineLevel="1" x14ac:dyDescent="0.25">
      <c r="A682" s="1482">
        <f t="shared" si="45"/>
        <v>1.2</v>
      </c>
      <c r="B682" s="1483" t="str">
        <f t="shared" si="44"/>
        <v>Installation of smart soot blower system for unit 5 and 6 boiler (Smart cannons- 8 nos, sealing and cooling air fans – 8 nos, heat flux sensors- 32 nos, HP pump – 1 no</v>
      </c>
      <c r="C682" s="1482" t="str">
        <f t="shared" si="44"/>
        <v>MERC/CAPEX/20102011/01755</v>
      </c>
      <c r="D682" s="1390">
        <f t="shared" si="44"/>
        <v>40507</v>
      </c>
      <c r="E682" s="560">
        <f t="shared" si="44"/>
        <v>11.8</v>
      </c>
      <c r="F682" s="1508">
        <f t="shared" si="46"/>
        <v>0</v>
      </c>
      <c r="G682" s="1508">
        <f t="shared" si="47"/>
        <v>0</v>
      </c>
      <c r="H682" s="1508">
        <f t="shared" si="50"/>
        <v>0</v>
      </c>
      <c r="I682" s="1480">
        <v>0</v>
      </c>
      <c r="J682" s="1480">
        <v>0</v>
      </c>
      <c r="K682" s="1508"/>
      <c r="L682" s="1508"/>
      <c r="M682" s="1509">
        <f t="shared" si="51"/>
        <v>0</v>
      </c>
      <c r="N682" s="1508">
        <f t="shared" si="52"/>
        <v>0</v>
      </c>
      <c r="O682" s="1481">
        <f t="shared" si="48"/>
        <v>0</v>
      </c>
      <c r="P682" s="1427">
        <f t="shared" si="49"/>
        <v>0</v>
      </c>
    </row>
    <row r="683" spans="1:16" ht="62" outlineLevel="1" x14ac:dyDescent="0.25">
      <c r="A683" s="1482">
        <f t="shared" si="45"/>
        <v>1.3</v>
      </c>
      <c r="B683" s="1483" t="str">
        <f t="shared" si="44"/>
        <v>Total Replacement of boiler skin and air duct insulation of unit 3 to 7 (Ribbed aluminium cladding – 2000 m2, GI cladding, U bonded rock wool mattresses 100 mm thick )(consists of two schemes)</v>
      </c>
      <c r="C683" s="1482" t="str">
        <f t="shared" si="44"/>
        <v>MERC/CAPEX/20102011/01755</v>
      </c>
      <c r="D683" s="1390">
        <f t="shared" si="44"/>
        <v>40507</v>
      </c>
      <c r="E683" s="560">
        <f t="shared" si="44"/>
        <v>12.3</v>
      </c>
      <c r="F683" s="1508">
        <f t="shared" si="46"/>
        <v>10.016599048</v>
      </c>
      <c r="G683" s="1508">
        <f t="shared" si="47"/>
        <v>10.016599048000002</v>
      </c>
      <c r="H683" s="1508">
        <f t="shared" si="50"/>
        <v>0</v>
      </c>
      <c r="I683" s="1480">
        <v>0</v>
      </c>
      <c r="J683" s="1480">
        <v>0</v>
      </c>
      <c r="K683" s="1508"/>
      <c r="L683" s="1508"/>
      <c r="M683" s="1509">
        <f t="shared" si="51"/>
        <v>0</v>
      </c>
      <c r="N683" s="1508">
        <f t="shared" si="52"/>
        <v>0</v>
      </c>
      <c r="O683" s="1481">
        <f t="shared" si="48"/>
        <v>0</v>
      </c>
      <c r="P683" s="1427">
        <f t="shared" si="49"/>
        <v>0</v>
      </c>
    </row>
    <row r="684" spans="1:16" ht="77.5" outlineLevel="1" x14ac:dyDescent="0.25">
      <c r="A684" s="1482">
        <f t="shared" si="45"/>
        <v>1.4</v>
      </c>
      <c r="B684" s="1483" t="str">
        <f t="shared" si="44"/>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684" s="1482" t="str">
        <f t="shared" si="44"/>
        <v>MERC/CAPEX/20102011/01755</v>
      </c>
      <c r="D684" s="1390">
        <f t="shared" si="44"/>
        <v>40507</v>
      </c>
      <c r="E684" s="560">
        <f t="shared" si="44"/>
        <v>7.52</v>
      </c>
      <c r="F684" s="1508">
        <f t="shared" si="46"/>
        <v>3.8601695880000002</v>
      </c>
      <c r="G684" s="1508">
        <f t="shared" si="47"/>
        <v>3.8601695880000002</v>
      </c>
      <c r="H684" s="1508">
        <f t="shared" si="50"/>
        <v>0</v>
      </c>
      <c r="I684" s="1480">
        <v>0</v>
      </c>
      <c r="J684" s="1480">
        <v>0</v>
      </c>
      <c r="K684" s="1508"/>
      <c r="L684" s="1508"/>
      <c r="M684" s="1509">
        <f t="shared" si="51"/>
        <v>0</v>
      </c>
      <c r="N684" s="1508">
        <f t="shared" si="52"/>
        <v>0</v>
      </c>
      <c r="O684" s="1481">
        <f t="shared" si="48"/>
        <v>0</v>
      </c>
      <c r="P684" s="1427">
        <f t="shared" si="49"/>
        <v>0</v>
      </c>
    </row>
    <row r="685" spans="1:16" ht="46.5" outlineLevel="1" x14ac:dyDescent="0.25">
      <c r="A685" s="1482">
        <f t="shared" si="45"/>
        <v>1.5</v>
      </c>
      <c r="B685" s="1483" t="str">
        <f t="shared" si="44"/>
        <v>Replacement of ECO coils with gas velocity profiles and erosion control devices for Unit 1 to 6 (U7 middle eco- 69 assemblies, U5&amp;6 middle and lower eco- 65 assemblies each)</v>
      </c>
      <c r="C685" s="1482" t="str">
        <f t="shared" si="44"/>
        <v>MERC/CAPEX/20102011/01755</v>
      </c>
      <c r="D685" s="1390">
        <f t="shared" si="44"/>
        <v>40507</v>
      </c>
      <c r="E685" s="560">
        <f t="shared" si="44"/>
        <v>43.2</v>
      </c>
      <c r="F685" s="1508">
        <f t="shared" si="46"/>
        <v>56.159367274552196</v>
      </c>
      <c r="G685" s="1508">
        <f t="shared" si="47"/>
        <v>56.159367274552196</v>
      </c>
      <c r="H685" s="1508">
        <f t="shared" si="50"/>
        <v>0</v>
      </c>
      <c r="I685" s="1480">
        <v>0</v>
      </c>
      <c r="J685" s="1480">
        <v>0</v>
      </c>
      <c r="K685" s="1508"/>
      <c r="L685" s="1508"/>
      <c r="M685" s="1509">
        <f t="shared" si="51"/>
        <v>0</v>
      </c>
      <c r="N685" s="1508">
        <f t="shared" si="52"/>
        <v>0</v>
      </c>
      <c r="O685" s="1481">
        <f t="shared" si="48"/>
        <v>0</v>
      </c>
      <c r="P685" s="1427">
        <f t="shared" si="49"/>
        <v>0</v>
      </c>
    </row>
    <row r="686" spans="1:16" ht="46.5" outlineLevel="1" x14ac:dyDescent="0.25">
      <c r="A686" s="1482">
        <f t="shared" si="45"/>
        <v>1.6</v>
      </c>
      <c r="B686" s="1483" t="str">
        <f t="shared" si="44"/>
        <v>Replacement of LTSH coils with improved tube materials, gas velocity profiles and erosion control devices for unit 3 to 7 (U5&amp;6 LTSH terminal tubes – 58 assemblies)</v>
      </c>
      <c r="C686" s="1482" t="str">
        <f t="shared" si="44"/>
        <v>MERC/CAPEX/20102011/01755</v>
      </c>
      <c r="D686" s="1390">
        <f t="shared" si="44"/>
        <v>40507</v>
      </c>
      <c r="E686" s="560">
        <f t="shared" si="44"/>
        <v>23.4</v>
      </c>
      <c r="F686" s="1508">
        <f t="shared" si="46"/>
        <v>12.917271588999998</v>
      </c>
      <c r="G686" s="1508">
        <f t="shared" si="47"/>
        <v>12.917271589</v>
      </c>
      <c r="H686" s="1508">
        <f t="shared" si="50"/>
        <v>0</v>
      </c>
      <c r="I686" s="1480">
        <v>0</v>
      </c>
      <c r="J686" s="1480">
        <v>0</v>
      </c>
      <c r="K686" s="1508"/>
      <c r="L686" s="1508"/>
      <c r="M686" s="1509">
        <f t="shared" si="51"/>
        <v>0</v>
      </c>
      <c r="N686" s="1508">
        <f t="shared" si="52"/>
        <v>0</v>
      </c>
      <c r="O686" s="1481">
        <f t="shared" si="48"/>
        <v>0</v>
      </c>
      <c r="P686" s="1427">
        <f t="shared" si="49"/>
        <v>0</v>
      </c>
    </row>
    <row r="687" spans="1:16" ht="31" outlineLevel="1" x14ac:dyDescent="0.25">
      <c r="A687" s="1482">
        <f t="shared" si="45"/>
        <v>1.7</v>
      </c>
      <c r="B687" s="1483" t="str">
        <f t="shared" si="44"/>
        <v>Replacement of RH platens for Unit 5 &amp; 6 (unit 5- 46 coils, unit 6- 28 coils)</v>
      </c>
      <c r="C687" s="1482" t="str">
        <f t="shared" si="44"/>
        <v>MERC/CAPEX/20102011/01755</v>
      </c>
      <c r="D687" s="1390">
        <f t="shared" si="44"/>
        <v>40507</v>
      </c>
      <c r="E687" s="560">
        <f t="shared" si="44"/>
        <v>27.6</v>
      </c>
      <c r="F687" s="1508">
        <f t="shared" si="46"/>
        <v>11.3681175</v>
      </c>
      <c r="G687" s="1508">
        <f t="shared" si="47"/>
        <v>11.3681175</v>
      </c>
      <c r="H687" s="1508">
        <f t="shared" si="50"/>
        <v>0</v>
      </c>
      <c r="I687" s="1480">
        <v>0</v>
      </c>
      <c r="J687" s="1480">
        <v>0</v>
      </c>
      <c r="K687" s="1508"/>
      <c r="L687" s="1508"/>
      <c r="M687" s="1509">
        <f t="shared" si="51"/>
        <v>0</v>
      </c>
      <c r="N687" s="1508">
        <f t="shared" si="52"/>
        <v>0</v>
      </c>
      <c r="O687" s="1481">
        <f t="shared" si="48"/>
        <v>0</v>
      </c>
      <c r="P687" s="1427">
        <f t="shared" si="49"/>
        <v>0</v>
      </c>
    </row>
    <row r="688" spans="1:16" ht="46.5" outlineLevel="1" x14ac:dyDescent="0.25">
      <c r="A688" s="1482">
        <f t="shared" si="45"/>
        <v>1.8</v>
      </c>
      <c r="B688" s="1483" t="str">
        <f t="shared" si="44"/>
        <v>Gas proportioning dampers, flue gas, primary and secondary air dampers should be retrofitted with cold hardened material (SAH dampers- 4 nos)</v>
      </c>
      <c r="C688" s="1482" t="str">
        <f t="shared" si="44"/>
        <v>MERC/CAPEX/20102011/01755</v>
      </c>
      <c r="D688" s="1390">
        <f t="shared" si="44"/>
        <v>40507</v>
      </c>
      <c r="E688" s="560">
        <f t="shared" si="44"/>
        <v>1.43</v>
      </c>
      <c r="F688" s="1508">
        <f t="shared" si="46"/>
        <v>1.8769309999999999</v>
      </c>
      <c r="G688" s="1508">
        <f t="shared" si="47"/>
        <v>1.8769309999999999</v>
      </c>
      <c r="H688" s="1508">
        <f t="shared" si="50"/>
        <v>0</v>
      </c>
      <c r="I688" s="1480">
        <v>0</v>
      </c>
      <c r="J688" s="1480">
        <v>0</v>
      </c>
      <c r="K688" s="1508"/>
      <c r="L688" s="1508"/>
      <c r="M688" s="1509">
        <f t="shared" si="51"/>
        <v>0</v>
      </c>
      <c r="N688" s="1508">
        <f t="shared" si="52"/>
        <v>0</v>
      </c>
      <c r="O688" s="1481">
        <f t="shared" si="48"/>
        <v>0</v>
      </c>
      <c r="P688" s="1427">
        <f t="shared" si="49"/>
        <v>0</v>
      </c>
    </row>
    <row r="689" spans="1:16" ht="93" outlineLevel="1" x14ac:dyDescent="0.25">
      <c r="A689" s="1484">
        <f t="shared" si="45"/>
        <v>1.9</v>
      </c>
      <c r="B689" s="1485" t="str">
        <f t="shared" si="44"/>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689" s="1482" t="str">
        <f t="shared" si="44"/>
        <v>MERC/CAPEX/20102011/01755</v>
      </c>
      <c r="D689" s="1390">
        <f t="shared" si="44"/>
        <v>40507</v>
      </c>
      <c r="E689" s="560">
        <f t="shared" si="44"/>
        <v>3.5</v>
      </c>
      <c r="F689" s="1508">
        <f t="shared" si="46"/>
        <v>4.2488259999999993</v>
      </c>
      <c r="G689" s="1508">
        <f t="shared" si="47"/>
        <v>4.2488259999999993</v>
      </c>
      <c r="H689" s="1508">
        <f t="shared" si="50"/>
        <v>0</v>
      </c>
      <c r="I689" s="1480">
        <v>0</v>
      </c>
      <c r="J689" s="1480">
        <v>0</v>
      </c>
      <c r="K689" s="1508"/>
      <c r="L689" s="1508"/>
      <c r="M689" s="1509">
        <f t="shared" si="51"/>
        <v>0</v>
      </c>
      <c r="N689" s="1508">
        <f t="shared" si="52"/>
        <v>0</v>
      </c>
      <c r="O689" s="1481">
        <f t="shared" si="48"/>
        <v>0</v>
      </c>
      <c r="P689" s="1427">
        <f t="shared" si="49"/>
        <v>0</v>
      </c>
    </row>
    <row r="690" spans="1:16" ht="62" outlineLevel="1" x14ac:dyDescent="0.25">
      <c r="A690" s="1482" t="str">
        <f t="shared" si="45"/>
        <v>1.10</v>
      </c>
      <c r="B690" s="1483" t="str">
        <f t="shared" si="44"/>
        <v>Reducing the pressure drop across APH in Unit 5, 6 and 7 (CFD analysis and design modification in APH inlet duct, Manufacture and supply and erection of carbide overlay divertet plates – 600 m2</v>
      </c>
      <c r="C690" s="1482" t="str">
        <f t="shared" si="44"/>
        <v>MERC/CAPEX/20102011/01755</v>
      </c>
      <c r="D690" s="1390">
        <f t="shared" si="44"/>
        <v>40507</v>
      </c>
      <c r="E690" s="560">
        <f t="shared" si="44"/>
        <v>2</v>
      </c>
      <c r="F690" s="1508">
        <f t="shared" si="46"/>
        <v>2.0468280000000001</v>
      </c>
      <c r="G690" s="1508">
        <f t="shared" si="47"/>
        <v>2.0468280000000001</v>
      </c>
      <c r="H690" s="1508">
        <f t="shared" si="50"/>
        <v>0</v>
      </c>
      <c r="I690" s="1480">
        <v>0</v>
      </c>
      <c r="J690" s="1480">
        <v>0</v>
      </c>
      <c r="K690" s="1508"/>
      <c r="L690" s="1508"/>
      <c r="M690" s="1509">
        <f t="shared" si="51"/>
        <v>0</v>
      </c>
      <c r="N690" s="1508">
        <f t="shared" si="52"/>
        <v>0</v>
      </c>
      <c r="O690" s="1481">
        <f t="shared" si="48"/>
        <v>0</v>
      </c>
      <c r="P690" s="1427">
        <f t="shared" si="49"/>
        <v>0</v>
      </c>
    </row>
    <row r="691" spans="1:16" ht="15.5" outlineLevel="1" x14ac:dyDescent="0.25">
      <c r="A691" s="1482">
        <f t="shared" si="45"/>
        <v>1.1100000000000001</v>
      </c>
      <c r="B691" s="1483" t="str">
        <f t="shared" si="44"/>
        <v>Reducing the pressure drop across ESP</v>
      </c>
      <c r="C691" s="1482" t="str">
        <f t="shared" si="44"/>
        <v>MERC/CAPEX/20102011/01755</v>
      </c>
      <c r="D691" s="1390">
        <f t="shared" si="44"/>
        <v>40507</v>
      </c>
      <c r="E691" s="560">
        <f t="shared" si="44"/>
        <v>0</v>
      </c>
      <c r="F691" s="1508">
        <f t="shared" si="46"/>
        <v>0</v>
      </c>
      <c r="G691" s="1508">
        <f t="shared" si="47"/>
        <v>0</v>
      </c>
      <c r="H691" s="1508">
        <f t="shared" si="50"/>
        <v>0</v>
      </c>
      <c r="I691" s="1480">
        <v>0</v>
      </c>
      <c r="J691" s="1480">
        <v>0</v>
      </c>
      <c r="K691" s="1508"/>
      <c r="L691" s="1508"/>
      <c r="M691" s="1509">
        <f t="shared" si="51"/>
        <v>0</v>
      </c>
      <c r="N691" s="1508">
        <f t="shared" si="52"/>
        <v>0</v>
      </c>
      <c r="O691" s="1481">
        <f t="shared" si="48"/>
        <v>0</v>
      </c>
      <c r="P691" s="1427">
        <f t="shared" si="49"/>
        <v>0</v>
      </c>
    </row>
    <row r="692" spans="1:16" ht="31" outlineLevel="1" x14ac:dyDescent="0.25">
      <c r="A692" s="1482">
        <f t="shared" si="45"/>
        <v>1.1200000000000001</v>
      </c>
      <c r="B692" s="1483" t="str">
        <f t="shared" si="44"/>
        <v>Replacement  of CT fan blades from GRP to FRP and resizing the motor to 75 kw</v>
      </c>
      <c r="C692" s="1482" t="str">
        <f t="shared" si="44"/>
        <v>MERC/CAPEX/20102011/01755</v>
      </c>
      <c r="D692" s="1390">
        <f t="shared" si="44"/>
        <v>40507</v>
      </c>
      <c r="E692" s="560">
        <f t="shared" si="44"/>
        <v>2.9129999999999998</v>
      </c>
      <c r="F692" s="1508">
        <f t="shared" si="46"/>
        <v>1.6187437680000003</v>
      </c>
      <c r="G692" s="1508">
        <f t="shared" si="47"/>
        <v>1.6187437679999999</v>
      </c>
      <c r="H692" s="1508">
        <f t="shared" si="50"/>
        <v>0</v>
      </c>
      <c r="I692" s="1480">
        <v>0</v>
      </c>
      <c r="J692" s="1480">
        <v>0</v>
      </c>
      <c r="K692" s="1508"/>
      <c r="L692" s="1508"/>
      <c r="M692" s="1509">
        <f t="shared" si="51"/>
        <v>0</v>
      </c>
      <c r="N692" s="1508">
        <f t="shared" si="52"/>
        <v>0</v>
      </c>
      <c r="O692" s="1481">
        <f t="shared" si="48"/>
        <v>0</v>
      </c>
      <c r="P692" s="1427">
        <f t="shared" si="49"/>
        <v>0</v>
      </c>
    </row>
    <row r="693" spans="1:16" ht="31" outlineLevel="1" x14ac:dyDescent="0.25">
      <c r="A693" s="1482">
        <f t="shared" si="45"/>
        <v>1.1299999999999999</v>
      </c>
      <c r="B693" s="1483" t="str">
        <f t="shared" si="44"/>
        <v>Improving the BFP efficiency by overhauling of pump and motors for unit 3 &amp;4</v>
      </c>
      <c r="C693" s="1482" t="str">
        <f t="shared" si="44"/>
        <v>MERC/CAPEX/20102011/01755</v>
      </c>
      <c r="D693" s="1390">
        <f t="shared" si="44"/>
        <v>40507</v>
      </c>
      <c r="E693" s="560">
        <f t="shared" si="44"/>
        <v>15</v>
      </c>
      <c r="F693" s="1508">
        <f t="shared" si="46"/>
        <v>14.851620102999998</v>
      </c>
      <c r="G693" s="1508">
        <f t="shared" si="47"/>
        <v>14.851620102999998</v>
      </c>
      <c r="H693" s="1508">
        <f t="shared" si="50"/>
        <v>0</v>
      </c>
      <c r="I693" s="1480">
        <v>0</v>
      </c>
      <c r="J693" s="1480">
        <v>0</v>
      </c>
      <c r="K693" s="1508"/>
      <c r="L693" s="1508"/>
      <c r="M693" s="1509">
        <f t="shared" si="51"/>
        <v>0</v>
      </c>
      <c r="N693" s="1508">
        <f t="shared" si="52"/>
        <v>0</v>
      </c>
      <c r="O693" s="1481">
        <f t="shared" si="48"/>
        <v>0</v>
      </c>
      <c r="P693" s="1427">
        <f t="shared" si="49"/>
        <v>0</v>
      </c>
    </row>
    <row r="694" spans="1:16" ht="31" outlineLevel="1" x14ac:dyDescent="0.25">
      <c r="A694" s="1482">
        <f t="shared" si="45"/>
        <v>1.1399999999999999</v>
      </c>
      <c r="B694" s="1483" t="str">
        <f t="shared" si="45"/>
        <v>During the next capital overhaul, restoration of the steam paths through steam path audits for unit 1 to 7</v>
      </c>
      <c r="C694" s="1482" t="str">
        <f t="shared" si="45"/>
        <v>MERC/CAPEX/20102011/01755</v>
      </c>
      <c r="D694" s="1390">
        <f t="shared" si="45"/>
        <v>40507</v>
      </c>
      <c r="E694" s="560">
        <f t="shared" si="45"/>
        <v>4.6040000000000001</v>
      </c>
      <c r="F694" s="1508">
        <f t="shared" si="46"/>
        <v>8.9775599999999997E-2</v>
      </c>
      <c r="G694" s="1508">
        <f t="shared" si="47"/>
        <v>8.9775599999999997E-2</v>
      </c>
      <c r="H694" s="1508">
        <f t="shared" si="50"/>
        <v>0</v>
      </c>
      <c r="I694" s="1480">
        <v>0</v>
      </c>
      <c r="J694" s="1480">
        <v>0</v>
      </c>
      <c r="K694" s="1508"/>
      <c r="L694" s="1508"/>
      <c r="M694" s="1509">
        <f t="shared" si="51"/>
        <v>0</v>
      </c>
      <c r="N694" s="1508">
        <f t="shared" si="52"/>
        <v>0</v>
      </c>
      <c r="O694" s="1481">
        <f t="shared" si="48"/>
        <v>0</v>
      </c>
      <c r="P694" s="1427">
        <f t="shared" si="49"/>
        <v>0</v>
      </c>
    </row>
    <row r="695" spans="1:16" ht="31" outlineLevel="1" x14ac:dyDescent="0.25">
      <c r="A695" s="1482">
        <f t="shared" si="45"/>
        <v>1.1499999999999999</v>
      </c>
      <c r="B695" s="1483" t="str">
        <f t="shared" si="45"/>
        <v>Continuous monitoring system for CO in the furnace and flue gas ducting zone for Unit 3 to 7</v>
      </c>
      <c r="C695" s="1482" t="str">
        <f t="shared" si="45"/>
        <v>MERC/CAPEX/20102011/01755</v>
      </c>
      <c r="D695" s="1390">
        <f t="shared" si="45"/>
        <v>40507</v>
      </c>
      <c r="E695" s="560">
        <f t="shared" si="45"/>
        <v>10.5</v>
      </c>
      <c r="F695" s="1508">
        <f t="shared" si="46"/>
        <v>0</v>
      </c>
      <c r="G695" s="1508">
        <f t="shared" si="47"/>
        <v>0</v>
      </c>
      <c r="H695" s="1508">
        <f t="shared" si="50"/>
        <v>0</v>
      </c>
      <c r="I695" s="1480">
        <v>0</v>
      </c>
      <c r="J695" s="1480">
        <v>0</v>
      </c>
      <c r="K695" s="1508"/>
      <c r="L695" s="1508"/>
      <c r="M695" s="1509">
        <f t="shared" si="51"/>
        <v>0</v>
      </c>
      <c r="N695" s="1508">
        <f t="shared" si="52"/>
        <v>0</v>
      </c>
      <c r="O695" s="1481">
        <f t="shared" si="48"/>
        <v>0</v>
      </c>
      <c r="P695" s="1427">
        <f t="shared" si="49"/>
        <v>0</v>
      </c>
    </row>
    <row r="696" spans="1:16" ht="31" outlineLevel="1" x14ac:dyDescent="0.25">
      <c r="A696" s="1482">
        <f t="shared" ref="A696:E711" si="53">A26</f>
        <v>1.1599999999999999</v>
      </c>
      <c r="B696" s="1483" t="str">
        <f t="shared" si="53"/>
        <v>Oxygen measurement must be introduced at APH inlet and after ID fan outlet  for unit 1 to 7</v>
      </c>
      <c r="C696" s="1482" t="str">
        <f t="shared" si="53"/>
        <v>MERC/CAPEX/20102011/01755</v>
      </c>
      <c r="D696" s="1390">
        <f t="shared" si="53"/>
        <v>40507</v>
      </c>
      <c r="E696" s="560">
        <f t="shared" si="53"/>
        <v>4.91</v>
      </c>
      <c r="F696" s="1508">
        <f t="shared" si="46"/>
        <v>3.543640452</v>
      </c>
      <c r="G696" s="1508">
        <f t="shared" si="47"/>
        <v>3.543640452</v>
      </c>
      <c r="H696" s="1508">
        <f t="shared" si="50"/>
        <v>0</v>
      </c>
      <c r="I696" s="1480">
        <v>0</v>
      </c>
      <c r="J696" s="1480">
        <v>0</v>
      </c>
      <c r="K696" s="1508"/>
      <c r="L696" s="1508"/>
      <c r="M696" s="1509">
        <f t="shared" si="51"/>
        <v>0</v>
      </c>
      <c r="N696" s="1508">
        <f t="shared" si="52"/>
        <v>0</v>
      </c>
      <c r="O696" s="1481">
        <f t="shared" si="48"/>
        <v>0</v>
      </c>
      <c r="P696" s="1427">
        <f t="shared" si="49"/>
        <v>0</v>
      </c>
    </row>
    <row r="697" spans="1:16" ht="15.5" outlineLevel="1" x14ac:dyDescent="0.25">
      <c r="A697" s="1482">
        <f t="shared" si="53"/>
        <v>0</v>
      </c>
      <c r="B697" s="1483" t="str">
        <f t="shared" si="53"/>
        <v>IDC</v>
      </c>
      <c r="C697" s="1482" t="str">
        <f t="shared" si="53"/>
        <v>MERC/CAPEX/20102011/01755</v>
      </c>
      <c r="D697" s="1390">
        <f t="shared" si="53"/>
        <v>40507</v>
      </c>
      <c r="E697" s="560">
        <f t="shared" si="53"/>
        <v>10.09</v>
      </c>
      <c r="F697" s="1508">
        <f t="shared" si="46"/>
        <v>0</v>
      </c>
      <c r="G697" s="1508">
        <f t="shared" si="47"/>
        <v>0</v>
      </c>
      <c r="H697" s="1508">
        <f t="shared" si="50"/>
        <v>0</v>
      </c>
      <c r="I697" s="1480">
        <v>0</v>
      </c>
      <c r="J697" s="1480">
        <v>0</v>
      </c>
      <c r="K697" s="1508"/>
      <c r="L697" s="1508"/>
      <c r="M697" s="1509">
        <f t="shared" si="51"/>
        <v>0</v>
      </c>
      <c r="N697" s="1508">
        <f t="shared" si="52"/>
        <v>0</v>
      </c>
      <c r="O697" s="1481">
        <f t="shared" si="48"/>
        <v>0</v>
      </c>
      <c r="P697" s="1427">
        <f t="shared" si="49"/>
        <v>0</v>
      </c>
    </row>
    <row r="698" spans="1:16" ht="15.5" outlineLevel="1" x14ac:dyDescent="0.25">
      <c r="A698" s="1477">
        <f t="shared" si="53"/>
        <v>2</v>
      </c>
      <c r="B698" s="1478" t="str">
        <f t="shared" si="53"/>
        <v>Input source Measurement</v>
      </c>
      <c r="C698" s="1486" t="str">
        <f t="shared" si="53"/>
        <v>MERC/CAPEX/20112012/00925</v>
      </c>
      <c r="D698" s="1487">
        <f t="shared" si="53"/>
        <v>40730</v>
      </c>
      <c r="E698" s="1383">
        <f t="shared" si="53"/>
        <v>20.990099999999998</v>
      </c>
      <c r="F698" s="1480">
        <f t="shared" si="46"/>
        <v>0</v>
      </c>
      <c r="G698" s="1480">
        <f t="shared" si="47"/>
        <v>0</v>
      </c>
      <c r="H698" s="1480">
        <f t="shared" si="50"/>
        <v>0</v>
      </c>
      <c r="I698" s="1480">
        <v>0</v>
      </c>
      <c r="J698" s="1480">
        <v>0</v>
      </c>
      <c r="K698" s="1480"/>
      <c r="L698" s="1480"/>
      <c r="M698" s="1480">
        <f t="shared" si="51"/>
        <v>0</v>
      </c>
      <c r="N698" s="1480">
        <f t="shared" si="52"/>
        <v>0</v>
      </c>
      <c r="O698" s="1481">
        <f t="shared" si="48"/>
        <v>0</v>
      </c>
      <c r="P698" s="1427">
        <f t="shared" si="49"/>
        <v>0</v>
      </c>
    </row>
    <row r="699" spans="1:16" ht="46.5" outlineLevel="1" x14ac:dyDescent="0.25">
      <c r="A699" s="1482">
        <f t="shared" si="53"/>
        <v>2.1</v>
      </c>
      <c r="B699" s="1483" t="str">
        <f t="shared" si="53"/>
        <v>Installation of Guided wave radar type level indicators for all fuel oil tanks of unit-1 to 7 DTFA 15 tanks and MTFA 15 tanks (total 30 tanks)</v>
      </c>
      <c r="C699" s="1482" t="str">
        <f t="shared" si="53"/>
        <v>MERC/CAPEX/20112012/00925</v>
      </c>
      <c r="D699" s="1390">
        <f t="shared" si="53"/>
        <v>40730</v>
      </c>
      <c r="E699" s="560">
        <f t="shared" si="53"/>
        <v>1.0398000000000001</v>
      </c>
      <c r="F699" s="1508">
        <f t="shared" si="46"/>
        <v>0.70700000000000007</v>
      </c>
      <c r="G699" s="1508">
        <f t="shared" si="47"/>
        <v>0.70700000000000007</v>
      </c>
      <c r="H699" s="1508">
        <f t="shared" si="50"/>
        <v>0</v>
      </c>
      <c r="I699" s="1480">
        <v>0</v>
      </c>
      <c r="J699" s="1480">
        <v>0</v>
      </c>
      <c r="K699" s="1508"/>
      <c r="L699" s="1508"/>
      <c r="M699" s="1509">
        <f t="shared" si="51"/>
        <v>0</v>
      </c>
      <c r="N699" s="1508">
        <f t="shared" si="52"/>
        <v>0</v>
      </c>
      <c r="O699" s="1481">
        <f t="shared" si="48"/>
        <v>0</v>
      </c>
      <c r="P699" s="1427">
        <f t="shared" si="49"/>
        <v>0</v>
      </c>
    </row>
    <row r="700" spans="1:16" ht="31" outlineLevel="1" x14ac:dyDescent="0.25">
      <c r="A700" s="1482">
        <f t="shared" si="53"/>
        <v>2.2000000000000002</v>
      </c>
      <c r="B700" s="1483" t="str">
        <f t="shared" si="53"/>
        <v>Installation of mass based oil flow meters with provision for continuous digital transfer (20 transmitters)</v>
      </c>
      <c r="C700" s="1482" t="str">
        <f t="shared" si="53"/>
        <v>MERC/CAPEX/20112012/00925</v>
      </c>
      <c r="D700" s="1390">
        <f t="shared" si="53"/>
        <v>40730</v>
      </c>
      <c r="E700" s="560">
        <f t="shared" si="53"/>
        <v>3.1379999999999999</v>
      </c>
      <c r="F700" s="1508">
        <f t="shared" si="46"/>
        <v>0</v>
      </c>
      <c r="G700" s="1508">
        <f t="shared" si="47"/>
        <v>0</v>
      </c>
      <c r="H700" s="1508">
        <f t="shared" si="50"/>
        <v>0</v>
      </c>
      <c r="I700" s="1480">
        <v>0</v>
      </c>
      <c r="J700" s="1480">
        <v>0</v>
      </c>
      <c r="K700" s="1508"/>
      <c r="L700" s="1508"/>
      <c r="M700" s="1509">
        <f t="shared" si="51"/>
        <v>0</v>
      </c>
      <c r="N700" s="1508">
        <f t="shared" si="52"/>
        <v>0</v>
      </c>
      <c r="O700" s="1481">
        <f t="shared" si="48"/>
        <v>0</v>
      </c>
      <c r="P700" s="1427">
        <f t="shared" si="49"/>
        <v>0</v>
      </c>
    </row>
    <row r="701" spans="1:16" ht="31" outlineLevel="1" x14ac:dyDescent="0.25">
      <c r="A701" s="1482">
        <f t="shared" si="53"/>
        <v>2.2999999999999998</v>
      </c>
      <c r="B701" s="1483" t="str">
        <f t="shared" si="53"/>
        <v>Installation of 54 Nos. of ultrasonic type Flow measurement transmitters for water consumption monitoring</v>
      </c>
      <c r="C701" s="1482" t="str">
        <f t="shared" si="53"/>
        <v>MERC/CAPEX/20112012/00925</v>
      </c>
      <c r="D701" s="1390">
        <f t="shared" si="53"/>
        <v>40730</v>
      </c>
      <c r="E701" s="560">
        <f t="shared" si="53"/>
        <v>3.0657000000000001</v>
      </c>
      <c r="F701" s="1508">
        <f t="shared" si="46"/>
        <v>1.7642598999999999</v>
      </c>
      <c r="G701" s="1508">
        <f t="shared" si="47"/>
        <v>1.7642598999999999</v>
      </c>
      <c r="H701" s="1508">
        <f t="shared" si="50"/>
        <v>0</v>
      </c>
      <c r="I701" s="1480">
        <v>0</v>
      </c>
      <c r="J701" s="1480">
        <v>0</v>
      </c>
      <c r="K701" s="1508"/>
      <c r="L701" s="1508"/>
      <c r="M701" s="1509">
        <f t="shared" si="51"/>
        <v>0</v>
      </c>
      <c r="N701" s="1508">
        <f t="shared" si="52"/>
        <v>0</v>
      </c>
      <c r="O701" s="1481">
        <f t="shared" si="48"/>
        <v>0</v>
      </c>
      <c r="P701" s="1427">
        <f t="shared" si="49"/>
        <v>0</v>
      </c>
    </row>
    <row r="702" spans="1:16" ht="31" outlineLevel="1" x14ac:dyDescent="0.25">
      <c r="A702" s="1482">
        <f t="shared" si="53"/>
        <v>2.4</v>
      </c>
      <c r="B702" s="1483" t="str">
        <f t="shared" si="53"/>
        <v>Trivector Meters for Auxiliary power measurement of GT (7 Nos).</v>
      </c>
      <c r="C702" s="1488" t="str">
        <f t="shared" si="53"/>
        <v>MERC/CAPEX/20112012/00925</v>
      </c>
      <c r="D702" s="1413">
        <f t="shared" si="53"/>
        <v>40730</v>
      </c>
      <c r="E702" s="560">
        <f t="shared" si="53"/>
        <v>2.1100000000000001E-2</v>
      </c>
      <c r="F702" s="1508">
        <f t="shared" si="46"/>
        <v>0</v>
      </c>
      <c r="G702" s="1508">
        <f t="shared" si="47"/>
        <v>0</v>
      </c>
      <c r="H702" s="1508">
        <f t="shared" si="50"/>
        <v>0</v>
      </c>
      <c r="I702" s="1480">
        <v>0</v>
      </c>
      <c r="J702" s="1480">
        <v>0</v>
      </c>
      <c r="K702" s="1508"/>
      <c r="L702" s="1508"/>
      <c r="M702" s="1509">
        <f t="shared" si="51"/>
        <v>0</v>
      </c>
      <c r="N702" s="1508">
        <f t="shared" si="52"/>
        <v>0</v>
      </c>
      <c r="O702" s="1481">
        <f t="shared" si="48"/>
        <v>0</v>
      </c>
      <c r="P702" s="1427">
        <f t="shared" si="49"/>
        <v>0</v>
      </c>
    </row>
    <row r="703" spans="1:16" ht="31" outlineLevel="1" x14ac:dyDescent="0.25">
      <c r="A703" s="1482">
        <f t="shared" si="53"/>
        <v>2.5</v>
      </c>
      <c r="B703" s="1483" t="str">
        <f t="shared" si="53"/>
        <v>Standard Meters for Auxiliary power measurement for sp. Consumption of Auxiliary transformer, Limbs and auxiliaries.</v>
      </c>
      <c r="C703" s="1482" t="str">
        <f t="shared" si="53"/>
        <v>MERC/CAPEX/20112012/00925</v>
      </c>
      <c r="D703" s="1390">
        <f t="shared" si="53"/>
        <v>40730</v>
      </c>
      <c r="E703" s="560">
        <f t="shared" si="53"/>
        <v>0.49540000000000001</v>
      </c>
      <c r="F703" s="1508">
        <f t="shared" si="46"/>
        <v>0.29783999999999999</v>
      </c>
      <c r="G703" s="1508">
        <f t="shared" si="47"/>
        <v>0.29783999999999999</v>
      </c>
      <c r="H703" s="1508">
        <f t="shared" si="50"/>
        <v>0</v>
      </c>
      <c r="I703" s="1480">
        <v>0</v>
      </c>
      <c r="J703" s="1480">
        <v>0</v>
      </c>
      <c r="K703" s="1508"/>
      <c r="L703" s="1508"/>
      <c r="M703" s="1509">
        <f t="shared" si="51"/>
        <v>0</v>
      </c>
      <c r="N703" s="1508">
        <f t="shared" si="52"/>
        <v>0</v>
      </c>
      <c r="O703" s="1481">
        <f t="shared" si="48"/>
        <v>0</v>
      </c>
      <c r="P703" s="1427">
        <f t="shared" si="49"/>
        <v>0</v>
      </c>
    </row>
    <row r="704" spans="1:16" ht="15.5" outlineLevel="1" x14ac:dyDescent="0.25">
      <c r="A704" s="1482">
        <f t="shared" si="53"/>
        <v>2.6</v>
      </c>
      <c r="B704" s="1483" t="str">
        <f t="shared" si="53"/>
        <v>Belt weighers (28 Nos.)</v>
      </c>
      <c r="C704" s="1482" t="str">
        <f t="shared" si="53"/>
        <v>MERC/CAPEX/20112012/00925</v>
      </c>
      <c r="D704" s="1390">
        <f t="shared" si="53"/>
        <v>40730</v>
      </c>
      <c r="E704" s="560">
        <f t="shared" si="53"/>
        <v>3.3195999999999999</v>
      </c>
      <c r="F704" s="1508">
        <f t="shared" si="46"/>
        <v>0</v>
      </c>
      <c r="G704" s="1508">
        <f t="shared" si="47"/>
        <v>0</v>
      </c>
      <c r="H704" s="1508">
        <f t="shared" si="50"/>
        <v>0</v>
      </c>
      <c r="I704" s="1480">
        <v>0</v>
      </c>
      <c r="J704" s="1480">
        <v>0</v>
      </c>
      <c r="K704" s="1508"/>
      <c r="L704" s="1508"/>
      <c r="M704" s="1509">
        <f t="shared" si="51"/>
        <v>0</v>
      </c>
      <c r="N704" s="1508">
        <f t="shared" si="52"/>
        <v>0</v>
      </c>
      <c r="O704" s="1481">
        <f t="shared" si="48"/>
        <v>0</v>
      </c>
      <c r="P704" s="1427">
        <f t="shared" si="49"/>
        <v>0</v>
      </c>
    </row>
    <row r="705" spans="1:16" ht="15.5" outlineLevel="1" x14ac:dyDescent="0.25">
      <c r="A705" s="1482">
        <f t="shared" si="53"/>
        <v>2.7</v>
      </c>
      <c r="B705" s="1483" t="str">
        <f t="shared" si="53"/>
        <v>In motion weigh bridge (10 Nos).</v>
      </c>
      <c r="C705" s="1482" t="str">
        <f t="shared" si="53"/>
        <v>MERC/CAPEX/20112012/00925</v>
      </c>
      <c r="D705" s="1390">
        <f t="shared" si="53"/>
        <v>40730</v>
      </c>
      <c r="E705" s="560">
        <f t="shared" si="53"/>
        <v>4.5396000000000001</v>
      </c>
      <c r="F705" s="1508">
        <f t="shared" si="46"/>
        <v>0.19084200000000001</v>
      </c>
      <c r="G705" s="1508">
        <f t="shared" si="47"/>
        <v>0.19084200000000001</v>
      </c>
      <c r="H705" s="1508">
        <f t="shared" si="50"/>
        <v>0</v>
      </c>
      <c r="I705" s="1480">
        <v>0</v>
      </c>
      <c r="J705" s="1480">
        <v>0</v>
      </c>
      <c r="K705" s="1508"/>
      <c r="L705" s="1508"/>
      <c r="M705" s="1509">
        <f t="shared" si="51"/>
        <v>0</v>
      </c>
      <c r="N705" s="1508">
        <f t="shared" si="52"/>
        <v>0</v>
      </c>
      <c r="O705" s="1481">
        <f t="shared" si="48"/>
        <v>0</v>
      </c>
      <c r="P705" s="1427">
        <f t="shared" si="49"/>
        <v>0</v>
      </c>
    </row>
    <row r="706" spans="1:16" ht="15.5" outlineLevel="1" x14ac:dyDescent="0.25">
      <c r="A706" s="1482">
        <f t="shared" si="53"/>
        <v>2.8</v>
      </c>
      <c r="B706" s="1483" t="str">
        <f t="shared" si="53"/>
        <v>Bunker level transmitters (50 Nos.)</v>
      </c>
      <c r="C706" s="1482" t="str">
        <f t="shared" si="53"/>
        <v>MERC/CAPEX/20112012/00925</v>
      </c>
      <c r="D706" s="1390">
        <f t="shared" si="53"/>
        <v>40730</v>
      </c>
      <c r="E706" s="560">
        <f t="shared" si="53"/>
        <v>2.5285000000000002</v>
      </c>
      <c r="F706" s="1508">
        <f t="shared" si="46"/>
        <v>0</v>
      </c>
      <c r="G706" s="1508">
        <f t="shared" si="47"/>
        <v>0</v>
      </c>
      <c r="H706" s="1508">
        <f t="shared" si="50"/>
        <v>0</v>
      </c>
      <c r="I706" s="1480">
        <v>0</v>
      </c>
      <c r="J706" s="1480">
        <v>0</v>
      </c>
      <c r="K706" s="1508"/>
      <c r="L706" s="1508"/>
      <c r="M706" s="1509">
        <f t="shared" si="51"/>
        <v>0</v>
      </c>
      <c r="N706" s="1508">
        <f t="shared" si="52"/>
        <v>0</v>
      </c>
      <c r="O706" s="1481">
        <f t="shared" si="48"/>
        <v>0</v>
      </c>
      <c r="P706" s="1427">
        <f t="shared" si="49"/>
        <v>0</v>
      </c>
    </row>
    <row r="707" spans="1:16" ht="15.5" outlineLevel="1" x14ac:dyDescent="0.25">
      <c r="A707" s="1482">
        <f t="shared" si="53"/>
        <v>2.9</v>
      </c>
      <c r="B707" s="1483" t="str">
        <f t="shared" si="53"/>
        <v>Flap Gate sensors (120 Nos.)</v>
      </c>
      <c r="C707" s="1482" t="str">
        <f t="shared" si="53"/>
        <v>MERC/CAPEX/20112012/00925</v>
      </c>
      <c r="D707" s="1390">
        <f t="shared" si="53"/>
        <v>40730</v>
      </c>
      <c r="E707" s="560">
        <f t="shared" si="53"/>
        <v>0.1225</v>
      </c>
      <c r="F707" s="1508">
        <f t="shared" si="46"/>
        <v>0</v>
      </c>
      <c r="G707" s="1508">
        <f t="shared" si="47"/>
        <v>0</v>
      </c>
      <c r="H707" s="1508">
        <f t="shared" si="50"/>
        <v>0</v>
      </c>
      <c r="I707" s="1480">
        <v>0</v>
      </c>
      <c r="J707" s="1480">
        <v>0</v>
      </c>
      <c r="K707" s="1508"/>
      <c r="L707" s="1508"/>
      <c r="M707" s="1509">
        <f t="shared" si="51"/>
        <v>0</v>
      </c>
      <c r="N707" s="1508">
        <f t="shared" si="52"/>
        <v>0</v>
      </c>
      <c r="O707" s="1481">
        <f t="shared" si="48"/>
        <v>0</v>
      </c>
      <c r="P707" s="1427">
        <f t="shared" si="49"/>
        <v>0</v>
      </c>
    </row>
    <row r="708" spans="1:16" ht="15.5" outlineLevel="1" x14ac:dyDescent="0.25">
      <c r="A708" s="1482" t="str">
        <f t="shared" si="53"/>
        <v>2.10</v>
      </c>
      <c r="B708" s="1483" t="str">
        <f t="shared" si="53"/>
        <v>PLC (20 Nos)</v>
      </c>
      <c r="C708" s="1482" t="str">
        <f t="shared" si="53"/>
        <v>MERC/CAPEX/20112012/00925</v>
      </c>
      <c r="D708" s="1390">
        <f t="shared" si="53"/>
        <v>40730</v>
      </c>
      <c r="E708" s="560">
        <f t="shared" si="53"/>
        <v>0.5333</v>
      </c>
      <c r="F708" s="1508">
        <f t="shared" si="46"/>
        <v>0</v>
      </c>
      <c r="G708" s="1508">
        <f t="shared" si="47"/>
        <v>0</v>
      </c>
      <c r="H708" s="1508">
        <f t="shared" si="50"/>
        <v>0</v>
      </c>
      <c r="I708" s="1480">
        <v>0</v>
      </c>
      <c r="J708" s="1480">
        <v>0</v>
      </c>
      <c r="K708" s="1508"/>
      <c r="L708" s="1508"/>
      <c r="M708" s="1509">
        <f t="shared" si="51"/>
        <v>0</v>
      </c>
      <c r="N708" s="1508">
        <f t="shared" si="52"/>
        <v>0</v>
      </c>
      <c r="O708" s="1481">
        <f t="shared" si="48"/>
        <v>0</v>
      </c>
      <c r="P708" s="1427">
        <f t="shared" si="49"/>
        <v>0</v>
      </c>
    </row>
    <row r="709" spans="1:16" ht="15.5" outlineLevel="1" x14ac:dyDescent="0.25">
      <c r="A709" s="1482">
        <f t="shared" si="53"/>
        <v>2.11</v>
      </c>
      <c r="B709" s="1483" t="str">
        <f t="shared" si="53"/>
        <v>Cables (20,000 meters estimated)</v>
      </c>
      <c r="C709" s="1482" t="str">
        <f t="shared" si="53"/>
        <v>MERC/CAPEX/20112012/00925</v>
      </c>
      <c r="D709" s="1390">
        <f t="shared" si="53"/>
        <v>40730</v>
      </c>
      <c r="E709" s="560">
        <f t="shared" si="53"/>
        <v>1.0216000000000001</v>
      </c>
      <c r="F709" s="1508">
        <f t="shared" si="46"/>
        <v>0</v>
      </c>
      <c r="G709" s="1508">
        <f t="shared" si="47"/>
        <v>0</v>
      </c>
      <c r="H709" s="1508">
        <f t="shared" si="50"/>
        <v>0</v>
      </c>
      <c r="I709" s="1480">
        <v>0</v>
      </c>
      <c r="J709" s="1480">
        <v>0</v>
      </c>
      <c r="K709" s="1508"/>
      <c r="L709" s="1508"/>
      <c r="M709" s="1509">
        <f t="shared" si="51"/>
        <v>0</v>
      </c>
      <c r="N709" s="1508">
        <f t="shared" si="52"/>
        <v>0</v>
      </c>
      <c r="O709" s="1481">
        <f t="shared" si="48"/>
        <v>0</v>
      </c>
      <c r="P709" s="1427">
        <f t="shared" si="49"/>
        <v>0</v>
      </c>
    </row>
    <row r="710" spans="1:16" ht="15.5" outlineLevel="1" x14ac:dyDescent="0.25">
      <c r="A710" s="1482">
        <f t="shared" si="53"/>
        <v>0</v>
      </c>
      <c r="B710" s="1483" t="str">
        <f t="shared" si="53"/>
        <v>IDC</v>
      </c>
      <c r="C710" s="1482" t="str">
        <f t="shared" si="53"/>
        <v>MERC/CAPEX/20112012/00925</v>
      </c>
      <c r="D710" s="1390">
        <f t="shared" si="53"/>
        <v>40730</v>
      </c>
      <c r="E710" s="560">
        <f t="shared" si="53"/>
        <v>1.165</v>
      </c>
      <c r="F710" s="1508">
        <f t="shared" si="46"/>
        <v>0</v>
      </c>
      <c r="G710" s="1508">
        <f t="shared" si="47"/>
        <v>0</v>
      </c>
      <c r="H710" s="1508">
        <f t="shared" si="50"/>
        <v>0</v>
      </c>
      <c r="I710" s="1480">
        <v>0</v>
      </c>
      <c r="J710" s="1480">
        <v>0</v>
      </c>
      <c r="K710" s="1508"/>
      <c r="L710" s="1508"/>
      <c r="M710" s="1509">
        <f t="shared" si="51"/>
        <v>0</v>
      </c>
      <c r="N710" s="1508">
        <f t="shared" si="52"/>
        <v>0</v>
      </c>
      <c r="O710" s="1481">
        <f t="shared" si="48"/>
        <v>0</v>
      </c>
      <c r="P710" s="1427">
        <f t="shared" si="49"/>
        <v>0</v>
      </c>
    </row>
    <row r="711" spans="1:16" ht="15.5" outlineLevel="1" x14ac:dyDescent="0.25">
      <c r="A711" s="1489">
        <f t="shared" si="53"/>
        <v>3</v>
      </c>
      <c r="B711" s="1490" t="str">
        <f t="shared" si="53"/>
        <v>ESP Restoration/Refurbishment</v>
      </c>
      <c r="C711" s="1477" t="str">
        <f t="shared" si="53"/>
        <v>MERC/CAPEX/20112012/00939</v>
      </c>
      <c r="D711" s="1479">
        <f t="shared" si="53"/>
        <v>40731</v>
      </c>
      <c r="E711" s="1383">
        <f t="shared" si="53"/>
        <v>53.989999999999995</v>
      </c>
      <c r="F711" s="1480">
        <f t="shared" si="46"/>
        <v>0</v>
      </c>
      <c r="G711" s="1480">
        <f t="shared" si="47"/>
        <v>0</v>
      </c>
      <c r="H711" s="1480">
        <f t="shared" si="50"/>
        <v>0</v>
      </c>
      <c r="I711" s="1480">
        <v>0</v>
      </c>
      <c r="J711" s="1480">
        <v>0</v>
      </c>
      <c r="K711" s="1480"/>
      <c r="L711" s="1480"/>
      <c r="M711" s="1480">
        <f t="shared" si="51"/>
        <v>0</v>
      </c>
      <c r="N711" s="1480">
        <f t="shared" si="52"/>
        <v>0</v>
      </c>
      <c r="O711" s="1481">
        <f t="shared" si="48"/>
        <v>0</v>
      </c>
      <c r="P711" s="1427">
        <f t="shared" si="49"/>
        <v>0</v>
      </c>
    </row>
    <row r="712" spans="1:16" ht="31" outlineLevel="1" x14ac:dyDescent="0.25">
      <c r="A712" s="1484">
        <f t="shared" ref="A712:E727" si="54">A42</f>
        <v>3.1</v>
      </c>
      <c r="B712" s="1485" t="str">
        <f t="shared" si="54"/>
        <v xml:space="preserve">Replacement of all emitting coils and collecting plates of U#5 ESP of all four pass of field 2nd, 3rd &amp; 4th </v>
      </c>
      <c r="C712" s="1482" t="str">
        <f t="shared" si="54"/>
        <v>MERC/CAPEX/20112012/00939</v>
      </c>
      <c r="D712" s="1390">
        <f t="shared" si="54"/>
        <v>40731</v>
      </c>
      <c r="E712" s="560">
        <f t="shared" si="54"/>
        <v>11.7</v>
      </c>
      <c r="F712" s="1508">
        <f t="shared" si="46"/>
        <v>5.7466719770000001</v>
      </c>
      <c r="G712" s="1508">
        <f t="shared" si="47"/>
        <v>5.7466719770000001</v>
      </c>
      <c r="H712" s="1508">
        <f t="shared" si="50"/>
        <v>0</v>
      </c>
      <c r="I712" s="1480">
        <v>2.8735429999999997</v>
      </c>
      <c r="J712" s="1480">
        <v>2.8735430000000002</v>
      </c>
      <c r="K712" s="1508"/>
      <c r="L712" s="1508"/>
      <c r="M712" s="1509">
        <f t="shared" si="51"/>
        <v>2.8735430000000002</v>
      </c>
      <c r="N712" s="1508">
        <f t="shared" si="52"/>
        <v>0</v>
      </c>
      <c r="O712" s="1481">
        <f t="shared" si="48"/>
        <v>2.8735430000000002</v>
      </c>
      <c r="P712" s="1427">
        <f t="shared" si="49"/>
        <v>0</v>
      </c>
    </row>
    <row r="713" spans="1:16" ht="31" outlineLevel="1" x14ac:dyDescent="0.25">
      <c r="A713" s="1484">
        <f t="shared" si="54"/>
        <v>3.2</v>
      </c>
      <c r="B713" s="1485" t="str">
        <f t="shared" si="54"/>
        <v>Replacement of all emitting coils and collecting plates of all four pass of field 1 to 4, U#6 ESP</v>
      </c>
      <c r="C713" s="1482" t="str">
        <f t="shared" si="54"/>
        <v>MERC/CAPEX/20112012/00939</v>
      </c>
      <c r="D713" s="1390">
        <f t="shared" si="54"/>
        <v>40731</v>
      </c>
      <c r="E713" s="560">
        <f t="shared" si="54"/>
        <v>15.6</v>
      </c>
      <c r="F713" s="1508">
        <f t="shared" si="46"/>
        <v>6.2278390650000004</v>
      </c>
      <c r="G713" s="1508">
        <f t="shared" si="47"/>
        <v>6.2278390650000004</v>
      </c>
      <c r="H713" s="1508">
        <f t="shared" si="50"/>
        <v>0</v>
      </c>
      <c r="I713" s="1480">
        <v>0.32741280000000028</v>
      </c>
      <c r="J713" s="1480">
        <v>0.3274128</v>
      </c>
      <c r="K713" s="1508"/>
      <c r="L713" s="1508"/>
      <c r="M713" s="1509">
        <f t="shared" si="51"/>
        <v>0.3274128</v>
      </c>
      <c r="N713" s="1508">
        <f t="shared" si="52"/>
        <v>0</v>
      </c>
      <c r="O713" s="1481">
        <f t="shared" si="48"/>
        <v>0.3274128</v>
      </c>
      <c r="P713" s="1427">
        <f t="shared" si="49"/>
        <v>0</v>
      </c>
    </row>
    <row r="714" spans="1:16" ht="31" outlineLevel="1" x14ac:dyDescent="0.25">
      <c r="A714" s="1484">
        <f t="shared" si="54"/>
        <v>3.3</v>
      </c>
      <c r="B714" s="1485" t="str">
        <f t="shared" si="54"/>
        <v xml:space="preserve">Replacement of all emitting coils and collecting plates of all four pass of field 1 to 4, U#7 ESP </v>
      </c>
      <c r="C714" s="1482" t="str">
        <f t="shared" si="54"/>
        <v>MERC/CAPEX/20112012/00939</v>
      </c>
      <c r="D714" s="1390">
        <f t="shared" si="54"/>
        <v>40731</v>
      </c>
      <c r="E714" s="560">
        <f t="shared" si="54"/>
        <v>16.02</v>
      </c>
      <c r="F714" s="1508">
        <f t="shared" si="46"/>
        <v>5.1898557250000001</v>
      </c>
      <c r="G714" s="1508">
        <f t="shared" si="47"/>
        <v>5.0852789210000005</v>
      </c>
      <c r="H714" s="1508">
        <f t="shared" si="50"/>
        <v>0.10457680399999969</v>
      </c>
      <c r="I714" s="1480">
        <v>0</v>
      </c>
      <c r="J714" s="1480">
        <v>0</v>
      </c>
      <c r="K714" s="1508"/>
      <c r="L714" s="1508"/>
      <c r="M714" s="1509">
        <f t="shared" si="51"/>
        <v>0</v>
      </c>
      <c r="N714" s="1508">
        <f t="shared" si="52"/>
        <v>0.10457680399999969</v>
      </c>
      <c r="O714" s="1481">
        <f t="shared" si="48"/>
        <v>0</v>
      </c>
      <c r="P714" s="1427">
        <f t="shared" si="49"/>
        <v>0</v>
      </c>
    </row>
    <row r="715" spans="1:16" ht="31" outlineLevel="1" x14ac:dyDescent="0.25">
      <c r="A715" s="1484">
        <f t="shared" si="54"/>
        <v>3.4</v>
      </c>
      <c r="B715" s="1485" t="str">
        <f t="shared" si="54"/>
        <v>Ash evacuation system on existing dummy hoppers of Flue gas duct from APH outlet to ESP inlet of U#5 &amp; 6.</v>
      </c>
      <c r="C715" s="1482" t="str">
        <f t="shared" si="54"/>
        <v>MERC/CAPEX/20112012/00939</v>
      </c>
      <c r="D715" s="1390">
        <f t="shared" si="54"/>
        <v>40731</v>
      </c>
      <c r="E715" s="560">
        <f t="shared" si="54"/>
        <v>0.95</v>
      </c>
      <c r="F715" s="1508">
        <f t="shared" si="46"/>
        <v>0.92199359999999997</v>
      </c>
      <c r="G715" s="1508">
        <f t="shared" si="47"/>
        <v>0.92199359999999997</v>
      </c>
      <c r="H715" s="1508">
        <f t="shared" si="50"/>
        <v>0</v>
      </c>
      <c r="I715" s="1480">
        <v>0</v>
      </c>
      <c r="J715" s="1480">
        <v>0</v>
      </c>
      <c r="K715" s="1508"/>
      <c r="L715" s="1508"/>
      <c r="M715" s="1509">
        <f t="shared" si="51"/>
        <v>0</v>
      </c>
      <c r="N715" s="1508">
        <f t="shared" si="52"/>
        <v>0</v>
      </c>
      <c r="O715" s="1481">
        <f t="shared" si="48"/>
        <v>0</v>
      </c>
      <c r="P715" s="1427">
        <f t="shared" si="49"/>
        <v>0</v>
      </c>
    </row>
    <row r="716" spans="1:16" ht="15.5" outlineLevel="1" x14ac:dyDescent="0.25">
      <c r="A716" s="1484">
        <f t="shared" si="54"/>
        <v>0</v>
      </c>
      <c r="B716" s="1485" t="str">
        <f t="shared" si="54"/>
        <v>IDC</v>
      </c>
      <c r="C716" s="1482" t="str">
        <f t="shared" si="54"/>
        <v>MERC/CAPEX/20112012/00939</v>
      </c>
      <c r="D716" s="1390">
        <f t="shared" si="54"/>
        <v>40731</v>
      </c>
      <c r="E716" s="560">
        <f t="shared" si="54"/>
        <v>9.7200000000000006</v>
      </c>
      <c r="F716" s="1508">
        <f t="shared" si="46"/>
        <v>0</v>
      </c>
      <c r="G716" s="1508">
        <f t="shared" si="47"/>
        <v>0</v>
      </c>
      <c r="H716" s="1508">
        <f t="shared" si="50"/>
        <v>0</v>
      </c>
      <c r="I716" s="1480">
        <v>3.8649799999999998E-2</v>
      </c>
      <c r="J716" s="1480">
        <v>3.8649799999999998E-2</v>
      </c>
      <c r="K716" s="1508"/>
      <c r="L716" s="1508"/>
      <c r="M716" s="1509">
        <f t="shared" si="51"/>
        <v>3.8649799999999998E-2</v>
      </c>
      <c r="N716" s="1508">
        <f t="shared" si="52"/>
        <v>0</v>
      </c>
      <c r="O716" s="1481">
        <f t="shared" si="48"/>
        <v>3.8649799999999998E-2</v>
      </c>
      <c r="P716" s="1427">
        <f t="shared" si="49"/>
        <v>0</v>
      </c>
    </row>
    <row r="717" spans="1:16" ht="15.5" outlineLevel="1" x14ac:dyDescent="0.25">
      <c r="A717" s="1486">
        <f t="shared" si="54"/>
        <v>4</v>
      </c>
      <c r="B717" s="1491" t="str">
        <f t="shared" si="54"/>
        <v>Control &amp; Instrumentation up-gradation of CSTPS Unit 5 &amp; 6</v>
      </c>
      <c r="C717" s="1486" t="str">
        <f t="shared" si="54"/>
        <v>MERC/CAPEX/20112012/01908</v>
      </c>
      <c r="D717" s="1487">
        <f t="shared" si="54"/>
        <v>40850</v>
      </c>
      <c r="E717" s="1383">
        <f t="shared" si="54"/>
        <v>57.7</v>
      </c>
      <c r="F717" s="1480">
        <f t="shared" si="46"/>
        <v>0</v>
      </c>
      <c r="G717" s="1480">
        <f t="shared" si="47"/>
        <v>0</v>
      </c>
      <c r="H717" s="1480">
        <f t="shared" si="50"/>
        <v>0</v>
      </c>
      <c r="I717" s="1480">
        <v>0</v>
      </c>
      <c r="J717" s="1480">
        <v>0</v>
      </c>
      <c r="K717" s="1480"/>
      <c r="L717" s="1480"/>
      <c r="M717" s="1480">
        <f t="shared" si="51"/>
        <v>0</v>
      </c>
      <c r="N717" s="1480">
        <f t="shared" si="52"/>
        <v>0</v>
      </c>
      <c r="O717" s="1481">
        <f t="shared" si="48"/>
        <v>0</v>
      </c>
      <c r="P717" s="1427">
        <f t="shared" si="49"/>
        <v>0</v>
      </c>
    </row>
    <row r="718" spans="1:16" ht="15.5" outlineLevel="1" x14ac:dyDescent="0.25">
      <c r="A718" s="1488">
        <f t="shared" si="54"/>
        <v>4.0999999999999996</v>
      </c>
      <c r="B718" s="1492" t="str">
        <f t="shared" si="54"/>
        <v>Control &amp; Instrumentation up-gradation of CSTPS Unit 5</v>
      </c>
      <c r="C718" s="1488" t="str">
        <f t="shared" si="54"/>
        <v>MERC/CAPEX/20112012/01908</v>
      </c>
      <c r="D718" s="1413">
        <f t="shared" si="54"/>
        <v>40850</v>
      </c>
      <c r="E718" s="560">
        <f t="shared" si="54"/>
        <v>26.1</v>
      </c>
      <c r="F718" s="1508">
        <f t="shared" si="46"/>
        <v>0</v>
      </c>
      <c r="G718" s="1508">
        <f t="shared" si="47"/>
        <v>0</v>
      </c>
      <c r="H718" s="1508">
        <f t="shared" si="50"/>
        <v>0</v>
      </c>
      <c r="I718" s="1480">
        <v>0</v>
      </c>
      <c r="J718" s="1480">
        <v>0</v>
      </c>
      <c r="K718" s="1508"/>
      <c r="L718" s="1508"/>
      <c r="M718" s="1509">
        <f t="shared" si="51"/>
        <v>0</v>
      </c>
      <c r="N718" s="1508">
        <f t="shared" si="52"/>
        <v>0</v>
      </c>
      <c r="O718" s="1481">
        <f t="shared" si="48"/>
        <v>0</v>
      </c>
      <c r="P718" s="1427">
        <f t="shared" si="49"/>
        <v>0</v>
      </c>
    </row>
    <row r="719" spans="1:16" ht="15.5" outlineLevel="1" x14ac:dyDescent="0.25">
      <c r="A719" s="1488">
        <f t="shared" si="54"/>
        <v>4.2</v>
      </c>
      <c r="B719" s="1492" t="str">
        <f t="shared" si="54"/>
        <v>Control &amp; Instrumentation up-gradation of CSTPS Unit 6</v>
      </c>
      <c r="C719" s="1488" t="str">
        <f t="shared" si="54"/>
        <v>MERC/CAPEX/20112012/01908</v>
      </c>
      <c r="D719" s="1413">
        <f t="shared" si="54"/>
        <v>40850</v>
      </c>
      <c r="E719" s="560">
        <f t="shared" si="54"/>
        <v>26.1</v>
      </c>
      <c r="F719" s="1508">
        <f t="shared" si="46"/>
        <v>0</v>
      </c>
      <c r="G719" s="1508">
        <f t="shared" si="47"/>
        <v>0</v>
      </c>
      <c r="H719" s="1508">
        <f t="shared" si="50"/>
        <v>0</v>
      </c>
      <c r="I719" s="1480">
        <v>0</v>
      </c>
      <c r="J719" s="1480">
        <v>0</v>
      </c>
      <c r="K719" s="1508"/>
      <c r="L719" s="1508"/>
      <c r="M719" s="1509">
        <f t="shared" si="51"/>
        <v>0</v>
      </c>
      <c r="N719" s="1508">
        <f t="shared" si="52"/>
        <v>0</v>
      </c>
      <c r="O719" s="1481">
        <f t="shared" si="48"/>
        <v>0</v>
      </c>
      <c r="P719" s="1427">
        <f t="shared" si="49"/>
        <v>0</v>
      </c>
    </row>
    <row r="720" spans="1:16" ht="15.5" outlineLevel="1" x14ac:dyDescent="0.25">
      <c r="A720" s="1484">
        <f t="shared" si="54"/>
        <v>0</v>
      </c>
      <c r="B720" s="1485" t="str">
        <f t="shared" si="54"/>
        <v>IDC</v>
      </c>
      <c r="C720" s="1482" t="str">
        <f t="shared" si="54"/>
        <v>MERC/CAPEX/20112012/01908</v>
      </c>
      <c r="D720" s="1390">
        <f t="shared" si="54"/>
        <v>40850</v>
      </c>
      <c r="E720" s="560">
        <f t="shared" si="54"/>
        <v>5.5</v>
      </c>
      <c r="F720" s="1508">
        <f t="shared" si="46"/>
        <v>0</v>
      </c>
      <c r="G720" s="1508">
        <f t="shared" si="47"/>
        <v>0</v>
      </c>
      <c r="H720" s="1508">
        <f t="shared" si="50"/>
        <v>0</v>
      </c>
      <c r="I720" s="1480">
        <v>0</v>
      </c>
      <c r="J720" s="1480">
        <v>0</v>
      </c>
      <c r="K720" s="1508"/>
      <c r="L720" s="1508"/>
      <c r="M720" s="1509">
        <f t="shared" si="51"/>
        <v>0</v>
      </c>
      <c r="N720" s="1508">
        <f t="shared" si="52"/>
        <v>0</v>
      </c>
      <c r="O720" s="1481">
        <f t="shared" si="48"/>
        <v>0</v>
      </c>
      <c r="P720" s="1427">
        <f t="shared" si="49"/>
        <v>0</v>
      </c>
    </row>
    <row r="721" spans="1:16" ht="31" outlineLevel="1" x14ac:dyDescent="0.25">
      <c r="A721" s="1477">
        <f t="shared" si="54"/>
        <v>5</v>
      </c>
      <c r="B721" s="1478" t="str">
        <f t="shared" si="54"/>
        <v>Alternate water supply Scheme for Chandrapur T.P.S as a crisis management scheme</v>
      </c>
      <c r="C721" s="1477" t="str">
        <f t="shared" si="54"/>
        <v>MERC/CAPEX/20112012/02443</v>
      </c>
      <c r="D721" s="1479">
        <f t="shared" si="54"/>
        <v>40911</v>
      </c>
      <c r="E721" s="1383">
        <f t="shared" si="54"/>
        <v>229.4</v>
      </c>
      <c r="F721" s="1480">
        <f t="shared" si="46"/>
        <v>0</v>
      </c>
      <c r="G721" s="1480">
        <f t="shared" si="47"/>
        <v>0</v>
      </c>
      <c r="H721" s="1480">
        <f t="shared" si="50"/>
        <v>0</v>
      </c>
      <c r="I721" s="1480">
        <v>0</v>
      </c>
      <c r="J721" s="1480">
        <v>0</v>
      </c>
      <c r="K721" s="1480"/>
      <c r="L721" s="1480"/>
      <c r="M721" s="1480">
        <f t="shared" si="51"/>
        <v>0</v>
      </c>
      <c r="N721" s="1480">
        <f t="shared" si="52"/>
        <v>0</v>
      </c>
      <c r="O721" s="1481">
        <f t="shared" si="48"/>
        <v>0</v>
      </c>
      <c r="P721" s="1427">
        <f t="shared" si="49"/>
        <v>0</v>
      </c>
    </row>
    <row r="722" spans="1:16" ht="31" outlineLevel="1" x14ac:dyDescent="0.25">
      <c r="A722" s="1482">
        <f t="shared" si="54"/>
        <v>5.0999999999999996</v>
      </c>
      <c r="B722" s="1483" t="str">
        <f t="shared" si="54"/>
        <v>Alternate water supply Scheme for Chandrapur T.P.S as a crisis management scheme</v>
      </c>
      <c r="C722" s="1482" t="str">
        <f t="shared" si="54"/>
        <v>MERC/CAPEX/20112012/02443</v>
      </c>
      <c r="D722" s="1390">
        <f t="shared" si="54"/>
        <v>40911</v>
      </c>
      <c r="E722" s="560">
        <f t="shared" si="54"/>
        <v>229.4</v>
      </c>
      <c r="F722" s="1508">
        <f t="shared" si="46"/>
        <v>0</v>
      </c>
      <c r="G722" s="1508">
        <f t="shared" si="47"/>
        <v>0</v>
      </c>
      <c r="H722" s="1508">
        <f t="shared" si="50"/>
        <v>0</v>
      </c>
      <c r="I722" s="1480">
        <v>0</v>
      </c>
      <c r="J722" s="1480">
        <v>0</v>
      </c>
      <c r="K722" s="1508"/>
      <c r="L722" s="1508"/>
      <c r="M722" s="1509">
        <f t="shared" si="51"/>
        <v>0</v>
      </c>
      <c r="N722" s="1508">
        <f t="shared" si="52"/>
        <v>0</v>
      </c>
      <c r="O722" s="1481">
        <f t="shared" si="48"/>
        <v>0</v>
      </c>
      <c r="P722" s="1427">
        <f t="shared" si="49"/>
        <v>0</v>
      </c>
    </row>
    <row r="723" spans="1:16" ht="62" outlineLevel="1" x14ac:dyDescent="0.25">
      <c r="A723" s="1486">
        <f t="shared" si="54"/>
        <v>6</v>
      </c>
      <c r="B723" s="1491" t="str">
        <f t="shared" si="54"/>
        <v>Complete Track Renovation (CTR) work of rail track from Chandrapur Vivekanand Nagar railway stations to exchange yard and bulb line of BOBR at CSTPS siding maintained by railway authority</v>
      </c>
      <c r="C723" s="1486" t="str">
        <f t="shared" si="54"/>
        <v>MERC/CAPEX/20122013/00818</v>
      </c>
      <c r="D723" s="1487">
        <f t="shared" si="54"/>
        <v>41100</v>
      </c>
      <c r="E723" s="1383">
        <f t="shared" si="54"/>
        <v>16.77</v>
      </c>
      <c r="F723" s="1480">
        <f t="shared" si="46"/>
        <v>0</v>
      </c>
      <c r="G723" s="1480">
        <f t="shared" si="47"/>
        <v>0</v>
      </c>
      <c r="H723" s="1480">
        <f t="shared" si="50"/>
        <v>0</v>
      </c>
      <c r="I723" s="1480">
        <v>0</v>
      </c>
      <c r="J723" s="1480">
        <v>0</v>
      </c>
      <c r="K723" s="1480"/>
      <c r="L723" s="1480"/>
      <c r="M723" s="1480">
        <f t="shared" si="51"/>
        <v>0</v>
      </c>
      <c r="N723" s="1480">
        <f t="shared" si="52"/>
        <v>0</v>
      </c>
      <c r="O723" s="1481">
        <f t="shared" si="48"/>
        <v>0</v>
      </c>
      <c r="P723" s="1427">
        <f t="shared" si="49"/>
        <v>0</v>
      </c>
    </row>
    <row r="724" spans="1:16" ht="62" outlineLevel="1" x14ac:dyDescent="0.25">
      <c r="A724" s="1488">
        <f t="shared" si="54"/>
        <v>6.1</v>
      </c>
      <c r="B724" s="1492" t="str">
        <f t="shared" si="54"/>
        <v>Complete Track Renovation (CTR) work of rail track from Chandrapur Vivekanand Nagar railway stations to exchange yard and bulb line of BOBR at CSTPS siding maintained by railway authority</v>
      </c>
      <c r="C724" s="1488" t="str">
        <f t="shared" si="54"/>
        <v>MERC/CAPEX/20122013/00818</v>
      </c>
      <c r="D724" s="1413">
        <f t="shared" si="54"/>
        <v>41100</v>
      </c>
      <c r="E724" s="560">
        <f t="shared" si="54"/>
        <v>16.77</v>
      </c>
      <c r="F724" s="1508">
        <f t="shared" si="46"/>
        <v>5.4266784059999997</v>
      </c>
      <c r="G724" s="1508">
        <f t="shared" si="47"/>
        <v>4.0159468</v>
      </c>
      <c r="H724" s="1508">
        <f t="shared" si="50"/>
        <v>1.4107316059999997</v>
      </c>
      <c r="I724" s="1480">
        <v>0</v>
      </c>
      <c r="J724" s="1480">
        <v>0</v>
      </c>
      <c r="K724" s="1508"/>
      <c r="L724" s="1508"/>
      <c r="M724" s="1509">
        <f t="shared" si="51"/>
        <v>0</v>
      </c>
      <c r="N724" s="1508">
        <f t="shared" si="52"/>
        <v>1.4107316059999997</v>
      </c>
      <c r="O724" s="1481">
        <f t="shared" si="48"/>
        <v>0</v>
      </c>
      <c r="P724" s="1427">
        <f t="shared" si="49"/>
        <v>0</v>
      </c>
    </row>
    <row r="725" spans="1:16" ht="31" outlineLevel="1" x14ac:dyDescent="0.25">
      <c r="A725" s="1477">
        <f t="shared" si="54"/>
        <v>7</v>
      </c>
      <c r="B725" s="1478" t="str">
        <f t="shared" si="54"/>
        <v>Construction of additional IDCT to improve performance of existing condenser cooling system of CSTPS Unit 5 &amp; 6</v>
      </c>
      <c r="C725" s="1477" t="str">
        <f t="shared" si="54"/>
        <v>MERC/CAPEX/20122013/00827</v>
      </c>
      <c r="D725" s="1479">
        <f t="shared" si="54"/>
        <v>41100</v>
      </c>
      <c r="E725" s="1383">
        <f t="shared" si="54"/>
        <v>29.28</v>
      </c>
      <c r="F725" s="1480">
        <f t="shared" si="46"/>
        <v>0</v>
      </c>
      <c r="G725" s="1480">
        <f t="shared" si="47"/>
        <v>0</v>
      </c>
      <c r="H725" s="1480">
        <f t="shared" si="50"/>
        <v>0</v>
      </c>
      <c r="I725" s="1480">
        <v>0</v>
      </c>
      <c r="J725" s="1480">
        <v>0</v>
      </c>
      <c r="K725" s="1480"/>
      <c r="L725" s="1480"/>
      <c r="M725" s="1480">
        <f t="shared" si="51"/>
        <v>0</v>
      </c>
      <c r="N725" s="1480">
        <f t="shared" si="52"/>
        <v>0</v>
      </c>
      <c r="O725" s="1481">
        <f t="shared" si="48"/>
        <v>0</v>
      </c>
      <c r="P725" s="1427">
        <f t="shared" si="49"/>
        <v>0</v>
      </c>
    </row>
    <row r="726" spans="1:16" ht="15.5" outlineLevel="1" x14ac:dyDescent="0.25">
      <c r="A726" s="1482">
        <f t="shared" si="54"/>
        <v>7.1</v>
      </c>
      <c r="B726" s="1483" t="str">
        <f t="shared" si="54"/>
        <v>Construction for U#5</v>
      </c>
      <c r="C726" s="1482" t="str">
        <f t="shared" si="54"/>
        <v>MERC/CAPEX/20122013/00827</v>
      </c>
      <c r="D726" s="1390">
        <f t="shared" si="54"/>
        <v>41100</v>
      </c>
      <c r="E726" s="560">
        <f t="shared" si="54"/>
        <v>11.2318</v>
      </c>
      <c r="F726" s="1508">
        <f t="shared" si="46"/>
        <v>19.378237200000001</v>
      </c>
      <c r="G726" s="1508">
        <f t="shared" si="47"/>
        <v>19.378237200000001</v>
      </c>
      <c r="H726" s="1508">
        <f t="shared" si="50"/>
        <v>0</v>
      </c>
      <c r="I726" s="1480">
        <v>0</v>
      </c>
      <c r="J726" s="1480">
        <v>0</v>
      </c>
      <c r="K726" s="1508"/>
      <c r="L726" s="1508"/>
      <c r="M726" s="1509">
        <f t="shared" si="51"/>
        <v>0</v>
      </c>
      <c r="N726" s="1508">
        <f t="shared" si="52"/>
        <v>0</v>
      </c>
      <c r="O726" s="1481">
        <f t="shared" si="48"/>
        <v>0</v>
      </c>
      <c r="P726" s="1427">
        <f t="shared" si="49"/>
        <v>0</v>
      </c>
    </row>
    <row r="727" spans="1:16" ht="15.5" outlineLevel="1" x14ac:dyDescent="0.25">
      <c r="A727" s="1482">
        <f t="shared" si="54"/>
        <v>7.2</v>
      </c>
      <c r="B727" s="1483" t="str">
        <f t="shared" si="54"/>
        <v>Construction for U#6</v>
      </c>
      <c r="C727" s="1482" t="str">
        <f t="shared" si="54"/>
        <v>MERC/CAPEX/20122013/00827</v>
      </c>
      <c r="D727" s="1390">
        <f t="shared" si="54"/>
        <v>41100</v>
      </c>
      <c r="E727" s="560">
        <f t="shared" si="54"/>
        <v>14.968</v>
      </c>
      <c r="F727" s="1508">
        <f t="shared" si="46"/>
        <v>23.1898537</v>
      </c>
      <c r="G727" s="1508">
        <f t="shared" si="47"/>
        <v>23.1898537</v>
      </c>
      <c r="H727" s="1508">
        <f t="shared" si="50"/>
        <v>0</v>
      </c>
      <c r="I727" s="1480">
        <v>0</v>
      </c>
      <c r="J727" s="1480">
        <v>0</v>
      </c>
      <c r="K727" s="1508"/>
      <c r="L727" s="1508"/>
      <c r="M727" s="1509">
        <f t="shared" si="51"/>
        <v>0</v>
      </c>
      <c r="N727" s="1508">
        <f t="shared" si="52"/>
        <v>0</v>
      </c>
      <c r="O727" s="1481">
        <f t="shared" si="48"/>
        <v>0</v>
      </c>
      <c r="P727" s="1427">
        <f t="shared" si="49"/>
        <v>0</v>
      </c>
    </row>
    <row r="728" spans="1:16" ht="15.5" outlineLevel="1" x14ac:dyDescent="0.25">
      <c r="A728" s="1482">
        <f t="shared" ref="A728:E743" si="55">A58</f>
        <v>0</v>
      </c>
      <c r="B728" s="1483" t="str">
        <f t="shared" si="55"/>
        <v>IDC</v>
      </c>
      <c r="C728" s="1482" t="str">
        <f t="shared" si="55"/>
        <v>MERC/CAPEX/20122013/00827</v>
      </c>
      <c r="D728" s="1390">
        <f t="shared" si="55"/>
        <v>41100</v>
      </c>
      <c r="E728" s="560">
        <f t="shared" si="55"/>
        <v>3.0802000000000014</v>
      </c>
      <c r="F728" s="1508">
        <f t="shared" si="46"/>
        <v>0</v>
      </c>
      <c r="G728" s="1508">
        <f t="shared" si="47"/>
        <v>0</v>
      </c>
      <c r="H728" s="1508">
        <f t="shared" si="50"/>
        <v>0</v>
      </c>
      <c r="I728" s="1480">
        <v>0</v>
      </c>
      <c r="J728" s="1480">
        <v>0</v>
      </c>
      <c r="K728" s="1508"/>
      <c r="L728" s="1508"/>
      <c r="M728" s="1509">
        <f t="shared" si="51"/>
        <v>0</v>
      </c>
      <c r="N728" s="1508">
        <f t="shared" si="52"/>
        <v>0</v>
      </c>
      <c r="O728" s="1481">
        <f t="shared" si="48"/>
        <v>0</v>
      </c>
      <c r="P728" s="1427">
        <f t="shared" si="49"/>
        <v>0</v>
      </c>
    </row>
    <row r="729" spans="1:16" ht="15.5" outlineLevel="1" x14ac:dyDescent="0.25">
      <c r="A729" s="1477">
        <f t="shared" si="55"/>
        <v>8</v>
      </c>
      <c r="B729" s="1478" t="str">
        <f t="shared" si="55"/>
        <v>Upgradation of IDCT Unit 5</v>
      </c>
      <c r="C729" s="1477" t="str">
        <f t="shared" si="55"/>
        <v>MERC/CAPEX/20122013/00914</v>
      </c>
      <c r="D729" s="1479">
        <f t="shared" si="55"/>
        <v>41108</v>
      </c>
      <c r="E729" s="1383">
        <f t="shared" si="55"/>
        <v>18.2</v>
      </c>
      <c r="F729" s="1480">
        <f t="shared" si="46"/>
        <v>0</v>
      </c>
      <c r="G729" s="1480">
        <f t="shared" si="47"/>
        <v>0</v>
      </c>
      <c r="H729" s="1480">
        <f t="shared" si="50"/>
        <v>0</v>
      </c>
      <c r="I729" s="1480">
        <v>0</v>
      </c>
      <c r="J729" s="1480">
        <v>0</v>
      </c>
      <c r="K729" s="1480"/>
      <c r="L729" s="1480"/>
      <c r="M729" s="1480">
        <f t="shared" si="51"/>
        <v>0</v>
      </c>
      <c r="N729" s="1480">
        <f t="shared" si="52"/>
        <v>0</v>
      </c>
      <c r="O729" s="1481">
        <f t="shared" si="48"/>
        <v>0</v>
      </c>
      <c r="P729" s="1427">
        <f t="shared" si="49"/>
        <v>0</v>
      </c>
    </row>
    <row r="730" spans="1:16" ht="15.5" outlineLevel="1" x14ac:dyDescent="0.25">
      <c r="A730" s="1482">
        <f t="shared" si="55"/>
        <v>8.1</v>
      </c>
      <c r="B730" s="1483" t="str">
        <f t="shared" si="55"/>
        <v>Cooling Tower IDCT for Unit-5A</v>
      </c>
      <c r="C730" s="1482" t="str">
        <f t="shared" si="55"/>
        <v>MERC/CAPEX/20122013/00914</v>
      </c>
      <c r="D730" s="1390">
        <f t="shared" si="55"/>
        <v>41108</v>
      </c>
      <c r="E730" s="560">
        <f t="shared" si="55"/>
        <v>8.5</v>
      </c>
      <c r="F730" s="1508">
        <f t="shared" si="46"/>
        <v>0</v>
      </c>
      <c r="G730" s="1508">
        <f t="shared" si="47"/>
        <v>0</v>
      </c>
      <c r="H730" s="1508">
        <f t="shared" si="50"/>
        <v>0</v>
      </c>
      <c r="I730" s="1480">
        <v>0</v>
      </c>
      <c r="J730" s="1480">
        <v>0</v>
      </c>
      <c r="K730" s="1508"/>
      <c r="L730" s="1508"/>
      <c r="M730" s="1509">
        <f t="shared" si="51"/>
        <v>0</v>
      </c>
      <c r="N730" s="1508">
        <f t="shared" si="52"/>
        <v>0</v>
      </c>
      <c r="O730" s="1481">
        <f t="shared" si="48"/>
        <v>0</v>
      </c>
      <c r="P730" s="1427">
        <f t="shared" si="49"/>
        <v>0</v>
      </c>
    </row>
    <row r="731" spans="1:16" ht="15.5" outlineLevel="1" x14ac:dyDescent="0.25">
      <c r="A731" s="1482">
        <f t="shared" si="55"/>
        <v>8.1999999999999993</v>
      </c>
      <c r="B731" s="1483" t="str">
        <f t="shared" si="55"/>
        <v>Cooling Tower IDCT for Unit-5B</v>
      </c>
      <c r="C731" s="1482" t="str">
        <f t="shared" si="55"/>
        <v>MERC/CAPEX/20122013/00914</v>
      </c>
      <c r="D731" s="1390">
        <f t="shared" si="55"/>
        <v>41108</v>
      </c>
      <c r="E731" s="560">
        <f t="shared" si="55"/>
        <v>8.5</v>
      </c>
      <c r="F731" s="1508">
        <f t="shared" si="46"/>
        <v>0</v>
      </c>
      <c r="G731" s="1508">
        <f t="shared" si="47"/>
        <v>0</v>
      </c>
      <c r="H731" s="1508">
        <f t="shared" si="50"/>
        <v>0</v>
      </c>
      <c r="I731" s="1480">
        <v>0</v>
      </c>
      <c r="J731" s="1480">
        <v>0</v>
      </c>
      <c r="K731" s="1508"/>
      <c r="L731" s="1508"/>
      <c r="M731" s="1509">
        <f t="shared" si="51"/>
        <v>0</v>
      </c>
      <c r="N731" s="1508">
        <f t="shared" si="52"/>
        <v>0</v>
      </c>
      <c r="O731" s="1481">
        <f t="shared" si="48"/>
        <v>0</v>
      </c>
      <c r="P731" s="1427">
        <f t="shared" si="49"/>
        <v>0</v>
      </c>
    </row>
    <row r="732" spans="1:16" ht="15.5" outlineLevel="1" x14ac:dyDescent="0.25">
      <c r="A732" s="1482">
        <f t="shared" si="55"/>
        <v>0</v>
      </c>
      <c r="B732" s="1483" t="str">
        <f t="shared" si="55"/>
        <v>IDC</v>
      </c>
      <c r="C732" s="1482" t="str">
        <f t="shared" si="55"/>
        <v>MERC/CAPEX/20122013/00914</v>
      </c>
      <c r="D732" s="1390">
        <f t="shared" si="55"/>
        <v>41108</v>
      </c>
      <c r="E732" s="560">
        <f t="shared" si="55"/>
        <v>1.2</v>
      </c>
      <c r="F732" s="1508">
        <f t="shared" si="46"/>
        <v>0</v>
      </c>
      <c r="G732" s="1508">
        <f t="shared" si="47"/>
        <v>0</v>
      </c>
      <c r="H732" s="1508">
        <f t="shared" si="50"/>
        <v>0</v>
      </c>
      <c r="I732" s="1480">
        <v>0</v>
      </c>
      <c r="J732" s="1480">
        <v>0</v>
      </c>
      <c r="K732" s="1508"/>
      <c r="L732" s="1508"/>
      <c r="M732" s="1509">
        <f t="shared" si="51"/>
        <v>0</v>
      </c>
      <c r="N732" s="1508">
        <f t="shared" si="52"/>
        <v>0</v>
      </c>
      <c r="O732" s="1481">
        <f t="shared" si="48"/>
        <v>0</v>
      </c>
      <c r="P732" s="1427">
        <f t="shared" si="49"/>
        <v>0</v>
      </c>
    </row>
    <row r="733" spans="1:16" ht="31" outlineLevel="1" x14ac:dyDescent="0.25">
      <c r="A733" s="1477">
        <f t="shared" si="55"/>
        <v>9</v>
      </c>
      <c r="B733" s="1478" t="str">
        <f t="shared" si="55"/>
        <v>LPT Retrofit at Chandrapur TPS Units 3 &amp; 4</v>
      </c>
      <c r="C733" s="1477" t="str">
        <f t="shared" si="55"/>
        <v>MERC/TECH 1/CAPEX/20132014/00823</v>
      </c>
      <c r="D733" s="1479">
        <f t="shared" si="55"/>
        <v>41464</v>
      </c>
      <c r="E733" s="1383">
        <f t="shared" si="55"/>
        <v>107.8364</v>
      </c>
      <c r="F733" s="1480">
        <f t="shared" si="46"/>
        <v>0</v>
      </c>
      <c r="G733" s="1480">
        <f t="shared" si="47"/>
        <v>0</v>
      </c>
      <c r="H733" s="1480">
        <f t="shared" si="50"/>
        <v>0</v>
      </c>
      <c r="I733" s="1480">
        <v>0</v>
      </c>
      <c r="J733" s="1480">
        <v>0</v>
      </c>
      <c r="K733" s="1480"/>
      <c r="L733" s="1480"/>
      <c r="M733" s="1480">
        <f t="shared" si="51"/>
        <v>0</v>
      </c>
      <c r="N733" s="1480">
        <f t="shared" si="52"/>
        <v>0</v>
      </c>
      <c r="O733" s="1481">
        <f t="shared" si="48"/>
        <v>0</v>
      </c>
      <c r="P733" s="1427">
        <f t="shared" si="49"/>
        <v>0</v>
      </c>
    </row>
    <row r="734" spans="1:16" ht="46.5" outlineLevel="1" x14ac:dyDescent="0.25">
      <c r="A734" s="1482">
        <f t="shared" si="55"/>
        <v>9.1</v>
      </c>
      <c r="B734" s="1483" t="str">
        <f t="shared" si="55"/>
        <v xml:space="preserve">Design, Engineering, Supply and Retrofitting of LP Cylinder with Modified Bladed rotor without Bauman’s Stages, diaphragms, liners, Gland sealing and exhaust hood spray. (total 2 units) </v>
      </c>
      <c r="C734" s="1482" t="str">
        <f t="shared" si="55"/>
        <v>MERC/TECH 1/CAPEX/20132014/00823</v>
      </c>
      <c r="D734" s="1390">
        <f t="shared" si="55"/>
        <v>41464</v>
      </c>
      <c r="E734" s="560">
        <f t="shared" si="55"/>
        <v>101.8526</v>
      </c>
      <c r="F734" s="1508">
        <f t="shared" si="46"/>
        <v>0</v>
      </c>
      <c r="G734" s="1508">
        <f t="shared" si="47"/>
        <v>0</v>
      </c>
      <c r="H734" s="1508">
        <f t="shared" si="50"/>
        <v>0</v>
      </c>
      <c r="I734" s="1480">
        <v>0</v>
      </c>
      <c r="J734" s="1480">
        <v>0</v>
      </c>
      <c r="K734" s="1508"/>
      <c r="L734" s="1508"/>
      <c r="M734" s="1509">
        <f t="shared" si="51"/>
        <v>0</v>
      </c>
      <c r="N734" s="1508">
        <f t="shared" si="52"/>
        <v>0</v>
      </c>
      <c r="O734" s="1481">
        <f t="shared" si="48"/>
        <v>0</v>
      </c>
      <c r="P734" s="1427">
        <f t="shared" si="49"/>
        <v>0</v>
      </c>
    </row>
    <row r="735" spans="1:16" ht="31" outlineLevel="1" x14ac:dyDescent="0.25">
      <c r="A735" s="1482">
        <f t="shared" si="55"/>
        <v>0</v>
      </c>
      <c r="B735" s="1483" t="str">
        <f t="shared" si="55"/>
        <v>IDC</v>
      </c>
      <c r="C735" s="1482" t="str">
        <f t="shared" si="55"/>
        <v>MERC/TECH 1/CAPEX/20132014/00823</v>
      </c>
      <c r="D735" s="1390">
        <f t="shared" si="55"/>
        <v>41464</v>
      </c>
      <c r="E735" s="560">
        <f t="shared" si="55"/>
        <v>5.9837999999999996</v>
      </c>
      <c r="F735" s="1508">
        <f t="shared" si="46"/>
        <v>0</v>
      </c>
      <c r="G735" s="1508">
        <f t="shared" si="47"/>
        <v>0</v>
      </c>
      <c r="H735" s="1508">
        <f t="shared" si="50"/>
        <v>0</v>
      </c>
      <c r="I735" s="1480">
        <v>0</v>
      </c>
      <c r="J735" s="1480">
        <v>0</v>
      </c>
      <c r="K735" s="1508"/>
      <c r="L735" s="1508"/>
      <c r="M735" s="1509">
        <f t="shared" si="51"/>
        <v>0</v>
      </c>
      <c r="N735" s="1508">
        <f t="shared" si="52"/>
        <v>0</v>
      </c>
      <c r="O735" s="1481">
        <f t="shared" si="48"/>
        <v>0</v>
      </c>
      <c r="P735" s="1427">
        <f t="shared" si="49"/>
        <v>0</v>
      </c>
    </row>
    <row r="736" spans="1:16" ht="15.5" outlineLevel="1" x14ac:dyDescent="0.25">
      <c r="A736" s="1489">
        <f t="shared" si="55"/>
        <v>10</v>
      </c>
      <c r="B736" s="1490" t="str">
        <f t="shared" si="55"/>
        <v>Modification in Ash Handling Plant at Chandrapur TPS unit 5 &amp; 6</v>
      </c>
      <c r="C736" s="1477" t="str">
        <f t="shared" si="55"/>
        <v>MERC/CAPEX/20122013/02104</v>
      </c>
      <c r="D736" s="1479">
        <f t="shared" si="55"/>
        <v>41281</v>
      </c>
      <c r="E736" s="1383">
        <f t="shared" si="55"/>
        <v>15.25</v>
      </c>
      <c r="F736" s="1480">
        <f t="shared" si="46"/>
        <v>0</v>
      </c>
      <c r="G736" s="1480">
        <f t="shared" si="47"/>
        <v>0</v>
      </c>
      <c r="H736" s="1480">
        <f t="shared" si="50"/>
        <v>0</v>
      </c>
      <c r="I736" s="1480">
        <v>0</v>
      </c>
      <c r="J736" s="1480">
        <v>0</v>
      </c>
      <c r="K736" s="1480"/>
      <c r="L736" s="1480"/>
      <c r="M736" s="1480">
        <f t="shared" si="51"/>
        <v>0</v>
      </c>
      <c r="N736" s="1480">
        <f t="shared" si="52"/>
        <v>0</v>
      </c>
      <c r="O736" s="1481">
        <f t="shared" si="48"/>
        <v>0</v>
      </c>
      <c r="P736" s="1427">
        <f t="shared" si="49"/>
        <v>0</v>
      </c>
    </row>
    <row r="737" spans="1:16" ht="15.5" outlineLevel="1" x14ac:dyDescent="0.25">
      <c r="A737" s="1484">
        <f t="shared" si="55"/>
        <v>10.1</v>
      </c>
      <c r="B737" s="1485" t="str">
        <f t="shared" si="55"/>
        <v>Complete series replacement in U-5 &amp; 6</v>
      </c>
      <c r="C737" s="1482" t="str">
        <f t="shared" si="55"/>
        <v>MERC/CAPEX/20122013/02104</v>
      </c>
      <c r="D737" s="1390">
        <f t="shared" si="55"/>
        <v>41281</v>
      </c>
      <c r="E737" s="560">
        <f t="shared" si="55"/>
        <v>7.12</v>
      </c>
      <c r="F737" s="1508">
        <f t="shared" si="46"/>
        <v>1.4079700719999999</v>
      </c>
      <c r="G737" s="1508">
        <f t="shared" si="47"/>
        <v>1.4079700719999999</v>
      </c>
      <c r="H737" s="1508">
        <f t="shared" si="50"/>
        <v>0</v>
      </c>
      <c r="I737" s="1480">
        <v>0</v>
      </c>
      <c r="J737" s="1480">
        <v>0</v>
      </c>
      <c r="K737" s="1508"/>
      <c r="L737" s="1508"/>
      <c r="M737" s="1509">
        <f t="shared" si="51"/>
        <v>0</v>
      </c>
      <c r="N737" s="1508">
        <f t="shared" si="52"/>
        <v>0</v>
      </c>
      <c r="O737" s="1481">
        <f t="shared" si="48"/>
        <v>0</v>
      </c>
      <c r="P737" s="1427">
        <f t="shared" si="49"/>
        <v>0</v>
      </c>
    </row>
    <row r="738" spans="1:16" ht="15.5" outlineLevel="1" x14ac:dyDescent="0.25">
      <c r="A738" s="1484">
        <f t="shared" si="55"/>
        <v>10.199999999999999</v>
      </c>
      <c r="B738" s="1485" t="str">
        <f t="shared" si="55"/>
        <v>Extension of ash lines inside ash bund (9000 Rmt)</v>
      </c>
      <c r="C738" s="1482" t="str">
        <f t="shared" si="55"/>
        <v>MERC/CAPEX/20122013/02104</v>
      </c>
      <c r="D738" s="1390">
        <f t="shared" si="55"/>
        <v>41281</v>
      </c>
      <c r="E738" s="560">
        <f t="shared" si="55"/>
        <v>3.03</v>
      </c>
      <c r="F738" s="1508">
        <f t="shared" si="46"/>
        <v>2.3133077700000002</v>
      </c>
      <c r="G738" s="1508">
        <f t="shared" si="47"/>
        <v>2.3133077700000002</v>
      </c>
      <c r="H738" s="1508">
        <f t="shared" si="50"/>
        <v>0</v>
      </c>
      <c r="I738" s="1480">
        <v>0.16907389999999989</v>
      </c>
      <c r="J738" s="1480">
        <v>0.1690739</v>
      </c>
      <c r="K738" s="1508"/>
      <c r="L738" s="1508"/>
      <c r="M738" s="1509">
        <f t="shared" si="51"/>
        <v>0.1690739</v>
      </c>
      <c r="N738" s="1508">
        <f t="shared" si="52"/>
        <v>0</v>
      </c>
      <c r="O738" s="1481">
        <f t="shared" si="48"/>
        <v>0.1690739</v>
      </c>
      <c r="P738" s="1427">
        <f t="shared" si="49"/>
        <v>0</v>
      </c>
    </row>
    <row r="739" spans="1:16" ht="15.5" outlineLevel="1" x14ac:dyDescent="0.25">
      <c r="A739" s="1484">
        <f t="shared" si="55"/>
        <v>10.3</v>
      </c>
      <c r="B739" s="1485" t="str">
        <f t="shared" si="55"/>
        <v>Replacement ash line worn out pipes</v>
      </c>
      <c r="C739" s="1482" t="str">
        <f t="shared" si="55"/>
        <v>MERC/CAPEX/20122013/02104</v>
      </c>
      <c r="D739" s="1390">
        <f t="shared" si="55"/>
        <v>41281</v>
      </c>
      <c r="E739" s="560">
        <f t="shared" si="55"/>
        <v>3.6</v>
      </c>
      <c r="F739" s="1508">
        <f t="shared" si="46"/>
        <v>4.4210943270000005</v>
      </c>
      <c r="G739" s="1508">
        <f t="shared" si="47"/>
        <v>4.4210943270000005</v>
      </c>
      <c r="H739" s="1508">
        <f t="shared" si="50"/>
        <v>0</v>
      </c>
      <c r="I739" s="1480">
        <v>0</v>
      </c>
      <c r="J739" s="1480">
        <v>0</v>
      </c>
      <c r="K739" s="1508"/>
      <c r="L739" s="1508"/>
      <c r="M739" s="1509">
        <f t="shared" si="51"/>
        <v>0</v>
      </c>
      <c r="N739" s="1508">
        <f t="shared" si="52"/>
        <v>0</v>
      </c>
      <c r="O739" s="1481">
        <f t="shared" si="48"/>
        <v>0</v>
      </c>
      <c r="P739" s="1427">
        <f t="shared" si="49"/>
        <v>0</v>
      </c>
    </row>
    <row r="740" spans="1:16" ht="15.5" outlineLevel="1" x14ac:dyDescent="0.25">
      <c r="A740" s="1484">
        <f t="shared" si="55"/>
        <v>0</v>
      </c>
      <c r="B740" s="1485" t="str">
        <f t="shared" si="55"/>
        <v>IDC</v>
      </c>
      <c r="C740" s="1482" t="str">
        <f t="shared" si="55"/>
        <v>MERC/CAPEX/20122013/02104</v>
      </c>
      <c r="D740" s="1390">
        <f t="shared" si="55"/>
        <v>41281</v>
      </c>
      <c r="E740" s="560">
        <f t="shared" si="55"/>
        <v>1.5</v>
      </c>
      <c r="F740" s="1508">
        <f t="shared" si="46"/>
        <v>0</v>
      </c>
      <c r="G740" s="1508">
        <f t="shared" si="47"/>
        <v>0</v>
      </c>
      <c r="H740" s="1508">
        <f t="shared" si="50"/>
        <v>0</v>
      </c>
      <c r="I740" s="1480">
        <v>0</v>
      </c>
      <c r="J740" s="1480">
        <v>0</v>
      </c>
      <c r="K740" s="1508"/>
      <c r="L740" s="1508"/>
      <c r="M740" s="1509">
        <f t="shared" si="51"/>
        <v>0</v>
      </c>
      <c r="N740" s="1508">
        <f t="shared" si="52"/>
        <v>0</v>
      </c>
      <c r="O740" s="1481">
        <f t="shared" si="48"/>
        <v>0</v>
      </c>
      <c r="P740" s="1427">
        <f t="shared" si="49"/>
        <v>0</v>
      </c>
    </row>
    <row r="741" spans="1:16" ht="31" outlineLevel="1" x14ac:dyDescent="0.25">
      <c r="A741" s="1477">
        <f t="shared" si="55"/>
        <v>11</v>
      </c>
      <c r="B741" s="1478" t="str">
        <f t="shared" si="55"/>
        <v>Fully Integrated Security Surveillance System</v>
      </c>
      <c r="C741" s="1477" t="str">
        <f t="shared" si="55"/>
        <v>MERC/TECH 1/CAPEX/20122013/00190</v>
      </c>
      <c r="D741" s="1479">
        <f t="shared" si="55"/>
        <v>41382</v>
      </c>
      <c r="E741" s="1383">
        <f t="shared" si="55"/>
        <v>54.197924999999991</v>
      </c>
      <c r="F741" s="1480">
        <f t="shared" si="46"/>
        <v>0</v>
      </c>
      <c r="G741" s="1480">
        <f t="shared" si="47"/>
        <v>0</v>
      </c>
      <c r="H741" s="1480">
        <f t="shared" si="50"/>
        <v>0</v>
      </c>
      <c r="I741" s="1480">
        <v>0</v>
      </c>
      <c r="J741" s="1480">
        <v>0</v>
      </c>
      <c r="K741" s="1480"/>
      <c r="L741" s="1480"/>
      <c r="M741" s="1480">
        <f t="shared" si="51"/>
        <v>0</v>
      </c>
      <c r="N741" s="1480">
        <f t="shared" si="52"/>
        <v>0</v>
      </c>
      <c r="O741" s="1481">
        <f t="shared" si="48"/>
        <v>0</v>
      </c>
      <c r="P741" s="1427">
        <f t="shared" si="49"/>
        <v>0</v>
      </c>
    </row>
    <row r="742" spans="1:16" ht="31" outlineLevel="1" x14ac:dyDescent="0.25">
      <c r="A742" s="1482">
        <f t="shared" si="55"/>
        <v>11.1</v>
      </c>
      <c r="B742" s="1483" t="str">
        <f t="shared" si="55"/>
        <v xml:space="preserve">Long range cameras </v>
      </c>
      <c r="C742" s="1482" t="str">
        <f t="shared" si="55"/>
        <v>MERC/TECH 1/CAPEX/20122013/00190</v>
      </c>
      <c r="D742" s="1390">
        <f t="shared" si="55"/>
        <v>41382</v>
      </c>
      <c r="E742" s="560">
        <f t="shared" si="55"/>
        <v>12.3</v>
      </c>
      <c r="F742" s="1508">
        <f t="shared" si="46"/>
        <v>0</v>
      </c>
      <c r="G742" s="1508">
        <f t="shared" si="47"/>
        <v>0</v>
      </c>
      <c r="H742" s="1508">
        <f t="shared" si="50"/>
        <v>0</v>
      </c>
      <c r="I742" s="1480">
        <v>0</v>
      </c>
      <c r="J742" s="1480">
        <v>0</v>
      </c>
      <c r="K742" s="1508"/>
      <c r="L742" s="1508"/>
      <c r="M742" s="1509">
        <f t="shared" si="51"/>
        <v>0</v>
      </c>
      <c r="N742" s="1508">
        <f t="shared" si="52"/>
        <v>0</v>
      </c>
      <c r="O742" s="1481">
        <f t="shared" si="48"/>
        <v>0</v>
      </c>
      <c r="P742" s="1427">
        <f t="shared" si="49"/>
        <v>0</v>
      </c>
    </row>
    <row r="743" spans="1:16" ht="31" outlineLevel="1" x14ac:dyDescent="0.25">
      <c r="A743" s="1482">
        <f t="shared" si="55"/>
        <v>11.2</v>
      </c>
      <c r="B743" s="1483" t="str">
        <f t="shared" si="55"/>
        <v xml:space="preserve">Laser fence sensors/buried cable </v>
      </c>
      <c r="C743" s="1482" t="str">
        <f t="shared" si="55"/>
        <v>MERC/TECH 1/CAPEX/20122013/00190</v>
      </c>
      <c r="D743" s="1390">
        <f t="shared" si="55"/>
        <v>41382</v>
      </c>
      <c r="E743" s="560">
        <f t="shared" si="55"/>
        <v>6.1</v>
      </c>
      <c r="F743" s="1508">
        <f t="shared" si="46"/>
        <v>0</v>
      </c>
      <c r="G743" s="1508">
        <f t="shared" si="47"/>
        <v>0</v>
      </c>
      <c r="H743" s="1508">
        <f t="shared" si="50"/>
        <v>0</v>
      </c>
      <c r="I743" s="1480">
        <v>0</v>
      </c>
      <c r="J743" s="1480">
        <v>0</v>
      </c>
      <c r="K743" s="1508"/>
      <c r="L743" s="1508"/>
      <c r="M743" s="1509">
        <f t="shared" si="51"/>
        <v>0</v>
      </c>
      <c r="N743" s="1508">
        <f t="shared" si="52"/>
        <v>0</v>
      </c>
      <c r="O743" s="1481">
        <f t="shared" si="48"/>
        <v>0</v>
      </c>
      <c r="P743" s="1427">
        <f t="shared" si="49"/>
        <v>0</v>
      </c>
    </row>
    <row r="744" spans="1:16" ht="31" outlineLevel="1" x14ac:dyDescent="0.25">
      <c r="A744" s="1482">
        <f t="shared" ref="A744:E759" si="56">A74</f>
        <v>11.3</v>
      </c>
      <c r="B744" s="1483" t="str">
        <f t="shared" si="56"/>
        <v xml:space="preserve">PTZ/fixed cameras </v>
      </c>
      <c r="C744" s="1482" t="str">
        <f t="shared" si="56"/>
        <v>MERC/TECH 1/CAPEX/20122013/00190</v>
      </c>
      <c r="D744" s="1390">
        <f t="shared" si="56"/>
        <v>41382</v>
      </c>
      <c r="E744" s="560">
        <f t="shared" si="56"/>
        <v>8.0749999999999993</v>
      </c>
      <c r="F744" s="1508">
        <f t="shared" ref="F744:F807" si="57">F74+I74</f>
        <v>0</v>
      </c>
      <c r="G744" s="1508">
        <f t="shared" ref="G744:G807" si="58">G74+M74</f>
        <v>0</v>
      </c>
      <c r="H744" s="1508">
        <f t="shared" si="50"/>
        <v>0</v>
      </c>
      <c r="I744" s="1480">
        <v>0</v>
      </c>
      <c r="J744" s="1480">
        <v>0</v>
      </c>
      <c r="K744" s="1508"/>
      <c r="L744" s="1508"/>
      <c r="M744" s="1509">
        <f t="shared" si="51"/>
        <v>0</v>
      </c>
      <c r="N744" s="1508">
        <f t="shared" si="52"/>
        <v>0</v>
      </c>
      <c r="O744" s="1481">
        <f t="shared" ref="O744:O807" si="59">MAX(0,IF(M744=0,0,IF(G744+M744&lt;E744,M744,E744-G744)))</f>
        <v>0</v>
      </c>
      <c r="P744" s="1427">
        <f t="shared" ref="P744:P807" si="60">M744-O744</f>
        <v>0</v>
      </c>
    </row>
    <row r="745" spans="1:16" ht="31" outlineLevel="1" x14ac:dyDescent="0.25">
      <c r="A745" s="1482">
        <f t="shared" si="56"/>
        <v>11.4</v>
      </c>
      <c r="B745" s="1483" t="str">
        <f t="shared" si="56"/>
        <v xml:space="preserve">Command &amp; control /video wall </v>
      </c>
      <c r="C745" s="1482" t="str">
        <f t="shared" si="56"/>
        <v>MERC/TECH 1/CAPEX/20122013/00190</v>
      </c>
      <c r="D745" s="1390">
        <f t="shared" si="56"/>
        <v>41382</v>
      </c>
      <c r="E745" s="560">
        <f t="shared" si="56"/>
        <v>16</v>
      </c>
      <c r="F745" s="1508">
        <f t="shared" si="57"/>
        <v>0</v>
      </c>
      <c r="G745" s="1508">
        <f t="shared" si="58"/>
        <v>0</v>
      </c>
      <c r="H745" s="1508">
        <f t="shared" ref="H745:H808" si="61">F745-G745</f>
        <v>0</v>
      </c>
      <c r="I745" s="1480">
        <v>0</v>
      </c>
      <c r="J745" s="1480">
        <v>0</v>
      </c>
      <c r="K745" s="1508"/>
      <c r="L745" s="1508"/>
      <c r="M745" s="1509">
        <f t="shared" ref="M745:M808" si="62">SUM(J745:L745)</f>
        <v>0</v>
      </c>
      <c r="N745" s="1508">
        <f t="shared" ref="N745:N808" si="63">H745+I745-M745</f>
        <v>0</v>
      </c>
      <c r="O745" s="1481">
        <f t="shared" si="59"/>
        <v>0</v>
      </c>
      <c r="P745" s="1427">
        <f t="shared" si="60"/>
        <v>0</v>
      </c>
    </row>
    <row r="746" spans="1:16" ht="31" outlineLevel="1" x14ac:dyDescent="0.25">
      <c r="A746" s="1482">
        <f t="shared" si="56"/>
        <v>11.5</v>
      </c>
      <c r="B746" s="1483" t="str">
        <f t="shared" si="56"/>
        <v xml:space="preserve">Communication </v>
      </c>
      <c r="C746" s="1482" t="str">
        <f t="shared" si="56"/>
        <v>MERC/TECH 1/CAPEX/20122013/00190</v>
      </c>
      <c r="D746" s="1390">
        <f t="shared" si="56"/>
        <v>41382</v>
      </c>
      <c r="E746" s="560">
        <f t="shared" si="56"/>
        <v>0.45950000000000002</v>
      </c>
      <c r="F746" s="1508">
        <f t="shared" si="57"/>
        <v>0</v>
      </c>
      <c r="G746" s="1508">
        <f t="shared" si="58"/>
        <v>0</v>
      </c>
      <c r="H746" s="1508">
        <f t="shared" si="61"/>
        <v>0</v>
      </c>
      <c r="I746" s="1480">
        <v>0</v>
      </c>
      <c r="J746" s="1480">
        <v>0</v>
      </c>
      <c r="K746" s="1508"/>
      <c r="L746" s="1508"/>
      <c r="M746" s="1509">
        <f t="shared" si="62"/>
        <v>0</v>
      </c>
      <c r="N746" s="1508">
        <f t="shared" si="63"/>
        <v>0</v>
      </c>
      <c r="O746" s="1481">
        <f t="shared" si="59"/>
        <v>0</v>
      </c>
      <c r="P746" s="1427">
        <f t="shared" si="60"/>
        <v>0</v>
      </c>
    </row>
    <row r="747" spans="1:16" ht="31" outlineLevel="1" x14ac:dyDescent="0.25">
      <c r="A747" s="1482">
        <f t="shared" si="56"/>
        <v>11.6</v>
      </c>
      <c r="B747" s="1483" t="str">
        <f t="shared" si="56"/>
        <v>RFID</v>
      </c>
      <c r="C747" s="1482" t="str">
        <f t="shared" si="56"/>
        <v>MERC/TECH 1/CAPEX/20122013/00190</v>
      </c>
      <c r="D747" s="1390">
        <f t="shared" si="56"/>
        <v>41382</v>
      </c>
      <c r="E747" s="560">
        <f t="shared" si="56"/>
        <v>0.83</v>
      </c>
      <c r="F747" s="1508">
        <f t="shared" si="57"/>
        <v>0</v>
      </c>
      <c r="G747" s="1508">
        <f t="shared" si="58"/>
        <v>0</v>
      </c>
      <c r="H747" s="1508">
        <f t="shared" si="61"/>
        <v>0</v>
      </c>
      <c r="I747" s="1480">
        <v>0</v>
      </c>
      <c r="J747" s="1480">
        <v>0</v>
      </c>
      <c r="K747" s="1508"/>
      <c r="L747" s="1508"/>
      <c r="M747" s="1509">
        <f t="shared" si="62"/>
        <v>0</v>
      </c>
      <c r="N747" s="1508">
        <f t="shared" si="63"/>
        <v>0</v>
      </c>
      <c r="O747" s="1481">
        <f t="shared" si="59"/>
        <v>0</v>
      </c>
      <c r="P747" s="1427">
        <f t="shared" si="60"/>
        <v>0</v>
      </c>
    </row>
    <row r="748" spans="1:16" ht="31" outlineLevel="1" x14ac:dyDescent="0.25">
      <c r="A748" s="1482">
        <f t="shared" si="56"/>
        <v>11.7</v>
      </c>
      <c r="B748" s="1483" t="str">
        <f t="shared" si="56"/>
        <v>LPR</v>
      </c>
      <c r="C748" s="1482" t="str">
        <f t="shared" si="56"/>
        <v>MERC/TECH 1/CAPEX/20122013/00190</v>
      </c>
      <c r="D748" s="1390">
        <f t="shared" si="56"/>
        <v>41382</v>
      </c>
      <c r="E748" s="560">
        <f t="shared" si="56"/>
        <v>0.6</v>
      </c>
      <c r="F748" s="1508">
        <f t="shared" si="57"/>
        <v>0</v>
      </c>
      <c r="G748" s="1508">
        <f t="shared" si="58"/>
        <v>0</v>
      </c>
      <c r="H748" s="1508">
        <f t="shared" si="61"/>
        <v>0</v>
      </c>
      <c r="I748" s="1480">
        <v>0</v>
      </c>
      <c r="J748" s="1480">
        <v>0</v>
      </c>
      <c r="K748" s="1508"/>
      <c r="L748" s="1508"/>
      <c r="M748" s="1509">
        <f t="shared" si="62"/>
        <v>0</v>
      </c>
      <c r="N748" s="1508">
        <f t="shared" si="63"/>
        <v>0</v>
      </c>
      <c r="O748" s="1481">
        <f t="shared" si="59"/>
        <v>0</v>
      </c>
      <c r="P748" s="1427">
        <f t="shared" si="60"/>
        <v>0</v>
      </c>
    </row>
    <row r="749" spans="1:16" ht="31" outlineLevel="1" x14ac:dyDescent="0.25">
      <c r="A749" s="1482">
        <f t="shared" si="56"/>
        <v>11.8</v>
      </c>
      <c r="B749" s="1483" t="str">
        <f t="shared" si="56"/>
        <v xml:space="preserve">Electricals/networking </v>
      </c>
      <c r="C749" s="1482" t="str">
        <f t="shared" si="56"/>
        <v>MERC/TECH 1/CAPEX/20122013/00190</v>
      </c>
      <c r="D749" s="1390">
        <f t="shared" si="56"/>
        <v>41382</v>
      </c>
      <c r="E749" s="560">
        <f t="shared" si="56"/>
        <v>2.8674249999999999</v>
      </c>
      <c r="F749" s="1508">
        <f t="shared" si="57"/>
        <v>0</v>
      </c>
      <c r="G749" s="1508">
        <f t="shared" si="58"/>
        <v>0</v>
      </c>
      <c r="H749" s="1508">
        <f t="shared" si="61"/>
        <v>0</v>
      </c>
      <c r="I749" s="1480">
        <v>0</v>
      </c>
      <c r="J749" s="1480">
        <v>0</v>
      </c>
      <c r="K749" s="1508"/>
      <c r="L749" s="1508"/>
      <c r="M749" s="1509">
        <f t="shared" si="62"/>
        <v>0</v>
      </c>
      <c r="N749" s="1508">
        <f t="shared" si="63"/>
        <v>0</v>
      </c>
      <c r="O749" s="1481">
        <f t="shared" si="59"/>
        <v>0</v>
      </c>
      <c r="P749" s="1427">
        <f t="shared" si="60"/>
        <v>0</v>
      </c>
    </row>
    <row r="750" spans="1:16" ht="31" outlineLevel="1" x14ac:dyDescent="0.25">
      <c r="A750" s="1482">
        <f t="shared" si="56"/>
        <v>11.9</v>
      </c>
      <c r="B750" s="1483" t="str">
        <f t="shared" si="56"/>
        <v xml:space="preserve">Infrastructure </v>
      </c>
      <c r="C750" s="1482" t="str">
        <f t="shared" si="56"/>
        <v>MERC/TECH 1/CAPEX/20122013/00190</v>
      </c>
      <c r="D750" s="1390">
        <f t="shared" si="56"/>
        <v>41382</v>
      </c>
      <c r="E750" s="560">
        <f t="shared" si="56"/>
        <v>3.8959999999999999</v>
      </c>
      <c r="F750" s="1508">
        <f t="shared" si="57"/>
        <v>0</v>
      </c>
      <c r="G750" s="1508">
        <f t="shared" si="58"/>
        <v>0</v>
      </c>
      <c r="H750" s="1508">
        <f t="shared" si="61"/>
        <v>0</v>
      </c>
      <c r="I750" s="1480">
        <v>0</v>
      </c>
      <c r="J750" s="1480">
        <v>0</v>
      </c>
      <c r="K750" s="1508"/>
      <c r="L750" s="1508"/>
      <c r="M750" s="1509">
        <f t="shared" si="62"/>
        <v>0</v>
      </c>
      <c r="N750" s="1508">
        <f t="shared" si="63"/>
        <v>0</v>
      </c>
      <c r="O750" s="1481">
        <f t="shared" si="59"/>
        <v>0</v>
      </c>
      <c r="P750" s="1427">
        <f t="shared" si="60"/>
        <v>0</v>
      </c>
    </row>
    <row r="751" spans="1:16" ht="31" outlineLevel="1" x14ac:dyDescent="0.25">
      <c r="A751" s="1482">
        <f t="shared" si="56"/>
        <v>0</v>
      </c>
      <c r="B751" s="1483" t="str">
        <f t="shared" si="56"/>
        <v>IDC</v>
      </c>
      <c r="C751" s="1482" t="str">
        <f t="shared" si="56"/>
        <v>MERC/TECH 1/CAPEX/20122013/00190</v>
      </c>
      <c r="D751" s="1390">
        <f t="shared" si="56"/>
        <v>41382</v>
      </c>
      <c r="E751" s="560">
        <f t="shared" si="56"/>
        <v>3.07</v>
      </c>
      <c r="F751" s="1508">
        <f t="shared" si="57"/>
        <v>0</v>
      </c>
      <c r="G751" s="1508">
        <f t="shared" si="58"/>
        <v>0</v>
      </c>
      <c r="H751" s="1508">
        <f t="shared" si="61"/>
        <v>0</v>
      </c>
      <c r="I751" s="1480">
        <v>0</v>
      </c>
      <c r="J751" s="1480">
        <v>0</v>
      </c>
      <c r="K751" s="1508"/>
      <c r="L751" s="1508"/>
      <c r="M751" s="1509">
        <f t="shared" si="62"/>
        <v>0</v>
      </c>
      <c r="N751" s="1508">
        <f t="shared" si="63"/>
        <v>0</v>
      </c>
      <c r="O751" s="1481">
        <f t="shared" si="59"/>
        <v>0</v>
      </c>
      <c r="P751" s="1427">
        <f t="shared" si="60"/>
        <v>0</v>
      </c>
    </row>
    <row r="752" spans="1:16" ht="31" outlineLevel="1" x14ac:dyDescent="0.25">
      <c r="A752" s="1489">
        <f t="shared" si="56"/>
        <v>12</v>
      </c>
      <c r="B752" s="1490" t="str">
        <f t="shared" si="56"/>
        <v>Revamping of existing SWAS installed at U#1 to 4 and commissioning of new  (AFGC) System of U#5&amp;7</v>
      </c>
      <c r="C752" s="1486" t="str">
        <f t="shared" si="56"/>
        <v>MERC/TECH 1/CAPEX/20132014/01366</v>
      </c>
      <c r="D752" s="1487">
        <f t="shared" si="56"/>
        <v>41551</v>
      </c>
      <c r="E752" s="1383">
        <f t="shared" si="56"/>
        <v>10.083855999999999</v>
      </c>
      <c r="F752" s="1480">
        <f t="shared" si="57"/>
        <v>0</v>
      </c>
      <c r="G752" s="1480">
        <f t="shared" si="58"/>
        <v>0</v>
      </c>
      <c r="H752" s="1480">
        <f t="shared" si="61"/>
        <v>0</v>
      </c>
      <c r="I752" s="1480">
        <v>0</v>
      </c>
      <c r="J752" s="1480">
        <v>0</v>
      </c>
      <c r="K752" s="1480"/>
      <c r="L752" s="1480"/>
      <c r="M752" s="1480">
        <f t="shared" si="62"/>
        <v>0</v>
      </c>
      <c r="N752" s="1480">
        <f t="shared" si="63"/>
        <v>0</v>
      </c>
      <c r="O752" s="1481">
        <f t="shared" si="59"/>
        <v>0</v>
      </c>
      <c r="P752" s="1427">
        <f t="shared" si="60"/>
        <v>0</v>
      </c>
    </row>
    <row r="753" spans="1:16" ht="31" outlineLevel="1" x14ac:dyDescent="0.25">
      <c r="A753" s="1484">
        <f t="shared" si="56"/>
        <v>12.1</v>
      </c>
      <c r="B753" s="1485" t="str">
        <f t="shared" si="56"/>
        <v>AFGC U 5,7</v>
      </c>
      <c r="C753" s="1482" t="str">
        <f t="shared" si="56"/>
        <v>MERC/TECH 1/CAPEX/20132014/01366</v>
      </c>
      <c r="D753" s="1390">
        <f t="shared" si="56"/>
        <v>41551</v>
      </c>
      <c r="E753" s="560">
        <f t="shared" si="56"/>
        <v>2.08</v>
      </c>
      <c r="F753" s="1508">
        <f t="shared" si="57"/>
        <v>2.0369565389999997</v>
      </c>
      <c r="G753" s="1508">
        <f t="shared" si="58"/>
        <v>2.0369565389999997</v>
      </c>
      <c r="H753" s="1508">
        <f t="shared" si="61"/>
        <v>0</v>
      </c>
      <c r="I753" s="1480">
        <v>0</v>
      </c>
      <c r="J753" s="1480">
        <v>0</v>
      </c>
      <c r="K753" s="1508"/>
      <c r="L753" s="1508"/>
      <c r="M753" s="1509">
        <f t="shared" si="62"/>
        <v>0</v>
      </c>
      <c r="N753" s="1508">
        <f t="shared" si="63"/>
        <v>0</v>
      </c>
      <c r="O753" s="1481">
        <f t="shared" si="59"/>
        <v>0</v>
      </c>
      <c r="P753" s="1427">
        <f t="shared" si="60"/>
        <v>0</v>
      </c>
    </row>
    <row r="754" spans="1:16" ht="31" outlineLevel="1" x14ac:dyDescent="0.25">
      <c r="A754" s="1484">
        <f t="shared" si="56"/>
        <v>12.2</v>
      </c>
      <c r="B754" s="1485" t="str">
        <f t="shared" si="56"/>
        <v>Dismantling and revamping of Sample panels of Unit 1 to 4. (4 Nos.)</v>
      </c>
      <c r="C754" s="1488" t="str">
        <f t="shared" si="56"/>
        <v>MERC/TECH 1/CAPEX/20132014/01366</v>
      </c>
      <c r="D754" s="1413">
        <f t="shared" si="56"/>
        <v>41551</v>
      </c>
      <c r="E754" s="560">
        <f t="shared" si="56"/>
        <v>7.1338559999999998</v>
      </c>
      <c r="F754" s="1508">
        <f t="shared" si="57"/>
        <v>0</v>
      </c>
      <c r="G754" s="1508">
        <f t="shared" si="58"/>
        <v>0</v>
      </c>
      <c r="H754" s="1508">
        <f t="shared" si="61"/>
        <v>0</v>
      </c>
      <c r="I754" s="1480">
        <v>0</v>
      </c>
      <c r="J754" s="1480">
        <v>0</v>
      </c>
      <c r="K754" s="1508"/>
      <c r="L754" s="1508"/>
      <c r="M754" s="1509">
        <f t="shared" si="62"/>
        <v>0</v>
      </c>
      <c r="N754" s="1508">
        <f t="shared" si="63"/>
        <v>0</v>
      </c>
      <c r="O754" s="1481">
        <f t="shared" si="59"/>
        <v>0</v>
      </c>
      <c r="P754" s="1427">
        <f t="shared" si="60"/>
        <v>0</v>
      </c>
    </row>
    <row r="755" spans="1:16" ht="31" outlineLevel="1" x14ac:dyDescent="0.25">
      <c r="A755" s="1484">
        <f t="shared" si="56"/>
        <v>0</v>
      </c>
      <c r="B755" s="1485" t="str">
        <f t="shared" si="56"/>
        <v>IDC</v>
      </c>
      <c r="C755" s="1482" t="str">
        <f t="shared" si="56"/>
        <v>MERC/TECH 1/CAPEX/20132014/01366</v>
      </c>
      <c r="D755" s="1390">
        <f t="shared" si="56"/>
        <v>41551</v>
      </c>
      <c r="E755" s="560">
        <f t="shared" si="56"/>
        <v>0.87</v>
      </c>
      <c r="F755" s="1508">
        <f t="shared" si="57"/>
        <v>0</v>
      </c>
      <c r="G755" s="1508">
        <f t="shared" si="58"/>
        <v>0</v>
      </c>
      <c r="H755" s="1508">
        <f t="shared" si="61"/>
        <v>0</v>
      </c>
      <c r="I755" s="1480">
        <v>0</v>
      </c>
      <c r="J755" s="1480">
        <v>0</v>
      </c>
      <c r="K755" s="1508"/>
      <c r="L755" s="1508"/>
      <c r="M755" s="1509">
        <f t="shared" si="62"/>
        <v>0</v>
      </c>
      <c r="N755" s="1508">
        <f t="shared" si="63"/>
        <v>0</v>
      </c>
      <c r="O755" s="1481">
        <f t="shared" si="59"/>
        <v>0</v>
      </c>
      <c r="P755" s="1427">
        <f t="shared" si="60"/>
        <v>0</v>
      </c>
    </row>
    <row r="756" spans="1:16" ht="31" outlineLevel="1" x14ac:dyDescent="0.25">
      <c r="A756" s="1477">
        <f t="shared" si="56"/>
        <v>13</v>
      </c>
      <c r="B756" s="1478" t="str">
        <f t="shared" si="56"/>
        <v>Replacements Platen Super Heater &amp; Eco Additional of U-5 &amp; U-6 and Upper &amp; Lower LTSH &amp; Eco Bottom assemblies of U-7</v>
      </c>
      <c r="C756" s="1477" t="str">
        <f t="shared" si="56"/>
        <v>MERC/TECH 1/CAPEX/20132014/01936</v>
      </c>
      <c r="D756" s="1479">
        <f t="shared" si="56"/>
        <v>41647</v>
      </c>
      <c r="E756" s="1383">
        <f t="shared" si="56"/>
        <v>76.570000000000007</v>
      </c>
      <c r="F756" s="1480">
        <f t="shared" si="57"/>
        <v>0</v>
      </c>
      <c r="G756" s="1480">
        <f t="shared" si="58"/>
        <v>0</v>
      </c>
      <c r="H756" s="1480">
        <f t="shared" si="61"/>
        <v>0</v>
      </c>
      <c r="I756" s="1480">
        <v>0</v>
      </c>
      <c r="J756" s="1480">
        <v>0</v>
      </c>
      <c r="K756" s="1480"/>
      <c r="L756" s="1480"/>
      <c r="M756" s="1480">
        <f t="shared" si="62"/>
        <v>0</v>
      </c>
      <c r="N756" s="1480">
        <f t="shared" si="63"/>
        <v>0</v>
      </c>
      <c r="O756" s="1481">
        <f t="shared" si="59"/>
        <v>0</v>
      </c>
      <c r="P756" s="1427">
        <f t="shared" si="60"/>
        <v>0</v>
      </c>
    </row>
    <row r="757" spans="1:16" ht="31" outlineLevel="1" x14ac:dyDescent="0.25">
      <c r="A757" s="1482">
        <f t="shared" si="56"/>
        <v>13.1</v>
      </c>
      <c r="B757" s="1483" t="str">
        <f t="shared" si="56"/>
        <v>Platen super heater assemblies – 24 nos each for Unit-5 &amp; 6(2 sets)</v>
      </c>
      <c r="C757" s="1482" t="str">
        <f t="shared" si="56"/>
        <v>MERC/TECH 1/CAPEX/20132014/01936</v>
      </c>
      <c r="D757" s="1390">
        <f t="shared" si="56"/>
        <v>41647</v>
      </c>
      <c r="E757" s="560">
        <f t="shared" si="56"/>
        <v>32.76</v>
      </c>
      <c r="F757" s="1508">
        <f t="shared" si="57"/>
        <v>11.660929755000002</v>
      </c>
      <c r="G757" s="1508">
        <f t="shared" si="58"/>
        <v>11.660929755000002</v>
      </c>
      <c r="H757" s="1508">
        <f t="shared" si="61"/>
        <v>0</v>
      </c>
      <c r="I757" s="1480">
        <v>0</v>
      </c>
      <c r="J757" s="1480">
        <v>0</v>
      </c>
      <c r="K757" s="1508"/>
      <c r="L757" s="1508"/>
      <c r="M757" s="1509">
        <f t="shared" si="62"/>
        <v>0</v>
      </c>
      <c r="N757" s="1508">
        <f t="shared" si="63"/>
        <v>0</v>
      </c>
      <c r="O757" s="1481">
        <f t="shared" si="59"/>
        <v>0</v>
      </c>
      <c r="P757" s="1427">
        <f t="shared" si="60"/>
        <v>0</v>
      </c>
    </row>
    <row r="758" spans="1:16" ht="31" outlineLevel="1" x14ac:dyDescent="0.25">
      <c r="A758" s="1482">
        <f t="shared" si="56"/>
        <v>13.2</v>
      </c>
      <c r="B758" s="1483" t="str">
        <f t="shared" si="56"/>
        <v>Economizer additional  Assemblies along with cassette baffles – 65 Nos. each for unit-  5 &amp; 6  (2Set )</v>
      </c>
      <c r="C758" s="1482" t="str">
        <f t="shared" si="56"/>
        <v>MERC/TECH 1/CAPEX/20132014/01936</v>
      </c>
      <c r="D758" s="1390">
        <f t="shared" si="56"/>
        <v>41647</v>
      </c>
      <c r="E758" s="560">
        <f t="shared" si="56"/>
        <v>3.88</v>
      </c>
      <c r="F758" s="1508">
        <f t="shared" si="57"/>
        <v>3.5012203659999996</v>
      </c>
      <c r="G758" s="1508">
        <f t="shared" si="58"/>
        <v>3.5012203659999996</v>
      </c>
      <c r="H758" s="1508">
        <f t="shared" si="61"/>
        <v>0</v>
      </c>
      <c r="I758" s="1480">
        <v>0</v>
      </c>
      <c r="J758" s="1480">
        <v>0</v>
      </c>
      <c r="K758" s="1508"/>
      <c r="L758" s="1508"/>
      <c r="M758" s="1509">
        <f t="shared" si="62"/>
        <v>0</v>
      </c>
      <c r="N758" s="1508">
        <f t="shared" si="63"/>
        <v>0</v>
      </c>
      <c r="O758" s="1481">
        <f t="shared" si="59"/>
        <v>0</v>
      </c>
      <c r="P758" s="1427">
        <f t="shared" si="60"/>
        <v>0</v>
      </c>
    </row>
    <row r="759" spans="1:16" ht="31" outlineLevel="1" x14ac:dyDescent="0.25">
      <c r="A759" s="1482">
        <f t="shared" si="56"/>
        <v>13.3</v>
      </c>
      <c r="B759" s="1483" t="str">
        <f t="shared" si="56"/>
        <v>Upper LTSH  Assemblies along with cassette baffles – 62 Nos. each for unit – 7 (1 Set)</v>
      </c>
      <c r="C759" s="1482" t="str">
        <f t="shared" si="56"/>
        <v>MERC/TECH 1/CAPEX/20132014/01936</v>
      </c>
      <c r="D759" s="1390">
        <f t="shared" si="56"/>
        <v>41647</v>
      </c>
      <c r="E759" s="560">
        <f t="shared" si="56"/>
        <v>9.81</v>
      </c>
      <c r="F759" s="1508">
        <f t="shared" si="57"/>
        <v>4.9252947999999996</v>
      </c>
      <c r="G759" s="1508">
        <f t="shared" si="58"/>
        <v>4.9252947999999996</v>
      </c>
      <c r="H759" s="1508">
        <f t="shared" si="61"/>
        <v>0</v>
      </c>
      <c r="I759" s="1480">
        <v>0</v>
      </c>
      <c r="J759" s="1480">
        <v>0</v>
      </c>
      <c r="K759" s="1508"/>
      <c r="L759" s="1508"/>
      <c r="M759" s="1509">
        <f t="shared" si="62"/>
        <v>0</v>
      </c>
      <c r="N759" s="1508">
        <f t="shared" si="63"/>
        <v>0</v>
      </c>
      <c r="O759" s="1481">
        <f t="shared" si="59"/>
        <v>0</v>
      </c>
      <c r="P759" s="1427">
        <f t="shared" si="60"/>
        <v>0</v>
      </c>
    </row>
    <row r="760" spans="1:16" ht="31" outlineLevel="1" x14ac:dyDescent="0.25">
      <c r="A760" s="1482">
        <f t="shared" ref="A760:E775" si="64">A90</f>
        <v>13.4</v>
      </c>
      <c r="B760" s="1483" t="str">
        <f t="shared" si="64"/>
        <v>Lower LTSH  Assemblies along with cassette baffles  – 62Nos. for unit – 7 (1 Set)</v>
      </c>
      <c r="C760" s="1482" t="str">
        <f t="shared" si="64"/>
        <v>MERC/TECH 1/CAPEX/20132014/01936</v>
      </c>
      <c r="D760" s="1390">
        <f t="shared" si="64"/>
        <v>41647</v>
      </c>
      <c r="E760" s="560">
        <f t="shared" si="64"/>
        <v>4.76</v>
      </c>
      <c r="F760" s="1508">
        <f t="shared" si="57"/>
        <v>2.7667891</v>
      </c>
      <c r="G760" s="1508">
        <f t="shared" si="58"/>
        <v>2.7667891</v>
      </c>
      <c r="H760" s="1508">
        <f t="shared" si="61"/>
        <v>0</v>
      </c>
      <c r="I760" s="1480">
        <v>0</v>
      </c>
      <c r="J760" s="1480">
        <v>0</v>
      </c>
      <c r="K760" s="1508"/>
      <c r="L760" s="1508"/>
      <c r="M760" s="1509">
        <f t="shared" si="62"/>
        <v>0</v>
      </c>
      <c r="N760" s="1508">
        <f t="shared" si="63"/>
        <v>0</v>
      </c>
      <c r="O760" s="1481">
        <f t="shared" si="59"/>
        <v>0</v>
      </c>
      <c r="P760" s="1427">
        <f t="shared" si="60"/>
        <v>0</v>
      </c>
    </row>
    <row r="761" spans="1:16" ht="31" outlineLevel="1" x14ac:dyDescent="0.25">
      <c r="A761" s="1482">
        <f t="shared" si="64"/>
        <v>13.5</v>
      </c>
      <c r="B761" s="1483" t="str">
        <f t="shared" si="64"/>
        <v>Lower Eco + Eco additional along with cassette baffles  for Unit-7</v>
      </c>
      <c r="C761" s="1482" t="str">
        <f t="shared" si="64"/>
        <v>MERC/TECH 1/CAPEX/20132014/01936</v>
      </c>
      <c r="D761" s="1390">
        <f t="shared" si="64"/>
        <v>41647</v>
      </c>
      <c r="E761" s="560">
        <f t="shared" si="64"/>
        <v>13.41</v>
      </c>
      <c r="F761" s="1508">
        <f t="shared" si="57"/>
        <v>6.3205716000000001</v>
      </c>
      <c r="G761" s="1508">
        <f t="shared" si="58"/>
        <v>6.3205716000000001</v>
      </c>
      <c r="H761" s="1508">
        <f t="shared" si="61"/>
        <v>0</v>
      </c>
      <c r="I761" s="1480">
        <v>0</v>
      </c>
      <c r="J761" s="1480">
        <v>0</v>
      </c>
      <c r="K761" s="1508"/>
      <c r="L761" s="1508"/>
      <c r="M761" s="1509">
        <f t="shared" si="62"/>
        <v>0</v>
      </c>
      <c r="N761" s="1508">
        <f t="shared" si="63"/>
        <v>0</v>
      </c>
      <c r="O761" s="1481">
        <f t="shared" si="59"/>
        <v>0</v>
      </c>
      <c r="P761" s="1427">
        <f t="shared" si="60"/>
        <v>0</v>
      </c>
    </row>
    <row r="762" spans="1:16" ht="31" outlineLevel="1" x14ac:dyDescent="0.25">
      <c r="A762" s="1482">
        <f t="shared" si="64"/>
        <v>13.6</v>
      </c>
      <c r="B762" s="1483" t="str">
        <f t="shared" si="64"/>
        <v>Work Cost for Replacement of above Assemblies.</v>
      </c>
      <c r="C762" s="1482" t="str">
        <f t="shared" si="64"/>
        <v>MERC/TECH 1/CAPEX/20132014/01936</v>
      </c>
      <c r="D762" s="1390">
        <f t="shared" si="64"/>
        <v>41647</v>
      </c>
      <c r="E762" s="560">
        <f t="shared" si="64"/>
        <v>5.05</v>
      </c>
      <c r="F762" s="1508">
        <f t="shared" si="57"/>
        <v>0</v>
      </c>
      <c r="G762" s="1508">
        <f t="shared" si="58"/>
        <v>0</v>
      </c>
      <c r="H762" s="1508">
        <f t="shared" si="61"/>
        <v>0</v>
      </c>
      <c r="I762" s="1480">
        <v>0</v>
      </c>
      <c r="J762" s="1480">
        <v>0</v>
      </c>
      <c r="K762" s="1508"/>
      <c r="L762" s="1508"/>
      <c r="M762" s="1509">
        <f t="shared" si="62"/>
        <v>0</v>
      </c>
      <c r="N762" s="1508">
        <f t="shared" si="63"/>
        <v>0</v>
      </c>
      <c r="O762" s="1481">
        <f t="shared" si="59"/>
        <v>0</v>
      </c>
      <c r="P762" s="1427">
        <f t="shared" si="60"/>
        <v>0</v>
      </c>
    </row>
    <row r="763" spans="1:16" ht="31" outlineLevel="1" x14ac:dyDescent="0.25">
      <c r="A763" s="1482">
        <f t="shared" si="64"/>
        <v>0</v>
      </c>
      <c r="B763" s="1483" t="str">
        <f t="shared" si="64"/>
        <v>IDC</v>
      </c>
      <c r="C763" s="1482" t="str">
        <f t="shared" si="64"/>
        <v>MERC/TECH 1/CAPEX/20132014/01936</v>
      </c>
      <c r="D763" s="1390">
        <f t="shared" si="64"/>
        <v>41647</v>
      </c>
      <c r="E763" s="560">
        <f t="shared" si="64"/>
        <v>6.9</v>
      </c>
      <c r="F763" s="1508">
        <f t="shared" si="57"/>
        <v>0</v>
      </c>
      <c r="G763" s="1508">
        <f t="shared" si="58"/>
        <v>0</v>
      </c>
      <c r="H763" s="1508">
        <f t="shared" si="61"/>
        <v>0</v>
      </c>
      <c r="I763" s="1480">
        <v>0</v>
      </c>
      <c r="J763" s="1480">
        <v>0</v>
      </c>
      <c r="K763" s="1508"/>
      <c r="L763" s="1508"/>
      <c r="M763" s="1509">
        <f t="shared" si="62"/>
        <v>0</v>
      </c>
      <c r="N763" s="1508">
        <f t="shared" si="63"/>
        <v>0</v>
      </c>
      <c r="O763" s="1481">
        <f t="shared" si="59"/>
        <v>0</v>
      </c>
      <c r="P763" s="1427">
        <f t="shared" si="60"/>
        <v>0</v>
      </c>
    </row>
    <row r="764" spans="1:16" ht="31" outlineLevel="1" x14ac:dyDescent="0.25">
      <c r="A764" s="1477">
        <f t="shared" si="64"/>
        <v>14</v>
      </c>
      <c r="B764" s="1478" t="str">
        <f t="shared" si="64"/>
        <v>Procurement of Complete IPT Module for 500MW Unit-7 and Fully Bladed Rotor for LP Turbine of 500 MW Unit-5, 6, &amp; 7</v>
      </c>
      <c r="C764" s="1477" t="str">
        <f t="shared" si="64"/>
        <v>MERC/TECH 1/CAPEX/20132014/01334</v>
      </c>
      <c r="D764" s="1479">
        <f t="shared" si="64"/>
        <v>41548</v>
      </c>
      <c r="E764" s="1383">
        <f t="shared" si="64"/>
        <v>83.823654699999992</v>
      </c>
      <c r="F764" s="1480">
        <f t="shared" si="57"/>
        <v>0</v>
      </c>
      <c r="G764" s="1480">
        <f t="shared" si="58"/>
        <v>0</v>
      </c>
      <c r="H764" s="1480">
        <f t="shared" si="61"/>
        <v>0</v>
      </c>
      <c r="I764" s="1480">
        <v>0</v>
      </c>
      <c r="J764" s="1480">
        <v>0</v>
      </c>
      <c r="K764" s="1480"/>
      <c r="L764" s="1480"/>
      <c r="M764" s="1480">
        <f t="shared" si="62"/>
        <v>0</v>
      </c>
      <c r="N764" s="1480">
        <f t="shared" si="63"/>
        <v>0</v>
      </c>
      <c r="O764" s="1481">
        <f t="shared" si="59"/>
        <v>0</v>
      </c>
      <c r="P764" s="1427">
        <f t="shared" si="60"/>
        <v>0</v>
      </c>
    </row>
    <row r="765" spans="1:16" ht="46.5" outlineLevel="1" x14ac:dyDescent="0.25">
      <c r="A765" s="1482">
        <f t="shared" si="64"/>
        <v>14.1</v>
      </c>
      <c r="B765" s="1483" t="str">
        <f t="shared" si="64"/>
        <v>IPT Module complete Type-M30-63 with advance class blading suitable for 500 MW Chandrapur Unit-7, Khaperkheda 1x500, Bhusawal 2x500</v>
      </c>
      <c r="C765" s="1482" t="str">
        <f t="shared" si="64"/>
        <v>MERC/TECH 1/CAPEX/20132014/01334</v>
      </c>
      <c r="D765" s="1390">
        <f t="shared" si="64"/>
        <v>41548</v>
      </c>
      <c r="E765" s="560">
        <f t="shared" si="64"/>
        <v>48.039384900000002</v>
      </c>
      <c r="F765" s="1508">
        <f t="shared" si="57"/>
        <v>48.039384900000002</v>
      </c>
      <c r="G765" s="1508">
        <f t="shared" si="58"/>
        <v>48.039384900000002</v>
      </c>
      <c r="H765" s="1508">
        <f t="shared" si="61"/>
        <v>0</v>
      </c>
      <c r="I765" s="1480">
        <v>0</v>
      </c>
      <c r="J765" s="1480">
        <v>0</v>
      </c>
      <c r="K765" s="1508"/>
      <c r="L765" s="1508"/>
      <c r="M765" s="1509">
        <f t="shared" si="62"/>
        <v>0</v>
      </c>
      <c r="N765" s="1508">
        <f t="shared" si="63"/>
        <v>0</v>
      </c>
      <c r="O765" s="1481">
        <f t="shared" si="59"/>
        <v>0</v>
      </c>
      <c r="P765" s="1427">
        <f t="shared" si="60"/>
        <v>0</v>
      </c>
    </row>
    <row r="766" spans="1:16" ht="31" outlineLevel="1" x14ac:dyDescent="0.25">
      <c r="A766" s="1482">
        <f t="shared" si="64"/>
        <v>14.2</v>
      </c>
      <c r="B766" s="1483" t="str">
        <f t="shared" si="64"/>
        <v>Fully bladed dynamically balanced LP Rotor for 500 MW Units-5,6 &amp;7 at Chandrapur STPS</v>
      </c>
      <c r="C766" s="1482" t="str">
        <f t="shared" si="64"/>
        <v>MERC/TECH 1/CAPEX/20132014/01334</v>
      </c>
      <c r="D766" s="1390">
        <f t="shared" si="64"/>
        <v>41548</v>
      </c>
      <c r="E766" s="560">
        <f t="shared" si="64"/>
        <v>35.784269799999997</v>
      </c>
      <c r="F766" s="1508">
        <f t="shared" si="57"/>
        <v>35.784269799999997</v>
      </c>
      <c r="G766" s="1508">
        <f t="shared" si="58"/>
        <v>35.784269799999997</v>
      </c>
      <c r="H766" s="1508">
        <f t="shared" si="61"/>
        <v>0</v>
      </c>
      <c r="I766" s="1480">
        <v>0</v>
      </c>
      <c r="J766" s="1480">
        <v>0</v>
      </c>
      <c r="K766" s="1508"/>
      <c r="L766" s="1508"/>
      <c r="M766" s="1509">
        <f t="shared" si="62"/>
        <v>0</v>
      </c>
      <c r="N766" s="1508">
        <f t="shared" si="63"/>
        <v>0</v>
      </c>
      <c r="O766" s="1481">
        <f t="shared" si="59"/>
        <v>0</v>
      </c>
      <c r="P766" s="1427">
        <f t="shared" si="60"/>
        <v>0</v>
      </c>
    </row>
    <row r="767" spans="1:16" ht="31" outlineLevel="1" x14ac:dyDescent="0.25">
      <c r="A767" s="1477">
        <f t="shared" si="64"/>
        <v>15</v>
      </c>
      <c r="B767" s="1478" t="str">
        <f t="shared" si="64"/>
        <v>Performance Improvement of Air Preheater Unit 1 &amp; 2 CSTPS Chandrapur</v>
      </c>
      <c r="C767" s="1477" t="str">
        <f t="shared" si="64"/>
        <v>MERC/TECH 1/CAPEX/20132014/01431</v>
      </c>
      <c r="D767" s="1479">
        <f t="shared" si="64"/>
        <v>41565</v>
      </c>
      <c r="E767" s="1383">
        <f t="shared" si="64"/>
        <v>11.1699751</v>
      </c>
      <c r="F767" s="1480">
        <f t="shared" si="57"/>
        <v>0</v>
      </c>
      <c r="G767" s="1480">
        <f t="shared" si="58"/>
        <v>0</v>
      </c>
      <c r="H767" s="1480">
        <f t="shared" si="61"/>
        <v>0</v>
      </c>
      <c r="I767" s="1480">
        <v>0</v>
      </c>
      <c r="J767" s="1480">
        <v>0</v>
      </c>
      <c r="K767" s="1480"/>
      <c r="L767" s="1480"/>
      <c r="M767" s="1480">
        <f t="shared" si="62"/>
        <v>0</v>
      </c>
      <c r="N767" s="1480">
        <f t="shared" si="63"/>
        <v>0</v>
      </c>
      <c r="O767" s="1481">
        <f t="shared" si="59"/>
        <v>0</v>
      </c>
      <c r="P767" s="1427">
        <f t="shared" si="60"/>
        <v>0</v>
      </c>
    </row>
    <row r="768" spans="1:16" ht="31" outlineLevel="1" x14ac:dyDescent="0.25">
      <c r="A768" s="1482">
        <f t="shared" si="64"/>
        <v>15.1</v>
      </c>
      <c r="B768" s="1483" t="str">
        <f t="shared" si="64"/>
        <v xml:space="preserve">supply of MSERW / high frequency induction welding tubes for Air pre-heater in Unit 1&amp;2 </v>
      </c>
      <c r="C768" s="1482" t="str">
        <f t="shared" si="64"/>
        <v>MERC/TECH 1/CAPEX/20132014/01431</v>
      </c>
      <c r="D768" s="1390">
        <f t="shared" si="64"/>
        <v>41565</v>
      </c>
      <c r="E768" s="560">
        <f t="shared" si="64"/>
        <v>8.8553540000000002</v>
      </c>
      <c r="F768" s="1508">
        <f t="shared" si="57"/>
        <v>0</v>
      </c>
      <c r="G768" s="1508">
        <f t="shared" si="58"/>
        <v>0</v>
      </c>
      <c r="H768" s="1508">
        <f t="shared" si="61"/>
        <v>0</v>
      </c>
      <c r="I768" s="1480">
        <v>0</v>
      </c>
      <c r="J768" s="1480">
        <v>0</v>
      </c>
      <c r="K768" s="1508"/>
      <c r="L768" s="1508"/>
      <c r="M768" s="1509">
        <f t="shared" si="62"/>
        <v>0</v>
      </c>
      <c r="N768" s="1508">
        <f t="shared" si="63"/>
        <v>0</v>
      </c>
      <c r="O768" s="1481">
        <f t="shared" si="59"/>
        <v>0</v>
      </c>
      <c r="P768" s="1427">
        <f t="shared" si="60"/>
        <v>0</v>
      </c>
    </row>
    <row r="769" spans="1:16" ht="31" outlineLevel="1" x14ac:dyDescent="0.25">
      <c r="A769" s="1482">
        <f t="shared" si="64"/>
        <v>15.2</v>
      </c>
      <c r="B769" s="1483" t="str">
        <f t="shared" si="64"/>
        <v xml:space="preserve">Compete Replacement of the air heater tubes in top ,intermediate and bottom bank(LHS and RHS) of unit 1 &amp; 2 </v>
      </c>
      <c r="C769" s="1482" t="str">
        <f t="shared" si="64"/>
        <v>MERC/TECH 1/CAPEX/20132014/01431</v>
      </c>
      <c r="D769" s="1390">
        <f t="shared" si="64"/>
        <v>41565</v>
      </c>
      <c r="E769" s="560">
        <f t="shared" si="64"/>
        <v>2.14452</v>
      </c>
      <c r="F769" s="1508">
        <f t="shared" si="57"/>
        <v>0</v>
      </c>
      <c r="G769" s="1508">
        <f t="shared" si="58"/>
        <v>0</v>
      </c>
      <c r="H769" s="1508">
        <f t="shared" si="61"/>
        <v>0</v>
      </c>
      <c r="I769" s="1480">
        <v>0</v>
      </c>
      <c r="J769" s="1480">
        <v>0</v>
      </c>
      <c r="K769" s="1508"/>
      <c r="L769" s="1508"/>
      <c r="M769" s="1509">
        <f t="shared" si="62"/>
        <v>0</v>
      </c>
      <c r="N769" s="1508">
        <f t="shared" si="63"/>
        <v>0</v>
      </c>
      <c r="O769" s="1481">
        <f t="shared" si="59"/>
        <v>0</v>
      </c>
      <c r="P769" s="1427">
        <f t="shared" si="60"/>
        <v>0</v>
      </c>
    </row>
    <row r="770" spans="1:16" ht="31" outlineLevel="1" x14ac:dyDescent="0.25">
      <c r="A770" s="1482">
        <f t="shared" si="64"/>
        <v>0</v>
      </c>
      <c r="B770" s="1483" t="str">
        <f t="shared" si="64"/>
        <v>IDC</v>
      </c>
      <c r="C770" s="1482" t="str">
        <f t="shared" si="64"/>
        <v>MERC/TECH 1/CAPEX/20132014/01431</v>
      </c>
      <c r="D770" s="1390">
        <f t="shared" si="64"/>
        <v>41565</v>
      </c>
      <c r="E770" s="560">
        <f t="shared" si="64"/>
        <v>0.17010110000000001</v>
      </c>
      <c r="F770" s="1508">
        <f t="shared" si="57"/>
        <v>0</v>
      </c>
      <c r="G770" s="1508">
        <f t="shared" si="58"/>
        <v>0</v>
      </c>
      <c r="H770" s="1508">
        <f t="shared" si="61"/>
        <v>0</v>
      </c>
      <c r="I770" s="1480">
        <v>0</v>
      </c>
      <c r="J770" s="1480">
        <v>0</v>
      </c>
      <c r="K770" s="1508"/>
      <c r="L770" s="1508"/>
      <c r="M770" s="1509">
        <f t="shared" si="62"/>
        <v>0</v>
      </c>
      <c r="N770" s="1508">
        <f t="shared" si="63"/>
        <v>0</v>
      </c>
      <c r="O770" s="1481">
        <f t="shared" si="59"/>
        <v>0</v>
      </c>
      <c r="P770" s="1427">
        <f t="shared" si="60"/>
        <v>0</v>
      </c>
    </row>
    <row r="771" spans="1:16" ht="31" outlineLevel="1" x14ac:dyDescent="0.25">
      <c r="A771" s="1477">
        <f t="shared" si="64"/>
        <v>16</v>
      </c>
      <c r="B771" s="1478" t="str">
        <f t="shared" si="64"/>
        <v>Procurement &amp; Replacement of heating elements (baskets) of primary and secondary air pre-heaters of unit # 5 &amp; 6</v>
      </c>
      <c r="C771" s="1477" t="str">
        <f t="shared" si="64"/>
        <v>MERC/TECH 1/CAPEX/20142015/00432</v>
      </c>
      <c r="D771" s="1479">
        <f t="shared" si="64"/>
        <v>41792</v>
      </c>
      <c r="E771" s="1383">
        <f t="shared" si="64"/>
        <v>11.7446</v>
      </c>
      <c r="F771" s="1480">
        <f t="shared" si="57"/>
        <v>0</v>
      </c>
      <c r="G771" s="1480">
        <f t="shared" si="58"/>
        <v>0</v>
      </c>
      <c r="H771" s="1480">
        <f t="shared" si="61"/>
        <v>0</v>
      </c>
      <c r="I771" s="1480">
        <v>0</v>
      </c>
      <c r="J771" s="1480">
        <v>0</v>
      </c>
      <c r="K771" s="1480"/>
      <c r="L771" s="1480"/>
      <c r="M771" s="1480">
        <f t="shared" si="62"/>
        <v>0</v>
      </c>
      <c r="N771" s="1480">
        <f t="shared" si="63"/>
        <v>0</v>
      </c>
      <c r="O771" s="1481">
        <f t="shared" si="59"/>
        <v>0</v>
      </c>
      <c r="P771" s="1427">
        <f t="shared" si="60"/>
        <v>0</v>
      </c>
    </row>
    <row r="772" spans="1:16" ht="31" outlineLevel="1" x14ac:dyDescent="0.25">
      <c r="A772" s="1482">
        <f t="shared" si="64"/>
        <v>16.100000000000001</v>
      </c>
      <c r="B772" s="1483" t="str">
        <f t="shared" si="64"/>
        <v>Primary  &amp;  Secondary Air Pre-heater baskets hot end, intermediate  &amp; cold end (2 sets) for U-5 (Including works cost)</v>
      </c>
      <c r="C772" s="1482" t="str">
        <f t="shared" si="64"/>
        <v>MERC/TECH 1/CAPEX/20142015/00432</v>
      </c>
      <c r="D772" s="1390">
        <f t="shared" si="64"/>
        <v>41792</v>
      </c>
      <c r="E772" s="560">
        <f t="shared" si="64"/>
        <v>5.5023</v>
      </c>
      <c r="F772" s="1508">
        <f t="shared" si="57"/>
        <v>4.2318929900000004</v>
      </c>
      <c r="G772" s="1508">
        <f t="shared" si="58"/>
        <v>4.2318929900000004</v>
      </c>
      <c r="H772" s="1508">
        <f t="shared" si="61"/>
        <v>0</v>
      </c>
      <c r="I772" s="1480">
        <v>0</v>
      </c>
      <c r="J772" s="1480">
        <v>0</v>
      </c>
      <c r="K772" s="1508"/>
      <c r="L772" s="1508"/>
      <c r="M772" s="1509">
        <f t="shared" si="62"/>
        <v>0</v>
      </c>
      <c r="N772" s="1508">
        <f t="shared" si="63"/>
        <v>0</v>
      </c>
      <c r="O772" s="1481">
        <f t="shared" si="59"/>
        <v>0</v>
      </c>
      <c r="P772" s="1427">
        <f t="shared" si="60"/>
        <v>0</v>
      </c>
    </row>
    <row r="773" spans="1:16" ht="31" outlineLevel="1" x14ac:dyDescent="0.25">
      <c r="A773" s="1482">
        <f t="shared" si="64"/>
        <v>16.2</v>
      </c>
      <c r="B773" s="1483" t="str">
        <f t="shared" si="64"/>
        <v>Primary  &amp;  Secondary Air Pre-heater baskets hot end, intermediate  &amp; cold end (2 sets) for U-6 (Including works cost)</v>
      </c>
      <c r="C773" s="1482" t="str">
        <f t="shared" si="64"/>
        <v>MERC/TECH 1/CAPEX/20142015/00432</v>
      </c>
      <c r="D773" s="1390">
        <f t="shared" si="64"/>
        <v>41792</v>
      </c>
      <c r="E773" s="560">
        <f t="shared" si="64"/>
        <v>5.5023</v>
      </c>
      <c r="F773" s="1508">
        <f t="shared" si="57"/>
        <v>4.5024009140000008</v>
      </c>
      <c r="G773" s="1508">
        <f t="shared" si="58"/>
        <v>4.5024009140000008</v>
      </c>
      <c r="H773" s="1508">
        <f t="shared" si="61"/>
        <v>0</v>
      </c>
      <c r="I773" s="1480">
        <v>0</v>
      </c>
      <c r="J773" s="1480">
        <v>0</v>
      </c>
      <c r="K773" s="1508"/>
      <c r="L773" s="1508"/>
      <c r="M773" s="1509">
        <f t="shared" si="62"/>
        <v>0</v>
      </c>
      <c r="N773" s="1508">
        <f t="shared" si="63"/>
        <v>0</v>
      </c>
      <c r="O773" s="1481">
        <f t="shared" si="59"/>
        <v>0</v>
      </c>
      <c r="P773" s="1427">
        <f t="shared" si="60"/>
        <v>0</v>
      </c>
    </row>
    <row r="774" spans="1:16" ht="31" outlineLevel="1" x14ac:dyDescent="0.25">
      <c r="A774" s="1482">
        <f t="shared" si="64"/>
        <v>0</v>
      </c>
      <c r="B774" s="1483" t="str">
        <f t="shared" si="64"/>
        <v>IDC</v>
      </c>
      <c r="C774" s="1482" t="str">
        <f t="shared" si="64"/>
        <v>MERC/TECH 1/CAPEX/20142015/00432</v>
      </c>
      <c r="D774" s="1390">
        <f t="shared" si="64"/>
        <v>41792</v>
      </c>
      <c r="E774" s="560">
        <f t="shared" si="64"/>
        <v>0.74</v>
      </c>
      <c r="F774" s="1508">
        <f t="shared" si="57"/>
        <v>0</v>
      </c>
      <c r="G774" s="1508">
        <f t="shared" si="58"/>
        <v>0</v>
      </c>
      <c r="H774" s="1508">
        <f t="shared" si="61"/>
        <v>0</v>
      </c>
      <c r="I774" s="1480">
        <v>0</v>
      </c>
      <c r="J774" s="1480">
        <v>0</v>
      </c>
      <c r="K774" s="1508"/>
      <c r="L774" s="1508"/>
      <c r="M774" s="1509">
        <f t="shared" si="62"/>
        <v>0</v>
      </c>
      <c r="N774" s="1508">
        <f t="shared" si="63"/>
        <v>0</v>
      </c>
      <c r="O774" s="1481">
        <f t="shared" si="59"/>
        <v>0</v>
      </c>
      <c r="P774" s="1427">
        <f t="shared" si="60"/>
        <v>0</v>
      </c>
    </row>
    <row r="775" spans="1:16" ht="31" outlineLevel="1" x14ac:dyDescent="0.25">
      <c r="A775" s="1486">
        <f t="shared" si="64"/>
        <v>17</v>
      </c>
      <c r="B775" s="1491" t="str">
        <f t="shared" si="64"/>
        <v>Procurement of moving blades for LP Turbine, Control Fluid Pumps &amp; AOP of 500MW Unit 5,6 &amp;7</v>
      </c>
      <c r="C775" s="1486" t="str">
        <f t="shared" si="64"/>
        <v>MERC/TECH 1/CAPEX/20142015/0010</v>
      </c>
      <c r="D775" s="1487">
        <f t="shared" si="64"/>
        <v>41928</v>
      </c>
      <c r="E775" s="1383">
        <f t="shared" si="64"/>
        <v>19.310244699999998</v>
      </c>
      <c r="F775" s="1480">
        <f t="shared" si="57"/>
        <v>0</v>
      </c>
      <c r="G775" s="1480">
        <f t="shared" si="58"/>
        <v>0</v>
      </c>
      <c r="H775" s="1480">
        <f t="shared" si="61"/>
        <v>0</v>
      </c>
      <c r="I775" s="1480">
        <v>0</v>
      </c>
      <c r="J775" s="1480">
        <v>0</v>
      </c>
      <c r="K775" s="1480"/>
      <c r="L775" s="1480"/>
      <c r="M775" s="1480">
        <f t="shared" si="62"/>
        <v>0</v>
      </c>
      <c r="N775" s="1480">
        <f t="shared" si="63"/>
        <v>0</v>
      </c>
      <c r="O775" s="1481">
        <f t="shared" si="59"/>
        <v>0</v>
      </c>
      <c r="P775" s="1427">
        <f t="shared" si="60"/>
        <v>0</v>
      </c>
    </row>
    <row r="776" spans="1:16" ht="62" outlineLevel="1" x14ac:dyDescent="0.25">
      <c r="A776" s="1488">
        <f t="shared" ref="A776:E791" si="65">A106</f>
        <v>17.100000000000001</v>
      </c>
      <c r="B776" s="1492" t="str">
        <f t="shared" si="65"/>
        <v>Moving blades for LPT—2L
Moving blades for LPT—2R
Moving blades for LPT—3L
Moving blades for LPT—3R</v>
      </c>
      <c r="C776" s="1488" t="str">
        <f t="shared" si="65"/>
        <v>MERC/TECH 1/CAPEX/20142015/0010</v>
      </c>
      <c r="D776" s="1413">
        <f t="shared" si="65"/>
        <v>41928</v>
      </c>
      <c r="E776" s="560">
        <f t="shared" si="65"/>
        <v>13.5092</v>
      </c>
      <c r="F776" s="1508">
        <f t="shared" si="57"/>
        <v>5.3885199799999999</v>
      </c>
      <c r="G776" s="1508">
        <f t="shared" si="58"/>
        <v>5.3885199799999999</v>
      </c>
      <c r="H776" s="1508">
        <f t="shared" si="61"/>
        <v>0</v>
      </c>
      <c r="I776" s="1480">
        <v>0</v>
      </c>
      <c r="J776" s="1480">
        <v>0</v>
      </c>
      <c r="K776" s="1508"/>
      <c r="L776" s="1508"/>
      <c r="M776" s="1509">
        <f t="shared" si="62"/>
        <v>0</v>
      </c>
      <c r="N776" s="1508">
        <f t="shared" si="63"/>
        <v>0</v>
      </c>
      <c r="O776" s="1481">
        <f t="shared" si="59"/>
        <v>0</v>
      </c>
      <c r="P776" s="1427">
        <f t="shared" si="60"/>
        <v>0</v>
      </c>
    </row>
    <row r="777" spans="1:16" ht="93" outlineLevel="1" x14ac:dyDescent="0.25">
      <c r="A777" s="1488">
        <f t="shared" si="65"/>
        <v>17.2</v>
      </c>
      <c r="B777" s="1492" t="str">
        <f t="shared" si="65"/>
        <v>1. Control Fluid Pump for 500 MW Unit-5&amp;6_KSB Make- Type : WKVM 100/1+4
2. Control Fluid Pump for 500 MW Unit-7_KSB Make- Type : WKVM 80/1+3
3. Aux. Oil Pump for Main Turbine of 500 MW Unit-5,6&amp; 7
KSB Make- Type : ETA 150-50VL</v>
      </c>
      <c r="C777" s="1488" t="str">
        <f t="shared" si="65"/>
        <v>MERC/TECH 1/CAPEX/20142015/0010</v>
      </c>
      <c r="D777" s="1413">
        <f t="shared" si="65"/>
        <v>41928</v>
      </c>
      <c r="E777" s="560">
        <f t="shared" si="65"/>
        <v>4.5510447000000003</v>
      </c>
      <c r="F777" s="1508">
        <f t="shared" si="57"/>
        <v>2.3470200000000001</v>
      </c>
      <c r="G777" s="1508">
        <f t="shared" si="58"/>
        <v>2.3470200000000001</v>
      </c>
      <c r="H777" s="1508">
        <f t="shared" si="61"/>
        <v>0</v>
      </c>
      <c r="I777" s="1480">
        <v>0</v>
      </c>
      <c r="J777" s="1480">
        <v>0</v>
      </c>
      <c r="K777" s="1508"/>
      <c r="L777" s="1508"/>
      <c r="M777" s="1509">
        <f t="shared" si="62"/>
        <v>0</v>
      </c>
      <c r="N777" s="1508">
        <f t="shared" si="63"/>
        <v>0</v>
      </c>
      <c r="O777" s="1481">
        <f t="shared" si="59"/>
        <v>0</v>
      </c>
      <c r="P777" s="1427">
        <f t="shared" si="60"/>
        <v>0</v>
      </c>
    </row>
    <row r="778" spans="1:16" ht="31" outlineLevel="1" x14ac:dyDescent="0.25">
      <c r="A778" s="1482">
        <f t="shared" si="65"/>
        <v>0</v>
      </c>
      <c r="B778" s="1483" t="str">
        <f t="shared" si="65"/>
        <v>IDC</v>
      </c>
      <c r="C778" s="1482" t="str">
        <f t="shared" si="65"/>
        <v>MERC/TECH 1/CAPEX/20142015/0010</v>
      </c>
      <c r="D778" s="1390">
        <f t="shared" si="65"/>
        <v>41928</v>
      </c>
      <c r="E778" s="560">
        <f t="shared" si="65"/>
        <v>1.25</v>
      </c>
      <c r="F778" s="1508">
        <f t="shared" si="57"/>
        <v>0</v>
      </c>
      <c r="G778" s="1508">
        <f t="shared" si="58"/>
        <v>0</v>
      </c>
      <c r="H778" s="1508">
        <f t="shared" si="61"/>
        <v>0</v>
      </c>
      <c r="I778" s="1480">
        <v>0</v>
      </c>
      <c r="J778" s="1480">
        <v>0</v>
      </c>
      <c r="K778" s="1508"/>
      <c r="L778" s="1508"/>
      <c r="M778" s="1509">
        <f t="shared" si="62"/>
        <v>0</v>
      </c>
      <c r="N778" s="1508">
        <f t="shared" si="63"/>
        <v>0</v>
      </c>
      <c r="O778" s="1481">
        <f t="shared" si="59"/>
        <v>0</v>
      </c>
      <c r="P778" s="1427">
        <f t="shared" si="60"/>
        <v>0</v>
      </c>
    </row>
    <row r="779" spans="1:16" ht="31" outlineLevel="1" x14ac:dyDescent="0.25">
      <c r="A779" s="1477">
        <f t="shared" si="65"/>
        <v>18</v>
      </c>
      <c r="B779" s="1478" t="str">
        <f t="shared" si="65"/>
        <v>Procurement of Gear Box &amp; Wear Resistance liners for coal mills of Unit#5&amp;6 &amp; Supply of Gear Box for Coal Mills of Unit#7</v>
      </c>
      <c r="C779" s="1477" t="str">
        <f t="shared" si="65"/>
        <v>MERC/TECH 1/CAPEX/20142015/01220</v>
      </c>
      <c r="D779" s="1479">
        <f t="shared" si="65"/>
        <v>41968</v>
      </c>
      <c r="E779" s="1383">
        <f t="shared" si="65"/>
        <v>11.914453259999998</v>
      </c>
      <c r="F779" s="1480">
        <f t="shared" si="57"/>
        <v>0</v>
      </c>
      <c r="G779" s="1480">
        <f t="shared" si="58"/>
        <v>0</v>
      </c>
      <c r="H779" s="1480">
        <f t="shared" si="61"/>
        <v>0</v>
      </c>
      <c r="I779" s="1480">
        <v>0</v>
      </c>
      <c r="J779" s="1480">
        <v>0</v>
      </c>
      <c r="K779" s="1480"/>
      <c r="L779" s="1480"/>
      <c r="M779" s="1480">
        <f t="shared" si="62"/>
        <v>0</v>
      </c>
      <c r="N779" s="1480">
        <f t="shared" si="63"/>
        <v>0</v>
      </c>
      <c r="O779" s="1481">
        <f t="shared" si="59"/>
        <v>0</v>
      </c>
      <c r="P779" s="1427">
        <f t="shared" si="60"/>
        <v>0</v>
      </c>
    </row>
    <row r="780" spans="1:16" ht="62" outlineLevel="1" x14ac:dyDescent="0.25">
      <c r="A780" s="1482">
        <f t="shared" si="65"/>
        <v>18.100000000000001</v>
      </c>
      <c r="B780" s="1483" t="str">
        <f t="shared" si="65"/>
        <v>Complete bevel gear stage consisting of pinion with part nos 100, 106, 107, 109, 110, 158, 159 and gear with part nos 102, 401, 402, 12 X 403 of Flender make Bocholt KMS 850 Gear Boxes of XRP-1043 Coal Mill in Unit#5&amp;6.</v>
      </c>
      <c r="C780" s="1482" t="str">
        <f t="shared" si="65"/>
        <v>MERC/TECH 1/CAPEX/20142015/01220</v>
      </c>
      <c r="D780" s="1390">
        <f t="shared" si="65"/>
        <v>41968</v>
      </c>
      <c r="E780" s="560">
        <f t="shared" si="65"/>
        <v>4.4387999999999996</v>
      </c>
      <c r="F780" s="1508">
        <f t="shared" si="57"/>
        <v>1.621920096</v>
      </c>
      <c r="G780" s="1508">
        <f t="shared" si="58"/>
        <v>1.621920096</v>
      </c>
      <c r="H780" s="1508">
        <f t="shared" si="61"/>
        <v>0</v>
      </c>
      <c r="I780" s="1480">
        <v>0</v>
      </c>
      <c r="J780" s="1480">
        <v>0</v>
      </c>
      <c r="K780" s="1508"/>
      <c r="L780" s="1508"/>
      <c r="M780" s="1509">
        <f t="shared" si="62"/>
        <v>0</v>
      </c>
      <c r="N780" s="1508">
        <f t="shared" si="63"/>
        <v>0</v>
      </c>
      <c r="O780" s="1481">
        <f t="shared" si="59"/>
        <v>0</v>
      </c>
      <c r="P780" s="1427">
        <f t="shared" si="60"/>
        <v>0</v>
      </c>
    </row>
    <row r="781" spans="1:16" ht="31" outlineLevel="1" x14ac:dyDescent="0.25">
      <c r="A781" s="1482">
        <f t="shared" si="65"/>
        <v>18.2</v>
      </c>
      <c r="B781" s="1483" t="str">
        <f t="shared" si="65"/>
        <v>Manufacturing, Supply and Application of Wear Resistance Liners inside the mill body of XRP 1043 Coal Mill in unit-5&amp;6</v>
      </c>
      <c r="C781" s="1482" t="str">
        <f t="shared" si="65"/>
        <v>MERC/TECH 1/CAPEX/20142015/01220</v>
      </c>
      <c r="D781" s="1390">
        <f t="shared" si="65"/>
        <v>41968</v>
      </c>
      <c r="E781" s="560">
        <f t="shared" si="65"/>
        <v>2.2756532600000003</v>
      </c>
      <c r="F781" s="1508">
        <f t="shared" si="57"/>
        <v>2.2756532600000003</v>
      </c>
      <c r="G781" s="1508">
        <f t="shared" si="58"/>
        <v>2.2756532600000003</v>
      </c>
      <c r="H781" s="1508">
        <f t="shared" si="61"/>
        <v>0</v>
      </c>
      <c r="I781" s="1480">
        <v>0</v>
      </c>
      <c r="J781" s="1480">
        <v>0</v>
      </c>
      <c r="K781" s="1508"/>
      <c r="L781" s="1508"/>
      <c r="M781" s="1509">
        <f t="shared" si="62"/>
        <v>0</v>
      </c>
      <c r="N781" s="1508">
        <f t="shared" si="63"/>
        <v>0</v>
      </c>
      <c r="O781" s="1481">
        <f t="shared" si="59"/>
        <v>0</v>
      </c>
      <c r="P781" s="1427">
        <f t="shared" si="60"/>
        <v>0</v>
      </c>
    </row>
    <row r="782" spans="1:16" ht="62" outlineLevel="1" x14ac:dyDescent="0.25">
      <c r="A782" s="1482">
        <f t="shared" si="65"/>
        <v>18.3</v>
      </c>
      <c r="B782" s="1483" t="str">
        <f t="shared" si="65"/>
        <v>Complete Gear Box type H2C630 without coupling, without lubrication unit. As per order CMD ref: 20/0900212-GA Dwg No 524932 and as per attached list for main reducer gear box of coal mill BBD 4772 in Unit#7.</v>
      </c>
      <c r="C782" s="1482" t="str">
        <f t="shared" si="65"/>
        <v>MERC/TECH 1/CAPEX/20142015/01220</v>
      </c>
      <c r="D782" s="1390">
        <f t="shared" si="65"/>
        <v>41968</v>
      </c>
      <c r="E782" s="560">
        <f t="shared" si="65"/>
        <v>4.4664999999999999</v>
      </c>
      <c r="F782" s="1508">
        <f t="shared" si="57"/>
        <v>2.2257651389999999</v>
      </c>
      <c r="G782" s="1508">
        <f t="shared" si="58"/>
        <v>2.2257651389999999</v>
      </c>
      <c r="H782" s="1508">
        <f t="shared" si="61"/>
        <v>0</v>
      </c>
      <c r="I782" s="1480">
        <v>0</v>
      </c>
      <c r="J782" s="1480">
        <v>0</v>
      </c>
      <c r="K782" s="1508"/>
      <c r="L782" s="1508"/>
      <c r="M782" s="1509">
        <f t="shared" si="62"/>
        <v>0</v>
      </c>
      <c r="N782" s="1508">
        <f t="shared" si="63"/>
        <v>0</v>
      </c>
      <c r="O782" s="1481">
        <f t="shared" si="59"/>
        <v>0</v>
      </c>
      <c r="P782" s="1427">
        <f t="shared" si="60"/>
        <v>0</v>
      </c>
    </row>
    <row r="783" spans="1:16" ht="31" outlineLevel="1" x14ac:dyDescent="0.25">
      <c r="A783" s="1482">
        <f t="shared" si="65"/>
        <v>0</v>
      </c>
      <c r="B783" s="1483" t="str">
        <f t="shared" si="65"/>
        <v>IDC</v>
      </c>
      <c r="C783" s="1482" t="str">
        <f t="shared" si="65"/>
        <v>MERC/TECH 1/CAPEX/20142015/01220</v>
      </c>
      <c r="D783" s="1390">
        <f t="shared" si="65"/>
        <v>41968</v>
      </c>
      <c r="E783" s="560">
        <f t="shared" si="65"/>
        <v>0.73350000000000004</v>
      </c>
      <c r="F783" s="1508">
        <f t="shared" si="57"/>
        <v>0</v>
      </c>
      <c r="G783" s="1508">
        <f t="shared" si="58"/>
        <v>0</v>
      </c>
      <c r="H783" s="1508">
        <f t="shared" si="61"/>
        <v>0</v>
      </c>
      <c r="I783" s="1480">
        <v>0</v>
      </c>
      <c r="J783" s="1480">
        <v>0</v>
      </c>
      <c r="K783" s="1508"/>
      <c r="L783" s="1508"/>
      <c r="M783" s="1509">
        <f t="shared" si="62"/>
        <v>0</v>
      </c>
      <c r="N783" s="1508">
        <f t="shared" si="63"/>
        <v>0</v>
      </c>
      <c r="O783" s="1481">
        <f t="shared" si="59"/>
        <v>0</v>
      </c>
      <c r="P783" s="1427">
        <f t="shared" si="60"/>
        <v>0</v>
      </c>
    </row>
    <row r="784" spans="1:16" ht="31" outlineLevel="1" x14ac:dyDescent="0.25">
      <c r="A784" s="1477">
        <f t="shared" si="65"/>
        <v>19</v>
      </c>
      <c r="B784" s="1478" t="str">
        <f t="shared" si="65"/>
        <v>Procurement &amp; Replacement of Condenser tubes for 500MW Unit-6 &amp; BFP cartridge for Unit 5, 6 &amp; 7</v>
      </c>
      <c r="C784" s="1477" t="str">
        <f t="shared" si="65"/>
        <v>MERC/TECH 1/CAPEX/20142015/00950</v>
      </c>
      <c r="D784" s="1479">
        <f t="shared" si="65"/>
        <v>41893</v>
      </c>
      <c r="E784" s="1383">
        <f t="shared" si="65"/>
        <v>13.163734</v>
      </c>
      <c r="F784" s="1480">
        <f t="shared" si="57"/>
        <v>0</v>
      </c>
      <c r="G784" s="1480">
        <f t="shared" si="58"/>
        <v>0</v>
      </c>
      <c r="H784" s="1480">
        <f t="shared" si="61"/>
        <v>0</v>
      </c>
      <c r="I784" s="1480">
        <v>0</v>
      </c>
      <c r="J784" s="1480">
        <v>0</v>
      </c>
      <c r="K784" s="1480"/>
      <c r="L784" s="1480"/>
      <c r="M784" s="1480">
        <f t="shared" si="62"/>
        <v>0</v>
      </c>
      <c r="N784" s="1480">
        <f t="shared" si="63"/>
        <v>0</v>
      </c>
      <c r="O784" s="1481">
        <f t="shared" si="59"/>
        <v>0</v>
      </c>
      <c r="P784" s="1427">
        <f t="shared" si="60"/>
        <v>0</v>
      </c>
    </row>
    <row r="785" spans="1:16" ht="31" outlineLevel="1" x14ac:dyDescent="0.25">
      <c r="A785" s="1482">
        <f t="shared" si="65"/>
        <v>19.100000000000001</v>
      </c>
      <c r="B785" s="1483" t="str">
        <f t="shared" si="65"/>
        <v>Procurement of Cartridge Assembly for Boiler Feed Pump type FK 4E 36</v>
      </c>
      <c r="C785" s="1482" t="str">
        <f t="shared" si="65"/>
        <v>MERC/TECH 1/CAPEX/20142015/00950</v>
      </c>
      <c r="D785" s="1390">
        <f t="shared" si="65"/>
        <v>41893</v>
      </c>
      <c r="E785" s="560">
        <f t="shared" si="65"/>
        <v>4.87</v>
      </c>
      <c r="F785" s="1508">
        <f t="shared" si="57"/>
        <v>2.8937499999999998</v>
      </c>
      <c r="G785" s="1508">
        <f t="shared" si="58"/>
        <v>2.8937499999999998</v>
      </c>
      <c r="H785" s="1508">
        <f t="shared" si="61"/>
        <v>0</v>
      </c>
      <c r="I785" s="1480">
        <v>0</v>
      </c>
      <c r="J785" s="1480">
        <v>0</v>
      </c>
      <c r="K785" s="1508"/>
      <c r="L785" s="1508"/>
      <c r="M785" s="1509">
        <f t="shared" si="62"/>
        <v>0</v>
      </c>
      <c r="N785" s="1508">
        <f t="shared" si="63"/>
        <v>0</v>
      </c>
      <c r="O785" s="1481">
        <f t="shared" si="59"/>
        <v>0</v>
      </c>
      <c r="P785" s="1427">
        <f t="shared" si="60"/>
        <v>0</v>
      </c>
    </row>
    <row r="786" spans="1:16" ht="31" outlineLevel="1" x14ac:dyDescent="0.25">
      <c r="A786" s="1482">
        <f t="shared" si="65"/>
        <v>19.2</v>
      </c>
      <c r="B786" s="1483" t="str">
        <f t="shared" si="65"/>
        <v>Procurement &amp; Replacement of Condenser tubes for 500MW Unit-6</v>
      </c>
      <c r="C786" s="1482" t="str">
        <f t="shared" si="65"/>
        <v>MERC/TECH 1/CAPEX/20142015/00950</v>
      </c>
      <c r="D786" s="1390">
        <f t="shared" si="65"/>
        <v>41893</v>
      </c>
      <c r="E786" s="560">
        <f t="shared" si="65"/>
        <v>7.0937340000000004</v>
      </c>
      <c r="F786" s="1508">
        <f t="shared" si="57"/>
        <v>6.1698368290000003</v>
      </c>
      <c r="G786" s="1508">
        <f t="shared" si="58"/>
        <v>6.1698368290000003</v>
      </c>
      <c r="H786" s="1508">
        <f t="shared" si="61"/>
        <v>0</v>
      </c>
      <c r="I786" s="1480">
        <v>0</v>
      </c>
      <c r="J786" s="1480">
        <v>0</v>
      </c>
      <c r="K786" s="1508"/>
      <c r="L786" s="1508"/>
      <c r="M786" s="1509">
        <f t="shared" si="62"/>
        <v>0</v>
      </c>
      <c r="N786" s="1508">
        <f t="shared" si="63"/>
        <v>0</v>
      </c>
      <c r="O786" s="1481">
        <f t="shared" si="59"/>
        <v>0</v>
      </c>
      <c r="P786" s="1427">
        <f t="shared" si="60"/>
        <v>0</v>
      </c>
    </row>
    <row r="787" spans="1:16" ht="31" outlineLevel="1" x14ac:dyDescent="0.25">
      <c r="A787" s="1482">
        <f t="shared" si="65"/>
        <v>0</v>
      </c>
      <c r="B787" s="1483" t="str">
        <f t="shared" si="65"/>
        <v>IDC</v>
      </c>
      <c r="C787" s="1482" t="str">
        <f t="shared" si="65"/>
        <v>MERC/TECH 1/CAPEX/20142015/00950</v>
      </c>
      <c r="D787" s="1390">
        <f t="shared" si="65"/>
        <v>41893</v>
      </c>
      <c r="E787" s="560">
        <f t="shared" si="65"/>
        <v>1.2</v>
      </c>
      <c r="F787" s="1508">
        <f t="shared" si="57"/>
        <v>0</v>
      </c>
      <c r="G787" s="1508">
        <f t="shared" si="58"/>
        <v>0</v>
      </c>
      <c r="H787" s="1508">
        <f t="shared" si="61"/>
        <v>0</v>
      </c>
      <c r="I787" s="1480">
        <v>0</v>
      </c>
      <c r="J787" s="1480">
        <v>0</v>
      </c>
      <c r="K787" s="1508"/>
      <c r="L787" s="1508"/>
      <c r="M787" s="1509">
        <f t="shared" si="62"/>
        <v>0</v>
      </c>
      <c r="N787" s="1508">
        <f t="shared" si="63"/>
        <v>0</v>
      </c>
      <c r="O787" s="1481">
        <f t="shared" si="59"/>
        <v>0</v>
      </c>
      <c r="P787" s="1427">
        <f t="shared" si="60"/>
        <v>0</v>
      </c>
    </row>
    <row r="788" spans="1:16" ht="31" outlineLevel="1" x14ac:dyDescent="0.25">
      <c r="A788" s="1477">
        <f t="shared" si="65"/>
        <v>20</v>
      </c>
      <c r="B788" s="1478" t="str">
        <f t="shared" si="65"/>
        <v>210/500 MW CHP performance improvement</v>
      </c>
      <c r="C788" s="1477" t="str">
        <f t="shared" si="65"/>
        <v>MERC/Cell No. 1/CAPEX/ 20152016/00634</v>
      </c>
      <c r="D788" s="1479">
        <f t="shared" si="65"/>
        <v>42256</v>
      </c>
      <c r="E788" s="1383">
        <f t="shared" si="65"/>
        <v>16.303000000000001</v>
      </c>
      <c r="F788" s="1480">
        <f t="shared" si="57"/>
        <v>0</v>
      </c>
      <c r="G788" s="1480">
        <f t="shared" si="58"/>
        <v>0</v>
      </c>
      <c r="H788" s="1480">
        <f t="shared" si="61"/>
        <v>0</v>
      </c>
      <c r="I788" s="1480">
        <v>0</v>
      </c>
      <c r="J788" s="1480">
        <v>0</v>
      </c>
      <c r="K788" s="1480"/>
      <c r="L788" s="1480"/>
      <c r="M788" s="1480">
        <f t="shared" si="62"/>
        <v>0</v>
      </c>
      <c r="N788" s="1480">
        <f t="shared" si="63"/>
        <v>0</v>
      </c>
      <c r="O788" s="1481">
        <f t="shared" si="59"/>
        <v>0</v>
      </c>
      <c r="P788" s="1427">
        <f t="shared" si="60"/>
        <v>0</v>
      </c>
    </row>
    <row r="789" spans="1:16" ht="31" outlineLevel="1" x14ac:dyDescent="0.25">
      <c r="A789" s="1482">
        <f t="shared" si="65"/>
        <v>20.100000000000001</v>
      </c>
      <c r="B789" s="1483" t="str">
        <f t="shared" si="65"/>
        <v>Provision of over band suspended magnets for CHP-C.</v>
      </c>
      <c r="C789" s="1482" t="str">
        <f t="shared" si="65"/>
        <v>MERC/Cell No. 1/CAPEX/ 20152016/00634</v>
      </c>
      <c r="D789" s="1390">
        <f t="shared" si="65"/>
        <v>42256</v>
      </c>
      <c r="E789" s="560">
        <f t="shared" si="65"/>
        <v>1.077</v>
      </c>
      <c r="F789" s="1508">
        <f t="shared" si="57"/>
        <v>0.90834481999999994</v>
      </c>
      <c r="G789" s="1508">
        <f t="shared" si="58"/>
        <v>0.90834481999999994</v>
      </c>
      <c r="H789" s="1508">
        <f t="shared" si="61"/>
        <v>0</v>
      </c>
      <c r="I789" s="1480">
        <v>0</v>
      </c>
      <c r="J789" s="1480">
        <v>0</v>
      </c>
      <c r="K789" s="1508"/>
      <c r="L789" s="1508"/>
      <c r="M789" s="1509">
        <f t="shared" si="62"/>
        <v>0</v>
      </c>
      <c r="N789" s="1508">
        <f t="shared" si="63"/>
        <v>0</v>
      </c>
      <c r="O789" s="1481">
        <f t="shared" si="59"/>
        <v>0</v>
      </c>
      <c r="P789" s="1427">
        <f t="shared" si="60"/>
        <v>0</v>
      </c>
    </row>
    <row r="790" spans="1:16" ht="62" outlineLevel="1" x14ac:dyDescent="0.25">
      <c r="A790" s="1482">
        <f t="shared" si="65"/>
        <v>20.2</v>
      </c>
      <c r="B790" s="1483" t="str">
        <f t="shared" si="65"/>
        <v>1. Procurement of HT contactor for bunkering side auxiliary at CHP B
2. Procurement of HT contactor for unloading side Critical Auxiliary at CHP-B</v>
      </c>
      <c r="C790" s="1482" t="str">
        <f t="shared" si="65"/>
        <v>MERC/Cell No. 1/CAPEX/ 20152016/00634</v>
      </c>
      <c r="D790" s="1390">
        <f t="shared" si="65"/>
        <v>42256</v>
      </c>
      <c r="E790" s="560">
        <f t="shared" si="65"/>
        <v>5.7590000000000003</v>
      </c>
      <c r="F790" s="1508">
        <f t="shared" si="57"/>
        <v>2.894304</v>
      </c>
      <c r="G790" s="1508">
        <f t="shared" si="58"/>
        <v>2.894304</v>
      </c>
      <c r="H790" s="1508">
        <f t="shared" si="61"/>
        <v>0</v>
      </c>
      <c r="I790" s="1480">
        <v>0</v>
      </c>
      <c r="J790" s="1480">
        <v>0</v>
      </c>
      <c r="K790" s="1508"/>
      <c r="L790" s="1508"/>
      <c r="M790" s="1509">
        <f t="shared" si="62"/>
        <v>0</v>
      </c>
      <c r="N790" s="1508">
        <f t="shared" si="63"/>
        <v>0</v>
      </c>
      <c r="O790" s="1481">
        <f t="shared" si="59"/>
        <v>0</v>
      </c>
      <c r="P790" s="1427">
        <f t="shared" si="60"/>
        <v>0</v>
      </c>
    </row>
    <row r="791" spans="1:16" ht="31" outlineLevel="1" x14ac:dyDescent="0.25">
      <c r="A791" s="1482">
        <f t="shared" si="65"/>
        <v>20.3</v>
      </c>
      <c r="B791" s="1483" t="str">
        <f t="shared" si="65"/>
        <v>Bulldozer BD-155</v>
      </c>
      <c r="C791" s="1482" t="str">
        <f t="shared" si="65"/>
        <v>MERC/Cell No. 1/CAPEX/ 20152016/00634</v>
      </c>
      <c r="D791" s="1390">
        <f t="shared" si="65"/>
        <v>42256</v>
      </c>
      <c r="E791" s="560">
        <f t="shared" si="65"/>
        <v>5.12</v>
      </c>
      <c r="F791" s="1508">
        <f t="shared" si="57"/>
        <v>7.9707386820000004</v>
      </c>
      <c r="G791" s="1508">
        <f t="shared" si="58"/>
        <v>7.9707386820000004</v>
      </c>
      <c r="H791" s="1508">
        <f t="shared" si="61"/>
        <v>0</v>
      </c>
      <c r="I791" s="1480">
        <v>0</v>
      </c>
      <c r="J791" s="1480">
        <v>0</v>
      </c>
      <c r="K791" s="1508"/>
      <c r="L791" s="1508"/>
      <c r="M791" s="1509">
        <f t="shared" si="62"/>
        <v>0</v>
      </c>
      <c r="N791" s="1508">
        <f t="shared" si="63"/>
        <v>0</v>
      </c>
      <c r="O791" s="1481">
        <f t="shared" si="59"/>
        <v>0</v>
      </c>
      <c r="P791" s="1427">
        <f t="shared" si="60"/>
        <v>0</v>
      </c>
    </row>
    <row r="792" spans="1:16" ht="31" outlineLevel="1" x14ac:dyDescent="0.25">
      <c r="A792" s="1482">
        <f t="shared" ref="A792:E807" si="66">A122</f>
        <v>20.399999999999999</v>
      </c>
      <c r="B792" s="1483" t="str">
        <f t="shared" si="66"/>
        <v>Modification of wagon tippler CHP-A</v>
      </c>
      <c r="C792" s="1482" t="str">
        <f t="shared" si="66"/>
        <v>MERC/Cell No. 1/CAPEX/ 20152016/00634</v>
      </c>
      <c r="D792" s="1390">
        <f t="shared" si="66"/>
        <v>42256</v>
      </c>
      <c r="E792" s="560">
        <f t="shared" si="66"/>
        <v>3.8969999999999998</v>
      </c>
      <c r="F792" s="1508">
        <f t="shared" si="57"/>
        <v>4.488435977</v>
      </c>
      <c r="G792" s="1508">
        <f t="shared" si="58"/>
        <v>4.488435977</v>
      </c>
      <c r="H792" s="1508">
        <f t="shared" si="61"/>
        <v>0</v>
      </c>
      <c r="I792" s="1480">
        <v>0</v>
      </c>
      <c r="J792" s="1480">
        <v>0</v>
      </c>
      <c r="K792" s="1508"/>
      <c r="L792" s="1508"/>
      <c r="M792" s="1509">
        <f t="shared" si="62"/>
        <v>0</v>
      </c>
      <c r="N792" s="1508">
        <f t="shared" si="63"/>
        <v>0</v>
      </c>
      <c r="O792" s="1481">
        <f t="shared" si="59"/>
        <v>0</v>
      </c>
      <c r="P792" s="1427">
        <f t="shared" si="60"/>
        <v>0</v>
      </c>
    </row>
    <row r="793" spans="1:16" ht="31" outlineLevel="1" x14ac:dyDescent="0.25">
      <c r="A793" s="1482">
        <f t="shared" si="66"/>
        <v>0</v>
      </c>
      <c r="B793" s="1483" t="str">
        <f t="shared" si="66"/>
        <v>IDC</v>
      </c>
      <c r="C793" s="1482" t="str">
        <f t="shared" si="66"/>
        <v>MERC/Cell No. 1/CAPEX/ 20152016/00634</v>
      </c>
      <c r="D793" s="1390">
        <f t="shared" si="66"/>
        <v>42256</v>
      </c>
      <c r="E793" s="560">
        <f t="shared" si="66"/>
        <v>0.45</v>
      </c>
      <c r="F793" s="1508">
        <f t="shared" si="57"/>
        <v>0</v>
      </c>
      <c r="G793" s="1508">
        <f t="shared" si="58"/>
        <v>0</v>
      </c>
      <c r="H793" s="1508">
        <f t="shared" si="61"/>
        <v>0</v>
      </c>
      <c r="I793" s="1480">
        <v>0</v>
      </c>
      <c r="J793" s="1480">
        <v>0</v>
      </c>
      <c r="K793" s="1508"/>
      <c r="L793" s="1508"/>
      <c r="M793" s="1509">
        <f t="shared" si="62"/>
        <v>0</v>
      </c>
      <c r="N793" s="1508">
        <f t="shared" si="63"/>
        <v>0</v>
      </c>
      <c r="O793" s="1481">
        <f t="shared" si="59"/>
        <v>0</v>
      </c>
      <c r="P793" s="1427">
        <f t="shared" si="60"/>
        <v>0</v>
      </c>
    </row>
    <row r="794" spans="1:16" ht="15.5" outlineLevel="1" x14ac:dyDescent="0.25">
      <c r="A794" s="1489">
        <f t="shared" si="66"/>
        <v>21</v>
      </c>
      <c r="B794" s="1490" t="str">
        <f t="shared" si="66"/>
        <v>Improvement in Electrical Systems</v>
      </c>
      <c r="C794" s="1477" t="str">
        <f t="shared" si="66"/>
        <v>MERC/CAPEX/20162017/00192</v>
      </c>
      <c r="D794" s="1479">
        <f t="shared" si="66"/>
        <v>42500</v>
      </c>
      <c r="E794" s="1383">
        <f t="shared" si="66"/>
        <v>10.499999999999998</v>
      </c>
      <c r="F794" s="1480">
        <f t="shared" si="57"/>
        <v>0</v>
      </c>
      <c r="G794" s="1480">
        <f t="shared" si="58"/>
        <v>0</v>
      </c>
      <c r="H794" s="1480">
        <f t="shared" si="61"/>
        <v>0</v>
      </c>
      <c r="I794" s="1480">
        <v>0</v>
      </c>
      <c r="J794" s="1480">
        <v>0</v>
      </c>
      <c r="K794" s="1480"/>
      <c r="L794" s="1480"/>
      <c r="M794" s="1480">
        <f t="shared" si="62"/>
        <v>0</v>
      </c>
      <c r="N794" s="1480">
        <f t="shared" si="63"/>
        <v>0</v>
      </c>
      <c r="O794" s="1481">
        <f t="shared" si="59"/>
        <v>0</v>
      </c>
      <c r="P794" s="1427">
        <f t="shared" si="60"/>
        <v>0</v>
      </c>
    </row>
    <row r="795" spans="1:16" ht="31" outlineLevel="1" x14ac:dyDescent="0.25">
      <c r="A795" s="1484">
        <f t="shared" si="66"/>
        <v>21.1</v>
      </c>
      <c r="B795" s="1485" t="str">
        <f t="shared" si="66"/>
        <v>Station Battery set 1 &amp; 2 of 220V, 2190  AH Capacity (2V X 110 Cells) New type Make- Exide</v>
      </c>
      <c r="C795" s="1482" t="str">
        <f t="shared" si="66"/>
        <v>MERC/CAPEX/20162017/00192</v>
      </c>
      <c r="D795" s="1390">
        <f t="shared" si="66"/>
        <v>42500</v>
      </c>
      <c r="E795" s="560">
        <f t="shared" si="66"/>
        <v>2.71</v>
      </c>
      <c r="F795" s="1508">
        <f t="shared" si="57"/>
        <v>3.7130741999999999</v>
      </c>
      <c r="G795" s="1508">
        <f t="shared" si="58"/>
        <v>3.7130741</v>
      </c>
      <c r="H795" s="1508">
        <f t="shared" si="61"/>
        <v>9.9999999836342113E-8</v>
      </c>
      <c r="I795" s="1480">
        <v>0</v>
      </c>
      <c r="J795" s="1480">
        <v>0</v>
      </c>
      <c r="K795" s="1508"/>
      <c r="L795" s="1508"/>
      <c r="M795" s="1509">
        <f t="shared" si="62"/>
        <v>0</v>
      </c>
      <c r="N795" s="1508">
        <f t="shared" si="63"/>
        <v>9.9999999836342113E-8</v>
      </c>
      <c r="O795" s="1481">
        <f t="shared" si="59"/>
        <v>0</v>
      </c>
      <c r="P795" s="1427">
        <f t="shared" si="60"/>
        <v>0</v>
      </c>
    </row>
    <row r="796" spans="1:16" ht="31" outlineLevel="1" x14ac:dyDescent="0.25">
      <c r="A796" s="1484">
        <f t="shared" si="66"/>
        <v>21.2</v>
      </c>
      <c r="B796" s="1485" t="str">
        <f t="shared" si="66"/>
        <v>The G1 &amp; G2 Battery sets of 24V, 1825AH Capacity (13 Nos. cells X 2= 26 Nos. cells) plantetype Make- Exide</v>
      </c>
      <c r="C796" s="1482" t="str">
        <f t="shared" si="66"/>
        <v>MERC/CAPEX/20162017/00192</v>
      </c>
      <c r="D796" s="1390">
        <f t="shared" si="66"/>
        <v>42500</v>
      </c>
      <c r="E796" s="560">
        <f t="shared" si="66"/>
        <v>0.55000000000000004</v>
      </c>
      <c r="F796" s="1508">
        <f t="shared" si="57"/>
        <v>0.53016459999999999</v>
      </c>
      <c r="G796" s="1508">
        <f t="shared" si="58"/>
        <v>0.53016459999999999</v>
      </c>
      <c r="H796" s="1508">
        <f t="shared" si="61"/>
        <v>0</v>
      </c>
      <c r="I796" s="1480">
        <v>0</v>
      </c>
      <c r="J796" s="1480">
        <v>0</v>
      </c>
      <c r="K796" s="1508"/>
      <c r="L796" s="1508"/>
      <c r="M796" s="1509">
        <f t="shared" si="62"/>
        <v>0</v>
      </c>
      <c r="N796" s="1508">
        <f t="shared" si="63"/>
        <v>0</v>
      </c>
      <c r="O796" s="1481">
        <f t="shared" si="59"/>
        <v>0</v>
      </c>
      <c r="P796" s="1427">
        <f t="shared" si="60"/>
        <v>0</v>
      </c>
    </row>
    <row r="797" spans="1:16" ht="31" outlineLevel="1" x14ac:dyDescent="0.25">
      <c r="A797" s="1484">
        <f t="shared" si="66"/>
        <v>21.3</v>
      </c>
      <c r="B797" s="1485" t="str">
        <f t="shared" si="66"/>
        <v>Replacement of 6.6 KV HT breakers at Ash Handling Plant by 6.6 KV SF6 contactors  suitable for frequent ON/OFFs.</v>
      </c>
      <c r="C797" s="1482" t="str">
        <f t="shared" si="66"/>
        <v>MERC/CAPEX/20162017/00192</v>
      </c>
      <c r="D797" s="1390">
        <f t="shared" si="66"/>
        <v>42500</v>
      </c>
      <c r="E797" s="560">
        <f t="shared" si="66"/>
        <v>3.12</v>
      </c>
      <c r="F797" s="1508">
        <f t="shared" si="57"/>
        <v>3.5539240080000001</v>
      </c>
      <c r="G797" s="1508">
        <f t="shared" si="58"/>
        <v>3.5539240080000001</v>
      </c>
      <c r="H797" s="1508">
        <f t="shared" si="61"/>
        <v>0</v>
      </c>
      <c r="I797" s="1480">
        <v>0</v>
      </c>
      <c r="J797" s="1480">
        <v>0</v>
      </c>
      <c r="K797" s="1508"/>
      <c r="L797" s="1508"/>
      <c r="M797" s="1509">
        <f t="shared" si="62"/>
        <v>0</v>
      </c>
      <c r="N797" s="1508">
        <f t="shared" si="63"/>
        <v>0</v>
      </c>
      <c r="O797" s="1481">
        <f t="shared" si="59"/>
        <v>0</v>
      </c>
      <c r="P797" s="1427">
        <f t="shared" si="60"/>
        <v>0</v>
      </c>
    </row>
    <row r="798" spans="1:16" ht="15.5" outlineLevel="1" x14ac:dyDescent="0.25">
      <c r="A798" s="1484">
        <f t="shared" si="66"/>
        <v>21.4</v>
      </c>
      <c r="B798" s="1485" t="str">
        <f t="shared" si="66"/>
        <v>Micro-processor based flame scanners at Unit#3&amp;4 (210 MW)</v>
      </c>
      <c r="C798" s="1482" t="str">
        <f t="shared" si="66"/>
        <v>MERC/CAPEX/20162017/00192</v>
      </c>
      <c r="D798" s="1390">
        <f t="shared" si="66"/>
        <v>42500</v>
      </c>
      <c r="E798" s="560">
        <f t="shared" si="66"/>
        <v>2.34</v>
      </c>
      <c r="F798" s="1508">
        <f t="shared" si="57"/>
        <v>3.3241367359999998</v>
      </c>
      <c r="G798" s="1508">
        <f t="shared" si="58"/>
        <v>3.3241367359999998</v>
      </c>
      <c r="H798" s="1508">
        <f t="shared" si="61"/>
        <v>0</v>
      </c>
      <c r="I798" s="1480">
        <v>0</v>
      </c>
      <c r="J798" s="1480">
        <v>0</v>
      </c>
      <c r="K798" s="1508"/>
      <c r="L798" s="1508"/>
      <c r="M798" s="1509">
        <f t="shared" si="62"/>
        <v>0</v>
      </c>
      <c r="N798" s="1508">
        <f t="shared" si="63"/>
        <v>0</v>
      </c>
      <c r="O798" s="1481">
        <f t="shared" si="59"/>
        <v>0</v>
      </c>
      <c r="P798" s="1427">
        <f t="shared" si="60"/>
        <v>0</v>
      </c>
    </row>
    <row r="799" spans="1:16" ht="46.5" outlineLevel="1" x14ac:dyDescent="0.25">
      <c r="A799" s="1484">
        <f t="shared" si="66"/>
        <v>21.5</v>
      </c>
      <c r="B799" s="1485" t="str">
        <f t="shared" si="66"/>
        <v>Supply, erection and commissioning of Generator Protection scheme as per enclosed material schedule and scope of work for Unit-6</v>
      </c>
      <c r="C799" s="1482" t="str">
        <f t="shared" si="66"/>
        <v>MERC/CAPEX/20162017/00192</v>
      </c>
      <c r="D799" s="1390">
        <f t="shared" si="66"/>
        <v>42500</v>
      </c>
      <c r="E799" s="560">
        <f t="shared" si="66"/>
        <v>1.03</v>
      </c>
      <c r="F799" s="1508">
        <f t="shared" si="57"/>
        <v>1.1915800000000001</v>
      </c>
      <c r="G799" s="1508">
        <f t="shared" si="58"/>
        <v>1.1915800000000001</v>
      </c>
      <c r="H799" s="1508">
        <f t="shared" si="61"/>
        <v>0</v>
      </c>
      <c r="I799" s="1480">
        <v>0</v>
      </c>
      <c r="J799" s="1480">
        <v>0</v>
      </c>
      <c r="K799" s="1508"/>
      <c r="L799" s="1508"/>
      <c r="M799" s="1509">
        <f t="shared" si="62"/>
        <v>0</v>
      </c>
      <c r="N799" s="1508">
        <f t="shared" si="63"/>
        <v>0</v>
      </c>
      <c r="O799" s="1481">
        <f t="shared" si="59"/>
        <v>0</v>
      </c>
      <c r="P799" s="1427">
        <f t="shared" si="60"/>
        <v>0</v>
      </c>
    </row>
    <row r="800" spans="1:16" ht="15.5" outlineLevel="1" x14ac:dyDescent="0.25">
      <c r="A800" s="1484">
        <f t="shared" si="66"/>
        <v>0</v>
      </c>
      <c r="B800" s="1485" t="str">
        <f t="shared" si="66"/>
        <v>IDC</v>
      </c>
      <c r="C800" s="1482" t="str">
        <f t="shared" si="66"/>
        <v>MERC/CAPEX/20162017/00192</v>
      </c>
      <c r="D800" s="1390">
        <f t="shared" si="66"/>
        <v>42500</v>
      </c>
      <c r="E800" s="560">
        <f t="shared" si="66"/>
        <v>0.75</v>
      </c>
      <c r="F800" s="1508">
        <f t="shared" si="57"/>
        <v>0</v>
      </c>
      <c r="G800" s="1508">
        <f t="shared" si="58"/>
        <v>0</v>
      </c>
      <c r="H800" s="1508">
        <f t="shared" si="61"/>
        <v>0</v>
      </c>
      <c r="I800" s="1480">
        <v>0</v>
      </c>
      <c r="J800" s="1480">
        <v>0</v>
      </c>
      <c r="K800" s="1508"/>
      <c r="L800" s="1508"/>
      <c r="M800" s="1509">
        <f t="shared" si="62"/>
        <v>0</v>
      </c>
      <c r="N800" s="1508">
        <f t="shared" si="63"/>
        <v>0</v>
      </c>
      <c r="O800" s="1481">
        <f t="shared" si="59"/>
        <v>0</v>
      </c>
      <c r="P800" s="1427">
        <f t="shared" si="60"/>
        <v>0</v>
      </c>
    </row>
    <row r="801" spans="1:16" ht="31" outlineLevel="1" x14ac:dyDescent="0.25">
      <c r="A801" s="1489">
        <f t="shared" si="66"/>
        <v>22</v>
      </c>
      <c r="B801" s="1490" t="str">
        <f t="shared" si="66"/>
        <v>Implementation of MPCB related ESP performance Improvement schemes at Chandrapur STPS Unit 3 to 7</v>
      </c>
      <c r="C801" s="1486" t="str">
        <f t="shared" si="66"/>
        <v>MERC/CAPEX/20152016/00420</v>
      </c>
      <c r="D801" s="1487">
        <f t="shared" si="66"/>
        <v>42584</v>
      </c>
      <c r="E801" s="1383">
        <f t="shared" si="66"/>
        <v>18.170000000000002</v>
      </c>
      <c r="F801" s="1480">
        <f t="shared" si="57"/>
        <v>0</v>
      </c>
      <c r="G801" s="1480">
        <f t="shared" si="58"/>
        <v>0</v>
      </c>
      <c r="H801" s="1480">
        <f t="shared" si="61"/>
        <v>0</v>
      </c>
      <c r="I801" s="1480">
        <v>0</v>
      </c>
      <c r="J801" s="1480">
        <v>0</v>
      </c>
      <c r="K801" s="1480"/>
      <c r="L801" s="1480"/>
      <c r="M801" s="1480">
        <f t="shared" si="62"/>
        <v>0</v>
      </c>
      <c r="N801" s="1480">
        <f t="shared" si="63"/>
        <v>0</v>
      </c>
      <c r="O801" s="1481">
        <f t="shared" si="59"/>
        <v>0</v>
      </c>
      <c r="P801" s="1427">
        <f t="shared" si="60"/>
        <v>0</v>
      </c>
    </row>
    <row r="802" spans="1:16" ht="31" outlineLevel="1" x14ac:dyDescent="0.25">
      <c r="A802" s="1484">
        <f t="shared" si="66"/>
        <v>22.1</v>
      </c>
      <c r="B802" s="1485" t="str">
        <f t="shared" si="66"/>
        <v>Supply of internals of ESP. ( model-2FAA-5 X 32-13290-2) 1st &amp; 2nd fields in Unit #3 &amp; Works</v>
      </c>
      <c r="C802" s="1488" t="str">
        <f t="shared" si="66"/>
        <v>MERC/CAPEX/20152016/00420</v>
      </c>
      <c r="D802" s="1413">
        <f t="shared" si="66"/>
        <v>42584</v>
      </c>
      <c r="E802" s="560">
        <f t="shared" si="66"/>
        <v>4.6100000000000003</v>
      </c>
      <c r="F802" s="1508">
        <f t="shared" si="57"/>
        <v>3.9121787139999999</v>
      </c>
      <c r="G802" s="1508">
        <f t="shared" si="58"/>
        <v>3.9121787139999999</v>
      </c>
      <c r="H802" s="1508">
        <f t="shared" si="61"/>
        <v>0</v>
      </c>
      <c r="I802" s="1480">
        <v>0</v>
      </c>
      <c r="J802" s="1480">
        <v>0</v>
      </c>
      <c r="K802" s="1508"/>
      <c r="L802" s="1508"/>
      <c r="M802" s="1509">
        <f t="shared" si="62"/>
        <v>0</v>
      </c>
      <c r="N802" s="1508">
        <f t="shared" si="63"/>
        <v>0</v>
      </c>
      <c r="O802" s="1481">
        <f t="shared" si="59"/>
        <v>0</v>
      </c>
      <c r="P802" s="1427">
        <f t="shared" si="60"/>
        <v>0</v>
      </c>
    </row>
    <row r="803" spans="1:16" ht="31" outlineLevel="1" x14ac:dyDescent="0.25">
      <c r="A803" s="1484">
        <f t="shared" si="66"/>
        <v>22.2</v>
      </c>
      <c r="B803" s="1485" t="str">
        <f t="shared" si="66"/>
        <v>Supply of internals of ESP. ( model-2FAA-5 X 32-13290-2) 1st &amp; 2nd fields in Unit #4 &amp; Works</v>
      </c>
      <c r="C803" s="1488" t="str">
        <f t="shared" si="66"/>
        <v>MERC/CAPEX/20152016/00420</v>
      </c>
      <c r="D803" s="1413">
        <f t="shared" si="66"/>
        <v>42584</v>
      </c>
      <c r="E803" s="560">
        <f t="shared" si="66"/>
        <v>4.6100000000000003</v>
      </c>
      <c r="F803" s="1508">
        <f t="shared" si="57"/>
        <v>0</v>
      </c>
      <c r="G803" s="1508">
        <f t="shared" si="58"/>
        <v>0</v>
      </c>
      <c r="H803" s="1508">
        <f t="shared" si="61"/>
        <v>0</v>
      </c>
      <c r="I803" s="1480">
        <v>0</v>
      </c>
      <c r="J803" s="1480">
        <v>0</v>
      </c>
      <c r="K803" s="1508"/>
      <c r="L803" s="1508"/>
      <c r="M803" s="1509">
        <f t="shared" si="62"/>
        <v>0</v>
      </c>
      <c r="N803" s="1508">
        <f t="shared" si="63"/>
        <v>0</v>
      </c>
      <c r="O803" s="1481">
        <f t="shared" si="59"/>
        <v>0</v>
      </c>
      <c r="P803" s="1427">
        <f t="shared" si="60"/>
        <v>0</v>
      </c>
    </row>
    <row r="804" spans="1:16" ht="31" outlineLevel="1" x14ac:dyDescent="0.25">
      <c r="A804" s="1484">
        <f t="shared" si="66"/>
        <v>22.3</v>
      </c>
      <c r="B804" s="1485" t="str">
        <f t="shared" si="66"/>
        <v>Installation of SOx/ NOx analyzers for unit-3 to 7 along with all required hardware and software (Statutory requirement).</v>
      </c>
      <c r="C804" s="1482" t="str">
        <f t="shared" si="66"/>
        <v>MERC/CAPEX/20152016/00420</v>
      </c>
      <c r="D804" s="1390">
        <f t="shared" si="66"/>
        <v>42584</v>
      </c>
      <c r="E804" s="560">
        <f t="shared" si="66"/>
        <v>2.98</v>
      </c>
      <c r="F804" s="1508">
        <f t="shared" si="57"/>
        <v>1.37732225</v>
      </c>
      <c r="G804" s="1508">
        <f t="shared" si="58"/>
        <v>1.37732225</v>
      </c>
      <c r="H804" s="1508">
        <f t="shared" si="61"/>
        <v>0</v>
      </c>
      <c r="I804" s="1480">
        <v>0</v>
      </c>
      <c r="J804" s="1480">
        <v>0</v>
      </c>
      <c r="K804" s="1508"/>
      <c r="L804" s="1508"/>
      <c r="M804" s="1509">
        <f t="shared" si="62"/>
        <v>0</v>
      </c>
      <c r="N804" s="1508">
        <f t="shared" si="63"/>
        <v>0</v>
      </c>
      <c r="O804" s="1481">
        <f t="shared" si="59"/>
        <v>0</v>
      </c>
      <c r="P804" s="1427">
        <f t="shared" si="60"/>
        <v>0</v>
      </c>
    </row>
    <row r="805" spans="1:16" ht="62" outlineLevel="1" x14ac:dyDescent="0.25">
      <c r="A805" s="1484">
        <f t="shared" si="66"/>
        <v>22.4</v>
      </c>
      <c r="B805" s="1485" t="str">
        <f t="shared" si="66"/>
        <v>Design, Engineering, Supply, Erection and Commissioning of High pressure MIST/FOG Generating System at Track hopper, WT 1 &amp; 2 of 500MW, Crusher House, Transfer Points &amp; Bunker house of 500MW</v>
      </c>
      <c r="C805" s="1488" t="str">
        <f t="shared" si="66"/>
        <v>MERC/CAPEX/20152016/00420</v>
      </c>
      <c r="D805" s="1413">
        <f t="shared" si="66"/>
        <v>42584</v>
      </c>
      <c r="E805" s="560">
        <f t="shared" si="66"/>
        <v>5.37</v>
      </c>
      <c r="F805" s="1508">
        <f t="shared" si="57"/>
        <v>4.5728099999999996</v>
      </c>
      <c r="G805" s="1508">
        <f t="shared" si="58"/>
        <v>4.5728099999999996</v>
      </c>
      <c r="H805" s="1508">
        <f t="shared" si="61"/>
        <v>0</v>
      </c>
      <c r="I805" s="1480">
        <v>0</v>
      </c>
      <c r="J805" s="1480">
        <v>0</v>
      </c>
      <c r="K805" s="1508"/>
      <c r="L805" s="1508"/>
      <c r="M805" s="1509">
        <f t="shared" si="62"/>
        <v>0</v>
      </c>
      <c r="N805" s="1508">
        <f t="shared" si="63"/>
        <v>0</v>
      </c>
      <c r="O805" s="1481">
        <f t="shared" si="59"/>
        <v>0</v>
      </c>
      <c r="P805" s="1427">
        <f t="shared" si="60"/>
        <v>0</v>
      </c>
    </row>
    <row r="806" spans="1:16" ht="15.5" outlineLevel="1" x14ac:dyDescent="0.25">
      <c r="A806" s="1484">
        <f t="shared" si="66"/>
        <v>0</v>
      </c>
      <c r="B806" s="1485" t="str">
        <f t="shared" si="66"/>
        <v>IDC</v>
      </c>
      <c r="C806" s="1482" t="str">
        <f t="shared" si="66"/>
        <v>MERC/CAPEX/20152016/00420</v>
      </c>
      <c r="D806" s="1390">
        <f t="shared" si="66"/>
        <v>42584</v>
      </c>
      <c r="E806" s="560">
        <f t="shared" si="66"/>
        <v>0.6</v>
      </c>
      <c r="F806" s="1508">
        <f t="shared" si="57"/>
        <v>0</v>
      </c>
      <c r="G806" s="1508">
        <f t="shared" si="58"/>
        <v>0</v>
      </c>
      <c r="H806" s="1508">
        <f t="shared" si="61"/>
        <v>0</v>
      </c>
      <c r="I806" s="1480">
        <v>0</v>
      </c>
      <c r="J806" s="1480">
        <v>0</v>
      </c>
      <c r="K806" s="1508"/>
      <c r="L806" s="1508"/>
      <c r="M806" s="1509">
        <f t="shared" si="62"/>
        <v>0</v>
      </c>
      <c r="N806" s="1508">
        <f t="shared" si="63"/>
        <v>0</v>
      </c>
      <c r="O806" s="1481">
        <f t="shared" si="59"/>
        <v>0</v>
      </c>
      <c r="P806" s="1427">
        <f t="shared" si="60"/>
        <v>0</v>
      </c>
    </row>
    <row r="807" spans="1:16" ht="15.5" outlineLevel="1" x14ac:dyDescent="0.25">
      <c r="A807" s="1477">
        <f t="shared" si="66"/>
        <v>23</v>
      </c>
      <c r="B807" s="1478" t="str">
        <f t="shared" si="66"/>
        <v>Performance Improvement &amp; Life enhancement of 500MW CHP-B</v>
      </c>
      <c r="C807" s="1477" t="str">
        <f t="shared" si="66"/>
        <v>MERC/CAPEX/20162017/01067</v>
      </c>
      <c r="D807" s="1479">
        <f t="shared" si="66"/>
        <v>42702</v>
      </c>
      <c r="E807" s="1383">
        <f t="shared" si="66"/>
        <v>18.78</v>
      </c>
      <c r="F807" s="1480">
        <f t="shared" si="57"/>
        <v>0</v>
      </c>
      <c r="G807" s="1480">
        <f t="shared" si="58"/>
        <v>0</v>
      </c>
      <c r="H807" s="1480">
        <f t="shared" si="61"/>
        <v>0</v>
      </c>
      <c r="I807" s="1480">
        <v>0</v>
      </c>
      <c r="J807" s="1480">
        <v>0</v>
      </c>
      <c r="K807" s="1480"/>
      <c r="L807" s="1480"/>
      <c r="M807" s="1480">
        <f t="shared" si="62"/>
        <v>0</v>
      </c>
      <c r="N807" s="1480">
        <f t="shared" si="63"/>
        <v>0</v>
      </c>
      <c r="O807" s="1481">
        <f t="shared" si="59"/>
        <v>0</v>
      </c>
      <c r="P807" s="1427">
        <f t="shared" si="60"/>
        <v>0</v>
      </c>
    </row>
    <row r="808" spans="1:16" ht="15.5" outlineLevel="1" x14ac:dyDescent="0.25">
      <c r="A808" s="1482">
        <f t="shared" ref="A808:E823" si="67">A138</f>
        <v>23.1</v>
      </c>
      <c r="B808" s="1483" t="str">
        <f t="shared" si="67"/>
        <v>Life Enhancement of Stacker reclaimer of CHP-B.</v>
      </c>
      <c r="C808" s="1482" t="str">
        <f t="shared" si="67"/>
        <v>MERC/CAPEX/20162017/01067</v>
      </c>
      <c r="D808" s="1390">
        <f t="shared" si="67"/>
        <v>42702</v>
      </c>
      <c r="E808" s="560">
        <f t="shared" si="67"/>
        <v>5.76</v>
      </c>
      <c r="F808" s="1508">
        <f t="shared" ref="F808:F871" si="68">F138+I138</f>
        <v>5.2949505139999999</v>
      </c>
      <c r="G808" s="1508">
        <f t="shared" ref="G808:G871" si="69">G138+M138</f>
        <v>5.2949505139999999</v>
      </c>
      <c r="H808" s="1508">
        <f t="shared" si="61"/>
        <v>0</v>
      </c>
      <c r="I808" s="1480">
        <v>0</v>
      </c>
      <c r="J808" s="1480">
        <v>0</v>
      </c>
      <c r="K808" s="1508"/>
      <c r="L808" s="1508"/>
      <c r="M808" s="1509">
        <f t="shared" si="62"/>
        <v>0</v>
      </c>
      <c r="N808" s="1508">
        <f t="shared" si="63"/>
        <v>0</v>
      </c>
      <c r="O808" s="1481">
        <f t="shared" ref="O808:O871" si="70">MAX(0,IF(M808=0,0,IF(G808+M808&lt;E808,M808,E808-G808)))</f>
        <v>0</v>
      </c>
      <c r="P808" s="1427">
        <f t="shared" ref="P808:P871" si="71">M808-O808</f>
        <v>0</v>
      </c>
    </row>
    <row r="809" spans="1:16" ht="31" outlineLevel="1" x14ac:dyDescent="0.25">
      <c r="A809" s="1482">
        <f t="shared" si="67"/>
        <v>23.2</v>
      </c>
      <c r="B809" s="1483" t="str">
        <f t="shared" si="67"/>
        <v>Renovation including replacement of hydraulic system of paddle feeder with up gradations at CHPB.</v>
      </c>
      <c r="C809" s="1482" t="str">
        <f t="shared" si="67"/>
        <v>MERC/CAPEX/20162017/01067</v>
      </c>
      <c r="D809" s="1390">
        <f t="shared" si="67"/>
        <v>42702</v>
      </c>
      <c r="E809" s="560">
        <f t="shared" si="67"/>
        <v>2.19</v>
      </c>
      <c r="F809" s="1508">
        <f t="shared" si="68"/>
        <v>2.3147547999999998</v>
      </c>
      <c r="G809" s="1508">
        <f t="shared" si="69"/>
        <v>2.3147547999999998</v>
      </c>
      <c r="H809" s="1508">
        <f t="shared" ref="H809:H872" si="72">F809-G809</f>
        <v>0</v>
      </c>
      <c r="I809" s="1480">
        <v>0</v>
      </c>
      <c r="J809" s="1480">
        <v>0</v>
      </c>
      <c r="K809" s="1508"/>
      <c r="L809" s="1508"/>
      <c r="M809" s="1509">
        <f t="shared" ref="M809:M872" si="73">SUM(J809:L809)</f>
        <v>0</v>
      </c>
      <c r="N809" s="1508">
        <f t="shared" ref="N809:N872" si="74">H809+I809-M809</f>
        <v>0</v>
      </c>
      <c r="O809" s="1481">
        <f t="shared" si="70"/>
        <v>0</v>
      </c>
      <c r="P809" s="1427">
        <f t="shared" si="71"/>
        <v>0</v>
      </c>
    </row>
    <row r="810" spans="1:16" ht="31" outlineLevel="1" x14ac:dyDescent="0.25">
      <c r="A810" s="1482">
        <f t="shared" si="67"/>
        <v>23.3</v>
      </c>
      <c r="B810" s="1483" t="str">
        <f t="shared" si="67"/>
        <v>Renovation of hydraulic system of wagon tippler and side arm charger with procurement of its essential spares at CHPB.</v>
      </c>
      <c r="C810" s="1482" t="str">
        <f t="shared" si="67"/>
        <v>MERC/CAPEX/20162017/01067</v>
      </c>
      <c r="D810" s="1390">
        <f t="shared" si="67"/>
        <v>42702</v>
      </c>
      <c r="E810" s="560">
        <f t="shared" si="67"/>
        <v>10.33</v>
      </c>
      <c r="F810" s="1508">
        <f t="shared" si="68"/>
        <v>11.7941</v>
      </c>
      <c r="G810" s="1508">
        <f t="shared" si="69"/>
        <v>11.7941</v>
      </c>
      <c r="H810" s="1508">
        <f t="shared" si="72"/>
        <v>0</v>
      </c>
      <c r="I810" s="1480">
        <v>0</v>
      </c>
      <c r="J810" s="1480">
        <v>0</v>
      </c>
      <c r="K810" s="1508"/>
      <c r="L810" s="1508"/>
      <c r="M810" s="1509">
        <f t="shared" si="73"/>
        <v>0</v>
      </c>
      <c r="N810" s="1508">
        <f t="shared" si="74"/>
        <v>0</v>
      </c>
      <c r="O810" s="1481">
        <f t="shared" si="70"/>
        <v>0</v>
      </c>
      <c r="P810" s="1427">
        <f t="shared" si="71"/>
        <v>0</v>
      </c>
    </row>
    <row r="811" spans="1:16" ht="15.5" outlineLevel="1" x14ac:dyDescent="0.25">
      <c r="A811" s="1482">
        <f t="shared" si="67"/>
        <v>0</v>
      </c>
      <c r="B811" s="1483" t="str">
        <f t="shared" si="67"/>
        <v>IDC</v>
      </c>
      <c r="C811" s="1482" t="str">
        <f t="shared" si="67"/>
        <v>MERC/CAPEX/20162017/01067</v>
      </c>
      <c r="D811" s="1390">
        <f t="shared" si="67"/>
        <v>42702</v>
      </c>
      <c r="E811" s="560">
        <f t="shared" si="67"/>
        <v>0.5</v>
      </c>
      <c r="F811" s="1508">
        <f t="shared" si="68"/>
        <v>0</v>
      </c>
      <c r="G811" s="1508">
        <f t="shared" si="69"/>
        <v>0</v>
      </c>
      <c r="H811" s="1508">
        <f t="shared" si="72"/>
        <v>0</v>
      </c>
      <c r="I811" s="1480">
        <v>0</v>
      </c>
      <c r="J811" s="1480">
        <v>0</v>
      </c>
      <c r="K811" s="1508"/>
      <c r="L811" s="1508"/>
      <c r="M811" s="1509">
        <f t="shared" si="73"/>
        <v>0</v>
      </c>
      <c r="N811" s="1508">
        <f t="shared" si="74"/>
        <v>0</v>
      </c>
      <c r="O811" s="1481">
        <f t="shared" si="70"/>
        <v>0</v>
      </c>
      <c r="P811" s="1427">
        <f t="shared" si="71"/>
        <v>0</v>
      </c>
    </row>
    <row r="812" spans="1:16" ht="31" outlineLevel="1" x14ac:dyDescent="0.25">
      <c r="A812" s="1477">
        <f t="shared" si="67"/>
        <v>24</v>
      </c>
      <c r="B812" s="1478" t="str">
        <f t="shared" si="67"/>
        <v>Retrofitting of existing circuit breakers at Chandrapur STPS Unit-3, 4, 5, 6 and ODP-II</v>
      </c>
      <c r="C812" s="1477" t="str">
        <f t="shared" si="67"/>
        <v>MERC/CAPEX/20162017/01475</v>
      </c>
      <c r="D812" s="1479">
        <f t="shared" si="67"/>
        <v>42772</v>
      </c>
      <c r="E812" s="1383">
        <f t="shared" si="67"/>
        <v>13.700000000000001</v>
      </c>
      <c r="F812" s="1480">
        <f t="shared" si="68"/>
        <v>0</v>
      </c>
      <c r="G812" s="1480">
        <f t="shared" si="69"/>
        <v>0</v>
      </c>
      <c r="H812" s="1480">
        <f t="shared" si="72"/>
        <v>0</v>
      </c>
      <c r="I812" s="1480">
        <v>0</v>
      </c>
      <c r="J812" s="1480">
        <v>0</v>
      </c>
      <c r="K812" s="1480"/>
      <c r="L812" s="1480"/>
      <c r="M812" s="1480">
        <f t="shared" si="73"/>
        <v>0</v>
      </c>
      <c r="N812" s="1480">
        <f t="shared" si="74"/>
        <v>0</v>
      </c>
      <c r="O812" s="1481">
        <f t="shared" si="70"/>
        <v>0</v>
      </c>
      <c r="P812" s="1427">
        <f t="shared" si="71"/>
        <v>0</v>
      </c>
    </row>
    <row r="813" spans="1:16" ht="31" outlineLevel="1" x14ac:dyDescent="0.25">
      <c r="A813" s="1482">
        <f t="shared" si="67"/>
        <v>24.1</v>
      </c>
      <c r="B813" s="1483" t="str">
        <f t="shared" si="67"/>
        <v>Retrofitting of existing Circuit breakers of AHP motor feeders at Unit # 5 &amp; 6</v>
      </c>
      <c r="C813" s="1482" t="str">
        <f t="shared" si="67"/>
        <v>MERC/CAPEX/20162017/01475</v>
      </c>
      <c r="D813" s="1390">
        <f t="shared" si="67"/>
        <v>42772</v>
      </c>
      <c r="E813" s="560">
        <f t="shared" si="67"/>
        <v>3.25</v>
      </c>
      <c r="F813" s="1508">
        <f t="shared" si="68"/>
        <v>3.8744195499999998</v>
      </c>
      <c r="G813" s="1508">
        <f t="shared" si="69"/>
        <v>3.8744195500000003</v>
      </c>
      <c r="H813" s="1508">
        <f t="shared" si="72"/>
        <v>0</v>
      </c>
      <c r="I813" s="1480">
        <v>0</v>
      </c>
      <c r="J813" s="1480">
        <v>0</v>
      </c>
      <c r="K813" s="1508"/>
      <c r="L813" s="1508"/>
      <c r="M813" s="1509">
        <f t="shared" si="73"/>
        <v>0</v>
      </c>
      <c r="N813" s="1508">
        <f t="shared" si="74"/>
        <v>0</v>
      </c>
      <c r="O813" s="1481">
        <f t="shared" si="70"/>
        <v>0</v>
      </c>
      <c r="P813" s="1427">
        <f t="shared" si="71"/>
        <v>0</v>
      </c>
    </row>
    <row r="814" spans="1:16" ht="31" outlineLevel="1" x14ac:dyDescent="0.25">
      <c r="A814" s="1482">
        <f t="shared" si="67"/>
        <v>24.2</v>
      </c>
      <c r="B814" s="1483" t="str">
        <f t="shared" si="67"/>
        <v>Retrofitting of existing Circuit breakers installed at Unit Boards at Unit –5  &amp; Aundha Pump House (ODP-II)</v>
      </c>
      <c r="C814" s="1482" t="str">
        <f t="shared" si="67"/>
        <v>MERC/CAPEX/20162017/01475</v>
      </c>
      <c r="D814" s="1390">
        <f t="shared" si="67"/>
        <v>42772</v>
      </c>
      <c r="E814" s="560">
        <f t="shared" si="67"/>
        <v>3.46</v>
      </c>
      <c r="F814" s="1508">
        <f t="shared" si="68"/>
        <v>3.5522795499999997</v>
      </c>
      <c r="G814" s="1508">
        <f t="shared" si="69"/>
        <v>3.5522795500000002</v>
      </c>
      <c r="H814" s="1508">
        <f t="shared" si="72"/>
        <v>0</v>
      </c>
      <c r="I814" s="1480">
        <v>0</v>
      </c>
      <c r="J814" s="1480">
        <v>0</v>
      </c>
      <c r="K814" s="1508"/>
      <c r="L814" s="1508"/>
      <c r="M814" s="1509">
        <f t="shared" si="73"/>
        <v>0</v>
      </c>
      <c r="N814" s="1508">
        <f t="shared" si="74"/>
        <v>0</v>
      </c>
      <c r="O814" s="1481">
        <f t="shared" si="70"/>
        <v>0</v>
      </c>
      <c r="P814" s="1427">
        <f t="shared" si="71"/>
        <v>0</v>
      </c>
    </row>
    <row r="815" spans="1:16" ht="31" outlineLevel="1" x14ac:dyDescent="0.25">
      <c r="A815" s="1482">
        <f t="shared" si="67"/>
        <v>24.3</v>
      </c>
      <c r="B815" s="1483" t="str">
        <f t="shared" si="67"/>
        <v xml:space="preserve">Retrofitting of existing Circuit breakers installed at Unit Boards at Unit –3&amp;4 </v>
      </c>
      <c r="C815" s="1482" t="str">
        <f t="shared" si="67"/>
        <v>MERC/CAPEX/20162017/01475</v>
      </c>
      <c r="D815" s="1390">
        <f t="shared" si="67"/>
        <v>42772</v>
      </c>
      <c r="E815" s="560">
        <f t="shared" si="67"/>
        <v>6.19</v>
      </c>
      <c r="F815" s="1508">
        <f t="shared" si="68"/>
        <v>4.5767479</v>
      </c>
      <c r="G815" s="1508">
        <f t="shared" si="69"/>
        <v>4.5767479</v>
      </c>
      <c r="H815" s="1508">
        <f t="shared" si="72"/>
        <v>0</v>
      </c>
      <c r="I815" s="1480">
        <v>0</v>
      </c>
      <c r="J815" s="1480">
        <v>0</v>
      </c>
      <c r="K815" s="1508"/>
      <c r="L815" s="1508"/>
      <c r="M815" s="1509">
        <f t="shared" si="73"/>
        <v>0</v>
      </c>
      <c r="N815" s="1508">
        <f t="shared" si="74"/>
        <v>0</v>
      </c>
      <c r="O815" s="1481">
        <f t="shared" si="70"/>
        <v>0</v>
      </c>
      <c r="P815" s="1427">
        <f t="shared" si="71"/>
        <v>0</v>
      </c>
    </row>
    <row r="816" spans="1:16" ht="15.5" outlineLevel="1" x14ac:dyDescent="0.25">
      <c r="A816" s="1482">
        <f t="shared" si="67"/>
        <v>0</v>
      </c>
      <c r="B816" s="1483" t="str">
        <f t="shared" si="67"/>
        <v>IDC</v>
      </c>
      <c r="C816" s="1482" t="str">
        <f t="shared" si="67"/>
        <v>MERC/CAPEX/20162017/01475</v>
      </c>
      <c r="D816" s="1390">
        <f t="shared" si="67"/>
        <v>42772</v>
      </c>
      <c r="E816" s="560">
        <f t="shared" si="67"/>
        <v>0.8</v>
      </c>
      <c r="F816" s="1508">
        <f t="shared" si="68"/>
        <v>0</v>
      </c>
      <c r="G816" s="1508">
        <f t="shared" si="69"/>
        <v>0</v>
      </c>
      <c r="H816" s="1508">
        <f t="shared" si="72"/>
        <v>0</v>
      </c>
      <c r="I816" s="1480">
        <v>0</v>
      </c>
      <c r="J816" s="1480">
        <v>0</v>
      </c>
      <c r="K816" s="1508"/>
      <c r="L816" s="1508"/>
      <c r="M816" s="1509">
        <f t="shared" si="73"/>
        <v>0</v>
      </c>
      <c r="N816" s="1508">
        <f t="shared" si="74"/>
        <v>0</v>
      </c>
      <c r="O816" s="1481">
        <f t="shared" si="70"/>
        <v>0</v>
      </c>
      <c r="P816" s="1427">
        <f t="shared" si="71"/>
        <v>0</v>
      </c>
    </row>
    <row r="817" spans="1:16" ht="31" outlineLevel="1" x14ac:dyDescent="0.25">
      <c r="A817" s="1489">
        <f t="shared" si="67"/>
        <v>25</v>
      </c>
      <c r="B817" s="1490" t="str">
        <f t="shared" si="67"/>
        <v>Construction of Quarter Guard, Bachelor Accomodation &amp; Allied Structures in Phase I &amp; II for Induction of CISF Security</v>
      </c>
      <c r="C817" s="1477" t="str">
        <f t="shared" si="67"/>
        <v>MERC/CAPEX/20162017/01269</v>
      </c>
      <c r="D817" s="1479">
        <f t="shared" si="67"/>
        <v>42737</v>
      </c>
      <c r="E817" s="1383">
        <f t="shared" si="67"/>
        <v>14.686</v>
      </c>
      <c r="F817" s="1480">
        <f t="shared" si="68"/>
        <v>0</v>
      </c>
      <c r="G817" s="1480">
        <f t="shared" si="69"/>
        <v>0</v>
      </c>
      <c r="H817" s="1480">
        <f t="shared" si="72"/>
        <v>0</v>
      </c>
      <c r="I817" s="1480">
        <v>0</v>
      </c>
      <c r="J817" s="1480">
        <v>0</v>
      </c>
      <c r="K817" s="1480"/>
      <c r="L817" s="1480"/>
      <c r="M817" s="1480">
        <f t="shared" si="73"/>
        <v>0</v>
      </c>
      <c r="N817" s="1480">
        <f t="shared" si="74"/>
        <v>0</v>
      </c>
      <c r="O817" s="1481">
        <f t="shared" si="70"/>
        <v>0</v>
      </c>
      <c r="P817" s="1427">
        <f t="shared" si="71"/>
        <v>0</v>
      </c>
    </row>
    <row r="818" spans="1:16" ht="31" outlineLevel="1" x14ac:dyDescent="0.25">
      <c r="A818" s="1484">
        <f t="shared" si="67"/>
        <v>25.1</v>
      </c>
      <c r="B818" s="1485" t="str">
        <f t="shared" si="67"/>
        <v>Construction of Quarter Guard, Bachelor Accomodation &amp; Allied Structures in Phase I &amp; II for Induction of CISF Security</v>
      </c>
      <c r="C818" s="1482" t="str">
        <f t="shared" si="67"/>
        <v>MERC/CAPEX/20162017/01269</v>
      </c>
      <c r="D818" s="1390">
        <f t="shared" si="67"/>
        <v>42737</v>
      </c>
      <c r="E818" s="560">
        <f t="shared" si="67"/>
        <v>14.686</v>
      </c>
      <c r="F818" s="1508">
        <f t="shared" si="68"/>
        <v>12.166746632999999</v>
      </c>
      <c r="G818" s="1508">
        <f t="shared" si="69"/>
        <v>12.012070217000002</v>
      </c>
      <c r="H818" s="1508">
        <f t="shared" si="72"/>
        <v>0.15467641599999737</v>
      </c>
      <c r="I818" s="1480">
        <v>0.23362778400000295</v>
      </c>
      <c r="J818" s="1480">
        <v>0.38830419999999999</v>
      </c>
      <c r="K818" s="1508"/>
      <c r="L818" s="1508"/>
      <c r="M818" s="1509">
        <f t="shared" si="73"/>
        <v>0.38830419999999999</v>
      </c>
      <c r="N818" s="1508">
        <f t="shared" si="74"/>
        <v>0</v>
      </c>
      <c r="O818" s="1481">
        <f t="shared" si="70"/>
        <v>0.38830419999999999</v>
      </c>
      <c r="P818" s="1427">
        <f t="shared" si="71"/>
        <v>0</v>
      </c>
    </row>
    <row r="819" spans="1:16" ht="31" outlineLevel="1" x14ac:dyDescent="0.25">
      <c r="A819" s="1489">
        <f t="shared" si="67"/>
        <v>26</v>
      </c>
      <c r="B819" s="1490" t="str">
        <f t="shared" si="67"/>
        <v>Pipe Conveyor System for Transporting Coal from Bhatadi Coal Mine to Chandrapur STPS.</v>
      </c>
      <c r="C819" s="1477" t="str">
        <f t="shared" si="67"/>
        <v>MERC/CAPEX/20172018/4171</v>
      </c>
      <c r="D819" s="1479">
        <f t="shared" si="67"/>
        <v>42986</v>
      </c>
      <c r="E819" s="1383">
        <f t="shared" si="67"/>
        <v>196.26</v>
      </c>
      <c r="F819" s="1480">
        <f t="shared" si="68"/>
        <v>0</v>
      </c>
      <c r="G819" s="1480">
        <f t="shared" si="69"/>
        <v>0</v>
      </c>
      <c r="H819" s="1480">
        <f t="shared" si="72"/>
        <v>0</v>
      </c>
      <c r="I819" s="1480">
        <v>0</v>
      </c>
      <c r="J819" s="1480">
        <v>0</v>
      </c>
      <c r="K819" s="1480"/>
      <c r="L819" s="1480"/>
      <c r="M819" s="1480">
        <f t="shared" si="73"/>
        <v>0</v>
      </c>
      <c r="N819" s="1480">
        <f t="shared" si="74"/>
        <v>0</v>
      </c>
      <c r="O819" s="1481">
        <f t="shared" si="70"/>
        <v>0</v>
      </c>
      <c r="P819" s="1427">
        <f t="shared" si="71"/>
        <v>0</v>
      </c>
    </row>
    <row r="820" spans="1:16" ht="31" outlineLevel="1" x14ac:dyDescent="0.25">
      <c r="A820" s="1484">
        <f t="shared" si="67"/>
        <v>26.1</v>
      </c>
      <c r="B820" s="1485" t="str">
        <f t="shared" si="67"/>
        <v>Pipe Conveyor System for Transporting Coal from Bhatadi Coal Mine to Chandrapur STPS.</v>
      </c>
      <c r="C820" s="1482" t="str">
        <f t="shared" si="67"/>
        <v>MERC/CAPEX/20172018/4171</v>
      </c>
      <c r="D820" s="1390">
        <f t="shared" si="67"/>
        <v>42986</v>
      </c>
      <c r="E820" s="560">
        <f t="shared" si="67"/>
        <v>196.26</v>
      </c>
      <c r="F820" s="1508">
        <f t="shared" si="68"/>
        <v>256.44333693499999</v>
      </c>
      <c r="G820" s="1508">
        <f t="shared" si="69"/>
        <v>256.44333693499999</v>
      </c>
      <c r="H820" s="1508">
        <f t="shared" si="72"/>
        <v>0</v>
      </c>
      <c r="I820" s="1480">
        <v>0.3719300000000203</v>
      </c>
      <c r="J820" s="1480">
        <v>0.37192999999999998</v>
      </c>
      <c r="K820" s="1508"/>
      <c r="L820" s="1508"/>
      <c r="M820" s="1509">
        <f t="shared" si="73"/>
        <v>0.37192999999999998</v>
      </c>
      <c r="N820" s="1508">
        <f t="shared" si="74"/>
        <v>2.0317081350640365E-14</v>
      </c>
      <c r="O820" s="1481">
        <f t="shared" si="70"/>
        <v>0</v>
      </c>
      <c r="P820" s="1427">
        <f t="shared" si="71"/>
        <v>0.37192999999999998</v>
      </c>
    </row>
    <row r="821" spans="1:16" ht="31" outlineLevel="1" x14ac:dyDescent="0.25">
      <c r="A821" s="1477">
        <f t="shared" si="67"/>
        <v>27</v>
      </c>
      <c r="B821" s="1478" t="str">
        <f t="shared" si="67"/>
        <v>Procurement &amp; replacement of Economizer upper assemblies of Unit-5,6 &amp; hot Reheater coil complete set of Unit-3 of CSTPS</v>
      </c>
      <c r="C821" s="1477" t="str">
        <f t="shared" si="67"/>
        <v>MERC/CAPEX/20172018/4071</v>
      </c>
      <c r="D821" s="1479">
        <f t="shared" si="67"/>
        <v>42965</v>
      </c>
      <c r="E821" s="1403">
        <f t="shared" si="67"/>
        <v>25.27</v>
      </c>
      <c r="F821" s="1510">
        <f t="shared" si="68"/>
        <v>0</v>
      </c>
      <c r="G821" s="1510">
        <f t="shared" si="69"/>
        <v>0</v>
      </c>
      <c r="H821" s="1510">
        <f t="shared" si="72"/>
        <v>0</v>
      </c>
      <c r="I821" s="1480">
        <v>0</v>
      </c>
      <c r="J821" s="1480">
        <v>0</v>
      </c>
      <c r="K821" s="1510"/>
      <c r="L821" s="1510"/>
      <c r="M821" s="1510">
        <f t="shared" si="73"/>
        <v>0</v>
      </c>
      <c r="N821" s="1510">
        <f t="shared" si="74"/>
        <v>0</v>
      </c>
      <c r="O821" s="1481">
        <f t="shared" si="70"/>
        <v>0</v>
      </c>
      <c r="P821" s="1427">
        <f t="shared" si="71"/>
        <v>0</v>
      </c>
    </row>
    <row r="822" spans="1:16" ht="31" outlineLevel="1" x14ac:dyDescent="0.25">
      <c r="A822" s="1482">
        <f t="shared" si="67"/>
        <v>27.1</v>
      </c>
      <c r="B822" s="1483" t="str">
        <f t="shared" si="67"/>
        <v>supply &amp; replacement of Economizer Upper Assemblies of unit no.5 &amp; 6</v>
      </c>
      <c r="C822" s="1482" t="str">
        <f t="shared" si="67"/>
        <v>MERC/CAPEX/20172018/4071</v>
      </c>
      <c r="D822" s="1390">
        <f t="shared" si="67"/>
        <v>42965</v>
      </c>
      <c r="E822" s="560">
        <f t="shared" si="67"/>
        <v>18.25</v>
      </c>
      <c r="F822" s="1508">
        <f t="shared" si="68"/>
        <v>8.2829930689999998</v>
      </c>
      <c r="G822" s="1508">
        <f t="shared" si="69"/>
        <v>8.2829930689999998</v>
      </c>
      <c r="H822" s="1508">
        <f t="shared" si="72"/>
        <v>0</v>
      </c>
      <c r="I822" s="1480">
        <v>0</v>
      </c>
      <c r="J822" s="1480">
        <v>0</v>
      </c>
      <c r="K822" s="1508"/>
      <c r="L822" s="1508"/>
      <c r="M822" s="1509">
        <f t="shared" si="73"/>
        <v>0</v>
      </c>
      <c r="N822" s="1508">
        <f t="shared" si="74"/>
        <v>0</v>
      </c>
      <c r="O822" s="1481">
        <f t="shared" si="70"/>
        <v>0</v>
      </c>
      <c r="P822" s="1427">
        <f t="shared" si="71"/>
        <v>0</v>
      </c>
    </row>
    <row r="823" spans="1:16" ht="31" outlineLevel="1" x14ac:dyDescent="0.25">
      <c r="A823" s="1482">
        <f t="shared" si="67"/>
        <v>27.2</v>
      </c>
      <c r="B823" s="1483" t="str">
        <f t="shared" si="67"/>
        <v>Supply &amp; replacement of hot reheater coil complete set of Unit-3.</v>
      </c>
      <c r="C823" s="1482" t="str">
        <f t="shared" si="67"/>
        <v>MERC/CAPEX/20172018/4071</v>
      </c>
      <c r="D823" s="1390">
        <f t="shared" si="67"/>
        <v>42965</v>
      </c>
      <c r="E823" s="560">
        <f t="shared" si="67"/>
        <v>6.72</v>
      </c>
      <c r="F823" s="1508">
        <f t="shared" si="68"/>
        <v>6.0757019999999997</v>
      </c>
      <c r="G823" s="1508">
        <f t="shared" si="69"/>
        <v>6.0757019999999997</v>
      </c>
      <c r="H823" s="1508">
        <f t="shared" si="72"/>
        <v>0</v>
      </c>
      <c r="I823" s="1480">
        <v>0</v>
      </c>
      <c r="J823" s="1480">
        <v>0</v>
      </c>
      <c r="K823" s="1508"/>
      <c r="L823" s="1508"/>
      <c r="M823" s="1509">
        <f t="shared" si="73"/>
        <v>0</v>
      </c>
      <c r="N823" s="1508">
        <f t="shared" si="74"/>
        <v>0</v>
      </c>
      <c r="O823" s="1481">
        <f t="shared" si="70"/>
        <v>0</v>
      </c>
      <c r="P823" s="1427">
        <f t="shared" si="71"/>
        <v>0</v>
      </c>
    </row>
    <row r="824" spans="1:16" ht="15.5" outlineLevel="1" x14ac:dyDescent="0.25">
      <c r="A824" s="1482">
        <f t="shared" ref="A824:E839" si="75">A154</f>
        <v>0</v>
      </c>
      <c r="B824" s="1483" t="str">
        <f t="shared" si="75"/>
        <v>IDC</v>
      </c>
      <c r="C824" s="1482" t="str">
        <f t="shared" si="75"/>
        <v>MERC/CAPEX/20172018/4071</v>
      </c>
      <c r="D824" s="1390">
        <f t="shared" si="75"/>
        <v>42965</v>
      </c>
      <c r="E824" s="560">
        <f t="shared" si="75"/>
        <v>0.3</v>
      </c>
      <c r="F824" s="1508">
        <f t="shared" si="68"/>
        <v>0</v>
      </c>
      <c r="G824" s="1508">
        <f t="shared" si="69"/>
        <v>0</v>
      </c>
      <c r="H824" s="1508">
        <f t="shared" si="72"/>
        <v>0</v>
      </c>
      <c r="I824" s="1480">
        <v>0</v>
      </c>
      <c r="J824" s="1480">
        <v>0</v>
      </c>
      <c r="K824" s="1508"/>
      <c r="L824" s="1508"/>
      <c r="M824" s="1509">
        <f t="shared" si="73"/>
        <v>0</v>
      </c>
      <c r="N824" s="1508">
        <f t="shared" si="74"/>
        <v>0</v>
      </c>
      <c r="O824" s="1481">
        <f t="shared" si="70"/>
        <v>0</v>
      </c>
      <c r="P824" s="1427">
        <f t="shared" si="71"/>
        <v>0</v>
      </c>
    </row>
    <row r="825" spans="1:16" ht="46.5" outlineLevel="1" x14ac:dyDescent="0.25">
      <c r="A825" s="1477">
        <f t="shared" si="75"/>
        <v>28</v>
      </c>
      <c r="B825" s="1478" t="str">
        <f t="shared" si="75"/>
        <v xml:space="preserve">Replacement of H2 Generator with new Hydrogen Generator (Non Asbestos Design), procurement of 3-phase TR sets for stage II &amp; other electrical items for ORC at Chandrapur STPS.” </v>
      </c>
      <c r="C825" s="1486" t="str">
        <f t="shared" si="75"/>
        <v>MERC/CAPEX/20172018/4686</v>
      </c>
      <c r="D825" s="1487">
        <f t="shared" si="75"/>
        <v>43054</v>
      </c>
      <c r="E825" s="1383">
        <f t="shared" si="75"/>
        <v>12.456</v>
      </c>
      <c r="F825" s="1480">
        <f t="shared" si="68"/>
        <v>0</v>
      </c>
      <c r="G825" s="1480">
        <f t="shared" si="69"/>
        <v>0</v>
      </c>
      <c r="H825" s="1480">
        <f t="shared" si="72"/>
        <v>0</v>
      </c>
      <c r="I825" s="1480">
        <v>0</v>
      </c>
      <c r="J825" s="1480">
        <v>0</v>
      </c>
      <c r="K825" s="1480"/>
      <c r="L825" s="1480"/>
      <c r="M825" s="1480">
        <f t="shared" si="73"/>
        <v>0</v>
      </c>
      <c r="N825" s="1480">
        <f t="shared" si="74"/>
        <v>0</v>
      </c>
      <c r="O825" s="1481">
        <f t="shared" si="70"/>
        <v>0</v>
      </c>
      <c r="P825" s="1427">
        <f t="shared" si="71"/>
        <v>0</v>
      </c>
    </row>
    <row r="826" spans="1:16" ht="31" outlineLevel="1" x14ac:dyDescent="0.25">
      <c r="A826" s="1482">
        <f t="shared" si="75"/>
        <v>28.1</v>
      </c>
      <c r="B826" s="1483" t="str">
        <f t="shared" si="75"/>
        <v>Supply, Installation &amp; Commissioning of   Hydrogen Generator Model : HMXT 200 (Non Asbestos Design)</v>
      </c>
      <c r="C826" s="1482" t="str">
        <f t="shared" si="75"/>
        <v>MERC/CAPEX/20172018/4686</v>
      </c>
      <c r="D826" s="1390">
        <f t="shared" si="75"/>
        <v>43054</v>
      </c>
      <c r="E826" s="560">
        <f t="shared" si="75"/>
        <v>10.36</v>
      </c>
      <c r="F826" s="1508">
        <f t="shared" si="68"/>
        <v>11.5757999</v>
      </c>
      <c r="G826" s="1508">
        <f t="shared" si="69"/>
        <v>11.5757999</v>
      </c>
      <c r="H826" s="1508">
        <f t="shared" si="72"/>
        <v>0</v>
      </c>
      <c r="I826" s="1480">
        <v>0</v>
      </c>
      <c r="J826" s="1480">
        <v>0</v>
      </c>
      <c r="K826" s="1508"/>
      <c r="L826" s="1508"/>
      <c r="M826" s="1509">
        <f t="shared" si="73"/>
        <v>0</v>
      </c>
      <c r="N826" s="1508">
        <f t="shared" si="74"/>
        <v>0</v>
      </c>
      <c r="O826" s="1481">
        <f t="shared" si="70"/>
        <v>0</v>
      </c>
      <c r="P826" s="1427">
        <f t="shared" si="71"/>
        <v>0</v>
      </c>
    </row>
    <row r="827" spans="1:16" ht="31" outlineLevel="1" x14ac:dyDescent="0.25">
      <c r="A827" s="1482">
        <f t="shared" si="75"/>
        <v>28.2</v>
      </c>
      <c r="B827" s="1483" t="str">
        <f t="shared" si="75"/>
        <v>Supply of 3 phase high frequency T-R sets for replacement of T-R sets of ESP Stg-II</v>
      </c>
      <c r="C827" s="1488" t="str">
        <f t="shared" si="75"/>
        <v>MERC/CAPEX/20172018/4686</v>
      </c>
      <c r="D827" s="1413">
        <f t="shared" si="75"/>
        <v>43054</v>
      </c>
      <c r="E827" s="560">
        <f t="shared" si="75"/>
        <v>0.63</v>
      </c>
      <c r="F827" s="1508">
        <f t="shared" si="68"/>
        <v>0</v>
      </c>
      <c r="G827" s="1508">
        <f t="shared" si="69"/>
        <v>0</v>
      </c>
      <c r="H827" s="1508">
        <f t="shared" si="72"/>
        <v>0</v>
      </c>
      <c r="I827" s="1480">
        <v>0</v>
      </c>
      <c r="J827" s="1480">
        <v>0</v>
      </c>
      <c r="K827" s="1508"/>
      <c r="L827" s="1508"/>
      <c r="M827" s="1509">
        <f t="shared" si="73"/>
        <v>0</v>
      </c>
      <c r="N827" s="1508">
        <f t="shared" si="74"/>
        <v>0</v>
      </c>
      <c r="O827" s="1481">
        <f t="shared" si="70"/>
        <v>0</v>
      </c>
      <c r="P827" s="1427">
        <f t="shared" si="71"/>
        <v>0</v>
      </c>
    </row>
    <row r="828" spans="1:16" ht="31" outlineLevel="1" x14ac:dyDescent="0.25">
      <c r="A828" s="1482">
        <f t="shared" si="75"/>
        <v>28.3</v>
      </c>
      <c r="B828" s="1483" t="str">
        <f t="shared" si="75"/>
        <v>Replacement of HPSV High Mast Towers by Stadium LED  High Mast at ORC ground CSTPS Chandrapur</v>
      </c>
      <c r="C828" s="1482" t="str">
        <f t="shared" si="75"/>
        <v>MERC/CAPEX/20172018/4686</v>
      </c>
      <c r="D828" s="1390">
        <f t="shared" si="75"/>
        <v>43054</v>
      </c>
      <c r="E828" s="560">
        <f t="shared" si="75"/>
        <v>0.53600000000000003</v>
      </c>
      <c r="F828" s="1508">
        <f t="shared" si="68"/>
        <v>0.51656219999999997</v>
      </c>
      <c r="G828" s="1508">
        <f t="shared" si="69"/>
        <v>0.51656219999999997</v>
      </c>
      <c r="H828" s="1508">
        <f t="shared" si="72"/>
        <v>0</v>
      </c>
      <c r="I828" s="1480">
        <v>0</v>
      </c>
      <c r="J828" s="1480">
        <v>0</v>
      </c>
      <c r="K828" s="1508"/>
      <c r="L828" s="1508"/>
      <c r="M828" s="1509">
        <f t="shared" si="73"/>
        <v>0</v>
      </c>
      <c r="N828" s="1508">
        <f t="shared" si="74"/>
        <v>0</v>
      </c>
      <c r="O828" s="1481">
        <f t="shared" si="70"/>
        <v>0</v>
      </c>
      <c r="P828" s="1427">
        <f t="shared" si="71"/>
        <v>0</v>
      </c>
    </row>
    <row r="829" spans="1:16" ht="15.5" outlineLevel="1" x14ac:dyDescent="0.25">
      <c r="A829" s="1482">
        <f t="shared" si="75"/>
        <v>0</v>
      </c>
      <c r="B829" s="1483" t="str">
        <f t="shared" si="75"/>
        <v>IDC</v>
      </c>
      <c r="C829" s="1482" t="str">
        <f t="shared" si="75"/>
        <v>MERC/CAPEX/20172018/4686</v>
      </c>
      <c r="D829" s="1390">
        <f t="shared" si="75"/>
        <v>43054</v>
      </c>
      <c r="E829" s="560">
        <f t="shared" si="75"/>
        <v>0.93</v>
      </c>
      <c r="F829" s="1508">
        <f t="shared" si="68"/>
        <v>0</v>
      </c>
      <c r="G829" s="1508">
        <f t="shared" si="69"/>
        <v>0</v>
      </c>
      <c r="H829" s="1508">
        <f t="shared" si="72"/>
        <v>0</v>
      </c>
      <c r="I829" s="1480">
        <v>0</v>
      </c>
      <c r="J829" s="1480">
        <v>0</v>
      </c>
      <c r="K829" s="1508"/>
      <c r="L829" s="1508"/>
      <c r="M829" s="1509">
        <f t="shared" si="73"/>
        <v>0</v>
      </c>
      <c r="N829" s="1508">
        <f t="shared" si="74"/>
        <v>0</v>
      </c>
      <c r="O829" s="1481">
        <f t="shared" si="70"/>
        <v>0</v>
      </c>
      <c r="P829" s="1427">
        <f t="shared" si="71"/>
        <v>0</v>
      </c>
    </row>
    <row r="830" spans="1:16" ht="46.5" outlineLevel="1" x14ac:dyDescent="0.25">
      <c r="A830" s="1477">
        <f t="shared" si="75"/>
        <v>29</v>
      </c>
      <c r="B830" s="1478" t="str">
        <f t="shared" si="75"/>
        <v>Procurement of Boiler Feed Booster Pumps to improve availability &amp; performance of feed system, moving blades for LPT &amp; Condenser Tubes of (3 x 500 MW) Units at Chandrapur STPS</v>
      </c>
      <c r="C830" s="1477" t="str">
        <f t="shared" si="75"/>
        <v>MERC/CAPEX/20172018/0272</v>
      </c>
      <c r="D830" s="1479">
        <f t="shared" si="75"/>
        <v>43154</v>
      </c>
      <c r="E830" s="1383">
        <f t="shared" si="75"/>
        <v>15.489999999999998</v>
      </c>
      <c r="F830" s="1480">
        <f t="shared" si="68"/>
        <v>0</v>
      </c>
      <c r="G830" s="1480">
        <f t="shared" si="69"/>
        <v>0</v>
      </c>
      <c r="H830" s="1480">
        <f t="shared" si="72"/>
        <v>0</v>
      </c>
      <c r="I830" s="1480">
        <v>0</v>
      </c>
      <c r="J830" s="1480">
        <v>0</v>
      </c>
      <c r="K830" s="1480"/>
      <c r="L830" s="1480"/>
      <c r="M830" s="1480">
        <f t="shared" si="73"/>
        <v>0</v>
      </c>
      <c r="N830" s="1480">
        <f t="shared" si="74"/>
        <v>0</v>
      </c>
      <c r="O830" s="1481">
        <f t="shared" si="70"/>
        <v>0</v>
      </c>
      <c r="P830" s="1427">
        <f t="shared" si="71"/>
        <v>0</v>
      </c>
    </row>
    <row r="831" spans="1:16" ht="46.5" outlineLevel="1" x14ac:dyDescent="0.25">
      <c r="A831" s="1482">
        <f t="shared" si="75"/>
        <v>29.1</v>
      </c>
      <c r="B831" s="1483" t="str">
        <f t="shared" si="75"/>
        <v>Procurement of Boiler Feed Booster pumps to improve availability and performance of Feed system of 500 MW Unit-5, 6 &amp; 7 at CSTPS, Chandrapur</v>
      </c>
      <c r="C831" s="1482" t="str">
        <f t="shared" si="75"/>
        <v>MERC/CAPEX/20172018/0272</v>
      </c>
      <c r="D831" s="1390">
        <f t="shared" si="75"/>
        <v>43154</v>
      </c>
      <c r="E831" s="560">
        <f t="shared" si="75"/>
        <v>2.0099999999999998</v>
      </c>
      <c r="F831" s="1508">
        <f t="shared" si="68"/>
        <v>2.1150194</v>
      </c>
      <c r="G831" s="1508">
        <f t="shared" si="69"/>
        <v>2.1150194</v>
      </c>
      <c r="H831" s="1508">
        <f t="shared" si="72"/>
        <v>0</v>
      </c>
      <c r="I831" s="1480">
        <v>0</v>
      </c>
      <c r="J831" s="1480">
        <v>0</v>
      </c>
      <c r="K831" s="1508"/>
      <c r="L831" s="1508"/>
      <c r="M831" s="1509">
        <f t="shared" si="73"/>
        <v>0</v>
      </c>
      <c r="N831" s="1508">
        <f t="shared" si="74"/>
        <v>0</v>
      </c>
      <c r="O831" s="1481">
        <f t="shared" si="70"/>
        <v>0</v>
      </c>
      <c r="P831" s="1427">
        <f t="shared" si="71"/>
        <v>0</v>
      </c>
    </row>
    <row r="832" spans="1:16" ht="31" outlineLevel="1" x14ac:dyDescent="0.25">
      <c r="A832" s="1482">
        <f t="shared" si="75"/>
        <v>29.2</v>
      </c>
      <c r="B832" s="1483" t="str">
        <f t="shared" si="75"/>
        <v>Procurement of moving blades for 500 MW Unit-5, 6 &amp; 7 LPT at CSTPS, Chandrapur</v>
      </c>
      <c r="C832" s="1482" t="str">
        <f t="shared" si="75"/>
        <v>MERC/CAPEX/20172018/0272</v>
      </c>
      <c r="D832" s="1390">
        <f t="shared" si="75"/>
        <v>43154</v>
      </c>
      <c r="E832" s="560">
        <f t="shared" si="75"/>
        <v>3.34</v>
      </c>
      <c r="F832" s="1508">
        <f t="shared" si="68"/>
        <v>1.9274450000000001</v>
      </c>
      <c r="G832" s="1508">
        <f t="shared" si="69"/>
        <v>1.9274450000000001</v>
      </c>
      <c r="H832" s="1508">
        <f t="shared" si="72"/>
        <v>0</v>
      </c>
      <c r="I832" s="1480">
        <v>0</v>
      </c>
      <c r="J832" s="1480">
        <v>0</v>
      </c>
      <c r="K832" s="1508"/>
      <c r="L832" s="1508"/>
      <c r="M832" s="1509">
        <f t="shared" si="73"/>
        <v>0</v>
      </c>
      <c r="N832" s="1508">
        <f t="shared" si="74"/>
        <v>0</v>
      </c>
      <c r="O832" s="1481">
        <f t="shared" si="70"/>
        <v>0</v>
      </c>
      <c r="P832" s="1427">
        <f t="shared" si="71"/>
        <v>0</v>
      </c>
    </row>
    <row r="833" spans="1:16" ht="31" outlineLevel="1" x14ac:dyDescent="0.25">
      <c r="A833" s="1482">
        <f t="shared" si="75"/>
        <v>29.3</v>
      </c>
      <c r="B833" s="1483" t="str">
        <f t="shared" si="75"/>
        <v>Procurement &amp; Replacement of Condenser Tubes in 500MW, Unit-7 at CSTPS, Chandrapur</v>
      </c>
      <c r="C833" s="1482" t="str">
        <f t="shared" si="75"/>
        <v>MERC/CAPEX/20172018/0272</v>
      </c>
      <c r="D833" s="1390">
        <f t="shared" si="75"/>
        <v>43154</v>
      </c>
      <c r="E833" s="560">
        <f t="shared" si="75"/>
        <v>9.02</v>
      </c>
      <c r="F833" s="1508">
        <f t="shared" si="68"/>
        <v>8.8301990999999997</v>
      </c>
      <c r="G833" s="1508">
        <f t="shared" si="69"/>
        <v>8.8301990999999997</v>
      </c>
      <c r="H833" s="1508">
        <f t="shared" si="72"/>
        <v>0</v>
      </c>
      <c r="I833" s="1480">
        <v>0</v>
      </c>
      <c r="J833" s="1480">
        <v>0</v>
      </c>
      <c r="K833" s="1508"/>
      <c r="L833" s="1508"/>
      <c r="M833" s="1509">
        <f t="shared" si="73"/>
        <v>0</v>
      </c>
      <c r="N833" s="1508">
        <f t="shared" si="74"/>
        <v>0</v>
      </c>
      <c r="O833" s="1481">
        <f t="shared" si="70"/>
        <v>0</v>
      </c>
      <c r="P833" s="1427">
        <f t="shared" si="71"/>
        <v>0</v>
      </c>
    </row>
    <row r="834" spans="1:16" ht="15.5" outlineLevel="1" x14ac:dyDescent="0.25">
      <c r="A834" s="1482">
        <f t="shared" si="75"/>
        <v>0</v>
      </c>
      <c r="B834" s="1483" t="str">
        <f t="shared" si="75"/>
        <v>IDC</v>
      </c>
      <c r="C834" s="1482" t="str">
        <f t="shared" si="75"/>
        <v>MERC/CAPEX/20172018/0272</v>
      </c>
      <c r="D834" s="1390">
        <f t="shared" si="75"/>
        <v>43154</v>
      </c>
      <c r="E834" s="560">
        <f t="shared" si="75"/>
        <v>1.1200000000000001</v>
      </c>
      <c r="F834" s="1508">
        <f t="shared" si="68"/>
        <v>0</v>
      </c>
      <c r="G834" s="1508">
        <f t="shared" si="69"/>
        <v>0</v>
      </c>
      <c r="H834" s="1508">
        <f t="shared" si="72"/>
        <v>0</v>
      </c>
      <c r="I834" s="1480">
        <v>0</v>
      </c>
      <c r="J834" s="1480">
        <v>0</v>
      </c>
      <c r="K834" s="1508"/>
      <c r="L834" s="1508"/>
      <c r="M834" s="1509">
        <f t="shared" si="73"/>
        <v>0</v>
      </c>
      <c r="N834" s="1508">
        <f t="shared" si="74"/>
        <v>0</v>
      </c>
      <c r="O834" s="1481">
        <f t="shared" si="70"/>
        <v>0</v>
      </c>
      <c r="P834" s="1427">
        <f t="shared" si="71"/>
        <v>0</v>
      </c>
    </row>
    <row r="835" spans="1:16" ht="15.5" outlineLevel="1" x14ac:dyDescent="0.25">
      <c r="A835" s="1489">
        <f t="shared" si="75"/>
        <v>30</v>
      </c>
      <c r="B835" s="1490" t="str">
        <f t="shared" si="75"/>
        <v>Renovation &amp; Beautification of Colony at Chandrapur STPS</v>
      </c>
      <c r="C835" s="1486" t="str">
        <f t="shared" si="75"/>
        <v>MERC/CAPEX/20182019/0644</v>
      </c>
      <c r="D835" s="1487">
        <f t="shared" si="75"/>
        <v>43238</v>
      </c>
      <c r="E835" s="1383">
        <f t="shared" si="75"/>
        <v>117.57</v>
      </c>
      <c r="F835" s="1480">
        <f t="shared" si="68"/>
        <v>0</v>
      </c>
      <c r="G835" s="1480">
        <f t="shared" si="69"/>
        <v>0</v>
      </c>
      <c r="H835" s="1480">
        <f t="shared" si="72"/>
        <v>0</v>
      </c>
      <c r="I835" s="1480">
        <v>0</v>
      </c>
      <c r="J835" s="1480">
        <v>0</v>
      </c>
      <c r="K835" s="1480"/>
      <c r="L835" s="1480"/>
      <c r="M835" s="1480">
        <f t="shared" si="73"/>
        <v>0</v>
      </c>
      <c r="N835" s="1480">
        <f t="shared" si="74"/>
        <v>0</v>
      </c>
      <c r="O835" s="1481">
        <f t="shared" si="70"/>
        <v>0</v>
      </c>
      <c r="P835" s="1427">
        <f t="shared" si="71"/>
        <v>0</v>
      </c>
    </row>
    <row r="836" spans="1:16" ht="31" outlineLevel="1" x14ac:dyDescent="0.25">
      <c r="A836" s="1484">
        <f t="shared" si="75"/>
        <v>30.1</v>
      </c>
      <c r="B836" s="1485" t="str">
        <f t="shared" si="75"/>
        <v>Face- lifting and Renovation of staff quarters &amp; related work at CSTPS, Chandrapur</v>
      </c>
      <c r="C836" s="1482" t="str">
        <f t="shared" si="75"/>
        <v>MERC/CAPEX/20182019/0644</v>
      </c>
      <c r="D836" s="1390">
        <f t="shared" si="75"/>
        <v>43238</v>
      </c>
      <c r="E836" s="560">
        <f t="shared" si="75"/>
        <v>82.6</v>
      </c>
      <c r="F836" s="1508">
        <f t="shared" si="68"/>
        <v>76.932131065999982</v>
      </c>
      <c r="G836" s="1508">
        <f t="shared" si="69"/>
        <v>77.602158599999996</v>
      </c>
      <c r="H836" s="1508">
        <f t="shared" si="72"/>
        <v>-0.67002753400001325</v>
      </c>
      <c r="I836" s="1480">
        <v>5.3178689340000176</v>
      </c>
      <c r="J836" s="1480">
        <v>4.6478413999999999</v>
      </c>
      <c r="K836" s="1508"/>
      <c r="L836" s="1508"/>
      <c r="M836" s="1509">
        <f t="shared" si="73"/>
        <v>4.6478413999999999</v>
      </c>
      <c r="N836" s="1508">
        <f t="shared" si="74"/>
        <v>0</v>
      </c>
      <c r="O836" s="1481">
        <f t="shared" si="70"/>
        <v>4.6478413999999999</v>
      </c>
      <c r="P836" s="1427">
        <f t="shared" si="71"/>
        <v>0</v>
      </c>
    </row>
    <row r="837" spans="1:16" ht="15.5" outlineLevel="1" x14ac:dyDescent="0.25">
      <c r="A837" s="1484">
        <f t="shared" si="75"/>
        <v>30.2</v>
      </c>
      <c r="B837" s="1485" t="str">
        <f t="shared" si="75"/>
        <v>Colony Internal Roads at CSTPS, Chandrapur</v>
      </c>
      <c r="C837" s="1482" t="str">
        <f t="shared" si="75"/>
        <v>MERC/CAPEX/20182019/0644</v>
      </c>
      <c r="D837" s="1390">
        <f t="shared" si="75"/>
        <v>43238</v>
      </c>
      <c r="E837" s="560">
        <f t="shared" si="75"/>
        <v>7.08</v>
      </c>
      <c r="F837" s="1508">
        <f t="shared" si="68"/>
        <v>6.3453610679999999</v>
      </c>
      <c r="G837" s="1508">
        <f t="shared" si="69"/>
        <v>6.3453610679999999</v>
      </c>
      <c r="H837" s="1508">
        <f t="shared" si="72"/>
        <v>0</v>
      </c>
      <c r="I837" s="1480">
        <v>3.4841700000000309E-2</v>
      </c>
      <c r="J837" s="1480">
        <v>3.4841700000000003E-2</v>
      </c>
      <c r="K837" s="1508"/>
      <c r="L837" s="1508"/>
      <c r="M837" s="1509">
        <f t="shared" si="73"/>
        <v>3.4841700000000003E-2</v>
      </c>
      <c r="N837" s="1508">
        <f t="shared" si="74"/>
        <v>3.0531133177191805E-16</v>
      </c>
      <c r="O837" s="1481">
        <f t="shared" si="70"/>
        <v>3.4841700000000003E-2</v>
      </c>
      <c r="P837" s="1427">
        <f t="shared" si="71"/>
        <v>0</v>
      </c>
    </row>
    <row r="838" spans="1:16" ht="31" outlineLevel="1" x14ac:dyDescent="0.25">
      <c r="A838" s="1484">
        <f t="shared" si="75"/>
        <v>30.3</v>
      </c>
      <c r="B838" s="1485" t="str">
        <f t="shared" si="75"/>
        <v>Development of existing open spaces and Garden at CSTPS, Chandrapur</v>
      </c>
      <c r="C838" s="1488" t="str">
        <f t="shared" si="75"/>
        <v>MERC/CAPEX/20182019/0644</v>
      </c>
      <c r="D838" s="1413">
        <f t="shared" si="75"/>
        <v>43238</v>
      </c>
      <c r="E838" s="560">
        <f t="shared" si="75"/>
        <v>4.72</v>
      </c>
      <c r="F838" s="1508">
        <f t="shared" si="68"/>
        <v>0</v>
      </c>
      <c r="G838" s="1508">
        <f t="shared" si="69"/>
        <v>0</v>
      </c>
      <c r="H838" s="1508">
        <f t="shared" si="72"/>
        <v>0</v>
      </c>
      <c r="I838" s="1480">
        <v>4.1940667999999999</v>
      </c>
      <c r="J838" s="1480">
        <v>4.1940667999999999</v>
      </c>
      <c r="K838" s="1508"/>
      <c r="L838" s="1508"/>
      <c r="M838" s="1509">
        <f t="shared" si="73"/>
        <v>4.1940667999999999</v>
      </c>
      <c r="N838" s="1508">
        <f t="shared" si="74"/>
        <v>0</v>
      </c>
      <c r="O838" s="1481">
        <f t="shared" si="70"/>
        <v>4.1940667999999999</v>
      </c>
      <c r="P838" s="1427">
        <f t="shared" si="71"/>
        <v>0</v>
      </c>
    </row>
    <row r="839" spans="1:16" ht="46.5" outlineLevel="1" x14ac:dyDescent="0.25">
      <c r="A839" s="1484">
        <f t="shared" si="75"/>
        <v>30.4</v>
      </c>
      <c r="B839" s="1485" t="str">
        <f t="shared" si="75"/>
        <v>Renovation of club building /community building and providing new swimming pool and other misc works including Architectural and Consultancy Charges at CSTPS, Chandrapur</v>
      </c>
      <c r="C839" s="1488" t="str">
        <f t="shared" si="75"/>
        <v>MERC/CAPEX/20182019/0644</v>
      </c>
      <c r="D839" s="1413">
        <f t="shared" si="75"/>
        <v>43238</v>
      </c>
      <c r="E839" s="560">
        <f t="shared" si="75"/>
        <v>15.34</v>
      </c>
      <c r="F839" s="1508">
        <f t="shared" si="68"/>
        <v>1.6273488320000102</v>
      </c>
      <c r="G839" s="1508">
        <f t="shared" si="69"/>
        <v>1.62734883200001</v>
      </c>
      <c r="H839" s="1508">
        <f t="shared" si="72"/>
        <v>0</v>
      </c>
      <c r="I839" s="1480">
        <v>3.6196438859999995</v>
      </c>
      <c r="J839" s="1480">
        <v>3.0375484999999998</v>
      </c>
      <c r="K839" s="1508"/>
      <c r="L839" s="1508"/>
      <c r="M839" s="1509">
        <f t="shared" si="73"/>
        <v>3.0375484999999998</v>
      </c>
      <c r="N839" s="1508">
        <f t="shared" si="74"/>
        <v>0.58209538599999977</v>
      </c>
      <c r="O839" s="1481">
        <f t="shared" si="70"/>
        <v>3.0375484999999998</v>
      </c>
      <c r="P839" s="1427">
        <f t="shared" si="71"/>
        <v>0</v>
      </c>
    </row>
    <row r="840" spans="1:16" ht="15.5" outlineLevel="1" x14ac:dyDescent="0.25">
      <c r="A840" s="1484">
        <f t="shared" ref="A840:E855" si="76">A170</f>
        <v>0</v>
      </c>
      <c r="B840" s="1485" t="str">
        <f t="shared" si="76"/>
        <v>IDC</v>
      </c>
      <c r="C840" s="1482" t="str">
        <f t="shared" si="76"/>
        <v>MERC/CAPEX/20182019/0644</v>
      </c>
      <c r="D840" s="1390">
        <f t="shared" si="76"/>
        <v>43238</v>
      </c>
      <c r="E840" s="560">
        <f t="shared" si="76"/>
        <v>7.83</v>
      </c>
      <c r="F840" s="1508">
        <f t="shared" si="68"/>
        <v>5.4273518999999997</v>
      </c>
      <c r="G840" s="1508">
        <f t="shared" si="69"/>
        <v>5.4273518999999997</v>
      </c>
      <c r="H840" s="1508">
        <f t="shared" si="72"/>
        <v>0</v>
      </c>
      <c r="I840" s="1480">
        <v>5.5129596000000003</v>
      </c>
      <c r="J840" s="1480">
        <v>5.5129596000000003</v>
      </c>
      <c r="K840" s="1508"/>
      <c r="L840" s="1508"/>
      <c r="M840" s="1509">
        <f t="shared" si="73"/>
        <v>5.5129596000000003</v>
      </c>
      <c r="N840" s="1508">
        <f t="shared" si="74"/>
        <v>0</v>
      </c>
      <c r="O840" s="1481">
        <f t="shared" si="70"/>
        <v>2.4026481000000004</v>
      </c>
      <c r="P840" s="1427">
        <f t="shared" si="71"/>
        <v>3.1103114999999999</v>
      </c>
    </row>
    <row r="841" spans="1:16" ht="15.5" outlineLevel="1" x14ac:dyDescent="0.25">
      <c r="A841" s="1486">
        <f t="shared" si="76"/>
        <v>31</v>
      </c>
      <c r="B841" s="1491" t="str">
        <f t="shared" si="76"/>
        <v>Fully Integrated Security Surveillance System</v>
      </c>
      <c r="C841" s="1486" t="str">
        <f t="shared" si="76"/>
        <v>MERC/CAPEX/2018-19/066</v>
      </c>
      <c r="D841" s="1487">
        <f t="shared" si="76"/>
        <v>43529</v>
      </c>
      <c r="E841" s="1383">
        <f t="shared" si="76"/>
        <v>76.410000000000025</v>
      </c>
      <c r="F841" s="1480">
        <f t="shared" si="68"/>
        <v>0</v>
      </c>
      <c r="G841" s="1480">
        <f t="shared" si="69"/>
        <v>0</v>
      </c>
      <c r="H841" s="1480">
        <f t="shared" si="72"/>
        <v>0</v>
      </c>
      <c r="I841" s="1480">
        <v>0</v>
      </c>
      <c r="J841" s="1480">
        <v>0</v>
      </c>
      <c r="K841" s="1480"/>
      <c r="L841" s="1480"/>
      <c r="M841" s="1480">
        <f t="shared" si="73"/>
        <v>0</v>
      </c>
      <c r="N841" s="1480">
        <f t="shared" si="74"/>
        <v>0</v>
      </c>
      <c r="O841" s="1481">
        <f t="shared" si="70"/>
        <v>0</v>
      </c>
      <c r="P841" s="1427">
        <f t="shared" si="71"/>
        <v>0</v>
      </c>
    </row>
    <row r="842" spans="1:16" ht="15.5" outlineLevel="1" x14ac:dyDescent="0.25">
      <c r="A842" s="1488">
        <f t="shared" si="76"/>
        <v>31.1</v>
      </c>
      <c r="B842" s="1492" t="str">
        <f t="shared" si="76"/>
        <v>CLOSE CIRCUIT TELEVISION SYSTEM (CCTV), MOBILE DVR</v>
      </c>
      <c r="C842" s="1488" t="str">
        <f t="shared" si="76"/>
        <v>MERC/CAPEX/2018-19/066</v>
      </c>
      <c r="D842" s="1413">
        <f t="shared" si="76"/>
        <v>43529</v>
      </c>
      <c r="E842" s="560">
        <f t="shared" si="76"/>
        <v>24.03</v>
      </c>
      <c r="F842" s="1508">
        <f t="shared" si="68"/>
        <v>0</v>
      </c>
      <c r="G842" s="1508">
        <f t="shared" si="69"/>
        <v>0</v>
      </c>
      <c r="H842" s="1508">
        <f t="shared" si="72"/>
        <v>0</v>
      </c>
      <c r="I842" s="1480">
        <v>0</v>
      </c>
      <c r="J842" s="1480">
        <v>0</v>
      </c>
      <c r="K842" s="1508"/>
      <c r="L842" s="1508"/>
      <c r="M842" s="1509">
        <f t="shared" si="73"/>
        <v>0</v>
      </c>
      <c r="N842" s="1508">
        <f t="shared" si="74"/>
        <v>0</v>
      </c>
      <c r="O842" s="1481">
        <f t="shared" si="70"/>
        <v>0</v>
      </c>
      <c r="P842" s="1427">
        <f t="shared" si="71"/>
        <v>0</v>
      </c>
    </row>
    <row r="843" spans="1:16" ht="15.5" outlineLevel="1" x14ac:dyDescent="0.25">
      <c r="A843" s="1488">
        <f t="shared" si="76"/>
        <v>31.2</v>
      </c>
      <c r="B843" s="1492" t="str">
        <f t="shared" si="76"/>
        <v>FIRE ALARM SYSTEM</v>
      </c>
      <c r="C843" s="1488" t="str">
        <f t="shared" si="76"/>
        <v>MERC/CAPEX/2018-19/066</v>
      </c>
      <c r="D843" s="1413">
        <f t="shared" si="76"/>
        <v>43529</v>
      </c>
      <c r="E843" s="560">
        <f t="shared" si="76"/>
        <v>4.33</v>
      </c>
      <c r="F843" s="1508">
        <f t="shared" si="68"/>
        <v>0</v>
      </c>
      <c r="G843" s="1508">
        <f t="shared" si="69"/>
        <v>0</v>
      </c>
      <c r="H843" s="1508">
        <f t="shared" si="72"/>
        <v>0</v>
      </c>
      <c r="I843" s="1480">
        <v>0</v>
      </c>
      <c r="J843" s="1480">
        <v>0</v>
      </c>
      <c r="K843" s="1508"/>
      <c r="L843" s="1508"/>
      <c r="M843" s="1509">
        <f t="shared" si="73"/>
        <v>0</v>
      </c>
      <c r="N843" s="1508">
        <f t="shared" si="74"/>
        <v>0</v>
      </c>
      <c r="O843" s="1481">
        <f t="shared" si="70"/>
        <v>0</v>
      </c>
      <c r="P843" s="1427">
        <f t="shared" si="71"/>
        <v>0</v>
      </c>
    </row>
    <row r="844" spans="1:16" ht="15.5" outlineLevel="1" x14ac:dyDescent="0.25">
      <c r="A844" s="1488">
        <f t="shared" si="76"/>
        <v>31.3</v>
      </c>
      <c r="B844" s="1492" t="str">
        <f t="shared" si="76"/>
        <v>ACCESS CONTROL SYSTEM</v>
      </c>
      <c r="C844" s="1488" t="str">
        <f t="shared" si="76"/>
        <v>MERC/CAPEX/2018-19/066</v>
      </c>
      <c r="D844" s="1413">
        <f t="shared" si="76"/>
        <v>43529</v>
      </c>
      <c r="E844" s="560">
        <f t="shared" si="76"/>
        <v>0.48</v>
      </c>
      <c r="F844" s="1508">
        <f t="shared" si="68"/>
        <v>0</v>
      </c>
      <c r="G844" s="1508">
        <f t="shared" si="69"/>
        <v>0</v>
      </c>
      <c r="H844" s="1508">
        <f t="shared" si="72"/>
        <v>0</v>
      </c>
      <c r="I844" s="1480">
        <v>0</v>
      </c>
      <c r="J844" s="1480">
        <v>0</v>
      </c>
      <c r="K844" s="1508"/>
      <c r="L844" s="1508"/>
      <c r="M844" s="1509">
        <f t="shared" si="73"/>
        <v>0</v>
      </c>
      <c r="N844" s="1508">
        <f t="shared" si="74"/>
        <v>0</v>
      </c>
      <c r="O844" s="1481">
        <f t="shared" si="70"/>
        <v>0</v>
      </c>
      <c r="P844" s="1427">
        <f t="shared" si="71"/>
        <v>0</v>
      </c>
    </row>
    <row r="845" spans="1:16" ht="15.5" outlineLevel="1" x14ac:dyDescent="0.25">
      <c r="A845" s="1488">
        <f t="shared" si="76"/>
        <v>31.4</v>
      </c>
      <c r="B845" s="1492" t="str">
        <f t="shared" si="76"/>
        <v>EPABX</v>
      </c>
      <c r="C845" s="1488" t="str">
        <f t="shared" si="76"/>
        <v>MERC/CAPEX/2018-19/066</v>
      </c>
      <c r="D845" s="1413">
        <f t="shared" si="76"/>
        <v>43529</v>
      </c>
      <c r="E845" s="560">
        <f t="shared" si="76"/>
        <v>1.93</v>
      </c>
      <c r="F845" s="1508">
        <f t="shared" si="68"/>
        <v>0</v>
      </c>
      <c r="G845" s="1508">
        <f t="shared" si="69"/>
        <v>0</v>
      </c>
      <c r="H845" s="1508">
        <f t="shared" si="72"/>
        <v>0</v>
      </c>
      <c r="I845" s="1480">
        <v>0</v>
      </c>
      <c r="J845" s="1480">
        <v>0</v>
      </c>
      <c r="K845" s="1508"/>
      <c r="L845" s="1508"/>
      <c r="M845" s="1509">
        <f t="shared" si="73"/>
        <v>0</v>
      </c>
      <c r="N845" s="1508">
        <f t="shared" si="74"/>
        <v>0</v>
      </c>
      <c r="O845" s="1481">
        <f t="shared" si="70"/>
        <v>0</v>
      </c>
      <c r="P845" s="1427">
        <f t="shared" si="71"/>
        <v>0</v>
      </c>
    </row>
    <row r="846" spans="1:16" ht="15.5" outlineLevel="1" x14ac:dyDescent="0.25">
      <c r="A846" s="1488">
        <f t="shared" si="76"/>
        <v>31.5</v>
      </c>
      <c r="B846" s="1492" t="str">
        <f t="shared" si="76"/>
        <v>RADIO COMMUNICATION AND CONNECTIVITY (Wireless)</v>
      </c>
      <c r="C846" s="1488" t="str">
        <f t="shared" si="76"/>
        <v>MERC/CAPEX/2018-19/066</v>
      </c>
      <c r="D846" s="1413">
        <f t="shared" si="76"/>
        <v>43529</v>
      </c>
      <c r="E846" s="560">
        <f t="shared" si="76"/>
        <v>1.76</v>
      </c>
      <c r="F846" s="1508">
        <f t="shared" si="68"/>
        <v>0</v>
      </c>
      <c r="G846" s="1508">
        <f t="shared" si="69"/>
        <v>0</v>
      </c>
      <c r="H846" s="1508">
        <f t="shared" si="72"/>
        <v>0</v>
      </c>
      <c r="I846" s="1480">
        <v>0</v>
      </c>
      <c r="J846" s="1480">
        <v>0</v>
      </c>
      <c r="K846" s="1508"/>
      <c r="L846" s="1508"/>
      <c r="M846" s="1509">
        <f t="shared" si="73"/>
        <v>0</v>
      </c>
      <c r="N846" s="1508">
        <f t="shared" si="74"/>
        <v>0</v>
      </c>
      <c r="O846" s="1481">
        <f t="shared" si="70"/>
        <v>0</v>
      </c>
      <c r="P846" s="1427">
        <f t="shared" si="71"/>
        <v>0</v>
      </c>
    </row>
    <row r="847" spans="1:16" ht="15.5" outlineLevel="1" x14ac:dyDescent="0.25">
      <c r="A847" s="1488">
        <f t="shared" si="76"/>
        <v>31.6</v>
      </c>
      <c r="B847" s="1492" t="str">
        <f t="shared" si="76"/>
        <v>ENTRY MANAGEMENT SYSTEM, TRUCK TRACKING SYSTEM</v>
      </c>
      <c r="C847" s="1488" t="str">
        <f t="shared" si="76"/>
        <v>MERC/CAPEX/2018-19/066</v>
      </c>
      <c r="D847" s="1413">
        <f t="shared" si="76"/>
        <v>43529</v>
      </c>
      <c r="E847" s="560">
        <f t="shared" si="76"/>
        <v>1.25</v>
      </c>
      <c r="F847" s="1508">
        <f t="shared" si="68"/>
        <v>0</v>
      </c>
      <c r="G847" s="1508">
        <f t="shared" si="69"/>
        <v>0</v>
      </c>
      <c r="H847" s="1508">
        <f t="shared" si="72"/>
        <v>0</v>
      </c>
      <c r="I847" s="1480">
        <v>0</v>
      </c>
      <c r="J847" s="1480">
        <v>0</v>
      </c>
      <c r="K847" s="1508"/>
      <c r="L847" s="1508"/>
      <c r="M847" s="1509">
        <f t="shared" si="73"/>
        <v>0</v>
      </c>
      <c r="N847" s="1508">
        <f t="shared" si="74"/>
        <v>0</v>
      </c>
      <c r="O847" s="1481">
        <f t="shared" si="70"/>
        <v>0</v>
      </c>
      <c r="P847" s="1427">
        <f t="shared" si="71"/>
        <v>0</v>
      </c>
    </row>
    <row r="848" spans="1:16" ht="15.5" outlineLevel="1" x14ac:dyDescent="0.25">
      <c r="A848" s="1488">
        <f t="shared" si="76"/>
        <v>31.7</v>
      </c>
      <c r="B848" s="1492" t="str">
        <f t="shared" si="76"/>
        <v>NETWORKING</v>
      </c>
      <c r="C848" s="1488" t="str">
        <f t="shared" si="76"/>
        <v>MERC/CAPEX/2018-19/066</v>
      </c>
      <c r="D848" s="1413">
        <f t="shared" si="76"/>
        <v>43529</v>
      </c>
      <c r="E848" s="560">
        <f t="shared" si="76"/>
        <v>9.35</v>
      </c>
      <c r="F848" s="1508">
        <f t="shared" si="68"/>
        <v>0</v>
      </c>
      <c r="G848" s="1508">
        <f t="shared" si="69"/>
        <v>0</v>
      </c>
      <c r="H848" s="1508">
        <f t="shared" si="72"/>
        <v>0</v>
      </c>
      <c r="I848" s="1480">
        <v>0</v>
      </c>
      <c r="J848" s="1480">
        <v>0</v>
      </c>
      <c r="K848" s="1508"/>
      <c r="L848" s="1508"/>
      <c r="M848" s="1509">
        <f t="shared" si="73"/>
        <v>0</v>
      </c>
      <c r="N848" s="1508">
        <f t="shared" si="74"/>
        <v>0</v>
      </c>
      <c r="O848" s="1481">
        <f t="shared" si="70"/>
        <v>0</v>
      </c>
      <c r="P848" s="1427">
        <f t="shared" si="71"/>
        <v>0</v>
      </c>
    </row>
    <row r="849" spans="1:16" ht="15.5" outlineLevel="1" x14ac:dyDescent="0.25">
      <c r="A849" s="1488">
        <f t="shared" si="76"/>
        <v>31.8</v>
      </c>
      <c r="B849" s="1492" t="str">
        <f t="shared" si="76"/>
        <v>MESSAGE DISPLAY SYSTEM</v>
      </c>
      <c r="C849" s="1488" t="str">
        <f t="shared" si="76"/>
        <v>MERC/CAPEX/2018-19/066</v>
      </c>
      <c r="D849" s="1413">
        <f t="shared" si="76"/>
        <v>43529</v>
      </c>
      <c r="E849" s="560">
        <f t="shared" si="76"/>
        <v>0.31</v>
      </c>
      <c r="F849" s="1508">
        <f t="shared" si="68"/>
        <v>0</v>
      </c>
      <c r="G849" s="1508">
        <f t="shared" si="69"/>
        <v>0</v>
      </c>
      <c r="H849" s="1508">
        <f t="shared" si="72"/>
        <v>0</v>
      </c>
      <c r="I849" s="1480">
        <v>0</v>
      </c>
      <c r="J849" s="1480">
        <v>0</v>
      </c>
      <c r="K849" s="1508"/>
      <c r="L849" s="1508"/>
      <c r="M849" s="1509">
        <f t="shared" si="73"/>
        <v>0</v>
      </c>
      <c r="N849" s="1508">
        <f t="shared" si="74"/>
        <v>0</v>
      </c>
      <c r="O849" s="1481">
        <f t="shared" si="70"/>
        <v>0</v>
      </c>
      <c r="P849" s="1427">
        <f t="shared" si="71"/>
        <v>0</v>
      </c>
    </row>
    <row r="850" spans="1:16" ht="15.5" outlineLevel="1" x14ac:dyDescent="0.25">
      <c r="A850" s="1488">
        <f t="shared" si="76"/>
        <v>31.9</v>
      </c>
      <c r="B850" s="1492" t="str">
        <f t="shared" si="76"/>
        <v>IP PA SYSTEM</v>
      </c>
      <c r="C850" s="1488" t="str">
        <f t="shared" si="76"/>
        <v>MERC/CAPEX/2018-19/066</v>
      </c>
      <c r="D850" s="1413">
        <f t="shared" si="76"/>
        <v>43529</v>
      </c>
      <c r="E850" s="560">
        <f t="shared" si="76"/>
        <v>2.74</v>
      </c>
      <c r="F850" s="1508">
        <f t="shared" si="68"/>
        <v>0</v>
      </c>
      <c r="G850" s="1508">
        <f t="shared" si="69"/>
        <v>0</v>
      </c>
      <c r="H850" s="1508">
        <f t="shared" si="72"/>
        <v>0</v>
      </c>
      <c r="I850" s="1480">
        <v>0</v>
      </c>
      <c r="J850" s="1480">
        <v>0</v>
      </c>
      <c r="K850" s="1508"/>
      <c r="L850" s="1508"/>
      <c r="M850" s="1509">
        <f t="shared" si="73"/>
        <v>0</v>
      </c>
      <c r="N850" s="1508">
        <f t="shared" si="74"/>
        <v>0</v>
      </c>
      <c r="O850" s="1481">
        <f t="shared" si="70"/>
        <v>0</v>
      </c>
      <c r="P850" s="1427">
        <f t="shared" si="71"/>
        <v>0</v>
      </c>
    </row>
    <row r="851" spans="1:16" ht="15.5" outlineLevel="1" x14ac:dyDescent="0.25">
      <c r="A851" s="1488" t="str">
        <f t="shared" si="76"/>
        <v>31.10</v>
      </c>
      <c r="B851" s="1492" t="str">
        <f t="shared" si="76"/>
        <v>TOWERS, EARTHING /POLES, CONDUITING, DIGGING</v>
      </c>
      <c r="C851" s="1488" t="str">
        <f t="shared" si="76"/>
        <v>MERC/CAPEX/2018-19/066</v>
      </c>
      <c r="D851" s="1413">
        <f t="shared" si="76"/>
        <v>43529</v>
      </c>
      <c r="E851" s="560">
        <f t="shared" si="76"/>
        <v>7.63</v>
      </c>
      <c r="F851" s="1508">
        <f t="shared" si="68"/>
        <v>0</v>
      </c>
      <c r="G851" s="1508">
        <f t="shared" si="69"/>
        <v>0</v>
      </c>
      <c r="H851" s="1508">
        <f t="shared" si="72"/>
        <v>0</v>
      </c>
      <c r="I851" s="1480">
        <v>0</v>
      </c>
      <c r="J851" s="1480">
        <v>0</v>
      </c>
      <c r="K851" s="1508"/>
      <c r="L851" s="1508"/>
      <c r="M851" s="1509">
        <f t="shared" si="73"/>
        <v>0</v>
      </c>
      <c r="N851" s="1508">
        <f t="shared" si="74"/>
        <v>0</v>
      </c>
      <c r="O851" s="1481">
        <f t="shared" si="70"/>
        <v>0</v>
      </c>
      <c r="P851" s="1427">
        <f t="shared" si="71"/>
        <v>0</v>
      </c>
    </row>
    <row r="852" spans="1:16" ht="46.5" outlineLevel="1" x14ac:dyDescent="0.25">
      <c r="A852" s="1488">
        <f t="shared" si="76"/>
        <v>31.11</v>
      </c>
      <c r="B852" s="1492" t="str">
        <f t="shared" si="76"/>
        <v>RDBMS, SERVER, WORKSTATIONS, IN CON. ROOM WITH FURINITURE DOCUMENTATION, CAMERA &amp; ANALYTICS LICENSES</v>
      </c>
      <c r="C852" s="1488" t="str">
        <f t="shared" si="76"/>
        <v>MERC/CAPEX/2018-19/066</v>
      </c>
      <c r="D852" s="1413">
        <f t="shared" si="76"/>
        <v>43529</v>
      </c>
      <c r="E852" s="560">
        <f t="shared" si="76"/>
        <v>18.670000000000002</v>
      </c>
      <c r="F852" s="1508">
        <f t="shared" si="68"/>
        <v>0</v>
      </c>
      <c r="G852" s="1508">
        <f t="shared" si="69"/>
        <v>0</v>
      </c>
      <c r="H852" s="1508">
        <f t="shared" si="72"/>
        <v>0</v>
      </c>
      <c r="I852" s="1480">
        <v>0</v>
      </c>
      <c r="J852" s="1480">
        <v>0</v>
      </c>
      <c r="K852" s="1508"/>
      <c r="L852" s="1508"/>
      <c r="M852" s="1509">
        <f t="shared" si="73"/>
        <v>0</v>
      </c>
      <c r="N852" s="1508">
        <f t="shared" si="74"/>
        <v>0</v>
      </c>
      <c r="O852" s="1481">
        <f t="shared" si="70"/>
        <v>0</v>
      </c>
      <c r="P852" s="1427">
        <f t="shared" si="71"/>
        <v>0</v>
      </c>
    </row>
    <row r="853" spans="1:16" ht="15.5" outlineLevel="1" x14ac:dyDescent="0.25">
      <c r="A853" s="1488">
        <f t="shared" si="76"/>
        <v>31.12</v>
      </c>
      <c r="B853" s="1492" t="str">
        <f t="shared" si="76"/>
        <v>ADDITIONAL CIVIL WORK</v>
      </c>
      <c r="C853" s="1488" t="str">
        <f t="shared" si="76"/>
        <v>MERC/CAPEX/2018-19/066</v>
      </c>
      <c r="D853" s="1413">
        <f t="shared" si="76"/>
        <v>43529</v>
      </c>
      <c r="E853" s="560">
        <f t="shared" si="76"/>
        <v>3.93</v>
      </c>
      <c r="F853" s="1508">
        <f t="shared" si="68"/>
        <v>0</v>
      </c>
      <c r="G853" s="1508">
        <f t="shared" si="69"/>
        <v>0</v>
      </c>
      <c r="H853" s="1508">
        <f t="shared" si="72"/>
        <v>0</v>
      </c>
      <c r="I853" s="1480">
        <v>0</v>
      </c>
      <c r="J853" s="1480">
        <v>0</v>
      </c>
      <c r="K853" s="1508"/>
      <c r="L853" s="1508"/>
      <c r="M853" s="1509">
        <f t="shared" si="73"/>
        <v>0</v>
      </c>
      <c r="N853" s="1508">
        <f t="shared" si="74"/>
        <v>0</v>
      </c>
      <c r="O853" s="1481">
        <f t="shared" si="70"/>
        <v>0</v>
      </c>
      <c r="P853" s="1427">
        <f t="shared" si="71"/>
        <v>0</v>
      </c>
    </row>
    <row r="854" spans="1:16" ht="46.5" outlineLevel="1" x14ac:dyDescent="0.25">
      <c r="A854" s="1486">
        <f t="shared" si="76"/>
        <v>32</v>
      </c>
      <c r="B854" s="1491" t="str">
        <f t="shared" si="76"/>
        <v>Provision of VFD panel along with bypasses arrangement for HT/LT conveyors &amp; automation of control room at Coal Handling Plant-B</v>
      </c>
      <c r="C854" s="1486" t="str">
        <f t="shared" si="76"/>
        <v>MERC/CAPEX/20182019/1240</v>
      </c>
      <c r="D854" s="1487">
        <f t="shared" si="76"/>
        <v>43363</v>
      </c>
      <c r="E854" s="1383">
        <f t="shared" si="76"/>
        <v>38.629999999999995</v>
      </c>
      <c r="F854" s="1480">
        <f t="shared" si="68"/>
        <v>0</v>
      </c>
      <c r="G854" s="1480">
        <f t="shared" si="69"/>
        <v>0</v>
      </c>
      <c r="H854" s="1480">
        <f t="shared" si="72"/>
        <v>0</v>
      </c>
      <c r="I854" s="1480">
        <v>0</v>
      </c>
      <c r="J854" s="1480">
        <v>0</v>
      </c>
      <c r="K854" s="1480"/>
      <c r="L854" s="1480"/>
      <c r="M854" s="1480">
        <f t="shared" si="73"/>
        <v>0</v>
      </c>
      <c r="N854" s="1480">
        <f t="shared" si="74"/>
        <v>0</v>
      </c>
      <c r="O854" s="1481">
        <f t="shared" si="70"/>
        <v>0</v>
      </c>
      <c r="P854" s="1427">
        <f t="shared" si="71"/>
        <v>0</v>
      </c>
    </row>
    <row r="855" spans="1:16" ht="46.5" outlineLevel="1" x14ac:dyDescent="0.25">
      <c r="A855" s="1488">
        <f t="shared" si="76"/>
        <v>32.1</v>
      </c>
      <c r="B855" s="1492" t="str">
        <f t="shared" si="76"/>
        <v>Procurement, Installation and commissioning of MV/LT VFD panel along with bypass arrangement for HT/LT Conveyors of CHP-B</v>
      </c>
      <c r="C855" s="1488" t="str">
        <f t="shared" si="76"/>
        <v>MERC/CAPEX/20182019/1240</v>
      </c>
      <c r="D855" s="1413">
        <f t="shared" si="76"/>
        <v>43363</v>
      </c>
      <c r="E855" s="560">
        <f t="shared" si="76"/>
        <v>32.56</v>
      </c>
      <c r="F855" s="1508">
        <f t="shared" si="68"/>
        <v>29.213259999999998</v>
      </c>
      <c r="G855" s="1508">
        <f t="shared" si="69"/>
        <v>0</v>
      </c>
      <c r="H855" s="1508">
        <f t="shared" si="72"/>
        <v>29.213259999999998</v>
      </c>
      <c r="I855" s="1480">
        <v>-1.00193E-2</v>
      </c>
      <c r="J855" s="1480">
        <v>1.71336</v>
      </c>
      <c r="K855" s="1508"/>
      <c r="L855" s="1508"/>
      <c r="M855" s="1509">
        <f t="shared" si="73"/>
        <v>1.71336</v>
      </c>
      <c r="N855" s="1508">
        <f t="shared" si="74"/>
        <v>27.489880699999997</v>
      </c>
      <c r="O855" s="1481">
        <f t="shared" si="70"/>
        <v>1.71336</v>
      </c>
      <c r="P855" s="1427">
        <f t="shared" si="71"/>
        <v>0</v>
      </c>
    </row>
    <row r="856" spans="1:16" ht="15.5" outlineLevel="1" x14ac:dyDescent="0.25">
      <c r="A856" s="1488">
        <f t="shared" ref="A856:E871" si="77">A186</f>
        <v>32.200000000000003</v>
      </c>
      <c r="B856" s="1492" t="str">
        <f t="shared" si="77"/>
        <v>Automation of Control Room of CHP-B Using PLC System</v>
      </c>
      <c r="C856" s="1488" t="str">
        <f t="shared" si="77"/>
        <v>MERC/CAPEX/20182019/1240</v>
      </c>
      <c r="D856" s="1413">
        <f t="shared" si="77"/>
        <v>43363</v>
      </c>
      <c r="E856" s="560">
        <f t="shared" si="77"/>
        <v>4.91</v>
      </c>
      <c r="F856" s="1508">
        <f t="shared" si="68"/>
        <v>0</v>
      </c>
      <c r="G856" s="1508">
        <f t="shared" si="69"/>
        <v>0</v>
      </c>
      <c r="H856" s="1508">
        <f t="shared" si="72"/>
        <v>0</v>
      </c>
      <c r="I856" s="1480">
        <v>0</v>
      </c>
      <c r="J856" s="1480">
        <v>0</v>
      </c>
      <c r="K856" s="1508"/>
      <c r="L856" s="1508"/>
      <c r="M856" s="1509">
        <f t="shared" si="73"/>
        <v>0</v>
      </c>
      <c r="N856" s="1508">
        <f t="shared" si="74"/>
        <v>0</v>
      </c>
      <c r="O856" s="1481">
        <f t="shared" si="70"/>
        <v>0</v>
      </c>
      <c r="P856" s="1427">
        <f t="shared" si="71"/>
        <v>0</v>
      </c>
    </row>
    <row r="857" spans="1:16" ht="15.5" outlineLevel="1" x14ac:dyDescent="0.25">
      <c r="A857" s="1482">
        <f t="shared" si="77"/>
        <v>0</v>
      </c>
      <c r="B857" s="1483" t="str">
        <f t="shared" si="77"/>
        <v>IDC</v>
      </c>
      <c r="C857" s="1482" t="str">
        <f t="shared" si="77"/>
        <v>MERC/CAPEX/20182019/1240</v>
      </c>
      <c r="D857" s="1390">
        <f t="shared" si="77"/>
        <v>43363</v>
      </c>
      <c r="E857" s="560">
        <f t="shared" si="77"/>
        <v>1.1599999999999999</v>
      </c>
      <c r="F857" s="1508">
        <f t="shared" si="68"/>
        <v>0</v>
      </c>
      <c r="G857" s="1508">
        <f t="shared" si="69"/>
        <v>0</v>
      </c>
      <c r="H857" s="1508">
        <f t="shared" si="72"/>
        <v>0</v>
      </c>
      <c r="I857" s="1480">
        <v>0</v>
      </c>
      <c r="J857" s="1480">
        <v>0</v>
      </c>
      <c r="K857" s="1508"/>
      <c r="L857" s="1508"/>
      <c r="M857" s="1509">
        <f t="shared" si="73"/>
        <v>0</v>
      </c>
      <c r="N857" s="1508">
        <f t="shared" si="74"/>
        <v>0</v>
      </c>
      <c r="O857" s="1481">
        <f t="shared" si="70"/>
        <v>0</v>
      </c>
      <c r="P857" s="1427">
        <f t="shared" si="71"/>
        <v>0</v>
      </c>
    </row>
    <row r="858" spans="1:16" ht="31" outlineLevel="1" x14ac:dyDescent="0.25">
      <c r="A858" s="1486">
        <f t="shared" si="77"/>
        <v>33</v>
      </c>
      <c r="B858" s="1491" t="str">
        <f t="shared" si="77"/>
        <v>Complete Track Renewal (CTR)/Renovation of existing Broad Gauge Railway Siding of 500MW Yard in CSTPS</v>
      </c>
      <c r="C858" s="1486" t="str">
        <f t="shared" si="77"/>
        <v>MERC/CAPEX/2019-2020/362</v>
      </c>
      <c r="D858" s="1487">
        <f t="shared" si="77"/>
        <v>43657</v>
      </c>
      <c r="E858" s="1383">
        <f t="shared" si="77"/>
        <v>15.22025</v>
      </c>
      <c r="F858" s="1480">
        <f t="shared" si="68"/>
        <v>0</v>
      </c>
      <c r="G858" s="1480">
        <f t="shared" si="69"/>
        <v>0</v>
      </c>
      <c r="H858" s="1480">
        <f t="shared" si="72"/>
        <v>0</v>
      </c>
      <c r="I858" s="1480">
        <v>0</v>
      </c>
      <c r="J858" s="1480">
        <v>0</v>
      </c>
      <c r="K858" s="1480"/>
      <c r="L858" s="1480"/>
      <c r="M858" s="1480">
        <f t="shared" si="73"/>
        <v>0</v>
      </c>
      <c r="N858" s="1480">
        <f t="shared" si="74"/>
        <v>0</v>
      </c>
      <c r="O858" s="1481">
        <f t="shared" si="70"/>
        <v>0</v>
      </c>
      <c r="P858" s="1427">
        <f t="shared" si="71"/>
        <v>0</v>
      </c>
    </row>
    <row r="859" spans="1:16" ht="31" outlineLevel="1" x14ac:dyDescent="0.25">
      <c r="A859" s="1488">
        <f t="shared" si="77"/>
        <v>33.1</v>
      </c>
      <c r="B859" s="1492" t="str">
        <f t="shared" si="77"/>
        <v>Complete Track Renewal (CTR)/Renovation of existing Broad Gauge Railway Siding of 500MW Yard in CSTPS</v>
      </c>
      <c r="C859" s="1488" t="str">
        <f t="shared" si="77"/>
        <v>MERC/CAPEX/2019-2020/362</v>
      </c>
      <c r="D859" s="1413">
        <f t="shared" si="77"/>
        <v>43657</v>
      </c>
      <c r="E859" s="560">
        <f t="shared" si="77"/>
        <v>14.20025</v>
      </c>
      <c r="F859" s="1508">
        <f t="shared" si="68"/>
        <v>0</v>
      </c>
      <c r="G859" s="1508">
        <f t="shared" si="69"/>
        <v>0</v>
      </c>
      <c r="H859" s="1508">
        <f t="shared" si="72"/>
        <v>0</v>
      </c>
      <c r="I859" s="1480">
        <v>1.464883969</v>
      </c>
      <c r="J859" s="1480">
        <v>0</v>
      </c>
      <c r="K859" s="1508"/>
      <c r="L859" s="1508"/>
      <c r="M859" s="1509">
        <f t="shared" si="73"/>
        <v>0</v>
      </c>
      <c r="N859" s="1508">
        <f t="shared" si="74"/>
        <v>1.464883969</v>
      </c>
      <c r="O859" s="1481">
        <f t="shared" si="70"/>
        <v>0</v>
      </c>
      <c r="P859" s="1427">
        <f t="shared" si="71"/>
        <v>0</v>
      </c>
    </row>
    <row r="860" spans="1:16" ht="15.5" outlineLevel="1" x14ac:dyDescent="0.25">
      <c r="A860" s="1482">
        <f t="shared" si="77"/>
        <v>0</v>
      </c>
      <c r="B860" s="1483" t="str">
        <f t="shared" si="77"/>
        <v>IDC</v>
      </c>
      <c r="C860" s="1482" t="str">
        <f t="shared" si="77"/>
        <v>MERC/CAPEX/2019-2020/362</v>
      </c>
      <c r="D860" s="1390">
        <f t="shared" si="77"/>
        <v>43657</v>
      </c>
      <c r="E860" s="560">
        <f t="shared" si="77"/>
        <v>1.02</v>
      </c>
      <c r="F860" s="1508">
        <f t="shared" si="68"/>
        <v>0</v>
      </c>
      <c r="G860" s="1508">
        <f t="shared" si="69"/>
        <v>0</v>
      </c>
      <c r="H860" s="1508">
        <f t="shared" si="72"/>
        <v>0</v>
      </c>
      <c r="I860" s="1480">
        <v>0</v>
      </c>
      <c r="J860" s="1480">
        <v>0</v>
      </c>
      <c r="K860" s="1508"/>
      <c r="L860" s="1508"/>
      <c r="M860" s="1509">
        <f t="shared" si="73"/>
        <v>0</v>
      </c>
      <c r="N860" s="1508">
        <f t="shared" si="74"/>
        <v>0</v>
      </c>
      <c r="O860" s="1481">
        <f t="shared" si="70"/>
        <v>0</v>
      </c>
      <c r="P860" s="1427">
        <f t="shared" si="71"/>
        <v>0</v>
      </c>
    </row>
    <row r="861" spans="1:16" ht="31" outlineLevel="1" x14ac:dyDescent="0.25">
      <c r="A861" s="1486">
        <f t="shared" si="77"/>
        <v>34</v>
      </c>
      <c r="B861" s="1491" t="str">
        <f t="shared" si="77"/>
        <v>Procurement of Spare Generator Rotor along with one set of Bearings for Unit # 5, 6 &amp; 7 CSTPS, Chandrapur</v>
      </c>
      <c r="C861" s="1486" t="str">
        <f t="shared" si="77"/>
        <v>MERC/CAPEX/2019-2020/129</v>
      </c>
      <c r="D861" s="1487">
        <f t="shared" si="77"/>
        <v>43588</v>
      </c>
      <c r="E861" s="1383">
        <f t="shared" si="77"/>
        <v>41.469115199999997</v>
      </c>
      <c r="F861" s="1480">
        <f t="shared" si="68"/>
        <v>0</v>
      </c>
      <c r="G861" s="1480">
        <f t="shared" si="69"/>
        <v>0</v>
      </c>
      <c r="H861" s="1480">
        <f t="shared" si="72"/>
        <v>0</v>
      </c>
      <c r="I861" s="1480">
        <v>0</v>
      </c>
      <c r="J861" s="1480">
        <v>0</v>
      </c>
      <c r="K861" s="1480"/>
      <c r="L861" s="1480"/>
      <c r="M861" s="1480">
        <f t="shared" si="73"/>
        <v>0</v>
      </c>
      <c r="N861" s="1480">
        <f t="shared" si="74"/>
        <v>0</v>
      </c>
      <c r="O861" s="1481">
        <f t="shared" si="70"/>
        <v>0</v>
      </c>
      <c r="P861" s="1427">
        <f t="shared" si="71"/>
        <v>0</v>
      </c>
    </row>
    <row r="862" spans="1:16" ht="46.5" outlineLevel="1" x14ac:dyDescent="0.25">
      <c r="A862" s="1488">
        <f t="shared" si="77"/>
        <v>34.1</v>
      </c>
      <c r="B862" s="1492" t="str">
        <f t="shared" si="77"/>
        <v xml:space="preserve">Generator Rotor suitable for THDF 115/59
One Set of Bearings (Comprising of 2 nos. of bearings)
</v>
      </c>
      <c r="C862" s="1488" t="str">
        <f t="shared" si="77"/>
        <v>MERC/CAPEX/2019-2020/129</v>
      </c>
      <c r="D862" s="1413">
        <f t="shared" si="77"/>
        <v>43588</v>
      </c>
      <c r="E862" s="560">
        <f t="shared" si="77"/>
        <v>40.359115199999998</v>
      </c>
      <c r="F862" s="1508">
        <f t="shared" si="68"/>
        <v>42.189589900000001</v>
      </c>
      <c r="G862" s="1508">
        <f t="shared" si="69"/>
        <v>42.189589900000001</v>
      </c>
      <c r="H862" s="1508">
        <f t="shared" si="72"/>
        <v>0</v>
      </c>
      <c r="I862" s="1480">
        <v>0</v>
      </c>
      <c r="J862" s="1480">
        <v>0</v>
      </c>
      <c r="K862" s="1508"/>
      <c r="L862" s="1508"/>
      <c r="M862" s="1509">
        <f t="shared" si="73"/>
        <v>0</v>
      </c>
      <c r="N862" s="1508">
        <f t="shared" si="74"/>
        <v>0</v>
      </c>
      <c r="O862" s="1481">
        <f t="shared" si="70"/>
        <v>0</v>
      </c>
      <c r="P862" s="1427">
        <f t="shared" si="71"/>
        <v>0</v>
      </c>
    </row>
    <row r="863" spans="1:16" ht="15.5" outlineLevel="1" x14ac:dyDescent="0.25">
      <c r="A863" s="1482">
        <f t="shared" si="77"/>
        <v>0</v>
      </c>
      <c r="B863" s="1483" t="str">
        <f t="shared" si="77"/>
        <v>IDC</v>
      </c>
      <c r="C863" s="1482" t="str">
        <f t="shared" si="77"/>
        <v>MERC/CAPEX/2019-2020/129</v>
      </c>
      <c r="D863" s="1390">
        <f t="shared" si="77"/>
        <v>43588</v>
      </c>
      <c r="E863" s="560">
        <f t="shared" si="77"/>
        <v>1.1100000000000001</v>
      </c>
      <c r="F863" s="1508">
        <f t="shared" si="68"/>
        <v>0</v>
      </c>
      <c r="G863" s="1508">
        <f t="shared" si="69"/>
        <v>0</v>
      </c>
      <c r="H863" s="1508">
        <f t="shared" si="72"/>
        <v>0</v>
      </c>
      <c r="I863" s="1480">
        <v>0</v>
      </c>
      <c r="J863" s="1480">
        <v>0</v>
      </c>
      <c r="K863" s="1508"/>
      <c r="L863" s="1508"/>
      <c r="M863" s="1509">
        <f t="shared" si="73"/>
        <v>0</v>
      </c>
      <c r="N863" s="1508">
        <f t="shared" si="74"/>
        <v>0</v>
      </c>
      <c r="O863" s="1481">
        <f t="shared" si="70"/>
        <v>0</v>
      </c>
      <c r="P863" s="1427">
        <f t="shared" si="71"/>
        <v>0</v>
      </c>
    </row>
    <row r="864" spans="1:16" ht="31" outlineLevel="1" x14ac:dyDescent="0.25">
      <c r="A864" s="1477">
        <f t="shared" si="77"/>
        <v>35</v>
      </c>
      <c r="B864" s="1478" t="str">
        <f t="shared" si="77"/>
        <v>Procurement of 2 NOS. OF 3100 HP, WDG-3A Locomotives for CSTPS, Chandrapur</v>
      </c>
      <c r="C864" s="1486" t="str">
        <f t="shared" si="77"/>
        <v>MERC/CAPEX/2019-2020/1214</v>
      </c>
      <c r="D864" s="1487">
        <f t="shared" si="77"/>
        <v>43822</v>
      </c>
      <c r="E864" s="1383">
        <f t="shared" si="77"/>
        <v>22.05</v>
      </c>
      <c r="F864" s="1480">
        <f t="shared" si="68"/>
        <v>0</v>
      </c>
      <c r="G864" s="1480">
        <f t="shared" si="69"/>
        <v>0</v>
      </c>
      <c r="H864" s="1480">
        <f t="shared" si="72"/>
        <v>0</v>
      </c>
      <c r="I864" s="1480">
        <v>0</v>
      </c>
      <c r="J864" s="1480">
        <v>0</v>
      </c>
      <c r="K864" s="1480"/>
      <c r="L864" s="1480"/>
      <c r="M864" s="1480">
        <f t="shared" si="73"/>
        <v>0</v>
      </c>
      <c r="N864" s="1480">
        <f t="shared" si="74"/>
        <v>0</v>
      </c>
      <c r="O864" s="1481">
        <f t="shared" si="70"/>
        <v>0</v>
      </c>
      <c r="P864" s="1427">
        <f t="shared" si="71"/>
        <v>0</v>
      </c>
    </row>
    <row r="865" spans="1:16" ht="31" outlineLevel="1" x14ac:dyDescent="0.25">
      <c r="A865" s="1482">
        <f t="shared" si="77"/>
        <v>35.1</v>
      </c>
      <c r="B865" s="1483" t="str">
        <f t="shared" si="77"/>
        <v>Procurement of 2 NOS. OF 3100 HP, WDG-3A Locomotives for CSTPS, Chandrapur</v>
      </c>
      <c r="C865" s="1488" t="str">
        <f t="shared" si="77"/>
        <v>MERC/CAPEX/2019-2020/1214</v>
      </c>
      <c r="D865" s="1413">
        <f t="shared" si="77"/>
        <v>43822</v>
      </c>
      <c r="E865" s="1383">
        <f t="shared" si="77"/>
        <v>21.66</v>
      </c>
      <c r="F865" s="1480">
        <f t="shared" si="68"/>
        <v>22.854784800000001</v>
      </c>
      <c r="G865" s="1480">
        <f t="shared" si="69"/>
        <v>22.854784800000001</v>
      </c>
      <c r="H865" s="1480">
        <f>F865-G865</f>
        <v>0</v>
      </c>
      <c r="I865" s="1480">
        <v>0</v>
      </c>
      <c r="J865" s="1480">
        <v>0</v>
      </c>
      <c r="K865" s="1480"/>
      <c r="L865" s="1480"/>
      <c r="M865" s="1480">
        <f>SUM(J865:L865)</f>
        <v>0</v>
      </c>
      <c r="N865" s="1480">
        <f>H865+I865-M865</f>
        <v>0</v>
      </c>
      <c r="O865" s="1481">
        <f t="shared" si="70"/>
        <v>0</v>
      </c>
      <c r="P865" s="1427">
        <f t="shared" si="71"/>
        <v>0</v>
      </c>
    </row>
    <row r="866" spans="1:16" ht="15.5" outlineLevel="1" x14ac:dyDescent="0.25">
      <c r="A866" s="1482">
        <f t="shared" si="77"/>
        <v>0</v>
      </c>
      <c r="B866" s="1483" t="str">
        <f t="shared" si="77"/>
        <v>IDC</v>
      </c>
      <c r="C866" s="1482" t="str">
        <f t="shared" si="77"/>
        <v>MERC/CAPEX/2019-2020/1214</v>
      </c>
      <c r="D866" s="1390">
        <f t="shared" si="77"/>
        <v>43822</v>
      </c>
      <c r="E866" s="560">
        <f t="shared" si="77"/>
        <v>0.39</v>
      </c>
      <c r="F866" s="1508">
        <f t="shared" si="68"/>
        <v>0</v>
      </c>
      <c r="G866" s="1508">
        <f t="shared" si="69"/>
        <v>0</v>
      </c>
      <c r="H866" s="1508">
        <f t="shared" si="72"/>
        <v>0</v>
      </c>
      <c r="I866" s="1480">
        <v>0</v>
      </c>
      <c r="J866" s="1480">
        <v>0</v>
      </c>
      <c r="K866" s="1508"/>
      <c r="L866" s="1508"/>
      <c r="M866" s="1509">
        <f t="shared" si="73"/>
        <v>0</v>
      </c>
      <c r="N866" s="1508">
        <f t="shared" si="74"/>
        <v>0</v>
      </c>
      <c r="O866" s="1481">
        <f t="shared" si="70"/>
        <v>0</v>
      </c>
      <c r="P866" s="1427">
        <f t="shared" si="71"/>
        <v>0</v>
      </c>
    </row>
    <row r="867" spans="1:16" ht="46.5" outlineLevel="1" x14ac:dyDescent="0.25">
      <c r="A867" s="1486">
        <f t="shared" si="77"/>
        <v>36</v>
      </c>
      <c r="B867" s="1491" t="str">
        <f t="shared" si="77"/>
        <v>Replacement of 220 V Station Battery Sets &amp; UPS Battery Sets of Unit# 5 &amp; 6 and 24 V G1 G2 Battery sets of Unit# 5, 6 &amp; 7 for 500MW Stage-III CSTPS.</v>
      </c>
      <c r="C867" s="1486" t="str">
        <f t="shared" si="77"/>
        <v>MERC/CAPEX/2020-2021/WFH/SBR/32</v>
      </c>
      <c r="D867" s="1487">
        <f t="shared" si="77"/>
        <v>44104</v>
      </c>
      <c r="E867" s="1383">
        <f t="shared" si="77"/>
        <v>18.559999999999999</v>
      </c>
      <c r="F867" s="1480">
        <f t="shared" si="68"/>
        <v>0</v>
      </c>
      <c r="G867" s="1480">
        <f t="shared" si="69"/>
        <v>0</v>
      </c>
      <c r="H867" s="1480">
        <f t="shared" si="72"/>
        <v>0</v>
      </c>
      <c r="I867" s="1480">
        <v>0</v>
      </c>
      <c r="J867" s="1480">
        <v>0</v>
      </c>
      <c r="K867" s="1480"/>
      <c r="L867" s="1480"/>
      <c r="M867" s="1480">
        <f t="shared" si="73"/>
        <v>0</v>
      </c>
      <c r="N867" s="1480">
        <f t="shared" si="74"/>
        <v>0</v>
      </c>
      <c r="O867" s="1481">
        <f t="shared" si="70"/>
        <v>0</v>
      </c>
      <c r="P867" s="1427">
        <f t="shared" si="71"/>
        <v>0</v>
      </c>
    </row>
    <row r="868" spans="1:16" ht="46.5" outlineLevel="1" x14ac:dyDescent="0.25">
      <c r="A868" s="1488">
        <f t="shared" si="77"/>
        <v>36.1</v>
      </c>
      <c r="B868" s="1492" t="str">
        <f t="shared" si="77"/>
        <v>Replacement of 220 V Station Battery Sets &amp; UPS Battery Sets of Unit# 5 &amp; 6 and 24 V G1 G2 Battery sets of Unit# 5, 6 &amp; 7 for 500MW Stage-III, CSTPS.</v>
      </c>
      <c r="C868" s="1488" t="str">
        <f t="shared" si="77"/>
        <v>MERC/CAPEX/2020-2021/WFH/SBR/32</v>
      </c>
      <c r="D868" s="1413">
        <f t="shared" si="77"/>
        <v>44104</v>
      </c>
      <c r="E868" s="560">
        <f t="shared" si="77"/>
        <v>18.32</v>
      </c>
      <c r="F868" s="1508">
        <f t="shared" si="68"/>
        <v>16.224425572000001</v>
      </c>
      <c r="G868" s="1508">
        <f t="shared" si="69"/>
        <v>16.224425572000001</v>
      </c>
      <c r="H868" s="1508">
        <f t="shared" si="72"/>
        <v>0</v>
      </c>
      <c r="I868" s="1480">
        <v>0.54561590000000004</v>
      </c>
      <c r="J868" s="1480">
        <v>0</v>
      </c>
      <c r="K868" s="1508"/>
      <c r="L868" s="1508"/>
      <c r="M868" s="1509">
        <f t="shared" si="73"/>
        <v>0</v>
      </c>
      <c r="N868" s="1508">
        <f t="shared" si="74"/>
        <v>0.54561590000000004</v>
      </c>
      <c r="O868" s="1481">
        <f t="shared" si="70"/>
        <v>0</v>
      </c>
      <c r="P868" s="1427">
        <f t="shared" si="71"/>
        <v>0</v>
      </c>
    </row>
    <row r="869" spans="1:16" ht="31" outlineLevel="1" x14ac:dyDescent="0.25">
      <c r="A869" s="1482">
        <f t="shared" si="77"/>
        <v>0</v>
      </c>
      <c r="B869" s="1483" t="str">
        <f t="shared" si="77"/>
        <v>IDC</v>
      </c>
      <c r="C869" s="1482" t="str">
        <f t="shared" si="77"/>
        <v>MERC/CAPEX/2020-2021/WFH/SBR/32</v>
      </c>
      <c r="D869" s="1390">
        <f t="shared" si="77"/>
        <v>44104</v>
      </c>
      <c r="E869" s="560">
        <f t="shared" si="77"/>
        <v>0.24</v>
      </c>
      <c r="F869" s="1508">
        <f t="shared" si="68"/>
        <v>0</v>
      </c>
      <c r="G869" s="1508">
        <f t="shared" si="69"/>
        <v>0</v>
      </c>
      <c r="H869" s="1508">
        <f t="shared" si="72"/>
        <v>0</v>
      </c>
      <c r="I869" s="1480">
        <v>0</v>
      </c>
      <c r="J869" s="1480">
        <v>0</v>
      </c>
      <c r="K869" s="1508"/>
      <c r="L869" s="1508"/>
      <c r="M869" s="1509">
        <f t="shared" si="73"/>
        <v>0</v>
      </c>
      <c r="N869" s="1508">
        <f t="shared" si="74"/>
        <v>0</v>
      </c>
      <c r="O869" s="1481">
        <f t="shared" si="70"/>
        <v>0</v>
      </c>
      <c r="P869" s="1427">
        <f t="shared" si="71"/>
        <v>0</v>
      </c>
    </row>
    <row r="870" spans="1:16" ht="46.5" outlineLevel="1" x14ac:dyDescent="0.25">
      <c r="A870" s="1486">
        <f t="shared" si="77"/>
        <v>37</v>
      </c>
      <c r="B870" s="1491" t="str">
        <f t="shared" si="77"/>
        <v>Flue Gas Desulphurization (FGD) System for 500 MW UnitS (Total 8 Nos) of MSPGCL
(Chandrapur Unit # 5-7)</v>
      </c>
      <c r="C870" s="1486" t="str">
        <f t="shared" si="77"/>
        <v>MERC/CAPEX/2020-2021/WFH/SBR/43</v>
      </c>
      <c r="D870" s="1487">
        <f t="shared" si="77"/>
        <v>44179</v>
      </c>
      <c r="E870" s="1383">
        <f t="shared" si="77"/>
        <v>656.25</v>
      </c>
      <c r="F870" s="1480">
        <f t="shared" si="68"/>
        <v>0</v>
      </c>
      <c r="G870" s="1480">
        <f t="shared" si="69"/>
        <v>0</v>
      </c>
      <c r="H870" s="1480">
        <f t="shared" si="72"/>
        <v>0</v>
      </c>
      <c r="I870" s="1480">
        <v>0</v>
      </c>
      <c r="J870" s="1480">
        <v>0</v>
      </c>
      <c r="K870" s="1480"/>
      <c r="L870" s="1480"/>
      <c r="M870" s="1480">
        <f t="shared" si="73"/>
        <v>0</v>
      </c>
      <c r="N870" s="1480">
        <f t="shared" si="74"/>
        <v>0</v>
      </c>
      <c r="O870" s="1481">
        <f t="shared" si="70"/>
        <v>0</v>
      </c>
      <c r="P870" s="1427">
        <f t="shared" si="71"/>
        <v>0</v>
      </c>
    </row>
    <row r="871" spans="1:16" ht="46.5" outlineLevel="1" x14ac:dyDescent="0.25">
      <c r="A871" s="1488">
        <f t="shared" si="77"/>
        <v>37.1</v>
      </c>
      <c r="B871" s="1492" t="str">
        <f t="shared" si="77"/>
        <v>Flue Gas Desulphurization (FGD) System for 500 MW UnitS (Total 8 Nos) of MSPGCL
(Chandrapur Unit # 5-7)</v>
      </c>
      <c r="C871" s="1488" t="str">
        <f t="shared" si="77"/>
        <v>MERC/CAPEX/2020-2021/WFH/SBR/43</v>
      </c>
      <c r="D871" s="1413">
        <f t="shared" si="77"/>
        <v>44179</v>
      </c>
      <c r="E871" s="560">
        <f t="shared" si="77"/>
        <v>602.58000000000004</v>
      </c>
      <c r="F871" s="1508">
        <f t="shared" si="68"/>
        <v>0</v>
      </c>
      <c r="G871" s="1508">
        <f t="shared" si="69"/>
        <v>0</v>
      </c>
      <c r="H871" s="1508">
        <f t="shared" si="72"/>
        <v>0</v>
      </c>
      <c r="I871" s="1480">
        <v>0</v>
      </c>
      <c r="J871" s="1480">
        <v>0</v>
      </c>
      <c r="K871" s="1508"/>
      <c r="L871" s="1508"/>
      <c r="M871" s="1509">
        <f t="shared" si="73"/>
        <v>0</v>
      </c>
      <c r="N871" s="1508">
        <f t="shared" si="74"/>
        <v>0</v>
      </c>
      <c r="O871" s="1481">
        <f t="shared" si="70"/>
        <v>0</v>
      </c>
      <c r="P871" s="1427">
        <f t="shared" si="71"/>
        <v>0</v>
      </c>
    </row>
    <row r="872" spans="1:16" ht="31" outlineLevel="1" x14ac:dyDescent="0.25">
      <c r="A872" s="1488">
        <f t="shared" ref="A872:E887" si="78">A202</f>
        <v>0</v>
      </c>
      <c r="B872" s="1492" t="str">
        <f t="shared" si="78"/>
        <v>IDC</v>
      </c>
      <c r="C872" s="1488" t="str">
        <f t="shared" si="78"/>
        <v>MERC/CAPEX/2020-2021/WFH/SBR/43</v>
      </c>
      <c r="D872" s="1413">
        <f t="shared" si="78"/>
        <v>44179</v>
      </c>
      <c r="E872" s="560">
        <f t="shared" si="78"/>
        <v>53.67</v>
      </c>
      <c r="F872" s="1508">
        <f t="shared" ref="F872:F935" si="79">F202+I202</f>
        <v>0</v>
      </c>
      <c r="G872" s="1508">
        <f t="shared" ref="G872:G935" si="80">G202+M202</f>
        <v>0</v>
      </c>
      <c r="H872" s="1508">
        <f t="shared" si="72"/>
        <v>0</v>
      </c>
      <c r="I872" s="1480">
        <v>0</v>
      </c>
      <c r="J872" s="1480">
        <v>0</v>
      </c>
      <c r="K872" s="1508"/>
      <c r="L872" s="1508"/>
      <c r="M872" s="1509">
        <f t="shared" si="73"/>
        <v>0</v>
      </c>
      <c r="N872" s="1508">
        <f t="shared" si="74"/>
        <v>0</v>
      </c>
      <c r="O872" s="1481">
        <f t="shared" ref="O872:O960" si="81">MAX(0,IF(M872=0,0,IF(G872+M872&lt;E872,M872,E872-G872)))</f>
        <v>0</v>
      </c>
      <c r="P872" s="1427">
        <f t="shared" ref="P872:P960" si="82">M872-O872</f>
        <v>0</v>
      </c>
    </row>
    <row r="873" spans="1:16" ht="31" outlineLevel="1" x14ac:dyDescent="0.25">
      <c r="A873" s="1486">
        <f t="shared" si="78"/>
        <v>38</v>
      </c>
      <c r="B873" s="1491" t="str">
        <f t="shared" si="78"/>
        <v>Replacement of ECO and LTSH coils to Unit-4 Chandrapur (Parli DPR)</v>
      </c>
      <c r="C873" s="1486" t="str">
        <f t="shared" si="78"/>
        <v xml:space="preserve">MERC/TECH1/CAPEX/20142015/01526 </v>
      </c>
      <c r="D873" s="1487">
        <f t="shared" si="78"/>
        <v>42033</v>
      </c>
      <c r="E873" s="1383">
        <f t="shared" si="78"/>
        <v>10</v>
      </c>
      <c r="F873" s="1480">
        <f t="shared" si="79"/>
        <v>0</v>
      </c>
      <c r="G873" s="1480">
        <f t="shared" si="80"/>
        <v>0</v>
      </c>
      <c r="H873" s="1480">
        <f t="shared" ref="H873:H961" si="83">F873-G873</f>
        <v>0</v>
      </c>
      <c r="I873" s="1480">
        <v>0</v>
      </c>
      <c r="J873" s="1480">
        <v>0</v>
      </c>
      <c r="K873" s="1480"/>
      <c r="L873" s="1480"/>
      <c r="M873" s="1480">
        <f t="shared" ref="M873:M961" si="84">SUM(J873:L873)</f>
        <v>0</v>
      </c>
      <c r="N873" s="1480">
        <f t="shared" ref="N873:N961" si="85">H873+I873-M873</f>
        <v>0</v>
      </c>
      <c r="O873" s="1481">
        <f t="shared" si="81"/>
        <v>0</v>
      </c>
      <c r="P873" s="1427">
        <f t="shared" si="82"/>
        <v>0</v>
      </c>
    </row>
    <row r="874" spans="1:16" ht="31" outlineLevel="1" x14ac:dyDescent="0.25">
      <c r="A874" s="1488">
        <f t="shared" si="78"/>
        <v>0</v>
      </c>
      <c r="B874" s="1492" t="str">
        <f t="shared" si="78"/>
        <v>Replacement of ECO and LTSH coils to Unit-4 Chandrapur</v>
      </c>
      <c r="C874" s="1493" t="str">
        <f t="shared" si="78"/>
        <v xml:space="preserve">MERC/TECH1/CAPEX/20142015/01526 </v>
      </c>
      <c r="D874" s="1494">
        <f t="shared" si="78"/>
        <v>42033</v>
      </c>
      <c r="E874" s="560">
        <f t="shared" si="78"/>
        <v>9.4</v>
      </c>
      <c r="F874" s="1508">
        <f t="shared" si="79"/>
        <v>0</v>
      </c>
      <c r="G874" s="1508">
        <f t="shared" si="80"/>
        <v>0</v>
      </c>
      <c r="H874" s="1508">
        <f t="shared" si="83"/>
        <v>0</v>
      </c>
      <c r="I874" s="1480">
        <v>9.3998608000000008</v>
      </c>
      <c r="J874" s="1480">
        <v>9.3998608000000008</v>
      </c>
      <c r="K874" s="1508"/>
      <c r="L874" s="1508"/>
      <c r="M874" s="1509">
        <f t="shared" si="84"/>
        <v>9.3998608000000008</v>
      </c>
      <c r="N874" s="1508">
        <f t="shared" si="85"/>
        <v>0</v>
      </c>
      <c r="O874" s="1481">
        <f t="shared" si="81"/>
        <v>9.3998608000000008</v>
      </c>
      <c r="P874" s="1427">
        <f t="shared" si="82"/>
        <v>0</v>
      </c>
    </row>
    <row r="875" spans="1:16" ht="31" outlineLevel="1" x14ac:dyDescent="0.25">
      <c r="A875" s="1488">
        <f t="shared" si="78"/>
        <v>0</v>
      </c>
      <c r="B875" s="1492" t="str">
        <f t="shared" si="78"/>
        <v>IDC</v>
      </c>
      <c r="C875" s="1493" t="str">
        <f t="shared" si="78"/>
        <v xml:space="preserve">MERC/TECH1/CAPEX/20142015/01526 </v>
      </c>
      <c r="D875" s="1494">
        <f t="shared" si="78"/>
        <v>42033</v>
      </c>
      <c r="E875" s="560">
        <f t="shared" si="78"/>
        <v>0.6</v>
      </c>
      <c r="F875" s="1508">
        <f t="shared" si="79"/>
        <v>0</v>
      </c>
      <c r="G875" s="1508">
        <f t="shared" si="80"/>
        <v>0</v>
      </c>
      <c r="H875" s="1508">
        <f t="shared" si="83"/>
        <v>0</v>
      </c>
      <c r="I875" s="1480">
        <v>0</v>
      </c>
      <c r="J875" s="1480">
        <v>0</v>
      </c>
      <c r="K875" s="1508"/>
      <c r="L875" s="1508"/>
      <c r="M875" s="1509">
        <f t="shared" si="84"/>
        <v>0</v>
      </c>
      <c r="N875" s="1508">
        <f t="shared" si="85"/>
        <v>0</v>
      </c>
      <c r="O875" s="1481">
        <f t="shared" si="81"/>
        <v>0</v>
      </c>
      <c r="P875" s="1427">
        <f t="shared" si="82"/>
        <v>0</v>
      </c>
    </row>
    <row r="876" spans="1:16" ht="31" outlineLevel="1" x14ac:dyDescent="0.25">
      <c r="A876" s="1486">
        <f t="shared" si="78"/>
        <v>39</v>
      </c>
      <c r="B876" s="1491" t="str">
        <f t="shared" si="78"/>
        <v>Supply of complete gear box assembly for XRP-1043 coal mill at U-5 &amp;  U-6 for FY 2019-20 &amp; FY 20-21 at CSTPS, Chandrapur</v>
      </c>
      <c r="C876" s="1486" t="str">
        <f t="shared" si="78"/>
        <v>MERC/CAPEX/2020-2021/WFH/SBR/05</v>
      </c>
      <c r="D876" s="1487">
        <f t="shared" si="78"/>
        <v>44335</v>
      </c>
      <c r="E876" s="1383">
        <f t="shared" si="78"/>
        <v>21.53</v>
      </c>
      <c r="F876" s="1480">
        <f t="shared" si="79"/>
        <v>0</v>
      </c>
      <c r="G876" s="1480">
        <f t="shared" si="80"/>
        <v>0</v>
      </c>
      <c r="H876" s="1480">
        <f t="shared" si="83"/>
        <v>0</v>
      </c>
      <c r="I876" s="1480">
        <v>0</v>
      </c>
      <c r="J876" s="1480">
        <v>0</v>
      </c>
      <c r="K876" s="1480"/>
      <c r="L876" s="1480"/>
      <c r="M876" s="1480">
        <f t="shared" si="84"/>
        <v>0</v>
      </c>
      <c r="N876" s="1480">
        <f t="shared" si="85"/>
        <v>0</v>
      </c>
      <c r="O876" s="1481">
        <f t="shared" si="81"/>
        <v>0</v>
      </c>
      <c r="P876" s="1427">
        <f t="shared" si="82"/>
        <v>0</v>
      </c>
    </row>
    <row r="877" spans="1:16" ht="77.5" outlineLevel="1" x14ac:dyDescent="0.25">
      <c r="A877" s="1488">
        <f t="shared" si="78"/>
        <v>39.1</v>
      </c>
      <c r="B877" s="1492" t="str">
        <f t="shared" si="78"/>
        <v>Supply of complete gear box assembly for XRP-1043coal mill unit
5&amp;6and complete lub oil system of XRP-1043Coal Mill in Unit-5&amp;6.
(Qty. 02 nos. one for each unit)</v>
      </c>
      <c r="C877" s="1488" t="str">
        <f t="shared" si="78"/>
        <v>MERC/CAPEX/2020-2021/WFH/SBR/05</v>
      </c>
      <c r="D877" s="1413">
        <f t="shared" si="78"/>
        <v>44335</v>
      </c>
      <c r="E877" s="560">
        <f t="shared" si="78"/>
        <v>21.02</v>
      </c>
      <c r="F877" s="1508">
        <f t="shared" si="79"/>
        <v>0</v>
      </c>
      <c r="G877" s="1508">
        <f t="shared" si="80"/>
        <v>0</v>
      </c>
      <c r="H877" s="1508">
        <f t="shared" si="83"/>
        <v>0</v>
      </c>
      <c r="I877" s="1480">
        <v>9.9520900000000001</v>
      </c>
      <c r="J877" s="1480">
        <v>9.9520900000000001</v>
      </c>
      <c r="K877" s="1508"/>
      <c r="L877" s="1508"/>
      <c r="M877" s="1509">
        <f t="shared" si="84"/>
        <v>9.9520900000000001</v>
      </c>
      <c r="N877" s="1508">
        <f t="shared" si="85"/>
        <v>0</v>
      </c>
      <c r="O877" s="1481">
        <f t="shared" si="81"/>
        <v>9.9520900000000001</v>
      </c>
      <c r="P877" s="1427">
        <f t="shared" si="82"/>
        <v>0</v>
      </c>
    </row>
    <row r="878" spans="1:16" ht="31" outlineLevel="1" x14ac:dyDescent="0.25">
      <c r="A878" s="1488">
        <f t="shared" si="78"/>
        <v>0</v>
      </c>
      <c r="B878" s="1492" t="str">
        <f t="shared" si="78"/>
        <v>IDC</v>
      </c>
      <c r="C878" s="1488" t="str">
        <f t="shared" si="78"/>
        <v>MERC/CAPEX/2020-2021/WFH/SBR/05</v>
      </c>
      <c r="D878" s="1413">
        <f t="shared" si="78"/>
        <v>44335</v>
      </c>
      <c r="E878" s="560">
        <f t="shared" si="78"/>
        <v>0.51</v>
      </c>
      <c r="F878" s="1508">
        <f t="shared" si="79"/>
        <v>0</v>
      </c>
      <c r="G878" s="1508">
        <f t="shared" si="80"/>
        <v>0</v>
      </c>
      <c r="H878" s="1508">
        <f t="shared" si="83"/>
        <v>0</v>
      </c>
      <c r="I878" s="1480">
        <v>0</v>
      </c>
      <c r="J878" s="1480">
        <v>0</v>
      </c>
      <c r="K878" s="1508"/>
      <c r="L878" s="1508"/>
      <c r="M878" s="1509">
        <f t="shared" si="84"/>
        <v>0</v>
      </c>
      <c r="N878" s="1508">
        <f t="shared" si="85"/>
        <v>0</v>
      </c>
      <c r="O878" s="1481">
        <f t="shared" si="81"/>
        <v>0</v>
      </c>
      <c r="P878" s="1427">
        <f t="shared" si="82"/>
        <v>0</v>
      </c>
    </row>
    <row r="879" spans="1:16" ht="31" outlineLevel="1" x14ac:dyDescent="0.25">
      <c r="A879" s="1477" t="str">
        <f t="shared" si="78"/>
        <v>HO
DPR 1</v>
      </c>
      <c r="B879" s="1478" t="str">
        <f t="shared" si="78"/>
        <v>AFGC/DFGC SYSTEM 210MW</v>
      </c>
      <c r="C879" s="1477" t="str">
        <f t="shared" si="78"/>
        <v>MERC/CAP/DPR/10/07/1149</v>
      </c>
      <c r="D879" s="1479">
        <f t="shared" si="78"/>
        <v>39232</v>
      </c>
      <c r="E879" s="1383">
        <f t="shared" si="78"/>
        <v>9.6</v>
      </c>
      <c r="F879" s="1480">
        <f t="shared" si="79"/>
        <v>0</v>
      </c>
      <c r="G879" s="1480">
        <f t="shared" si="80"/>
        <v>0</v>
      </c>
      <c r="H879" s="1480">
        <f t="shared" si="83"/>
        <v>0</v>
      </c>
      <c r="I879" s="1480">
        <v>0</v>
      </c>
      <c r="J879" s="1480">
        <v>0</v>
      </c>
      <c r="K879" s="1480"/>
      <c r="L879" s="1480"/>
      <c r="M879" s="1480">
        <f t="shared" si="84"/>
        <v>0</v>
      </c>
      <c r="N879" s="1480">
        <f t="shared" si="85"/>
        <v>0</v>
      </c>
      <c r="O879" s="1481">
        <f t="shared" si="81"/>
        <v>0</v>
      </c>
      <c r="P879" s="1427">
        <f t="shared" si="82"/>
        <v>0</v>
      </c>
    </row>
    <row r="880" spans="1:16" ht="31" outlineLevel="1" x14ac:dyDescent="0.25">
      <c r="A880" s="1482" t="str">
        <f t="shared" si="78"/>
        <v>HO
DPR 1.1</v>
      </c>
      <c r="B880" s="1483" t="str">
        <f t="shared" si="78"/>
        <v>CSTPS U-1,2&amp;4</v>
      </c>
      <c r="C880" s="1482" t="str">
        <f t="shared" si="78"/>
        <v>MERC/CAP/DPR/10/07/1149</v>
      </c>
      <c r="D880" s="1390">
        <f t="shared" si="78"/>
        <v>39232</v>
      </c>
      <c r="E880" s="560">
        <f t="shared" si="78"/>
        <v>9.6</v>
      </c>
      <c r="F880" s="1508">
        <f t="shared" si="79"/>
        <v>4.9831317769999997</v>
      </c>
      <c r="G880" s="1508">
        <f t="shared" si="80"/>
        <v>4.9831317769999997</v>
      </c>
      <c r="H880" s="1508">
        <f t="shared" si="83"/>
        <v>0</v>
      </c>
      <c r="I880" s="1480">
        <v>0</v>
      </c>
      <c r="J880" s="1480">
        <v>0</v>
      </c>
      <c r="K880" s="1508"/>
      <c r="L880" s="1508"/>
      <c r="M880" s="1509">
        <f t="shared" si="84"/>
        <v>0</v>
      </c>
      <c r="N880" s="1508">
        <f t="shared" si="85"/>
        <v>0</v>
      </c>
      <c r="O880" s="1481">
        <f t="shared" si="81"/>
        <v>0</v>
      </c>
      <c r="P880" s="1427">
        <f t="shared" si="82"/>
        <v>0</v>
      </c>
    </row>
    <row r="881" spans="1:16" ht="31" outlineLevel="1" x14ac:dyDescent="0.25">
      <c r="A881" s="1477" t="str">
        <f t="shared" si="78"/>
        <v>HO
DPR 4</v>
      </c>
      <c r="B881" s="1478" t="str">
        <f t="shared" si="78"/>
        <v>Construction of coal platform for Chandrapur TPS, Khaperkheda TPS &amp; Parli TPS</v>
      </c>
      <c r="C881" s="1477" t="str">
        <f t="shared" si="78"/>
        <v>MERC/TECH 1/CAPEX/20132014/00827</v>
      </c>
      <c r="D881" s="1479">
        <f t="shared" si="78"/>
        <v>41464</v>
      </c>
      <c r="E881" s="1383">
        <f t="shared" si="78"/>
        <v>10.36</v>
      </c>
      <c r="F881" s="1480">
        <f t="shared" si="79"/>
        <v>0</v>
      </c>
      <c r="G881" s="1480">
        <f t="shared" si="80"/>
        <v>0</v>
      </c>
      <c r="H881" s="1480">
        <f t="shared" si="83"/>
        <v>0</v>
      </c>
      <c r="I881" s="1480">
        <v>0</v>
      </c>
      <c r="J881" s="1480">
        <v>0</v>
      </c>
      <c r="K881" s="1480"/>
      <c r="L881" s="1480"/>
      <c r="M881" s="1480">
        <f t="shared" si="84"/>
        <v>0</v>
      </c>
      <c r="N881" s="1480">
        <f t="shared" si="85"/>
        <v>0</v>
      </c>
      <c r="O881" s="1481">
        <f t="shared" si="81"/>
        <v>0</v>
      </c>
      <c r="P881" s="1427">
        <f t="shared" si="82"/>
        <v>0</v>
      </c>
    </row>
    <row r="882" spans="1:16" ht="31" outlineLevel="1" x14ac:dyDescent="0.25">
      <c r="A882" s="1482" t="str">
        <f t="shared" si="78"/>
        <v>HO
DPR 4.1</v>
      </c>
      <c r="B882" s="1483" t="str">
        <f t="shared" si="78"/>
        <v>Chandrapur TPS</v>
      </c>
      <c r="C882" s="1482" t="str">
        <f t="shared" si="78"/>
        <v>MERC/TECH 1/CAPEX/20132014/00827</v>
      </c>
      <c r="D882" s="1390">
        <f t="shared" si="78"/>
        <v>41464</v>
      </c>
      <c r="E882" s="560">
        <f t="shared" si="78"/>
        <v>10.36</v>
      </c>
      <c r="F882" s="1508">
        <f t="shared" si="79"/>
        <v>0</v>
      </c>
      <c r="G882" s="1508">
        <f t="shared" si="80"/>
        <v>0</v>
      </c>
      <c r="H882" s="1508">
        <f t="shared" si="83"/>
        <v>0</v>
      </c>
      <c r="I882" s="1480">
        <v>0</v>
      </c>
      <c r="J882" s="1480">
        <v>0</v>
      </c>
      <c r="K882" s="1508"/>
      <c r="L882" s="1508"/>
      <c r="M882" s="1509">
        <f t="shared" si="84"/>
        <v>0</v>
      </c>
      <c r="N882" s="1508">
        <f t="shared" si="85"/>
        <v>0</v>
      </c>
      <c r="O882" s="1481">
        <f t="shared" si="81"/>
        <v>0</v>
      </c>
      <c r="P882" s="1427">
        <f t="shared" si="82"/>
        <v>0</v>
      </c>
    </row>
    <row r="883" spans="1:16" ht="31" outlineLevel="1" x14ac:dyDescent="0.25">
      <c r="A883" s="1482">
        <f t="shared" si="78"/>
        <v>0</v>
      </c>
      <c r="B883" s="1483" t="str">
        <f t="shared" si="78"/>
        <v>IDC</v>
      </c>
      <c r="C883" s="1482" t="str">
        <f t="shared" si="78"/>
        <v>MERC/TECH 1/CAPEX/20132014/00827</v>
      </c>
      <c r="D883" s="1390">
        <f t="shared" si="78"/>
        <v>41464</v>
      </c>
      <c r="E883" s="560">
        <f t="shared" si="78"/>
        <v>0</v>
      </c>
      <c r="F883" s="1508">
        <f t="shared" si="79"/>
        <v>0</v>
      </c>
      <c r="G883" s="1508">
        <f t="shared" si="80"/>
        <v>0</v>
      </c>
      <c r="H883" s="1508">
        <f t="shared" si="83"/>
        <v>0</v>
      </c>
      <c r="I883" s="1480">
        <v>0</v>
      </c>
      <c r="J883" s="1480">
        <v>0</v>
      </c>
      <c r="K883" s="1508"/>
      <c r="L883" s="1508"/>
      <c r="M883" s="1509">
        <f t="shared" si="84"/>
        <v>0</v>
      </c>
      <c r="N883" s="1508">
        <f t="shared" si="85"/>
        <v>0</v>
      </c>
      <c r="O883" s="1481">
        <f t="shared" si="81"/>
        <v>0</v>
      </c>
      <c r="P883" s="1427">
        <f t="shared" si="82"/>
        <v>0</v>
      </c>
    </row>
    <row r="884" spans="1:16" ht="46.5" outlineLevel="1" x14ac:dyDescent="0.25">
      <c r="A884" s="1477" t="str">
        <f t="shared" si="78"/>
        <v>HO
DPR 5</v>
      </c>
      <c r="B884" s="1478" t="str">
        <f t="shared" si="78"/>
        <v>Procurement of energy efficient HT motors at Bhusawal TPS, Koradi TPS, Chandrapur TPS, khaperkheda TPS, Parli TPS &amp; Paras TPS as insurance spares</v>
      </c>
      <c r="C884" s="1477" t="str">
        <f t="shared" si="78"/>
        <v>MERC/TECH 1/CAPEX/20142015/01218</v>
      </c>
      <c r="D884" s="1479">
        <f t="shared" si="78"/>
        <v>41968</v>
      </c>
      <c r="E884" s="1383">
        <f t="shared" si="78"/>
        <v>16.956</v>
      </c>
      <c r="F884" s="1480">
        <f t="shared" si="79"/>
        <v>0</v>
      </c>
      <c r="G884" s="1480">
        <f t="shared" si="80"/>
        <v>0</v>
      </c>
      <c r="H884" s="1480">
        <f t="shared" si="83"/>
        <v>0</v>
      </c>
      <c r="I884" s="1480">
        <v>0</v>
      </c>
      <c r="J884" s="1480">
        <v>0</v>
      </c>
      <c r="K884" s="1480"/>
      <c r="L884" s="1480"/>
      <c r="M884" s="1480">
        <f t="shared" si="84"/>
        <v>0</v>
      </c>
      <c r="N884" s="1480">
        <f t="shared" si="85"/>
        <v>0</v>
      </c>
      <c r="O884" s="1481">
        <f t="shared" si="81"/>
        <v>0</v>
      </c>
      <c r="P884" s="1427">
        <f t="shared" si="82"/>
        <v>0</v>
      </c>
    </row>
    <row r="885" spans="1:16" ht="46.5" outlineLevel="1" x14ac:dyDescent="0.25">
      <c r="A885" s="1482" t="str">
        <f t="shared" si="78"/>
        <v>HO
DPR 5.3a</v>
      </c>
      <c r="B885" s="1483" t="str">
        <f t="shared" si="78"/>
        <v>CSTPS (U-3/4, 210 MW, 7Nos)</v>
      </c>
      <c r="C885" s="1482" t="str">
        <f t="shared" si="78"/>
        <v>MERC/TECH 1/CAPEX/20142015/01218</v>
      </c>
      <c r="D885" s="1390">
        <f t="shared" si="78"/>
        <v>41968</v>
      </c>
      <c r="E885" s="560">
        <f t="shared" si="78"/>
        <v>5.7060000000000004</v>
      </c>
      <c r="F885" s="1508">
        <f t="shared" si="79"/>
        <v>0.90661499000000001</v>
      </c>
      <c r="G885" s="1508">
        <f t="shared" si="80"/>
        <v>0.90661499000000001</v>
      </c>
      <c r="H885" s="1508">
        <f t="shared" si="83"/>
        <v>0</v>
      </c>
      <c r="I885" s="1480">
        <v>0</v>
      </c>
      <c r="J885" s="1480">
        <v>0</v>
      </c>
      <c r="K885" s="1508"/>
      <c r="L885" s="1508"/>
      <c r="M885" s="1509">
        <f t="shared" si="84"/>
        <v>0</v>
      </c>
      <c r="N885" s="1508">
        <f t="shared" si="85"/>
        <v>0</v>
      </c>
      <c r="O885" s="1481">
        <f t="shared" si="81"/>
        <v>0</v>
      </c>
      <c r="P885" s="1427">
        <f t="shared" si="82"/>
        <v>0</v>
      </c>
    </row>
    <row r="886" spans="1:16" ht="46.5" outlineLevel="1" x14ac:dyDescent="0.25">
      <c r="A886" s="1482" t="str">
        <f t="shared" si="78"/>
        <v>HO
DPR 5.3b</v>
      </c>
      <c r="B886" s="1483" t="str">
        <f t="shared" si="78"/>
        <v>CSTPS (U-5/6/7, 500 MW, 11Nos)</v>
      </c>
      <c r="C886" s="1482" t="str">
        <f t="shared" si="78"/>
        <v>MERC/TECH 1/CAPEX/20142015/01218</v>
      </c>
      <c r="D886" s="1390">
        <f t="shared" si="78"/>
        <v>41968</v>
      </c>
      <c r="E886" s="560">
        <f t="shared" si="78"/>
        <v>11.25</v>
      </c>
      <c r="F886" s="1508">
        <f t="shared" si="79"/>
        <v>5.7542039999999997</v>
      </c>
      <c r="G886" s="1508">
        <f t="shared" si="80"/>
        <v>5.7542039999999997</v>
      </c>
      <c r="H886" s="1508">
        <f t="shared" si="83"/>
        <v>0</v>
      </c>
      <c r="I886" s="1480">
        <v>0</v>
      </c>
      <c r="J886" s="1480">
        <v>0</v>
      </c>
      <c r="K886" s="1508"/>
      <c r="L886" s="1508"/>
      <c r="M886" s="1509">
        <f t="shared" si="84"/>
        <v>0</v>
      </c>
      <c r="N886" s="1508">
        <f t="shared" si="85"/>
        <v>0</v>
      </c>
      <c r="O886" s="1481">
        <f t="shared" si="81"/>
        <v>0</v>
      </c>
      <c r="P886" s="1427">
        <f t="shared" si="82"/>
        <v>0</v>
      </c>
    </row>
    <row r="887" spans="1:16" ht="46.5" outlineLevel="1" x14ac:dyDescent="0.25">
      <c r="A887" s="1477" t="str">
        <f t="shared" si="78"/>
        <v>HO
DPR 6</v>
      </c>
      <c r="B887" s="1478" t="str">
        <f t="shared" si="78"/>
        <v>Supply, Installation, Commissioning and Operation &amp; Maintenance Services of Continuous Ambient Air Quality Monitoring Stations (CAAQMS) at various TPS</v>
      </c>
      <c r="C887" s="1477" t="str">
        <f t="shared" si="78"/>
        <v>MERC/CAPEX/20162017/00423</v>
      </c>
      <c r="D887" s="1479">
        <f t="shared" si="78"/>
        <v>42585</v>
      </c>
      <c r="E887" s="1383">
        <f t="shared" si="78"/>
        <v>1.3257526714285714</v>
      </c>
      <c r="F887" s="1480">
        <f t="shared" si="79"/>
        <v>0</v>
      </c>
      <c r="G887" s="1480">
        <f t="shared" si="80"/>
        <v>0</v>
      </c>
      <c r="H887" s="1480">
        <f t="shared" si="83"/>
        <v>0</v>
      </c>
      <c r="I887" s="1480">
        <v>0</v>
      </c>
      <c r="J887" s="1480">
        <v>0</v>
      </c>
      <c r="K887" s="1480"/>
      <c r="L887" s="1480"/>
      <c r="M887" s="1480">
        <f t="shared" si="84"/>
        <v>0</v>
      </c>
      <c r="N887" s="1480">
        <f t="shared" si="85"/>
        <v>0</v>
      </c>
      <c r="O887" s="1481">
        <f t="shared" si="81"/>
        <v>0</v>
      </c>
      <c r="P887" s="1427">
        <f t="shared" si="82"/>
        <v>0</v>
      </c>
    </row>
    <row r="888" spans="1:16" ht="31" outlineLevel="1" x14ac:dyDescent="0.25">
      <c r="A888" s="1482" t="str">
        <f t="shared" ref="A888:E903" si="86">A218</f>
        <v>HO
DPR 6.1</v>
      </c>
      <c r="B888" s="1483" t="str">
        <f t="shared" si="86"/>
        <v>CSTPS (U-1 to 7) ( 1 Nos.)</v>
      </c>
      <c r="C888" s="1482" t="str">
        <f t="shared" si="86"/>
        <v>MERC/CAPEX/20162017/00423</v>
      </c>
      <c r="D888" s="1390">
        <f t="shared" si="86"/>
        <v>42585</v>
      </c>
      <c r="E888" s="560">
        <f t="shared" si="86"/>
        <v>1.3257526714285714</v>
      </c>
      <c r="F888" s="1508">
        <f t="shared" si="79"/>
        <v>0</v>
      </c>
      <c r="G888" s="1508">
        <f t="shared" si="80"/>
        <v>0</v>
      </c>
      <c r="H888" s="1508">
        <f t="shared" si="83"/>
        <v>0</v>
      </c>
      <c r="I888" s="1480">
        <v>0</v>
      </c>
      <c r="J888" s="1480">
        <v>0</v>
      </c>
      <c r="K888" s="1508"/>
      <c r="L888" s="1508"/>
      <c r="M888" s="1509">
        <f t="shared" si="84"/>
        <v>0</v>
      </c>
      <c r="N888" s="1508">
        <f t="shared" si="85"/>
        <v>0</v>
      </c>
      <c r="O888" s="1481">
        <f t="shared" si="81"/>
        <v>0</v>
      </c>
      <c r="P888" s="1427">
        <f t="shared" si="82"/>
        <v>0</v>
      </c>
    </row>
    <row r="889" spans="1:16" ht="31" outlineLevel="1" x14ac:dyDescent="0.25">
      <c r="A889" s="1486" t="str">
        <f t="shared" si="86"/>
        <v>HO
DPR 7</v>
      </c>
      <c r="B889" s="1491" t="str">
        <f t="shared" si="86"/>
        <v>Installation of Real Time Online Coal-Ash Analyzer at various TPS</v>
      </c>
      <c r="C889" s="1477" t="str">
        <f t="shared" si="86"/>
        <v>MERC/CAPEX/20162017/00774</v>
      </c>
      <c r="D889" s="1479">
        <f t="shared" si="86"/>
        <v>42643</v>
      </c>
      <c r="E889" s="1383">
        <f t="shared" si="86"/>
        <v>7.0965999999999996</v>
      </c>
      <c r="F889" s="1480">
        <f t="shared" si="79"/>
        <v>0</v>
      </c>
      <c r="G889" s="1480">
        <f t="shared" si="80"/>
        <v>0</v>
      </c>
      <c r="H889" s="1480">
        <f t="shared" si="83"/>
        <v>0</v>
      </c>
      <c r="I889" s="1480">
        <v>0</v>
      </c>
      <c r="J889" s="1480">
        <v>0</v>
      </c>
      <c r="K889" s="1480"/>
      <c r="L889" s="1480"/>
      <c r="M889" s="1480">
        <f t="shared" si="84"/>
        <v>0</v>
      </c>
      <c r="N889" s="1480">
        <f t="shared" si="85"/>
        <v>0</v>
      </c>
      <c r="O889" s="1481">
        <f t="shared" si="81"/>
        <v>0</v>
      </c>
      <c r="P889" s="1427">
        <f t="shared" si="82"/>
        <v>0</v>
      </c>
    </row>
    <row r="890" spans="1:16" ht="31" outlineLevel="1" x14ac:dyDescent="0.25">
      <c r="A890" s="1488" t="str">
        <f t="shared" si="86"/>
        <v>HO
DPR 7.1</v>
      </c>
      <c r="B890" s="1492" t="str">
        <f t="shared" si="86"/>
        <v>Chandrapur STPS</v>
      </c>
      <c r="C890" s="1482" t="str">
        <f t="shared" si="86"/>
        <v>MERC/CAPEX/20162017/00774</v>
      </c>
      <c r="D890" s="1390">
        <f t="shared" si="86"/>
        <v>42643</v>
      </c>
      <c r="E890" s="560">
        <f t="shared" si="86"/>
        <v>7.0965999999999996</v>
      </c>
      <c r="F890" s="1508">
        <f t="shared" si="79"/>
        <v>0</v>
      </c>
      <c r="G890" s="1508">
        <f t="shared" si="80"/>
        <v>0</v>
      </c>
      <c r="H890" s="1508">
        <f t="shared" si="83"/>
        <v>0</v>
      </c>
      <c r="I890" s="1480">
        <v>0</v>
      </c>
      <c r="J890" s="1480">
        <v>0</v>
      </c>
      <c r="K890" s="1508"/>
      <c r="L890" s="1508"/>
      <c r="M890" s="1509">
        <f t="shared" si="84"/>
        <v>0</v>
      </c>
      <c r="N890" s="1508">
        <f t="shared" si="85"/>
        <v>0</v>
      </c>
      <c r="O890" s="1481">
        <f t="shared" si="81"/>
        <v>0</v>
      </c>
      <c r="P890" s="1427">
        <f t="shared" si="82"/>
        <v>0</v>
      </c>
    </row>
    <row r="891" spans="1:16" ht="31" outlineLevel="1" x14ac:dyDescent="0.25">
      <c r="A891" s="1489" t="str">
        <f t="shared" si="86"/>
        <v>HO
DPR 8</v>
      </c>
      <c r="B891" s="1490" t="str">
        <f t="shared" si="86"/>
        <v>Replacement of Fire Tenders at Various Power Stations of Mahagenco</v>
      </c>
      <c r="C891" s="1477" t="str">
        <f t="shared" si="86"/>
        <v>MERC/CAPEX/20172018/4653</v>
      </c>
      <c r="D891" s="1479">
        <f t="shared" si="86"/>
        <v>43052</v>
      </c>
      <c r="E891" s="1383">
        <f t="shared" si="86"/>
        <v>4.1500000000000004</v>
      </c>
      <c r="F891" s="1480">
        <f t="shared" si="79"/>
        <v>0</v>
      </c>
      <c r="G891" s="1480">
        <f t="shared" si="80"/>
        <v>0</v>
      </c>
      <c r="H891" s="1480">
        <f t="shared" si="83"/>
        <v>0</v>
      </c>
      <c r="I891" s="1480">
        <v>0</v>
      </c>
      <c r="J891" s="1480">
        <v>0</v>
      </c>
      <c r="K891" s="1480"/>
      <c r="L891" s="1480"/>
      <c r="M891" s="1480">
        <f t="shared" si="84"/>
        <v>0</v>
      </c>
      <c r="N891" s="1480">
        <f t="shared" si="85"/>
        <v>0</v>
      </c>
      <c r="O891" s="1481">
        <f t="shared" si="81"/>
        <v>0</v>
      </c>
      <c r="P891" s="1427">
        <f t="shared" si="82"/>
        <v>0</v>
      </c>
    </row>
    <row r="892" spans="1:16" ht="31" outlineLevel="1" x14ac:dyDescent="0.25">
      <c r="A892" s="1484" t="str">
        <f t="shared" si="86"/>
        <v>HO
DPR 8.1</v>
      </c>
      <c r="B892" s="1485" t="str">
        <f t="shared" si="86"/>
        <v>Advance Multipurpose Fire Tender for CSTPS</v>
      </c>
      <c r="C892" s="1482" t="str">
        <f t="shared" si="86"/>
        <v>MERC/CAPEX/20172018/4653</v>
      </c>
      <c r="D892" s="1390">
        <f t="shared" si="86"/>
        <v>43052</v>
      </c>
      <c r="E892" s="560">
        <f t="shared" si="86"/>
        <v>2.9</v>
      </c>
      <c r="F892" s="1508">
        <f t="shared" si="79"/>
        <v>0.26772339999999994</v>
      </c>
      <c r="G892" s="1508">
        <f t="shared" si="80"/>
        <v>0.2677234</v>
      </c>
      <c r="H892" s="1508">
        <f t="shared" si="83"/>
        <v>0</v>
      </c>
      <c r="I892" s="1480">
        <v>0</v>
      </c>
      <c r="J892" s="1480">
        <v>0</v>
      </c>
      <c r="K892" s="1508"/>
      <c r="L892" s="1508"/>
      <c r="M892" s="1509">
        <f t="shared" si="84"/>
        <v>0</v>
      </c>
      <c r="N892" s="1508">
        <f t="shared" si="85"/>
        <v>0</v>
      </c>
      <c r="O892" s="1481">
        <f t="shared" si="81"/>
        <v>0</v>
      </c>
      <c r="P892" s="1427">
        <f t="shared" si="82"/>
        <v>0</v>
      </c>
    </row>
    <row r="893" spans="1:16" ht="31" outlineLevel="1" x14ac:dyDescent="0.25">
      <c r="A893" s="1484" t="str">
        <f t="shared" si="86"/>
        <v>HO
DPR 8.2</v>
      </c>
      <c r="B893" s="1485" t="str">
        <f t="shared" si="86"/>
        <v>Normal Multipurpose Fire Tender for CSTPS</v>
      </c>
      <c r="C893" s="1482" t="str">
        <f t="shared" si="86"/>
        <v>MERC/CAPEX/20172018/4653</v>
      </c>
      <c r="D893" s="1390">
        <f t="shared" si="86"/>
        <v>43052</v>
      </c>
      <c r="E893" s="560">
        <f t="shared" si="86"/>
        <v>1.25</v>
      </c>
      <c r="F893" s="1508">
        <f t="shared" si="79"/>
        <v>2.1846524010000001</v>
      </c>
      <c r="G893" s="1508">
        <f t="shared" si="80"/>
        <v>2.1846524010000001</v>
      </c>
      <c r="H893" s="1508">
        <f t="shared" si="83"/>
        <v>0</v>
      </c>
      <c r="I893" s="1480">
        <v>0</v>
      </c>
      <c r="J893" s="1480">
        <v>0</v>
      </c>
      <c r="K893" s="1508"/>
      <c r="L893" s="1508"/>
      <c r="M893" s="1509">
        <f t="shared" si="84"/>
        <v>0</v>
      </c>
      <c r="N893" s="1508">
        <f t="shared" si="85"/>
        <v>0</v>
      </c>
      <c r="O893" s="1481">
        <f t="shared" si="81"/>
        <v>0</v>
      </c>
      <c r="P893" s="1427">
        <f t="shared" si="82"/>
        <v>0</v>
      </c>
    </row>
    <row r="894" spans="1:16" ht="15.5" outlineLevel="1" x14ac:dyDescent="0.25">
      <c r="A894" s="1484">
        <f t="shared" si="86"/>
        <v>0</v>
      </c>
      <c r="B894" s="1485" t="str">
        <f t="shared" si="86"/>
        <v>IDC</v>
      </c>
      <c r="C894" s="1482" t="str">
        <f t="shared" si="86"/>
        <v>MERC/CAPEX/20172018/4653</v>
      </c>
      <c r="D894" s="1390">
        <f t="shared" si="86"/>
        <v>43052</v>
      </c>
      <c r="E894" s="560">
        <f t="shared" si="86"/>
        <v>0</v>
      </c>
      <c r="F894" s="1508">
        <f t="shared" si="79"/>
        <v>0</v>
      </c>
      <c r="G894" s="1508">
        <f t="shared" si="80"/>
        <v>0</v>
      </c>
      <c r="H894" s="1508">
        <f t="shared" si="83"/>
        <v>0</v>
      </c>
      <c r="I894" s="1480">
        <v>0</v>
      </c>
      <c r="J894" s="1480">
        <v>0</v>
      </c>
      <c r="K894" s="1508"/>
      <c r="L894" s="1508"/>
      <c r="M894" s="1509">
        <f t="shared" si="84"/>
        <v>0</v>
      </c>
      <c r="N894" s="1508">
        <f t="shared" si="85"/>
        <v>0</v>
      </c>
      <c r="O894" s="1481">
        <f t="shared" si="81"/>
        <v>0</v>
      </c>
      <c r="P894" s="1427">
        <f t="shared" si="82"/>
        <v>0</v>
      </c>
    </row>
    <row r="895" spans="1:16" ht="31" outlineLevel="1" x14ac:dyDescent="0.25">
      <c r="A895" s="1489" t="str">
        <f t="shared" si="86"/>
        <v>HO
DPR 10</v>
      </c>
      <c r="B895" s="1490" t="str">
        <f t="shared" si="86"/>
        <v>Implementation of IB recommendations- Civil works at various TPS of Mahagenco</v>
      </c>
      <c r="C895" s="1486" t="str">
        <f t="shared" si="86"/>
        <v>MERC/CAPEX/20172018/0177</v>
      </c>
      <c r="D895" s="1487">
        <f t="shared" si="86"/>
        <v>43137</v>
      </c>
      <c r="E895" s="1383">
        <f t="shared" si="86"/>
        <v>9.0741999999999994</v>
      </c>
      <c r="F895" s="1480">
        <f t="shared" si="79"/>
        <v>0</v>
      </c>
      <c r="G895" s="1480">
        <f t="shared" si="80"/>
        <v>0</v>
      </c>
      <c r="H895" s="1480">
        <f t="shared" si="83"/>
        <v>0</v>
      </c>
      <c r="I895" s="1480">
        <v>0</v>
      </c>
      <c r="J895" s="1480">
        <v>0</v>
      </c>
      <c r="K895" s="1480"/>
      <c r="L895" s="1480"/>
      <c r="M895" s="1480">
        <f t="shared" si="84"/>
        <v>0</v>
      </c>
      <c r="N895" s="1480">
        <f t="shared" si="85"/>
        <v>0</v>
      </c>
      <c r="O895" s="1481">
        <f t="shared" si="81"/>
        <v>0</v>
      </c>
      <c r="P895" s="1427">
        <f t="shared" si="82"/>
        <v>0</v>
      </c>
    </row>
    <row r="896" spans="1:16" ht="46.5" outlineLevel="1" x14ac:dyDescent="0.25">
      <c r="A896" s="1484" t="str">
        <f t="shared" si="86"/>
        <v>HO
DPR 10.1</v>
      </c>
      <c r="B896" s="1485" t="str">
        <f t="shared" si="86"/>
        <v>CSTPS Chandrapur</v>
      </c>
      <c r="C896" s="1488" t="str">
        <f t="shared" si="86"/>
        <v>MERC/CAPEX/20172018/0177</v>
      </c>
      <c r="D896" s="1413">
        <f t="shared" si="86"/>
        <v>43137</v>
      </c>
      <c r="E896" s="560">
        <f t="shared" si="86"/>
        <v>9.0741999999999994</v>
      </c>
      <c r="F896" s="1508">
        <f t="shared" si="79"/>
        <v>8.9510833690000009</v>
      </c>
      <c r="G896" s="1508">
        <f t="shared" si="80"/>
        <v>8.9510833690000009</v>
      </c>
      <c r="H896" s="1508">
        <f t="shared" si="83"/>
        <v>0</v>
      </c>
      <c r="I896" s="1480">
        <v>0.66116859999999988</v>
      </c>
      <c r="J896" s="1480">
        <v>0.6611686</v>
      </c>
      <c r="K896" s="1508"/>
      <c r="L896" s="1508"/>
      <c r="M896" s="1509">
        <f t="shared" si="84"/>
        <v>0.6611686</v>
      </c>
      <c r="N896" s="1508">
        <f t="shared" si="85"/>
        <v>0</v>
      </c>
      <c r="O896" s="1481">
        <f t="shared" si="81"/>
        <v>0.12311663099999848</v>
      </c>
      <c r="P896" s="1427">
        <f t="shared" si="82"/>
        <v>0.53805196900000152</v>
      </c>
    </row>
    <row r="897" spans="1:16" ht="31" outlineLevel="1" x14ac:dyDescent="0.25">
      <c r="A897" s="1489" t="str">
        <f t="shared" si="86"/>
        <v>HO
DPR 15</v>
      </c>
      <c r="B897" s="1490" t="str">
        <f t="shared" si="86"/>
        <v>Procurement &amp; Replacement of Complete Sets of Air Pre-heater Baskets at Nashik, Parli &amp; Chandrapur TPS of Mahagenco</v>
      </c>
      <c r="C897" s="1477" t="str">
        <f t="shared" si="86"/>
        <v>MERC/CAPEX/2019-2020/643</v>
      </c>
      <c r="D897" s="1479">
        <f t="shared" si="86"/>
        <v>43703</v>
      </c>
      <c r="E897" s="1383">
        <f t="shared" si="86"/>
        <v>11.13</v>
      </c>
      <c r="F897" s="1480">
        <f t="shared" si="79"/>
        <v>0</v>
      </c>
      <c r="G897" s="1480">
        <f t="shared" si="80"/>
        <v>0</v>
      </c>
      <c r="H897" s="1480">
        <f t="shared" si="83"/>
        <v>0</v>
      </c>
      <c r="I897" s="1480">
        <v>0</v>
      </c>
      <c r="J897" s="1480">
        <v>0</v>
      </c>
      <c r="K897" s="1480"/>
      <c r="L897" s="1480"/>
      <c r="M897" s="1480">
        <f t="shared" si="84"/>
        <v>0</v>
      </c>
      <c r="N897" s="1480">
        <f t="shared" si="85"/>
        <v>0</v>
      </c>
      <c r="O897" s="1481">
        <f t="shared" si="81"/>
        <v>0</v>
      </c>
      <c r="P897" s="1427">
        <f t="shared" si="82"/>
        <v>0</v>
      </c>
    </row>
    <row r="898" spans="1:16" ht="46.5" outlineLevel="1" x14ac:dyDescent="0.25">
      <c r="A898" s="1484" t="str">
        <f t="shared" si="86"/>
        <v>HO
DPR 15.2</v>
      </c>
      <c r="B898" s="1485" t="str">
        <f t="shared" si="86"/>
        <v>Procurement of Complete set of assembly of baskets for air preheater of type tri-sector APH in27 VI(T) 80”CSTPS unit No-4 (210MW). (2 Sets Per Unit)</v>
      </c>
      <c r="C898" s="1482" t="str">
        <f t="shared" si="86"/>
        <v>MERC/CAPEX/2019-2020/643</v>
      </c>
      <c r="D898" s="1390">
        <f t="shared" si="86"/>
        <v>43703</v>
      </c>
      <c r="E898" s="560">
        <f t="shared" si="86"/>
        <v>1.73</v>
      </c>
      <c r="F898" s="1508">
        <f t="shared" si="79"/>
        <v>1.6959658</v>
      </c>
      <c r="G898" s="1508">
        <f t="shared" si="80"/>
        <v>1.6959658</v>
      </c>
      <c r="H898" s="1508">
        <f t="shared" si="83"/>
        <v>0</v>
      </c>
      <c r="I898" s="1480">
        <v>0</v>
      </c>
      <c r="J898" s="1480">
        <v>0</v>
      </c>
      <c r="K898" s="1508"/>
      <c r="L898" s="1508"/>
      <c r="M898" s="1509">
        <f t="shared" si="84"/>
        <v>0</v>
      </c>
      <c r="N898" s="1508">
        <f t="shared" si="85"/>
        <v>0</v>
      </c>
      <c r="O898" s="1481">
        <f t="shared" si="81"/>
        <v>0</v>
      </c>
      <c r="P898" s="1427">
        <f t="shared" si="82"/>
        <v>0</v>
      </c>
    </row>
    <row r="899" spans="1:16" ht="46.5" outlineLevel="1" x14ac:dyDescent="0.25">
      <c r="A899" s="1484" t="str">
        <f t="shared" si="86"/>
        <v>HO
DPR 15.4</v>
      </c>
      <c r="B899" s="1485" t="str">
        <f t="shared" si="86"/>
        <v>Procurement of Complete set of assembly of baskets for air preheater of type bi-sector APH “BI-SECTOR 27VI 1250(1400)”in CSTPS unit no. 5 &amp; 6 (500MW). (4 Sets Per Unit)</v>
      </c>
      <c r="C899" s="1482" t="str">
        <f t="shared" si="86"/>
        <v>MERC/CAPEX/2019-2020/643</v>
      </c>
      <c r="D899" s="1390">
        <f t="shared" si="86"/>
        <v>43703</v>
      </c>
      <c r="E899" s="560">
        <f t="shared" si="86"/>
        <v>9.4</v>
      </c>
      <c r="F899" s="1508">
        <f t="shared" si="79"/>
        <v>8.9105042999999995</v>
      </c>
      <c r="G899" s="1508">
        <f t="shared" si="80"/>
        <v>8.9105042999999995</v>
      </c>
      <c r="H899" s="1508">
        <f t="shared" si="83"/>
        <v>0</v>
      </c>
      <c r="I899" s="1480">
        <v>0</v>
      </c>
      <c r="J899" s="1480">
        <v>0</v>
      </c>
      <c r="K899" s="1508"/>
      <c r="L899" s="1508"/>
      <c r="M899" s="1509">
        <f t="shared" si="84"/>
        <v>0</v>
      </c>
      <c r="N899" s="1508">
        <f t="shared" si="85"/>
        <v>0</v>
      </c>
      <c r="O899" s="1481">
        <f t="shared" si="81"/>
        <v>0</v>
      </c>
      <c r="P899" s="1427">
        <f t="shared" si="82"/>
        <v>0</v>
      </c>
    </row>
    <row r="900" spans="1:16" ht="15.5" outlineLevel="1" x14ac:dyDescent="0.25">
      <c r="A900" s="1484">
        <f t="shared" si="86"/>
        <v>0</v>
      </c>
      <c r="B900" s="1485" t="str">
        <f t="shared" si="86"/>
        <v>IDC</v>
      </c>
      <c r="C900" s="1482" t="str">
        <f t="shared" si="86"/>
        <v>MERC/CAPEX/2019-2020/643</v>
      </c>
      <c r="D900" s="1390">
        <f t="shared" si="86"/>
        <v>43703</v>
      </c>
      <c r="E900" s="560">
        <f t="shared" si="86"/>
        <v>0</v>
      </c>
      <c r="F900" s="1508">
        <f t="shared" si="79"/>
        <v>0</v>
      </c>
      <c r="G900" s="1508">
        <f t="shared" si="80"/>
        <v>0</v>
      </c>
      <c r="H900" s="1508">
        <f t="shared" si="83"/>
        <v>0</v>
      </c>
      <c r="I900" s="1480">
        <v>0</v>
      </c>
      <c r="J900" s="1480">
        <v>0</v>
      </c>
      <c r="K900" s="1508"/>
      <c r="L900" s="1508"/>
      <c r="M900" s="1509">
        <f t="shared" si="84"/>
        <v>0</v>
      </c>
      <c r="N900" s="1508">
        <f t="shared" si="85"/>
        <v>0</v>
      </c>
      <c r="O900" s="1481">
        <f t="shared" si="81"/>
        <v>0</v>
      </c>
      <c r="P900" s="1427">
        <f t="shared" si="82"/>
        <v>0</v>
      </c>
    </row>
    <row r="901" spans="1:16" ht="31" outlineLevel="1" x14ac:dyDescent="0.25">
      <c r="A901" s="1489" t="str">
        <f t="shared" si="86"/>
        <v>HO
DPR 16</v>
      </c>
      <c r="B901" s="1490" t="str">
        <f t="shared" si="86"/>
        <v>Implementation of Water Flow Monitoring system at Chandrapur STPS &amp; Khaperkheda TPS</v>
      </c>
      <c r="C901" s="1486" t="str">
        <f t="shared" si="86"/>
        <v>MERC/CAPEX/2020-2021/WFH/SBR/37</v>
      </c>
      <c r="D901" s="1487">
        <f t="shared" si="86"/>
        <v>44131</v>
      </c>
      <c r="E901" s="1383">
        <f t="shared" si="86"/>
        <v>3.7552319999999999</v>
      </c>
      <c r="F901" s="1480">
        <f t="shared" si="79"/>
        <v>0</v>
      </c>
      <c r="G901" s="1480">
        <f t="shared" si="80"/>
        <v>0</v>
      </c>
      <c r="H901" s="1480">
        <f t="shared" si="83"/>
        <v>0</v>
      </c>
      <c r="I901" s="1480">
        <v>0</v>
      </c>
      <c r="J901" s="1480">
        <v>0</v>
      </c>
      <c r="K901" s="1480"/>
      <c r="L901" s="1480"/>
      <c r="M901" s="1480">
        <f t="shared" si="84"/>
        <v>0</v>
      </c>
      <c r="N901" s="1480">
        <f t="shared" si="85"/>
        <v>0</v>
      </c>
      <c r="O901" s="1481">
        <f t="shared" si="81"/>
        <v>0</v>
      </c>
      <c r="P901" s="1427">
        <f t="shared" si="82"/>
        <v>0</v>
      </c>
    </row>
    <row r="902" spans="1:16" ht="46.5" outlineLevel="1" x14ac:dyDescent="0.25">
      <c r="A902" s="1484" t="str">
        <f t="shared" si="86"/>
        <v>HO
DPR 16.1</v>
      </c>
      <c r="B902" s="1485" t="str">
        <f t="shared" si="86"/>
        <v>Electromagnetic Flow meters at various lines &amp; Locations of CSTPS unit-3 to 7</v>
      </c>
      <c r="C902" s="1488" t="str">
        <f t="shared" si="86"/>
        <v>MERC/CAPEX/2020-2021/WFH/SBR/37</v>
      </c>
      <c r="D902" s="1413">
        <f t="shared" si="86"/>
        <v>44131</v>
      </c>
      <c r="E902" s="560">
        <f t="shared" si="86"/>
        <v>2.912712</v>
      </c>
      <c r="F902" s="1508">
        <f t="shared" si="79"/>
        <v>2.8883319000000003</v>
      </c>
      <c r="G902" s="1508">
        <f t="shared" si="80"/>
        <v>2.8883319000000003</v>
      </c>
      <c r="H902" s="1508">
        <f t="shared" si="83"/>
        <v>0</v>
      </c>
      <c r="I902" s="1480">
        <v>0</v>
      </c>
      <c r="J902" s="1480">
        <v>0</v>
      </c>
      <c r="K902" s="1508"/>
      <c r="L902" s="1508"/>
      <c r="M902" s="1509">
        <f t="shared" si="84"/>
        <v>0</v>
      </c>
      <c r="N902" s="1508">
        <f t="shared" si="85"/>
        <v>0</v>
      </c>
      <c r="O902" s="1481">
        <f t="shared" si="81"/>
        <v>0</v>
      </c>
      <c r="P902" s="1427">
        <f t="shared" si="82"/>
        <v>0</v>
      </c>
    </row>
    <row r="903" spans="1:16" ht="62" outlineLevel="1" x14ac:dyDescent="0.25">
      <c r="A903" s="1484" t="str">
        <f t="shared" si="86"/>
        <v>HO
DPR 16.2</v>
      </c>
      <c r="B903" s="1485" t="str">
        <f t="shared" si="86"/>
        <v xml:space="preserve">Automation: Centralized SCADA, RTU, MODBUS Cable, Power cable &amp; Operation &amp; Maintenance for 1 Year &amp; mandatory spares
</v>
      </c>
      <c r="C903" s="1488" t="str">
        <f t="shared" si="86"/>
        <v>MERC/CAPEX/2020-2021/WFH/SBR/37</v>
      </c>
      <c r="D903" s="1413">
        <f t="shared" si="86"/>
        <v>44131</v>
      </c>
      <c r="E903" s="560">
        <f t="shared" si="86"/>
        <v>0.84251999999999994</v>
      </c>
      <c r="F903" s="1508">
        <f t="shared" si="79"/>
        <v>0.84251999999999994</v>
      </c>
      <c r="G903" s="1508">
        <f t="shared" si="80"/>
        <v>0.84251999999999994</v>
      </c>
      <c r="H903" s="1508">
        <f t="shared" si="83"/>
        <v>0</v>
      </c>
      <c r="I903" s="1480">
        <v>0</v>
      </c>
      <c r="J903" s="1480">
        <v>0</v>
      </c>
      <c r="K903" s="1508"/>
      <c r="L903" s="1508"/>
      <c r="M903" s="1509">
        <f t="shared" si="84"/>
        <v>0</v>
      </c>
      <c r="N903" s="1508">
        <f t="shared" si="85"/>
        <v>0</v>
      </c>
      <c r="O903" s="1481">
        <f t="shared" si="81"/>
        <v>0</v>
      </c>
      <c r="P903" s="1427">
        <f t="shared" si="82"/>
        <v>0</v>
      </c>
    </row>
    <row r="904" spans="1:16" ht="31" outlineLevel="1" x14ac:dyDescent="0.25">
      <c r="A904" s="1484">
        <f t="shared" ref="A904:E919" si="87">A234</f>
        <v>0</v>
      </c>
      <c r="B904" s="1485" t="str">
        <f t="shared" si="87"/>
        <v>IDC</v>
      </c>
      <c r="C904" s="1482" t="str">
        <f t="shared" si="87"/>
        <v>MERC/CAPEX/2020-2021/WFH/SBR/37</v>
      </c>
      <c r="D904" s="1390">
        <f t="shared" si="87"/>
        <v>44131</v>
      </c>
      <c r="E904" s="560">
        <f t="shared" si="87"/>
        <v>0</v>
      </c>
      <c r="F904" s="1508">
        <f t="shared" si="79"/>
        <v>0</v>
      </c>
      <c r="G904" s="1508">
        <f t="shared" si="80"/>
        <v>0</v>
      </c>
      <c r="H904" s="1508">
        <f t="shared" si="83"/>
        <v>0</v>
      </c>
      <c r="I904" s="1480">
        <v>0</v>
      </c>
      <c r="J904" s="1480">
        <v>0</v>
      </c>
      <c r="K904" s="1508"/>
      <c r="L904" s="1508"/>
      <c r="M904" s="1509">
        <f t="shared" si="84"/>
        <v>0</v>
      </c>
      <c r="N904" s="1508">
        <f t="shared" si="85"/>
        <v>0</v>
      </c>
      <c r="O904" s="1481">
        <f t="shared" si="81"/>
        <v>0</v>
      </c>
      <c r="P904" s="1427">
        <f t="shared" si="82"/>
        <v>0</v>
      </c>
    </row>
    <row r="905" spans="1:16" ht="46.5" outlineLevel="1" x14ac:dyDescent="0.25">
      <c r="A905" s="1489">
        <f t="shared" si="87"/>
        <v>40</v>
      </c>
      <c r="B905" s="1490" t="str">
        <f t="shared" si="87"/>
        <v>Procurement of Condensate Extraction Pump for 500MW Unit-5, 6 &amp; 7 And Supply &amp; Replacement of complete PVC Fills of cell of cooling tower of Unit-7 in ODP-II at CSTPS, Chandrapur</v>
      </c>
      <c r="C905" s="1486" t="str">
        <f t="shared" si="87"/>
        <v>MERC/CAPEX/2021-2022/ WFH/SBR/ 10</v>
      </c>
      <c r="D905" s="1487">
        <f t="shared" si="87"/>
        <v>44357</v>
      </c>
      <c r="E905" s="1383">
        <f t="shared" si="87"/>
        <v>10.89</v>
      </c>
      <c r="F905" s="1480">
        <f t="shared" si="79"/>
        <v>0</v>
      </c>
      <c r="G905" s="1480">
        <f t="shared" si="80"/>
        <v>0</v>
      </c>
      <c r="H905" s="1480">
        <f t="shared" si="83"/>
        <v>0</v>
      </c>
      <c r="I905" s="1480">
        <v>0</v>
      </c>
      <c r="J905" s="1480">
        <v>0</v>
      </c>
      <c r="K905" s="1480"/>
      <c r="L905" s="1480"/>
      <c r="M905" s="1480">
        <f t="shared" si="84"/>
        <v>0</v>
      </c>
      <c r="N905" s="1480">
        <f t="shared" si="85"/>
        <v>0</v>
      </c>
      <c r="O905" s="1481">
        <f t="shared" si="81"/>
        <v>0</v>
      </c>
      <c r="P905" s="1427">
        <f t="shared" si="82"/>
        <v>0</v>
      </c>
    </row>
    <row r="906" spans="1:16" ht="46.5" outlineLevel="1" x14ac:dyDescent="0.25">
      <c r="A906" s="1484">
        <f t="shared" si="87"/>
        <v>40.1</v>
      </c>
      <c r="B906" s="1485" t="str">
        <f t="shared" si="87"/>
        <v>Procurement of Condensate Extraction
Pump for 500MW Unit-5, 6 &amp; 7, CSTPS,
Chandrapur as insurance spare</v>
      </c>
      <c r="C906" s="1488" t="str">
        <f t="shared" si="87"/>
        <v>MERC/CAPEX/2021-2022/ WFH/SBR/ 10</v>
      </c>
      <c r="D906" s="1413">
        <f t="shared" si="87"/>
        <v>44357</v>
      </c>
      <c r="E906" s="560">
        <f t="shared" si="87"/>
        <v>6.2</v>
      </c>
      <c r="F906" s="1508">
        <f t="shared" si="79"/>
        <v>6.0121000000000002</v>
      </c>
      <c r="G906" s="1508">
        <f t="shared" si="80"/>
        <v>6.0121000000000002</v>
      </c>
      <c r="H906" s="1508">
        <f t="shared" si="83"/>
        <v>0</v>
      </c>
      <c r="I906" s="1480">
        <v>0</v>
      </c>
      <c r="J906" s="1480">
        <v>0</v>
      </c>
      <c r="K906" s="1508"/>
      <c r="L906" s="1508"/>
      <c r="M906" s="1509">
        <f t="shared" si="84"/>
        <v>0</v>
      </c>
      <c r="N906" s="1508">
        <f t="shared" si="85"/>
        <v>0</v>
      </c>
      <c r="O906" s="1481">
        <f t="shared" si="81"/>
        <v>0</v>
      </c>
      <c r="P906" s="1427">
        <f t="shared" si="82"/>
        <v>0</v>
      </c>
    </row>
    <row r="907" spans="1:16" ht="46.5" outlineLevel="1" x14ac:dyDescent="0.25">
      <c r="A907" s="1484">
        <f t="shared" si="87"/>
        <v>40.200000000000003</v>
      </c>
      <c r="B907" s="1485" t="str">
        <f t="shared" si="87"/>
        <v>Supply and replacement of complete
PVC Fills of cell of cooling tower in Unit-
7</v>
      </c>
      <c r="C907" s="1488" t="str">
        <f t="shared" si="87"/>
        <v>MERC/CAPEX/2021-2022/ WFH/SBR/ 10</v>
      </c>
      <c r="D907" s="1413">
        <f t="shared" si="87"/>
        <v>44357</v>
      </c>
      <c r="E907" s="560">
        <f t="shared" si="87"/>
        <v>4.3899999999999997</v>
      </c>
      <c r="F907" s="1508">
        <f t="shared" si="79"/>
        <v>4.3293638999999997</v>
      </c>
      <c r="G907" s="1508">
        <f t="shared" si="80"/>
        <v>4.3293638999999997</v>
      </c>
      <c r="H907" s="1508">
        <f t="shared" si="83"/>
        <v>0</v>
      </c>
      <c r="I907" s="1480">
        <v>0</v>
      </c>
      <c r="J907" s="1480">
        <v>0</v>
      </c>
      <c r="K907" s="1508"/>
      <c r="L907" s="1508"/>
      <c r="M907" s="1509">
        <f t="shared" si="84"/>
        <v>0</v>
      </c>
      <c r="N907" s="1508">
        <f t="shared" si="85"/>
        <v>0</v>
      </c>
      <c r="O907" s="1481">
        <f t="shared" si="81"/>
        <v>0</v>
      </c>
      <c r="P907" s="1427">
        <f t="shared" si="82"/>
        <v>0</v>
      </c>
    </row>
    <row r="908" spans="1:16" ht="31" outlineLevel="1" x14ac:dyDescent="0.25">
      <c r="A908" s="1484">
        <f t="shared" si="87"/>
        <v>0</v>
      </c>
      <c r="B908" s="1485" t="str">
        <f t="shared" si="87"/>
        <v>IDC</v>
      </c>
      <c r="C908" s="1482" t="str">
        <f t="shared" si="87"/>
        <v>MERC/CAPEX/2021-2022/ WFH/SBR/ 10</v>
      </c>
      <c r="D908" s="1390">
        <f t="shared" si="87"/>
        <v>44357</v>
      </c>
      <c r="E908" s="560">
        <f t="shared" si="87"/>
        <v>0.3</v>
      </c>
      <c r="F908" s="1508">
        <f t="shared" si="79"/>
        <v>0</v>
      </c>
      <c r="G908" s="1508">
        <f t="shared" si="80"/>
        <v>0</v>
      </c>
      <c r="H908" s="1508">
        <f t="shared" si="83"/>
        <v>0</v>
      </c>
      <c r="I908" s="1480">
        <v>0</v>
      </c>
      <c r="J908" s="1480">
        <v>0</v>
      </c>
      <c r="K908" s="1508"/>
      <c r="L908" s="1508"/>
      <c r="M908" s="1509">
        <f t="shared" si="84"/>
        <v>0</v>
      </c>
      <c r="N908" s="1508">
        <f t="shared" si="85"/>
        <v>0</v>
      </c>
      <c r="O908" s="1481">
        <f t="shared" si="81"/>
        <v>0</v>
      </c>
      <c r="P908" s="1427">
        <f t="shared" si="82"/>
        <v>0</v>
      </c>
    </row>
    <row r="909" spans="1:16" ht="77.5" outlineLevel="1" x14ac:dyDescent="0.25">
      <c r="A909" s="1489">
        <f t="shared" si="87"/>
        <v>41</v>
      </c>
      <c r="B909" s="1490" t="str">
        <f t="shared" si="87"/>
        <v>Supply &amp; Commissioning of Advanced Microprocessor based Fast Bus Transfer panels; Up-gradation of Thyristor based 24V &amp; 220V DC battery chargers by SMPS Microprocessor based Battery Chargers at U-5,6 &amp;7
and Generator Protection scheme at U-7, at CSTPS, Chandrapur</v>
      </c>
      <c r="C909" s="1486" t="str">
        <f t="shared" si="87"/>
        <v>MERC/CAPEX/2022-2023/0321</v>
      </c>
      <c r="D909" s="1487">
        <f t="shared" si="87"/>
        <v>44760</v>
      </c>
      <c r="E909" s="1383">
        <f t="shared" si="87"/>
        <v>14.06</v>
      </c>
      <c r="F909" s="1480">
        <f t="shared" si="79"/>
        <v>0</v>
      </c>
      <c r="G909" s="1480">
        <f t="shared" si="80"/>
        <v>0</v>
      </c>
      <c r="H909" s="1480">
        <f t="shared" si="83"/>
        <v>0</v>
      </c>
      <c r="I909" s="1480">
        <v>0</v>
      </c>
      <c r="J909" s="1480">
        <v>0</v>
      </c>
      <c r="K909" s="1480"/>
      <c r="L909" s="1480"/>
      <c r="M909" s="1480">
        <f t="shared" si="84"/>
        <v>0</v>
      </c>
      <c r="N909" s="1480">
        <f t="shared" si="85"/>
        <v>0</v>
      </c>
      <c r="O909" s="1481">
        <f t="shared" si="81"/>
        <v>0</v>
      </c>
      <c r="P909" s="1427">
        <f t="shared" si="82"/>
        <v>0</v>
      </c>
    </row>
    <row r="910" spans="1:16" ht="46.5" outlineLevel="1" x14ac:dyDescent="0.25">
      <c r="A910" s="1484">
        <f t="shared" si="87"/>
        <v>41.1</v>
      </c>
      <c r="B910" s="1485" t="str">
        <f t="shared" si="87"/>
        <v>Supply &amp; commissioning of Advanced Microprocessor based Fast Bus Transfer Panels for Unit#5,6,7, Stage-III, CSTPS, Chandrapur.</v>
      </c>
      <c r="C910" s="1488" t="str">
        <f t="shared" si="87"/>
        <v>MERC/CAPEX/2022-2023/0321</v>
      </c>
      <c r="D910" s="1413">
        <f t="shared" si="87"/>
        <v>44760</v>
      </c>
      <c r="E910" s="560">
        <f t="shared" si="87"/>
        <v>6.08</v>
      </c>
      <c r="F910" s="1508">
        <f t="shared" si="79"/>
        <v>0</v>
      </c>
      <c r="G910" s="1508">
        <f t="shared" si="80"/>
        <v>0</v>
      </c>
      <c r="H910" s="1508">
        <f t="shared" si="83"/>
        <v>0</v>
      </c>
      <c r="I910" s="1480">
        <v>3.607024</v>
      </c>
      <c r="J910" s="1480">
        <v>3.607024</v>
      </c>
      <c r="K910" s="1508"/>
      <c r="L910" s="1508"/>
      <c r="M910" s="1509">
        <f t="shared" si="84"/>
        <v>3.607024</v>
      </c>
      <c r="N910" s="1508">
        <f t="shared" si="85"/>
        <v>0</v>
      </c>
      <c r="O910" s="1481">
        <f t="shared" si="81"/>
        <v>3.607024</v>
      </c>
      <c r="P910" s="1427">
        <f t="shared" si="82"/>
        <v>0</v>
      </c>
    </row>
    <row r="911" spans="1:16" ht="46.5" outlineLevel="1" x14ac:dyDescent="0.25">
      <c r="A911" s="1484">
        <f t="shared" si="87"/>
        <v>41.2</v>
      </c>
      <c r="B911" s="1485" t="str">
        <f t="shared" si="87"/>
        <v>Up-gradation of thyristor based 24V &amp; 220V DC Battery Chargers by SMPS Microprocessor based Battery Chargers at Stage-III, CSTPS, Chandrapur.</v>
      </c>
      <c r="C911" s="1488" t="str">
        <f t="shared" si="87"/>
        <v>MERC/CAPEX/2022-2023/0321</v>
      </c>
      <c r="D911" s="1413">
        <f t="shared" si="87"/>
        <v>44760</v>
      </c>
      <c r="E911" s="560">
        <f t="shared" si="87"/>
        <v>5.28</v>
      </c>
      <c r="F911" s="1508">
        <f t="shared" si="79"/>
        <v>0</v>
      </c>
      <c r="G911" s="1508">
        <f t="shared" si="80"/>
        <v>0</v>
      </c>
      <c r="H911" s="1508">
        <f t="shared" si="83"/>
        <v>0</v>
      </c>
      <c r="I911" s="1480">
        <v>2.7090321999999998</v>
      </c>
      <c r="J911" s="1480">
        <v>2.3456039999999998</v>
      </c>
      <c r="K911" s="1508"/>
      <c r="L911" s="1508"/>
      <c r="M911" s="1509">
        <f t="shared" si="84"/>
        <v>2.3456039999999998</v>
      </c>
      <c r="N911" s="1508">
        <f t="shared" si="85"/>
        <v>0.36342819999999998</v>
      </c>
      <c r="O911" s="1481">
        <f t="shared" si="81"/>
        <v>2.3456039999999998</v>
      </c>
      <c r="P911" s="1427">
        <f t="shared" si="82"/>
        <v>0</v>
      </c>
    </row>
    <row r="912" spans="1:16" ht="15.5" outlineLevel="1" x14ac:dyDescent="0.25">
      <c r="A912" s="1484">
        <f t="shared" si="87"/>
        <v>41.3</v>
      </c>
      <c r="B912" s="1485" t="str">
        <f t="shared" si="87"/>
        <v>Generator Protection Scheme U-7</v>
      </c>
      <c r="C912" s="1488" t="str">
        <f t="shared" si="87"/>
        <v>MERC/CAPEX/2022-2023/0321</v>
      </c>
      <c r="D912" s="1413">
        <f t="shared" si="87"/>
        <v>44760</v>
      </c>
      <c r="E912" s="560">
        <f t="shared" si="87"/>
        <v>1.98</v>
      </c>
      <c r="F912" s="1508">
        <f t="shared" si="79"/>
        <v>1.7286999999999999</v>
      </c>
      <c r="G912" s="1508">
        <f t="shared" si="80"/>
        <v>0</v>
      </c>
      <c r="H912" s="1508">
        <f t="shared" si="83"/>
        <v>1.7286999999999999</v>
      </c>
      <c r="I912" s="1480">
        <v>0</v>
      </c>
      <c r="J912" s="1480">
        <v>0</v>
      </c>
      <c r="K912" s="1508"/>
      <c r="L912" s="1508"/>
      <c r="M912" s="1509">
        <f t="shared" si="84"/>
        <v>0</v>
      </c>
      <c r="N912" s="1508">
        <f t="shared" si="85"/>
        <v>1.7286999999999999</v>
      </c>
      <c r="O912" s="1481">
        <f t="shared" si="81"/>
        <v>0</v>
      </c>
      <c r="P912" s="1427">
        <f t="shared" si="82"/>
        <v>0</v>
      </c>
    </row>
    <row r="913" spans="1:16" ht="15.5" outlineLevel="1" x14ac:dyDescent="0.25">
      <c r="A913" s="1484">
        <f t="shared" si="87"/>
        <v>0</v>
      </c>
      <c r="B913" s="1485" t="str">
        <f t="shared" si="87"/>
        <v>IDC</v>
      </c>
      <c r="C913" s="1482" t="str">
        <f t="shared" si="87"/>
        <v>MERC/CAPEX/2022-2023/0321</v>
      </c>
      <c r="D913" s="1390">
        <f t="shared" si="87"/>
        <v>44760</v>
      </c>
      <c r="E913" s="560">
        <f t="shared" si="87"/>
        <v>0.72</v>
      </c>
      <c r="F913" s="1508">
        <f t="shared" si="79"/>
        <v>0</v>
      </c>
      <c r="G913" s="1508">
        <f t="shared" si="80"/>
        <v>0</v>
      </c>
      <c r="H913" s="1508">
        <f t="shared" si="83"/>
        <v>0</v>
      </c>
      <c r="I913" s="1480">
        <v>0</v>
      </c>
      <c r="J913" s="1480">
        <v>0</v>
      </c>
      <c r="K913" s="1508"/>
      <c r="L913" s="1508"/>
      <c r="M913" s="1509">
        <f t="shared" si="84"/>
        <v>0</v>
      </c>
      <c r="N913" s="1508">
        <f t="shared" si="85"/>
        <v>0</v>
      </c>
      <c r="O913" s="1481">
        <f t="shared" si="81"/>
        <v>0</v>
      </c>
      <c r="P913" s="1427">
        <f t="shared" si="82"/>
        <v>0</v>
      </c>
    </row>
    <row r="914" spans="1:16" ht="31" outlineLevel="1" x14ac:dyDescent="0.25">
      <c r="A914" s="1489">
        <f t="shared" si="87"/>
        <v>42</v>
      </c>
      <c r="B914" s="1490" t="str">
        <f t="shared" si="87"/>
        <v>ESP Upgradation of 5 Nos. of 210/500MW Units at Khaperkheda, Koradi &amp; Chandrapur TPS</v>
      </c>
      <c r="C914" s="1486" t="str">
        <f t="shared" si="87"/>
        <v>MERC/CAPEX/2022-2023/MSPGCL/0453</v>
      </c>
      <c r="D914" s="1487">
        <f t="shared" si="87"/>
        <v>44833</v>
      </c>
      <c r="E914" s="1383">
        <f t="shared" si="87"/>
        <v>219.44</v>
      </c>
      <c r="F914" s="1480">
        <f t="shared" si="79"/>
        <v>0</v>
      </c>
      <c r="G914" s="1480">
        <f t="shared" si="80"/>
        <v>0</v>
      </c>
      <c r="H914" s="1480">
        <f t="shared" si="83"/>
        <v>0</v>
      </c>
      <c r="I914" s="1480">
        <v>0</v>
      </c>
      <c r="J914" s="1480">
        <v>0</v>
      </c>
      <c r="K914" s="1480"/>
      <c r="L914" s="1480"/>
      <c r="M914" s="1480">
        <f t="shared" si="84"/>
        <v>0</v>
      </c>
      <c r="N914" s="1480">
        <f t="shared" si="85"/>
        <v>0</v>
      </c>
      <c r="O914" s="1481">
        <f t="shared" si="81"/>
        <v>0</v>
      </c>
      <c r="P914" s="1427">
        <f t="shared" si="82"/>
        <v>0</v>
      </c>
    </row>
    <row r="915" spans="1:16" ht="31" outlineLevel="1" x14ac:dyDescent="0.25">
      <c r="A915" s="1484">
        <f t="shared" si="87"/>
        <v>42.1</v>
      </c>
      <c r="B915" s="1485" t="str">
        <f t="shared" si="87"/>
        <v>ESP Upgradation at Unit # 5 &amp; 6, Chandrapur TPS</v>
      </c>
      <c r="C915" s="1488" t="str">
        <f t="shared" si="87"/>
        <v>MERC/CAPEX/2022-2023/MSPGCL/0453</v>
      </c>
      <c r="D915" s="1413">
        <f t="shared" si="87"/>
        <v>44833</v>
      </c>
      <c r="E915" s="560">
        <f t="shared" si="87"/>
        <v>207.46</v>
      </c>
      <c r="F915" s="1508">
        <f t="shared" si="79"/>
        <v>0</v>
      </c>
      <c r="G915" s="1508">
        <f t="shared" si="80"/>
        <v>0</v>
      </c>
      <c r="H915" s="1508">
        <f t="shared" si="83"/>
        <v>0</v>
      </c>
      <c r="I915" s="1480">
        <v>0</v>
      </c>
      <c r="J915" s="1480">
        <v>0</v>
      </c>
      <c r="K915" s="1508"/>
      <c r="L915" s="1508"/>
      <c r="M915" s="1509">
        <f t="shared" si="84"/>
        <v>0</v>
      </c>
      <c r="N915" s="1508">
        <f t="shared" si="85"/>
        <v>0</v>
      </c>
      <c r="O915" s="1481">
        <f t="shared" si="81"/>
        <v>0</v>
      </c>
      <c r="P915" s="1427">
        <f t="shared" si="82"/>
        <v>0</v>
      </c>
    </row>
    <row r="916" spans="1:16" ht="31" outlineLevel="1" x14ac:dyDescent="0.25">
      <c r="A916" s="1484">
        <f t="shared" si="87"/>
        <v>0</v>
      </c>
      <c r="B916" s="1485" t="str">
        <f t="shared" si="87"/>
        <v>IDC</v>
      </c>
      <c r="C916" s="1482" t="str">
        <f t="shared" si="87"/>
        <v>MERC/CAPEX/2022-2023/MSPGCL/0453</v>
      </c>
      <c r="D916" s="1390">
        <f t="shared" si="87"/>
        <v>44833</v>
      </c>
      <c r="E916" s="560">
        <f t="shared" si="87"/>
        <v>11.98</v>
      </c>
      <c r="F916" s="1508">
        <f t="shared" si="79"/>
        <v>0</v>
      </c>
      <c r="G916" s="1508">
        <f t="shared" si="80"/>
        <v>0</v>
      </c>
      <c r="H916" s="1508">
        <f t="shared" si="83"/>
        <v>0</v>
      </c>
      <c r="I916" s="1480">
        <v>0</v>
      </c>
      <c r="J916" s="1480">
        <v>0</v>
      </c>
      <c r="K916" s="1508"/>
      <c r="L916" s="1508"/>
      <c r="M916" s="1509">
        <f t="shared" si="84"/>
        <v>0</v>
      </c>
      <c r="N916" s="1508">
        <f t="shared" si="85"/>
        <v>0</v>
      </c>
      <c r="O916" s="1481">
        <f t="shared" si="81"/>
        <v>0</v>
      </c>
      <c r="P916" s="1427">
        <f t="shared" si="82"/>
        <v>0</v>
      </c>
    </row>
    <row r="917" spans="1:16" ht="31" outlineLevel="1" x14ac:dyDescent="0.25">
      <c r="A917" s="1489">
        <f t="shared" si="87"/>
        <v>43</v>
      </c>
      <c r="B917" s="1490" t="str">
        <f t="shared" si="87"/>
        <v>Flue Gas Desulphurization (FGD) System at 10 Nos. of 210 MW Units at Chandrapur, Koradi, Khaperkheda &amp; Nasik TPS</v>
      </c>
      <c r="C917" s="1486" t="str">
        <f t="shared" si="87"/>
        <v>MERC/CAPEX/MSPGCL/2023-2024/0459</v>
      </c>
      <c r="D917" s="1487">
        <f t="shared" si="87"/>
        <v>45174</v>
      </c>
      <c r="E917" s="1383">
        <f t="shared" si="87"/>
        <v>115.34</v>
      </c>
      <c r="F917" s="1480">
        <f t="shared" si="79"/>
        <v>0</v>
      </c>
      <c r="G917" s="1480">
        <f t="shared" si="80"/>
        <v>0</v>
      </c>
      <c r="H917" s="1480">
        <f t="shared" si="83"/>
        <v>0</v>
      </c>
      <c r="I917" s="1480">
        <v>0</v>
      </c>
      <c r="J917" s="1480">
        <v>0</v>
      </c>
      <c r="K917" s="1480"/>
      <c r="L917" s="1480"/>
      <c r="M917" s="1480">
        <f t="shared" si="84"/>
        <v>0</v>
      </c>
      <c r="N917" s="1480">
        <f t="shared" si="85"/>
        <v>0</v>
      </c>
      <c r="O917" s="1481">
        <f t="shared" si="81"/>
        <v>0</v>
      </c>
      <c r="P917" s="1427">
        <f t="shared" si="82"/>
        <v>0</v>
      </c>
    </row>
    <row r="918" spans="1:16" ht="31" outlineLevel="1" x14ac:dyDescent="0.25">
      <c r="A918" s="1484">
        <f t="shared" si="87"/>
        <v>43.1</v>
      </c>
      <c r="B918" s="1485" t="str">
        <f t="shared" si="87"/>
        <v>Flue Gas Desulphurization (FGD) System at Unit 3 &amp; 4, Chandrapur</v>
      </c>
      <c r="C918" s="1488" t="str">
        <f t="shared" si="87"/>
        <v>MERC/CAPEX/MSPGCL/2023-2024/0459</v>
      </c>
      <c r="D918" s="1413">
        <f t="shared" si="87"/>
        <v>45174</v>
      </c>
      <c r="E918" s="560">
        <f t="shared" si="87"/>
        <v>109.4</v>
      </c>
      <c r="F918" s="1508">
        <f t="shared" si="79"/>
        <v>0</v>
      </c>
      <c r="G918" s="1508">
        <f t="shared" si="80"/>
        <v>0</v>
      </c>
      <c r="H918" s="1508">
        <f t="shared" si="83"/>
        <v>0</v>
      </c>
      <c r="I918" s="1480">
        <v>0</v>
      </c>
      <c r="J918" s="1480">
        <v>0</v>
      </c>
      <c r="K918" s="1508"/>
      <c r="L918" s="1508"/>
      <c r="M918" s="1509">
        <f t="shared" si="84"/>
        <v>0</v>
      </c>
      <c r="N918" s="1508">
        <f t="shared" si="85"/>
        <v>0</v>
      </c>
      <c r="O918" s="1481">
        <f t="shared" si="81"/>
        <v>0</v>
      </c>
      <c r="P918" s="1427">
        <f t="shared" si="82"/>
        <v>0</v>
      </c>
    </row>
    <row r="919" spans="1:16" ht="31" outlineLevel="1" x14ac:dyDescent="0.25">
      <c r="A919" s="1484">
        <f t="shared" si="87"/>
        <v>0</v>
      </c>
      <c r="B919" s="1485" t="str">
        <f t="shared" si="87"/>
        <v>IDC</v>
      </c>
      <c r="C919" s="1488" t="str">
        <f t="shared" si="87"/>
        <v>MERC/CAPEX/MSPGCL/2023-2024/0459</v>
      </c>
      <c r="D919" s="1413">
        <f t="shared" si="87"/>
        <v>45174</v>
      </c>
      <c r="E919" s="560">
        <f t="shared" si="87"/>
        <v>5.94</v>
      </c>
      <c r="F919" s="1508">
        <f t="shared" si="79"/>
        <v>0</v>
      </c>
      <c r="G919" s="1508">
        <f t="shared" si="80"/>
        <v>0</v>
      </c>
      <c r="H919" s="1508">
        <f t="shared" si="83"/>
        <v>0</v>
      </c>
      <c r="I919" s="1480">
        <v>0</v>
      </c>
      <c r="J919" s="1480">
        <v>0</v>
      </c>
      <c r="K919" s="1508"/>
      <c r="L919" s="1508"/>
      <c r="M919" s="1509">
        <f t="shared" si="84"/>
        <v>0</v>
      </c>
      <c r="N919" s="1508">
        <f t="shared" si="85"/>
        <v>0</v>
      </c>
      <c r="O919" s="1481">
        <f t="shared" si="81"/>
        <v>0</v>
      </c>
      <c r="P919" s="1427">
        <f t="shared" si="82"/>
        <v>0</v>
      </c>
    </row>
    <row r="920" spans="1:16" ht="77.5" outlineLevel="1" x14ac:dyDescent="0.25">
      <c r="A920" s="1489">
        <f t="shared" ref="A920:E935" si="88">A250</f>
        <v>44</v>
      </c>
      <c r="B920" s="1490" t="str">
        <f t="shared" si="88"/>
        <v>Design, Engineering, Manufacturing, Transportation to CSTPS site, unloading, Erection, Testing &amp; Commissioning of 3 nos. of new 200MVA. 21/400/√3KV, Single phase Generator Transformers, BHEL make for 3 X 500 MW Unit#5,6&amp;7 500MW Stage-III CSTPS, Chandrapur</v>
      </c>
      <c r="C920" s="1486" t="str">
        <f t="shared" si="88"/>
        <v>MERC/CAPEX/2022-2023/0409</v>
      </c>
      <c r="D920" s="1487">
        <f t="shared" si="88"/>
        <v>44806</v>
      </c>
      <c r="E920" s="1383">
        <f t="shared" si="88"/>
        <v>33.268000000000001</v>
      </c>
      <c r="F920" s="1480">
        <f t="shared" si="79"/>
        <v>0</v>
      </c>
      <c r="G920" s="1480">
        <f t="shared" si="80"/>
        <v>0</v>
      </c>
      <c r="H920" s="1480">
        <f t="shared" si="83"/>
        <v>0</v>
      </c>
      <c r="I920" s="1480">
        <v>0</v>
      </c>
      <c r="J920" s="1480">
        <v>0</v>
      </c>
      <c r="K920" s="1480"/>
      <c r="L920" s="1480"/>
      <c r="M920" s="1480">
        <f t="shared" si="84"/>
        <v>0</v>
      </c>
      <c r="N920" s="1480">
        <f t="shared" si="85"/>
        <v>0</v>
      </c>
      <c r="O920" s="1481">
        <f t="shared" si="81"/>
        <v>0</v>
      </c>
      <c r="P920" s="1427">
        <f t="shared" si="82"/>
        <v>0</v>
      </c>
    </row>
    <row r="921" spans="1:16" ht="93" outlineLevel="1" x14ac:dyDescent="0.25">
      <c r="A921" s="1484">
        <f t="shared" si="88"/>
        <v>44.1</v>
      </c>
      <c r="B921" s="1485" t="str">
        <f t="shared" si="88"/>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921" s="1488" t="str">
        <f t="shared" si="88"/>
        <v>MERC/CAPEX/2022-2023/0409</v>
      </c>
      <c r="D921" s="1413">
        <f t="shared" si="88"/>
        <v>44806</v>
      </c>
      <c r="E921" s="560">
        <f t="shared" si="88"/>
        <v>32.567999999999998</v>
      </c>
      <c r="F921" s="1508">
        <f t="shared" si="79"/>
        <v>0</v>
      </c>
      <c r="G921" s="1508">
        <f t="shared" si="80"/>
        <v>0</v>
      </c>
      <c r="H921" s="1508">
        <f t="shared" si="83"/>
        <v>0</v>
      </c>
      <c r="I921" s="1480">
        <v>0</v>
      </c>
      <c r="J921" s="1480">
        <v>0</v>
      </c>
      <c r="K921" s="1508"/>
      <c r="L921" s="1508"/>
      <c r="M921" s="1509">
        <f t="shared" si="84"/>
        <v>0</v>
      </c>
      <c r="N921" s="1508">
        <f t="shared" si="85"/>
        <v>0</v>
      </c>
      <c r="O921" s="1481">
        <f t="shared" si="81"/>
        <v>0</v>
      </c>
      <c r="P921" s="1427">
        <f t="shared" si="82"/>
        <v>0</v>
      </c>
    </row>
    <row r="922" spans="1:16" ht="15.5" outlineLevel="1" x14ac:dyDescent="0.25">
      <c r="A922" s="1484">
        <f t="shared" si="88"/>
        <v>0</v>
      </c>
      <c r="B922" s="1485" t="str">
        <f t="shared" si="88"/>
        <v>IDC</v>
      </c>
      <c r="C922" s="1482" t="str">
        <f t="shared" si="88"/>
        <v>MERC/CAPEX/2022-2023/0409</v>
      </c>
      <c r="D922" s="1390">
        <f t="shared" si="88"/>
        <v>44806</v>
      </c>
      <c r="E922" s="560">
        <f t="shared" si="88"/>
        <v>0.7</v>
      </c>
      <c r="F922" s="1508">
        <f t="shared" si="79"/>
        <v>0</v>
      </c>
      <c r="G922" s="1508">
        <f t="shared" si="80"/>
        <v>0</v>
      </c>
      <c r="H922" s="1508">
        <f t="shared" si="83"/>
        <v>0</v>
      </c>
      <c r="I922" s="1480">
        <v>0</v>
      </c>
      <c r="J922" s="1480">
        <v>0</v>
      </c>
      <c r="K922" s="1508"/>
      <c r="L922" s="1508"/>
      <c r="M922" s="1509">
        <f t="shared" si="84"/>
        <v>0</v>
      </c>
      <c r="N922" s="1508">
        <f t="shared" si="85"/>
        <v>0</v>
      </c>
      <c r="O922" s="1481">
        <f t="shared" si="81"/>
        <v>0</v>
      </c>
      <c r="P922" s="1427">
        <f t="shared" si="82"/>
        <v>0</v>
      </c>
    </row>
    <row r="923" spans="1:16" ht="93" outlineLevel="1" x14ac:dyDescent="0.25">
      <c r="A923" s="1489">
        <f t="shared" si="88"/>
        <v>45</v>
      </c>
      <c r="B923" s="1490" t="str">
        <f t="shared" si="88"/>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923" s="1486" t="str">
        <f t="shared" si="88"/>
        <v>MERC/CAPEX/2022-2023/MSPGCL/0458</v>
      </c>
      <c r="D923" s="1487">
        <f t="shared" si="88"/>
        <v>45174</v>
      </c>
      <c r="E923" s="560">
        <f t="shared" si="88"/>
        <v>145.05495436368</v>
      </c>
      <c r="F923" s="1508">
        <f t="shared" si="79"/>
        <v>0</v>
      </c>
      <c r="G923" s="1508">
        <f t="shared" si="80"/>
        <v>0</v>
      </c>
      <c r="H923" s="1508">
        <f t="shared" si="83"/>
        <v>0</v>
      </c>
      <c r="I923" s="1480">
        <v>0</v>
      </c>
      <c r="J923" s="1480">
        <v>0</v>
      </c>
      <c r="K923" s="1508"/>
      <c r="L923" s="1508"/>
      <c r="M923" s="1509">
        <f t="shared" ref="M923:M951" si="89">SUM(J923:L923)</f>
        <v>0</v>
      </c>
      <c r="N923" s="1508">
        <f t="shared" si="85"/>
        <v>0</v>
      </c>
      <c r="O923" s="1481"/>
      <c r="P923" s="1427"/>
    </row>
    <row r="924" spans="1:16" ht="31" outlineLevel="1" x14ac:dyDescent="0.25">
      <c r="A924" s="1484">
        <f t="shared" si="88"/>
        <v>45.1</v>
      </c>
      <c r="B924" s="1485" t="str">
        <f t="shared" si="88"/>
        <v>Construction of 4th raising of existing Ash Bund from T.B.L. 198.00 M to T.B.L 201.00 M</v>
      </c>
      <c r="C924" s="1488" t="str">
        <f t="shared" si="88"/>
        <v>MERC/CAPEX/2022-2023/MSPGCL/0458</v>
      </c>
      <c r="D924" s="1413">
        <f t="shared" si="88"/>
        <v>45174</v>
      </c>
      <c r="E924" s="560">
        <f t="shared" si="88"/>
        <v>101.81018586775998</v>
      </c>
      <c r="F924" s="1508">
        <f t="shared" si="79"/>
        <v>0</v>
      </c>
      <c r="G924" s="1508">
        <f t="shared" si="80"/>
        <v>0</v>
      </c>
      <c r="H924" s="1508">
        <f t="shared" si="83"/>
        <v>0</v>
      </c>
      <c r="I924" s="1480">
        <v>40.1338133</v>
      </c>
      <c r="J924" s="1480">
        <v>40.1338133</v>
      </c>
      <c r="K924" s="1508"/>
      <c r="L924" s="1508"/>
      <c r="M924" s="1509">
        <f t="shared" si="89"/>
        <v>40.1338133</v>
      </c>
      <c r="N924" s="1508">
        <f t="shared" si="85"/>
        <v>0</v>
      </c>
      <c r="O924" s="1481"/>
      <c r="P924" s="1427"/>
    </row>
    <row r="925" spans="1:16" ht="31" outlineLevel="1" x14ac:dyDescent="0.25">
      <c r="A925" s="1484">
        <f t="shared" si="88"/>
        <v>45.2</v>
      </c>
      <c r="B925" s="1485" t="str">
        <f t="shared" si="88"/>
        <v>Construction of New Drain Wells (12 Nos.) along with necessary connection to existing drain wells at CSTPS</v>
      </c>
      <c r="C925" s="1488" t="str">
        <f t="shared" si="88"/>
        <v>MERC/CAPEX/2022-2023/MSPGCL/0458</v>
      </c>
      <c r="D925" s="1413">
        <f t="shared" si="88"/>
        <v>45174</v>
      </c>
      <c r="E925" s="560">
        <f t="shared" si="88"/>
        <v>1.7079926814999997</v>
      </c>
      <c r="F925" s="1508">
        <f t="shared" si="79"/>
        <v>0</v>
      </c>
      <c r="G925" s="1508">
        <f t="shared" si="80"/>
        <v>0</v>
      </c>
      <c r="H925" s="1508">
        <f t="shared" si="83"/>
        <v>0</v>
      </c>
      <c r="I925" s="1480">
        <v>0</v>
      </c>
      <c r="J925" s="1480">
        <v>0</v>
      </c>
      <c r="K925" s="1508"/>
      <c r="L925" s="1508"/>
      <c r="M925" s="1509">
        <f t="shared" si="89"/>
        <v>0</v>
      </c>
      <c r="N925" s="1508">
        <f t="shared" si="85"/>
        <v>0</v>
      </c>
      <c r="O925" s="1481"/>
      <c r="P925" s="1427"/>
    </row>
    <row r="926" spans="1:16" ht="31" outlineLevel="1" x14ac:dyDescent="0.25">
      <c r="A926" s="1484">
        <f t="shared" si="88"/>
        <v>45.3</v>
      </c>
      <c r="B926" s="1485" t="str">
        <f t="shared" si="88"/>
        <v xml:space="preserve"> Construction of waste weir for raising of ash bund (Waste Weir &amp; Non overflow structure)</v>
      </c>
      <c r="C926" s="1488" t="str">
        <f t="shared" si="88"/>
        <v>MERC/CAPEX/2022-2023/MSPGCL/0458</v>
      </c>
      <c r="D926" s="1413">
        <f t="shared" si="88"/>
        <v>45174</v>
      </c>
      <c r="E926" s="560">
        <f t="shared" si="88"/>
        <v>4.2692499462199995</v>
      </c>
      <c r="F926" s="1508">
        <f t="shared" si="79"/>
        <v>0</v>
      </c>
      <c r="G926" s="1508">
        <f t="shared" si="80"/>
        <v>0</v>
      </c>
      <c r="H926" s="1508">
        <f t="shared" si="83"/>
        <v>0</v>
      </c>
      <c r="I926" s="1480">
        <v>0</v>
      </c>
      <c r="J926" s="1480">
        <v>0</v>
      </c>
      <c r="K926" s="1508"/>
      <c r="L926" s="1508"/>
      <c r="M926" s="1509">
        <f t="shared" si="89"/>
        <v>0</v>
      </c>
      <c r="N926" s="1508">
        <f t="shared" si="85"/>
        <v>0</v>
      </c>
      <c r="O926" s="1481"/>
      <c r="P926" s="1427"/>
    </row>
    <row r="927" spans="1:16" ht="31" outlineLevel="1" x14ac:dyDescent="0.25">
      <c r="A927" s="1484">
        <f t="shared" si="88"/>
        <v>45.4</v>
      </c>
      <c r="B927" s="1485" t="str">
        <f t="shared" si="88"/>
        <v>Raising of Ash Compartment i.e. Lagoon in Ash Bund</v>
      </c>
      <c r="C927" s="1488" t="str">
        <f t="shared" si="88"/>
        <v>MERC/CAPEX/2022-2023/MSPGCL/0458</v>
      </c>
      <c r="D927" s="1413">
        <f t="shared" si="88"/>
        <v>45174</v>
      </c>
      <c r="E927" s="560">
        <f t="shared" si="88"/>
        <v>25.657525868199997</v>
      </c>
      <c r="F927" s="1508">
        <f t="shared" si="79"/>
        <v>0</v>
      </c>
      <c r="G927" s="1508">
        <f t="shared" si="80"/>
        <v>0</v>
      </c>
      <c r="H927" s="1508">
        <f t="shared" si="83"/>
        <v>0</v>
      </c>
      <c r="I927" s="1480">
        <v>0</v>
      </c>
      <c r="J927" s="1480">
        <v>0</v>
      </c>
      <c r="K927" s="1508"/>
      <c r="L927" s="1508"/>
      <c r="M927" s="1509">
        <f t="shared" si="89"/>
        <v>0</v>
      </c>
      <c r="N927" s="1508">
        <f t="shared" si="85"/>
        <v>0</v>
      </c>
      <c r="O927" s="1481"/>
      <c r="P927" s="1427"/>
    </row>
    <row r="928" spans="1:16" ht="31" outlineLevel="1" x14ac:dyDescent="0.25">
      <c r="A928" s="1484">
        <f t="shared" si="88"/>
        <v>0</v>
      </c>
      <c r="B928" s="1485" t="str">
        <f t="shared" si="88"/>
        <v>IDC</v>
      </c>
      <c r="C928" s="1482" t="str">
        <f t="shared" si="88"/>
        <v>MERC/CAPEX/2022-2023/MSPGCL/0458</v>
      </c>
      <c r="D928" s="1390">
        <f t="shared" si="88"/>
        <v>45174</v>
      </c>
      <c r="E928" s="560">
        <f t="shared" si="88"/>
        <v>11.61</v>
      </c>
      <c r="F928" s="1508">
        <f t="shared" si="79"/>
        <v>0</v>
      </c>
      <c r="G928" s="1508">
        <f t="shared" si="80"/>
        <v>0</v>
      </c>
      <c r="H928" s="1508">
        <f t="shared" si="83"/>
        <v>0</v>
      </c>
      <c r="I928" s="1480">
        <v>0</v>
      </c>
      <c r="J928" s="1480">
        <v>0</v>
      </c>
      <c r="K928" s="1508"/>
      <c r="L928" s="1508"/>
      <c r="M928" s="1509">
        <f t="shared" si="89"/>
        <v>0</v>
      </c>
      <c r="N928" s="1508">
        <f t="shared" si="85"/>
        <v>0</v>
      </c>
      <c r="O928" s="1481"/>
      <c r="P928" s="1427"/>
    </row>
    <row r="929" spans="1:16" ht="46.5" outlineLevel="1" x14ac:dyDescent="0.25">
      <c r="A929" s="1489">
        <f t="shared" si="88"/>
        <v>46</v>
      </c>
      <c r="B929" s="1490" t="str">
        <f t="shared" si="88"/>
        <v>Procurement of 03 Nos. of complete assembly of 3.3 KV, 300 KW Boiler Circulation Water Pump - Motors along with Impeller for Unit#5&amp;6, 500MW Stage-III CSTPS Chandrapur</v>
      </c>
      <c r="C929" s="1486" t="str">
        <f t="shared" si="88"/>
        <v>MERC/CAPEX/2024-2025/MSPGCL/0308</v>
      </c>
      <c r="D929" s="1487">
        <f t="shared" si="88"/>
        <v>45429</v>
      </c>
      <c r="E929" s="560">
        <f t="shared" si="88"/>
        <v>37.32</v>
      </c>
      <c r="F929" s="1508">
        <f t="shared" si="79"/>
        <v>0</v>
      </c>
      <c r="G929" s="1508">
        <f t="shared" si="80"/>
        <v>0</v>
      </c>
      <c r="H929" s="1508">
        <f t="shared" si="83"/>
        <v>0</v>
      </c>
      <c r="I929" s="1480">
        <v>0</v>
      </c>
      <c r="J929" s="1480">
        <v>0</v>
      </c>
      <c r="K929" s="1508"/>
      <c r="L929" s="1508"/>
      <c r="M929" s="1509">
        <f t="shared" si="89"/>
        <v>0</v>
      </c>
      <c r="N929" s="1508">
        <f t="shared" si="85"/>
        <v>0</v>
      </c>
      <c r="O929" s="1481"/>
      <c r="P929" s="1427"/>
    </row>
    <row r="930" spans="1:16" ht="46.5" outlineLevel="1" x14ac:dyDescent="0.25">
      <c r="A930" s="1484">
        <f t="shared" si="88"/>
        <v>46.1</v>
      </c>
      <c r="B930" s="1485" t="str">
        <f t="shared" si="88"/>
        <v>Procurement of 03 Nos. of complete assembly of 3.3 KV, 300 KW Boiler Circulation Water Pump - Motors along with Impeller for Unit#5&amp;6, 500MW Stage-III CSTPS Chandrapur</v>
      </c>
      <c r="C930" s="1488" t="str">
        <f t="shared" si="88"/>
        <v>MERC/CAPEX/2024-2025/MSPGCL/0308</v>
      </c>
      <c r="D930" s="1495">
        <f t="shared" si="88"/>
        <v>45429</v>
      </c>
      <c r="E930" s="560">
        <f t="shared" si="88"/>
        <v>0</v>
      </c>
      <c r="F930" s="1508">
        <f t="shared" si="79"/>
        <v>0</v>
      </c>
      <c r="G930" s="1508">
        <f t="shared" si="80"/>
        <v>0</v>
      </c>
      <c r="H930" s="1508">
        <f t="shared" si="83"/>
        <v>0</v>
      </c>
      <c r="I930" s="1480">
        <v>0</v>
      </c>
      <c r="J930" s="1480">
        <v>0</v>
      </c>
      <c r="K930" s="1508"/>
      <c r="L930" s="1508"/>
      <c r="M930" s="1509">
        <f t="shared" si="89"/>
        <v>0</v>
      </c>
      <c r="N930" s="1508">
        <f t="shared" si="85"/>
        <v>0</v>
      </c>
      <c r="O930" s="1481"/>
      <c r="P930" s="1427"/>
    </row>
    <row r="931" spans="1:16" ht="31" outlineLevel="1" x14ac:dyDescent="0.25">
      <c r="A931" s="1484">
        <f t="shared" si="88"/>
        <v>0</v>
      </c>
      <c r="B931" s="1485" t="str">
        <f t="shared" si="88"/>
        <v>IDC</v>
      </c>
      <c r="C931" s="1488" t="str">
        <f t="shared" si="88"/>
        <v>MERC/CAPEX/2024-2025/MSPGCL/0308</v>
      </c>
      <c r="D931" s="1495">
        <f t="shared" si="88"/>
        <v>45429</v>
      </c>
      <c r="E931" s="560">
        <f t="shared" si="88"/>
        <v>0</v>
      </c>
      <c r="F931" s="1508">
        <f t="shared" si="79"/>
        <v>0</v>
      </c>
      <c r="G931" s="1508">
        <f t="shared" si="80"/>
        <v>0</v>
      </c>
      <c r="H931" s="1508">
        <f t="shared" si="83"/>
        <v>0</v>
      </c>
      <c r="I931" s="1480">
        <v>0</v>
      </c>
      <c r="J931" s="1480">
        <v>0</v>
      </c>
      <c r="K931" s="1508"/>
      <c r="L931" s="1508"/>
      <c r="M931" s="1509">
        <f t="shared" si="89"/>
        <v>0</v>
      </c>
      <c r="N931" s="1508">
        <f t="shared" si="85"/>
        <v>0</v>
      </c>
      <c r="O931" s="1481"/>
      <c r="P931" s="1427"/>
    </row>
    <row r="932" spans="1:16" ht="31" outlineLevel="1" x14ac:dyDescent="0.25">
      <c r="A932" s="1489">
        <f t="shared" si="88"/>
        <v>47</v>
      </c>
      <c r="B932" s="1490" t="str">
        <f t="shared" si="88"/>
        <v>Performance Improvement &amp; Life Extension Schemes for CHP of Unit 3 to 7 of CSTPS, Chandrapur</v>
      </c>
      <c r="C932" s="1486" t="str">
        <f t="shared" si="88"/>
        <v>MERC/CAPEX/MSPGCL/2023-24/0560</v>
      </c>
      <c r="D932" s="1413">
        <f t="shared" si="88"/>
        <v>45230</v>
      </c>
      <c r="E932" s="560">
        <f t="shared" si="88"/>
        <v>43.01</v>
      </c>
      <c r="F932" s="1508">
        <f t="shared" si="79"/>
        <v>0</v>
      </c>
      <c r="G932" s="1508">
        <f t="shared" si="80"/>
        <v>0</v>
      </c>
      <c r="H932" s="1508">
        <f t="shared" si="83"/>
        <v>0</v>
      </c>
      <c r="I932" s="1480">
        <v>0</v>
      </c>
      <c r="J932" s="1480">
        <v>0</v>
      </c>
      <c r="K932" s="1508"/>
      <c r="L932" s="1508"/>
      <c r="M932" s="1509">
        <f t="shared" si="89"/>
        <v>0</v>
      </c>
      <c r="N932" s="1508">
        <f t="shared" si="85"/>
        <v>0</v>
      </c>
      <c r="O932" s="1481"/>
      <c r="P932" s="1427"/>
    </row>
    <row r="933" spans="1:16" ht="31" outlineLevel="1" x14ac:dyDescent="0.25">
      <c r="A933" s="1484">
        <f t="shared" si="88"/>
        <v>47.1</v>
      </c>
      <c r="B933" s="1485" t="str">
        <f t="shared" si="88"/>
        <v>Work of Renovation/Upgradation/Modification of Crusher House of CHPA of Unit 3&amp;4 of CSTPS Chandrapur.</v>
      </c>
      <c r="C933" s="1488" t="str">
        <f t="shared" si="88"/>
        <v>MERC/CAPEX/MSPGCL/2023-24/0560</v>
      </c>
      <c r="D933" s="1413">
        <f t="shared" si="88"/>
        <v>45230</v>
      </c>
      <c r="E933" s="560">
        <f t="shared" si="88"/>
        <v>5.66</v>
      </c>
      <c r="F933" s="1508">
        <f t="shared" si="79"/>
        <v>0</v>
      </c>
      <c r="G933" s="1508">
        <f t="shared" si="80"/>
        <v>0</v>
      </c>
      <c r="H933" s="1508">
        <f t="shared" si="83"/>
        <v>0</v>
      </c>
      <c r="I933" s="1480">
        <v>0</v>
      </c>
      <c r="J933" s="1480">
        <v>0</v>
      </c>
      <c r="K933" s="1508"/>
      <c r="L933" s="1508"/>
      <c r="M933" s="1509">
        <f t="shared" si="89"/>
        <v>0</v>
      </c>
      <c r="N933" s="1508">
        <f t="shared" si="85"/>
        <v>0</v>
      </c>
      <c r="O933" s="1481"/>
      <c r="P933" s="1427"/>
    </row>
    <row r="934" spans="1:16" ht="31" outlineLevel="1" x14ac:dyDescent="0.25">
      <c r="A934" s="1484">
        <f t="shared" si="88"/>
        <v>47.2</v>
      </c>
      <c r="B934" s="1485" t="str">
        <f t="shared" si="88"/>
        <v>Work of Renovation/Upgradation/Modification of Belt Conveyor 10A/B/C of CHPA of Unit 3&amp;4 of CSTPS Chandrapur.</v>
      </c>
      <c r="C934" s="1488" t="str">
        <f t="shared" si="88"/>
        <v>MERC/CAPEX/MSPGCL/2023-24/0560</v>
      </c>
      <c r="D934" s="1413">
        <f t="shared" si="88"/>
        <v>45230</v>
      </c>
      <c r="E934" s="560">
        <f t="shared" si="88"/>
        <v>8.17</v>
      </c>
      <c r="F934" s="1508">
        <f t="shared" si="79"/>
        <v>0</v>
      </c>
      <c r="G934" s="1508">
        <f t="shared" si="80"/>
        <v>0</v>
      </c>
      <c r="H934" s="1508">
        <f t="shared" si="83"/>
        <v>0</v>
      </c>
      <c r="I934" s="1480">
        <v>0</v>
      </c>
      <c r="J934" s="1480">
        <v>0</v>
      </c>
      <c r="K934" s="1508"/>
      <c r="L934" s="1508"/>
      <c r="M934" s="1509">
        <f t="shared" si="89"/>
        <v>0</v>
      </c>
      <c r="N934" s="1508">
        <f t="shared" si="85"/>
        <v>0</v>
      </c>
      <c r="O934" s="1481"/>
      <c r="P934" s="1427"/>
    </row>
    <row r="935" spans="1:16" ht="31" outlineLevel="1" x14ac:dyDescent="0.25">
      <c r="A935" s="1484">
        <f t="shared" si="88"/>
        <v>47.3</v>
      </c>
      <c r="B935" s="1485" t="str">
        <f t="shared" si="88"/>
        <v xml:space="preserve">Work of Modification/Modernization of conveyor cable of 10 A/B/C of CHPA of Unit 3&amp;4 of CSTPS Chandrapur. </v>
      </c>
      <c r="C935" s="1488" t="str">
        <f t="shared" si="88"/>
        <v>MERC/CAPEX/MSPGCL/2023-24/0560</v>
      </c>
      <c r="D935" s="1413">
        <f t="shared" si="88"/>
        <v>45230</v>
      </c>
      <c r="E935" s="560">
        <f t="shared" si="88"/>
        <v>4.12</v>
      </c>
      <c r="F935" s="1508">
        <f t="shared" si="79"/>
        <v>0</v>
      </c>
      <c r="G935" s="1508">
        <f t="shared" si="80"/>
        <v>0</v>
      </c>
      <c r="H935" s="1508">
        <f t="shared" si="83"/>
        <v>0</v>
      </c>
      <c r="I935" s="1480">
        <v>0</v>
      </c>
      <c r="J935" s="1480">
        <v>0</v>
      </c>
      <c r="K935" s="1508"/>
      <c r="L935" s="1508"/>
      <c r="M935" s="1509">
        <f t="shared" si="89"/>
        <v>0</v>
      </c>
      <c r="N935" s="1508">
        <f t="shared" si="85"/>
        <v>0</v>
      </c>
      <c r="O935" s="1481"/>
      <c r="P935" s="1427"/>
    </row>
    <row r="936" spans="1:16" ht="46.5" outlineLevel="1" x14ac:dyDescent="0.25">
      <c r="A936" s="1484">
        <f t="shared" ref="A936:E951" si="90">A266</f>
        <v>47.4</v>
      </c>
      <c r="B936" s="1485" t="str">
        <f t="shared" si="90"/>
        <v xml:space="preserve">Design, Engineering, Supply, Erection and commissioning of bypass chute with hydraulic cylinder &amp; modification/renovation at JT-06 of CHPA of Unit 3&amp;4 of CSTPS Chandrapur. </v>
      </c>
      <c r="C936" s="1488" t="str">
        <f t="shared" si="90"/>
        <v>MERC/CAPEX/MSPGCL/2023-24/0560</v>
      </c>
      <c r="D936" s="1413">
        <f t="shared" si="90"/>
        <v>45230</v>
      </c>
      <c r="E936" s="560">
        <f t="shared" si="90"/>
        <v>3.72</v>
      </c>
      <c r="F936" s="1508">
        <f t="shared" ref="F936:F999" si="91">F266+I266</f>
        <v>0</v>
      </c>
      <c r="G936" s="1508">
        <f t="shared" ref="G936:G999" si="92">G266+M266</f>
        <v>0</v>
      </c>
      <c r="H936" s="1508">
        <f t="shared" si="83"/>
        <v>0</v>
      </c>
      <c r="I936" s="1480">
        <v>0</v>
      </c>
      <c r="J936" s="1480">
        <v>0</v>
      </c>
      <c r="K936" s="1508"/>
      <c r="L936" s="1508"/>
      <c r="M936" s="1509">
        <f t="shared" si="89"/>
        <v>0</v>
      </c>
      <c r="N936" s="1508">
        <f t="shared" si="85"/>
        <v>0</v>
      </c>
      <c r="O936" s="1481"/>
      <c r="P936" s="1427"/>
    </row>
    <row r="937" spans="1:16" ht="46.5" outlineLevel="1" x14ac:dyDescent="0.25">
      <c r="A937" s="1484">
        <f t="shared" si="90"/>
        <v>47.5</v>
      </c>
      <c r="B937" s="1485" t="str">
        <f t="shared" si="90"/>
        <v xml:space="preserve">Design, Engineering, Supply, Erection and Installation of Wear Resistance Chutes for Belt Conveyor System at CHPA/B of Unit 3to9 of CSTPS Chandrapur. </v>
      </c>
      <c r="C937" s="1488" t="str">
        <f t="shared" si="90"/>
        <v>MERC/CAPEX/MSPGCL/2023-24/0560</v>
      </c>
      <c r="D937" s="1413">
        <f t="shared" si="90"/>
        <v>45230</v>
      </c>
      <c r="E937" s="560">
        <f t="shared" si="90"/>
        <v>3.45</v>
      </c>
      <c r="F937" s="1508">
        <f t="shared" si="91"/>
        <v>0</v>
      </c>
      <c r="G937" s="1508">
        <f t="shared" si="92"/>
        <v>0</v>
      </c>
      <c r="H937" s="1508">
        <f t="shared" si="83"/>
        <v>0</v>
      </c>
      <c r="I937" s="1480">
        <v>0</v>
      </c>
      <c r="J937" s="1480">
        <v>0</v>
      </c>
      <c r="K937" s="1508"/>
      <c r="L937" s="1508"/>
      <c r="M937" s="1509">
        <f t="shared" si="89"/>
        <v>0</v>
      </c>
      <c r="N937" s="1508">
        <f t="shared" si="85"/>
        <v>0</v>
      </c>
      <c r="O937" s="1481"/>
      <c r="P937" s="1427"/>
    </row>
    <row r="938" spans="1:16" ht="46.5" outlineLevel="1" x14ac:dyDescent="0.25">
      <c r="A938" s="1484">
        <f t="shared" si="90"/>
        <v>47.6</v>
      </c>
      <c r="B938" s="1485" t="str">
        <f t="shared" si="90"/>
        <v xml:space="preserve">Work of Modification/Renovation/Upgradation of Ventilation System of Track Hopper of CHPB of Unit 5,6&amp;7 of CSTPS Chandrapur. </v>
      </c>
      <c r="C938" s="1488" t="str">
        <f t="shared" si="90"/>
        <v>MERC/CAPEX/MSPGCL/2023-24/0560</v>
      </c>
      <c r="D938" s="1413">
        <f t="shared" si="90"/>
        <v>45230</v>
      </c>
      <c r="E938" s="560">
        <f t="shared" si="90"/>
        <v>4.5999999999999996</v>
      </c>
      <c r="F938" s="1508">
        <f t="shared" si="91"/>
        <v>0</v>
      </c>
      <c r="G938" s="1508">
        <f t="shared" si="92"/>
        <v>0</v>
      </c>
      <c r="H938" s="1508">
        <f t="shared" si="83"/>
        <v>0</v>
      </c>
      <c r="I938" s="1480">
        <v>0</v>
      </c>
      <c r="J938" s="1480">
        <v>0</v>
      </c>
      <c r="K938" s="1508"/>
      <c r="L938" s="1508"/>
      <c r="M938" s="1509">
        <f t="shared" si="89"/>
        <v>0</v>
      </c>
      <c r="N938" s="1508">
        <f t="shared" si="85"/>
        <v>0</v>
      </c>
      <c r="O938" s="1481"/>
      <c r="P938" s="1427"/>
    </row>
    <row r="939" spans="1:16" ht="31" outlineLevel="1" x14ac:dyDescent="0.25">
      <c r="A939" s="1484">
        <f t="shared" si="90"/>
        <v>47.7</v>
      </c>
      <c r="B939" s="1485" t="str">
        <f t="shared" si="90"/>
        <v xml:space="preserve">Work of Renovation /Upgradation of Hydraulic System of Paddle Feeder at CHPB of Unit 5,6&amp;7 of CSTPS Chandrapur.  </v>
      </c>
      <c r="C939" s="1488" t="str">
        <f t="shared" si="90"/>
        <v>MERC/CAPEX/MSPGCL/2023-24/0560</v>
      </c>
      <c r="D939" s="1413">
        <f t="shared" si="90"/>
        <v>45230</v>
      </c>
      <c r="E939" s="560">
        <f t="shared" si="90"/>
        <v>8.14</v>
      </c>
      <c r="F939" s="1508">
        <f t="shared" si="91"/>
        <v>0</v>
      </c>
      <c r="G939" s="1508">
        <f t="shared" si="92"/>
        <v>0</v>
      </c>
      <c r="H939" s="1508">
        <f t="shared" si="83"/>
        <v>0</v>
      </c>
      <c r="I939" s="1480">
        <v>0</v>
      </c>
      <c r="J939" s="1480">
        <v>0</v>
      </c>
      <c r="K939" s="1508"/>
      <c r="L939" s="1508"/>
      <c r="M939" s="1509">
        <f t="shared" si="89"/>
        <v>0</v>
      </c>
      <c r="N939" s="1508">
        <f t="shared" si="85"/>
        <v>0</v>
      </c>
      <c r="O939" s="1481"/>
      <c r="P939" s="1427"/>
    </row>
    <row r="940" spans="1:16" ht="46.5" outlineLevel="1" x14ac:dyDescent="0.25">
      <c r="A940" s="1484">
        <f t="shared" si="90"/>
        <v>47.8</v>
      </c>
      <c r="B940" s="1485" t="str">
        <f t="shared" si="90"/>
        <v xml:space="preserve">Design, Engineering, Manufacturing, Fabrication, Erection and commissioning of Modified Wobbler Feeder at CHPB of Unit 5,6&amp;7 of CSTPS Chandrapur. </v>
      </c>
      <c r="C940" s="1488" t="str">
        <f t="shared" si="90"/>
        <v>MERC/CAPEX/MSPGCL/2023-24/0560</v>
      </c>
      <c r="D940" s="1413">
        <f t="shared" si="90"/>
        <v>45230</v>
      </c>
      <c r="E940" s="560">
        <f t="shared" si="90"/>
        <v>4.18</v>
      </c>
      <c r="F940" s="1508">
        <f t="shared" si="91"/>
        <v>0</v>
      </c>
      <c r="G940" s="1508">
        <f t="shared" si="92"/>
        <v>0</v>
      </c>
      <c r="H940" s="1508">
        <f t="shared" si="83"/>
        <v>0</v>
      </c>
      <c r="I940" s="1480">
        <v>0</v>
      </c>
      <c r="J940" s="1480">
        <v>0</v>
      </c>
      <c r="K940" s="1508"/>
      <c r="L940" s="1508"/>
      <c r="M940" s="1509">
        <f t="shared" si="89"/>
        <v>0</v>
      </c>
      <c r="N940" s="1508">
        <f t="shared" si="85"/>
        <v>0</v>
      </c>
      <c r="O940" s="1481"/>
      <c r="P940" s="1427"/>
    </row>
    <row r="941" spans="1:16" ht="31" outlineLevel="1" x14ac:dyDescent="0.25">
      <c r="A941" s="1484">
        <f t="shared" si="90"/>
        <v>0</v>
      </c>
      <c r="B941" s="1485" t="str">
        <f t="shared" si="90"/>
        <v>IDC</v>
      </c>
      <c r="C941" s="1488" t="str">
        <f t="shared" si="90"/>
        <v>MERC/CAPEX/MSPGCL/2023-24/0560</v>
      </c>
      <c r="D941" s="1413">
        <f t="shared" si="90"/>
        <v>45230</v>
      </c>
      <c r="E941" s="560">
        <f t="shared" si="90"/>
        <v>0.97</v>
      </c>
      <c r="F941" s="1508">
        <f t="shared" si="91"/>
        <v>0</v>
      </c>
      <c r="G941" s="1508">
        <f t="shared" si="92"/>
        <v>0</v>
      </c>
      <c r="H941" s="1508">
        <f t="shared" si="83"/>
        <v>0</v>
      </c>
      <c r="I941" s="1480">
        <v>0</v>
      </c>
      <c r="J941" s="1480">
        <v>0</v>
      </c>
      <c r="K941" s="1508"/>
      <c r="L941" s="1508"/>
      <c r="M941" s="1509">
        <f t="shared" si="89"/>
        <v>0</v>
      </c>
      <c r="N941" s="1508">
        <f t="shared" si="85"/>
        <v>0</v>
      </c>
      <c r="O941" s="1481"/>
      <c r="P941" s="1427"/>
    </row>
    <row r="942" spans="1:16" ht="31" outlineLevel="1" x14ac:dyDescent="0.25">
      <c r="A942" s="1489" t="str">
        <f t="shared" si="90"/>
        <v>HO
DPR 17</v>
      </c>
      <c r="B942" s="1490" t="str">
        <f t="shared" si="90"/>
        <v>Construction of new Administrative Building for Mahagenco at Vidyut Bhawan, Katol Road, Nagpur</v>
      </c>
      <c r="C942" s="1486" t="str">
        <f t="shared" si="90"/>
        <v>MERC/CAPEX/2021-2022/MSPGCL/063</v>
      </c>
      <c r="D942" s="1487">
        <f t="shared" si="90"/>
        <v>44604</v>
      </c>
      <c r="E942" s="560">
        <f t="shared" si="90"/>
        <v>57</v>
      </c>
      <c r="F942" s="1508">
        <f t="shared" si="91"/>
        <v>0</v>
      </c>
      <c r="G942" s="1508">
        <f t="shared" si="92"/>
        <v>0</v>
      </c>
      <c r="H942" s="1508">
        <f t="shared" si="83"/>
        <v>0</v>
      </c>
      <c r="I942" s="1480">
        <v>0</v>
      </c>
      <c r="J942" s="1480">
        <v>0</v>
      </c>
      <c r="K942" s="1508"/>
      <c r="L942" s="1508"/>
      <c r="M942" s="1509">
        <f t="shared" si="89"/>
        <v>0</v>
      </c>
      <c r="N942" s="1508">
        <f t="shared" si="85"/>
        <v>0</v>
      </c>
      <c r="O942" s="1481"/>
      <c r="P942" s="1427"/>
    </row>
    <row r="943" spans="1:16" ht="46.5" outlineLevel="1" x14ac:dyDescent="0.25">
      <c r="A943" s="1484" t="str">
        <f t="shared" si="90"/>
        <v>HO
DPR 17.1</v>
      </c>
      <c r="B943" s="1485" t="str">
        <f t="shared" si="90"/>
        <v>Construction of new Administrative Building for Mahagenco at Vidyut Bhawan, Katol Road, Nagpur</v>
      </c>
      <c r="C943" s="1493" t="str">
        <f t="shared" si="90"/>
        <v>MERC/CAPEX/2021-2022/MSPGCL/063</v>
      </c>
      <c r="D943" s="1494">
        <f t="shared" si="90"/>
        <v>44604</v>
      </c>
      <c r="E943" s="560">
        <f t="shared" si="90"/>
        <v>54.24</v>
      </c>
      <c r="F943" s="1508">
        <f t="shared" si="91"/>
        <v>0</v>
      </c>
      <c r="G943" s="1508">
        <f t="shared" si="92"/>
        <v>0</v>
      </c>
      <c r="H943" s="1508">
        <f t="shared" si="83"/>
        <v>0</v>
      </c>
      <c r="I943" s="1480">
        <v>0</v>
      </c>
      <c r="J943" s="1480">
        <v>0</v>
      </c>
      <c r="K943" s="1508"/>
      <c r="L943" s="1508"/>
      <c r="M943" s="1509">
        <f t="shared" si="89"/>
        <v>0</v>
      </c>
      <c r="N943" s="1508">
        <f t="shared" si="85"/>
        <v>0</v>
      </c>
      <c r="O943" s="1481"/>
      <c r="P943" s="1427"/>
    </row>
    <row r="944" spans="1:16" ht="31" outlineLevel="1" x14ac:dyDescent="0.25">
      <c r="A944" s="1496">
        <f t="shared" si="90"/>
        <v>0</v>
      </c>
      <c r="B944" s="1485" t="str">
        <f t="shared" si="90"/>
        <v>IDC</v>
      </c>
      <c r="C944" s="1493" t="str">
        <f t="shared" si="90"/>
        <v>MERC/CAPEX/2021-2022/MSPGCL/063</v>
      </c>
      <c r="D944" s="1494">
        <f t="shared" si="90"/>
        <v>44604</v>
      </c>
      <c r="E944" s="560">
        <f t="shared" si="90"/>
        <v>2.76</v>
      </c>
      <c r="F944" s="1508">
        <f t="shared" si="91"/>
        <v>0</v>
      </c>
      <c r="G944" s="1508">
        <f t="shared" si="92"/>
        <v>0</v>
      </c>
      <c r="H944" s="1508">
        <f t="shared" si="83"/>
        <v>0</v>
      </c>
      <c r="I944" s="1480">
        <v>0</v>
      </c>
      <c r="J944" s="1480">
        <v>0</v>
      </c>
      <c r="K944" s="1508"/>
      <c r="L944" s="1508"/>
      <c r="M944" s="1509">
        <f t="shared" si="89"/>
        <v>0</v>
      </c>
      <c r="N944" s="1508">
        <f t="shared" si="85"/>
        <v>0</v>
      </c>
      <c r="O944" s="1481"/>
      <c r="P944" s="1427"/>
    </row>
    <row r="945" spans="1:16" ht="31" outlineLevel="1" x14ac:dyDescent="0.25">
      <c r="A945" s="1489" t="str">
        <f t="shared" si="90"/>
        <v>HO
DPR 18</v>
      </c>
      <c r="B945" s="1490" t="str">
        <f t="shared" si="90"/>
        <v>Centralized Monitoring Solution</v>
      </c>
      <c r="C945" s="1486" t="str">
        <f t="shared" si="90"/>
        <v>MERC/CAPEX/MSPGCL/2023-24/0576</v>
      </c>
      <c r="D945" s="1487">
        <f t="shared" si="90"/>
        <v>45232</v>
      </c>
      <c r="E945" s="560">
        <f t="shared" si="90"/>
        <v>69.308999999999997</v>
      </c>
      <c r="F945" s="1508">
        <f t="shared" si="91"/>
        <v>0</v>
      </c>
      <c r="G945" s="1508">
        <f t="shared" si="92"/>
        <v>0</v>
      </c>
      <c r="H945" s="1508">
        <f t="shared" si="83"/>
        <v>0</v>
      </c>
      <c r="I945" s="1480">
        <v>0</v>
      </c>
      <c r="J945" s="1480">
        <v>0</v>
      </c>
      <c r="K945" s="1508"/>
      <c r="L945" s="1508"/>
      <c r="M945" s="1509">
        <f t="shared" si="89"/>
        <v>0</v>
      </c>
      <c r="N945" s="1508">
        <f t="shared" si="85"/>
        <v>0</v>
      </c>
      <c r="O945" s="1481"/>
      <c r="P945" s="1427"/>
    </row>
    <row r="946" spans="1:16" ht="46.5" outlineLevel="1" x14ac:dyDescent="0.25">
      <c r="A946" s="1484" t="str">
        <f t="shared" si="90"/>
        <v>HO
DPR 18.1</v>
      </c>
      <c r="B946" s="1485" t="str">
        <f t="shared" si="90"/>
        <v>Centralized Monitoring Solution</v>
      </c>
      <c r="C946" s="1493" t="str">
        <f t="shared" si="90"/>
        <v>MERC/CAPEX/MSPGCL/2023-24/0576</v>
      </c>
      <c r="D946" s="1494">
        <f t="shared" si="90"/>
        <v>45232</v>
      </c>
      <c r="E946" s="560">
        <f t="shared" si="90"/>
        <v>66.009</v>
      </c>
      <c r="F946" s="1508">
        <f t="shared" si="91"/>
        <v>0</v>
      </c>
      <c r="G946" s="1508">
        <f t="shared" si="92"/>
        <v>0</v>
      </c>
      <c r="H946" s="1508">
        <f t="shared" si="83"/>
        <v>0</v>
      </c>
      <c r="I946" s="1480">
        <v>0</v>
      </c>
      <c r="J946" s="1480">
        <v>0</v>
      </c>
      <c r="K946" s="1508"/>
      <c r="L946" s="1508"/>
      <c r="M946" s="1509">
        <f t="shared" si="89"/>
        <v>0</v>
      </c>
      <c r="N946" s="1508">
        <f t="shared" si="85"/>
        <v>0</v>
      </c>
      <c r="O946" s="1481"/>
      <c r="P946" s="1427"/>
    </row>
    <row r="947" spans="1:16" ht="31" outlineLevel="1" x14ac:dyDescent="0.25">
      <c r="A947" s="1496">
        <f t="shared" si="90"/>
        <v>0</v>
      </c>
      <c r="B947" s="1485" t="str">
        <f t="shared" si="90"/>
        <v>IDC</v>
      </c>
      <c r="C947" s="1493" t="str">
        <f t="shared" si="90"/>
        <v>MERC/CAPEX/MSPGCL/2023-24/0576</v>
      </c>
      <c r="D947" s="1494">
        <f t="shared" si="90"/>
        <v>45232</v>
      </c>
      <c r="E947" s="560">
        <f t="shared" si="90"/>
        <v>3.3</v>
      </c>
      <c r="F947" s="1508">
        <f t="shared" si="91"/>
        <v>0</v>
      </c>
      <c r="G947" s="1508">
        <f t="shared" si="92"/>
        <v>0</v>
      </c>
      <c r="H947" s="1508">
        <f t="shared" si="83"/>
        <v>0</v>
      </c>
      <c r="I947" s="1480">
        <v>0</v>
      </c>
      <c r="J947" s="1480">
        <v>0</v>
      </c>
      <c r="K947" s="1508"/>
      <c r="L947" s="1508"/>
      <c r="M947" s="1509">
        <f t="shared" si="89"/>
        <v>0</v>
      </c>
      <c r="N947" s="1508">
        <f t="shared" si="85"/>
        <v>0</v>
      </c>
      <c r="O947" s="1481"/>
      <c r="P947" s="1427"/>
    </row>
    <row r="948" spans="1:16" ht="62" outlineLevel="1" x14ac:dyDescent="0.25">
      <c r="A948" s="1486" t="str">
        <f t="shared" si="90"/>
        <v>Y2</v>
      </c>
      <c r="B948" s="1491" t="str">
        <f t="shared" si="90"/>
        <v>Procurement &amp; replacement of 400 NB Cast Basalt Pipelines with the existing MSERW pipe of ash disposal system of Unit #5,6 &amp; 7 at CSTPS, Chandrapur” under capital expenditure during the FY 2023-24.</v>
      </c>
      <c r="C948" s="1486" t="str">
        <f t="shared" si="90"/>
        <v>MERC/CAPEX/2024-2025/MSPGCL/0475 Dt 06.08.2024</v>
      </c>
      <c r="D948" s="1487">
        <f t="shared" si="90"/>
        <v>45510</v>
      </c>
      <c r="E948" s="560">
        <f t="shared" si="90"/>
        <v>81.350000000000009</v>
      </c>
      <c r="F948" s="1508">
        <f t="shared" si="91"/>
        <v>0</v>
      </c>
      <c r="G948" s="1508">
        <f t="shared" si="92"/>
        <v>0</v>
      </c>
      <c r="H948" s="1508">
        <f t="shared" si="83"/>
        <v>0</v>
      </c>
      <c r="I948" s="1480">
        <v>0</v>
      </c>
      <c r="J948" s="1480">
        <v>0</v>
      </c>
      <c r="K948" s="1508"/>
      <c r="L948" s="1508"/>
      <c r="M948" s="1509">
        <f t="shared" si="89"/>
        <v>0</v>
      </c>
      <c r="N948" s="1508">
        <f t="shared" si="85"/>
        <v>0</v>
      </c>
      <c r="O948" s="1481"/>
      <c r="P948" s="1427"/>
    </row>
    <row r="949" spans="1:16" ht="62" outlineLevel="1" x14ac:dyDescent="0.25">
      <c r="A949" s="1488">
        <f t="shared" si="90"/>
        <v>2.1</v>
      </c>
      <c r="B949" s="1492" t="str">
        <f t="shared" si="90"/>
        <v>Procurement &amp; replacement of 400 NB Cast Basalt Pipelines with the existing MSERW pipe of ash disposal system of Unit #5,6 &amp; 7 at CSTPS, Chandrapur” under capital expenditure during the FY 2023-24.</v>
      </c>
      <c r="C949" s="1488" t="str">
        <f t="shared" si="90"/>
        <v>MERC/CAPEX/2024-2025/MSPGCL/0475 Dt 06.08.2024</v>
      </c>
      <c r="D949" s="1413">
        <f t="shared" si="90"/>
        <v>45510</v>
      </c>
      <c r="E949" s="560">
        <f t="shared" si="90"/>
        <v>80.150000000000006</v>
      </c>
      <c r="F949" s="1508">
        <f t="shared" si="91"/>
        <v>0</v>
      </c>
      <c r="G949" s="1508">
        <f t="shared" si="92"/>
        <v>0</v>
      </c>
      <c r="H949" s="1508">
        <f t="shared" si="83"/>
        <v>0</v>
      </c>
      <c r="I949" s="1480">
        <v>0</v>
      </c>
      <c r="J949" s="1480">
        <v>0</v>
      </c>
      <c r="K949" s="1508"/>
      <c r="L949" s="1508"/>
      <c r="M949" s="1509">
        <f t="shared" si="89"/>
        <v>0</v>
      </c>
      <c r="N949" s="1508">
        <f t="shared" si="85"/>
        <v>0</v>
      </c>
      <c r="O949" s="1481"/>
      <c r="P949" s="1427"/>
    </row>
    <row r="950" spans="1:16" ht="31" outlineLevel="1" x14ac:dyDescent="0.25">
      <c r="A950" s="1488">
        <f t="shared" si="90"/>
        <v>0</v>
      </c>
      <c r="B950" s="1492" t="str">
        <f t="shared" si="90"/>
        <v>IDC</v>
      </c>
      <c r="C950" s="1488" t="str">
        <f t="shared" si="90"/>
        <v>MERC/CAPEX/2024-2025/MSPGCL/0475 Dt 06.08.2024</v>
      </c>
      <c r="D950" s="1413">
        <f t="shared" si="90"/>
        <v>45510</v>
      </c>
      <c r="E950" s="560">
        <f t="shared" si="90"/>
        <v>1.2</v>
      </c>
      <c r="F950" s="1508">
        <f t="shared" si="91"/>
        <v>0</v>
      </c>
      <c r="G950" s="1508">
        <f t="shared" si="92"/>
        <v>0</v>
      </c>
      <c r="H950" s="1508">
        <f t="shared" si="83"/>
        <v>0</v>
      </c>
      <c r="I950" s="1480">
        <v>0</v>
      </c>
      <c r="J950" s="1480">
        <v>0</v>
      </c>
      <c r="K950" s="1508"/>
      <c r="L950" s="1508"/>
      <c r="M950" s="1509">
        <f t="shared" si="89"/>
        <v>0</v>
      </c>
      <c r="N950" s="1508">
        <f t="shared" si="85"/>
        <v>0</v>
      </c>
      <c r="O950" s="1481"/>
      <c r="P950" s="1427"/>
    </row>
    <row r="951" spans="1:16" ht="77.5" outlineLevel="1" x14ac:dyDescent="0.25">
      <c r="A951" s="1486" t="str">
        <f t="shared" si="90"/>
        <v>Y3</v>
      </c>
      <c r="B951" s="1491" t="str">
        <f t="shared" si="90"/>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951" s="1486" t="str">
        <f t="shared" si="90"/>
        <v>MERC/CAPEX/2024-25/MSPGCL/0473 Dt 06.08.2024</v>
      </c>
      <c r="D951" s="1487">
        <f t="shared" si="90"/>
        <v>45510</v>
      </c>
      <c r="E951" s="560">
        <f t="shared" si="90"/>
        <v>25.78</v>
      </c>
      <c r="F951" s="1508">
        <f t="shared" si="91"/>
        <v>0</v>
      </c>
      <c r="G951" s="1508">
        <f t="shared" si="92"/>
        <v>0</v>
      </c>
      <c r="H951" s="1508">
        <f t="shared" si="83"/>
        <v>0</v>
      </c>
      <c r="I951" s="1480">
        <v>0</v>
      </c>
      <c r="J951" s="1480">
        <v>0</v>
      </c>
      <c r="K951" s="1508"/>
      <c r="L951" s="1508"/>
      <c r="M951" s="1509">
        <f t="shared" si="89"/>
        <v>0</v>
      </c>
      <c r="N951" s="1508">
        <f t="shared" si="85"/>
        <v>0</v>
      </c>
      <c r="O951" s="1481"/>
      <c r="P951" s="1427"/>
    </row>
    <row r="952" spans="1:16" ht="31" outlineLevel="1" x14ac:dyDescent="0.25">
      <c r="A952" s="1488">
        <f t="shared" ref="A952:E967" si="93">A282</f>
        <v>3.1</v>
      </c>
      <c r="B952" s="1497" t="str">
        <f t="shared" si="93"/>
        <v>Scheme-1: Upgradation of 11KV Sub-stations of Urjanagar colony, CSTPS, Chandrapur.</v>
      </c>
      <c r="C952" s="1488" t="str">
        <f t="shared" si="93"/>
        <v>MERC/CAPEX/2024-25/MSPGCL/0473 Dt 06.08.2024</v>
      </c>
      <c r="D952" s="1413">
        <f t="shared" si="93"/>
        <v>45510</v>
      </c>
      <c r="E952" s="1383">
        <f t="shared" si="93"/>
        <v>7.19</v>
      </c>
      <c r="F952" s="1480">
        <f t="shared" si="91"/>
        <v>0</v>
      </c>
      <c r="G952" s="1480">
        <f t="shared" si="92"/>
        <v>0</v>
      </c>
      <c r="H952" s="1480">
        <f t="shared" si="83"/>
        <v>0</v>
      </c>
      <c r="I952" s="1480">
        <v>0</v>
      </c>
      <c r="J952" s="1480">
        <v>0</v>
      </c>
      <c r="K952" s="1480"/>
      <c r="L952" s="1480"/>
      <c r="M952" s="1480">
        <f t="shared" si="84"/>
        <v>0</v>
      </c>
      <c r="N952" s="1480">
        <f t="shared" si="85"/>
        <v>0</v>
      </c>
      <c r="O952" s="1481">
        <f t="shared" si="81"/>
        <v>0</v>
      </c>
      <c r="P952" s="1427">
        <f t="shared" si="82"/>
        <v>0</v>
      </c>
    </row>
    <row r="953" spans="1:16" ht="31" outlineLevel="1" x14ac:dyDescent="0.25">
      <c r="A953" s="1488">
        <f t="shared" si="93"/>
        <v>3.1</v>
      </c>
      <c r="B953" s="1497" t="str">
        <f t="shared" si="93"/>
        <v>Scheme-3: Replacement of old energy meters by electronics energy meters at Urjanagar colony, CSTPS, Chandrapur.</v>
      </c>
      <c r="C953" s="1488" t="str">
        <f t="shared" si="93"/>
        <v>MERC/CAPEX/2024-25/MSPGCL/0473 Dt 06.08.2024</v>
      </c>
      <c r="D953" s="1413">
        <f t="shared" si="93"/>
        <v>45510</v>
      </c>
      <c r="E953" s="560">
        <f t="shared" si="93"/>
        <v>0.8</v>
      </c>
      <c r="F953" s="1508">
        <f t="shared" si="91"/>
        <v>0</v>
      </c>
      <c r="G953" s="1508">
        <f t="shared" si="92"/>
        <v>0</v>
      </c>
      <c r="H953" s="1508">
        <f t="shared" si="83"/>
        <v>0</v>
      </c>
      <c r="I953" s="1480">
        <v>0</v>
      </c>
      <c r="J953" s="1480">
        <v>0</v>
      </c>
      <c r="K953" s="1508"/>
      <c r="L953" s="1508"/>
      <c r="M953" s="1509">
        <f t="shared" si="84"/>
        <v>0</v>
      </c>
      <c r="N953" s="1508">
        <f t="shared" si="85"/>
        <v>0</v>
      </c>
      <c r="O953" s="1481">
        <f t="shared" si="81"/>
        <v>0</v>
      </c>
      <c r="P953" s="1427">
        <f t="shared" si="82"/>
        <v>0</v>
      </c>
    </row>
    <row r="954" spans="1:16" ht="31" outlineLevel="1" x14ac:dyDescent="0.25">
      <c r="A954" s="1488">
        <f t="shared" si="93"/>
        <v>3.1</v>
      </c>
      <c r="B954" s="1497" t="str">
        <f t="shared" si="93"/>
        <v>Scheme-5 : Provision of 11KV  supply to Urjanagar colony from station board of Stage-III, CSTPS Chandrapur.</v>
      </c>
      <c r="C954" s="1488" t="str">
        <f t="shared" si="93"/>
        <v>MERC/CAPEX/2024-25/MSPGCL/0473 Dt 06.08.2024</v>
      </c>
      <c r="D954" s="1413">
        <f t="shared" si="93"/>
        <v>45510</v>
      </c>
      <c r="E954" s="560">
        <f t="shared" si="93"/>
        <v>2.97</v>
      </c>
      <c r="F954" s="1508">
        <f t="shared" si="91"/>
        <v>0</v>
      </c>
      <c r="G954" s="1508">
        <f t="shared" si="92"/>
        <v>0</v>
      </c>
      <c r="H954" s="1508">
        <f t="shared" si="83"/>
        <v>0</v>
      </c>
      <c r="I954" s="1480">
        <v>2.9193972000000001</v>
      </c>
      <c r="J954" s="1480">
        <v>2.9193972000000001</v>
      </c>
      <c r="K954" s="1508"/>
      <c r="L954" s="1508"/>
      <c r="M954" s="1509">
        <f t="shared" si="84"/>
        <v>2.9193972000000001</v>
      </c>
      <c r="N954" s="1508">
        <f t="shared" si="85"/>
        <v>0</v>
      </c>
      <c r="O954" s="1481">
        <f t="shared" si="81"/>
        <v>2.9193972000000001</v>
      </c>
      <c r="P954" s="1427">
        <f t="shared" si="82"/>
        <v>0</v>
      </c>
    </row>
    <row r="955" spans="1:16" ht="77.5" outlineLevel="1" x14ac:dyDescent="0.25">
      <c r="A955" s="1488">
        <f t="shared" si="93"/>
        <v>3.1</v>
      </c>
      <c r="B955" s="1497" t="str">
        <f t="shared" si="93"/>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955" s="1488" t="str">
        <f t="shared" si="93"/>
        <v>MERC/CAPEX/2024-25/MSPGCL/0473 Dt 06.08.2024</v>
      </c>
      <c r="D955" s="1413">
        <f t="shared" si="93"/>
        <v>45510</v>
      </c>
      <c r="E955" s="560">
        <f t="shared" si="93"/>
        <v>10.48</v>
      </c>
      <c r="F955" s="1508">
        <f t="shared" si="91"/>
        <v>0</v>
      </c>
      <c r="G955" s="1508">
        <f t="shared" si="92"/>
        <v>0</v>
      </c>
      <c r="H955" s="1508">
        <f t="shared" si="83"/>
        <v>0</v>
      </c>
      <c r="I955" s="1480">
        <v>0</v>
      </c>
      <c r="J955" s="1480">
        <v>0</v>
      </c>
      <c r="K955" s="1508"/>
      <c r="L955" s="1508"/>
      <c r="M955" s="1509">
        <f t="shared" si="84"/>
        <v>0</v>
      </c>
      <c r="N955" s="1508">
        <f t="shared" si="85"/>
        <v>0</v>
      </c>
      <c r="O955" s="1481">
        <f t="shared" si="81"/>
        <v>0</v>
      </c>
      <c r="P955" s="1427">
        <f t="shared" si="82"/>
        <v>0</v>
      </c>
    </row>
    <row r="956" spans="1:16" ht="62" outlineLevel="1" x14ac:dyDescent="0.25">
      <c r="A956" s="1488">
        <f t="shared" si="93"/>
        <v>3.1</v>
      </c>
      <c r="B956" s="1497" t="str">
        <f t="shared" si="93"/>
        <v>Scheme-7: Design, supply, erection, installation, testing and commissioning of the boiler goods lifts in place of the existing old lifts installed at Unit#6&amp;7 500MW Stage-III CSTPS Chandrapur</v>
      </c>
      <c r="C956" s="1488" t="str">
        <f t="shared" si="93"/>
        <v>MERC/CAPEX/2024-25/MSPGCL/0473 Dt 06.08.2024</v>
      </c>
      <c r="D956" s="1413">
        <f t="shared" si="93"/>
        <v>45510</v>
      </c>
      <c r="E956" s="560">
        <f t="shared" si="93"/>
        <v>3.66</v>
      </c>
      <c r="F956" s="1508">
        <f t="shared" si="91"/>
        <v>0</v>
      </c>
      <c r="G956" s="1508">
        <f t="shared" si="92"/>
        <v>0</v>
      </c>
      <c r="H956" s="1508">
        <f t="shared" si="83"/>
        <v>0</v>
      </c>
      <c r="I956" s="1480">
        <v>0</v>
      </c>
      <c r="J956" s="1480">
        <v>0</v>
      </c>
      <c r="K956" s="1508"/>
      <c r="L956" s="1508"/>
      <c r="M956" s="1509">
        <f t="shared" si="84"/>
        <v>0</v>
      </c>
      <c r="N956" s="1508">
        <f t="shared" si="85"/>
        <v>0</v>
      </c>
      <c r="O956" s="1481">
        <f t="shared" si="81"/>
        <v>0</v>
      </c>
      <c r="P956" s="1427">
        <f t="shared" si="82"/>
        <v>0</v>
      </c>
    </row>
    <row r="957" spans="1:16" ht="31" outlineLevel="1" x14ac:dyDescent="0.25">
      <c r="A957" s="1488">
        <f t="shared" si="93"/>
        <v>0</v>
      </c>
      <c r="B957" s="1497" t="str">
        <f t="shared" si="93"/>
        <v>IDC</v>
      </c>
      <c r="C957" s="1488" t="str">
        <f t="shared" si="93"/>
        <v>MERC/CAPEX/2024-25/MSPGCL/0473 Dt 06.08.2024</v>
      </c>
      <c r="D957" s="1413">
        <f t="shared" si="93"/>
        <v>45510</v>
      </c>
      <c r="E957" s="560">
        <f t="shared" si="93"/>
        <v>0.68</v>
      </c>
      <c r="F957" s="1508">
        <f t="shared" si="91"/>
        <v>0</v>
      </c>
      <c r="G957" s="1508">
        <f t="shared" si="92"/>
        <v>0</v>
      </c>
      <c r="H957" s="1508">
        <f t="shared" si="83"/>
        <v>0</v>
      </c>
      <c r="I957" s="1480">
        <v>0</v>
      </c>
      <c r="J957" s="1480">
        <v>0</v>
      </c>
      <c r="K957" s="1508"/>
      <c r="L957" s="1508"/>
      <c r="M957" s="1509">
        <f t="shared" si="84"/>
        <v>0</v>
      </c>
      <c r="N957" s="1508">
        <f t="shared" si="85"/>
        <v>0</v>
      </c>
      <c r="O957" s="1481">
        <f t="shared" si="81"/>
        <v>0</v>
      </c>
      <c r="P957" s="1427">
        <f t="shared" si="82"/>
        <v>0</v>
      </c>
    </row>
    <row r="958" spans="1:16" ht="31" outlineLevel="1" x14ac:dyDescent="0.25">
      <c r="A958" s="1486" t="str">
        <f t="shared" si="93"/>
        <v>Y4</v>
      </c>
      <c r="B958" s="1491" t="str">
        <f t="shared" si="93"/>
        <v>Providing 1600 mm pipeline from Erdai Dam to CSTPS, Chandrapur</v>
      </c>
      <c r="C958" s="1486" t="str">
        <f t="shared" si="93"/>
        <v>MERC/CAPEX/2024-2025/MSPGCL/0476 Dt 06.08.2024</v>
      </c>
      <c r="D958" s="1487">
        <f t="shared" si="93"/>
        <v>45510</v>
      </c>
      <c r="E958" s="1383">
        <f t="shared" si="93"/>
        <v>0</v>
      </c>
      <c r="F958" s="1480">
        <f t="shared" si="91"/>
        <v>0</v>
      </c>
      <c r="G958" s="1480">
        <f t="shared" si="92"/>
        <v>0</v>
      </c>
      <c r="H958" s="1480">
        <f t="shared" si="83"/>
        <v>0</v>
      </c>
      <c r="I958" s="1480">
        <v>0</v>
      </c>
      <c r="J958" s="1480">
        <v>0</v>
      </c>
      <c r="K958" s="1480"/>
      <c r="L958" s="1480"/>
      <c r="M958" s="1480">
        <f t="shared" si="84"/>
        <v>0</v>
      </c>
      <c r="N958" s="1480">
        <f t="shared" si="85"/>
        <v>0</v>
      </c>
      <c r="O958" s="1481">
        <f t="shared" si="81"/>
        <v>0</v>
      </c>
      <c r="P958" s="1427">
        <f t="shared" si="82"/>
        <v>0</v>
      </c>
    </row>
    <row r="959" spans="1:16" ht="31" outlineLevel="1" x14ac:dyDescent="0.25">
      <c r="A959" s="1488">
        <f t="shared" si="93"/>
        <v>4.0999999999999996</v>
      </c>
      <c r="B959" s="1492" t="str">
        <f t="shared" si="93"/>
        <v>Providing 1600 mm pipeline from Erdai Dam to CSTPS, Chandrapur</v>
      </c>
      <c r="C959" s="1488" t="str">
        <f t="shared" si="93"/>
        <v>MERC/CAPEX/2024-2025/MSPGCL/0476 Dt 06.08.2024</v>
      </c>
      <c r="D959" s="1413">
        <f t="shared" si="93"/>
        <v>45510</v>
      </c>
      <c r="E959" s="560">
        <f t="shared" si="93"/>
        <v>0</v>
      </c>
      <c r="F959" s="1508">
        <f t="shared" si="91"/>
        <v>0</v>
      </c>
      <c r="G959" s="1508">
        <f t="shared" si="92"/>
        <v>0</v>
      </c>
      <c r="H959" s="1508">
        <f t="shared" si="83"/>
        <v>0</v>
      </c>
      <c r="I959" s="1480">
        <v>0</v>
      </c>
      <c r="J959" s="1480">
        <v>0</v>
      </c>
      <c r="K959" s="1508"/>
      <c r="L959" s="1508"/>
      <c r="M959" s="1509">
        <f t="shared" si="84"/>
        <v>0</v>
      </c>
      <c r="N959" s="1508">
        <f t="shared" si="85"/>
        <v>0</v>
      </c>
      <c r="O959" s="1481">
        <f t="shared" si="81"/>
        <v>0</v>
      </c>
      <c r="P959" s="1427">
        <f t="shared" si="82"/>
        <v>0</v>
      </c>
    </row>
    <row r="960" spans="1:16" ht="31" outlineLevel="1" x14ac:dyDescent="0.25">
      <c r="A960" s="1488">
        <f t="shared" si="93"/>
        <v>0</v>
      </c>
      <c r="B960" s="1492" t="str">
        <f t="shared" si="93"/>
        <v>IDC</v>
      </c>
      <c r="C960" s="1488" t="str">
        <f t="shared" si="93"/>
        <v>MERC/CAPEX/2024-2025/MSPGCL/0476 Dt 06.08.2024</v>
      </c>
      <c r="D960" s="1413">
        <f t="shared" si="93"/>
        <v>45510</v>
      </c>
      <c r="E960" s="560">
        <f t="shared" si="93"/>
        <v>0</v>
      </c>
      <c r="F960" s="1508">
        <f t="shared" si="91"/>
        <v>0</v>
      </c>
      <c r="G960" s="1508">
        <f t="shared" si="92"/>
        <v>0</v>
      </c>
      <c r="H960" s="1508">
        <f t="shared" si="83"/>
        <v>0</v>
      </c>
      <c r="I960" s="1480">
        <v>0</v>
      </c>
      <c r="J960" s="1480">
        <v>0</v>
      </c>
      <c r="K960" s="1508"/>
      <c r="L960" s="1508"/>
      <c r="M960" s="1509">
        <f t="shared" si="84"/>
        <v>0</v>
      </c>
      <c r="N960" s="1508">
        <f t="shared" si="85"/>
        <v>0</v>
      </c>
      <c r="O960" s="1481">
        <f t="shared" si="81"/>
        <v>0</v>
      </c>
      <c r="P960" s="1427">
        <f t="shared" si="82"/>
        <v>0</v>
      </c>
    </row>
    <row r="961" spans="1:16" ht="31" outlineLevel="1" x14ac:dyDescent="0.25">
      <c r="A961" s="1486" t="str">
        <f t="shared" si="93"/>
        <v>Y5</v>
      </c>
      <c r="B961" s="1491" t="str">
        <f t="shared" si="93"/>
        <v>Performance Improvement &amp; Life Extension Schemes for CHP of Unit 5 to 7 of CSTPS, Chandrapur. -Part-2</v>
      </c>
      <c r="C961" s="1486" t="str">
        <f t="shared" si="93"/>
        <v>MERC/CAPEX/MSPGCL/2023-2024/0466 Dt 02.08.2024</v>
      </c>
      <c r="D961" s="1487">
        <f t="shared" si="93"/>
        <v>45506</v>
      </c>
      <c r="E961" s="560">
        <f t="shared" si="93"/>
        <v>0</v>
      </c>
      <c r="F961" s="1508">
        <f t="shared" si="91"/>
        <v>0</v>
      </c>
      <c r="G961" s="1508">
        <f t="shared" si="92"/>
        <v>0</v>
      </c>
      <c r="H961" s="1508">
        <f t="shared" si="83"/>
        <v>0</v>
      </c>
      <c r="I961" s="1480">
        <v>0</v>
      </c>
      <c r="J961" s="1480">
        <v>0</v>
      </c>
      <c r="K961" s="1508"/>
      <c r="L961" s="1508"/>
      <c r="M961" s="1509">
        <f t="shared" si="84"/>
        <v>0</v>
      </c>
      <c r="N961" s="1508">
        <f t="shared" si="85"/>
        <v>0</v>
      </c>
      <c r="O961" s="1481">
        <f t="shared" ref="O961:O974" si="94">MAX(0,IF(M961=0,0,IF(G961+M961&lt;E961,M961,E961-G961)))</f>
        <v>0</v>
      </c>
      <c r="P961" s="1427">
        <f t="shared" ref="P961:P974" si="95">M961-O961</f>
        <v>0</v>
      </c>
    </row>
    <row r="962" spans="1:16" ht="31" outlineLevel="1" x14ac:dyDescent="0.25">
      <c r="A962" s="1488">
        <f t="shared" si="93"/>
        <v>5.0999999999999996</v>
      </c>
      <c r="B962" s="1492" t="str">
        <f t="shared" si="93"/>
        <v>Scheme-1: Upgradation/Renovation of Deck Module of Under Ground Conveyor stream of CHPB of Unit-5,6&amp;7 Chandrapur.</v>
      </c>
      <c r="C962" s="1488" t="str">
        <f t="shared" si="93"/>
        <v>MERC/CAPEX/MSPGCL/2023-2024/0466 Dt 02.08.2024</v>
      </c>
      <c r="D962" s="1413">
        <f t="shared" si="93"/>
        <v>45506</v>
      </c>
      <c r="E962" s="1383">
        <f t="shared" si="93"/>
        <v>0</v>
      </c>
      <c r="F962" s="1480">
        <f t="shared" si="91"/>
        <v>0</v>
      </c>
      <c r="G962" s="1480">
        <f t="shared" si="92"/>
        <v>0</v>
      </c>
      <c r="H962" s="1480">
        <f t="shared" ref="H962:H1010" si="96">F962-G962</f>
        <v>0</v>
      </c>
      <c r="I962" s="1480">
        <v>0</v>
      </c>
      <c r="J962" s="1480">
        <v>0</v>
      </c>
      <c r="K962" s="1480"/>
      <c r="L962" s="1480"/>
      <c r="M962" s="1480">
        <f t="shared" ref="M962:M1010" si="97">SUM(J962:L962)</f>
        <v>0</v>
      </c>
      <c r="N962" s="1480">
        <f t="shared" ref="N962:N1010" si="98">H962+I962-M962</f>
        <v>0</v>
      </c>
      <c r="O962" s="1481">
        <f t="shared" si="94"/>
        <v>0</v>
      </c>
      <c r="P962" s="1427">
        <f t="shared" si="95"/>
        <v>0</v>
      </c>
    </row>
    <row r="963" spans="1:16" ht="31" outlineLevel="1" x14ac:dyDescent="0.25">
      <c r="A963" s="1488">
        <f t="shared" si="93"/>
        <v>5.2</v>
      </c>
      <c r="B963" s="1492" t="str">
        <f t="shared" si="93"/>
        <v>Scheme-2: Renovation &amp; Upgradation of Transfer Point of CHPB of Unit 5 to 7 of CSTPS Chandrapur.</v>
      </c>
      <c r="C963" s="1488" t="str">
        <f t="shared" si="93"/>
        <v>MERC/CAPEX/MSPGCL/2023-2024/0466 Dt 02.08.2024</v>
      </c>
      <c r="D963" s="1413">
        <f t="shared" si="93"/>
        <v>45506</v>
      </c>
      <c r="E963" s="560">
        <f t="shared" si="93"/>
        <v>0</v>
      </c>
      <c r="F963" s="1508">
        <f t="shared" si="91"/>
        <v>0</v>
      </c>
      <c r="G963" s="1508">
        <f t="shared" si="92"/>
        <v>0</v>
      </c>
      <c r="H963" s="1508">
        <f t="shared" si="96"/>
        <v>0</v>
      </c>
      <c r="I963" s="1480">
        <v>0</v>
      </c>
      <c r="J963" s="1480">
        <v>0</v>
      </c>
      <c r="K963" s="1508"/>
      <c r="L963" s="1508"/>
      <c r="M963" s="1509">
        <f t="shared" si="97"/>
        <v>0</v>
      </c>
      <c r="N963" s="1508">
        <f t="shared" si="98"/>
        <v>0</v>
      </c>
      <c r="O963" s="1481">
        <f t="shared" si="94"/>
        <v>0</v>
      </c>
      <c r="P963" s="1427">
        <f t="shared" si="95"/>
        <v>0</v>
      </c>
    </row>
    <row r="964" spans="1:16" ht="31" outlineLevel="1" x14ac:dyDescent="0.25">
      <c r="A964" s="1488">
        <f t="shared" si="93"/>
        <v>5.3</v>
      </c>
      <c r="B964" s="1492" t="str">
        <f t="shared" si="93"/>
        <v>Scheme-3: Renovation &amp; Upgradation of Walkway Platform of CHPB of Unit 5 to 7 of CSTPS Chandrapur.</v>
      </c>
      <c r="C964" s="1488" t="str">
        <f t="shared" si="93"/>
        <v>MERC/CAPEX/MSPGCL/2023-2024/0466 Dt 02.08.2024</v>
      </c>
      <c r="D964" s="1413">
        <f t="shared" si="93"/>
        <v>45506</v>
      </c>
      <c r="E964" s="560">
        <f t="shared" si="93"/>
        <v>0</v>
      </c>
      <c r="F964" s="1508">
        <f t="shared" si="91"/>
        <v>0</v>
      </c>
      <c r="G964" s="1508">
        <f t="shared" si="92"/>
        <v>0</v>
      </c>
      <c r="H964" s="1508">
        <f t="shared" si="96"/>
        <v>0</v>
      </c>
      <c r="I964" s="1480">
        <v>0</v>
      </c>
      <c r="J964" s="1480">
        <v>0</v>
      </c>
      <c r="K964" s="1508"/>
      <c r="L964" s="1508"/>
      <c r="M964" s="1509">
        <f t="shared" si="97"/>
        <v>0</v>
      </c>
      <c r="N964" s="1508">
        <f t="shared" si="98"/>
        <v>0</v>
      </c>
      <c r="O964" s="1481">
        <f t="shared" si="94"/>
        <v>0</v>
      </c>
      <c r="P964" s="1427">
        <f t="shared" si="95"/>
        <v>0</v>
      </c>
    </row>
    <row r="965" spans="1:16" ht="31" outlineLevel="1" x14ac:dyDescent="0.25">
      <c r="A965" s="1488">
        <f t="shared" si="93"/>
        <v>5.4</v>
      </c>
      <c r="B965" s="1492" t="str">
        <f t="shared" si="93"/>
        <v>Scheme-4: Work of Renovation &amp; Modernization of Bunker Shuttle Conveyor of CHPB of Unit 5, 6 &amp; 7 in CSTPS Chandrapur.</v>
      </c>
      <c r="C965" s="1488" t="str">
        <f t="shared" si="93"/>
        <v>MERC/CAPEX/MSPGCL/2023-2024/0466 Dt 02.08.2024</v>
      </c>
      <c r="D965" s="1413">
        <f t="shared" si="93"/>
        <v>45506</v>
      </c>
      <c r="E965" s="560">
        <f t="shared" si="93"/>
        <v>0</v>
      </c>
      <c r="F965" s="1508">
        <f t="shared" si="91"/>
        <v>0</v>
      </c>
      <c r="G965" s="1508">
        <f t="shared" si="92"/>
        <v>0</v>
      </c>
      <c r="H965" s="1508">
        <f t="shared" si="96"/>
        <v>0</v>
      </c>
      <c r="I965" s="1480">
        <v>0</v>
      </c>
      <c r="J965" s="1480">
        <v>0</v>
      </c>
      <c r="K965" s="1508"/>
      <c r="L965" s="1508"/>
      <c r="M965" s="1509">
        <f t="shared" si="97"/>
        <v>0</v>
      </c>
      <c r="N965" s="1508">
        <f t="shared" si="98"/>
        <v>0</v>
      </c>
      <c r="O965" s="1481">
        <f t="shared" si="94"/>
        <v>0</v>
      </c>
      <c r="P965" s="1427">
        <f t="shared" si="95"/>
        <v>0</v>
      </c>
    </row>
    <row r="966" spans="1:16" ht="46.5" outlineLevel="1" x14ac:dyDescent="0.25">
      <c r="A966" s="1488">
        <f t="shared" si="93"/>
        <v>5.5</v>
      </c>
      <c r="B966" s="1492" t="str">
        <f t="shared" si="93"/>
        <v>Scheme-5: Renovation &amp; Modernization of Wagon Tippler Concrete Hopper of Coal Handling Plant-B of Unit 5,6&amp;7 at CSTPS Chandrapur.</v>
      </c>
      <c r="C966" s="1488" t="str">
        <f t="shared" si="93"/>
        <v>MERC/CAPEX/MSPGCL/2023-2024/0466 Dt 02.08.2024</v>
      </c>
      <c r="D966" s="1413">
        <f t="shared" si="93"/>
        <v>45506</v>
      </c>
      <c r="E966" s="560">
        <f t="shared" si="93"/>
        <v>0</v>
      </c>
      <c r="F966" s="1508">
        <f t="shared" si="91"/>
        <v>0</v>
      </c>
      <c r="G966" s="1508">
        <f t="shared" si="92"/>
        <v>0</v>
      </c>
      <c r="H966" s="1508">
        <f t="shared" si="96"/>
        <v>0</v>
      </c>
      <c r="I966" s="1480">
        <v>0</v>
      </c>
      <c r="J966" s="1480">
        <v>0</v>
      </c>
      <c r="K966" s="1508"/>
      <c r="L966" s="1508"/>
      <c r="M966" s="1509">
        <f t="shared" si="97"/>
        <v>0</v>
      </c>
      <c r="N966" s="1508">
        <f t="shared" si="98"/>
        <v>0</v>
      </c>
      <c r="O966" s="1481">
        <f t="shared" si="94"/>
        <v>0</v>
      </c>
      <c r="P966" s="1427">
        <f t="shared" si="95"/>
        <v>0</v>
      </c>
    </row>
    <row r="967" spans="1:16" ht="46.5" outlineLevel="1" x14ac:dyDescent="0.25">
      <c r="A967" s="1488">
        <f t="shared" si="93"/>
        <v>5.6</v>
      </c>
      <c r="B967" s="1492" t="str">
        <f t="shared" si="93"/>
        <v>Scheme-6: Renovation &amp; Modernization of Wagon Tippler Concrete Hopper of Coal Handling Plant-D of Unit 8&amp;9 at CSTPS Chandrapur.</v>
      </c>
      <c r="C967" s="1488" t="str">
        <f t="shared" si="93"/>
        <v>MERC/CAPEX/MSPGCL/2023-2024/0466 Dt 02.08.2024</v>
      </c>
      <c r="D967" s="1413">
        <f t="shared" si="93"/>
        <v>45506</v>
      </c>
      <c r="E967" s="1383">
        <f t="shared" si="93"/>
        <v>0</v>
      </c>
      <c r="F967" s="1480">
        <f t="shared" si="91"/>
        <v>0</v>
      </c>
      <c r="G967" s="1480">
        <f t="shared" si="92"/>
        <v>0</v>
      </c>
      <c r="H967" s="1480">
        <f t="shared" si="96"/>
        <v>0</v>
      </c>
      <c r="I967" s="1480">
        <v>0</v>
      </c>
      <c r="J967" s="1480">
        <v>0</v>
      </c>
      <c r="K967" s="1480"/>
      <c r="L967" s="1480"/>
      <c r="M967" s="1480">
        <f t="shared" si="97"/>
        <v>0</v>
      </c>
      <c r="N967" s="1480">
        <f t="shared" si="98"/>
        <v>0</v>
      </c>
      <c r="O967" s="1481">
        <f t="shared" si="94"/>
        <v>0</v>
      </c>
      <c r="P967" s="1427">
        <f t="shared" si="95"/>
        <v>0</v>
      </c>
    </row>
    <row r="968" spans="1:16" ht="46.5" outlineLevel="1" x14ac:dyDescent="0.25">
      <c r="A968" s="1488">
        <f t="shared" ref="A968:E983" si="99">A298</f>
        <v>5.7</v>
      </c>
      <c r="B968" s="1492" t="str">
        <f t="shared" si="99"/>
        <v xml:space="preserve">Scheme-7: Design, supply, installation &amp; commissioning of LED based energy efficient illumination system at CHP-A, B &amp; C, C.S.T.P.S., Chandrapur.  </v>
      </c>
      <c r="C968" s="1488" t="str">
        <f t="shared" si="99"/>
        <v>MERC/CAPEX/MSPGCL/2023-2024/0466 Dt 02.08.2024</v>
      </c>
      <c r="D968" s="1413">
        <f t="shared" si="99"/>
        <v>45506</v>
      </c>
      <c r="E968" s="560">
        <f t="shared" si="99"/>
        <v>0</v>
      </c>
      <c r="F968" s="1508">
        <f t="shared" si="91"/>
        <v>0</v>
      </c>
      <c r="G968" s="1508">
        <f t="shared" si="92"/>
        <v>0</v>
      </c>
      <c r="H968" s="1508">
        <f t="shared" si="96"/>
        <v>0</v>
      </c>
      <c r="I968" s="1480">
        <v>0</v>
      </c>
      <c r="J968" s="1480">
        <v>0</v>
      </c>
      <c r="K968" s="1508"/>
      <c r="L968" s="1508"/>
      <c r="M968" s="1509">
        <f t="shared" si="97"/>
        <v>0</v>
      </c>
      <c r="N968" s="1508">
        <f t="shared" si="98"/>
        <v>0</v>
      </c>
      <c r="O968" s="1481">
        <f t="shared" si="94"/>
        <v>0</v>
      </c>
      <c r="P968" s="1427">
        <f t="shared" si="95"/>
        <v>0</v>
      </c>
    </row>
    <row r="969" spans="1:16" ht="31" outlineLevel="1" x14ac:dyDescent="0.25">
      <c r="A969" s="1488">
        <f t="shared" si="99"/>
        <v>0</v>
      </c>
      <c r="B969" s="1492" t="str">
        <f t="shared" si="99"/>
        <v>IDC</v>
      </c>
      <c r="C969" s="1488" t="str">
        <f t="shared" si="99"/>
        <v>MERC/CAPEX/MSPGCL/2023-2024/0466 Dt 02.08.2024</v>
      </c>
      <c r="D969" s="1413">
        <f t="shared" si="99"/>
        <v>45506</v>
      </c>
      <c r="E969" s="1383">
        <f t="shared" si="99"/>
        <v>0</v>
      </c>
      <c r="F969" s="1480">
        <f t="shared" si="91"/>
        <v>0</v>
      </c>
      <c r="G969" s="1480">
        <f t="shared" si="92"/>
        <v>0</v>
      </c>
      <c r="H969" s="1480">
        <f t="shared" si="96"/>
        <v>0</v>
      </c>
      <c r="I969" s="1480">
        <v>0</v>
      </c>
      <c r="J969" s="1480">
        <v>0</v>
      </c>
      <c r="K969" s="1480"/>
      <c r="L969" s="1480"/>
      <c r="M969" s="1480">
        <f t="shared" si="97"/>
        <v>0</v>
      </c>
      <c r="N969" s="1480">
        <f t="shared" si="98"/>
        <v>0</v>
      </c>
      <c r="O969" s="1481">
        <f t="shared" si="94"/>
        <v>0</v>
      </c>
      <c r="P969" s="1427">
        <f t="shared" si="95"/>
        <v>0</v>
      </c>
    </row>
    <row r="970" spans="1:16" ht="62" outlineLevel="1" x14ac:dyDescent="0.25">
      <c r="A970" s="1486">
        <f t="shared" si="99"/>
        <v>63</v>
      </c>
      <c r="B970" s="1491" t="str">
        <f t="shared" si="99"/>
        <v>Procurement of Equipment’s for Stack yard management at Coal Handling Plant &amp; Upgradation of existing ash disposal pump system by installing higher efficiency pump system in Ash Handling Plant of Unit- 5 &amp; 6 at CSTPS, Chandrapur.</v>
      </c>
      <c r="C970" s="1486" t="str">
        <f t="shared" si="99"/>
        <v>MERC/CAPEX/MSPGCL/2023-24/496 Dt 08.08.2024</v>
      </c>
      <c r="D970" s="1413">
        <f t="shared" si="99"/>
        <v>45512</v>
      </c>
      <c r="E970" s="560">
        <f t="shared" si="99"/>
        <v>38.4</v>
      </c>
      <c r="F970" s="1508">
        <f t="shared" si="91"/>
        <v>0</v>
      </c>
      <c r="G970" s="1508">
        <f t="shared" si="92"/>
        <v>0</v>
      </c>
      <c r="H970" s="1508">
        <f t="shared" si="96"/>
        <v>0</v>
      </c>
      <c r="I970" s="1480">
        <v>0</v>
      </c>
      <c r="J970" s="1480">
        <v>0</v>
      </c>
      <c r="K970" s="1508"/>
      <c r="L970" s="1508"/>
      <c r="M970" s="1509">
        <f t="shared" si="97"/>
        <v>0</v>
      </c>
      <c r="N970" s="1508">
        <f t="shared" si="98"/>
        <v>0</v>
      </c>
      <c r="O970" s="1481">
        <f t="shared" si="94"/>
        <v>0</v>
      </c>
      <c r="P970" s="1427">
        <f t="shared" si="95"/>
        <v>0</v>
      </c>
    </row>
    <row r="971" spans="1:16" ht="31" outlineLevel="1" x14ac:dyDescent="0.25">
      <c r="A971" s="1488">
        <f t="shared" si="99"/>
        <v>6.1</v>
      </c>
      <c r="B971" s="1492" t="str">
        <f t="shared" si="99"/>
        <v>Scheme-1: Procurement of 04 Nos Bulldozers.</v>
      </c>
      <c r="C971" s="1488" t="str">
        <f t="shared" si="99"/>
        <v>MERC/CAPEX/MSPGCL/2023-24/496 Dt 08.08.2024</v>
      </c>
      <c r="D971" s="1413">
        <f t="shared" si="99"/>
        <v>45512</v>
      </c>
      <c r="E971" s="560">
        <f t="shared" si="99"/>
        <v>9.58</v>
      </c>
      <c r="F971" s="1508">
        <f t="shared" si="91"/>
        <v>0</v>
      </c>
      <c r="G971" s="1508">
        <f t="shared" si="92"/>
        <v>0</v>
      </c>
      <c r="H971" s="1508">
        <f t="shared" si="96"/>
        <v>0</v>
      </c>
      <c r="I971" s="1480">
        <v>0</v>
      </c>
      <c r="J971" s="1480">
        <v>0</v>
      </c>
      <c r="K971" s="1508"/>
      <c r="L971" s="1508"/>
      <c r="M971" s="1509">
        <f t="shared" si="97"/>
        <v>0</v>
      </c>
      <c r="N971" s="1508">
        <f t="shared" si="98"/>
        <v>0</v>
      </c>
      <c r="O971" s="1481">
        <f t="shared" si="94"/>
        <v>0</v>
      </c>
      <c r="P971" s="1427">
        <f t="shared" si="95"/>
        <v>0</v>
      </c>
    </row>
    <row r="972" spans="1:16" ht="31" outlineLevel="1" x14ac:dyDescent="0.25">
      <c r="A972" s="1488">
        <f t="shared" si="99"/>
        <v>6.2</v>
      </c>
      <c r="B972" s="1492" t="str">
        <f t="shared" si="99"/>
        <v>Scheme-2:  Procurement of 01 No Wheel Dozer</v>
      </c>
      <c r="C972" s="1488" t="str">
        <f t="shared" si="99"/>
        <v>MERC/CAPEX/MSPGCL/2023-24/496 Dt 08.08.2024</v>
      </c>
      <c r="D972" s="1413">
        <f t="shared" si="99"/>
        <v>45512</v>
      </c>
      <c r="E972" s="1383">
        <f t="shared" si="99"/>
        <v>2.95</v>
      </c>
      <c r="F972" s="1480">
        <f t="shared" si="91"/>
        <v>0</v>
      </c>
      <c r="G972" s="1480">
        <f t="shared" si="92"/>
        <v>0</v>
      </c>
      <c r="H972" s="1480">
        <f t="shared" si="96"/>
        <v>0</v>
      </c>
      <c r="I972" s="1480">
        <v>0</v>
      </c>
      <c r="J972" s="1480">
        <v>0</v>
      </c>
      <c r="K972" s="1480"/>
      <c r="L972" s="1480"/>
      <c r="M972" s="1480">
        <f t="shared" si="97"/>
        <v>0</v>
      </c>
      <c r="N972" s="1480">
        <f t="shared" si="98"/>
        <v>0</v>
      </c>
      <c r="O972" s="1481">
        <f t="shared" si="94"/>
        <v>0</v>
      </c>
      <c r="P972" s="1427">
        <f t="shared" si="95"/>
        <v>0</v>
      </c>
    </row>
    <row r="973" spans="1:16" ht="31" outlineLevel="1" x14ac:dyDescent="0.25">
      <c r="A973" s="1488">
        <f t="shared" si="99"/>
        <v>6.3</v>
      </c>
      <c r="B973" s="1492" t="str">
        <f t="shared" si="99"/>
        <v>Scheme-3: Procurement 02 Nos. 800 HP Diesel Hydraulic Locomotives.</v>
      </c>
      <c r="C973" s="1488" t="str">
        <f t="shared" si="99"/>
        <v>MERC/CAPEX/MSPGCL/2023-24/496 Dt 08.08.2024</v>
      </c>
      <c r="D973" s="1413">
        <f t="shared" si="99"/>
        <v>45512</v>
      </c>
      <c r="E973" s="560">
        <f t="shared" si="99"/>
        <v>7.95</v>
      </c>
      <c r="F973" s="1508">
        <f t="shared" si="91"/>
        <v>0</v>
      </c>
      <c r="G973" s="1508">
        <f t="shared" si="92"/>
        <v>0</v>
      </c>
      <c r="H973" s="1508">
        <f t="shared" si="96"/>
        <v>0</v>
      </c>
      <c r="I973" s="1480">
        <v>0</v>
      </c>
      <c r="J973" s="1480">
        <v>0</v>
      </c>
      <c r="K973" s="1508"/>
      <c r="L973" s="1508"/>
      <c r="M973" s="1509">
        <f t="shared" si="97"/>
        <v>0</v>
      </c>
      <c r="N973" s="1508">
        <f t="shared" si="98"/>
        <v>0</v>
      </c>
      <c r="O973" s="1481">
        <f t="shared" si="94"/>
        <v>0</v>
      </c>
      <c r="P973" s="1427">
        <f t="shared" si="95"/>
        <v>0</v>
      </c>
    </row>
    <row r="974" spans="1:16" ht="31" outlineLevel="1" x14ac:dyDescent="0.25">
      <c r="A974" s="1488">
        <f t="shared" si="99"/>
        <v>6.4</v>
      </c>
      <c r="B974" s="1492" t="str">
        <f t="shared" si="99"/>
        <v>Scheme-4: Upgradation of existing ash disposal pump assembly by higher efficiency pump assembly in ash handling plant.</v>
      </c>
      <c r="C974" s="1488" t="str">
        <f t="shared" si="99"/>
        <v>MERC/CAPEX/MSPGCL/2023-24/496 Dt 08.08.2024</v>
      </c>
      <c r="D974" s="1413">
        <f t="shared" si="99"/>
        <v>45512</v>
      </c>
      <c r="E974" s="560">
        <f t="shared" si="99"/>
        <v>17.46</v>
      </c>
      <c r="F974" s="1508">
        <f t="shared" si="91"/>
        <v>0</v>
      </c>
      <c r="G974" s="1508">
        <f t="shared" si="92"/>
        <v>0</v>
      </c>
      <c r="H974" s="1508">
        <f t="shared" si="96"/>
        <v>0</v>
      </c>
      <c r="I974" s="1480">
        <v>0</v>
      </c>
      <c r="J974" s="1480">
        <v>0</v>
      </c>
      <c r="K974" s="1508"/>
      <c r="L974" s="1508"/>
      <c r="M974" s="1509">
        <f t="shared" si="97"/>
        <v>0</v>
      </c>
      <c r="N974" s="1508">
        <f t="shared" si="98"/>
        <v>0</v>
      </c>
      <c r="O974" s="1481">
        <f t="shared" si="94"/>
        <v>0</v>
      </c>
      <c r="P974" s="1427">
        <f t="shared" si="95"/>
        <v>0</v>
      </c>
    </row>
    <row r="975" spans="1:16" ht="31" outlineLevel="1" x14ac:dyDescent="0.25">
      <c r="A975" s="1488">
        <f t="shared" si="99"/>
        <v>0</v>
      </c>
      <c r="B975" s="1492" t="str">
        <f t="shared" si="99"/>
        <v>IDC</v>
      </c>
      <c r="C975" s="1488" t="str">
        <f t="shared" si="99"/>
        <v>MERC/CAPEX/MSPGCL/2023-24/496 Dt 08.08.2024</v>
      </c>
      <c r="D975" s="1413">
        <f t="shared" si="99"/>
        <v>45512</v>
      </c>
      <c r="E975" s="560">
        <f t="shared" si="99"/>
        <v>0.46</v>
      </c>
      <c r="F975" s="1508">
        <f t="shared" si="91"/>
        <v>0</v>
      </c>
      <c r="G975" s="1508">
        <f t="shared" si="92"/>
        <v>0</v>
      </c>
      <c r="H975" s="1508">
        <f t="shared" si="96"/>
        <v>0</v>
      </c>
      <c r="I975" s="1480">
        <v>0</v>
      </c>
      <c r="J975" s="1480">
        <v>0</v>
      </c>
      <c r="K975" s="1508"/>
      <c r="L975" s="1508"/>
      <c r="M975" s="1509">
        <f t="shared" si="97"/>
        <v>0</v>
      </c>
      <c r="N975" s="1508">
        <f t="shared" si="98"/>
        <v>0</v>
      </c>
    </row>
    <row r="976" spans="1:16" ht="46.5" outlineLevel="1" x14ac:dyDescent="0.25">
      <c r="A976" s="1486">
        <f t="shared" si="99"/>
        <v>64</v>
      </c>
      <c r="B976" s="1491" t="str">
        <f t="shared" si="99"/>
        <v>Stacker Reclaimer, Impact Crusher and Conveyor Drive reliability &amp; availability improvement scheme for CHP of Unit 5,6&amp;7 CSTPS Chandrapur.- Elecon</v>
      </c>
      <c r="C976" s="1488" t="str">
        <f t="shared" si="99"/>
        <v>MERC approved MERC/CAPEX/MSPGCL/2023-24/566  Dt 09.09.2024</v>
      </c>
      <c r="D976" s="1413">
        <f t="shared" si="99"/>
        <v>45544</v>
      </c>
      <c r="E976" s="1383">
        <f t="shared" si="99"/>
        <v>32.549999999999997</v>
      </c>
      <c r="F976" s="1480">
        <f t="shared" si="91"/>
        <v>0</v>
      </c>
      <c r="G976" s="1480">
        <f t="shared" si="92"/>
        <v>0</v>
      </c>
      <c r="H976" s="1480">
        <f t="shared" si="96"/>
        <v>0</v>
      </c>
      <c r="I976" s="1480">
        <v>0</v>
      </c>
      <c r="J976" s="1480">
        <v>0</v>
      </c>
      <c r="K976" s="1480"/>
      <c r="L976" s="1480"/>
      <c r="M976" s="1480">
        <f t="shared" si="97"/>
        <v>0</v>
      </c>
      <c r="N976" s="1480">
        <f t="shared" si="98"/>
        <v>0</v>
      </c>
    </row>
    <row r="977" spans="1:14" ht="46.5" outlineLevel="1" x14ac:dyDescent="0.25">
      <c r="A977" s="1488">
        <f t="shared" si="99"/>
        <v>0</v>
      </c>
      <c r="B977" s="1497" t="str">
        <f t="shared" si="99"/>
        <v xml:space="preserve">Scheme-1: Reliability &amp; availability improvement for Stacker Reclaimer by supply &amp; commissioning of essential equipment at CHPB of Unit 5,6&amp;7 CSTPS  Chandrapur. </v>
      </c>
      <c r="C977" s="1488" t="str">
        <f t="shared" si="99"/>
        <v>MERC approved MERC/CAPEX/MSPGCL/2023-24/566  Dt 09.09.2024</v>
      </c>
      <c r="D977" s="1413">
        <f t="shared" si="99"/>
        <v>45544</v>
      </c>
      <c r="E977" s="560">
        <f t="shared" si="99"/>
        <v>17.61</v>
      </c>
      <c r="F977" s="1508">
        <f t="shared" si="91"/>
        <v>0</v>
      </c>
      <c r="G977" s="1508">
        <f t="shared" si="92"/>
        <v>0</v>
      </c>
      <c r="H977" s="1508">
        <f t="shared" si="96"/>
        <v>0</v>
      </c>
      <c r="I977" s="1480">
        <v>0</v>
      </c>
      <c r="J977" s="1480">
        <v>0</v>
      </c>
      <c r="K977" s="1508"/>
      <c r="L977" s="1508"/>
      <c r="M977" s="1509">
        <f t="shared" si="97"/>
        <v>0</v>
      </c>
      <c r="N977" s="1508">
        <f t="shared" si="98"/>
        <v>0</v>
      </c>
    </row>
    <row r="978" spans="1:14" ht="46.5" outlineLevel="1" x14ac:dyDescent="0.25">
      <c r="A978" s="1488">
        <f t="shared" si="99"/>
        <v>0</v>
      </c>
      <c r="B978" s="1497" t="str">
        <f t="shared" si="99"/>
        <v xml:space="preserve">Scheme-2: Reliability &amp; availability improvement for Conveyor Drive by supply &amp; commissioning of essential equipment at CHPB of Unit 5,6&amp;7 CSTPS </v>
      </c>
      <c r="C978" s="1488" t="str">
        <f t="shared" si="99"/>
        <v>MERC approved MERC/CAPEX/MSPGCL/2023-24/566  Dt 09.09.2024</v>
      </c>
      <c r="D978" s="1413">
        <f t="shared" si="99"/>
        <v>45544</v>
      </c>
      <c r="E978" s="560">
        <f t="shared" si="99"/>
        <v>14.65</v>
      </c>
      <c r="F978" s="1508">
        <f t="shared" si="91"/>
        <v>0</v>
      </c>
      <c r="G978" s="1508">
        <f t="shared" si="92"/>
        <v>0</v>
      </c>
      <c r="H978" s="1508">
        <f t="shared" si="96"/>
        <v>0</v>
      </c>
      <c r="I978" s="1480">
        <v>0</v>
      </c>
      <c r="J978" s="1480">
        <v>0</v>
      </c>
      <c r="K978" s="1508"/>
      <c r="L978" s="1508"/>
      <c r="M978" s="1509">
        <f t="shared" si="97"/>
        <v>0</v>
      </c>
      <c r="N978" s="1508">
        <f t="shared" si="98"/>
        <v>0</v>
      </c>
    </row>
    <row r="979" spans="1:14" ht="46.5" outlineLevel="1" x14ac:dyDescent="0.25">
      <c r="A979" s="1488">
        <f t="shared" si="99"/>
        <v>0</v>
      </c>
      <c r="B979" s="1497" t="str">
        <f t="shared" si="99"/>
        <v>IDC</v>
      </c>
      <c r="C979" s="1488" t="str">
        <f t="shared" si="99"/>
        <v>MERC approved MERC/CAPEX/MSPGCL/2023-24/566  Dt 09.09.2024</v>
      </c>
      <c r="D979" s="1413">
        <f t="shared" si="99"/>
        <v>45544</v>
      </c>
      <c r="E979" s="560">
        <f t="shared" si="99"/>
        <v>0.28999999999999998</v>
      </c>
      <c r="F979" s="1508">
        <f t="shared" si="91"/>
        <v>0</v>
      </c>
      <c r="G979" s="1508">
        <f t="shared" si="92"/>
        <v>0</v>
      </c>
      <c r="H979" s="1508">
        <f t="shared" si="96"/>
        <v>0</v>
      </c>
      <c r="I979" s="1480">
        <v>0</v>
      </c>
      <c r="J979" s="1480">
        <v>0</v>
      </c>
      <c r="K979" s="1508"/>
      <c r="L979" s="1508"/>
      <c r="M979" s="1509">
        <f t="shared" si="97"/>
        <v>0</v>
      </c>
      <c r="N979" s="1508">
        <f t="shared" si="98"/>
        <v>0</v>
      </c>
    </row>
    <row r="980" spans="1:14" ht="15.5" outlineLevel="1" x14ac:dyDescent="0.25">
      <c r="A980" s="1498">
        <f t="shared" si="99"/>
        <v>0</v>
      </c>
      <c r="B980" s="1492">
        <f t="shared" si="99"/>
        <v>0</v>
      </c>
      <c r="C980" s="1498">
        <f t="shared" si="99"/>
        <v>0</v>
      </c>
      <c r="D980" s="1499" t="str">
        <f t="shared" si="99"/>
        <v>-</v>
      </c>
      <c r="E980" s="560">
        <f t="shared" si="99"/>
        <v>0</v>
      </c>
      <c r="F980" s="1508">
        <f t="shared" si="91"/>
        <v>0</v>
      </c>
      <c r="G980" s="1508">
        <f t="shared" si="92"/>
        <v>0</v>
      </c>
      <c r="H980" s="1508">
        <f t="shared" si="96"/>
        <v>0</v>
      </c>
      <c r="I980" s="1480">
        <v>0</v>
      </c>
      <c r="J980" s="1480">
        <v>0</v>
      </c>
      <c r="K980" s="1508"/>
      <c r="L980" s="1508"/>
      <c r="M980" s="1509">
        <f t="shared" si="97"/>
        <v>0</v>
      </c>
      <c r="N980" s="1508">
        <f t="shared" si="98"/>
        <v>0</v>
      </c>
    </row>
    <row r="981" spans="1:14" ht="15.5" outlineLevel="1" x14ac:dyDescent="0.25">
      <c r="A981" s="1498">
        <f t="shared" si="99"/>
        <v>0</v>
      </c>
      <c r="B981" s="1492">
        <f t="shared" si="99"/>
        <v>0</v>
      </c>
      <c r="C981" s="1498">
        <f t="shared" si="99"/>
        <v>0</v>
      </c>
      <c r="D981" s="1499" t="str">
        <f t="shared" si="99"/>
        <v>-</v>
      </c>
      <c r="E981" s="560">
        <f t="shared" si="99"/>
        <v>0</v>
      </c>
      <c r="F981" s="1508">
        <f t="shared" si="91"/>
        <v>0</v>
      </c>
      <c r="G981" s="1508">
        <f t="shared" si="92"/>
        <v>0</v>
      </c>
      <c r="H981" s="1508">
        <f t="shared" si="96"/>
        <v>0</v>
      </c>
      <c r="I981" s="1480">
        <v>0</v>
      </c>
      <c r="J981" s="1480">
        <v>0</v>
      </c>
      <c r="K981" s="1508"/>
      <c r="L981" s="1508"/>
      <c r="M981" s="1509">
        <f t="shared" si="97"/>
        <v>0</v>
      </c>
      <c r="N981" s="1508">
        <f t="shared" si="98"/>
        <v>0</v>
      </c>
    </row>
    <row r="982" spans="1:14" ht="15.5" outlineLevel="1" x14ac:dyDescent="0.25">
      <c r="A982" s="1500">
        <f t="shared" si="99"/>
        <v>0</v>
      </c>
      <c r="B982" s="1483">
        <f t="shared" si="99"/>
        <v>0</v>
      </c>
      <c r="C982" s="1500">
        <f t="shared" si="99"/>
        <v>0</v>
      </c>
      <c r="D982" s="1501" t="str">
        <f t="shared" si="99"/>
        <v>-</v>
      </c>
      <c r="E982" s="560">
        <f t="shared" si="99"/>
        <v>0</v>
      </c>
      <c r="F982" s="1508">
        <f t="shared" si="91"/>
        <v>0</v>
      </c>
      <c r="G982" s="1508">
        <f t="shared" si="92"/>
        <v>0</v>
      </c>
      <c r="H982" s="1508">
        <f t="shared" si="96"/>
        <v>0</v>
      </c>
      <c r="I982" s="1480">
        <v>0</v>
      </c>
      <c r="J982" s="1480">
        <v>0</v>
      </c>
      <c r="K982" s="1508"/>
      <c r="L982" s="1508"/>
      <c r="M982" s="1509">
        <f t="shared" si="97"/>
        <v>0</v>
      </c>
      <c r="N982" s="1508">
        <f t="shared" si="98"/>
        <v>0</v>
      </c>
    </row>
    <row r="983" spans="1:14" ht="15.5" outlineLevel="1" x14ac:dyDescent="0.25">
      <c r="A983" s="131">
        <f t="shared" si="99"/>
        <v>0</v>
      </c>
      <c r="B983" s="1476" t="str">
        <f t="shared" si="99"/>
        <v>(ii) Submitted to MERC, Yet To Receive Approval</v>
      </c>
      <c r="C983" s="166">
        <f t="shared" si="99"/>
        <v>0</v>
      </c>
      <c r="D983" s="1413" t="str">
        <f t="shared" si="99"/>
        <v>-</v>
      </c>
      <c r="E983" s="1383">
        <f t="shared" si="99"/>
        <v>0</v>
      </c>
      <c r="F983" s="1480">
        <f t="shared" si="91"/>
        <v>0</v>
      </c>
      <c r="G983" s="1480">
        <f t="shared" si="92"/>
        <v>0</v>
      </c>
      <c r="H983" s="1480">
        <f t="shared" si="96"/>
        <v>0</v>
      </c>
      <c r="I983" s="1480">
        <v>0</v>
      </c>
      <c r="J983" s="1480">
        <v>0</v>
      </c>
      <c r="K983" s="1480"/>
      <c r="L983" s="1480"/>
      <c r="M983" s="1480">
        <f t="shared" si="97"/>
        <v>0</v>
      </c>
      <c r="N983" s="1480">
        <f t="shared" si="98"/>
        <v>0</v>
      </c>
    </row>
    <row r="984" spans="1:14" ht="93" outlineLevel="1" x14ac:dyDescent="0.25">
      <c r="A984" s="1486" t="str">
        <f t="shared" ref="A984:E999" si="100">A314</f>
        <v>Y8, Y9</v>
      </c>
      <c r="B984" s="1491" t="str">
        <f t="shared" si="100"/>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984" s="1486" t="str">
        <f t="shared" si="100"/>
        <v>Yet To Receive Approval</v>
      </c>
      <c r="D984" s="1487" t="str">
        <f t="shared" si="100"/>
        <v>-</v>
      </c>
      <c r="E984" s="560">
        <f t="shared" si="100"/>
        <v>0</v>
      </c>
      <c r="F984" s="1508">
        <f t="shared" si="91"/>
        <v>0</v>
      </c>
      <c r="G984" s="1508">
        <f t="shared" si="92"/>
        <v>0</v>
      </c>
      <c r="H984" s="1508">
        <f t="shared" si="96"/>
        <v>0</v>
      </c>
      <c r="I984" s="1480">
        <v>0</v>
      </c>
      <c r="J984" s="1480">
        <v>0</v>
      </c>
      <c r="K984" s="1508"/>
      <c r="L984" s="1508"/>
      <c r="M984" s="1509">
        <f t="shared" si="97"/>
        <v>0</v>
      </c>
      <c r="N984" s="1508">
        <f t="shared" si="98"/>
        <v>0</v>
      </c>
    </row>
    <row r="985" spans="1:14" ht="15.5" outlineLevel="1" x14ac:dyDescent="0.25">
      <c r="A985" s="1488">
        <f t="shared" si="100"/>
        <v>0</v>
      </c>
      <c r="B985" s="1497" t="str">
        <f t="shared" si="100"/>
        <v>Procurement of BOXN-HL Wagons for C.S.T.P.S., Chandrapur.</v>
      </c>
      <c r="C985" s="1488" t="str">
        <f t="shared" si="100"/>
        <v>Yet To Receive Approval</v>
      </c>
      <c r="D985" s="1413" t="str">
        <f t="shared" si="100"/>
        <v>-</v>
      </c>
      <c r="E985" s="560">
        <f t="shared" si="100"/>
        <v>0</v>
      </c>
      <c r="F985" s="1508">
        <f t="shared" si="91"/>
        <v>0</v>
      </c>
      <c r="G985" s="1508">
        <f t="shared" si="92"/>
        <v>0</v>
      </c>
      <c r="H985" s="1508">
        <f t="shared" si="96"/>
        <v>0</v>
      </c>
      <c r="I985" s="1480">
        <v>0</v>
      </c>
      <c r="J985" s="1480">
        <v>0</v>
      </c>
      <c r="K985" s="1508"/>
      <c r="L985" s="1508"/>
      <c r="M985" s="1509">
        <f t="shared" si="97"/>
        <v>0</v>
      </c>
      <c r="N985" s="1508">
        <f t="shared" si="98"/>
        <v>0</v>
      </c>
    </row>
    <row r="986" spans="1:14" ht="31" outlineLevel="1" x14ac:dyDescent="0.25">
      <c r="A986" s="1488">
        <f t="shared" si="100"/>
        <v>0</v>
      </c>
      <c r="B986" s="1497" t="str">
        <f t="shared" si="100"/>
        <v>Combined Fire and Rescue vehicle with Hydraulic Platform (Multipurpose Fire Tender)</v>
      </c>
      <c r="C986" s="1488" t="str">
        <f t="shared" si="100"/>
        <v>Yet To Receive Approval</v>
      </c>
      <c r="D986" s="1413" t="str">
        <f t="shared" si="100"/>
        <v>-</v>
      </c>
      <c r="E986" s="1383">
        <f t="shared" si="100"/>
        <v>0</v>
      </c>
      <c r="F986" s="1480">
        <f t="shared" si="91"/>
        <v>0</v>
      </c>
      <c r="G986" s="1480">
        <f t="shared" si="92"/>
        <v>0</v>
      </c>
      <c r="H986" s="1480">
        <f t="shared" si="96"/>
        <v>0</v>
      </c>
      <c r="I986" s="1480">
        <v>0</v>
      </c>
      <c r="J986" s="1480">
        <v>0</v>
      </c>
      <c r="K986" s="1480"/>
      <c r="L986" s="1480"/>
      <c r="M986" s="1480">
        <f t="shared" si="97"/>
        <v>0</v>
      </c>
      <c r="N986" s="1480">
        <f t="shared" si="98"/>
        <v>0</v>
      </c>
    </row>
    <row r="987" spans="1:14" ht="15.5" outlineLevel="1" x14ac:dyDescent="0.25">
      <c r="A987" s="1488">
        <f t="shared" si="100"/>
        <v>0</v>
      </c>
      <c r="B987" s="1497" t="str">
        <f t="shared" si="100"/>
        <v>Quick Response Vehicle (Multipurpose Fire Tender)</v>
      </c>
      <c r="C987" s="1488" t="str">
        <f t="shared" si="100"/>
        <v>Yet To Receive Approval</v>
      </c>
      <c r="D987" s="1413" t="str">
        <f t="shared" si="100"/>
        <v>-</v>
      </c>
      <c r="E987" s="560">
        <f t="shared" si="100"/>
        <v>0</v>
      </c>
      <c r="F987" s="1508">
        <f t="shared" si="91"/>
        <v>0</v>
      </c>
      <c r="G987" s="1508">
        <f t="shared" si="92"/>
        <v>0</v>
      </c>
      <c r="H987" s="1508">
        <f t="shared" si="96"/>
        <v>0</v>
      </c>
      <c r="I987" s="1480">
        <v>0</v>
      </c>
      <c r="J987" s="1480">
        <v>0</v>
      </c>
      <c r="K987" s="1508"/>
      <c r="L987" s="1508"/>
      <c r="M987" s="1509">
        <f t="shared" si="97"/>
        <v>0</v>
      </c>
      <c r="N987" s="1508">
        <f t="shared" si="98"/>
        <v>0</v>
      </c>
    </row>
    <row r="988" spans="1:14" ht="31" outlineLevel="1" x14ac:dyDescent="0.25">
      <c r="A988" s="1488">
        <f t="shared" si="100"/>
        <v>0</v>
      </c>
      <c r="B988" s="1497" t="str">
        <f t="shared" si="100"/>
        <v xml:space="preserve">High capacity Machine for debris transporting by Mechanized way (Vehicle) along with jetting machine </v>
      </c>
      <c r="C988" s="1488" t="str">
        <f t="shared" si="100"/>
        <v>Yet To Receive Approval</v>
      </c>
      <c r="D988" s="1413" t="str">
        <f t="shared" si="100"/>
        <v>-</v>
      </c>
      <c r="E988" s="560">
        <f t="shared" si="100"/>
        <v>0</v>
      </c>
      <c r="F988" s="1508">
        <f t="shared" si="91"/>
        <v>0</v>
      </c>
      <c r="G988" s="1508">
        <f t="shared" si="92"/>
        <v>0</v>
      </c>
      <c r="H988" s="1508">
        <f t="shared" si="96"/>
        <v>0</v>
      </c>
      <c r="I988" s="1480">
        <v>0</v>
      </c>
      <c r="J988" s="1480">
        <v>0</v>
      </c>
      <c r="K988" s="1508"/>
      <c r="L988" s="1508"/>
      <c r="M988" s="1509">
        <f t="shared" si="97"/>
        <v>0</v>
      </c>
      <c r="N988" s="1508">
        <f t="shared" si="98"/>
        <v>0</v>
      </c>
    </row>
    <row r="989" spans="1:14" ht="15.5" outlineLevel="1" x14ac:dyDescent="0.25">
      <c r="A989" s="1488">
        <f t="shared" si="100"/>
        <v>0</v>
      </c>
      <c r="B989" s="1497" t="str">
        <f t="shared" si="100"/>
        <v>IDC</v>
      </c>
      <c r="C989" s="1488" t="str">
        <f t="shared" si="100"/>
        <v>Yet To Receive Approval</v>
      </c>
      <c r="D989" s="1413" t="str">
        <f t="shared" si="100"/>
        <v>-</v>
      </c>
      <c r="E989" s="1383">
        <f t="shared" si="100"/>
        <v>0</v>
      </c>
      <c r="F989" s="1480">
        <f t="shared" si="91"/>
        <v>0</v>
      </c>
      <c r="G989" s="1480">
        <f t="shared" si="92"/>
        <v>0</v>
      </c>
      <c r="H989" s="1480">
        <f t="shared" si="96"/>
        <v>0</v>
      </c>
      <c r="I989" s="1480">
        <v>0</v>
      </c>
      <c r="J989" s="1480">
        <v>0</v>
      </c>
      <c r="K989" s="1480"/>
      <c r="L989" s="1480"/>
      <c r="M989" s="1480">
        <f t="shared" si="97"/>
        <v>0</v>
      </c>
      <c r="N989" s="1480">
        <f t="shared" si="98"/>
        <v>0</v>
      </c>
    </row>
    <row r="990" spans="1:14" ht="62" outlineLevel="1" x14ac:dyDescent="0.25">
      <c r="A990" s="1486" t="str">
        <f t="shared" si="100"/>
        <v>Y10</v>
      </c>
      <c r="B990" s="1491" t="str">
        <f t="shared" si="100"/>
        <v>Retrofitting of existing SF6 HT Circuit Breakers installed at Unit # 7 &amp; EM-II (Outdoor plant) of 3X500MW CSTPS Chandrapur by latest technology HT Contactor/ Vacuum Circuit breakers along with Supply, Installation &amp; Commissioning</v>
      </c>
      <c r="C990" s="1486" t="str">
        <f t="shared" si="100"/>
        <v>Yet To Receive Approval</v>
      </c>
      <c r="D990" s="1413" t="str">
        <f t="shared" si="100"/>
        <v>-</v>
      </c>
      <c r="E990" s="1383">
        <f t="shared" si="100"/>
        <v>0</v>
      </c>
      <c r="F990" s="1480">
        <f t="shared" si="91"/>
        <v>0</v>
      </c>
      <c r="G990" s="1480">
        <f t="shared" si="92"/>
        <v>0</v>
      </c>
      <c r="H990" s="1480">
        <f t="shared" si="96"/>
        <v>0</v>
      </c>
      <c r="I990" s="1480">
        <v>0</v>
      </c>
      <c r="J990" s="1480">
        <v>0</v>
      </c>
      <c r="K990" s="1480"/>
      <c r="L990" s="1480"/>
      <c r="M990" s="1480">
        <f t="shared" si="97"/>
        <v>0</v>
      </c>
      <c r="N990" s="1480">
        <f t="shared" si="98"/>
        <v>0</v>
      </c>
    </row>
    <row r="991" spans="1:14" ht="46.5" outlineLevel="1" x14ac:dyDescent="0.25">
      <c r="A991" s="1488">
        <f t="shared" si="100"/>
        <v>0</v>
      </c>
      <c r="B991" s="1497" t="str">
        <f t="shared" si="100"/>
        <v>Retrofitting of existing ABB make SF6 Circuit Breakers installed at AHP Unit#7 by latest technology SF6 HT Contactor/ Vacuum Circuit Breaker</v>
      </c>
      <c r="C991" s="1488" t="str">
        <f t="shared" si="100"/>
        <v>Yet To Receive Approval</v>
      </c>
      <c r="D991" s="1413" t="str">
        <f t="shared" si="100"/>
        <v>-</v>
      </c>
      <c r="E991" s="1383">
        <f t="shared" si="100"/>
        <v>0</v>
      </c>
      <c r="F991" s="1480">
        <f t="shared" si="91"/>
        <v>0</v>
      </c>
      <c r="G991" s="1480">
        <f t="shared" si="92"/>
        <v>0</v>
      </c>
      <c r="H991" s="1480">
        <f t="shared" si="96"/>
        <v>0</v>
      </c>
      <c r="I991" s="1480">
        <v>0</v>
      </c>
      <c r="J991" s="1480">
        <v>0</v>
      </c>
      <c r="K991" s="1480"/>
      <c r="L991" s="1480"/>
      <c r="M991" s="1480">
        <f t="shared" si="97"/>
        <v>0</v>
      </c>
      <c r="N991" s="1480">
        <f t="shared" si="98"/>
        <v>0</v>
      </c>
    </row>
    <row r="992" spans="1:14" ht="62" outlineLevel="1" x14ac:dyDescent="0.25">
      <c r="A992" s="1488">
        <f t="shared" si="100"/>
        <v>0</v>
      </c>
      <c r="B992" s="1497" t="str">
        <f t="shared" si="100"/>
        <v>Retrofitting of existing ABB/Voltas make SF6 Circuit Breakers installed at CCW Board of Unit#5,6&amp;7 ODP-II, WTP- II Board of ODP-II, Raw water RWS Board of ODP-II by latest technology Vacuum Circuit Breaker:</v>
      </c>
      <c r="C992" s="1488" t="str">
        <f t="shared" si="100"/>
        <v>Yet To Receive Approval</v>
      </c>
      <c r="D992" s="1413" t="str">
        <f t="shared" si="100"/>
        <v>-</v>
      </c>
      <c r="E992" s="560">
        <f t="shared" si="100"/>
        <v>0</v>
      </c>
      <c r="F992" s="1508">
        <f t="shared" si="91"/>
        <v>0</v>
      </c>
      <c r="G992" s="1508">
        <f t="shared" si="92"/>
        <v>0</v>
      </c>
      <c r="H992" s="1508">
        <f t="shared" si="96"/>
        <v>0</v>
      </c>
      <c r="I992" s="1480">
        <v>0</v>
      </c>
      <c r="J992" s="1480">
        <v>0</v>
      </c>
      <c r="K992" s="1508"/>
      <c r="L992" s="1508"/>
      <c r="M992" s="1509">
        <f t="shared" si="97"/>
        <v>0</v>
      </c>
      <c r="N992" s="1508">
        <f t="shared" si="98"/>
        <v>0</v>
      </c>
    </row>
    <row r="993" spans="1:14" ht="15.5" outlineLevel="1" x14ac:dyDescent="0.25">
      <c r="A993" s="1488">
        <f t="shared" si="100"/>
        <v>0</v>
      </c>
      <c r="B993" s="1497" t="str">
        <f t="shared" si="100"/>
        <v>IDC</v>
      </c>
      <c r="C993" s="1488" t="str">
        <f t="shared" si="100"/>
        <v>Yet To Receive Approval</v>
      </c>
      <c r="D993" s="1413" t="str">
        <f t="shared" si="100"/>
        <v>-</v>
      </c>
      <c r="E993" s="560">
        <f t="shared" si="100"/>
        <v>0</v>
      </c>
      <c r="F993" s="1508">
        <f t="shared" si="91"/>
        <v>0</v>
      </c>
      <c r="G993" s="1508">
        <f t="shared" si="92"/>
        <v>0</v>
      </c>
      <c r="H993" s="1508">
        <f t="shared" si="96"/>
        <v>0</v>
      </c>
      <c r="I993" s="1480">
        <v>0</v>
      </c>
      <c r="J993" s="1480">
        <v>0</v>
      </c>
      <c r="K993" s="1508"/>
      <c r="L993" s="1508"/>
      <c r="M993" s="1509">
        <f t="shared" si="97"/>
        <v>0</v>
      </c>
      <c r="N993" s="1508">
        <f t="shared" si="98"/>
        <v>0</v>
      </c>
    </row>
    <row r="994" spans="1:14" ht="62" outlineLevel="1" x14ac:dyDescent="0.25">
      <c r="A994" s="1486" t="str">
        <f t="shared" si="100"/>
        <v>Y11</v>
      </c>
      <c r="B994" s="1491" t="str">
        <f t="shared" si="100"/>
        <v>Design, Engineering, Manufacturing, Supply, Erection, Commissioning and testing of Wagon Locking System for wagon Tippler &amp; Portable Reclaim Feeder for CHP of Unit 5 to 9 of CSTPS, Chandrapur</v>
      </c>
      <c r="C994" s="1486" t="str">
        <f t="shared" si="100"/>
        <v>Yet To Receive Approval</v>
      </c>
      <c r="D994" s="1413" t="str">
        <f t="shared" si="100"/>
        <v>-</v>
      </c>
      <c r="E994" s="560">
        <f t="shared" si="100"/>
        <v>0</v>
      </c>
      <c r="F994" s="1508">
        <f t="shared" si="91"/>
        <v>0</v>
      </c>
      <c r="G994" s="1508">
        <f t="shared" si="92"/>
        <v>0</v>
      </c>
      <c r="H994" s="1508">
        <f t="shared" si="96"/>
        <v>0</v>
      </c>
      <c r="I994" s="1480">
        <v>0</v>
      </c>
      <c r="J994" s="1480">
        <v>0</v>
      </c>
      <c r="K994" s="1508"/>
      <c r="L994" s="1508"/>
      <c r="M994" s="1509">
        <f t="shared" si="97"/>
        <v>0</v>
      </c>
      <c r="N994" s="1508">
        <f t="shared" si="98"/>
        <v>0</v>
      </c>
    </row>
    <row r="995" spans="1:14" ht="46.5" outlineLevel="1" x14ac:dyDescent="0.25">
      <c r="A995" s="1488">
        <f t="shared" si="100"/>
        <v>0</v>
      </c>
      <c r="B995" s="1497" t="str">
        <f t="shared" si="100"/>
        <v>Scheme-1: Design, Engineering, Manufacturing, Supply, Erection, Commissioning and testing of Wagon Locking System for Wagon Tippler of CHP of Unit 5 to 9 of CSTPS Chandrapur.</v>
      </c>
      <c r="C995" s="1488" t="str">
        <f t="shared" si="100"/>
        <v>Yet To Receive Approval</v>
      </c>
      <c r="D995" s="1413" t="str">
        <f t="shared" si="100"/>
        <v>-</v>
      </c>
      <c r="E995" s="560">
        <f t="shared" si="100"/>
        <v>0</v>
      </c>
      <c r="F995" s="1508">
        <f t="shared" si="91"/>
        <v>0</v>
      </c>
      <c r="G995" s="1508">
        <f t="shared" si="92"/>
        <v>0</v>
      </c>
      <c r="H995" s="1508">
        <f t="shared" si="96"/>
        <v>0</v>
      </c>
      <c r="I995" s="1480">
        <v>0</v>
      </c>
      <c r="J995" s="1480">
        <v>0</v>
      </c>
      <c r="K995" s="1508"/>
      <c r="L995" s="1508"/>
      <c r="M995" s="1509">
        <f t="shared" si="97"/>
        <v>0</v>
      </c>
      <c r="N995" s="1508">
        <f t="shared" si="98"/>
        <v>0</v>
      </c>
    </row>
    <row r="996" spans="1:14" ht="46.5" outlineLevel="1" x14ac:dyDescent="0.25">
      <c r="A996" s="1488">
        <f t="shared" si="100"/>
        <v>0</v>
      </c>
      <c r="B996" s="1497" t="str">
        <f t="shared" si="100"/>
        <v>Scheme-2: Design, Engineering, Manufacturing, Supply, Erection, Commissioning, and testing of Portable Reclaim Feeder for CHP of Unit 5 to 9 in CSTPS Chandrapur.</v>
      </c>
      <c r="C996" s="1488" t="str">
        <f t="shared" si="100"/>
        <v>Yet To Receive Approval</v>
      </c>
      <c r="D996" s="1413" t="str">
        <f t="shared" si="100"/>
        <v>-</v>
      </c>
      <c r="E996" s="560">
        <f t="shared" si="100"/>
        <v>0</v>
      </c>
      <c r="F996" s="1508">
        <f t="shared" si="91"/>
        <v>0</v>
      </c>
      <c r="G996" s="1508">
        <f t="shared" si="92"/>
        <v>0</v>
      </c>
      <c r="H996" s="1508">
        <f t="shared" si="96"/>
        <v>0</v>
      </c>
      <c r="I996" s="1480">
        <v>0</v>
      </c>
      <c r="J996" s="1480">
        <v>0</v>
      </c>
      <c r="K996" s="1508"/>
      <c r="L996" s="1508"/>
      <c r="M996" s="1509">
        <f t="shared" si="97"/>
        <v>0</v>
      </c>
      <c r="N996" s="1508">
        <f t="shared" si="98"/>
        <v>0</v>
      </c>
    </row>
    <row r="997" spans="1:14" ht="15.5" outlineLevel="1" x14ac:dyDescent="0.25">
      <c r="A997" s="1488">
        <f t="shared" si="100"/>
        <v>0</v>
      </c>
      <c r="B997" s="1497" t="str">
        <f t="shared" si="100"/>
        <v>IDC</v>
      </c>
      <c r="C997" s="1488" t="str">
        <f t="shared" si="100"/>
        <v>Yet To Receive Approval</v>
      </c>
      <c r="D997" s="1413" t="str">
        <f t="shared" si="100"/>
        <v>-</v>
      </c>
      <c r="E997" s="560">
        <f t="shared" si="100"/>
        <v>0</v>
      </c>
      <c r="F997" s="1508">
        <f t="shared" si="91"/>
        <v>0</v>
      </c>
      <c r="G997" s="1508">
        <f t="shared" si="92"/>
        <v>0</v>
      </c>
      <c r="H997" s="1508">
        <f t="shared" si="96"/>
        <v>0</v>
      </c>
      <c r="I997" s="1480">
        <v>0</v>
      </c>
      <c r="J997" s="1480">
        <v>0</v>
      </c>
      <c r="K997" s="1508"/>
      <c r="L997" s="1508"/>
      <c r="M997" s="1509">
        <f t="shared" si="97"/>
        <v>0</v>
      </c>
      <c r="N997" s="1508">
        <f t="shared" si="98"/>
        <v>0</v>
      </c>
    </row>
    <row r="998" spans="1:14" ht="46.5" outlineLevel="1" x14ac:dyDescent="0.25">
      <c r="A998" s="1486" t="str">
        <f t="shared" si="100"/>
        <v>Y12</v>
      </c>
      <c r="B998" s="1491" t="str">
        <f t="shared" si="100"/>
        <v>Efficiency and Reliability improvement of PRDS, HP Heaters &amp;
Boiler pressure part system by rejuvenation of control valves, CSTPS Chandrapur</v>
      </c>
      <c r="C998" s="1486" t="str">
        <f t="shared" si="100"/>
        <v>Yet To Receive Approval</v>
      </c>
      <c r="D998" s="1413" t="str">
        <f t="shared" si="100"/>
        <v>-</v>
      </c>
      <c r="E998" s="560">
        <f t="shared" si="100"/>
        <v>0</v>
      </c>
      <c r="F998" s="1508">
        <f t="shared" si="91"/>
        <v>0</v>
      </c>
      <c r="G998" s="1508">
        <f t="shared" si="92"/>
        <v>0</v>
      </c>
      <c r="H998" s="1508">
        <f t="shared" si="96"/>
        <v>0</v>
      </c>
      <c r="I998" s="1480">
        <v>0</v>
      </c>
      <c r="J998" s="1480">
        <v>0</v>
      </c>
      <c r="K998" s="1508"/>
      <c r="L998" s="1508"/>
      <c r="M998" s="1509">
        <f t="shared" si="97"/>
        <v>0</v>
      </c>
      <c r="N998" s="1508">
        <f t="shared" si="98"/>
        <v>0</v>
      </c>
    </row>
    <row r="999" spans="1:14" ht="31" outlineLevel="1" x14ac:dyDescent="0.25">
      <c r="A999" s="1488">
        <f t="shared" si="100"/>
        <v>0</v>
      </c>
      <c r="B999" s="1497" t="str">
        <f t="shared" si="100"/>
        <v>Scheme-1: Procurement of Sub body assembly &amp; Actuator for control &amp; motorized valves for U#3 &amp; U#4 (210MW).</v>
      </c>
      <c r="C999" s="1488" t="str">
        <f t="shared" si="100"/>
        <v>Yet To Receive Approval</v>
      </c>
      <c r="D999" s="1413" t="str">
        <f t="shared" si="100"/>
        <v>-</v>
      </c>
      <c r="E999" s="560">
        <f t="shared" si="100"/>
        <v>0</v>
      </c>
      <c r="F999" s="1508">
        <f t="shared" si="91"/>
        <v>0</v>
      </c>
      <c r="G999" s="1508">
        <f t="shared" si="92"/>
        <v>0</v>
      </c>
      <c r="H999" s="1508">
        <f t="shared" si="96"/>
        <v>0</v>
      </c>
      <c r="I999" s="1480">
        <v>0</v>
      </c>
      <c r="J999" s="1480">
        <v>0</v>
      </c>
      <c r="K999" s="1508"/>
      <c r="L999" s="1508"/>
      <c r="M999" s="1509">
        <f t="shared" si="97"/>
        <v>0</v>
      </c>
      <c r="N999" s="1508">
        <f t="shared" si="98"/>
        <v>0</v>
      </c>
    </row>
    <row r="1000" spans="1:14" ht="46.5" outlineLevel="1" x14ac:dyDescent="0.25">
      <c r="A1000" s="1488">
        <f t="shared" ref="A1000:E1015" si="101">A330</f>
        <v>0</v>
      </c>
      <c r="B1000" s="1497" t="str">
        <f t="shared" si="101"/>
        <v>Scheme-2: Procurement of HC &amp; LC Feed and Soot Blower Drain Control sub body assembly for control valves for boiler Unit- 5, 6 &amp; 7 (500MW).</v>
      </c>
      <c r="C1000" s="1488" t="str">
        <f t="shared" si="101"/>
        <v>Yet To Receive Approval</v>
      </c>
      <c r="D1000" s="1413" t="str">
        <f t="shared" si="101"/>
        <v>-</v>
      </c>
      <c r="E1000" s="560">
        <f t="shared" si="101"/>
        <v>0</v>
      </c>
      <c r="F1000" s="1508">
        <f t="shared" ref="F1000:F1063" si="102">F330+I330</f>
        <v>0</v>
      </c>
      <c r="G1000" s="1508">
        <f t="shared" ref="G1000:G1063" si="103">G330+M330</f>
        <v>0</v>
      </c>
      <c r="H1000" s="1508">
        <f t="shared" si="96"/>
        <v>0</v>
      </c>
      <c r="I1000" s="1480">
        <v>0</v>
      </c>
      <c r="J1000" s="1480">
        <v>0</v>
      </c>
      <c r="K1000" s="1508"/>
      <c r="L1000" s="1508"/>
      <c r="M1000" s="1509">
        <f t="shared" si="97"/>
        <v>0</v>
      </c>
      <c r="N1000" s="1508">
        <f t="shared" si="98"/>
        <v>0</v>
      </c>
    </row>
    <row r="1001" spans="1:14" ht="31" outlineLevel="1" x14ac:dyDescent="0.25">
      <c r="A1001" s="1488">
        <f t="shared" si="101"/>
        <v>0</v>
      </c>
      <c r="B1001" s="1497" t="str">
        <f t="shared" si="101"/>
        <v>Scheme-3: Procurement of actuator assembly for control valves for boiler Unit- 5, 6 &amp; 7 (500MW).</v>
      </c>
      <c r="C1001" s="1488" t="str">
        <f t="shared" si="101"/>
        <v>Yet To Receive Approval</v>
      </c>
      <c r="D1001" s="1413" t="str">
        <f t="shared" si="101"/>
        <v>-</v>
      </c>
      <c r="E1001" s="560">
        <f t="shared" si="101"/>
        <v>0</v>
      </c>
      <c r="F1001" s="1508">
        <f t="shared" si="102"/>
        <v>0</v>
      </c>
      <c r="G1001" s="1508">
        <f t="shared" si="103"/>
        <v>0</v>
      </c>
      <c r="H1001" s="1508">
        <f t="shared" si="96"/>
        <v>0</v>
      </c>
      <c r="I1001" s="1480">
        <v>0</v>
      </c>
      <c r="J1001" s="1480">
        <v>0</v>
      </c>
      <c r="K1001" s="1508"/>
      <c r="L1001" s="1508"/>
      <c r="M1001" s="1509">
        <f t="shared" si="97"/>
        <v>0</v>
      </c>
      <c r="N1001" s="1508">
        <f t="shared" si="98"/>
        <v>0</v>
      </c>
    </row>
    <row r="1002" spans="1:14" ht="31" outlineLevel="1" x14ac:dyDescent="0.25">
      <c r="A1002" s="1488">
        <f t="shared" si="101"/>
        <v>0</v>
      </c>
      <c r="B1002" s="1497" t="str">
        <f t="shared" si="101"/>
        <v>Scheme-4: Procurement of HP heaters drip sub body assembly for control valve of 500MW Unit-5,6&amp;7.</v>
      </c>
      <c r="C1002" s="1488" t="str">
        <f t="shared" si="101"/>
        <v>Yet To Receive Approval</v>
      </c>
      <c r="D1002" s="1413" t="str">
        <f t="shared" si="101"/>
        <v>-</v>
      </c>
      <c r="E1002" s="560">
        <f t="shared" si="101"/>
        <v>0</v>
      </c>
      <c r="F1002" s="1508">
        <f t="shared" si="102"/>
        <v>0</v>
      </c>
      <c r="G1002" s="1508">
        <f t="shared" si="103"/>
        <v>0</v>
      </c>
      <c r="H1002" s="1508">
        <f t="shared" si="96"/>
        <v>0</v>
      </c>
      <c r="I1002" s="1480">
        <v>0</v>
      </c>
      <c r="J1002" s="1480">
        <v>0</v>
      </c>
      <c r="K1002" s="1508"/>
      <c r="L1002" s="1508"/>
      <c r="M1002" s="1509">
        <f t="shared" si="97"/>
        <v>0</v>
      </c>
      <c r="N1002" s="1508">
        <f t="shared" si="98"/>
        <v>0</v>
      </c>
    </row>
    <row r="1003" spans="1:14" ht="31" outlineLevel="1" x14ac:dyDescent="0.25">
      <c r="A1003" s="1488">
        <f t="shared" si="101"/>
        <v>0</v>
      </c>
      <c r="B1003" s="1497" t="str">
        <f t="shared" si="101"/>
        <v>Scheme-5: Procurement of actuator assembly for control valve of 500MW Unit-5,6&amp;7.</v>
      </c>
      <c r="C1003" s="1488" t="str">
        <f t="shared" si="101"/>
        <v>Yet To Receive Approval</v>
      </c>
      <c r="D1003" s="1413" t="str">
        <f t="shared" si="101"/>
        <v>-</v>
      </c>
      <c r="E1003" s="560">
        <f t="shared" si="101"/>
        <v>0</v>
      </c>
      <c r="F1003" s="1508">
        <f t="shared" si="102"/>
        <v>0</v>
      </c>
      <c r="G1003" s="1508">
        <f t="shared" si="103"/>
        <v>0</v>
      </c>
      <c r="H1003" s="1508">
        <f t="shared" si="96"/>
        <v>0</v>
      </c>
      <c r="I1003" s="1480">
        <v>0</v>
      </c>
      <c r="J1003" s="1480">
        <v>0</v>
      </c>
      <c r="K1003" s="1508"/>
      <c r="L1003" s="1508"/>
      <c r="M1003" s="1509">
        <f t="shared" si="97"/>
        <v>0</v>
      </c>
      <c r="N1003" s="1508">
        <f t="shared" si="98"/>
        <v>0</v>
      </c>
    </row>
    <row r="1004" spans="1:14" ht="15.5" outlineLevel="1" x14ac:dyDescent="0.25">
      <c r="A1004" s="1488">
        <f t="shared" si="101"/>
        <v>0</v>
      </c>
      <c r="B1004" s="1497" t="str">
        <f t="shared" si="101"/>
        <v>IDC</v>
      </c>
      <c r="C1004" s="1488" t="str">
        <f t="shared" si="101"/>
        <v>Yet To Receive Approval</v>
      </c>
      <c r="D1004" s="1413" t="str">
        <f t="shared" si="101"/>
        <v>-</v>
      </c>
      <c r="E1004" s="560">
        <f t="shared" si="101"/>
        <v>0</v>
      </c>
      <c r="F1004" s="1508">
        <f t="shared" si="102"/>
        <v>0</v>
      </c>
      <c r="G1004" s="1508">
        <f t="shared" si="103"/>
        <v>0</v>
      </c>
      <c r="H1004" s="1508">
        <f t="shared" si="96"/>
        <v>0</v>
      </c>
      <c r="I1004" s="1480">
        <v>0</v>
      </c>
      <c r="J1004" s="1480">
        <v>0</v>
      </c>
      <c r="K1004" s="1508"/>
      <c r="L1004" s="1508"/>
      <c r="M1004" s="1509">
        <f t="shared" si="97"/>
        <v>0</v>
      </c>
      <c r="N1004" s="1508">
        <f t="shared" si="98"/>
        <v>0</v>
      </c>
    </row>
    <row r="1005" spans="1:14" ht="46.5" outlineLevel="1" x14ac:dyDescent="0.25">
      <c r="A1005" s="1486" t="str">
        <f t="shared" si="101"/>
        <v>Y13</v>
      </c>
      <c r="B1005" s="1491" t="str">
        <f t="shared" si="101"/>
        <v>Supply &amp; installation of Advanced ESP Controller &amp; Numerical relay at U-7 and DAVR &amp; Up-gradation of Servo valves (ST) for HP-Bypass system at U-5,6,7, CSTPS</v>
      </c>
      <c r="C1005" s="1486" t="str">
        <f t="shared" si="101"/>
        <v>Yet To Receive Approval</v>
      </c>
      <c r="D1005" s="1413" t="str">
        <f t="shared" si="101"/>
        <v>-</v>
      </c>
      <c r="E1005" s="560">
        <f t="shared" si="101"/>
        <v>0</v>
      </c>
      <c r="F1005" s="1508">
        <f t="shared" si="102"/>
        <v>0</v>
      </c>
      <c r="G1005" s="1508">
        <f t="shared" si="103"/>
        <v>0</v>
      </c>
      <c r="H1005" s="1508">
        <f t="shared" si="96"/>
        <v>0</v>
      </c>
      <c r="I1005" s="1480">
        <v>0</v>
      </c>
      <c r="J1005" s="1480">
        <v>0</v>
      </c>
      <c r="K1005" s="1508"/>
      <c r="L1005" s="1508"/>
      <c r="M1005" s="1509">
        <f t="shared" si="97"/>
        <v>0</v>
      </c>
      <c r="N1005" s="1508">
        <f t="shared" si="98"/>
        <v>0</v>
      </c>
    </row>
    <row r="1006" spans="1:14" ht="46.5" outlineLevel="1" x14ac:dyDescent="0.25">
      <c r="A1006" s="1488">
        <f t="shared" si="101"/>
        <v>0</v>
      </c>
      <c r="B1006" s="1497" t="str">
        <f t="shared" si="101"/>
        <v xml:space="preserve">Scheme1: Supply and installation of advanced ESP Controllers for retrofitting in place of existing Alstom make EPIC-II controllers at ESP U-7 </v>
      </c>
      <c r="C1006" s="1488" t="str">
        <f t="shared" si="101"/>
        <v>Yet To Receive Approval</v>
      </c>
      <c r="D1006" s="1413" t="str">
        <f t="shared" si="101"/>
        <v>-</v>
      </c>
      <c r="E1006" s="560">
        <f t="shared" si="101"/>
        <v>0</v>
      </c>
      <c r="F1006" s="1508">
        <f t="shared" si="102"/>
        <v>0</v>
      </c>
      <c r="G1006" s="1508">
        <f t="shared" si="103"/>
        <v>0</v>
      </c>
      <c r="H1006" s="1508">
        <f t="shared" si="96"/>
        <v>0</v>
      </c>
      <c r="I1006" s="1480">
        <v>0</v>
      </c>
      <c r="J1006" s="1480">
        <v>0</v>
      </c>
      <c r="K1006" s="1508"/>
      <c r="L1006" s="1508"/>
      <c r="M1006" s="1509">
        <f t="shared" si="97"/>
        <v>0</v>
      </c>
      <c r="N1006" s="1508">
        <f t="shared" si="98"/>
        <v>0</v>
      </c>
    </row>
    <row r="1007" spans="1:14" ht="15.5" outlineLevel="1" x14ac:dyDescent="0.25">
      <c r="A1007" s="1488">
        <f t="shared" si="101"/>
        <v>0</v>
      </c>
      <c r="B1007" s="1497" t="str">
        <f t="shared" si="101"/>
        <v>Scheme-2: Supply and installation of DAVR at U-5,6,7</v>
      </c>
      <c r="C1007" s="1488" t="str">
        <f t="shared" si="101"/>
        <v>Yet To Receive Approval</v>
      </c>
      <c r="D1007" s="1413" t="str">
        <f t="shared" si="101"/>
        <v>-</v>
      </c>
      <c r="E1007" s="560">
        <f t="shared" si="101"/>
        <v>0</v>
      </c>
      <c r="F1007" s="1508">
        <f t="shared" si="102"/>
        <v>0</v>
      </c>
      <c r="G1007" s="1508">
        <f t="shared" si="103"/>
        <v>0</v>
      </c>
      <c r="H1007" s="1508">
        <f t="shared" si="96"/>
        <v>0</v>
      </c>
      <c r="I1007" s="1480">
        <v>0</v>
      </c>
      <c r="J1007" s="1480">
        <v>0</v>
      </c>
      <c r="K1007" s="1508"/>
      <c r="L1007" s="1508"/>
      <c r="M1007" s="1509">
        <f t="shared" si="97"/>
        <v>0</v>
      </c>
      <c r="N1007" s="1508">
        <f t="shared" si="98"/>
        <v>0</v>
      </c>
    </row>
    <row r="1008" spans="1:14" ht="46.5" outlineLevel="1" x14ac:dyDescent="0.25">
      <c r="A1008" s="1488">
        <f t="shared" si="101"/>
        <v>0</v>
      </c>
      <c r="B1008" s="1497" t="str">
        <f t="shared" si="101"/>
        <v>Scheme 3: Supply, installation and commissioning of numerical protection relays with set of auxiliary relays for HT switchgear, Unit-7</v>
      </c>
      <c r="C1008" s="1488" t="str">
        <f t="shared" si="101"/>
        <v>Yet To Receive Approval</v>
      </c>
      <c r="D1008" s="1413" t="str">
        <f t="shared" si="101"/>
        <v>-</v>
      </c>
      <c r="E1008" s="560">
        <f t="shared" si="101"/>
        <v>0</v>
      </c>
      <c r="F1008" s="1508">
        <f t="shared" si="102"/>
        <v>0</v>
      </c>
      <c r="G1008" s="1508">
        <f t="shared" si="103"/>
        <v>0</v>
      </c>
      <c r="H1008" s="1508">
        <f t="shared" si="96"/>
        <v>0</v>
      </c>
      <c r="I1008" s="1480">
        <v>0</v>
      </c>
      <c r="J1008" s="1480">
        <v>0</v>
      </c>
      <c r="K1008" s="1508"/>
      <c r="L1008" s="1508"/>
      <c r="M1008" s="1509">
        <f t="shared" si="97"/>
        <v>0</v>
      </c>
      <c r="N1008" s="1508">
        <f t="shared" si="98"/>
        <v>0</v>
      </c>
    </row>
    <row r="1009" spans="1:14" ht="31" outlineLevel="1" x14ac:dyDescent="0.25">
      <c r="A1009" s="1488">
        <f t="shared" si="101"/>
        <v>0</v>
      </c>
      <c r="B1009" s="1497" t="str">
        <f t="shared" si="101"/>
        <v>Scheme 4: Up-gradation of Servo valves (ST) by Proportional valves (PV) &amp; oil unitOV to HV for HP- Bypass system in U-5,6,7</v>
      </c>
      <c r="C1009" s="1488" t="str">
        <f t="shared" si="101"/>
        <v>Yet To Receive Approval</v>
      </c>
      <c r="D1009" s="1413" t="str">
        <f t="shared" si="101"/>
        <v>-</v>
      </c>
      <c r="E1009" s="560">
        <f t="shared" si="101"/>
        <v>0</v>
      </c>
      <c r="F1009" s="1508">
        <f t="shared" si="102"/>
        <v>0</v>
      </c>
      <c r="G1009" s="1508">
        <f t="shared" si="103"/>
        <v>0</v>
      </c>
      <c r="H1009" s="1508">
        <f t="shared" si="96"/>
        <v>0</v>
      </c>
      <c r="I1009" s="1480">
        <v>0</v>
      </c>
      <c r="J1009" s="1480">
        <v>0</v>
      </c>
      <c r="K1009" s="1508"/>
      <c r="L1009" s="1508"/>
      <c r="M1009" s="1509">
        <f t="shared" si="97"/>
        <v>0</v>
      </c>
      <c r="N1009" s="1508">
        <f t="shared" si="98"/>
        <v>0</v>
      </c>
    </row>
    <row r="1010" spans="1:14" ht="15.5" outlineLevel="1" x14ac:dyDescent="0.25">
      <c r="A1010" s="1488">
        <f t="shared" si="101"/>
        <v>0</v>
      </c>
      <c r="B1010" s="1497" t="str">
        <f t="shared" si="101"/>
        <v>IDC</v>
      </c>
      <c r="C1010" s="1488" t="str">
        <f t="shared" si="101"/>
        <v>Yet To Receive Approval</v>
      </c>
      <c r="D1010" s="1413" t="str">
        <f t="shared" si="101"/>
        <v>-</v>
      </c>
      <c r="E1010" s="560">
        <f t="shared" si="101"/>
        <v>0</v>
      </c>
      <c r="F1010" s="1508">
        <f t="shared" si="102"/>
        <v>0</v>
      </c>
      <c r="G1010" s="1508">
        <f t="shared" si="103"/>
        <v>0</v>
      </c>
      <c r="H1010" s="1508">
        <f t="shared" si="96"/>
        <v>0</v>
      </c>
      <c r="I1010" s="1480">
        <v>0</v>
      </c>
      <c r="J1010" s="1480">
        <v>0</v>
      </c>
      <c r="K1010" s="1508"/>
      <c r="L1010" s="1508"/>
      <c r="M1010" s="1509">
        <f t="shared" si="97"/>
        <v>0</v>
      </c>
      <c r="N1010" s="1508">
        <f t="shared" si="98"/>
        <v>0</v>
      </c>
    </row>
    <row r="1011" spans="1:14" ht="46.5" outlineLevel="1" x14ac:dyDescent="0.25">
      <c r="A1011" s="1486" t="str">
        <f t="shared" si="101"/>
        <v>Y14</v>
      </c>
      <c r="B1011" s="1491" t="str">
        <f t="shared" si="101"/>
        <v>Improvement in Reliability and Life Enhancement of Coal Mill by Refurbishment of Flender make KMS 850 Gear Box of XRP-1043 Coal Mill Unit 5 &amp; 6 at CSTPS, Chandrapur</v>
      </c>
      <c r="C1011" s="1486" t="str">
        <f t="shared" si="101"/>
        <v>Yet To Receive Approval</v>
      </c>
      <c r="D1011" s="1413" t="str">
        <f t="shared" si="101"/>
        <v>-</v>
      </c>
      <c r="E1011" s="560">
        <f t="shared" si="101"/>
        <v>0</v>
      </c>
      <c r="F1011" s="1508">
        <f t="shared" si="102"/>
        <v>0</v>
      </c>
      <c r="G1011" s="1508">
        <f t="shared" si="103"/>
        <v>0</v>
      </c>
      <c r="H1011" s="1508">
        <f>F1011-G1011</f>
        <v>0</v>
      </c>
      <c r="I1011" s="1480">
        <v>0</v>
      </c>
      <c r="J1011" s="1480">
        <v>0</v>
      </c>
      <c r="K1011" s="1508"/>
      <c r="L1011" s="1508"/>
      <c r="M1011" s="1509">
        <f>SUM(J1011:L1011)</f>
        <v>0</v>
      </c>
      <c r="N1011" s="1508">
        <f>H1011+I1011-M1011</f>
        <v>0</v>
      </c>
    </row>
    <row r="1012" spans="1:14" ht="31" outlineLevel="1" x14ac:dyDescent="0.25">
      <c r="A1012" s="1488">
        <f t="shared" si="101"/>
        <v>0</v>
      </c>
      <c r="B1012" s="1497" t="str">
        <f t="shared" si="101"/>
        <v>Coal Mill Life Enhancement by Refurbishment of Flender make KMS 850 gear box of XRP-1043 coal mill in Unit-5&amp;6</v>
      </c>
      <c r="C1012" s="1488" t="str">
        <f t="shared" si="101"/>
        <v>Yet To Receive Approval</v>
      </c>
      <c r="D1012" s="1413" t="str">
        <f t="shared" si="101"/>
        <v>-</v>
      </c>
      <c r="E1012" s="560">
        <f t="shared" si="101"/>
        <v>0</v>
      </c>
      <c r="F1012" s="1508">
        <f t="shared" si="102"/>
        <v>0</v>
      </c>
      <c r="G1012" s="1508">
        <f t="shared" si="103"/>
        <v>0</v>
      </c>
      <c r="H1012" s="1508">
        <f>F1012-G1012</f>
        <v>0</v>
      </c>
      <c r="I1012" s="1480">
        <v>0</v>
      </c>
      <c r="J1012" s="1480">
        <v>0</v>
      </c>
      <c r="K1012" s="1508"/>
      <c r="L1012" s="1508"/>
      <c r="M1012" s="1509">
        <f>SUM(J1012:L1012)</f>
        <v>0</v>
      </c>
      <c r="N1012" s="1508">
        <f>H1012+I1012-M1012</f>
        <v>0</v>
      </c>
    </row>
    <row r="1013" spans="1:14" ht="15.5" outlineLevel="1" x14ac:dyDescent="0.25">
      <c r="A1013" s="1488">
        <f t="shared" si="101"/>
        <v>0</v>
      </c>
      <c r="B1013" s="1497" t="str">
        <f t="shared" si="101"/>
        <v>IDC</v>
      </c>
      <c r="C1013" s="1488" t="str">
        <f t="shared" si="101"/>
        <v>Yet To Receive Approval</v>
      </c>
      <c r="D1013" s="1413" t="str">
        <f t="shared" si="101"/>
        <v>-</v>
      </c>
      <c r="E1013" s="560">
        <f t="shared" si="101"/>
        <v>0</v>
      </c>
      <c r="F1013" s="1508">
        <f t="shared" si="102"/>
        <v>0</v>
      </c>
      <c r="G1013" s="1508">
        <f t="shared" si="103"/>
        <v>0</v>
      </c>
      <c r="H1013" s="1508">
        <f>F1013-G1013</f>
        <v>0</v>
      </c>
      <c r="I1013" s="1480">
        <v>0</v>
      </c>
      <c r="J1013" s="1480">
        <v>0</v>
      </c>
      <c r="K1013" s="1508"/>
      <c r="L1013" s="1508"/>
      <c r="M1013" s="1509">
        <f>SUM(J1013:L1013)</f>
        <v>0</v>
      </c>
      <c r="N1013" s="1508">
        <f>H1013+I1013-M1013</f>
        <v>0</v>
      </c>
    </row>
    <row r="1014" spans="1:14" ht="15.5" outlineLevel="1" x14ac:dyDescent="0.25">
      <c r="A1014" s="1488">
        <f t="shared" si="101"/>
        <v>0</v>
      </c>
      <c r="B1014" s="1497">
        <f t="shared" si="101"/>
        <v>0</v>
      </c>
      <c r="C1014" s="1488">
        <f t="shared" si="101"/>
        <v>0</v>
      </c>
      <c r="D1014" s="1413" t="str">
        <f t="shared" si="101"/>
        <v>-</v>
      </c>
      <c r="E1014" s="560">
        <f t="shared" si="101"/>
        <v>0</v>
      </c>
      <c r="F1014" s="1508">
        <f t="shared" si="102"/>
        <v>0</v>
      </c>
      <c r="G1014" s="1508">
        <f t="shared" si="103"/>
        <v>0</v>
      </c>
      <c r="H1014" s="1508">
        <f t="shared" ref="H1014:H1077" si="104">F1014-G1014</f>
        <v>0</v>
      </c>
      <c r="I1014" s="1480">
        <v>0</v>
      </c>
      <c r="J1014" s="1480">
        <v>0</v>
      </c>
      <c r="K1014" s="1508"/>
      <c r="L1014" s="1508"/>
      <c r="M1014" s="1509">
        <f t="shared" ref="M1014:M1077" si="105">SUM(J1014:L1014)</f>
        <v>0</v>
      </c>
      <c r="N1014" s="1508">
        <f t="shared" ref="N1014:N1077" si="106">H1014+I1014-M1014</f>
        <v>0</v>
      </c>
    </row>
    <row r="1015" spans="1:14" ht="15.5" outlineLevel="1" x14ac:dyDescent="0.25">
      <c r="A1015" s="1488">
        <f t="shared" si="101"/>
        <v>0</v>
      </c>
      <c r="B1015" s="1497">
        <f t="shared" si="101"/>
        <v>0</v>
      </c>
      <c r="C1015" s="1488">
        <f t="shared" si="101"/>
        <v>0</v>
      </c>
      <c r="D1015" s="1413" t="str">
        <f t="shared" si="101"/>
        <v>-</v>
      </c>
      <c r="E1015" s="560">
        <f t="shared" si="101"/>
        <v>0</v>
      </c>
      <c r="F1015" s="1508">
        <f t="shared" si="102"/>
        <v>0</v>
      </c>
      <c r="G1015" s="1508">
        <f t="shared" si="103"/>
        <v>0</v>
      </c>
      <c r="H1015" s="1508">
        <f t="shared" si="104"/>
        <v>0</v>
      </c>
      <c r="I1015" s="1480">
        <v>0</v>
      </c>
      <c r="J1015" s="1480">
        <v>0</v>
      </c>
      <c r="K1015" s="1508"/>
      <c r="L1015" s="1508"/>
      <c r="M1015" s="1509">
        <f t="shared" si="105"/>
        <v>0</v>
      </c>
      <c r="N1015" s="1508">
        <f t="shared" si="106"/>
        <v>0</v>
      </c>
    </row>
    <row r="1016" spans="1:14" ht="15.5" outlineLevel="1" x14ac:dyDescent="0.25">
      <c r="A1016" s="1500">
        <f t="shared" ref="A1016:E1031" si="107">A346</f>
        <v>0</v>
      </c>
      <c r="B1016" s="1502">
        <f t="shared" si="107"/>
        <v>0</v>
      </c>
      <c r="C1016" s="1500">
        <f t="shared" si="107"/>
        <v>0</v>
      </c>
      <c r="D1016" s="1501" t="str">
        <f t="shared" si="107"/>
        <v>-</v>
      </c>
      <c r="E1016" s="560">
        <f t="shared" si="107"/>
        <v>0</v>
      </c>
      <c r="F1016" s="1508">
        <f t="shared" si="102"/>
        <v>0</v>
      </c>
      <c r="G1016" s="1508">
        <f t="shared" si="103"/>
        <v>0</v>
      </c>
      <c r="H1016" s="1508">
        <f t="shared" si="104"/>
        <v>0</v>
      </c>
      <c r="I1016" s="1480">
        <v>0</v>
      </c>
      <c r="J1016" s="1480">
        <v>0</v>
      </c>
      <c r="K1016" s="1508"/>
      <c r="L1016" s="1508"/>
      <c r="M1016" s="1509">
        <f t="shared" si="105"/>
        <v>0</v>
      </c>
      <c r="N1016" s="1508">
        <f t="shared" si="106"/>
        <v>0</v>
      </c>
    </row>
    <row r="1017" spans="1:14" ht="15.5" outlineLevel="1" x14ac:dyDescent="0.25">
      <c r="A1017" s="1453">
        <f t="shared" si="107"/>
        <v>0</v>
      </c>
      <c r="B1017" s="1476" t="str">
        <f t="shared" si="107"/>
        <v>(ii) Yet to be submitted to MERC</v>
      </c>
      <c r="C1017" s="1453">
        <f t="shared" si="107"/>
        <v>0</v>
      </c>
      <c r="D1017" s="1503" t="str">
        <f t="shared" si="107"/>
        <v>-</v>
      </c>
      <c r="E1017" s="560">
        <f t="shared" si="107"/>
        <v>0</v>
      </c>
      <c r="F1017" s="1508">
        <f t="shared" si="102"/>
        <v>0</v>
      </c>
      <c r="G1017" s="1508">
        <f t="shared" si="103"/>
        <v>0</v>
      </c>
      <c r="H1017" s="1508">
        <f t="shared" si="104"/>
        <v>0</v>
      </c>
      <c r="I1017" s="1480">
        <v>0</v>
      </c>
      <c r="J1017" s="1480">
        <v>0</v>
      </c>
      <c r="K1017" s="1508"/>
      <c r="L1017" s="1508"/>
      <c r="M1017" s="1509">
        <f t="shared" si="105"/>
        <v>0</v>
      </c>
      <c r="N1017" s="1508">
        <f t="shared" si="106"/>
        <v>0</v>
      </c>
    </row>
    <row r="1018" spans="1:14" ht="15.5" outlineLevel="1" x14ac:dyDescent="0.25">
      <c r="A1018" s="1453">
        <f t="shared" si="107"/>
        <v>0</v>
      </c>
      <c r="B1018" s="1476">
        <f t="shared" si="107"/>
        <v>0</v>
      </c>
      <c r="C1018" s="1453">
        <f t="shared" si="107"/>
        <v>0</v>
      </c>
      <c r="D1018" s="1503" t="str">
        <f t="shared" si="107"/>
        <v>-</v>
      </c>
      <c r="E1018" s="560">
        <f t="shared" si="107"/>
        <v>0</v>
      </c>
      <c r="F1018" s="1508">
        <f t="shared" si="102"/>
        <v>0</v>
      </c>
      <c r="G1018" s="1508">
        <f t="shared" si="103"/>
        <v>0</v>
      </c>
      <c r="H1018" s="1508">
        <f t="shared" si="104"/>
        <v>0</v>
      </c>
      <c r="I1018" s="1480">
        <v>0</v>
      </c>
      <c r="J1018" s="1480">
        <v>0</v>
      </c>
      <c r="K1018" s="1508"/>
      <c r="L1018" s="1508"/>
      <c r="M1018" s="1509">
        <f t="shared" si="105"/>
        <v>0</v>
      </c>
      <c r="N1018" s="1508">
        <f t="shared" si="106"/>
        <v>0</v>
      </c>
    </row>
    <row r="1019" spans="1:14" ht="77.5" outlineLevel="1" x14ac:dyDescent="0.25">
      <c r="A1019" s="1486">
        <f t="shared" si="107"/>
        <v>2</v>
      </c>
      <c r="B1019" s="1491" t="str">
        <f t="shared" si="107"/>
        <v>‘Supply, installation, restoration, up-gradation and revamping of Fire Protection Systems viz Fire Hydrant System, Passive Fire Protection System, DV House Construction &amp; Fire Water Spray System at plant &amp; ODP area of Unit-3to9 and CHPs (CHP-A,B,C,&amp;D) of CSTPS, Chandrapur’</v>
      </c>
      <c r="C1019" s="166">
        <f t="shared" si="107"/>
        <v>0</v>
      </c>
      <c r="D1019" s="1413" t="str">
        <f t="shared" si="107"/>
        <v>-</v>
      </c>
      <c r="E1019" s="560">
        <f t="shared" si="107"/>
        <v>118.75</v>
      </c>
      <c r="F1019" s="1508">
        <f t="shared" si="102"/>
        <v>0</v>
      </c>
      <c r="G1019" s="1508">
        <f t="shared" si="103"/>
        <v>0</v>
      </c>
      <c r="H1019" s="1508">
        <f t="shared" si="104"/>
        <v>0</v>
      </c>
      <c r="I1019" s="1480">
        <v>0</v>
      </c>
      <c r="J1019" s="1480">
        <v>0</v>
      </c>
      <c r="K1019" s="1508"/>
      <c r="L1019" s="1508"/>
      <c r="M1019" s="1509">
        <f t="shared" si="105"/>
        <v>0</v>
      </c>
      <c r="N1019" s="1508">
        <f t="shared" si="106"/>
        <v>0</v>
      </c>
    </row>
    <row r="1020" spans="1:14" ht="77.5" outlineLevel="1" x14ac:dyDescent="0.25">
      <c r="A1020" s="1492">
        <f t="shared" si="107"/>
        <v>0</v>
      </c>
      <c r="B1020" s="1492" t="str">
        <f t="shared" si="107"/>
        <v>‘Supply, installation, restoration, up-gradation and revamping of Fire Protection Systems viz Fire Hydrant System, Passive Fire Protection System, DV House Construction &amp; Fire Water Spray System at plant &amp; ODP area of Unit-3to9 and CHPs (CHP-A,B,C,&amp;D) of CSTPS, Chandrapur’</v>
      </c>
      <c r="C1020" s="166">
        <f t="shared" si="107"/>
        <v>0</v>
      </c>
      <c r="D1020" s="1413" t="str">
        <f t="shared" si="107"/>
        <v>-</v>
      </c>
      <c r="E1020" s="560">
        <f t="shared" si="107"/>
        <v>118.75</v>
      </c>
      <c r="F1020" s="1508">
        <f t="shared" si="102"/>
        <v>0</v>
      </c>
      <c r="G1020" s="1508">
        <f t="shared" si="103"/>
        <v>0</v>
      </c>
      <c r="H1020" s="1508">
        <f t="shared" si="104"/>
        <v>0</v>
      </c>
      <c r="I1020" s="1480">
        <v>0</v>
      </c>
      <c r="J1020" s="1480">
        <v>0</v>
      </c>
      <c r="K1020" s="1508"/>
      <c r="L1020" s="1508"/>
      <c r="M1020" s="1509">
        <f t="shared" si="105"/>
        <v>0</v>
      </c>
      <c r="N1020" s="1508">
        <f t="shared" si="106"/>
        <v>0</v>
      </c>
    </row>
    <row r="1021" spans="1:14" ht="62" outlineLevel="1" x14ac:dyDescent="0.25">
      <c r="A1021" s="1486">
        <f t="shared" si="107"/>
        <v>3</v>
      </c>
      <c r="B1021" s="1491" t="str">
        <f t="shared" si="107"/>
        <v>DPR for Fire Detection &amp; Alarm and Protection System from Fire and Providing Rapid Extinguishing Clean Agent (CA) System at Unit -7, Outdoor Plants, CHPs, Service building &amp; Admin Building at CSTPS</v>
      </c>
      <c r="C1021" s="166">
        <f t="shared" si="107"/>
        <v>0</v>
      </c>
      <c r="D1021" s="1413" t="str">
        <f t="shared" si="107"/>
        <v>-</v>
      </c>
      <c r="E1021" s="560">
        <f t="shared" si="107"/>
        <v>31.56</v>
      </c>
      <c r="F1021" s="1508">
        <f t="shared" si="102"/>
        <v>0</v>
      </c>
      <c r="G1021" s="1508">
        <f t="shared" si="103"/>
        <v>0</v>
      </c>
      <c r="H1021" s="1508">
        <f t="shared" si="104"/>
        <v>0</v>
      </c>
      <c r="I1021" s="1480">
        <v>0</v>
      </c>
      <c r="J1021" s="1480">
        <v>0</v>
      </c>
      <c r="K1021" s="1508"/>
      <c r="L1021" s="1508"/>
      <c r="M1021" s="1509">
        <f t="shared" si="105"/>
        <v>0</v>
      </c>
      <c r="N1021" s="1508">
        <f t="shared" si="106"/>
        <v>0</v>
      </c>
    </row>
    <row r="1022" spans="1:14" ht="62" outlineLevel="1" x14ac:dyDescent="0.25">
      <c r="A1022" s="1492">
        <f t="shared" si="107"/>
        <v>0</v>
      </c>
      <c r="B1022" s="1492" t="str">
        <f t="shared" si="107"/>
        <v>DPR for Fire Detection &amp; Alarm and Protection System from Fire and Providing Rapid Extinguishing Clean Agent (CA) System at Unit -7, Outdoor Plants, CHPs, Service building &amp; Admin Building at CSTPS</v>
      </c>
      <c r="C1022" s="166">
        <f t="shared" si="107"/>
        <v>0</v>
      </c>
      <c r="D1022" s="1413" t="str">
        <f t="shared" si="107"/>
        <v>-</v>
      </c>
      <c r="E1022" s="560">
        <f t="shared" si="107"/>
        <v>31.56</v>
      </c>
      <c r="F1022" s="1508">
        <f t="shared" si="102"/>
        <v>0</v>
      </c>
      <c r="G1022" s="1508">
        <f t="shared" si="103"/>
        <v>0</v>
      </c>
      <c r="H1022" s="1508">
        <f t="shared" si="104"/>
        <v>0</v>
      </c>
      <c r="I1022" s="1480">
        <v>0</v>
      </c>
      <c r="J1022" s="1480">
        <v>0</v>
      </c>
      <c r="K1022" s="1508"/>
      <c r="L1022" s="1508"/>
      <c r="M1022" s="1509">
        <f t="shared" si="105"/>
        <v>0</v>
      </c>
      <c r="N1022" s="1508">
        <f t="shared" si="106"/>
        <v>0</v>
      </c>
    </row>
    <row r="1023" spans="1:14" ht="46.5" outlineLevel="1" x14ac:dyDescent="0.25">
      <c r="A1023" s="1486">
        <f t="shared" si="107"/>
        <v>4</v>
      </c>
      <c r="B1023" s="1491" t="str">
        <f t="shared" si="107"/>
        <v>Renovation of various component of bottom opening bogie frame at CSTPS Chandrapur &amp; Provision of Wagon Tippler Safety System in Coal Handling Plant at CSTPS</v>
      </c>
      <c r="C1023" s="166">
        <f t="shared" si="107"/>
        <v>0</v>
      </c>
      <c r="D1023" s="1413" t="str">
        <f t="shared" si="107"/>
        <v>-</v>
      </c>
      <c r="E1023" s="560">
        <f t="shared" si="107"/>
        <v>35</v>
      </c>
      <c r="F1023" s="1508">
        <f t="shared" si="102"/>
        <v>0</v>
      </c>
      <c r="G1023" s="1508">
        <f t="shared" si="103"/>
        <v>0</v>
      </c>
      <c r="H1023" s="1508">
        <f t="shared" si="104"/>
        <v>0</v>
      </c>
      <c r="I1023" s="1480">
        <v>0</v>
      </c>
      <c r="J1023" s="1480">
        <v>0</v>
      </c>
      <c r="K1023" s="1508"/>
      <c r="L1023" s="1508"/>
      <c r="M1023" s="1509">
        <f t="shared" si="105"/>
        <v>0</v>
      </c>
      <c r="N1023" s="1508">
        <f t="shared" si="106"/>
        <v>0</v>
      </c>
    </row>
    <row r="1024" spans="1:14" ht="46.5" outlineLevel="1" x14ac:dyDescent="0.25">
      <c r="A1024" s="1492">
        <f t="shared" si="107"/>
        <v>0</v>
      </c>
      <c r="B1024" s="1492" t="str">
        <f t="shared" si="107"/>
        <v>Renovation of various component of bottom opening bogie frame at CSTPS Chandrapur &amp; Provision of Wagon Tippler Safety System in Coal Handling Plant at CSTPS</v>
      </c>
      <c r="C1024" s="166">
        <f t="shared" si="107"/>
        <v>0</v>
      </c>
      <c r="D1024" s="1413" t="str">
        <f t="shared" si="107"/>
        <v>-</v>
      </c>
      <c r="E1024" s="560">
        <f t="shared" si="107"/>
        <v>35</v>
      </c>
      <c r="F1024" s="1508">
        <f t="shared" si="102"/>
        <v>0</v>
      </c>
      <c r="G1024" s="1508">
        <f t="shared" si="103"/>
        <v>0</v>
      </c>
      <c r="H1024" s="1508">
        <f t="shared" si="104"/>
        <v>0</v>
      </c>
      <c r="I1024" s="1480">
        <v>0</v>
      </c>
      <c r="J1024" s="1480">
        <v>0</v>
      </c>
      <c r="K1024" s="1508"/>
      <c r="L1024" s="1508"/>
      <c r="M1024" s="1509">
        <f t="shared" si="105"/>
        <v>0</v>
      </c>
      <c r="N1024" s="1508">
        <f t="shared" si="106"/>
        <v>0</v>
      </c>
    </row>
    <row r="1025" spans="1:14" ht="31" outlineLevel="1" x14ac:dyDescent="0.25">
      <c r="A1025" s="1486">
        <f t="shared" si="107"/>
        <v>5</v>
      </c>
      <c r="B1025" s="1491" t="str">
        <f t="shared" si="107"/>
        <v>Construction of road from CHP Weighbridge to Railway Crossing &amp; provision of Road Under Bridge (RUB) at CSTPS, Chandrapur</v>
      </c>
      <c r="C1025" s="166">
        <f t="shared" si="107"/>
        <v>0</v>
      </c>
      <c r="D1025" s="1413" t="str">
        <f t="shared" si="107"/>
        <v>-</v>
      </c>
      <c r="E1025" s="560">
        <f t="shared" si="107"/>
        <v>41.24</v>
      </c>
      <c r="F1025" s="1508">
        <f t="shared" si="102"/>
        <v>0</v>
      </c>
      <c r="G1025" s="1508">
        <f t="shared" si="103"/>
        <v>0</v>
      </c>
      <c r="H1025" s="1508">
        <f t="shared" si="104"/>
        <v>0</v>
      </c>
      <c r="I1025" s="1480">
        <v>0</v>
      </c>
      <c r="J1025" s="1480">
        <v>0</v>
      </c>
      <c r="K1025" s="1508"/>
      <c r="L1025" s="1508"/>
      <c r="M1025" s="1509">
        <f t="shared" si="105"/>
        <v>0</v>
      </c>
      <c r="N1025" s="1508">
        <f t="shared" si="106"/>
        <v>0</v>
      </c>
    </row>
    <row r="1026" spans="1:14" ht="31" outlineLevel="1" x14ac:dyDescent="0.25">
      <c r="A1026" s="1492">
        <f t="shared" si="107"/>
        <v>0</v>
      </c>
      <c r="B1026" s="1492" t="str">
        <f t="shared" si="107"/>
        <v>Construction of concrete pavement road connecting to CHP weighbridge to Railway crossing at CSTPS, Chandrapur.</v>
      </c>
      <c r="C1026" s="166">
        <f t="shared" si="107"/>
        <v>0</v>
      </c>
      <c r="D1026" s="1413" t="str">
        <f t="shared" si="107"/>
        <v>-</v>
      </c>
      <c r="E1026" s="560">
        <f t="shared" si="107"/>
        <v>5.42</v>
      </c>
      <c r="F1026" s="1508">
        <f t="shared" si="102"/>
        <v>0</v>
      </c>
      <c r="G1026" s="1508">
        <f t="shared" si="103"/>
        <v>0</v>
      </c>
      <c r="H1026" s="1508">
        <f t="shared" si="104"/>
        <v>0</v>
      </c>
      <c r="I1026" s="1480">
        <v>0</v>
      </c>
      <c r="J1026" s="1480">
        <v>0</v>
      </c>
      <c r="K1026" s="1508"/>
      <c r="L1026" s="1508"/>
      <c r="M1026" s="1509">
        <f t="shared" si="105"/>
        <v>0</v>
      </c>
      <c r="N1026" s="1508">
        <f t="shared" si="106"/>
        <v>0</v>
      </c>
    </row>
    <row r="1027" spans="1:14" ht="31" outlineLevel="1" x14ac:dyDescent="0.25">
      <c r="A1027" s="1492">
        <f t="shared" si="107"/>
        <v>0</v>
      </c>
      <c r="B1027" s="1492" t="str">
        <f t="shared" si="107"/>
        <v>Provision of Road Under Bridge at Vivekanand Nagar Tukum At CSTPS, Chandrapur.</v>
      </c>
      <c r="C1027" s="166">
        <f t="shared" si="107"/>
        <v>0</v>
      </c>
      <c r="D1027" s="1413" t="str">
        <f t="shared" si="107"/>
        <v>-</v>
      </c>
      <c r="E1027" s="560">
        <f t="shared" si="107"/>
        <v>35.82</v>
      </c>
      <c r="F1027" s="1508">
        <f t="shared" si="102"/>
        <v>0</v>
      </c>
      <c r="G1027" s="1508">
        <f t="shared" si="103"/>
        <v>0</v>
      </c>
      <c r="H1027" s="1508">
        <f t="shared" si="104"/>
        <v>0</v>
      </c>
      <c r="I1027" s="1480">
        <v>0</v>
      </c>
      <c r="J1027" s="1480">
        <v>0</v>
      </c>
      <c r="K1027" s="1508"/>
      <c r="L1027" s="1508"/>
      <c r="M1027" s="1509">
        <f t="shared" si="105"/>
        <v>0</v>
      </c>
      <c r="N1027" s="1508">
        <f t="shared" si="106"/>
        <v>0</v>
      </c>
    </row>
    <row r="1028" spans="1:14" ht="31" outlineLevel="1" x14ac:dyDescent="0.25">
      <c r="A1028" s="1486">
        <f t="shared" si="107"/>
        <v>6</v>
      </c>
      <c r="B1028" s="1491" t="str">
        <f t="shared" si="107"/>
        <v>Construction of UCR wall and bed of Neri Nallah at CSTPS, Chandrapur.</v>
      </c>
      <c r="C1028" s="166">
        <f t="shared" si="107"/>
        <v>0</v>
      </c>
      <c r="D1028" s="1413" t="str">
        <f t="shared" si="107"/>
        <v>-</v>
      </c>
      <c r="E1028" s="560">
        <f t="shared" si="107"/>
        <v>33.47</v>
      </c>
      <c r="F1028" s="1508">
        <f t="shared" si="102"/>
        <v>0</v>
      </c>
      <c r="G1028" s="1508">
        <f t="shared" si="103"/>
        <v>0</v>
      </c>
      <c r="H1028" s="1508">
        <f t="shared" si="104"/>
        <v>0</v>
      </c>
      <c r="I1028" s="1480">
        <v>0</v>
      </c>
      <c r="J1028" s="1480">
        <v>0</v>
      </c>
      <c r="K1028" s="1508"/>
      <c r="L1028" s="1508"/>
      <c r="M1028" s="1509">
        <f t="shared" si="105"/>
        <v>0</v>
      </c>
      <c r="N1028" s="1508">
        <f t="shared" si="106"/>
        <v>0</v>
      </c>
    </row>
    <row r="1029" spans="1:14" ht="31" outlineLevel="1" x14ac:dyDescent="0.25">
      <c r="A1029" s="1492">
        <f t="shared" si="107"/>
        <v>0</v>
      </c>
      <c r="B1029" s="1492" t="str">
        <f t="shared" si="107"/>
        <v>Construction of UCR wall and bed of Neri Nallah at CSTPS, Chandrapur.</v>
      </c>
      <c r="C1029" s="166">
        <f t="shared" si="107"/>
        <v>0</v>
      </c>
      <c r="D1029" s="1413" t="str">
        <f t="shared" si="107"/>
        <v>-</v>
      </c>
      <c r="E1029" s="560">
        <f t="shared" si="107"/>
        <v>33.47</v>
      </c>
      <c r="F1029" s="1508">
        <f t="shared" si="102"/>
        <v>0</v>
      </c>
      <c r="G1029" s="1508">
        <f t="shared" si="103"/>
        <v>0</v>
      </c>
      <c r="H1029" s="1508">
        <f t="shared" si="104"/>
        <v>0</v>
      </c>
      <c r="I1029" s="1480">
        <v>0</v>
      </c>
      <c r="J1029" s="1480">
        <v>0</v>
      </c>
      <c r="K1029" s="1508"/>
      <c r="L1029" s="1508"/>
      <c r="M1029" s="1509">
        <f t="shared" si="105"/>
        <v>0</v>
      </c>
      <c r="N1029" s="1508">
        <f t="shared" si="106"/>
        <v>0</v>
      </c>
    </row>
    <row r="1030" spans="1:14" ht="46.5" outlineLevel="1" x14ac:dyDescent="0.25">
      <c r="A1030" s="1486">
        <f t="shared" si="107"/>
        <v>7</v>
      </c>
      <c r="B1030" s="1491" t="str">
        <f t="shared" si="107"/>
        <v>Construction of  Concrete Pavement  Road  Connecting to Reject Coal Gate &amp; F point upto  Ash water recovery pump house &amp; F point to CP No- 635 at CSTPS Chandrapur</v>
      </c>
      <c r="C1030" s="166">
        <f t="shared" si="107"/>
        <v>0</v>
      </c>
      <c r="D1030" s="1413" t="str">
        <f t="shared" si="107"/>
        <v>-</v>
      </c>
      <c r="E1030" s="560">
        <f t="shared" si="107"/>
        <v>71.5</v>
      </c>
      <c r="F1030" s="1508">
        <f t="shared" si="102"/>
        <v>0</v>
      </c>
      <c r="G1030" s="1508">
        <f t="shared" si="103"/>
        <v>0</v>
      </c>
      <c r="H1030" s="1508">
        <f t="shared" si="104"/>
        <v>0</v>
      </c>
      <c r="I1030" s="1480">
        <v>0</v>
      </c>
      <c r="J1030" s="1480">
        <v>0</v>
      </c>
      <c r="K1030" s="1508"/>
      <c r="L1030" s="1508"/>
      <c r="M1030" s="1509">
        <f t="shared" si="105"/>
        <v>0</v>
      </c>
      <c r="N1030" s="1508">
        <f t="shared" si="106"/>
        <v>0</v>
      </c>
    </row>
    <row r="1031" spans="1:14" ht="46.5" outlineLevel="1" x14ac:dyDescent="0.25">
      <c r="A1031" s="1492">
        <f t="shared" si="107"/>
        <v>0</v>
      </c>
      <c r="B1031" s="1492" t="str">
        <f t="shared" si="107"/>
        <v>Construction of  Concrete Pavement  Road  Connecting to Reject Coal Gate &amp; F point upto  Ash water recovery pump house &amp; F point to CP No- 635 at CSTPS Chandrapur</v>
      </c>
      <c r="C1031" s="166">
        <f t="shared" si="107"/>
        <v>0</v>
      </c>
      <c r="D1031" s="1413" t="str">
        <f t="shared" si="107"/>
        <v>-</v>
      </c>
      <c r="E1031" s="560">
        <f t="shared" si="107"/>
        <v>71.5</v>
      </c>
      <c r="F1031" s="1508">
        <f t="shared" si="102"/>
        <v>0</v>
      </c>
      <c r="G1031" s="1508">
        <f t="shared" si="103"/>
        <v>0</v>
      </c>
      <c r="H1031" s="1508">
        <f t="shared" si="104"/>
        <v>0</v>
      </c>
      <c r="I1031" s="1480">
        <v>0</v>
      </c>
      <c r="J1031" s="1480">
        <v>0</v>
      </c>
      <c r="K1031" s="1508"/>
      <c r="L1031" s="1508"/>
      <c r="M1031" s="1509">
        <f t="shared" si="105"/>
        <v>0</v>
      </c>
      <c r="N1031" s="1508">
        <f t="shared" si="106"/>
        <v>0</v>
      </c>
    </row>
    <row r="1032" spans="1:14" ht="15.5" outlineLevel="1" x14ac:dyDescent="0.25">
      <c r="A1032" s="1504">
        <f t="shared" ref="A1032:E1047" si="108">A362</f>
        <v>0</v>
      </c>
      <c r="B1032" s="1504" t="str">
        <f t="shared" si="108"/>
        <v>Boiler Maintenance-I</v>
      </c>
      <c r="C1032" s="166">
        <f t="shared" si="108"/>
        <v>0</v>
      </c>
      <c r="D1032" s="1413" t="str">
        <f t="shared" si="108"/>
        <v>-</v>
      </c>
      <c r="E1032" s="560">
        <f t="shared" si="108"/>
        <v>0</v>
      </c>
      <c r="F1032" s="1508">
        <f t="shared" si="102"/>
        <v>0</v>
      </c>
      <c r="G1032" s="1508">
        <f t="shared" si="103"/>
        <v>0</v>
      </c>
      <c r="H1032" s="1508">
        <f t="shared" si="104"/>
        <v>0</v>
      </c>
      <c r="I1032" s="1480">
        <v>0</v>
      </c>
      <c r="J1032" s="1480">
        <v>0</v>
      </c>
      <c r="K1032" s="1508"/>
      <c r="L1032" s="1508"/>
      <c r="M1032" s="1509">
        <f t="shared" si="105"/>
        <v>0</v>
      </c>
      <c r="N1032" s="1508">
        <f t="shared" si="106"/>
        <v>0</v>
      </c>
    </row>
    <row r="1033" spans="1:14" ht="15.5" outlineLevel="1" x14ac:dyDescent="0.25">
      <c r="A1033" s="1486">
        <f t="shared" si="108"/>
        <v>1</v>
      </c>
      <c r="B1033" s="1491" t="str">
        <f t="shared" si="108"/>
        <v>DPR for Coal mill improvement</v>
      </c>
      <c r="C1033" s="166">
        <f t="shared" si="108"/>
        <v>0</v>
      </c>
      <c r="D1033" s="1413" t="str">
        <f t="shared" si="108"/>
        <v>-</v>
      </c>
      <c r="E1033" s="560">
        <f t="shared" si="108"/>
        <v>54.74</v>
      </c>
      <c r="F1033" s="1508">
        <f t="shared" si="102"/>
        <v>0</v>
      </c>
      <c r="G1033" s="1508">
        <f t="shared" si="103"/>
        <v>0</v>
      </c>
      <c r="H1033" s="1508">
        <f t="shared" si="104"/>
        <v>0</v>
      </c>
      <c r="I1033" s="1480">
        <v>0</v>
      </c>
      <c r="J1033" s="1480">
        <v>0</v>
      </c>
      <c r="K1033" s="1508"/>
      <c r="L1033" s="1508"/>
      <c r="M1033" s="1509">
        <f t="shared" si="105"/>
        <v>0</v>
      </c>
      <c r="N1033" s="1508">
        <f t="shared" si="106"/>
        <v>0</v>
      </c>
    </row>
    <row r="1034" spans="1:14" ht="31" outlineLevel="1" x14ac:dyDescent="0.25">
      <c r="A1034" s="1492">
        <f t="shared" si="108"/>
        <v>0</v>
      </c>
      <c r="B1034" s="1492" t="str">
        <f t="shared" si="108"/>
        <v>The performance improvement &amp; availability enhancement of coal millsXRP-803 at U#3&amp;4(210MW)CSTPS, Chandrapur</v>
      </c>
      <c r="C1034" s="166">
        <f t="shared" si="108"/>
        <v>0</v>
      </c>
      <c r="D1034" s="1413" t="str">
        <f t="shared" si="108"/>
        <v>-</v>
      </c>
      <c r="E1034" s="560">
        <f t="shared" si="108"/>
        <v>18.739999999999998</v>
      </c>
      <c r="F1034" s="1508">
        <f t="shared" si="102"/>
        <v>0</v>
      </c>
      <c r="G1034" s="1508">
        <f t="shared" si="103"/>
        <v>0</v>
      </c>
      <c r="H1034" s="1508">
        <f t="shared" si="104"/>
        <v>0</v>
      </c>
      <c r="I1034" s="1480">
        <v>0</v>
      </c>
      <c r="J1034" s="1480">
        <v>0</v>
      </c>
      <c r="K1034" s="1508"/>
      <c r="L1034" s="1508"/>
      <c r="M1034" s="1509">
        <f t="shared" si="105"/>
        <v>0</v>
      </c>
      <c r="N1034" s="1508">
        <f t="shared" si="106"/>
        <v>0</v>
      </c>
    </row>
    <row r="1035" spans="1:14" ht="31" outlineLevel="1" x14ac:dyDescent="0.25">
      <c r="A1035" s="1492">
        <f t="shared" si="108"/>
        <v>0</v>
      </c>
      <c r="B1035" s="1492" t="str">
        <f t="shared" si="108"/>
        <v>Replacement of Existing Volumetric coal feeders by Rotary Gravimetric coal feeders</v>
      </c>
      <c r="C1035" s="166">
        <f t="shared" si="108"/>
        <v>0</v>
      </c>
      <c r="D1035" s="1413" t="str">
        <f t="shared" si="108"/>
        <v>-</v>
      </c>
      <c r="E1035" s="560">
        <f t="shared" si="108"/>
        <v>36</v>
      </c>
      <c r="F1035" s="1508">
        <f t="shared" si="102"/>
        <v>0</v>
      </c>
      <c r="G1035" s="1508">
        <f t="shared" si="103"/>
        <v>0</v>
      </c>
      <c r="H1035" s="1508">
        <f t="shared" si="104"/>
        <v>0</v>
      </c>
      <c r="I1035" s="1480">
        <v>0</v>
      </c>
      <c r="J1035" s="1480">
        <v>0</v>
      </c>
      <c r="K1035" s="1508"/>
      <c r="L1035" s="1508"/>
      <c r="M1035" s="1509">
        <f t="shared" si="105"/>
        <v>0</v>
      </c>
      <c r="N1035" s="1508">
        <f t="shared" si="106"/>
        <v>0</v>
      </c>
    </row>
    <row r="1036" spans="1:14" ht="15.5" outlineLevel="1" x14ac:dyDescent="0.25">
      <c r="A1036" s="1486">
        <f t="shared" si="108"/>
        <v>2</v>
      </c>
      <c r="B1036" s="1491" t="str">
        <f t="shared" si="108"/>
        <v>DPR for APH basket, HRH coil and Valves</v>
      </c>
      <c r="C1036" s="1488">
        <f t="shared" si="108"/>
        <v>0</v>
      </c>
      <c r="D1036" s="1413" t="str">
        <f t="shared" si="108"/>
        <v>-</v>
      </c>
      <c r="E1036" s="560">
        <f t="shared" si="108"/>
        <v>28.94</v>
      </c>
      <c r="F1036" s="1508">
        <f t="shared" si="102"/>
        <v>0</v>
      </c>
      <c r="G1036" s="1508">
        <f t="shared" si="103"/>
        <v>0</v>
      </c>
      <c r="H1036" s="1508">
        <f t="shared" si="104"/>
        <v>0</v>
      </c>
      <c r="I1036" s="1480">
        <v>0</v>
      </c>
      <c r="J1036" s="1480">
        <v>0</v>
      </c>
      <c r="K1036" s="1508"/>
      <c r="L1036" s="1508"/>
      <c r="M1036" s="1509">
        <f t="shared" si="105"/>
        <v>0</v>
      </c>
      <c r="N1036" s="1508">
        <f t="shared" si="106"/>
        <v>0</v>
      </c>
    </row>
    <row r="1037" spans="1:14" ht="31" outlineLevel="1" x14ac:dyDescent="0.25">
      <c r="A1037" s="1492">
        <f t="shared" si="108"/>
        <v>0</v>
      </c>
      <c r="B1037" s="1492" t="str">
        <f t="shared" si="108"/>
        <v>Procurement &amp; replacement of APH Basket assemblies at U#3&amp;4,CSTPS, Chandrapur</v>
      </c>
      <c r="C1037" s="1488">
        <f t="shared" si="108"/>
        <v>0</v>
      </c>
      <c r="D1037" s="1413" t="str">
        <f t="shared" si="108"/>
        <v>-</v>
      </c>
      <c r="E1037" s="560">
        <f t="shared" si="108"/>
        <v>4.9400000000000004</v>
      </c>
      <c r="F1037" s="1508">
        <f t="shared" si="102"/>
        <v>0</v>
      </c>
      <c r="G1037" s="1508">
        <f t="shared" si="103"/>
        <v>0</v>
      </c>
      <c r="H1037" s="1508">
        <f t="shared" si="104"/>
        <v>0</v>
      </c>
      <c r="I1037" s="1480">
        <v>0</v>
      </c>
      <c r="J1037" s="1480">
        <v>0</v>
      </c>
      <c r="K1037" s="1508"/>
      <c r="L1037" s="1508"/>
      <c r="M1037" s="1509">
        <f t="shared" si="105"/>
        <v>0</v>
      </c>
      <c r="N1037" s="1508">
        <f t="shared" si="106"/>
        <v>0</v>
      </c>
    </row>
    <row r="1038" spans="1:14" ht="31" outlineLevel="1" x14ac:dyDescent="0.25">
      <c r="A1038" s="1492">
        <f t="shared" si="108"/>
        <v>0</v>
      </c>
      <c r="B1038" s="1492" t="str">
        <f t="shared" si="108"/>
        <v>Procurement &amp; replacement of complete HRH coils assembly in U#4</v>
      </c>
      <c r="C1038" s="1488">
        <f t="shared" si="108"/>
        <v>0</v>
      </c>
      <c r="D1038" s="1413" t="str">
        <f t="shared" si="108"/>
        <v>-</v>
      </c>
      <c r="E1038" s="560">
        <f t="shared" si="108"/>
        <v>24</v>
      </c>
      <c r="F1038" s="1508">
        <f t="shared" si="102"/>
        <v>0</v>
      </c>
      <c r="G1038" s="1508">
        <f t="shared" si="103"/>
        <v>0</v>
      </c>
      <c r="H1038" s="1508">
        <f t="shared" si="104"/>
        <v>0</v>
      </c>
      <c r="I1038" s="1480">
        <v>0</v>
      </c>
      <c r="J1038" s="1480">
        <v>0</v>
      </c>
      <c r="K1038" s="1508"/>
      <c r="L1038" s="1508"/>
      <c r="M1038" s="1509">
        <f t="shared" si="105"/>
        <v>0</v>
      </c>
      <c r="N1038" s="1508">
        <f t="shared" si="106"/>
        <v>0</v>
      </c>
    </row>
    <row r="1039" spans="1:14" ht="15.5" outlineLevel="1" x14ac:dyDescent="0.25">
      <c r="A1039" s="1486">
        <f t="shared" si="108"/>
        <v>3</v>
      </c>
      <c r="B1039" s="1491" t="str">
        <f t="shared" si="108"/>
        <v>DPR for ESP internal and CRH coil</v>
      </c>
      <c r="C1039" s="1488">
        <f t="shared" si="108"/>
        <v>0</v>
      </c>
      <c r="D1039" s="1413" t="str">
        <f t="shared" si="108"/>
        <v>-</v>
      </c>
      <c r="E1039" s="560">
        <f t="shared" si="108"/>
        <v>45</v>
      </c>
      <c r="F1039" s="1508">
        <f t="shared" si="102"/>
        <v>0</v>
      </c>
      <c r="G1039" s="1508">
        <f t="shared" si="103"/>
        <v>0</v>
      </c>
      <c r="H1039" s="1508">
        <f t="shared" si="104"/>
        <v>0</v>
      </c>
      <c r="I1039" s="1480">
        <v>0</v>
      </c>
      <c r="J1039" s="1480">
        <v>0</v>
      </c>
      <c r="K1039" s="1508"/>
      <c r="L1039" s="1508"/>
      <c r="M1039" s="1509">
        <f t="shared" si="105"/>
        <v>0</v>
      </c>
      <c r="N1039" s="1508">
        <f t="shared" si="106"/>
        <v>0</v>
      </c>
    </row>
    <row r="1040" spans="1:14" ht="15.5" outlineLevel="1" x14ac:dyDescent="0.25">
      <c r="A1040" s="1492">
        <f t="shared" si="108"/>
        <v>0</v>
      </c>
      <c r="B1040" s="1492" t="str">
        <f t="shared" si="108"/>
        <v>Replacement of complete internals of ESP U#3&amp;4</v>
      </c>
      <c r="C1040" s="1488">
        <f t="shared" si="108"/>
        <v>0</v>
      </c>
      <c r="D1040" s="1413" t="str">
        <f t="shared" si="108"/>
        <v>-</v>
      </c>
      <c r="E1040" s="560">
        <f t="shared" si="108"/>
        <v>20</v>
      </c>
      <c r="F1040" s="1508">
        <f t="shared" si="102"/>
        <v>0</v>
      </c>
      <c r="G1040" s="1508">
        <f t="shared" si="103"/>
        <v>0</v>
      </c>
      <c r="H1040" s="1508">
        <f t="shared" si="104"/>
        <v>0</v>
      </c>
      <c r="I1040" s="1480">
        <v>0</v>
      </c>
      <c r="J1040" s="1480">
        <v>0</v>
      </c>
      <c r="K1040" s="1508"/>
      <c r="L1040" s="1508"/>
      <c r="M1040" s="1509">
        <f t="shared" si="105"/>
        <v>0</v>
      </c>
      <c r="N1040" s="1508">
        <f t="shared" si="106"/>
        <v>0</v>
      </c>
    </row>
    <row r="1041" spans="1:14" ht="15.5" outlineLevel="1" x14ac:dyDescent="0.25">
      <c r="A1041" s="1492">
        <f t="shared" si="108"/>
        <v>0</v>
      </c>
      <c r="B1041" s="1492" t="str">
        <f t="shared" si="108"/>
        <v xml:space="preserve">Procurement &amp; replacement of CRH coil assemblies in U#3 </v>
      </c>
      <c r="C1041" s="1488">
        <f t="shared" si="108"/>
        <v>0</v>
      </c>
      <c r="D1041" s="1413" t="str">
        <f t="shared" si="108"/>
        <v>-</v>
      </c>
      <c r="E1041" s="560">
        <f t="shared" si="108"/>
        <v>25</v>
      </c>
      <c r="F1041" s="1508">
        <f t="shared" si="102"/>
        <v>0</v>
      </c>
      <c r="G1041" s="1508">
        <f t="shared" si="103"/>
        <v>0</v>
      </c>
      <c r="H1041" s="1508">
        <f t="shared" si="104"/>
        <v>0</v>
      </c>
      <c r="I1041" s="1480">
        <v>0</v>
      </c>
      <c r="J1041" s="1480">
        <v>0</v>
      </c>
      <c r="K1041" s="1508"/>
      <c r="L1041" s="1508"/>
      <c r="M1041" s="1509">
        <f t="shared" si="105"/>
        <v>0</v>
      </c>
      <c r="N1041" s="1508">
        <f t="shared" si="106"/>
        <v>0</v>
      </c>
    </row>
    <row r="1042" spans="1:14" ht="31" outlineLevel="1" x14ac:dyDescent="0.25">
      <c r="A1042" s="1486">
        <f t="shared" si="108"/>
        <v>4</v>
      </c>
      <c r="B1042" s="1491" t="str">
        <f t="shared" si="108"/>
        <v>Procurement &amp; replacement of LTSH &amp; Economiser coil assemblies in U#3</v>
      </c>
      <c r="C1042" s="1488">
        <f t="shared" si="108"/>
        <v>0</v>
      </c>
      <c r="D1042" s="1413" t="str">
        <f t="shared" si="108"/>
        <v>-</v>
      </c>
      <c r="E1042" s="560">
        <f t="shared" si="108"/>
        <v>30</v>
      </c>
      <c r="F1042" s="1508">
        <f t="shared" si="102"/>
        <v>0</v>
      </c>
      <c r="G1042" s="1508">
        <f t="shared" si="103"/>
        <v>0</v>
      </c>
      <c r="H1042" s="1508">
        <f t="shared" si="104"/>
        <v>0</v>
      </c>
      <c r="I1042" s="1480">
        <v>0</v>
      </c>
      <c r="J1042" s="1480">
        <v>0</v>
      </c>
      <c r="K1042" s="1508"/>
      <c r="L1042" s="1508"/>
      <c r="M1042" s="1509">
        <f t="shared" si="105"/>
        <v>0</v>
      </c>
      <c r="N1042" s="1508">
        <f t="shared" si="106"/>
        <v>0</v>
      </c>
    </row>
    <row r="1043" spans="1:14" ht="31" outlineLevel="1" x14ac:dyDescent="0.25">
      <c r="A1043" s="1492">
        <f t="shared" si="108"/>
        <v>0</v>
      </c>
      <c r="B1043" s="1492" t="str">
        <f t="shared" si="108"/>
        <v>Procurement &amp; replacement of LTSH &amp; Economiser coil assemblies in U#3</v>
      </c>
      <c r="C1043" s="1488">
        <f t="shared" si="108"/>
        <v>0</v>
      </c>
      <c r="D1043" s="1413" t="str">
        <f t="shared" si="108"/>
        <v>-</v>
      </c>
      <c r="E1043" s="560">
        <f t="shared" si="108"/>
        <v>30</v>
      </c>
      <c r="F1043" s="1508">
        <f t="shared" si="102"/>
        <v>0</v>
      </c>
      <c r="G1043" s="1508">
        <f t="shared" si="103"/>
        <v>0</v>
      </c>
      <c r="H1043" s="1508">
        <f t="shared" si="104"/>
        <v>0</v>
      </c>
      <c r="I1043" s="1480">
        <v>0</v>
      </c>
      <c r="J1043" s="1480">
        <v>0</v>
      </c>
      <c r="K1043" s="1508"/>
      <c r="L1043" s="1508"/>
      <c r="M1043" s="1509">
        <f t="shared" si="105"/>
        <v>0</v>
      </c>
      <c r="N1043" s="1508">
        <f t="shared" si="106"/>
        <v>0</v>
      </c>
    </row>
    <row r="1044" spans="1:14" ht="15.5" outlineLevel="1" x14ac:dyDescent="0.25">
      <c r="A1044" s="1504">
        <f t="shared" si="108"/>
        <v>0</v>
      </c>
      <c r="B1044" s="1504" t="str">
        <f t="shared" si="108"/>
        <v>Turbine Maintenance-I</v>
      </c>
      <c r="C1044" s="1488">
        <f t="shared" si="108"/>
        <v>0</v>
      </c>
      <c r="D1044" s="1413" t="str">
        <f t="shared" si="108"/>
        <v>-</v>
      </c>
      <c r="E1044" s="560">
        <f t="shared" si="108"/>
        <v>0</v>
      </c>
      <c r="F1044" s="1508">
        <f t="shared" si="102"/>
        <v>0</v>
      </c>
      <c r="G1044" s="1508">
        <f t="shared" si="103"/>
        <v>0</v>
      </c>
      <c r="H1044" s="1508">
        <f t="shared" si="104"/>
        <v>0</v>
      </c>
      <c r="I1044" s="1480">
        <v>0</v>
      </c>
      <c r="J1044" s="1480">
        <v>0</v>
      </c>
      <c r="K1044" s="1508"/>
      <c r="L1044" s="1508"/>
      <c r="M1044" s="1509">
        <f t="shared" si="105"/>
        <v>0</v>
      </c>
      <c r="N1044" s="1508">
        <f t="shared" si="106"/>
        <v>0</v>
      </c>
    </row>
    <row r="1045" spans="1:14" ht="31" outlineLevel="1" x14ac:dyDescent="0.25">
      <c r="A1045" s="1486">
        <f t="shared" si="108"/>
        <v>1</v>
      </c>
      <c r="B1045" s="1491" t="str">
        <f t="shared" si="108"/>
        <v>DPR for Vaccuum system improvement and procurment of BFP cartridge</v>
      </c>
      <c r="C1045" s="1488">
        <f t="shared" si="108"/>
        <v>0</v>
      </c>
      <c r="D1045" s="1413" t="str">
        <f t="shared" si="108"/>
        <v>-</v>
      </c>
      <c r="E1045" s="560">
        <f t="shared" si="108"/>
        <v>35</v>
      </c>
      <c r="F1045" s="1508">
        <f t="shared" si="102"/>
        <v>0</v>
      </c>
      <c r="G1045" s="1508">
        <f t="shared" si="103"/>
        <v>0</v>
      </c>
      <c r="H1045" s="1508">
        <f t="shared" si="104"/>
        <v>0</v>
      </c>
      <c r="I1045" s="1480">
        <v>0</v>
      </c>
      <c r="J1045" s="1480">
        <v>0</v>
      </c>
      <c r="K1045" s="1508"/>
      <c r="L1045" s="1508"/>
      <c r="M1045" s="1509">
        <f t="shared" si="105"/>
        <v>0</v>
      </c>
      <c r="N1045" s="1508">
        <f t="shared" si="106"/>
        <v>0</v>
      </c>
    </row>
    <row r="1046" spans="1:14" ht="15.5" outlineLevel="1" x14ac:dyDescent="0.25">
      <c r="A1046" s="1492">
        <f t="shared" si="108"/>
        <v>0</v>
      </c>
      <c r="B1046" s="1492" t="str">
        <f t="shared" si="108"/>
        <v>Condenser vaccuum system improvement</v>
      </c>
      <c r="C1046" s="1488">
        <f t="shared" si="108"/>
        <v>0</v>
      </c>
      <c r="D1046" s="1413" t="str">
        <f t="shared" si="108"/>
        <v>-</v>
      </c>
      <c r="E1046" s="560">
        <f t="shared" si="108"/>
        <v>16</v>
      </c>
      <c r="F1046" s="1508">
        <f t="shared" si="102"/>
        <v>0</v>
      </c>
      <c r="G1046" s="1508">
        <f t="shared" si="103"/>
        <v>0</v>
      </c>
      <c r="H1046" s="1508">
        <f t="shared" si="104"/>
        <v>0</v>
      </c>
      <c r="I1046" s="1480">
        <v>0</v>
      </c>
      <c r="J1046" s="1480">
        <v>0</v>
      </c>
      <c r="K1046" s="1508"/>
      <c r="L1046" s="1508"/>
      <c r="M1046" s="1509">
        <f t="shared" si="105"/>
        <v>0</v>
      </c>
      <c r="N1046" s="1508">
        <f t="shared" si="106"/>
        <v>0</v>
      </c>
    </row>
    <row r="1047" spans="1:14" ht="31" outlineLevel="1" x14ac:dyDescent="0.25">
      <c r="A1047" s="1492">
        <f t="shared" si="108"/>
        <v>0</v>
      </c>
      <c r="B1047" s="1492" t="str">
        <f t="shared" si="108"/>
        <v>Procurement of BFP main pump cartridges for 200 KHI/s BHEL pump &amp; Procurment of Voith Hydraulic Coupling R17K for BFP</v>
      </c>
      <c r="C1047" s="1488">
        <f t="shared" si="108"/>
        <v>0</v>
      </c>
      <c r="D1047" s="1413" t="str">
        <f t="shared" si="108"/>
        <v>-</v>
      </c>
      <c r="E1047" s="560">
        <f t="shared" si="108"/>
        <v>19</v>
      </c>
      <c r="F1047" s="1508">
        <f t="shared" si="102"/>
        <v>0</v>
      </c>
      <c r="G1047" s="1508">
        <f t="shared" si="103"/>
        <v>0</v>
      </c>
      <c r="H1047" s="1508">
        <f t="shared" si="104"/>
        <v>0</v>
      </c>
      <c r="I1047" s="1480">
        <v>0</v>
      </c>
      <c r="J1047" s="1480">
        <v>0</v>
      </c>
      <c r="K1047" s="1508"/>
      <c r="L1047" s="1508"/>
      <c r="M1047" s="1509">
        <f t="shared" si="105"/>
        <v>0</v>
      </c>
      <c r="N1047" s="1508">
        <f t="shared" si="106"/>
        <v>0</v>
      </c>
    </row>
    <row r="1048" spans="1:14" ht="15.5" outlineLevel="1" x14ac:dyDescent="0.25">
      <c r="A1048" s="1486">
        <f t="shared" ref="A1048:E1063" si="109">A378</f>
        <v>2</v>
      </c>
      <c r="B1048" s="1491" t="str">
        <f t="shared" si="109"/>
        <v>WTP-I improvement schemes</v>
      </c>
      <c r="C1048" s="1488">
        <f t="shared" si="109"/>
        <v>0</v>
      </c>
      <c r="D1048" s="1413" t="str">
        <f t="shared" si="109"/>
        <v>-</v>
      </c>
      <c r="E1048" s="560">
        <f t="shared" si="109"/>
        <v>26</v>
      </c>
      <c r="F1048" s="1508">
        <f t="shared" si="102"/>
        <v>0</v>
      </c>
      <c r="G1048" s="1508">
        <f t="shared" si="103"/>
        <v>0</v>
      </c>
      <c r="H1048" s="1508">
        <f t="shared" si="104"/>
        <v>0</v>
      </c>
      <c r="I1048" s="1480">
        <v>0</v>
      </c>
      <c r="J1048" s="1480">
        <v>0</v>
      </c>
      <c r="K1048" s="1508"/>
      <c r="L1048" s="1508"/>
      <c r="M1048" s="1509">
        <f t="shared" si="105"/>
        <v>0</v>
      </c>
      <c r="N1048" s="1508">
        <f t="shared" si="106"/>
        <v>0</v>
      </c>
    </row>
    <row r="1049" spans="1:14" ht="46.5" outlineLevel="1" x14ac:dyDescent="0.25">
      <c r="A1049" s="1492">
        <f t="shared" si="109"/>
        <v>0</v>
      </c>
      <c r="B1049" s="1492" t="str">
        <f t="shared" si="109"/>
        <v>Replacement of instrument air an service air compressors in Unit 3 &amp; 4, WTP-I with screw type compressors including refrigerant type air dryer system</v>
      </c>
      <c r="C1049" s="1488">
        <f t="shared" si="109"/>
        <v>0</v>
      </c>
      <c r="D1049" s="1413" t="str">
        <f t="shared" si="109"/>
        <v>-</v>
      </c>
      <c r="E1049" s="560">
        <f t="shared" si="109"/>
        <v>6</v>
      </c>
      <c r="F1049" s="1508">
        <f t="shared" si="102"/>
        <v>0</v>
      </c>
      <c r="G1049" s="1508">
        <f t="shared" si="103"/>
        <v>0</v>
      </c>
      <c r="H1049" s="1508">
        <f t="shared" si="104"/>
        <v>0</v>
      </c>
      <c r="I1049" s="1480">
        <v>0</v>
      </c>
      <c r="J1049" s="1480">
        <v>0</v>
      </c>
      <c r="K1049" s="1508"/>
      <c r="L1049" s="1508"/>
      <c r="M1049" s="1509">
        <f t="shared" si="105"/>
        <v>0</v>
      </c>
      <c r="N1049" s="1508">
        <f t="shared" si="106"/>
        <v>0</v>
      </c>
    </row>
    <row r="1050" spans="1:14" ht="31" outlineLevel="1" x14ac:dyDescent="0.25">
      <c r="A1050" s="1492">
        <f t="shared" si="109"/>
        <v>0</v>
      </c>
      <c r="B1050" s="1492" t="str">
        <f t="shared" si="109"/>
        <v>Refurbishment of hydrogen compressors at Hydrogen plant WTP-I</v>
      </c>
      <c r="C1050" s="1488">
        <f t="shared" si="109"/>
        <v>0</v>
      </c>
      <c r="D1050" s="1413" t="str">
        <f t="shared" si="109"/>
        <v>-</v>
      </c>
      <c r="E1050" s="560">
        <f t="shared" si="109"/>
        <v>10</v>
      </c>
      <c r="F1050" s="1508">
        <f t="shared" si="102"/>
        <v>0</v>
      </c>
      <c r="G1050" s="1508">
        <f t="shared" si="103"/>
        <v>0</v>
      </c>
      <c r="H1050" s="1508">
        <f t="shared" si="104"/>
        <v>0</v>
      </c>
      <c r="I1050" s="1480">
        <v>0</v>
      </c>
      <c r="J1050" s="1480">
        <v>0</v>
      </c>
      <c r="K1050" s="1508"/>
      <c r="L1050" s="1508"/>
      <c r="M1050" s="1509">
        <f t="shared" si="105"/>
        <v>0</v>
      </c>
      <c r="N1050" s="1508">
        <f t="shared" si="106"/>
        <v>0</v>
      </c>
    </row>
    <row r="1051" spans="1:14" ht="15.5" outlineLevel="1" x14ac:dyDescent="0.25">
      <c r="A1051" s="1492">
        <f t="shared" si="109"/>
        <v>0</v>
      </c>
      <c r="B1051" s="1492" t="str">
        <f t="shared" si="109"/>
        <v>Replacement of Circulating water pumps in Unit 3 &amp; 4</v>
      </c>
      <c r="C1051" s="1488">
        <f t="shared" si="109"/>
        <v>0</v>
      </c>
      <c r="D1051" s="1413" t="str">
        <f t="shared" si="109"/>
        <v>-</v>
      </c>
      <c r="E1051" s="560">
        <f t="shared" si="109"/>
        <v>10</v>
      </c>
      <c r="F1051" s="1508">
        <f t="shared" si="102"/>
        <v>0</v>
      </c>
      <c r="G1051" s="1508">
        <f t="shared" si="103"/>
        <v>0</v>
      </c>
      <c r="H1051" s="1508">
        <f t="shared" si="104"/>
        <v>0</v>
      </c>
      <c r="I1051" s="1480">
        <v>0</v>
      </c>
      <c r="J1051" s="1480">
        <v>0</v>
      </c>
      <c r="K1051" s="1508"/>
      <c r="L1051" s="1508"/>
      <c r="M1051" s="1509">
        <f t="shared" si="105"/>
        <v>0</v>
      </c>
      <c r="N1051" s="1508">
        <f t="shared" si="106"/>
        <v>0</v>
      </c>
    </row>
    <row r="1052" spans="1:14" ht="15.5" outlineLevel="1" x14ac:dyDescent="0.25">
      <c r="A1052" s="1486">
        <f t="shared" si="109"/>
        <v>3</v>
      </c>
      <c r="B1052" s="1491" t="str">
        <f t="shared" si="109"/>
        <v>Procurment of HP valves, CEP Cartridge, GS pump</v>
      </c>
      <c r="C1052" s="1488">
        <f t="shared" si="109"/>
        <v>0</v>
      </c>
      <c r="D1052" s="1413" t="str">
        <f t="shared" si="109"/>
        <v>-</v>
      </c>
      <c r="E1052" s="560">
        <f t="shared" si="109"/>
        <v>25</v>
      </c>
      <c r="F1052" s="1508">
        <f t="shared" si="102"/>
        <v>0</v>
      </c>
      <c r="G1052" s="1508">
        <f t="shared" si="103"/>
        <v>0</v>
      </c>
      <c r="H1052" s="1508">
        <f t="shared" si="104"/>
        <v>0</v>
      </c>
      <c r="I1052" s="1480">
        <v>0</v>
      </c>
      <c r="J1052" s="1480">
        <v>0</v>
      </c>
      <c r="K1052" s="1508"/>
      <c r="L1052" s="1508"/>
      <c r="M1052" s="1509">
        <f t="shared" si="105"/>
        <v>0</v>
      </c>
      <c r="N1052" s="1508">
        <f t="shared" si="106"/>
        <v>0</v>
      </c>
    </row>
    <row r="1053" spans="1:14" ht="15.5" outlineLevel="1" x14ac:dyDescent="0.25">
      <c r="A1053" s="1492">
        <f t="shared" si="109"/>
        <v>0</v>
      </c>
      <c r="B1053" s="1492" t="str">
        <f t="shared" si="109"/>
        <v>Procurement of HP valves for Unit 3 &amp; 4</v>
      </c>
      <c r="C1053" s="1488">
        <f t="shared" si="109"/>
        <v>0</v>
      </c>
      <c r="D1053" s="1413" t="str">
        <f t="shared" si="109"/>
        <v>-</v>
      </c>
      <c r="E1053" s="560">
        <f t="shared" si="109"/>
        <v>15</v>
      </c>
      <c r="F1053" s="1508">
        <f t="shared" si="102"/>
        <v>0</v>
      </c>
      <c r="G1053" s="1508">
        <f t="shared" si="103"/>
        <v>0</v>
      </c>
      <c r="H1053" s="1508">
        <f t="shared" si="104"/>
        <v>0</v>
      </c>
      <c r="I1053" s="1480">
        <v>0</v>
      </c>
      <c r="J1053" s="1480">
        <v>0</v>
      </c>
      <c r="K1053" s="1508"/>
      <c r="L1053" s="1508"/>
      <c r="M1053" s="1509">
        <f t="shared" si="105"/>
        <v>0</v>
      </c>
      <c r="N1053" s="1508">
        <f t="shared" si="106"/>
        <v>0</v>
      </c>
    </row>
    <row r="1054" spans="1:14" ht="31" outlineLevel="1" x14ac:dyDescent="0.25">
      <c r="A1054" s="1492">
        <f t="shared" si="109"/>
        <v>0</v>
      </c>
      <c r="B1054" s="1492" t="str">
        <f t="shared" si="109"/>
        <v>Procurement cartridges for Condensate extraction pump ( Make KSB WKT 150/7)</v>
      </c>
      <c r="C1054" s="1488">
        <f t="shared" si="109"/>
        <v>0</v>
      </c>
      <c r="D1054" s="1413" t="str">
        <f t="shared" si="109"/>
        <v>-</v>
      </c>
      <c r="E1054" s="560">
        <f t="shared" si="109"/>
        <v>5</v>
      </c>
      <c r="F1054" s="1508">
        <f t="shared" si="102"/>
        <v>0</v>
      </c>
      <c r="G1054" s="1508">
        <f t="shared" si="103"/>
        <v>0</v>
      </c>
      <c r="H1054" s="1508">
        <f t="shared" si="104"/>
        <v>0</v>
      </c>
      <c r="I1054" s="1480">
        <v>0</v>
      </c>
      <c r="J1054" s="1480">
        <v>0</v>
      </c>
      <c r="K1054" s="1508"/>
      <c r="L1054" s="1508"/>
      <c r="M1054" s="1509">
        <f t="shared" si="105"/>
        <v>0</v>
      </c>
      <c r="N1054" s="1508">
        <f t="shared" si="106"/>
        <v>0</v>
      </c>
    </row>
    <row r="1055" spans="1:14" ht="31" outlineLevel="1" x14ac:dyDescent="0.25">
      <c r="A1055" s="1492">
        <f t="shared" si="109"/>
        <v>0</v>
      </c>
      <c r="B1055" s="1492" t="str">
        <f t="shared" si="109"/>
        <v>Procurement of WPIL make GS pump JTC 24E with pipelines and valves for Unit 3 &amp; 4</v>
      </c>
      <c r="C1055" s="1488">
        <f t="shared" si="109"/>
        <v>0</v>
      </c>
      <c r="D1055" s="1413" t="str">
        <f t="shared" si="109"/>
        <v>-</v>
      </c>
      <c r="E1055" s="560">
        <f t="shared" si="109"/>
        <v>5</v>
      </c>
      <c r="F1055" s="1508">
        <f t="shared" si="102"/>
        <v>0</v>
      </c>
      <c r="G1055" s="1508">
        <f t="shared" si="103"/>
        <v>0</v>
      </c>
      <c r="H1055" s="1508">
        <f t="shared" si="104"/>
        <v>0</v>
      </c>
      <c r="I1055" s="1480">
        <v>0</v>
      </c>
      <c r="J1055" s="1480">
        <v>0</v>
      </c>
      <c r="K1055" s="1508"/>
      <c r="L1055" s="1508"/>
      <c r="M1055" s="1509">
        <f t="shared" si="105"/>
        <v>0</v>
      </c>
      <c r="N1055" s="1508">
        <f t="shared" si="106"/>
        <v>0</v>
      </c>
    </row>
    <row r="1056" spans="1:14" ht="15.5" outlineLevel="1" x14ac:dyDescent="0.25">
      <c r="A1056" s="1504">
        <f t="shared" si="109"/>
        <v>0</v>
      </c>
      <c r="B1056" s="1504" t="str">
        <f t="shared" si="109"/>
        <v>Electrical maintenance -I</v>
      </c>
      <c r="C1056" s="1488">
        <f t="shared" si="109"/>
        <v>0</v>
      </c>
      <c r="D1056" s="1413" t="str">
        <f t="shared" si="109"/>
        <v>-</v>
      </c>
      <c r="E1056" s="560">
        <f t="shared" si="109"/>
        <v>0</v>
      </c>
      <c r="F1056" s="1508">
        <f t="shared" si="102"/>
        <v>0</v>
      </c>
      <c r="G1056" s="1508">
        <f t="shared" si="103"/>
        <v>0</v>
      </c>
      <c r="H1056" s="1508">
        <f t="shared" si="104"/>
        <v>0</v>
      </c>
      <c r="I1056" s="1480">
        <v>0</v>
      </c>
      <c r="J1056" s="1480">
        <v>0</v>
      </c>
      <c r="K1056" s="1508"/>
      <c r="L1056" s="1508"/>
      <c r="M1056" s="1509">
        <f t="shared" si="105"/>
        <v>0</v>
      </c>
      <c r="N1056" s="1508">
        <f t="shared" si="106"/>
        <v>0</v>
      </c>
    </row>
    <row r="1057" spans="1:14" ht="31" outlineLevel="1" x14ac:dyDescent="0.25">
      <c r="A1057" s="1486">
        <f t="shared" si="109"/>
        <v>1</v>
      </c>
      <c r="B1057" s="1491" t="str">
        <f t="shared" si="109"/>
        <v>DPR  for colony electrical renovation, switchgear, Energy meter, breaker</v>
      </c>
      <c r="C1057" s="1488">
        <f t="shared" si="109"/>
        <v>0</v>
      </c>
      <c r="D1057" s="1413" t="str">
        <f t="shared" si="109"/>
        <v>-</v>
      </c>
      <c r="E1057" s="560">
        <f t="shared" si="109"/>
        <v>47.3</v>
      </c>
      <c r="F1057" s="1508">
        <f t="shared" si="102"/>
        <v>0</v>
      </c>
      <c r="G1057" s="1508">
        <f t="shared" si="103"/>
        <v>0</v>
      </c>
      <c r="H1057" s="1508">
        <f t="shared" si="104"/>
        <v>0</v>
      </c>
      <c r="I1057" s="1480">
        <v>0</v>
      </c>
      <c r="J1057" s="1480">
        <v>0</v>
      </c>
      <c r="K1057" s="1508"/>
      <c r="L1057" s="1508"/>
      <c r="M1057" s="1509">
        <f t="shared" si="105"/>
        <v>0</v>
      </c>
      <c r="N1057" s="1508">
        <f t="shared" si="106"/>
        <v>0</v>
      </c>
    </row>
    <row r="1058" spans="1:14" ht="15.5" outlineLevel="1" x14ac:dyDescent="0.25">
      <c r="A1058" s="1492">
        <f t="shared" si="109"/>
        <v>0</v>
      </c>
      <c r="B1058" s="1492" t="str">
        <f t="shared" si="109"/>
        <v>Colony electrical renovation</v>
      </c>
      <c r="C1058" s="1488">
        <f t="shared" si="109"/>
        <v>0</v>
      </c>
      <c r="D1058" s="1413" t="str">
        <f t="shared" si="109"/>
        <v>-</v>
      </c>
      <c r="E1058" s="560">
        <f t="shared" si="109"/>
        <v>47.3</v>
      </c>
      <c r="F1058" s="1508">
        <f t="shared" si="102"/>
        <v>0</v>
      </c>
      <c r="G1058" s="1508">
        <f t="shared" si="103"/>
        <v>0</v>
      </c>
      <c r="H1058" s="1508">
        <f t="shared" si="104"/>
        <v>0</v>
      </c>
      <c r="I1058" s="1480">
        <v>0</v>
      </c>
      <c r="J1058" s="1480">
        <v>0</v>
      </c>
      <c r="K1058" s="1508"/>
      <c r="L1058" s="1508"/>
      <c r="M1058" s="1509">
        <f t="shared" si="105"/>
        <v>0</v>
      </c>
      <c r="N1058" s="1508">
        <f t="shared" si="106"/>
        <v>0</v>
      </c>
    </row>
    <row r="1059" spans="1:14" ht="31" outlineLevel="1" x14ac:dyDescent="0.25">
      <c r="A1059" s="1486">
        <f t="shared" si="109"/>
        <v>2</v>
      </c>
      <c r="B1059" s="1491" t="str">
        <f t="shared" si="109"/>
        <v>Electrification and illumination of perimeter wall CSTPS, Chandapur as per IB recomm</v>
      </c>
      <c r="C1059" s="1488">
        <f t="shared" si="109"/>
        <v>0</v>
      </c>
      <c r="D1059" s="1413" t="str">
        <f t="shared" si="109"/>
        <v>-</v>
      </c>
      <c r="E1059" s="560">
        <f t="shared" si="109"/>
        <v>25.679999999999996</v>
      </c>
      <c r="F1059" s="1508">
        <f t="shared" si="102"/>
        <v>0</v>
      </c>
      <c r="G1059" s="1508">
        <f t="shared" si="103"/>
        <v>0</v>
      </c>
      <c r="H1059" s="1508">
        <f t="shared" si="104"/>
        <v>0</v>
      </c>
      <c r="I1059" s="1480">
        <v>0</v>
      </c>
      <c r="J1059" s="1480">
        <v>0</v>
      </c>
      <c r="K1059" s="1508"/>
      <c r="L1059" s="1508"/>
      <c r="M1059" s="1509">
        <f t="shared" si="105"/>
        <v>0</v>
      </c>
      <c r="N1059" s="1508">
        <f t="shared" si="106"/>
        <v>0</v>
      </c>
    </row>
    <row r="1060" spans="1:14" ht="31" outlineLevel="1" x14ac:dyDescent="0.25">
      <c r="A1060" s="1492">
        <f t="shared" si="109"/>
        <v>0</v>
      </c>
      <c r="B1060" s="1492" t="str">
        <f t="shared" si="109"/>
        <v>Electrification and illumination of perimeter wall CSTPS, Chandapur</v>
      </c>
      <c r="C1060" s="1488">
        <f t="shared" si="109"/>
        <v>0</v>
      </c>
      <c r="D1060" s="1413" t="str">
        <f t="shared" si="109"/>
        <v>-</v>
      </c>
      <c r="E1060" s="560">
        <f t="shared" si="109"/>
        <v>12.52</v>
      </c>
      <c r="F1060" s="1508">
        <f t="shared" si="102"/>
        <v>0</v>
      </c>
      <c r="G1060" s="1508">
        <f t="shared" si="103"/>
        <v>0</v>
      </c>
      <c r="H1060" s="1508">
        <f t="shared" si="104"/>
        <v>0</v>
      </c>
      <c r="I1060" s="1480">
        <v>0</v>
      </c>
      <c r="J1060" s="1480">
        <v>0</v>
      </c>
      <c r="K1060" s="1508"/>
      <c r="L1060" s="1508"/>
      <c r="M1060" s="1509">
        <f t="shared" si="105"/>
        <v>0</v>
      </c>
      <c r="N1060" s="1508">
        <f t="shared" si="106"/>
        <v>0</v>
      </c>
    </row>
    <row r="1061" spans="1:14" ht="31" outlineLevel="1" x14ac:dyDescent="0.25">
      <c r="A1061" s="1492">
        <f t="shared" si="109"/>
        <v>0</v>
      </c>
      <c r="B1061" s="1492" t="str">
        <f t="shared" si="109"/>
        <v>Replacement of Distibution board, and switchgear at different areas of plant, colony, Dam</v>
      </c>
      <c r="C1061" s="1488">
        <f t="shared" si="109"/>
        <v>0</v>
      </c>
      <c r="D1061" s="1413" t="str">
        <f t="shared" si="109"/>
        <v>-</v>
      </c>
      <c r="E1061" s="560">
        <f t="shared" si="109"/>
        <v>12.35</v>
      </c>
      <c r="F1061" s="1508">
        <f t="shared" si="102"/>
        <v>0</v>
      </c>
      <c r="G1061" s="1508">
        <f t="shared" si="103"/>
        <v>0</v>
      </c>
      <c r="H1061" s="1508">
        <f t="shared" si="104"/>
        <v>0</v>
      </c>
      <c r="I1061" s="1480">
        <v>0</v>
      </c>
      <c r="J1061" s="1480">
        <v>0</v>
      </c>
      <c r="K1061" s="1508"/>
      <c r="L1061" s="1508"/>
      <c r="M1061" s="1509">
        <f t="shared" si="105"/>
        <v>0</v>
      </c>
      <c r="N1061" s="1508">
        <f t="shared" si="106"/>
        <v>0</v>
      </c>
    </row>
    <row r="1062" spans="1:14" ht="15.5" outlineLevel="1" x14ac:dyDescent="0.25">
      <c r="A1062" s="1492">
        <f t="shared" si="109"/>
        <v>0</v>
      </c>
      <c r="B1062" s="1492" t="str">
        <f t="shared" si="109"/>
        <v>Replacement of Energy meter</v>
      </c>
      <c r="C1062" s="1488">
        <f t="shared" si="109"/>
        <v>0</v>
      </c>
      <c r="D1062" s="1413" t="str">
        <f t="shared" si="109"/>
        <v>-</v>
      </c>
      <c r="E1062" s="560">
        <f t="shared" si="109"/>
        <v>0.81</v>
      </c>
      <c r="F1062" s="1508">
        <f t="shared" si="102"/>
        <v>0</v>
      </c>
      <c r="G1062" s="1508">
        <f t="shared" si="103"/>
        <v>0</v>
      </c>
      <c r="H1062" s="1508">
        <f t="shared" si="104"/>
        <v>0</v>
      </c>
      <c r="I1062" s="1480">
        <v>0</v>
      </c>
      <c r="J1062" s="1480">
        <v>0</v>
      </c>
      <c r="K1062" s="1508"/>
      <c r="L1062" s="1508"/>
      <c r="M1062" s="1509">
        <f t="shared" si="105"/>
        <v>0</v>
      </c>
      <c r="N1062" s="1508">
        <f t="shared" si="106"/>
        <v>0</v>
      </c>
    </row>
    <row r="1063" spans="1:14" ht="31" outlineLevel="1" x14ac:dyDescent="0.25">
      <c r="A1063" s="1486">
        <f t="shared" si="109"/>
        <v>3</v>
      </c>
      <c r="B1063" s="1491" t="str">
        <f t="shared" si="109"/>
        <v>Replacement of 400V, 220V, 50V, 26V batteries and its battery chargers at 210MW, Breakers, VFDs at compressor, Watch Tower</v>
      </c>
      <c r="C1063" s="1488">
        <f t="shared" si="109"/>
        <v>0</v>
      </c>
      <c r="D1063" s="1413" t="str">
        <f t="shared" si="109"/>
        <v>-</v>
      </c>
      <c r="E1063" s="560">
        <f t="shared" si="109"/>
        <v>29</v>
      </c>
      <c r="F1063" s="1508">
        <f t="shared" si="102"/>
        <v>0</v>
      </c>
      <c r="G1063" s="1508">
        <f t="shared" si="103"/>
        <v>0</v>
      </c>
      <c r="H1063" s="1508">
        <f t="shared" si="104"/>
        <v>0</v>
      </c>
      <c r="I1063" s="1480">
        <v>0</v>
      </c>
      <c r="J1063" s="1480">
        <v>0</v>
      </c>
      <c r="K1063" s="1508"/>
      <c r="L1063" s="1508"/>
      <c r="M1063" s="1509">
        <f t="shared" si="105"/>
        <v>0</v>
      </c>
      <c r="N1063" s="1508">
        <f t="shared" si="106"/>
        <v>0</v>
      </c>
    </row>
    <row r="1064" spans="1:14" ht="31" outlineLevel="1" x14ac:dyDescent="0.25">
      <c r="A1064" s="1492">
        <f t="shared" ref="A1064:E1079" si="110">A394</f>
        <v>0</v>
      </c>
      <c r="B1064" s="1492" t="str">
        <f t="shared" si="110"/>
        <v>Replacement of 400V, 220V, 50V, 26V batteries and its battery chargers at 210MW, CSTPS.</v>
      </c>
      <c r="C1064" s="1488">
        <f t="shared" si="110"/>
        <v>0</v>
      </c>
      <c r="D1064" s="1413" t="str">
        <f t="shared" si="110"/>
        <v>-</v>
      </c>
      <c r="E1064" s="560">
        <f t="shared" si="110"/>
        <v>14</v>
      </c>
      <c r="F1064" s="1508">
        <f t="shared" ref="F1064:F1127" si="111">F394+I394</f>
        <v>0</v>
      </c>
      <c r="G1064" s="1508">
        <f t="shared" ref="G1064:G1127" si="112">G394+M394</f>
        <v>0</v>
      </c>
      <c r="H1064" s="1508">
        <f t="shared" si="104"/>
        <v>0</v>
      </c>
      <c r="I1064" s="1480">
        <v>0</v>
      </c>
      <c r="J1064" s="1480">
        <v>0</v>
      </c>
      <c r="K1064" s="1508"/>
      <c r="L1064" s="1508"/>
      <c r="M1064" s="1509">
        <f t="shared" si="105"/>
        <v>0</v>
      </c>
      <c r="N1064" s="1508">
        <f t="shared" si="106"/>
        <v>0</v>
      </c>
    </row>
    <row r="1065" spans="1:14" ht="15.5" outlineLevel="1" x14ac:dyDescent="0.25">
      <c r="A1065" s="1492">
        <f t="shared" si="110"/>
        <v>0</v>
      </c>
      <c r="B1065" s="1492" t="str">
        <f t="shared" si="110"/>
        <v>Retrofitting of Breakers</v>
      </c>
      <c r="C1065" s="1488">
        <f t="shared" si="110"/>
        <v>0</v>
      </c>
      <c r="D1065" s="1413" t="str">
        <f t="shared" si="110"/>
        <v>-</v>
      </c>
      <c r="E1065" s="560">
        <f t="shared" si="110"/>
        <v>6.8000000000000007</v>
      </c>
      <c r="F1065" s="1508">
        <f t="shared" si="111"/>
        <v>0</v>
      </c>
      <c r="G1065" s="1508">
        <f t="shared" si="112"/>
        <v>0</v>
      </c>
      <c r="H1065" s="1508">
        <f t="shared" si="104"/>
        <v>0</v>
      </c>
      <c r="I1065" s="1480">
        <v>0</v>
      </c>
      <c r="J1065" s="1480">
        <v>0</v>
      </c>
      <c r="K1065" s="1508"/>
      <c r="L1065" s="1508"/>
      <c r="M1065" s="1509">
        <f t="shared" si="105"/>
        <v>0</v>
      </c>
      <c r="N1065" s="1508">
        <f t="shared" si="106"/>
        <v>0</v>
      </c>
    </row>
    <row r="1066" spans="1:14" ht="31" outlineLevel="1" x14ac:dyDescent="0.25">
      <c r="A1066" s="1492">
        <f t="shared" si="110"/>
        <v>0</v>
      </c>
      <c r="B1066" s="1492" t="str">
        <f t="shared" si="110"/>
        <v>supply, installation and commissioning of VFDs at compressor and of soft starters  for clear water pump  at 210MW, CSTPS.</v>
      </c>
      <c r="C1066" s="1488">
        <f t="shared" si="110"/>
        <v>0</v>
      </c>
      <c r="D1066" s="1413" t="str">
        <f t="shared" si="110"/>
        <v>-</v>
      </c>
      <c r="E1066" s="560">
        <f t="shared" si="110"/>
        <v>1.8</v>
      </c>
      <c r="F1066" s="1508">
        <f t="shared" si="111"/>
        <v>0</v>
      </c>
      <c r="G1066" s="1508">
        <f t="shared" si="112"/>
        <v>0</v>
      </c>
      <c r="H1066" s="1508">
        <f t="shared" si="104"/>
        <v>0</v>
      </c>
      <c r="I1066" s="1480">
        <v>0</v>
      </c>
      <c r="J1066" s="1480">
        <v>0</v>
      </c>
      <c r="K1066" s="1508"/>
      <c r="L1066" s="1508"/>
      <c r="M1066" s="1509">
        <f t="shared" si="105"/>
        <v>0</v>
      </c>
      <c r="N1066" s="1508">
        <f t="shared" si="106"/>
        <v>0</v>
      </c>
    </row>
    <row r="1067" spans="1:14" ht="31" outlineLevel="1" x14ac:dyDescent="0.25">
      <c r="A1067" s="1492">
        <f t="shared" si="110"/>
        <v>0</v>
      </c>
      <c r="B1067" s="1492" t="str">
        <f t="shared" si="110"/>
        <v>Construction of Watch Tower along periphery compound wall as per IB recommendation at CSTPS, Chandrapur</v>
      </c>
      <c r="C1067" s="166">
        <f t="shared" si="110"/>
        <v>0</v>
      </c>
      <c r="D1067" s="1413" t="str">
        <f t="shared" si="110"/>
        <v>-</v>
      </c>
      <c r="E1067" s="560">
        <f t="shared" si="110"/>
        <v>6.4</v>
      </c>
      <c r="F1067" s="1508">
        <f t="shared" si="111"/>
        <v>0</v>
      </c>
      <c r="G1067" s="1508">
        <f t="shared" si="112"/>
        <v>0</v>
      </c>
      <c r="H1067" s="1508">
        <f t="shared" si="104"/>
        <v>0</v>
      </c>
      <c r="I1067" s="1480">
        <v>0</v>
      </c>
      <c r="J1067" s="1480">
        <v>0</v>
      </c>
      <c r="K1067" s="1508"/>
      <c r="L1067" s="1508"/>
      <c r="M1067" s="1509">
        <f t="shared" si="105"/>
        <v>0</v>
      </c>
      <c r="N1067" s="1508">
        <f t="shared" si="106"/>
        <v>0</v>
      </c>
    </row>
    <row r="1068" spans="1:14" ht="15.5" outlineLevel="1" x14ac:dyDescent="0.25">
      <c r="A1068" s="1504">
        <f t="shared" si="110"/>
        <v>0</v>
      </c>
      <c r="B1068" s="1504" t="str">
        <f t="shared" si="110"/>
        <v>TIC</v>
      </c>
      <c r="C1068" s="1488">
        <f t="shared" si="110"/>
        <v>0</v>
      </c>
      <c r="D1068" s="1413" t="str">
        <f t="shared" si="110"/>
        <v>-</v>
      </c>
      <c r="E1068" s="560">
        <f t="shared" si="110"/>
        <v>0</v>
      </c>
      <c r="F1068" s="1508">
        <f t="shared" si="111"/>
        <v>0</v>
      </c>
      <c r="G1068" s="1508">
        <f t="shared" si="112"/>
        <v>0</v>
      </c>
      <c r="H1068" s="1508">
        <f t="shared" si="104"/>
        <v>0</v>
      </c>
      <c r="I1068" s="1480">
        <v>0</v>
      </c>
      <c r="J1068" s="1480">
        <v>0</v>
      </c>
      <c r="K1068" s="1508"/>
      <c r="L1068" s="1508"/>
      <c r="M1068" s="1509">
        <f t="shared" si="105"/>
        <v>0</v>
      </c>
      <c r="N1068" s="1508">
        <f t="shared" si="106"/>
        <v>0</v>
      </c>
    </row>
    <row r="1069" spans="1:14" ht="62" outlineLevel="1" x14ac:dyDescent="0.25">
      <c r="A1069" s="1486">
        <f t="shared" si="110"/>
        <v>1</v>
      </c>
      <c r="B1069" s="1491" t="str">
        <f t="shared" si="110"/>
        <v xml:space="preserve">Up-gradation of complete Instrumentation System including  FSSS System , Soot Blower System, Station C &amp;I System ,Turbine protection system, Turbovisory, HP/LP and PRDS at CSTPS Unit # 3&amp;4 (210 MW) </v>
      </c>
      <c r="C1069" s="1488">
        <f t="shared" si="110"/>
        <v>0</v>
      </c>
      <c r="D1069" s="1413" t="str">
        <f t="shared" si="110"/>
        <v>-</v>
      </c>
      <c r="E1069" s="560">
        <f t="shared" si="110"/>
        <v>48.607999999999997</v>
      </c>
      <c r="F1069" s="1508">
        <f t="shared" si="111"/>
        <v>0</v>
      </c>
      <c r="G1069" s="1508">
        <f t="shared" si="112"/>
        <v>0</v>
      </c>
      <c r="H1069" s="1508">
        <f t="shared" si="104"/>
        <v>0</v>
      </c>
      <c r="I1069" s="1480">
        <v>0</v>
      </c>
      <c r="J1069" s="1480">
        <v>0</v>
      </c>
      <c r="K1069" s="1508"/>
      <c r="L1069" s="1508"/>
      <c r="M1069" s="1509">
        <f t="shared" si="105"/>
        <v>0</v>
      </c>
      <c r="N1069" s="1508">
        <f t="shared" si="106"/>
        <v>0</v>
      </c>
    </row>
    <row r="1070" spans="1:14" ht="62" outlineLevel="1" x14ac:dyDescent="0.25">
      <c r="A1070" s="1492">
        <f t="shared" si="110"/>
        <v>0</v>
      </c>
      <c r="B1070" s="1492" t="str">
        <f t="shared" si="110"/>
        <v>Up-gradation of complete Instrumentation System including  FSSS System , Soot Blower System, Station C &amp;I System ,Turbine protection system, Turbovisory, HP/LP and PRDS at CSTPS Unit # 3&amp;4 (210 MW)</v>
      </c>
      <c r="C1070" s="1488">
        <f t="shared" si="110"/>
        <v>0</v>
      </c>
      <c r="D1070" s="1413" t="str">
        <f t="shared" si="110"/>
        <v>-</v>
      </c>
      <c r="E1070" s="560">
        <f t="shared" si="110"/>
        <v>48.607999999999997</v>
      </c>
      <c r="F1070" s="1508">
        <f t="shared" si="111"/>
        <v>0</v>
      </c>
      <c r="G1070" s="1508">
        <f t="shared" si="112"/>
        <v>0</v>
      </c>
      <c r="H1070" s="1508">
        <f t="shared" si="104"/>
        <v>0</v>
      </c>
      <c r="I1070" s="1480">
        <v>0</v>
      </c>
      <c r="J1070" s="1480">
        <v>0</v>
      </c>
      <c r="K1070" s="1508"/>
      <c r="L1070" s="1508"/>
      <c r="M1070" s="1509">
        <f t="shared" si="105"/>
        <v>0</v>
      </c>
      <c r="N1070" s="1508">
        <f t="shared" si="106"/>
        <v>0</v>
      </c>
    </row>
    <row r="1071" spans="1:14" ht="62" outlineLevel="1" x14ac:dyDescent="0.25">
      <c r="A1071" s="1486">
        <f t="shared" si="110"/>
        <v>2</v>
      </c>
      <c r="B1071" s="1491" t="str">
        <f t="shared" si="110"/>
        <v>Retrofitting/Upgradation of critical control loops by multiloop programmable controllers at Unit #3 &amp; 4, Upgradation of old ACS, PLC, SCADA WTP, FBTS, WTP measuring and instrumentation &amp; other WTP improvement schemes</v>
      </c>
      <c r="C1071" s="1488">
        <f t="shared" si="110"/>
        <v>0</v>
      </c>
      <c r="D1071" s="1413" t="str">
        <f t="shared" si="110"/>
        <v>-</v>
      </c>
      <c r="E1071" s="560">
        <f t="shared" si="110"/>
        <v>25.39</v>
      </c>
      <c r="F1071" s="1508">
        <f t="shared" si="111"/>
        <v>0</v>
      </c>
      <c r="G1071" s="1508">
        <f t="shared" si="112"/>
        <v>0</v>
      </c>
      <c r="H1071" s="1508">
        <f t="shared" si="104"/>
        <v>0</v>
      </c>
      <c r="I1071" s="1480">
        <v>0</v>
      </c>
      <c r="J1071" s="1480">
        <v>0</v>
      </c>
      <c r="K1071" s="1508"/>
      <c r="L1071" s="1508"/>
      <c r="M1071" s="1509">
        <f t="shared" si="105"/>
        <v>0</v>
      </c>
      <c r="N1071" s="1508">
        <f t="shared" si="106"/>
        <v>0</v>
      </c>
    </row>
    <row r="1072" spans="1:14" ht="31" outlineLevel="1" x14ac:dyDescent="0.25">
      <c r="A1072" s="1492">
        <f t="shared" si="110"/>
        <v>0</v>
      </c>
      <c r="B1072" s="1492" t="str">
        <f t="shared" si="110"/>
        <v>Retrofitting/Upgradation of critical control loops by multiloop programmable controllers at Unit #3 &amp; 4 CSTPS,Chandrapur.</v>
      </c>
      <c r="C1072" s="1488">
        <f t="shared" si="110"/>
        <v>0</v>
      </c>
      <c r="D1072" s="1413" t="str">
        <f t="shared" si="110"/>
        <v>-</v>
      </c>
      <c r="E1072" s="560">
        <f t="shared" si="110"/>
        <v>6</v>
      </c>
      <c r="F1072" s="1508">
        <f t="shared" si="111"/>
        <v>0</v>
      </c>
      <c r="G1072" s="1508">
        <f t="shared" si="112"/>
        <v>0</v>
      </c>
      <c r="H1072" s="1508">
        <f t="shared" si="104"/>
        <v>0</v>
      </c>
      <c r="I1072" s="1480">
        <v>0</v>
      </c>
      <c r="J1072" s="1480">
        <v>0</v>
      </c>
      <c r="K1072" s="1508"/>
      <c r="L1072" s="1508"/>
      <c r="M1072" s="1509">
        <f t="shared" si="105"/>
        <v>0</v>
      </c>
      <c r="N1072" s="1508">
        <f t="shared" si="106"/>
        <v>0</v>
      </c>
    </row>
    <row r="1073" spans="1:14" ht="31" outlineLevel="1" x14ac:dyDescent="0.25">
      <c r="A1073" s="1492">
        <f t="shared" si="110"/>
        <v>0</v>
      </c>
      <c r="B1073" s="1492" t="str">
        <f t="shared" si="110"/>
        <v>Upgradation of Old control system with PLC and SCADA at WTP  Stg-I of U# 3,4, 8 and 9, CSTPS, Chandrapur.</v>
      </c>
      <c r="C1073" s="1488">
        <f t="shared" si="110"/>
        <v>0</v>
      </c>
      <c r="D1073" s="1413" t="str">
        <f t="shared" si="110"/>
        <v>-</v>
      </c>
      <c r="E1073" s="560">
        <f t="shared" si="110"/>
        <v>3.89</v>
      </c>
      <c r="F1073" s="1508">
        <f t="shared" si="111"/>
        <v>0</v>
      </c>
      <c r="G1073" s="1508">
        <f t="shared" si="112"/>
        <v>0</v>
      </c>
      <c r="H1073" s="1508">
        <f t="shared" si="104"/>
        <v>0</v>
      </c>
      <c r="I1073" s="1480">
        <v>0</v>
      </c>
      <c r="J1073" s="1480">
        <v>0</v>
      </c>
      <c r="K1073" s="1508"/>
      <c r="L1073" s="1508"/>
      <c r="M1073" s="1509">
        <f t="shared" si="105"/>
        <v>0</v>
      </c>
      <c r="N1073" s="1508">
        <f t="shared" si="106"/>
        <v>0</v>
      </c>
    </row>
    <row r="1074" spans="1:14" ht="46.5" outlineLevel="1" x14ac:dyDescent="0.25">
      <c r="A1074" s="1492">
        <f t="shared" si="110"/>
        <v>0</v>
      </c>
      <c r="B1074" s="1492" t="str">
        <f t="shared" si="110"/>
        <v xml:space="preserve">Supply &amp; commissioning of advanced Microprocessor based Fast Bus Transfer Scheme for Stage-II Unit 3&amp;4, CSTPS, Chandrapur. </v>
      </c>
      <c r="C1074" s="1488">
        <f t="shared" si="110"/>
        <v>0</v>
      </c>
      <c r="D1074" s="1413" t="str">
        <f t="shared" si="110"/>
        <v>-</v>
      </c>
      <c r="E1074" s="560">
        <f t="shared" si="110"/>
        <v>3</v>
      </c>
      <c r="F1074" s="1508">
        <f t="shared" si="111"/>
        <v>0</v>
      </c>
      <c r="G1074" s="1508">
        <f t="shared" si="112"/>
        <v>0</v>
      </c>
      <c r="H1074" s="1508">
        <f t="shared" si="104"/>
        <v>0</v>
      </c>
      <c r="I1074" s="1480">
        <v>0</v>
      </c>
      <c r="J1074" s="1480">
        <v>0</v>
      </c>
      <c r="K1074" s="1508"/>
      <c r="L1074" s="1508"/>
      <c r="M1074" s="1509">
        <f t="shared" si="105"/>
        <v>0</v>
      </c>
      <c r="N1074" s="1508">
        <f t="shared" si="106"/>
        <v>0</v>
      </c>
    </row>
    <row r="1075" spans="1:14" ht="31" outlineLevel="1" x14ac:dyDescent="0.25">
      <c r="A1075" s="1492">
        <f t="shared" si="110"/>
        <v>0</v>
      </c>
      <c r="B1075" s="1492" t="str">
        <f t="shared" si="110"/>
        <v>Upgradation of Measuring &amp; Instrumentation of  WTP  Stg-I of U# 3,4, 8 and 9, CSTPS, Chandrapur.</v>
      </c>
      <c r="C1075" s="1488">
        <f t="shared" si="110"/>
        <v>0</v>
      </c>
      <c r="D1075" s="1413" t="str">
        <f t="shared" si="110"/>
        <v>-</v>
      </c>
      <c r="E1075" s="560">
        <f t="shared" si="110"/>
        <v>3.5</v>
      </c>
      <c r="F1075" s="1508">
        <f t="shared" si="111"/>
        <v>0</v>
      </c>
      <c r="G1075" s="1508">
        <f t="shared" si="112"/>
        <v>0</v>
      </c>
      <c r="H1075" s="1508">
        <f t="shared" si="104"/>
        <v>0</v>
      </c>
      <c r="I1075" s="1480">
        <v>0</v>
      </c>
      <c r="J1075" s="1480">
        <v>0</v>
      </c>
      <c r="K1075" s="1508"/>
      <c r="L1075" s="1508"/>
      <c r="M1075" s="1509">
        <f t="shared" si="105"/>
        <v>0</v>
      </c>
      <c r="N1075" s="1508">
        <f t="shared" si="106"/>
        <v>0</v>
      </c>
    </row>
    <row r="1076" spans="1:14" ht="31" outlineLevel="1" x14ac:dyDescent="0.25">
      <c r="A1076" s="1492">
        <f t="shared" si="110"/>
        <v>0</v>
      </c>
      <c r="B1076" s="1492" t="str">
        <f t="shared" si="110"/>
        <v>Upgradation of Ash Level Monitoring System at ESP/Eco / AHP Ash Hoppers at U# 3,4 CSTPS, Chandrapur.</v>
      </c>
      <c r="C1076" s="1488">
        <f t="shared" si="110"/>
        <v>0</v>
      </c>
      <c r="D1076" s="1413" t="str">
        <f t="shared" si="110"/>
        <v>-</v>
      </c>
      <c r="E1076" s="560">
        <f t="shared" si="110"/>
        <v>3</v>
      </c>
      <c r="F1076" s="1508">
        <f t="shared" si="111"/>
        <v>0</v>
      </c>
      <c r="G1076" s="1508">
        <f t="shared" si="112"/>
        <v>0</v>
      </c>
      <c r="H1076" s="1508">
        <f t="shared" si="104"/>
        <v>0</v>
      </c>
      <c r="I1076" s="1480">
        <v>0</v>
      </c>
      <c r="J1076" s="1480">
        <v>0</v>
      </c>
      <c r="K1076" s="1508"/>
      <c r="L1076" s="1508"/>
      <c r="M1076" s="1509">
        <f t="shared" si="105"/>
        <v>0</v>
      </c>
      <c r="N1076" s="1508">
        <f t="shared" si="106"/>
        <v>0</v>
      </c>
    </row>
    <row r="1077" spans="1:14" ht="31" outlineLevel="1" x14ac:dyDescent="0.25">
      <c r="A1077" s="1492">
        <f t="shared" si="110"/>
        <v>0</v>
      </c>
      <c r="B1077" s="1492" t="str">
        <f t="shared" si="110"/>
        <v>Upgradation of Obsolete Electromechanical Protection Relays to advanced Numeric Relays Installed at WTP - I</v>
      </c>
      <c r="C1077" s="1488">
        <f t="shared" si="110"/>
        <v>0</v>
      </c>
      <c r="D1077" s="1413" t="str">
        <f t="shared" si="110"/>
        <v>-</v>
      </c>
      <c r="E1077" s="560">
        <f t="shared" si="110"/>
        <v>3</v>
      </c>
      <c r="F1077" s="1508">
        <f t="shared" si="111"/>
        <v>0</v>
      </c>
      <c r="G1077" s="1508">
        <f t="shared" si="112"/>
        <v>0</v>
      </c>
      <c r="H1077" s="1508">
        <f t="shared" si="104"/>
        <v>0</v>
      </c>
      <c r="I1077" s="1480">
        <v>0</v>
      </c>
      <c r="J1077" s="1480">
        <v>0</v>
      </c>
      <c r="K1077" s="1508"/>
      <c r="L1077" s="1508"/>
      <c r="M1077" s="1509">
        <f t="shared" si="105"/>
        <v>0</v>
      </c>
      <c r="N1077" s="1508">
        <f t="shared" si="106"/>
        <v>0</v>
      </c>
    </row>
    <row r="1078" spans="1:14" ht="31" outlineLevel="1" x14ac:dyDescent="0.25">
      <c r="A1078" s="1492">
        <f t="shared" si="110"/>
        <v>0</v>
      </c>
      <c r="B1078" s="1492" t="str">
        <f t="shared" si="110"/>
        <v>Upgardation of BPF Scoop with electrical actuators at U#3 &amp; 4 CSTPS, Chandrapur.</v>
      </c>
      <c r="C1078" s="1488">
        <f t="shared" si="110"/>
        <v>0</v>
      </c>
      <c r="D1078" s="1413" t="str">
        <f t="shared" si="110"/>
        <v>-</v>
      </c>
      <c r="E1078" s="560">
        <f t="shared" si="110"/>
        <v>3</v>
      </c>
      <c r="F1078" s="1508">
        <f t="shared" si="111"/>
        <v>0</v>
      </c>
      <c r="G1078" s="1508">
        <f t="shared" si="112"/>
        <v>0</v>
      </c>
      <c r="H1078" s="1508">
        <f t="shared" ref="H1078:H1141" si="113">F1078-G1078</f>
        <v>0</v>
      </c>
      <c r="I1078" s="1480">
        <v>0</v>
      </c>
      <c r="J1078" s="1480">
        <v>0</v>
      </c>
      <c r="K1078" s="1508"/>
      <c r="L1078" s="1508"/>
      <c r="M1078" s="1509">
        <f t="shared" ref="M1078:M1141" si="114">SUM(J1078:L1078)</f>
        <v>0</v>
      </c>
      <c r="N1078" s="1508">
        <f t="shared" ref="N1078:N1141" si="115">H1078+I1078-M1078</f>
        <v>0</v>
      </c>
    </row>
    <row r="1079" spans="1:14" ht="31" outlineLevel="1" x14ac:dyDescent="0.25">
      <c r="A1079" s="1486">
        <f t="shared" si="110"/>
        <v>3</v>
      </c>
      <c r="B1079" s="1491" t="str">
        <f t="shared" si="110"/>
        <v xml:space="preserve">Upgradation of Measuring Instruments, Final Control Elements and Control System for Unit #3/4, WTP, AHP CSTPS Chandrapur </v>
      </c>
      <c r="C1079" s="1488">
        <f t="shared" si="110"/>
        <v>0</v>
      </c>
      <c r="D1079" s="1413" t="str">
        <f t="shared" si="110"/>
        <v>-</v>
      </c>
      <c r="E1079" s="560">
        <f t="shared" si="110"/>
        <v>30</v>
      </c>
      <c r="F1079" s="1508">
        <f t="shared" si="111"/>
        <v>0</v>
      </c>
      <c r="G1079" s="1508">
        <f t="shared" si="112"/>
        <v>0</v>
      </c>
      <c r="H1079" s="1508">
        <f t="shared" si="113"/>
        <v>0</v>
      </c>
      <c r="I1079" s="1480">
        <v>0</v>
      </c>
      <c r="J1079" s="1480">
        <v>0</v>
      </c>
      <c r="K1079" s="1508"/>
      <c r="L1079" s="1508"/>
      <c r="M1079" s="1509">
        <f t="shared" si="114"/>
        <v>0</v>
      </c>
      <c r="N1079" s="1508">
        <f t="shared" si="115"/>
        <v>0</v>
      </c>
    </row>
    <row r="1080" spans="1:14" ht="31" outlineLevel="1" x14ac:dyDescent="0.25">
      <c r="A1080" s="1492">
        <f t="shared" ref="A1080:E1095" si="116">A410</f>
        <v>0</v>
      </c>
      <c r="B1080" s="1492" t="str">
        <f t="shared" si="116"/>
        <v xml:space="preserve">Upgradation of Measuring Instruments, Final Control Elements and Control System for Unit #3/4, WTP, AHP CSTPS Chandrapur </v>
      </c>
      <c r="C1080" s="1488">
        <f t="shared" si="116"/>
        <v>0</v>
      </c>
      <c r="D1080" s="1413" t="str">
        <f t="shared" si="116"/>
        <v>-</v>
      </c>
      <c r="E1080" s="560">
        <f t="shared" si="116"/>
        <v>30</v>
      </c>
      <c r="F1080" s="1508">
        <f t="shared" si="111"/>
        <v>0</v>
      </c>
      <c r="G1080" s="1508">
        <f t="shared" si="112"/>
        <v>0</v>
      </c>
      <c r="H1080" s="1508">
        <f t="shared" si="113"/>
        <v>0</v>
      </c>
      <c r="I1080" s="1480">
        <v>0</v>
      </c>
      <c r="J1080" s="1480">
        <v>0</v>
      </c>
      <c r="K1080" s="1508"/>
      <c r="L1080" s="1508"/>
      <c r="M1080" s="1509">
        <f t="shared" si="114"/>
        <v>0</v>
      </c>
      <c r="N1080" s="1508">
        <f t="shared" si="115"/>
        <v>0</v>
      </c>
    </row>
    <row r="1081" spans="1:14" ht="31" outlineLevel="1" x14ac:dyDescent="0.25">
      <c r="A1081" s="1486">
        <f t="shared" si="116"/>
        <v>4</v>
      </c>
      <c r="B1081" s="1491" t="str">
        <f t="shared" si="116"/>
        <v>Installation Errection and commissioning of Solar System for Electrical Suppy to CSTPS Colony.</v>
      </c>
      <c r="C1081" s="1488">
        <f t="shared" si="116"/>
        <v>0</v>
      </c>
      <c r="D1081" s="1413" t="str">
        <f t="shared" si="116"/>
        <v>-</v>
      </c>
      <c r="E1081" s="560">
        <f t="shared" si="116"/>
        <v>60</v>
      </c>
      <c r="F1081" s="1508">
        <f t="shared" si="111"/>
        <v>0</v>
      </c>
      <c r="G1081" s="1508">
        <f t="shared" si="112"/>
        <v>0</v>
      </c>
      <c r="H1081" s="1508">
        <f t="shared" si="113"/>
        <v>0</v>
      </c>
      <c r="I1081" s="1480">
        <v>0</v>
      </c>
      <c r="J1081" s="1480">
        <v>0</v>
      </c>
      <c r="K1081" s="1508"/>
      <c r="L1081" s="1508"/>
      <c r="M1081" s="1509">
        <f t="shared" si="114"/>
        <v>0</v>
      </c>
      <c r="N1081" s="1508">
        <f t="shared" si="115"/>
        <v>0</v>
      </c>
    </row>
    <row r="1082" spans="1:14" ht="31" outlineLevel="1" x14ac:dyDescent="0.25">
      <c r="A1082" s="1492">
        <f t="shared" si="116"/>
        <v>0</v>
      </c>
      <c r="B1082" s="1492" t="str">
        <f t="shared" si="116"/>
        <v>Installation Errection and commissioning of Solar System for Electrical Suppy to CSTPS Colony.</v>
      </c>
      <c r="C1082" s="1488">
        <f t="shared" si="116"/>
        <v>0</v>
      </c>
      <c r="D1082" s="1413" t="str">
        <f t="shared" si="116"/>
        <v>-</v>
      </c>
      <c r="E1082" s="560">
        <f t="shared" si="116"/>
        <v>60</v>
      </c>
      <c r="F1082" s="1508">
        <f t="shared" si="111"/>
        <v>0</v>
      </c>
      <c r="G1082" s="1508">
        <f t="shared" si="112"/>
        <v>0</v>
      </c>
      <c r="H1082" s="1508">
        <f t="shared" si="113"/>
        <v>0</v>
      </c>
      <c r="I1082" s="1480">
        <v>0</v>
      </c>
      <c r="J1082" s="1480">
        <v>0</v>
      </c>
      <c r="K1082" s="1508"/>
      <c r="L1082" s="1508"/>
      <c r="M1082" s="1509">
        <f t="shared" si="114"/>
        <v>0</v>
      </c>
      <c r="N1082" s="1508">
        <f t="shared" si="115"/>
        <v>0</v>
      </c>
    </row>
    <row r="1083" spans="1:14" ht="15.5" outlineLevel="1" x14ac:dyDescent="0.25">
      <c r="A1083" s="1486">
        <f t="shared" si="116"/>
        <v>5</v>
      </c>
      <c r="B1083" s="1491" t="str">
        <f t="shared" si="116"/>
        <v>Rejuvenation of WTP-I</v>
      </c>
      <c r="C1083" s="1488">
        <f t="shared" si="116"/>
        <v>0</v>
      </c>
      <c r="D1083" s="1413" t="str">
        <f t="shared" si="116"/>
        <v>-</v>
      </c>
      <c r="E1083" s="560">
        <f t="shared" si="116"/>
        <v>26.4</v>
      </c>
      <c r="F1083" s="1508">
        <f t="shared" si="111"/>
        <v>0</v>
      </c>
      <c r="G1083" s="1508">
        <f t="shared" si="112"/>
        <v>0</v>
      </c>
      <c r="H1083" s="1508">
        <f t="shared" si="113"/>
        <v>0</v>
      </c>
      <c r="I1083" s="1480">
        <v>0</v>
      </c>
      <c r="J1083" s="1480">
        <v>0</v>
      </c>
      <c r="K1083" s="1508"/>
      <c r="L1083" s="1508"/>
      <c r="M1083" s="1509">
        <f t="shared" si="114"/>
        <v>0</v>
      </c>
      <c r="N1083" s="1508">
        <f t="shared" si="115"/>
        <v>0</v>
      </c>
    </row>
    <row r="1084" spans="1:14" ht="31" outlineLevel="1" x14ac:dyDescent="0.25">
      <c r="A1084" s="1492">
        <f t="shared" si="116"/>
        <v>0</v>
      </c>
      <c r="B1084" s="1492" t="str">
        <f t="shared" si="116"/>
        <v>Repairing rejuvenation with upgradation of rapid gravity sand filters under drain system.</v>
      </c>
      <c r="C1084" s="1488">
        <f t="shared" si="116"/>
        <v>0</v>
      </c>
      <c r="D1084" s="1413" t="str">
        <f t="shared" si="116"/>
        <v>-</v>
      </c>
      <c r="E1084" s="560">
        <f t="shared" si="116"/>
        <v>8.1999999999999993</v>
      </c>
      <c r="F1084" s="1508">
        <f t="shared" si="111"/>
        <v>0</v>
      </c>
      <c r="G1084" s="1508">
        <f t="shared" si="112"/>
        <v>0</v>
      </c>
      <c r="H1084" s="1508">
        <f t="shared" si="113"/>
        <v>0</v>
      </c>
      <c r="I1084" s="1480">
        <v>0</v>
      </c>
      <c r="J1084" s="1480">
        <v>0</v>
      </c>
      <c r="K1084" s="1508"/>
      <c r="L1084" s="1508"/>
      <c r="M1084" s="1509">
        <f t="shared" si="114"/>
        <v>0</v>
      </c>
      <c r="N1084" s="1508">
        <f t="shared" si="115"/>
        <v>0</v>
      </c>
    </row>
    <row r="1085" spans="1:14" ht="31" outlineLevel="1" x14ac:dyDescent="0.25">
      <c r="A1085" s="1492">
        <f t="shared" si="116"/>
        <v>0</v>
      </c>
      <c r="B1085" s="1492" t="str">
        <f t="shared" si="116"/>
        <v>Repairing &amp; reconditioning of NDM clarifier of 27 Mtr dia &amp; DM clarifier of 15 mtr dia.</v>
      </c>
      <c r="C1085" s="1488">
        <f t="shared" si="116"/>
        <v>0</v>
      </c>
      <c r="D1085" s="1413" t="str">
        <f t="shared" si="116"/>
        <v>-</v>
      </c>
      <c r="E1085" s="560">
        <f t="shared" si="116"/>
        <v>2.4500000000000002</v>
      </c>
      <c r="F1085" s="1508">
        <f t="shared" si="111"/>
        <v>0</v>
      </c>
      <c r="G1085" s="1508">
        <f t="shared" si="112"/>
        <v>0</v>
      </c>
      <c r="H1085" s="1508">
        <f t="shared" si="113"/>
        <v>0</v>
      </c>
      <c r="I1085" s="1480">
        <v>0</v>
      </c>
      <c r="J1085" s="1480">
        <v>0</v>
      </c>
      <c r="K1085" s="1508"/>
      <c r="L1085" s="1508"/>
      <c r="M1085" s="1509">
        <f t="shared" si="114"/>
        <v>0</v>
      </c>
      <c r="N1085" s="1508">
        <f t="shared" si="115"/>
        <v>0</v>
      </c>
    </row>
    <row r="1086" spans="1:14" ht="31" outlineLevel="1" x14ac:dyDescent="0.25">
      <c r="A1086" s="1492">
        <f t="shared" si="116"/>
        <v>0</v>
      </c>
      <c r="B1086" s="1492" t="str">
        <f t="shared" si="116"/>
        <v>Repairing &amp; reconditioning of ion exchanger vessels of DM plant stream (PF,ACF,SAC,WBA,SBA,MB &amp;Degassor)</v>
      </c>
      <c r="C1086" s="1488">
        <f t="shared" si="116"/>
        <v>0</v>
      </c>
      <c r="D1086" s="1413" t="str">
        <f t="shared" si="116"/>
        <v>-</v>
      </c>
      <c r="E1086" s="560">
        <f t="shared" si="116"/>
        <v>15.75</v>
      </c>
      <c r="F1086" s="1508">
        <f t="shared" si="111"/>
        <v>0</v>
      </c>
      <c r="G1086" s="1508">
        <f t="shared" si="112"/>
        <v>0</v>
      </c>
      <c r="H1086" s="1508">
        <f t="shared" si="113"/>
        <v>0</v>
      </c>
      <c r="I1086" s="1480">
        <v>0</v>
      </c>
      <c r="J1086" s="1480">
        <v>0</v>
      </c>
      <c r="K1086" s="1508"/>
      <c r="L1086" s="1508"/>
      <c r="M1086" s="1509">
        <f t="shared" si="114"/>
        <v>0</v>
      </c>
      <c r="N1086" s="1508">
        <f t="shared" si="115"/>
        <v>0</v>
      </c>
    </row>
    <row r="1087" spans="1:14" ht="15.5" outlineLevel="1" x14ac:dyDescent="0.25">
      <c r="A1087" s="1504">
        <f t="shared" si="116"/>
        <v>0</v>
      </c>
      <c r="B1087" s="1504" t="str">
        <f t="shared" si="116"/>
        <v>CHP-A</v>
      </c>
      <c r="C1087" s="1488">
        <f t="shared" si="116"/>
        <v>0</v>
      </c>
      <c r="D1087" s="1413" t="str">
        <f t="shared" si="116"/>
        <v>-</v>
      </c>
      <c r="E1087" s="560">
        <f t="shared" si="116"/>
        <v>0</v>
      </c>
      <c r="F1087" s="1508">
        <f t="shared" si="111"/>
        <v>0</v>
      </c>
      <c r="G1087" s="1508">
        <f t="shared" si="112"/>
        <v>0</v>
      </c>
      <c r="H1087" s="1508">
        <f t="shared" si="113"/>
        <v>0</v>
      </c>
      <c r="I1087" s="1480">
        <v>0</v>
      </c>
      <c r="J1087" s="1480">
        <v>0</v>
      </c>
      <c r="K1087" s="1508"/>
      <c r="L1087" s="1508"/>
      <c r="M1087" s="1509">
        <f t="shared" si="114"/>
        <v>0</v>
      </c>
      <c r="N1087" s="1508">
        <f t="shared" si="115"/>
        <v>0</v>
      </c>
    </row>
    <row r="1088" spans="1:14" ht="31" outlineLevel="1" x14ac:dyDescent="0.25">
      <c r="A1088" s="1486">
        <f t="shared" si="116"/>
        <v>1</v>
      </c>
      <c r="B1088" s="1491" t="str">
        <f t="shared" si="116"/>
        <v>Proc of Loco, Bulldozer, &amp; upgradation of Wagon Tippler, Stacker, Wing Tripper &amp; installation of  Dust Extraction system</v>
      </c>
      <c r="C1088" s="1488">
        <f t="shared" si="116"/>
        <v>0</v>
      </c>
      <c r="D1088" s="1413" t="str">
        <f t="shared" si="116"/>
        <v>-</v>
      </c>
      <c r="E1088" s="560">
        <f t="shared" si="116"/>
        <v>58</v>
      </c>
      <c r="F1088" s="1508">
        <f t="shared" si="111"/>
        <v>0</v>
      </c>
      <c r="G1088" s="1508">
        <f t="shared" si="112"/>
        <v>0</v>
      </c>
      <c r="H1088" s="1508">
        <f t="shared" si="113"/>
        <v>0</v>
      </c>
      <c r="I1088" s="1480">
        <v>0</v>
      </c>
      <c r="J1088" s="1480">
        <v>0</v>
      </c>
      <c r="K1088" s="1508"/>
      <c r="L1088" s="1508"/>
      <c r="M1088" s="1509">
        <f t="shared" si="114"/>
        <v>0</v>
      </c>
      <c r="N1088" s="1508">
        <f t="shared" si="115"/>
        <v>0</v>
      </c>
    </row>
    <row r="1089" spans="1:14" ht="31" outlineLevel="1" x14ac:dyDescent="0.25">
      <c r="A1089" s="1492">
        <f t="shared" si="116"/>
        <v>0</v>
      </c>
      <c r="B1089" s="1492" t="str">
        <f t="shared" si="116"/>
        <v>Procurement of 2 numbers WDG-3A Locomotives and 4 numbers Bulldozers</v>
      </c>
      <c r="C1089" s="1488">
        <f t="shared" si="116"/>
        <v>0</v>
      </c>
      <c r="D1089" s="1413" t="str">
        <f t="shared" si="116"/>
        <v>-</v>
      </c>
      <c r="E1089" s="560">
        <f t="shared" si="116"/>
        <v>38</v>
      </c>
      <c r="F1089" s="1508">
        <f t="shared" si="111"/>
        <v>0</v>
      </c>
      <c r="G1089" s="1508">
        <f t="shared" si="112"/>
        <v>0</v>
      </c>
      <c r="H1089" s="1508">
        <f t="shared" si="113"/>
        <v>0</v>
      </c>
      <c r="I1089" s="1480">
        <v>0</v>
      </c>
      <c r="J1089" s="1480">
        <v>0</v>
      </c>
      <c r="K1089" s="1508"/>
      <c r="L1089" s="1508"/>
      <c r="M1089" s="1509">
        <f t="shared" si="114"/>
        <v>0</v>
      </c>
      <c r="N1089" s="1508">
        <f t="shared" si="115"/>
        <v>0</v>
      </c>
    </row>
    <row r="1090" spans="1:14" ht="31" outlineLevel="1" x14ac:dyDescent="0.25">
      <c r="A1090" s="1492">
        <f t="shared" si="116"/>
        <v>0</v>
      </c>
      <c r="B1090" s="1492" t="str">
        <f t="shared" si="116"/>
        <v>Upgradation of Wagon Tipplers, Stacker Reclaimer Machine and Wing Tripper at CHP-A</v>
      </c>
      <c r="C1090" s="1488">
        <f t="shared" si="116"/>
        <v>0</v>
      </c>
      <c r="D1090" s="1413" t="str">
        <f t="shared" si="116"/>
        <v>-</v>
      </c>
      <c r="E1090" s="560">
        <f t="shared" si="116"/>
        <v>15</v>
      </c>
      <c r="F1090" s="1508">
        <f t="shared" si="111"/>
        <v>0</v>
      </c>
      <c r="G1090" s="1508">
        <f t="shared" si="112"/>
        <v>0</v>
      </c>
      <c r="H1090" s="1508">
        <f t="shared" si="113"/>
        <v>0</v>
      </c>
      <c r="I1090" s="1480">
        <v>0</v>
      </c>
      <c r="J1090" s="1480">
        <v>0</v>
      </c>
      <c r="K1090" s="1508"/>
      <c r="L1090" s="1508"/>
      <c r="M1090" s="1509">
        <f t="shared" si="114"/>
        <v>0</v>
      </c>
      <c r="N1090" s="1508">
        <f t="shared" si="115"/>
        <v>0</v>
      </c>
    </row>
    <row r="1091" spans="1:14" ht="31" outlineLevel="1" x14ac:dyDescent="0.25">
      <c r="A1091" s="1492">
        <f t="shared" si="116"/>
        <v>0</v>
      </c>
      <c r="B1091" s="1492" t="str">
        <f t="shared" si="116"/>
        <v>Installation of Dust Extraction system at Bunker and SCR buildings</v>
      </c>
      <c r="C1091" s="1488">
        <f t="shared" si="116"/>
        <v>0</v>
      </c>
      <c r="D1091" s="1413" t="str">
        <f t="shared" si="116"/>
        <v>-</v>
      </c>
      <c r="E1091" s="560">
        <f t="shared" si="116"/>
        <v>5</v>
      </c>
      <c r="F1091" s="1508">
        <f t="shared" si="111"/>
        <v>0</v>
      </c>
      <c r="G1091" s="1508">
        <f t="shared" si="112"/>
        <v>0</v>
      </c>
      <c r="H1091" s="1508">
        <f t="shared" si="113"/>
        <v>0</v>
      </c>
      <c r="I1091" s="1480">
        <v>0</v>
      </c>
      <c r="J1091" s="1480">
        <v>0</v>
      </c>
      <c r="K1091" s="1508"/>
      <c r="L1091" s="1508"/>
      <c r="M1091" s="1509">
        <f t="shared" si="114"/>
        <v>0</v>
      </c>
      <c r="N1091" s="1508">
        <f t="shared" si="115"/>
        <v>0</v>
      </c>
    </row>
    <row r="1092" spans="1:14" ht="77.5" outlineLevel="1" x14ac:dyDescent="0.25">
      <c r="A1092" s="1486">
        <f t="shared" si="116"/>
        <v>2</v>
      </c>
      <c r="B1092" s="1491" t="str">
        <f t="shared" si="116"/>
        <v>Upgradation of BC-9A &amp; BC-9C, Aerial Ropeway System 1 &amp; 2 &amp; BC-L1,L2 &amp; L3, Upgradation of Junction Tower-1 Hopper and Bunkering Trippers, Providing and Installation of Hopper Grills of Wagon Tippler-169 &amp; 170, Road Hopper, DT Ho[pper and DRCC Grills</v>
      </c>
      <c r="C1092" s="1488">
        <f t="shared" si="116"/>
        <v>0</v>
      </c>
      <c r="D1092" s="1413" t="str">
        <f t="shared" si="116"/>
        <v>-</v>
      </c>
      <c r="E1092" s="560">
        <f t="shared" si="116"/>
        <v>33</v>
      </c>
      <c r="F1092" s="1508">
        <f t="shared" si="111"/>
        <v>0</v>
      </c>
      <c r="G1092" s="1508">
        <f t="shared" si="112"/>
        <v>0</v>
      </c>
      <c r="H1092" s="1508">
        <f t="shared" si="113"/>
        <v>0</v>
      </c>
      <c r="I1092" s="1480">
        <v>0</v>
      </c>
      <c r="J1092" s="1480">
        <v>0</v>
      </c>
      <c r="K1092" s="1508"/>
      <c r="L1092" s="1508"/>
      <c r="M1092" s="1509">
        <f t="shared" si="114"/>
        <v>0</v>
      </c>
      <c r="N1092" s="1508">
        <f t="shared" si="115"/>
        <v>0</v>
      </c>
    </row>
    <row r="1093" spans="1:14" ht="31" outlineLevel="1" x14ac:dyDescent="0.25">
      <c r="A1093" s="1492">
        <f t="shared" si="116"/>
        <v>0</v>
      </c>
      <c r="B1093" s="1492" t="str">
        <f t="shared" si="116"/>
        <v>Upgradation of BC-9A &amp; BC-9C for converting 1000 mm to 1200 mm along with Gantry structure replacement</v>
      </c>
      <c r="C1093" s="1488">
        <f t="shared" si="116"/>
        <v>0</v>
      </c>
      <c r="D1093" s="1413" t="str">
        <f t="shared" si="116"/>
        <v>-</v>
      </c>
      <c r="E1093" s="560">
        <f t="shared" si="116"/>
        <v>12</v>
      </c>
      <c r="F1093" s="1508">
        <f t="shared" si="111"/>
        <v>0</v>
      </c>
      <c r="G1093" s="1508">
        <f t="shared" si="112"/>
        <v>0</v>
      </c>
      <c r="H1093" s="1508">
        <f t="shared" si="113"/>
        <v>0</v>
      </c>
      <c r="I1093" s="1480">
        <v>0</v>
      </c>
      <c r="J1093" s="1480">
        <v>0</v>
      </c>
      <c r="K1093" s="1508"/>
      <c r="L1093" s="1508"/>
      <c r="M1093" s="1509">
        <f t="shared" si="114"/>
        <v>0</v>
      </c>
      <c r="N1093" s="1508">
        <f t="shared" si="115"/>
        <v>0</v>
      </c>
    </row>
    <row r="1094" spans="1:14" ht="15.5" outlineLevel="1" x14ac:dyDescent="0.25">
      <c r="A1094" s="1492">
        <f t="shared" si="116"/>
        <v>0</v>
      </c>
      <c r="B1094" s="1492" t="str">
        <f t="shared" si="116"/>
        <v>Upgradation of Aerial Ropeway System 1 &amp; 2 &amp; BC-L1,L2 &amp; L3</v>
      </c>
      <c r="C1094" s="1488">
        <f t="shared" si="116"/>
        <v>0</v>
      </c>
      <c r="D1094" s="1413" t="str">
        <f t="shared" si="116"/>
        <v>-</v>
      </c>
      <c r="E1094" s="560">
        <f t="shared" si="116"/>
        <v>10</v>
      </c>
      <c r="F1094" s="1508">
        <f t="shared" si="111"/>
        <v>0</v>
      </c>
      <c r="G1094" s="1508">
        <f t="shared" si="112"/>
        <v>0</v>
      </c>
      <c r="H1094" s="1508">
        <f t="shared" si="113"/>
        <v>0</v>
      </c>
      <c r="I1094" s="1480">
        <v>0</v>
      </c>
      <c r="J1094" s="1480">
        <v>0</v>
      </c>
      <c r="K1094" s="1508"/>
      <c r="L1094" s="1508"/>
      <c r="M1094" s="1509">
        <f t="shared" si="114"/>
        <v>0</v>
      </c>
      <c r="N1094" s="1508">
        <f t="shared" si="115"/>
        <v>0</v>
      </c>
    </row>
    <row r="1095" spans="1:14" ht="31" outlineLevel="1" x14ac:dyDescent="0.25">
      <c r="A1095" s="1492">
        <f t="shared" si="116"/>
        <v>0</v>
      </c>
      <c r="B1095" s="1492" t="str">
        <f t="shared" si="116"/>
        <v>Upgradation of Junction Tower-1 Hopper and Bunkering Trippers</v>
      </c>
      <c r="C1095" s="1488">
        <f t="shared" si="116"/>
        <v>0</v>
      </c>
      <c r="D1095" s="1413" t="str">
        <f t="shared" si="116"/>
        <v>-</v>
      </c>
      <c r="E1095" s="560">
        <f t="shared" si="116"/>
        <v>5.5</v>
      </c>
      <c r="F1095" s="1508">
        <f t="shared" si="111"/>
        <v>0</v>
      </c>
      <c r="G1095" s="1508">
        <f t="shared" si="112"/>
        <v>0</v>
      </c>
      <c r="H1095" s="1508">
        <f t="shared" si="113"/>
        <v>0</v>
      </c>
      <c r="I1095" s="1480">
        <v>0</v>
      </c>
      <c r="J1095" s="1480">
        <v>0</v>
      </c>
      <c r="K1095" s="1508"/>
      <c r="L1095" s="1508"/>
      <c r="M1095" s="1509">
        <f t="shared" si="114"/>
        <v>0</v>
      </c>
      <c r="N1095" s="1508">
        <f t="shared" si="115"/>
        <v>0</v>
      </c>
    </row>
    <row r="1096" spans="1:14" ht="31" outlineLevel="1" x14ac:dyDescent="0.25">
      <c r="A1096" s="1492">
        <f t="shared" ref="A1096:E1111" si="117">A426</f>
        <v>0</v>
      </c>
      <c r="B1096" s="1492" t="str">
        <f t="shared" si="117"/>
        <v>Providing and Installation of Hopper Grills of Wagon Tippler-169 &amp; 170, Road Hopper, DT Ho[pper and DRCC Grills</v>
      </c>
      <c r="C1096" s="1488">
        <f t="shared" si="117"/>
        <v>0</v>
      </c>
      <c r="D1096" s="1413" t="str">
        <f t="shared" si="117"/>
        <v>-</v>
      </c>
      <c r="E1096" s="560">
        <f t="shared" si="117"/>
        <v>5.5</v>
      </c>
      <c r="F1096" s="1508">
        <f t="shared" si="111"/>
        <v>0</v>
      </c>
      <c r="G1096" s="1508">
        <f t="shared" si="112"/>
        <v>0</v>
      </c>
      <c r="H1096" s="1508">
        <f t="shared" si="113"/>
        <v>0</v>
      </c>
      <c r="I1096" s="1480">
        <v>0</v>
      </c>
      <c r="J1096" s="1480">
        <v>0</v>
      </c>
      <c r="K1096" s="1508"/>
      <c r="L1096" s="1508"/>
      <c r="M1096" s="1509">
        <f t="shared" si="114"/>
        <v>0</v>
      </c>
      <c r="N1096" s="1508">
        <f t="shared" si="115"/>
        <v>0</v>
      </c>
    </row>
    <row r="1097" spans="1:14" ht="31" outlineLevel="1" x14ac:dyDescent="0.25">
      <c r="A1097" s="1486">
        <f t="shared" si="117"/>
        <v>3</v>
      </c>
      <c r="B1097" s="1491" t="str">
        <f t="shared" si="117"/>
        <v>DPR for Bulldozer, Locomotives, Tunnel conveyors, Augur machines</v>
      </c>
      <c r="C1097" s="1488">
        <f t="shared" si="117"/>
        <v>0</v>
      </c>
      <c r="D1097" s="1413" t="str">
        <f t="shared" si="117"/>
        <v>-</v>
      </c>
      <c r="E1097" s="560">
        <f t="shared" si="117"/>
        <v>32</v>
      </c>
      <c r="F1097" s="1508">
        <f t="shared" si="111"/>
        <v>0</v>
      </c>
      <c r="G1097" s="1508">
        <f t="shared" si="112"/>
        <v>0</v>
      </c>
      <c r="H1097" s="1508">
        <f t="shared" si="113"/>
        <v>0</v>
      </c>
      <c r="I1097" s="1480">
        <v>0</v>
      </c>
      <c r="J1097" s="1480">
        <v>0</v>
      </c>
      <c r="K1097" s="1508"/>
      <c r="L1097" s="1508"/>
      <c r="M1097" s="1509">
        <f t="shared" si="114"/>
        <v>0</v>
      </c>
      <c r="N1097" s="1508">
        <f t="shared" si="115"/>
        <v>0</v>
      </c>
    </row>
    <row r="1098" spans="1:14" ht="15.5" outlineLevel="1" x14ac:dyDescent="0.25">
      <c r="A1098" s="1492">
        <f t="shared" si="117"/>
        <v>0</v>
      </c>
      <c r="B1098" s="1492" t="str">
        <f t="shared" si="117"/>
        <v>Procurement of 4 Numbers Bulldozers</v>
      </c>
      <c r="C1098" s="1488">
        <f t="shared" si="117"/>
        <v>0</v>
      </c>
      <c r="D1098" s="1413" t="str">
        <f t="shared" si="117"/>
        <v>-</v>
      </c>
      <c r="E1098" s="560">
        <f t="shared" si="117"/>
        <v>12</v>
      </c>
      <c r="F1098" s="1508">
        <f t="shared" si="111"/>
        <v>0</v>
      </c>
      <c r="G1098" s="1508">
        <f t="shared" si="112"/>
        <v>0</v>
      </c>
      <c r="H1098" s="1508">
        <f t="shared" si="113"/>
        <v>0</v>
      </c>
      <c r="I1098" s="1480">
        <v>0</v>
      </c>
      <c r="J1098" s="1480">
        <v>0</v>
      </c>
      <c r="K1098" s="1508"/>
      <c r="L1098" s="1508"/>
      <c r="M1098" s="1509">
        <f t="shared" si="114"/>
        <v>0</v>
      </c>
      <c r="N1098" s="1508">
        <f t="shared" si="115"/>
        <v>0</v>
      </c>
    </row>
    <row r="1099" spans="1:14" ht="15.5" outlineLevel="1" x14ac:dyDescent="0.25">
      <c r="A1099" s="1492">
        <f t="shared" si="117"/>
        <v>0</v>
      </c>
      <c r="B1099" s="1492" t="str">
        <f t="shared" si="117"/>
        <v>Procurement of 2 Numbers 800 HP Locomotives</v>
      </c>
      <c r="C1099" s="1488">
        <f t="shared" si="117"/>
        <v>0</v>
      </c>
      <c r="D1099" s="1413" t="str">
        <f t="shared" si="117"/>
        <v>-</v>
      </c>
      <c r="E1099" s="560">
        <f t="shared" si="117"/>
        <v>9</v>
      </c>
      <c r="F1099" s="1508">
        <f t="shared" si="111"/>
        <v>0</v>
      </c>
      <c r="G1099" s="1508">
        <f t="shared" si="112"/>
        <v>0</v>
      </c>
      <c r="H1099" s="1508">
        <f t="shared" si="113"/>
        <v>0</v>
      </c>
      <c r="I1099" s="1480">
        <v>0</v>
      </c>
      <c r="J1099" s="1480">
        <v>0</v>
      </c>
      <c r="K1099" s="1508"/>
      <c r="L1099" s="1508"/>
      <c r="M1099" s="1509">
        <f t="shared" si="114"/>
        <v>0</v>
      </c>
      <c r="N1099" s="1508">
        <f t="shared" si="115"/>
        <v>0</v>
      </c>
    </row>
    <row r="1100" spans="1:14" ht="31" outlineLevel="1" x14ac:dyDescent="0.25">
      <c r="A1100" s="1492">
        <f t="shared" si="117"/>
        <v>0</v>
      </c>
      <c r="B1100" s="1492" t="str">
        <f t="shared" si="117"/>
        <v>Upgradation of Tunnel conveyors BC-1AB, BC-4AB, BC-3, BC-5AB &amp; BC-21B</v>
      </c>
      <c r="C1100" s="1488">
        <f t="shared" si="117"/>
        <v>0</v>
      </c>
      <c r="D1100" s="1413" t="str">
        <f t="shared" si="117"/>
        <v>-</v>
      </c>
      <c r="E1100" s="560">
        <f t="shared" si="117"/>
        <v>5</v>
      </c>
      <c r="F1100" s="1508">
        <f t="shared" si="111"/>
        <v>0</v>
      </c>
      <c r="G1100" s="1508">
        <f t="shared" si="112"/>
        <v>0</v>
      </c>
      <c r="H1100" s="1508">
        <f t="shared" si="113"/>
        <v>0</v>
      </c>
      <c r="I1100" s="1480">
        <v>0</v>
      </c>
      <c r="J1100" s="1480">
        <v>0</v>
      </c>
      <c r="K1100" s="1508"/>
      <c r="L1100" s="1508"/>
      <c r="M1100" s="1509">
        <f t="shared" si="114"/>
        <v>0</v>
      </c>
      <c r="N1100" s="1508">
        <f t="shared" si="115"/>
        <v>0</v>
      </c>
    </row>
    <row r="1101" spans="1:14" ht="31" outlineLevel="1" x14ac:dyDescent="0.25">
      <c r="A1101" s="1492">
        <f t="shared" si="117"/>
        <v>0</v>
      </c>
      <c r="B1101" s="1492" t="str">
        <f t="shared" si="117"/>
        <v>Procurement of 4 Numbers Mobile Coal sampling Equipments (Augur Machines)</v>
      </c>
      <c r="C1101" s="1488">
        <f t="shared" si="117"/>
        <v>0</v>
      </c>
      <c r="D1101" s="1413" t="str">
        <f t="shared" si="117"/>
        <v>-</v>
      </c>
      <c r="E1101" s="560">
        <f t="shared" si="117"/>
        <v>6</v>
      </c>
      <c r="F1101" s="1508">
        <f t="shared" si="111"/>
        <v>0</v>
      </c>
      <c r="G1101" s="1508">
        <f t="shared" si="112"/>
        <v>0</v>
      </c>
      <c r="H1101" s="1508">
        <f t="shared" si="113"/>
        <v>0</v>
      </c>
      <c r="I1101" s="1480">
        <v>0</v>
      </c>
      <c r="J1101" s="1480">
        <v>0</v>
      </c>
      <c r="K1101" s="1508"/>
      <c r="L1101" s="1508"/>
      <c r="M1101" s="1509">
        <f t="shared" si="114"/>
        <v>0</v>
      </c>
      <c r="N1101" s="1508">
        <f t="shared" si="115"/>
        <v>0</v>
      </c>
    </row>
    <row r="1102" spans="1:14" ht="15.5" outlineLevel="1" x14ac:dyDescent="0.25">
      <c r="A1102" s="1504">
        <f t="shared" si="117"/>
        <v>0</v>
      </c>
      <c r="B1102" s="1504" t="str">
        <f t="shared" si="117"/>
        <v>Boiler Maintenance -II</v>
      </c>
      <c r="C1102" s="1488">
        <f t="shared" si="117"/>
        <v>0</v>
      </c>
      <c r="D1102" s="1413" t="str">
        <f t="shared" si="117"/>
        <v>-</v>
      </c>
      <c r="E1102" s="560">
        <f t="shared" si="117"/>
        <v>0</v>
      </c>
      <c r="F1102" s="1508">
        <f t="shared" si="111"/>
        <v>0</v>
      </c>
      <c r="G1102" s="1508">
        <f t="shared" si="112"/>
        <v>0</v>
      </c>
      <c r="H1102" s="1508">
        <f t="shared" si="113"/>
        <v>0</v>
      </c>
      <c r="I1102" s="1480">
        <v>0</v>
      </c>
      <c r="J1102" s="1480">
        <v>0</v>
      </c>
      <c r="K1102" s="1508"/>
      <c r="L1102" s="1508"/>
      <c r="M1102" s="1509">
        <f t="shared" si="114"/>
        <v>0</v>
      </c>
      <c r="N1102" s="1508">
        <f t="shared" si="115"/>
        <v>0</v>
      </c>
    </row>
    <row r="1103" spans="1:14" ht="31" outlineLevel="1" x14ac:dyDescent="0.25">
      <c r="A1103" s="1486">
        <f t="shared" si="117"/>
        <v>1</v>
      </c>
      <c r="B1103" s="1491" t="str">
        <f t="shared" si="117"/>
        <v xml:space="preserve">Up  Gradation of existing volumetric belt type coal feeders to gravimetric rotary weigh coal feeder of U-5 &amp; 6 at CSTPS </v>
      </c>
      <c r="C1103" s="1488">
        <f t="shared" si="117"/>
        <v>0</v>
      </c>
      <c r="D1103" s="1413" t="str">
        <f t="shared" si="117"/>
        <v>-</v>
      </c>
      <c r="E1103" s="560">
        <f t="shared" si="117"/>
        <v>85.69</v>
      </c>
      <c r="F1103" s="1508">
        <f t="shared" si="111"/>
        <v>0</v>
      </c>
      <c r="G1103" s="1508">
        <f t="shared" si="112"/>
        <v>0</v>
      </c>
      <c r="H1103" s="1508">
        <f t="shared" si="113"/>
        <v>0</v>
      </c>
      <c r="I1103" s="1480">
        <v>0</v>
      </c>
      <c r="J1103" s="1480">
        <v>0</v>
      </c>
      <c r="K1103" s="1508"/>
      <c r="L1103" s="1508"/>
      <c r="M1103" s="1509">
        <f t="shared" si="114"/>
        <v>0</v>
      </c>
      <c r="N1103" s="1508">
        <f t="shared" si="115"/>
        <v>0</v>
      </c>
    </row>
    <row r="1104" spans="1:14" ht="31" outlineLevel="1" x14ac:dyDescent="0.25">
      <c r="A1104" s="1492">
        <f t="shared" si="117"/>
        <v>0</v>
      </c>
      <c r="B1104" s="1492" t="str">
        <f t="shared" si="117"/>
        <v xml:space="preserve">Up  Gradation of existing volumetric belt type coal feeders to gravimetric rotary weigh coal feeder of U-5 &amp; 6 at CSTPS </v>
      </c>
      <c r="C1104" s="1488">
        <f t="shared" si="117"/>
        <v>0</v>
      </c>
      <c r="D1104" s="1413" t="str">
        <f t="shared" si="117"/>
        <v>-</v>
      </c>
      <c r="E1104" s="560">
        <f t="shared" si="117"/>
        <v>85.679999999999993</v>
      </c>
      <c r="F1104" s="1508">
        <f t="shared" si="111"/>
        <v>0</v>
      </c>
      <c r="G1104" s="1508">
        <f t="shared" si="112"/>
        <v>0</v>
      </c>
      <c r="H1104" s="1508">
        <f t="shared" si="113"/>
        <v>0</v>
      </c>
      <c r="I1104" s="1480">
        <v>0</v>
      </c>
      <c r="J1104" s="1480">
        <v>0</v>
      </c>
      <c r="K1104" s="1508"/>
      <c r="L1104" s="1508"/>
      <c r="M1104" s="1509">
        <f t="shared" si="114"/>
        <v>0</v>
      </c>
      <c r="N1104" s="1508">
        <f t="shared" si="115"/>
        <v>0</v>
      </c>
    </row>
    <row r="1105" spans="1:14" ht="62" outlineLevel="1" x14ac:dyDescent="0.25">
      <c r="A1105" s="1486">
        <f t="shared" si="117"/>
        <v>2</v>
      </c>
      <c r="B1105" s="1491" t="str">
        <f t="shared" si="117"/>
        <v>DPR for the Work of Modification of existing coal bunker and commissioning of bunker chute assembly with vibrating motor to avoid bunker mouth coal choke up for Unit 5 &amp;6 at CSTPS, Chandrapur.</v>
      </c>
      <c r="C1105" s="1488">
        <f t="shared" si="117"/>
        <v>0</v>
      </c>
      <c r="D1105" s="1413" t="str">
        <f t="shared" si="117"/>
        <v>-</v>
      </c>
      <c r="E1105" s="560">
        <f t="shared" si="117"/>
        <v>32.28</v>
      </c>
      <c r="F1105" s="1508">
        <f t="shared" si="111"/>
        <v>0</v>
      </c>
      <c r="G1105" s="1508">
        <f t="shared" si="112"/>
        <v>0</v>
      </c>
      <c r="H1105" s="1508">
        <f t="shared" si="113"/>
        <v>0</v>
      </c>
      <c r="I1105" s="1480">
        <v>0</v>
      </c>
      <c r="J1105" s="1480">
        <v>0</v>
      </c>
      <c r="K1105" s="1508"/>
      <c r="L1105" s="1508"/>
      <c r="M1105" s="1509">
        <f t="shared" si="114"/>
        <v>0</v>
      </c>
      <c r="N1105" s="1508">
        <f t="shared" si="115"/>
        <v>0</v>
      </c>
    </row>
    <row r="1106" spans="1:14" ht="62" outlineLevel="1" x14ac:dyDescent="0.25">
      <c r="A1106" s="1492">
        <f t="shared" si="117"/>
        <v>0</v>
      </c>
      <c r="B1106" s="1492" t="str">
        <f t="shared" si="117"/>
        <v>DPR for the Work of Modification of existing coal bunker and commissioning of bunker chute assembly with vibrating motor to avoid bunker mouth coal choke up for Unit 5 &amp;6 at CSTPS, Chandrapur.</v>
      </c>
      <c r="C1106" s="1488">
        <f t="shared" si="117"/>
        <v>0</v>
      </c>
      <c r="D1106" s="1413" t="str">
        <f t="shared" si="117"/>
        <v>-</v>
      </c>
      <c r="E1106" s="560">
        <f t="shared" si="117"/>
        <v>32.28</v>
      </c>
      <c r="F1106" s="1508">
        <f t="shared" si="111"/>
        <v>0</v>
      </c>
      <c r="G1106" s="1508">
        <f t="shared" si="112"/>
        <v>0</v>
      </c>
      <c r="H1106" s="1508">
        <f t="shared" si="113"/>
        <v>0</v>
      </c>
      <c r="I1106" s="1480">
        <v>0</v>
      </c>
      <c r="J1106" s="1480">
        <v>0</v>
      </c>
      <c r="K1106" s="1508"/>
      <c r="L1106" s="1508"/>
      <c r="M1106" s="1509">
        <f t="shared" si="114"/>
        <v>0</v>
      </c>
      <c r="N1106" s="1508">
        <f t="shared" si="115"/>
        <v>0</v>
      </c>
    </row>
    <row r="1107" spans="1:14" ht="31" outlineLevel="1" x14ac:dyDescent="0.25">
      <c r="A1107" s="1486">
        <f t="shared" si="117"/>
        <v>3</v>
      </c>
      <c r="B1107" s="1491" t="str">
        <f t="shared" si="117"/>
        <v>DPR for  Supply &amp; Replacment of Boiler Thermal Insulation Unit 5 &amp;6, 7 at CSTPS, Chandrapur.</v>
      </c>
      <c r="C1107" s="1488">
        <f t="shared" si="117"/>
        <v>0</v>
      </c>
      <c r="D1107" s="1413" t="str">
        <f t="shared" si="117"/>
        <v>-</v>
      </c>
      <c r="E1107" s="560">
        <f t="shared" si="117"/>
        <v>30</v>
      </c>
      <c r="F1107" s="1508">
        <f t="shared" si="111"/>
        <v>0</v>
      </c>
      <c r="G1107" s="1508">
        <f t="shared" si="112"/>
        <v>0</v>
      </c>
      <c r="H1107" s="1508">
        <f t="shared" si="113"/>
        <v>0</v>
      </c>
      <c r="I1107" s="1480">
        <v>0</v>
      </c>
      <c r="J1107" s="1480">
        <v>0</v>
      </c>
      <c r="K1107" s="1508"/>
      <c r="L1107" s="1508"/>
      <c r="M1107" s="1509">
        <f t="shared" si="114"/>
        <v>0</v>
      </c>
      <c r="N1107" s="1508">
        <f t="shared" si="115"/>
        <v>0</v>
      </c>
    </row>
    <row r="1108" spans="1:14" ht="31" outlineLevel="1" x14ac:dyDescent="0.25">
      <c r="A1108" s="1492">
        <f t="shared" si="117"/>
        <v>0</v>
      </c>
      <c r="B1108" s="1492" t="str">
        <f t="shared" si="117"/>
        <v>DPR for  Supply &amp; Replacment of Boiler Thermal Insulation Unit 5 &amp;6, 7 at CSTPS, Chandrapur.</v>
      </c>
      <c r="C1108" s="1488">
        <f t="shared" si="117"/>
        <v>0</v>
      </c>
      <c r="D1108" s="1413" t="str">
        <f t="shared" si="117"/>
        <v>-</v>
      </c>
      <c r="E1108" s="560">
        <f t="shared" si="117"/>
        <v>30</v>
      </c>
      <c r="F1108" s="1508">
        <f t="shared" si="111"/>
        <v>0</v>
      </c>
      <c r="G1108" s="1508">
        <f t="shared" si="112"/>
        <v>0</v>
      </c>
      <c r="H1108" s="1508">
        <f t="shared" si="113"/>
        <v>0</v>
      </c>
      <c r="I1108" s="1480">
        <v>0</v>
      </c>
      <c r="J1108" s="1480">
        <v>0</v>
      </c>
      <c r="K1108" s="1508"/>
      <c r="L1108" s="1508"/>
      <c r="M1108" s="1509">
        <f t="shared" si="114"/>
        <v>0</v>
      </c>
      <c r="N1108" s="1508">
        <f t="shared" si="115"/>
        <v>0</v>
      </c>
    </row>
    <row r="1109" spans="1:14" ht="62" outlineLevel="1" x14ac:dyDescent="0.25">
      <c r="A1109" s="1486">
        <f t="shared" si="117"/>
        <v>4</v>
      </c>
      <c r="B1109" s="1491" t="str">
        <f t="shared" si="117"/>
        <v>Detailed Project Report for Manufacturing, supply and application of wear resistance liners for Coal Mill XRP-1043 and Procurement of Complete Gear box for Coal Mill XRP-1043, ID Fan impeller and sub assembly for Unit 5 &amp; 6 At CSTPS, Chandrapur.</v>
      </c>
      <c r="C1109" s="1488">
        <f t="shared" si="117"/>
        <v>0</v>
      </c>
      <c r="D1109" s="1413" t="str">
        <f t="shared" si="117"/>
        <v>-</v>
      </c>
      <c r="E1109" s="560">
        <f t="shared" si="117"/>
        <v>25</v>
      </c>
      <c r="F1109" s="1508">
        <f t="shared" si="111"/>
        <v>0</v>
      </c>
      <c r="G1109" s="1508">
        <f t="shared" si="112"/>
        <v>0</v>
      </c>
      <c r="H1109" s="1508">
        <f t="shared" si="113"/>
        <v>0</v>
      </c>
      <c r="I1109" s="1480">
        <v>0</v>
      </c>
      <c r="J1109" s="1480">
        <v>0</v>
      </c>
      <c r="K1109" s="1508"/>
      <c r="L1109" s="1508"/>
      <c r="M1109" s="1509">
        <f t="shared" si="114"/>
        <v>0</v>
      </c>
      <c r="N1109" s="1508">
        <f t="shared" si="115"/>
        <v>0</v>
      </c>
    </row>
    <row r="1110" spans="1:14" ht="77.5" outlineLevel="1" x14ac:dyDescent="0.25">
      <c r="A1110" s="1492">
        <f t="shared" si="117"/>
        <v>0</v>
      </c>
      <c r="B1110" s="1492" t="str">
        <f t="shared" si="117"/>
        <v>Detailed Project Report for Manufacturing, supply and application of wear resistance liners for Coal Mill XRP-1043 and Procurement of Complete Gear box for Coal Mill XRP-1043, ID Fan impeller and sub assembly for Unit 5 &amp; 6 At CSTPS, Chandrapur.</v>
      </c>
      <c r="C1110" s="1488">
        <f t="shared" si="117"/>
        <v>0</v>
      </c>
      <c r="D1110" s="1413" t="str">
        <f t="shared" si="117"/>
        <v>-</v>
      </c>
      <c r="E1110" s="560">
        <f t="shared" si="117"/>
        <v>25</v>
      </c>
      <c r="F1110" s="1508">
        <f t="shared" si="111"/>
        <v>0</v>
      </c>
      <c r="G1110" s="1508">
        <f t="shared" si="112"/>
        <v>0</v>
      </c>
      <c r="H1110" s="1508">
        <f t="shared" si="113"/>
        <v>0</v>
      </c>
      <c r="I1110" s="1480">
        <v>0</v>
      </c>
      <c r="J1110" s="1480">
        <v>0</v>
      </c>
      <c r="K1110" s="1508"/>
      <c r="L1110" s="1508"/>
      <c r="M1110" s="1509">
        <f t="shared" si="114"/>
        <v>0</v>
      </c>
      <c r="N1110" s="1508">
        <f t="shared" si="115"/>
        <v>0</v>
      </c>
    </row>
    <row r="1111" spans="1:14" ht="31" outlineLevel="1" x14ac:dyDescent="0.25">
      <c r="A1111" s="1486">
        <f t="shared" si="117"/>
        <v>5</v>
      </c>
      <c r="B1111" s="1491" t="str">
        <f t="shared" si="117"/>
        <v>DPR for Modification and Restoration of Eco. outlet to ESP inlet duct of Unit -6 (500MW) CSTPS, Chandrapur .</v>
      </c>
      <c r="C1111" s="1488">
        <f t="shared" si="117"/>
        <v>0</v>
      </c>
      <c r="D1111" s="1413" t="str">
        <f t="shared" si="117"/>
        <v>-</v>
      </c>
      <c r="E1111" s="560">
        <f t="shared" si="117"/>
        <v>25</v>
      </c>
      <c r="F1111" s="1508">
        <f t="shared" si="111"/>
        <v>0</v>
      </c>
      <c r="G1111" s="1508">
        <f t="shared" si="112"/>
        <v>0</v>
      </c>
      <c r="H1111" s="1508">
        <f t="shared" si="113"/>
        <v>0</v>
      </c>
      <c r="I1111" s="1480">
        <v>0</v>
      </c>
      <c r="J1111" s="1480">
        <v>0</v>
      </c>
      <c r="K1111" s="1508"/>
      <c r="L1111" s="1508"/>
      <c r="M1111" s="1509">
        <f t="shared" si="114"/>
        <v>0</v>
      </c>
      <c r="N1111" s="1508">
        <f t="shared" si="115"/>
        <v>0</v>
      </c>
    </row>
    <row r="1112" spans="1:14" ht="31" outlineLevel="1" x14ac:dyDescent="0.25">
      <c r="A1112" s="1492">
        <f t="shared" ref="A1112:E1127" si="118">A442</f>
        <v>0</v>
      </c>
      <c r="B1112" s="1492" t="str">
        <f t="shared" si="118"/>
        <v>DPR for Modification and Restoration of Eco. outlet to ESP inlet duct of Unit -6 (500MW) CSTPS, Chandrapur .</v>
      </c>
      <c r="C1112" s="1488">
        <f t="shared" si="118"/>
        <v>0</v>
      </c>
      <c r="D1112" s="1413" t="str">
        <f t="shared" si="118"/>
        <v>-</v>
      </c>
      <c r="E1112" s="560">
        <f t="shared" si="118"/>
        <v>25</v>
      </c>
      <c r="F1112" s="1508">
        <f t="shared" si="111"/>
        <v>0</v>
      </c>
      <c r="G1112" s="1508">
        <f t="shared" si="112"/>
        <v>0</v>
      </c>
      <c r="H1112" s="1508">
        <f t="shared" si="113"/>
        <v>0</v>
      </c>
      <c r="I1112" s="1480">
        <v>0</v>
      </c>
      <c r="J1112" s="1480">
        <v>0</v>
      </c>
      <c r="K1112" s="1508"/>
      <c r="L1112" s="1508"/>
      <c r="M1112" s="1509">
        <f t="shared" si="114"/>
        <v>0</v>
      </c>
      <c r="N1112" s="1508">
        <f t="shared" si="115"/>
        <v>0</v>
      </c>
    </row>
    <row r="1113" spans="1:14" ht="108.5" outlineLevel="1" x14ac:dyDescent="0.25">
      <c r="A1113" s="1486">
        <f t="shared" si="118"/>
        <v>6</v>
      </c>
      <c r="B1113" s="1491" t="str">
        <f t="shared" si="118"/>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1113" s="1488">
        <f t="shared" si="118"/>
        <v>0</v>
      </c>
      <c r="D1113" s="1413" t="str">
        <f t="shared" si="118"/>
        <v>-</v>
      </c>
      <c r="E1113" s="560">
        <f t="shared" si="118"/>
        <v>40</v>
      </c>
      <c r="F1113" s="1508">
        <f t="shared" si="111"/>
        <v>0</v>
      </c>
      <c r="G1113" s="1508">
        <f t="shared" si="112"/>
        <v>0</v>
      </c>
      <c r="H1113" s="1508">
        <f t="shared" si="113"/>
        <v>0</v>
      </c>
      <c r="I1113" s="1480">
        <v>0</v>
      </c>
      <c r="J1113" s="1480">
        <v>0</v>
      </c>
      <c r="K1113" s="1508"/>
      <c r="L1113" s="1508"/>
      <c r="M1113" s="1509">
        <f t="shared" si="114"/>
        <v>0</v>
      </c>
      <c r="N1113" s="1508">
        <f t="shared" si="115"/>
        <v>0</v>
      </c>
    </row>
    <row r="1114" spans="1:14" ht="108.5" outlineLevel="1" x14ac:dyDescent="0.25">
      <c r="A1114" s="1492">
        <f t="shared" si="118"/>
        <v>0</v>
      </c>
      <c r="B1114" s="1492" t="str">
        <f t="shared" si="118"/>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1114" s="1488">
        <f t="shared" si="118"/>
        <v>0</v>
      </c>
      <c r="D1114" s="1413" t="str">
        <f t="shared" si="118"/>
        <v>-</v>
      </c>
      <c r="E1114" s="560">
        <f t="shared" si="118"/>
        <v>40</v>
      </c>
      <c r="F1114" s="1508">
        <f t="shared" si="111"/>
        <v>0</v>
      </c>
      <c r="G1114" s="1508">
        <f t="shared" si="112"/>
        <v>0</v>
      </c>
      <c r="H1114" s="1508">
        <f t="shared" si="113"/>
        <v>0</v>
      </c>
      <c r="I1114" s="1480">
        <v>0</v>
      </c>
      <c r="J1114" s="1480">
        <v>0</v>
      </c>
      <c r="K1114" s="1508"/>
      <c r="L1114" s="1508"/>
      <c r="M1114" s="1509">
        <f t="shared" si="114"/>
        <v>0</v>
      </c>
      <c r="N1114" s="1508">
        <f t="shared" si="115"/>
        <v>0</v>
      </c>
    </row>
    <row r="1115" spans="1:14" ht="46.5" outlineLevel="1" x14ac:dyDescent="0.25">
      <c r="A1115" s="1486">
        <f t="shared" si="118"/>
        <v>7</v>
      </c>
      <c r="B1115" s="1491" t="str">
        <f t="shared" si="118"/>
        <v>DPR for Supply &amp; Replacement of Divisional Panels in Boiler Unit 5,6 &amp; 7 and Economizer upper coil assembly in Unit 5 &amp; 6 CSTPS, Chandrapur.</v>
      </c>
      <c r="C1115" s="1488">
        <f t="shared" si="118"/>
        <v>0</v>
      </c>
      <c r="D1115" s="1413" t="str">
        <f t="shared" si="118"/>
        <v>-</v>
      </c>
      <c r="E1115" s="560">
        <f t="shared" si="118"/>
        <v>40</v>
      </c>
      <c r="F1115" s="1508">
        <f t="shared" si="111"/>
        <v>0</v>
      </c>
      <c r="G1115" s="1508">
        <f t="shared" si="112"/>
        <v>0</v>
      </c>
      <c r="H1115" s="1508">
        <f t="shared" si="113"/>
        <v>0</v>
      </c>
      <c r="I1115" s="1480">
        <v>0</v>
      </c>
      <c r="J1115" s="1480">
        <v>0</v>
      </c>
      <c r="K1115" s="1508"/>
      <c r="L1115" s="1508"/>
      <c r="M1115" s="1509">
        <f t="shared" si="114"/>
        <v>0</v>
      </c>
      <c r="N1115" s="1508">
        <f t="shared" si="115"/>
        <v>0</v>
      </c>
    </row>
    <row r="1116" spans="1:14" ht="46.5" outlineLevel="1" x14ac:dyDescent="0.25">
      <c r="A1116" s="1492">
        <f t="shared" si="118"/>
        <v>0</v>
      </c>
      <c r="B1116" s="1492" t="str">
        <f t="shared" si="118"/>
        <v>DPR for Supply &amp; Replacement of Divisional Panels in Boiler Unit 5,6 &amp; 7 and Economizer upper coil assembly in Unit 5 &amp; 6 CSTPS, Chandrapur.</v>
      </c>
      <c r="C1116" s="1488">
        <f t="shared" si="118"/>
        <v>0</v>
      </c>
      <c r="D1116" s="1413" t="str">
        <f t="shared" si="118"/>
        <v>-</v>
      </c>
      <c r="E1116" s="560">
        <f t="shared" si="118"/>
        <v>40</v>
      </c>
      <c r="F1116" s="1508">
        <f t="shared" si="111"/>
        <v>0</v>
      </c>
      <c r="G1116" s="1508">
        <f t="shared" si="112"/>
        <v>0</v>
      </c>
      <c r="H1116" s="1508">
        <f t="shared" si="113"/>
        <v>0</v>
      </c>
      <c r="I1116" s="1480">
        <v>0</v>
      </c>
      <c r="J1116" s="1480">
        <v>0</v>
      </c>
      <c r="K1116" s="1508"/>
      <c r="L1116" s="1508"/>
      <c r="M1116" s="1509">
        <f t="shared" si="114"/>
        <v>0</v>
      </c>
      <c r="N1116" s="1508">
        <f t="shared" si="115"/>
        <v>0</v>
      </c>
    </row>
    <row r="1117" spans="1:14" ht="46.5" outlineLevel="1" x14ac:dyDescent="0.25">
      <c r="A1117" s="1486">
        <f t="shared" si="118"/>
        <v>8</v>
      </c>
      <c r="B1117" s="1491" t="str">
        <f t="shared" si="118"/>
        <v>DPR for the Supply &amp; Replacement of Platen Superheater, Front Reheater in Unit-7 and Economizer middle &amp; Economizer lower coil assembly in Unit 5 &amp; 6 CSTPS, Chandrapur.</v>
      </c>
      <c r="C1117" s="1488">
        <f t="shared" si="118"/>
        <v>0</v>
      </c>
      <c r="D1117" s="1413" t="str">
        <f t="shared" si="118"/>
        <v>-</v>
      </c>
      <c r="E1117" s="560">
        <f t="shared" si="118"/>
        <v>52</v>
      </c>
      <c r="F1117" s="1508">
        <f t="shared" si="111"/>
        <v>0</v>
      </c>
      <c r="G1117" s="1508">
        <f t="shared" si="112"/>
        <v>0</v>
      </c>
      <c r="H1117" s="1508">
        <f t="shared" si="113"/>
        <v>0</v>
      </c>
      <c r="I1117" s="1480">
        <v>0</v>
      </c>
      <c r="J1117" s="1480">
        <v>0</v>
      </c>
      <c r="K1117" s="1508"/>
      <c r="L1117" s="1508"/>
      <c r="M1117" s="1509">
        <f t="shared" si="114"/>
        <v>0</v>
      </c>
      <c r="N1117" s="1508">
        <f t="shared" si="115"/>
        <v>0</v>
      </c>
    </row>
    <row r="1118" spans="1:14" ht="46.5" outlineLevel="1" x14ac:dyDescent="0.25">
      <c r="A1118" s="1492">
        <f t="shared" si="118"/>
        <v>0</v>
      </c>
      <c r="B1118" s="1492" t="str">
        <f t="shared" si="118"/>
        <v>DPR for the Supply &amp; Replacement of Platen Superheater, Front Reheater in Unit-7 and Economizer middle &amp; Economizer lower coil assembly in Unit 5 &amp; 6 CSTPS, Chandrapur.</v>
      </c>
      <c r="C1118" s="1488">
        <f t="shared" si="118"/>
        <v>0</v>
      </c>
      <c r="D1118" s="1413" t="str">
        <f t="shared" si="118"/>
        <v>-</v>
      </c>
      <c r="E1118" s="560">
        <f t="shared" si="118"/>
        <v>52</v>
      </c>
      <c r="F1118" s="1508">
        <f t="shared" si="111"/>
        <v>0</v>
      </c>
      <c r="G1118" s="1508">
        <f t="shared" si="112"/>
        <v>0</v>
      </c>
      <c r="H1118" s="1508">
        <f t="shared" si="113"/>
        <v>0</v>
      </c>
      <c r="I1118" s="1480">
        <v>0</v>
      </c>
      <c r="J1118" s="1480">
        <v>0</v>
      </c>
      <c r="K1118" s="1508"/>
      <c r="L1118" s="1508"/>
      <c r="M1118" s="1509">
        <f t="shared" si="114"/>
        <v>0</v>
      </c>
      <c r="N1118" s="1508">
        <f t="shared" si="115"/>
        <v>0</v>
      </c>
    </row>
    <row r="1119" spans="1:14" ht="31" outlineLevel="1" x14ac:dyDescent="0.25">
      <c r="A1119" s="1486">
        <f t="shared" si="118"/>
        <v>9</v>
      </c>
      <c r="B1119" s="1491" t="str">
        <f t="shared" si="118"/>
        <v>DPR for the Supply &amp; Replacement of Front &amp; Rear Reheater coil assemblies and LTSH terminal tube assembly in Boiler Unit 5 &amp; 6</v>
      </c>
      <c r="C1119" s="1488">
        <f t="shared" si="118"/>
        <v>0</v>
      </c>
      <c r="D1119" s="1413" t="str">
        <f t="shared" si="118"/>
        <v>-</v>
      </c>
      <c r="E1119" s="560">
        <f t="shared" si="118"/>
        <v>30</v>
      </c>
      <c r="F1119" s="1508">
        <f t="shared" si="111"/>
        <v>0</v>
      </c>
      <c r="G1119" s="1508">
        <f t="shared" si="112"/>
        <v>0</v>
      </c>
      <c r="H1119" s="1508">
        <f t="shared" si="113"/>
        <v>0</v>
      </c>
      <c r="I1119" s="1480">
        <v>0</v>
      </c>
      <c r="J1119" s="1480">
        <v>0</v>
      </c>
      <c r="K1119" s="1508"/>
      <c r="L1119" s="1508"/>
      <c r="M1119" s="1509">
        <f t="shared" si="114"/>
        <v>0</v>
      </c>
      <c r="N1119" s="1508">
        <f t="shared" si="115"/>
        <v>0</v>
      </c>
    </row>
    <row r="1120" spans="1:14" ht="46.5" outlineLevel="1" x14ac:dyDescent="0.25">
      <c r="A1120" s="1492">
        <f t="shared" si="118"/>
        <v>0</v>
      </c>
      <c r="B1120" s="1492" t="str">
        <f t="shared" si="118"/>
        <v xml:space="preserve">DPR for the Supply &amp; Replacement of Front &amp; Rear Reheater coil assemblies and LTSH terminal tube assembly in Boiler Unit 5 &amp; 6 . </v>
      </c>
      <c r="C1120" s="1488">
        <f t="shared" si="118"/>
        <v>0</v>
      </c>
      <c r="D1120" s="1413" t="str">
        <f t="shared" si="118"/>
        <v>-</v>
      </c>
      <c r="E1120" s="560">
        <f t="shared" si="118"/>
        <v>30</v>
      </c>
      <c r="F1120" s="1508">
        <f t="shared" si="111"/>
        <v>0</v>
      </c>
      <c r="G1120" s="1508">
        <f t="shared" si="112"/>
        <v>0</v>
      </c>
      <c r="H1120" s="1508">
        <f t="shared" si="113"/>
        <v>0</v>
      </c>
      <c r="I1120" s="1480">
        <v>0</v>
      </c>
      <c r="J1120" s="1480">
        <v>0</v>
      </c>
      <c r="K1120" s="1508"/>
      <c r="L1120" s="1508"/>
      <c r="M1120" s="1509">
        <f t="shared" si="114"/>
        <v>0</v>
      </c>
      <c r="N1120" s="1508">
        <f t="shared" si="115"/>
        <v>0</v>
      </c>
    </row>
    <row r="1121" spans="1:14" ht="46.5" outlineLevel="1" x14ac:dyDescent="0.25">
      <c r="A1121" s="1486">
        <f t="shared" si="118"/>
        <v>10</v>
      </c>
      <c r="B1121" s="1491" t="str">
        <f t="shared" si="118"/>
        <v>DPR For Coal Mill Performance Improvement and Life Enhancement of BHEL Make XRP-1043 Coal Mills in Unit 5 &amp; 6 At CSTPS, Chandrapur.</v>
      </c>
      <c r="C1121" s="1488">
        <f t="shared" si="118"/>
        <v>0</v>
      </c>
      <c r="D1121" s="1413" t="str">
        <f t="shared" si="118"/>
        <v>-</v>
      </c>
      <c r="E1121" s="560">
        <f t="shared" si="118"/>
        <v>52.62</v>
      </c>
      <c r="F1121" s="1508">
        <f t="shared" si="111"/>
        <v>0</v>
      </c>
      <c r="G1121" s="1508">
        <f t="shared" si="112"/>
        <v>0</v>
      </c>
      <c r="H1121" s="1508">
        <f t="shared" si="113"/>
        <v>0</v>
      </c>
      <c r="I1121" s="1480">
        <v>0</v>
      </c>
      <c r="J1121" s="1480">
        <v>0</v>
      </c>
      <c r="K1121" s="1508"/>
      <c r="L1121" s="1508"/>
      <c r="M1121" s="1509">
        <f t="shared" si="114"/>
        <v>0</v>
      </c>
      <c r="N1121" s="1508">
        <f t="shared" si="115"/>
        <v>0</v>
      </c>
    </row>
    <row r="1122" spans="1:14" ht="46.5" outlineLevel="1" x14ac:dyDescent="0.25">
      <c r="A1122" s="1492">
        <f t="shared" si="118"/>
        <v>0</v>
      </c>
      <c r="B1122" s="1492" t="str">
        <f t="shared" si="118"/>
        <v>DPR For Coal Mill Performance Improvement and Life Enhancement of BHEL Make XRP-1043 Coal Mills in Unit 5 &amp; 6 At CSTPS, Chandrapur.</v>
      </c>
      <c r="C1122" s="1488">
        <f t="shared" si="118"/>
        <v>0</v>
      </c>
      <c r="D1122" s="1413" t="str">
        <f t="shared" si="118"/>
        <v>-</v>
      </c>
      <c r="E1122" s="560">
        <f t="shared" si="118"/>
        <v>52.62</v>
      </c>
      <c r="F1122" s="1508">
        <f t="shared" si="111"/>
        <v>0</v>
      </c>
      <c r="G1122" s="1508">
        <f t="shared" si="112"/>
        <v>0</v>
      </c>
      <c r="H1122" s="1508">
        <f t="shared" si="113"/>
        <v>0</v>
      </c>
      <c r="I1122" s="1480">
        <v>0</v>
      </c>
      <c r="J1122" s="1480">
        <v>0</v>
      </c>
      <c r="K1122" s="1508"/>
      <c r="L1122" s="1508"/>
      <c r="M1122" s="1509">
        <f t="shared" si="114"/>
        <v>0</v>
      </c>
      <c r="N1122" s="1508">
        <f t="shared" si="115"/>
        <v>0</v>
      </c>
    </row>
    <row r="1123" spans="1:14" ht="15.5" outlineLevel="1" x14ac:dyDescent="0.25">
      <c r="A1123" s="1504">
        <f t="shared" si="118"/>
        <v>0</v>
      </c>
      <c r="B1123" s="1504" t="str">
        <f t="shared" si="118"/>
        <v>Turbine Maintenance-II</v>
      </c>
      <c r="C1123" s="1488">
        <f t="shared" si="118"/>
        <v>0</v>
      </c>
      <c r="D1123" s="1413" t="str">
        <f t="shared" si="118"/>
        <v>-</v>
      </c>
      <c r="E1123" s="560">
        <f t="shared" si="118"/>
        <v>0</v>
      </c>
      <c r="F1123" s="1508">
        <f t="shared" si="111"/>
        <v>0</v>
      </c>
      <c r="G1123" s="1508">
        <f t="shared" si="112"/>
        <v>0</v>
      </c>
      <c r="H1123" s="1508">
        <f t="shared" si="113"/>
        <v>0</v>
      </c>
      <c r="I1123" s="1480">
        <v>0</v>
      </c>
      <c r="J1123" s="1480">
        <v>0</v>
      </c>
      <c r="K1123" s="1508"/>
      <c r="L1123" s="1508"/>
      <c r="M1123" s="1509">
        <f t="shared" si="114"/>
        <v>0</v>
      </c>
      <c r="N1123" s="1508">
        <f t="shared" si="115"/>
        <v>0</v>
      </c>
    </row>
    <row r="1124" spans="1:14" ht="46.5" outlineLevel="1" x14ac:dyDescent="0.25">
      <c r="A1124" s="1486">
        <f t="shared" si="118"/>
        <v>1</v>
      </c>
      <c r="B1124" s="1491" t="str">
        <f t="shared" si="118"/>
        <v>Post facto DPR for "Urgent restoration and Life Enhancement of Unit#5 500 MW BHEL make Turbo Generator for prolonged efficient operation at Stage-III CSTPS Chandrapur"</v>
      </c>
      <c r="C1124" s="166">
        <f t="shared" si="118"/>
        <v>0</v>
      </c>
      <c r="D1124" s="1413" t="str">
        <f t="shared" si="118"/>
        <v>-</v>
      </c>
      <c r="E1124" s="560">
        <f t="shared" si="118"/>
        <v>25.42</v>
      </c>
      <c r="F1124" s="1508">
        <f t="shared" si="111"/>
        <v>0</v>
      </c>
      <c r="G1124" s="1508">
        <f t="shared" si="112"/>
        <v>0</v>
      </c>
      <c r="H1124" s="1508">
        <f t="shared" si="113"/>
        <v>0</v>
      </c>
      <c r="I1124" s="1480">
        <v>0</v>
      </c>
      <c r="J1124" s="1480">
        <v>0</v>
      </c>
      <c r="K1124" s="1508"/>
      <c r="L1124" s="1508"/>
      <c r="M1124" s="1509">
        <f t="shared" si="114"/>
        <v>0</v>
      </c>
      <c r="N1124" s="1508">
        <f t="shared" si="115"/>
        <v>0</v>
      </c>
    </row>
    <row r="1125" spans="1:14" ht="46.5" outlineLevel="1" x14ac:dyDescent="0.25">
      <c r="A1125" s="1492">
        <f t="shared" si="118"/>
        <v>0</v>
      </c>
      <c r="B1125" s="1492" t="str">
        <f t="shared" si="118"/>
        <v>Post facto DPR for "Urgent restoration and Life Enhancement of Unit#5 500 MW BHEL make Turbo Generator for prolonged efficient operation at Stage-III CSTPS Chandrapur"</v>
      </c>
      <c r="C1125" s="166">
        <f t="shared" si="118"/>
        <v>0</v>
      </c>
      <c r="D1125" s="1413" t="str">
        <f t="shared" si="118"/>
        <v>-</v>
      </c>
      <c r="E1125" s="560">
        <f t="shared" si="118"/>
        <v>25.42</v>
      </c>
      <c r="F1125" s="1508">
        <f t="shared" si="111"/>
        <v>0</v>
      </c>
      <c r="G1125" s="1508">
        <f t="shared" si="112"/>
        <v>0</v>
      </c>
      <c r="H1125" s="1508">
        <f t="shared" si="113"/>
        <v>0</v>
      </c>
      <c r="I1125" s="1480">
        <v>0</v>
      </c>
      <c r="J1125" s="1480">
        <v>0</v>
      </c>
      <c r="K1125" s="1508"/>
      <c r="L1125" s="1508"/>
      <c r="M1125" s="1509">
        <f t="shared" si="114"/>
        <v>0</v>
      </c>
      <c r="N1125" s="1508">
        <f t="shared" si="115"/>
        <v>0</v>
      </c>
    </row>
    <row r="1126" spans="1:14" ht="31" outlineLevel="1" x14ac:dyDescent="0.25">
      <c r="A1126" s="1486">
        <f t="shared" si="118"/>
        <v>2</v>
      </c>
      <c r="B1126" s="1491" t="str">
        <f t="shared" si="118"/>
        <v>Upgradation and modernization scheme for Air Washer system installed in U-5 &amp; 6, CSTPS, Chandrapur</v>
      </c>
      <c r="C1126" s="1488">
        <f t="shared" si="118"/>
        <v>0</v>
      </c>
      <c r="D1126" s="1413" t="str">
        <f t="shared" si="118"/>
        <v>-</v>
      </c>
      <c r="E1126" s="560">
        <f t="shared" si="118"/>
        <v>25</v>
      </c>
      <c r="F1126" s="1508">
        <f t="shared" si="111"/>
        <v>0</v>
      </c>
      <c r="G1126" s="1508">
        <f t="shared" si="112"/>
        <v>0</v>
      </c>
      <c r="H1126" s="1508">
        <f t="shared" si="113"/>
        <v>0</v>
      </c>
      <c r="I1126" s="1480">
        <v>0</v>
      </c>
      <c r="J1126" s="1480">
        <v>0</v>
      </c>
      <c r="K1126" s="1508"/>
      <c r="L1126" s="1508"/>
      <c r="M1126" s="1509">
        <f t="shared" si="114"/>
        <v>0</v>
      </c>
      <c r="N1126" s="1508">
        <f t="shared" si="115"/>
        <v>0</v>
      </c>
    </row>
    <row r="1127" spans="1:14" ht="46.5" outlineLevel="1" x14ac:dyDescent="0.25">
      <c r="A1127" s="1492">
        <f t="shared" si="118"/>
        <v>0</v>
      </c>
      <c r="B1127" s="1492" t="str">
        <f t="shared" si="118"/>
        <v>Design, Supply, Installation, Testing &amp; commissioning of Energy Efficient Air Washer System for Unit -5 &amp; 6, 500MW, CSTPS, Chandrapur</v>
      </c>
      <c r="C1127" s="1488">
        <f t="shared" si="118"/>
        <v>0</v>
      </c>
      <c r="D1127" s="1413" t="str">
        <f t="shared" si="118"/>
        <v>-</v>
      </c>
      <c r="E1127" s="560">
        <f t="shared" si="118"/>
        <v>25</v>
      </c>
      <c r="F1127" s="1508">
        <f t="shared" si="111"/>
        <v>0</v>
      </c>
      <c r="G1127" s="1508">
        <f t="shared" si="112"/>
        <v>0</v>
      </c>
      <c r="H1127" s="1508">
        <f t="shared" si="113"/>
        <v>0</v>
      </c>
      <c r="I1127" s="1480">
        <v>0</v>
      </c>
      <c r="J1127" s="1480">
        <v>0</v>
      </c>
      <c r="K1127" s="1508"/>
      <c r="L1127" s="1508"/>
      <c r="M1127" s="1509">
        <f t="shared" si="114"/>
        <v>0</v>
      </c>
      <c r="N1127" s="1508">
        <f t="shared" si="115"/>
        <v>0</v>
      </c>
    </row>
    <row r="1128" spans="1:14" ht="31" outlineLevel="1" x14ac:dyDescent="0.25">
      <c r="A1128" s="1486">
        <f t="shared" ref="A1128:E1143" si="119">A458</f>
        <v>3</v>
      </c>
      <c r="B1128" s="1491" t="str">
        <f t="shared" si="119"/>
        <v>Schemes for Improvement in availability &amp; performance of feed system for U-5, 6 &amp; 7, CSTPS, Chandrapur</v>
      </c>
      <c r="C1128" s="1488">
        <f t="shared" si="119"/>
        <v>0</v>
      </c>
      <c r="D1128" s="1413" t="str">
        <f t="shared" si="119"/>
        <v>-</v>
      </c>
      <c r="E1128" s="560">
        <f t="shared" si="119"/>
        <v>44.25</v>
      </c>
      <c r="F1128" s="1508">
        <f t="shared" ref="F1128:F1191" si="120">F458+I458</f>
        <v>0</v>
      </c>
      <c r="G1128" s="1508">
        <f t="shared" ref="G1128:G1191" si="121">G458+M458</f>
        <v>0</v>
      </c>
      <c r="H1128" s="1508">
        <f t="shared" si="113"/>
        <v>0</v>
      </c>
      <c r="I1128" s="1480">
        <v>0</v>
      </c>
      <c r="J1128" s="1480">
        <v>0</v>
      </c>
      <c r="K1128" s="1508"/>
      <c r="L1128" s="1508"/>
      <c r="M1128" s="1509">
        <f t="shared" si="114"/>
        <v>0</v>
      </c>
      <c r="N1128" s="1508">
        <f t="shared" si="115"/>
        <v>0</v>
      </c>
    </row>
    <row r="1129" spans="1:14" ht="31" outlineLevel="1" x14ac:dyDescent="0.25">
      <c r="A1129" s="1492">
        <f t="shared" si="119"/>
        <v>0</v>
      </c>
      <c r="B1129" s="1492" t="str">
        <f t="shared" si="119"/>
        <v>Procurement of BFP Booster Pump assembly for Unit-5, 6 &amp; 7 CSTPS Chandrapur</v>
      </c>
      <c r="C1129" s="1488">
        <f t="shared" si="119"/>
        <v>0</v>
      </c>
      <c r="D1129" s="1413" t="str">
        <f t="shared" si="119"/>
        <v>-</v>
      </c>
      <c r="E1129" s="560">
        <f t="shared" si="119"/>
        <v>7.2</v>
      </c>
      <c r="F1129" s="1508">
        <f t="shared" si="120"/>
        <v>0</v>
      </c>
      <c r="G1129" s="1508">
        <f t="shared" si="121"/>
        <v>0</v>
      </c>
      <c r="H1129" s="1508">
        <f t="shared" si="113"/>
        <v>0</v>
      </c>
      <c r="I1129" s="1480">
        <v>0</v>
      </c>
      <c r="J1129" s="1480">
        <v>0</v>
      </c>
      <c r="K1129" s="1508"/>
      <c r="L1129" s="1508"/>
      <c r="M1129" s="1509">
        <f t="shared" si="114"/>
        <v>0</v>
      </c>
      <c r="N1129" s="1508">
        <f t="shared" si="115"/>
        <v>0</v>
      </c>
    </row>
    <row r="1130" spans="1:14" ht="31" outlineLevel="1" x14ac:dyDescent="0.25">
      <c r="A1130" s="1492">
        <f t="shared" si="119"/>
        <v>0</v>
      </c>
      <c r="B1130" s="1492" t="str">
        <f t="shared" si="119"/>
        <v>Procurement of Boiler Feed Pump catridge with CI sealing for Unit- 5 &amp; 6 CSTPS Chandrapur</v>
      </c>
      <c r="C1130" s="1488">
        <f t="shared" si="119"/>
        <v>0</v>
      </c>
      <c r="D1130" s="1413" t="str">
        <f t="shared" si="119"/>
        <v>-</v>
      </c>
      <c r="E1130" s="560">
        <f t="shared" si="119"/>
        <v>11.2</v>
      </c>
      <c r="F1130" s="1508">
        <f t="shared" si="120"/>
        <v>0</v>
      </c>
      <c r="G1130" s="1508">
        <f t="shared" si="121"/>
        <v>0</v>
      </c>
      <c r="H1130" s="1508">
        <f t="shared" si="113"/>
        <v>0</v>
      </c>
      <c r="I1130" s="1480">
        <v>0</v>
      </c>
      <c r="J1130" s="1480">
        <v>0</v>
      </c>
      <c r="K1130" s="1508"/>
      <c r="L1130" s="1508"/>
      <c r="M1130" s="1509">
        <f t="shared" si="114"/>
        <v>0</v>
      </c>
      <c r="N1130" s="1508">
        <f t="shared" si="115"/>
        <v>0</v>
      </c>
    </row>
    <row r="1131" spans="1:14" ht="31" outlineLevel="1" x14ac:dyDescent="0.25">
      <c r="A1131" s="1492">
        <f t="shared" si="119"/>
        <v>0</v>
      </c>
      <c r="B1131" s="1492" t="str">
        <f t="shared" si="119"/>
        <v>Procurement of Modulating type Boiler Feed Pump Recirculation valve  assembly for 500 MW, U-5, 6 &amp; 7</v>
      </c>
      <c r="C1131" s="1488">
        <f t="shared" si="119"/>
        <v>0</v>
      </c>
      <c r="D1131" s="1413" t="str">
        <f t="shared" si="119"/>
        <v>-</v>
      </c>
      <c r="E1131" s="560">
        <f t="shared" si="119"/>
        <v>15.85</v>
      </c>
      <c r="F1131" s="1508">
        <f t="shared" si="120"/>
        <v>0</v>
      </c>
      <c r="G1131" s="1508">
        <f t="shared" si="121"/>
        <v>0</v>
      </c>
      <c r="H1131" s="1508">
        <f t="shared" si="113"/>
        <v>0</v>
      </c>
      <c r="I1131" s="1480">
        <v>0</v>
      </c>
      <c r="J1131" s="1480">
        <v>0</v>
      </c>
      <c r="K1131" s="1508"/>
      <c r="L1131" s="1508"/>
      <c r="M1131" s="1509">
        <f t="shared" si="114"/>
        <v>0</v>
      </c>
      <c r="N1131" s="1508">
        <f t="shared" si="115"/>
        <v>0</v>
      </c>
    </row>
    <row r="1132" spans="1:14" ht="31" outlineLevel="1" x14ac:dyDescent="0.25">
      <c r="A1132" s="1492">
        <f t="shared" si="119"/>
        <v>0</v>
      </c>
      <c r="B1132" s="1492" t="str">
        <f t="shared" si="119"/>
        <v>Procurement of Fully bladed dynamically balanced Rotor (along with both side coupling hub) for TDBFP Turbine</v>
      </c>
      <c r="C1132" s="1488">
        <f t="shared" si="119"/>
        <v>0</v>
      </c>
      <c r="D1132" s="1413" t="str">
        <f t="shared" si="119"/>
        <v>-</v>
      </c>
      <c r="E1132" s="560">
        <f t="shared" si="119"/>
        <v>8.5</v>
      </c>
      <c r="F1132" s="1508">
        <f t="shared" si="120"/>
        <v>0</v>
      </c>
      <c r="G1132" s="1508">
        <f t="shared" si="121"/>
        <v>0</v>
      </c>
      <c r="H1132" s="1508">
        <f t="shared" si="113"/>
        <v>0</v>
      </c>
      <c r="I1132" s="1480">
        <v>0</v>
      </c>
      <c r="J1132" s="1480">
        <v>0</v>
      </c>
      <c r="K1132" s="1508"/>
      <c r="L1132" s="1508"/>
      <c r="M1132" s="1509">
        <f t="shared" si="114"/>
        <v>0</v>
      </c>
      <c r="N1132" s="1508">
        <f t="shared" si="115"/>
        <v>0</v>
      </c>
    </row>
    <row r="1133" spans="1:14" ht="31" outlineLevel="1" x14ac:dyDescent="0.25">
      <c r="A1133" s="1492">
        <f t="shared" si="119"/>
        <v>0</v>
      </c>
      <c r="B1133" s="1492" t="str">
        <f t="shared" si="119"/>
        <v>Life enhancement and efficiency improvement of 500MW U-5 &amp; 6 TDBFP Lub System</v>
      </c>
      <c r="C1133" s="1488">
        <f t="shared" si="119"/>
        <v>0</v>
      </c>
      <c r="D1133" s="1413" t="str">
        <f t="shared" si="119"/>
        <v>-</v>
      </c>
      <c r="E1133" s="560">
        <f t="shared" si="119"/>
        <v>1.5</v>
      </c>
      <c r="F1133" s="1508">
        <f t="shared" si="120"/>
        <v>0</v>
      </c>
      <c r="G1133" s="1508">
        <f t="shared" si="121"/>
        <v>0</v>
      </c>
      <c r="H1133" s="1508">
        <f t="shared" si="113"/>
        <v>0</v>
      </c>
      <c r="I1133" s="1480">
        <v>0</v>
      </c>
      <c r="J1133" s="1480">
        <v>0</v>
      </c>
      <c r="K1133" s="1508"/>
      <c r="L1133" s="1508"/>
      <c r="M1133" s="1509">
        <f t="shared" si="114"/>
        <v>0</v>
      </c>
      <c r="N1133" s="1508">
        <f t="shared" si="115"/>
        <v>0</v>
      </c>
    </row>
    <row r="1134" spans="1:14" ht="31" outlineLevel="1" x14ac:dyDescent="0.25">
      <c r="A1134" s="1486">
        <f t="shared" si="119"/>
        <v>4</v>
      </c>
      <c r="B1134" s="1491" t="str">
        <f t="shared" si="119"/>
        <v xml:space="preserve">Life enhancement and Reliability improvement schemes of 500MW Main Turbine Assests </v>
      </c>
      <c r="C1134" s="1488">
        <f t="shared" si="119"/>
        <v>0</v>
      </c>
      <c r="D1134" s="1413" t="str">
        <f t="shared" si="119"/>
        <v>-</v>
      </c>
      <c r="E1134" s="560">
        <f t="shared" si="119"/>
        <v>36.81</v>
      </c>
      <c r="F1134" s="1508">
        <f t="shared" si="120"/>
        <v>0</v>
      </c>
      <c r="G1134" s="1508">
        <f t="shared" si="121"/>
        <v>0</v>
      </c>
      <c r="H1134" s="1508">
        <f t="shared" si="113"/>
        <v>0</v>
      </c>
      <c r="I1134" s="1480">
        <v>0</v>
      </c>
      <c r="J1134" s="1480">
        <v>0</v>
      </c>
      <c r="K1134" s="1508"/>
      <c r="L1134" s="1508"/>
      <c r="M1134" s="1509">
        <f t="shared" si="114"/>
        <v>0</v>
      </c>
      <c r="N1134" s="1508">
        <f t="shared" si="115"/>
        <v>0</v>
      </c>
    </row>
    <row r="1135" spans="1:14" ht="46.5" outlineLevel="1" x14ac:dyDescent="0.25">
      <c r="A1135" s="1492">
        <f t="shared" si="119"/>
        <v>0</v>
      </c>
      <c r="B1135" s="1492" t="str">
        <f t="shared" si="119"/>
        <v>Reliability improvement of Low pressure Turbine by maintaining one set of LP free standing blades as insurance spare</v>
      </c>
      <c r="C1135" s="1488">
        <f t="shared" si="119"/>
        <v>0</v>
      </c>
      <c r="D1135" s="1413" t="str">
        <f t="shared" si="119"/>
        <v>-</v>
      </c>
      <c r="E1135" s="560">
        <f t="shared" si="119"/>
        <v>24</v>
      </c>
      <c r="F1135" s="1508">
        <f t="shared" si="120"/>
        <v>0</v>
      </c>
      <c r="G1135" s="1508">
        <f t="shared" si="121"/>
        <v>0</v>
      </c>
      <c r="H1135" s="1508">
        <f t="shared" si="113"/>
        <v>0</v>
      </c>
      <c r="I1135" s="1480">
        <v>0</v>
      </c>
      <c r="J1135" s="1480">
        <v>0</v>
      </c>
      <c r="K1135" s="1508"/>
      <c r="L1135" s="1508"/>
      <c r="M1135" s="1509">
        <f t="shared" si="114"/>
        <v>0</v>
      </c>
      <c r="N1135" s="1508">
        <f t="shared" si="115"/>
        <v>0</v>
      </c>
    </row>
    <row r="1136" spans="1:14" ht="31" outlineLevel="1" x14ac:dyDescent="0.25">
      <c r="A1136" s="1492">
        <f t="shared" si="119"/>
        <v>0</v>
      </c>
      <c r="B1136" s="1492" t="str">
        <f t="shared" si="119"/>
        <v>Performance and efficiency improvement of 500MW U-5 &amp; 6 High Pressure Turbine module</v>
      </c>
      <c r="C1136" s="1488">
        <f t="shared" si="119"/>
        <v>0</v>
      </c>
      <c r="D1136" s="1413" t="str">
        <f t="shared" si="119"/>
        <v>-</v>
      </c>
      <c r="E1136" s="560">
        <f t="shared" si="119"/>
        <v>9.81</v>
      </c>
      <c r="F1136" s="1508">
        <f t="shared" si="120"/>
        <v>0</v>
      </c>
      <c r="G1136" s="1508">
        <f t="shared" si="121"/>
        <v>0</v>
      </c>
      <c r="H1136" s="1508">
        <f t="shared" si="113"/>
        <v>0</v>
      </c>
      <c r="I1136" s="1480">
        <v>0</v>
      </c>
      <c r="J1136" s="1480">
        <v>0</v>
      </c>
      <c r="K1136" s="1508"/>
      <c r="L1136" s="1508"/>
      <c r="M1136" s="1509">
        <f t="shared" si="114"/>
        <v>0</v>
      </c>
      <c r="N1136" s="1508">
        <f t="shared" si="115"/>
        <v>0</v>
      </c>
    </row>
    <row r="1137" spans="1:14" ht="31" outlineLevel="1" x14ac:dyDescent="0.25">
      <c r="A1137" s="1492">
        <f t="shared" si="119"/>
        <v>0</v>
      </c>
      <c r="B1137" s="1492" t="str">
        <f t="shared" si="119"/>
        <v xml:space="preserve"> Life enhancement and efficiency improvement of 500MW U-5 &amp; 6 Main TG Lub System</v>
      </c>
      <c r="C1137" s="1488">
        <f t="shared" si="119"/>
        <v>0</v>
      </c>
      <c r="D1137" s="1413" t="str">
        <f t="shared" si="119"/>
        <v>-</v>
      </c>
      <c r="E1137" s="560">
        <f t="shared" si="119"/>
        <v>3</v>
      </c>
      <c r="F1137" s="1508">
        <f t="shared" si="120"/>
        <v>0</v>
      </c>
      <c r="G1137" s="1508">
        <f t="shared" si="121"/>
        <v>0</v>
      </c>
      <c r="H1137" s="1508">
        <f t="shared" si="113"/>
        <v>0</v>
      </c>
      <c r="I1137" s="1480">
        <v>0</v>
      </c>
      <c r="J1137" s="1480">
        <v>0</v>
      </c>
      <c r="K1137" s="1508"/>
      <c r="L1137" s="1508"/>
      <c r="M1137" s="1509">
        <f t="shared" si="114"/>
        <v>0</v>
      </c>
      <c r="N1137" s="1508">
        <f t="shared" si="115"/>
        <v>0</v>
      </c>
    </row>
    <row r="1138" spans="1:14" ht="15.5" outlineLevel="1" x14ac:dyDescent="0.25">
      <c r="A1138" s="1486">
        <f t="shared" si="119"/>
        <v>5</v>
      </c>
      <c r="B1138" s="1491" t="str">
        <f t="shared" si="119"/>
        <v xml:space="preserve"> Reliability improvement of Main Turbine </v>
      </c>
      <c r="C1138" s="1488">
        <f t="shared" si="119"/>
        <v>0</v>
      </c>
      <c r="D1138" s="1413" t="str">
        <f t="shared" si="119"/>
        <v>-</v>
      </c>
      <c r="E1138" s="560">
        <f t="shared" si="119"/>
        <v>45</v>
      </c>
      <c r="F1138" s="1508">
        <f t="shared" si="120"/>
        <v>0</v>
      </c>
      <c r="G1138" s="1508">
        <f t="shared" si="121"/>
        <v>0</v>
      </c>
      <c r="H1138" s="1508">
        <f t="shared" si="113"/>
        <v>0</v>
      </c>
      <c r="I1138" s="1480">
        <v>0</v>
      </c>
      <c r="J1138" s="1480">
        <v>0</v>
      </c>
      <c r="K1138" s="1508"/>
      <c r="L1138" s="1508"/>
      <c r="M1138" s="1509">
        <f t="shared" si="114"/>
        <v>0</v>
      </c>
      <c r="N1138" s="1508">
        <f t="shared" si="115"/>
        <v>0</v>
      </c>
    </row>
    <row r="1139" spans="1:14" ht="31" outlineLevel="1" x14ac:dyDescent="0.25">
      <c r="A1139" s="1492">
        <f t="shared" si="119"/>
        <v>0</v>
      </c>
      <c r="B1139" s="1492" t="str">
        <f t="shared" si="119"/>
        <v>Brief Scope of Work; Procurement of critical spares for Main TG U-5, 6 &amp; 7</v>
      </c>
      <c r="C1139" s="1488">
        <f t="shared" si="119"/>
        <v>0</v>
      </c>
      <c r="D1139" s="1413" t="str">
        <f t="shared" si="119"/>
        <v>-</v>
      </c>
      <c r="E1139" s="560">
        <f t="shared" si="119"/>
        <v>10</v>
      </c>
      <c r="F1139" s="1508">
        <f t="shared" si="120"/>
        <v>0</v>
      </c>
      <c r="G1139" s="1508">
        <f t="shared" si="121"/>
        <v>0</v>
      </c>
      <c r="H1139" s="1508">
        <f t="shared" si="113"/>
        <v>0</v>
      </c>
      <c r="I1139" s="1480">
        <v>0</v>
      </c>
      <c r="J1139" s="1480">
        <v>0</v>
      </c>
      <c r="K1139" s="1508"/>
      <c r="L1139" s="1508"/>
      <c r="M1139" s="1509">
        <f t="shared" si="114"/>
        <v>0</v>
      </c>
      <c r="N1139" s="1508">
        <f t="shared" si="115"/>
        <v>0</v>
      </c>
    </row>
    <row r="1140" spans="1:14" ht="46.5" outlineLevel="1" x14ac:dyDescent="0.25">
      <c r="A1140" s="1492">
        <f t="shared" si="119"/>
        <v>0</v>
      </c>
      <c r="B1140" s="1492" t="str">
        <f t="shared" si="119"/>
        <v xml:space="preserve">Procurement of HP turbine Module along with breach nuts and pipe spool pieces (Type:H30-100-2) for Unit-7, CSTPS, Chandrapur </v>
      </c>
      <c r="C1140" s="1488">
        <f t="shared" si="119"/>
        <v>0</v>
      </c>
      <c r="D1140" s="1413" t="str">
        <f t="shared" si="119"/>
        <v>-</v>
      </c>
      <c r="E1140" s="560">
        <f t="shared" si="119"/>
        <v>35</v>
      </c>
      <c r="F1140" s="1508">
        <f t="shared" si="120"/>
        <v>0</v>
      </c>
      <c r="G1140" s="1508">
        <f t="shared" si="121"/>
        <v>0</v>
      </c>
      <c r="H1140" s="1508">
        <f t="shared" si="113"/>
        <v>0</v>
      </c>
      <c r="I1140" s="1480">
        <v>0</v>
      </c>
      <c r="J1140" s="1480">
        <v>0</v>
      </c>
      <c r="K1140" s="1508"/>
      <c r="L1140" s="1508"/>
      <c r="M1140" s="1509">
        <f t="shared" si="114"/>
        <v>0</v>
      </c>
      <c r="N1140" s="1508">
        <f t="shared" si="115"/>
        <v>0</v>
      </c>
    </row>
    <row r="1141" spans="1:14" ht="31" outlineLevel="1" x14ac:dyDescent="0.25">
      <c r="A1141" s="1486">
        <f t="shared" si="119"/>
        <v>6</v>
      </c>
      <c r="B1141" s="1491" t="str">
        <f t="shared" si="119"/>
        <v xml:space="preserve">Reliability improvement of IP Turbine for 500 MW Main TG U-5 &amp; 6 </v>
      </c>
      <c r="C1141" s="1488">
        <f t="shared" si="119"/>
        <v>0</v>
      </c>
      <c r="D1141" s="1413" t="str">
        <f t="shared" si="119"/>
        <v>-</v>
      </c>
      <c r="E1141" s="560">
        <f t="shared" si="119"/>
        <v>35</v>
      </c>
      <c r="F1141" s="1508">
        <f t="shared" si="120"/>
        <v>0</v>
      </c>
      <c r="G1141" s="1508">
        <f t="shared" si="121"/>
        <v>0</v>
      </c>
      <c r="H1141" s="1508">
        <f t="shared" si="113"/>
        <v>0</v>
      </c>
      <c r="I1141" s="1480">
        <v>0</v>
      </c>
      <c r="J1141" s="1480">
        <v>0</v>
      </c>
      <c r="K1141" s="1508"/>
      <c r="L1141" s="1508"/>
      <c r="M1141" s="1509">
        <f t="shared" si="114"/>
        <v>0</v>
      </c>
      <c r="N1141" s="1508">
        <f t="shared" si="115"/>
        <v>0</v>
      </c>
    </row>
    <row r="1142" spans="1:14" ht="46.5" outlineLevel="1" x14ac:dyDescent="0.25">
      <c r="A1142" s="1492">
        <f t="shared" si="119"/>
        <v>0</v>
      </c>
      <c r="B1142" s="1492" t="str">
        <f t="shared" si="119"/>
        <v>Procurement of Fully Bladed &amp; Dynamically Balanced IP Rotor (M 30-50) for 500MW Unit-5 &amp; 6, CSTPS, Chandrapur under Capital Nature items.</v>
      </c>
      <c r="C1142" s="1488">
        <f t="shared" si="119"/>
        <v>0</v>
      </c>
      <c r="D1142" s="1413" t="str">
        <f t="shared" si="119"/>
        <v>-</v>
      </c>
      <c r="E1142" s="560">
        <f t="shared" si="119"/>
        <v>35</v>
      </c>
      <c r="F1142" s="1508">
        <f t="shared" si="120"/>
        <v>0</v>
      </c>
      <c r="G1142" s="1508">
        <f t="shared" si="121"/>
        <v>0</v>
      </c>
      <c r="H1142" s="1508">
        <f t="shared" ref="H1142:H1205" si="122">F1142-G1142</f>
        <v>0</v>
      </c>
      <c r="I1142" s="1480">
        <v>0</v>
      </c>
      <c r="J1142" s="1480">
        <v>0</v>
      </c>
      <c r="K1142" s="1508"/>
      <c r="L1142" s="1508"/>
      <c r="M1142" s="1509">
        <f t="shared" ref="M1142:M1205" si="123">SUM(J1142:L1142)</f>
        <v>0</v>
      </c>
      <c r="N1142" s="1508">
        <f t="shared" ref="N1142:N1205" si="124">H1142+I1142-M1142</f>
        <v>0</v>
      </c>
    </row>
    <row r="1143" spans="1:14" ht="15.5" outlineLevel="1" x14ac:dyDescent="0.25">
      <c r="A1143" s="1486">
        <f t="shared" si="119"/>
        <v>7</v>
      </c>
      <c r="B1143" s="1491" t="str">
        <f t="shared" si="119"/>
        <v>Energy saving in Air compressors</v>
      </c>
      <c r="C1143" s="1488">
        <f t="shared" si="119"/>
        <v>0</v>
      </c>
      <c r="D1143" s="1413" t="str">
        <f t="shared" si="119"/>
        <v>-</v>
      </c>
      <c r="E1143" s="560">
        <f t="shared" si="119"/>
        <v>30</v>
      </c>
      <c r="F1143" s="1508">
        <f t="shared" si="120"/>
        <v>0</v>
      </c>
      <c r="G1143" s="1508">
        <f t="shared" si="121"/>
        <v>0</v>
      </c>
      <c r="H1143" s="1508">
        <f t="shared" si="122"/>
        <v>0</v>
      </c>
      <c r="I1143" s="1480">
        <v>0</v>
      </c>
      <c r="J1143" s="1480">
        <v>0</v>
      </c>
      <c r="K1143" s="1508"/>
      <c r="L1143" s="1508"/>
      <c r="M1143" s="1509">
        <f t="shared" si="123"/>
        <v>0</v>
      </c>
      <c r="N1143" s="1508">
        <f t="shared" si="124"/>
        <v>0</v>
      </c>
    </row>
    <row r="1144" spans="1:14" ht="31" outlineLevel="1" x14ac:dyDescent="0.25">
      <c r="A1144" s="1492">
        <f t="shared" ref="A1144:E1159" si="125">A474</f>
        <v>0</v>
      </c>
      <c r="B1144" s="1492" t="str">
        <f t="shared" si="125"/>
        <v>Air Compressor Unit-7 to be replaced in a phased manner with energy efficient compressor</v>
      </c>
      <c r="C1144" s="1488">
        <f t="shared" si="125"/>
        <v>0</v>
      </c>
      <c r="D1144" s="1413" t="str">
        <f t="shared" si="125"/>
        <v>-</v>
      </c>
      <c r="E1144" s="560">
        <f t="shared" si="125"/>
        <v>30</v>
      </c>
      <c r="F1144" s="1508">
        <f t="shared" si="120"/>
        <v>0</v>
      </c>
      <c r="G1144" s="1508">
        <f t="shared" si="121"/>
        <v>0</v>
      </c>
      <c r="H1144" s="1508">
        <f t="shared" si="122"/>
        <v>0</v>
      </c>
      <c r="I1144" s="1480">
        <v>0</v>
      </c>
      <c r="J1144" s="1480">
        <v>0</v>
      </c>
      <c r="K1144" s="1508"/>
      <c r="L1144" s="1508"/>
      <c r="M1144" s="1509">
        <f t="shared" si="123"/>
        <v>0</v>
      </c>
      <c r="N1144" s="1508">
        <f t="shared" si="124"/>
        <v>0</v>
      </c>
    </row>
    <row r="1145" spans="1:14" ht="15.5" outlineLevel="1" x14ac:dyDescent="0.25">
      <c r="A1145" s="1486">
        <f t="shared" si="125"/>
        <v>8</v>
      </c>
      <c r="B1145" s="1491" t="str">
        <f t="shared" si="125"/>
        <v>Efficiency Upgrade of AC Plant of Unit-5 &amp; 6</v>
      </c>
      <c r="C1145" s="1488">
        <f t="shared" si="125"/>
        <v>0</v>
      </c>
      <c r="D1145" s="1413" t="str">
        <f t="shared" si="125"/>
        <v>-</v>
      </c>
      <c r="E1145" s="560">
        <f t="shared" si="125"/>
        <v>50</v>
      </c>
      <c r="F1145" s="1508">
        <f t="shared" si="120"/>
        <v>0</v>
      </c>
      <c r="G1145" s="1508">
        <f t="shared" si="121"/>
        <v>0</v>
      </c>
      <c r="H1145" s="1508">
        <f t="shared" si="122"/>
        <v>0</v>
      </c>
      <c r="I1145" s="1480">
        <v>0</v>
      </c>
      <c r="J1145" s="1480">
        <v>0</v>
      </c>
      <c r="K1145" s="1508"/>
      <c r="L1145" s="1508"/>
      <c r="M1145" s="1509">
        <f t="shared" si="123"/>
        <v>0</v>
      </c>
      <c r="N1145" s="1508">
        <f t="shared" si="124"/>
        <v>0</v>
      </c>
    </row>
    <row r="1146" spans="1:14" ht="46.5" outlineLevel="1" x14ac:dyDescent="0.25">
      <c r="A1146" s="1492">
        <f t="shared" si="125"/>
        <v>0</v>
      </c>
      <c r="B1146" s="1492" t="str">
        <f t="shared" si="125"/>
        <v>Design, Manufacture, Supply, Erection &amp; Commissioning,environment friendly, Efficiency Upgrade of AC Plant of Unit-5 &amp; 6</v>
      </c>
      <c r="C1146" s="1488">
        <f t="shared" si="125"/>
        <v>0</v>
      </c>
      <c r="D1146" s="1413" t="str">
        <f t="shared" si="125"/>
        <v>-</v>
      </c>
      <c r="E1146" s="560">
        <f t="shared" si="125"/>
        <v>50</v>
      </c>
      <c r="F1146" s="1508">
        <f t="shared" si="120"/>
        <v>0</v>
      </c>
      <c r="G1146" s="1508">
        <f t="shared" si="121"/>
        <v>0</v>
      </c>
      <c r="H1146" s="1508">
        <f t="shared" si="122"/>
        <v>0</v>
      </c>
      <c r="I1146" s="1480">
        <v>0</v>
      </c>
      <c r="J1146" s="1480">
        <v>0</v>
      </c>
      <c r="K1146" s="1508"/>
      <c r="L1146" s="1508"/>
      <c r="M1146" s="1509">
        <f t="shared" si="123"/>
        <v>0</v>
      </c>
      <c r="N1146" s="1508">
        <f t="shared" si="124"/>
        <v>0</v>
      </c>
    </row>
    <row r="1147" spans="1:14" ht="15.5" outlineLevel="1" x14ac:dyDescent="0.25">
      <c r="A1147" s="1504">
        <f t="shared" si="125"/>
        <v>0</v>
      </c>
      <c r="B1147" s="1504" t="str">
        <f t="shared" si="125"/>
        <v>Electrical Maintenance-II</v>
      </c>
      <c r="C1147" s="1488">
        <f t="shared" si="125"/>
        <v>0</v>
      </c>
      <c r="D1147" s="1413" t="str">
        <f t="shared" si="125"/>
        <v>-</v>
      </c>
      <c r="E1147" s="560">
        <f t="shared" si="125"/>
        <v>0</v>
      </c>
      <c r="F1147" s="1508">
        <f t="shared" si="120"/>
        <v>0</v>
      </c>
      <c r="G1147" s="1508">
        <f t="shared" si="121"/>
        <v>0</v>
      </c>
      <c r="H1147" s="1508">
        <f t="shared" si="122"/>
        <v>0</v>
      </c>
      <c r="I1147" s="1480">
        <v>0</v>
      </c>
      <c r="J1147" s="1480">
        <v>0</v>
      </c>
      <c r="K1147" s="1508"/>
      <c r="L1147" s="1508"/>
      <c r="M1147" s="1509">
        <f t="shared" si="123"/>
        <v>0</v>
      </c>
      <c r="N1147" s="1508">
        <f t="shared" si="124"/>
        <v>0</v>
      </c>
    </row>
    <row r="1148" spans="1:14" ht="139.5" outlineLevel="1" x14ac:dyDescent="0.25">
      <c r="A1148" s="1486">
        <f t="shared" si="125"/>
        <v>1</v>
      </c>
      <c r="B1148" s="1491" t="str">
        <f t="shared" si="125"/>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1148" s="1488">
        <f t="shared" si="125"/>
        <v>0</v>
      </c>
      <c r="D1148" s="1413" t="str">
        <f t="shared" si="125"/>
        <v>-</v>
      </c>
      <c r="E1148" s="560">
        <f t="shared" si="125"/>
        <v>25.07</v>
      </c>
      <c r="F1148" s="1508">
        <f t="shared" si="120"/>
        <v>0</v>
      </c>
      <c r="G1148" s="1508">
        <f t="shared" si="121"/>
        <v>0</v>
      </c>
      <c r="H1148" s="1508">
        <f t="shared" si="122"/>
        <v>0</v>
      </c>
      <c r="I1148" s="1480">
        <v>0</v>
      </c>
      <c r="J1148" s="1480">
        <v>0</v>
      </c>
      <c r="K1148" s="1508"/>
      <c r="L1148" s="1508"/>
      <c r="M1148" s="1509">
        <f t="shared" si="123"/>
        <v>0</v>
      </c>
      <c r="N1148" s="1508">
        <f t="shared" si="124"/>
        <v>0</v>
      </c>
    </row>
    <row r="1149" spans="1:14" ht="77.5" outlineLevel="1" x14ac:dyDescent="0.25">
      <c r="A1149" s="1492">
        <f t="shared" si="125"/>
        <v>0</v>
      </c>
      <c r="B1149" s="1492" t="str">
        <f t="shared" si="125"/>
        <v>Supply, Installation, Testing, Commissioning for complete solution and comprehensive protection and monitoring package along with retrofit of allied accessories for Generator Transformers for 3 X 500 MW Unit#5,6&amp;7 500MW Stage-III CSTPS Chandrapur.</v>
      </c>
      <c r="C1149" s="1488">
        <f t="shared" si="125"/>
        <v>0</v>
      </c>
      <c r="D1149" s="1413" t="str">
        <f t="shared" si="125"/>
        <v>-</v>
      </c>
      <c r="E1149" s="560">
        <f t="shared" si="125"/>
        <v>15.07</v>
      </c>
      <c r="F1149" s="1508">
        <f t="shared" si="120"/>
        <v>0</v>
      </c>
      <c r="G1149" s="1508">
        <f t="shared" si="121"/>
        <v>0</v>
      </c>
      <c r="H1149" s="1508">
        <f t="shared" si="122"/>
        <v>0</v>
      </c>
      <c r="I1149" s="1480">
        <v>0</v>
      </c>
      <c r="J1149" s="1480">
        <v>0</v>
      </c>
      <c r="K1149" s="1508"/>
      <c r="L1149" s="1508"/>
      <c r="M1149" s="1509">
        <f t="shared" si="123"/>
        <v>0</v>
      </c>
      <c r="N1149" s="1508">
        <f t="shared" si="124"/>
        <v>0</v>
      </c>
    </row>
    <row r="1150" spans="1:14" ht="108.5" outlineLevel="1" x14ac:dyDescent="0.25">
      <c r="A1150" s="1492">
        <f t="shared" si="125"/>
        <v>0</v>
      </c>
      <c r="B1150" s="1492" t="str">
        <f t="shared" si="125"/>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1150" s="1488">
        <f t="shared" si="125"/>
        <v>0</v>
      </c>
      <c r="D1150" s="1413" t="str">
        <f t="shared" si="125"/>
        <v>-</v>
      </c>
      <c r="E1150" s="560">
        <f t="shared" si="125"/>
        <v>10</v>
      </c>
      <c r="F1150" s="1508">
        <f t="shared" si="120"/>
        <v>0</v>
      </c>
      <c r="G1150" s="1508">
        <f t="shared" si="121"/>
        <v>0</v>
      </c>
      <c r="H1150" s="1508">
        <f t="shared" si="122"/>
        <v>0</v>
      </c>
      <c r="I1150" s="1480">
        <v>0</v>
      </c>
      <c r="J1150" s="1480">
        <v>0</v>
      </c>
      <c r="K1150" s="1508"/>
      <c r="L1150" s="1508"/>
      <c r="M1150" s="1509">
        <f t="shared" si="123"/>
        <v>0</v>
      </c>
      <c r="N1150" s="1508">
        <f t="shared" si="124"/>
        <v>0</v>
      </c>
    </row>
    <row r="1151" spans="1:14" ht="31" outlineLevel="1" x14ac:dyDescent="0.25">
      <c r="A1151" s="1486">
        <f t="shared" si="125"/>
        <v>2</v>
      </c>
      <c r="B1151" s="1491" t="str">
        <f t="shared" si="125"/>
        <v>DPR for Life enhancement and Energy efficiency of Critical HT Auxiliaries of Unit#3 to 7, CSTPS, Chandrapur</v>
      </c>
      <c r="C1151" s="1488">
        <f t="shared" si="125"/>
        <v>0</v>
      </c>
      <c r="D1151" s="1413" t="str">
        <f t="shared" si="125"/>
        <v>-</v>
      </c>
      <c r="E1151" s="560">
        <f t="shared" si="125"/>
        <v>44.31</v>
      </c>
      <c r="F1151" s="1508">
        <f t="shared" si="120"/>
        <v>0</v>
      </c>
      <c r="G1151" s="1508">
        <f t="shared" si="121"/>
        <v>0</v>
      </c>
      <c r="H1151" s="1508">
        <f t="shared" si="122"/>
        <v>0</v>
      </c>
      <c r="I1151" s="1480">
        <v>0</v>
      </c>
      <c r="J1151" s="1480">
        <v>0</v>
      </c>
      <c r="K1151" s="1508"/>
      <c r="L1151" s="1508"/>
      <c r="M1151" s="1509">
        <f t="shared" si="123"/>
        <v>0</v>
      </c>
      <c r="N1151" s="1508">
        <f t="shared" si="124"/>
        <v>0</v>
      </c>
    </row>
    <row r="1152" spans="1:14" ht="31" outlineLevel="1" x14ac:dyDescent="0.25">
      <c r="A1152" s="1492">
        <f t="shared" si="125"/>
        <v>0</v>
      </c>
      <c r="B1152" s="1492" t="str">
        <f t="shared" si="125"/>
        <v>Life enhancement and Energy efficiency of Critical HT Auxiliaries of Unit#3 to 7, CSTPS, Chandrapur</v>
      </c>
      <c r="C1152" s="1488">
        <f t="shared" si="125"/>
        <v>0</v>
      </c>
      <c r="D1152" s="1413" t="str">
        <f t="shared" si="125"/>
        <v>-</v>
      </c>
      <c r="E1152" s="560">
        <f t="shared" si="125"/>
        <v>44.31</v>
      </c>
      <c r="F1152" s="1508">
        <f t="shared" si="120"/>
        <v>0</v>
      </c>
      <c r="G1152" s="1508">
        <f t="shared" si="121"/>
        <v>0</v>
      </c>
      <c r="H1152" s="1508">
        <f t="shared" si="122"/>
        <v>0</v>
      </c>
      <c r="I1152" s="1480">
        <v>0</v>
      </c>
      <c r="J1152" s="1480">
        <v>0</v>
      </c>
      <c r="K1152" s="1508"/>
      <c r="L1152" s="1508"/>
      <c r="M1152" s="1509">
        <f t="shared" si="123"/>
        <v>0</v>
      </c>
      <c r="N1152" s="1508">
        <f t="shared" si="124"/>
        <v>0</v>
      </c>
    </row>
    <row r="1153" spans="1:14" ht="31" outlineLevel="1" x14ac:dyDescent="0.25">
      <c r="A1153" s="1486">
        <f t="shared" si="125"/>
        <v>3</v>
      </c>
      <c r="B1153" s="1491" t="str">
        <f t="shared" si="125"/>
        <v>DPR for “Supply &amp; Installation of energy saving plates for Energy Conservation  at 3X500MW, CSTPS, Chandrapur.”</v>
      </c>
      <c r="C1153" s="1488">
        <f t="shared" si="125"/>
        <v>0</v>
      </c>
      <c r="D1153" s="1413" t="str">
        <f t="shared" si="125"/>
        <v>-</v>
      </c>
      <c r="E1153" s="560">
        <f t="shared" si="125"/>
        <v>25</v>
      </c>
      <c r="F1153" s="1508">
        <f t="shared" si="120"/>
        <v>0</v>
      </c>
      <c r="G1153" s="1508">
        <f t="shared" si="121"/>
        <v>0</v>
      </c>
      <c r="H1153" s="1508">
        <f t="shared" si="122"/>
        <v>0</v>
      </c>
      <c r="I1153" s="1480">
        <v>0</v>
      </c>
      <c r="J1153" s="1480">
        <v>0</v>
      </c>
      <c r="K1153" s="1508"/>
      <c r="L1153" s="1508"/>
      <c r="M1153" s="1509">
        <f t="shared" si="123"/>
        <v>0</v>
      </c>
      <c r="N1153" s="1508">
        <f t="shared" si="124"/>
        <v>0</v>
      </c>
    </row>
    <row r="1154" spans="1:14" ht="31" outlineLevel="1" x14ac:dyDescent="0.25">
      <c r="A1154" s="1492">
        <f t="shared" si="125"/>
        <v>0</v>
      </c>
      <c r="B1154" s="1492" t="str">
        <f t="shared" si="125"/>
        <v>Supply &amp; Installation of energy saving plates for Energy Conservation  at 3X500MW, CSTPS, Chandrapur.</v>
      </c>
      <c r="C1154" s="1488">
        <f t="shared" si="125"/>
        <v>0</v>
      </c>
      <c r="D1154" s="1413" t="str">
        <f t="shared" si="125"/>
        <v>-</v>
      </c>
      <c r="E1154" s="560">
        <f t="shared" si="125"/>
        <v>25</v>
      </c>
      <c r="F1154" s="1508">
        <f t="shared" si="120"/>
        <v>0</v>
      </c>
      <c r="G1154" s="1508">
        <f t="shared" si="121"/>
        <v>0</v>
      </c>
      <c r="H1154" s="1508">
        <f t="shared" si="122"/>
        <v>0</v>
      </c>
      <c r="I1154" s="1480">
        <v>0</v>
      </c>
      <c r="J1154" s="1480">
        <v>0</v>
      </c>
      <c r="K1154" s="1508"/>
      <c r="L1154" s="1508"/>
      <c r="M1154" s="1509">
        <f t="shared" si="123"/>
        <v>0</v>
      </c>
      <c r="N1154" s="1508">
        <f t="shared" si="124"/>
        <v>0</v>
      </c>
    </row>
    <row r="1155" spans="1:14" ht="108.5" outlineLevel="1" x14ac:dyDescent="0.25">
      <c r="A1155" s="1486">
        <f t="shared" si="125"/>
        <v>4</v>
      </c>
      <c r="B1155" s="1491" t="str">
        <f t="shared" si="125"/>
        <v>DPR for "Complete renovation of Chimney elevator ) of Unit-5,6,7" &amp;
Complete revamping of chimney aviation obstruction lights (AOL) &amp; other associated spares installed at unit#5,6&amp;7 CSTPS Chandrapur. &amp;
DPR for “Provision of 11KV supply to Aundha pump house from Unit 5,6&amp;7.”</v>
      </c>
      <c r="C1155" s="1488">
        <f t="shared" si="125"/>
        <v>0</v>
      </c>
      <c r="D1155" s="1413" t="str">
        <f t="shared" si="125"/>
        <v>-</v>
      </c>
      <c r="E1155" s="560">
        <f t="shared" si="125"/>
        <v>38</v>
      </c>
      <c r="F1155" s="1508">
        <f t="shared" si="120"/>
        <v>0</v>
      </c>
      <c r="G1155" s="1508">
        <f t="shared" si="121"/>
        <v>0</v>
      </c>
      <c r="H1155" s="1508">
        <f t="shared" si="122"/>
        <v>0</v>
      </c>
      <c r="I1155" s="1480">
        <v>0</v>
      </c>
      <c r="J1155" s="1480">
        <v>0</v>
      </c>
      <c r="K1155" s="1508"/>
      <c r="L1155" s="1508"/>
      <c r="M1155" s="1509">
        <f t="shared" si="123"/>
        <v>0</v>
      </c>
      <c r="N1155" s="1508">
        <f t="shared" si="124"/>
        <v>0</v>
      </c>
    </row>
    <row r="1156" spans="1:14" ht="46.5" outlineLevel="1" x14ac:dyDescent="0.25">
      <c r="A1156" s="1492">
        <f t="shared" si="125"/>
        <v>0</v>
      </c>
      <c r="B1156" s="1492" t="str">
        <f t="shared" si="125"/>
        <v xml:space="preserve">Complete renovation of Chimney elevator of Unit-5,6,7
</v>
      </c>
      <c r="C1156" s="1488">
        <f t="shared" si="125"/>
        <v>0</v>
      </c>
      <c r="D1156" s="1413" t="str">
        <f t="shared" si="125"/>
        <v>-</v>
      </c>
      <c r="E1156" s="560">
        <f t="shared" si="125"/>
        <v>10</v>
      </c>
      <c r="F1156" s="1508">
        <f t="shared" si="120"/>
        <v>0</v>
      </c>
      <c r="G1156" s="1508">
        <f t="shared" si="121"/>
        <v>0</v>
      </c>
      <c r="H1156" s="1508">
        <f t="shared" si="122"/>
        <v>0</v>
      </c>
      <c r="I1156" s="1480">
        <v>0</v>
      </c>
      <c r="J1156" s="1480">
        <v>0</v>
      </c>
      <c r="K1156" s="1508"/>
      <c r="L1156" s="1508"/>
      <c r="M1156" s="1509">
        <f t="shared" si="123"/>
        <v>0</v>
      </c>
      <c r="N1156" s="1508">
        <f t="shared" si="124"/>
        <v>0</v>
      </c>
    </row>
    <row r="1157" spans="1:14" ht="46.5" outlineLevel="1" x14ac:dyDescent="0.25">
      <c r="A1157" s="1492">
        <f t="shared" si="125"/>
        <v>0</v>
      </c>
      <c r="B1157" s="1492" t="str">
        <f t="shared" si="125"/>
        <v>Complete revamping of chimney aviation obstruction lights (AOL) &amp; other associated spares installed at unit#5,6&amp;7 CSTPS Chandrapur.</v>
      </c>
      <c r="C1157" s="1488">
        <f t="shared" si="125"/>
        <v>0</v>
      </c>
      <c r="D1157" s="1413" t="str">
        <f t="shared" si="125"/>
        <v>-</v>
      </c>
      <c r="E1157" s="560">
        <f t="shared" si="125"/>
        <v>3</v>
      </c>
      <c r="F1157" s="1508">
        <f t="shared" si="120"/>
        <v>0</v>
      </c>
      <c r="G1157" s="1508">
        <f t="shared" si="121"/>
        <v>0</v>
      </c>
      <c r="H1157" s="1508">
        <f t="shared" si="122"/>
        <v>0</v>
      </c>
      <c r="I1157" s="1480">
        <v>0</v>
      </c>
      <c r="J1157" s="1480">
        <v>0</v>
      </c>
      <c r="K1157" s="1508"/>
      <c r="L1157" s="1508"/>
      <c r="M1157" s="1509">
        <f t="shared" si="123"/>
        <v>0</v>
      </c>
      <c r="N1157" s="1508">
        <f t="shared" si="124"/>
        <v>0</v>
      </c>
    </row>
    <row r="1158" spans="1:14" ht="31" outlineLevel="1" x14ac:dyDescent="0.25">
      <c r="A1158" s="1492">
        <f t="shared" si="125"/>
        <v>0</v>
      </c>
      <c r="B1158" s="1492" t="str">
        <f t="shared" si="125"/>
        <v>Provision of 11KV supply to Aundha pump house from U 5,6&amp;7 Station boards.</v>
      </c>
      <c r="C1158" s="1488">
        <f t="shared" si="125"/>
        <v>0</v>
      </c>
      <c r="D1158" s="1413" t="str">
        <f t="shared" si="125"/>
        <v>-</v>
      </c>
      <c r="E1158" s="560">
        <f t="shared" si="125"/>
        <v>25</v>
      </c>
      <c r="F1158" s="1508">
        <f t="shared" si="120"/>
        <v>0</v>
      </c>
      <c r="G1158" s="1508">
        <f t="shared" si="121"/>
        <v>0</v>
      </c>
      <c r="H1158" s="1508">
        <f t="shared" si="122"/>
        <v>0</v>
      </c>
      <c r="I1158" s="1480">
        <v>0</v>
      </c>
      <c r="J1158" s="1480">
        <v>0</v>
      </c>
      <c r="K1158" s="1508"/>
      <c r="L1158" s="1508"/>
      <c r="M1158" s="1509">
        <f t="shared" si="123"/>
        <v>0</v>
      </c>
      <c r="N1158" s="1508">
        <f t="shared" si="124"/>
        <v>0</v>
      </c>
    </row>
    <row r="1159" spans="1:14" ht="62" outlineLevel="1" x14ac:dyDescent="0.25">
      <c r="A1159" s="1486">
        <f t="shared" si="125"/>
        <v>5</v>
      </c>
      <c r="B1159" s="1491" t="str">
        <f t="shared" si="125"/>
        <v xml:space="preserve">DPR for Energy saving by installation of VFD for CEP motors at Unit#5 to 9, CSTPS, Chandrapur.
</v>
      </c>
      <c r="C1159" s="1488">
        <f t="shared" si="125"/>
        <v>0</v>
      </c>
      <c r="D1159" s="1413" t="str">
        <f t="shared" si="125"/>
        <v>-</v>
      </c>
      <c r="E1159" s="560">
        <f t="shared" si="125"/>
        <v>26</v>
      </c>
      <c r="F1159" s="1508">
        <f t="shared" si="120"/>
        <v>0</v>
      </c>
      <c r="G1159" s="1508">
        <f t="shared" si="121"/>
        <v>0</v>
      </c>
      <c r="H1159" s="1508">
        <f t="shared" si="122"/>
        <v>0</v>
      </c>
      <c r="I1159" s="1480">
        <v>0</v>
      </c>
      <c r="J1159" s="1480">
        <v>0</v>
      </c>
      <c r="K1159" s="1508"/>
      <c r="L1159" s="1508"/>
      <c r="M1159" s="1509">
        <f t="shared" si="123"/>
        <v>0</v>
      </c>
      <c r="N1159" s="1508">
        <f t="shared" si="124"/>
        <v>0</v>
      </c>
    </row>
    <row r="1160" spans="1:14" ht="62" outlineLevel="1" x14ac:dyDescent="0.25">
      <c r="A1160" s="1492">
        <f t="shared" ref="A1160:E1175" si="126">A490</f>
        <v>0</v>
      </c>
      <c r="B1160" s="1492" t="str">
        <f t="shared" si="126"/>
        <v xml:space="preserve">Energy saving by installation of VFD for CEP motors at Unit#5 to 9, CSTPS, Chandrapur.
</v>
      </c>
      <c r="C1160" s="1488">
        <f t="shared" si="126"/>
        <v>0</v>
      </c>
      <c r="D1160" s="1413" t="str">
        <f t="shared" si="126"/>
        <v>-</v>
      </c>
      <c r="E1160" s="560">
        <f t="shared" si="126"/>
        <v>26</v>
      </c>
      <c r="F1160" s="1508">
        <f t="shared" si="120"/>
        <v>0</v>
      </c>
      <c r="G1160" s="1508">
        <f t="shared" si="121"/>
        <v>0</v>
      </c>
      <c r="H1160" s="1508">
        <f t="shared" si="122"/>
        <v>0</v>
      </c>
      <c r="I1160" s="1480">
        <v>0</v>
      </c>
      <c r="J1160" s="1480">
        <v>0</v>
      </c>
      <c r="K1160" s="1508"/>
      <c r="L1160" s="1508"/>
      <c r="M1160" s="1509">
        <f t="shared" si="123"/>
        <v>0</v>
      </c>
      <c r="N1160" s="1508">
        <f t="shared" si="124"/>
        <v>0</v>
      </c>
    </row>
    <row r="1161" spans="1:14" ht="31" outlineLevel="1" x14ac:dyDescent="0.25">
      <c r="A1161" s="1486">
        <f t="shared" si="126"/>
        <v>6</v>
      </c>
      <c r="B1161" s="1491" t="str">
        <f t="shared" si="126"/>
        <v>DPR for Energy saving by installation of VFD for PA Fan &amp; ID Fan  motors at Unit#5 to 9, CSTPS, Chandrapur.</v>
      </c>
      <c r="C1161" s="1488">
        <f t="shared" si="126"/>
        <v>0</v>
      </c>
      <c r="D1161" s="1413" t="str">
        <f t="shared" si="126"/>
        <v>-</v>
      </c>
      <c r="E1161" s="560">
        <f t="shared" si="126"/>
        <v>25</v>
      </c>
      <c r="F1161" s="1508">
        <f t="shared" si="120"/>
        <v>0</v>
      </c>
      <c r="G1161" s="1508">
        <f t="shared" si="121"/>
        <v>0</v>
      </c>
      <c r="H1161" s="1508">
        <f t="shared" si="122"/>
        <v>0</v>
      </c>
      <c r="I1161" s="1480">
        <v>0</v>
      </c>
      <c r="J1161" s="1480">
        <v>0</v>
      </c>
      <c r="K1161" s="1508"/>
      <c r="L1161" s="1508"/>
      <c r="M1161" s="1509">
        <f t="shared" si="123"/>
        <v>0</v>
      </c>
      <c r="N1161" s="1508">
        <f t="shared" si="124"/>
        <v>0</v>
      </c>
    </row>
    <row r="1162" spans="1:14" ht="31" outlineLevel="1" x14ac:dyDescent="0.25">
      <c r="A1162" s="1492">
        <f t="shared" si="126"/>
        <v>0</v>
      </c>
      <c r="B1162" s="1492" t="str">
        <f t="shared" si="126"/>
        <v>Energy saving by installation of VFD for PA Fan &amp; ID Fan  motors at Unit#5 to 9, CSTPS, Chandrapur.</v>
      </c>
      <c r="C1162" s="1488">
        <f t="shared" si="126"/>
        <v>0</v>
      </c>
      <c r="D1162" s="1413" t="str">
        <f t="shared" si="126"/>
        <v>-</v>
      </c>
      <c r="E1162" s="560">
        <f t="shared" si="126"/>
        <v>25</v>
      </c>
      <c r="F1162" s="1508">
        <f t="shared" si="120"/>
        <v>0</v>
      </c>
      <c r="G1162" s="1508">
        <f t="shared" si="121"/>
        <v>0</v>
      </c>
      <c r="H1162" s="1508">
        <f t="shared" si="122"/>
        <v>0</v>
      </c>
      <c r="I1162" s="1480">
        <v>0</v>
      </c>
      <c r="J1162" s="1480">
        <v>0</v>
      </c>
      <c r="K1162" s="1508"/>
      <c r="L1162" s="1508"/>
      <c r="M1162" s="1509">
        <f t="shared" si="123"/>
        <v>0</v>
      </c>
      <c r="N1162" s="1508">
        <f t="shared" si="124"/>
        <v>0</v>
      </c>
    </row>
    <row r="1163" spans="1:14" ht="31" outlineLevel="1" x14ac:dyDescent="0.25">
      <c r="A1163" s="1486">
        <f t="shared" si="126"/>
        <v>7</v>
      </c>
      <c r="B1163" s="1491" t="str">
        <f t="shared" si="126"/>
        <v>DPR for refurbishment of Critical HT &amp; LT board installed at Unit#5,6,&amp;7, CSTPS Chandrapur.</v>
      </c>
      <c r="C1163" s="1488">
        <f t="shared" si="126"/>
        <v>0</v>
      </c>
      <c r="D1163" s="1413" t="str">
        <f t="shared" si="126"/>
        <v>-</v>
      </c>
      <c r="E1163" s="560">
        <f t="shared" si="126"/>
        <v>25</v>
      </c>
      <c r="F1163" s="1508">
        <f t="shared" si="120"/>
        <v>0</v>
      </c>
      <c r="G1163" s="1508">
        <f t="shared" si="121"/>
        <v>0</v>
      </c>
      <c r="H1163" s="1508">
        <f t="shared" si="122"/>
        <v>0</v>
      </c>
      <c r="I1163" s="1480">
        <v>0</v>
      </c>
      <c r="J1163" s="1480">
        <v>0</v>
      </c>
      <c r="K1163" s="1508"/>
      <c r="L1163" s="1508"/>
      <c r="M1163" s="1509">
        <f t="shared" si="123"/>
        <v>0</v>
      </c>
      <c r="N1163" s="1508">
        <f t="shared" si="124"/>
        <v>0</v>
      </c>
    </row>
    <row r="1164" spans="1:14" ht="31" outlineLevel="1" x14ac:dyDescent="0.25">
      <c r="A1164" s="1492">
        <f t="shared" si="126"/>
        <v>0</v>
      </c>
      <c r="B1164" s="1492" t="str">
        <f t="shared" si="126"/>
        <v xml:space="preserve"> Refurbishment of Critical HT &amp; LT board installed at Unit#5,6,&amp;7, CSTPS Chandrapur.</v>
      </c>
      <c r="C1164" s="1488">
        <f t="shared" si="126"/>
        <v>0</v>
      </c>
      <c r="D1164" s="1413" t="str">
        <f t="shared" si="126"/>
        <v>-</v>
      </c>
      <c r="E1164" s="560">
        <f t="shared" si="126"/>
        <v>25</v>
      </c>
      <c r="F1164" s="1508">
        <f t="shared" si="120"/>
        <v>0</v>
      </c>
      <c r="G1164" s="1508">
        <f t="shared" si="121"/>
        <v>0</v>
      </c>
      <c r="H1164" s="1508">
        <f t="shared" si="122"/>
        <v>0</v>
      </c>
      <c r="I1164" s="1480">
        <v>0</v>
      </c>
      <c r="J1164" s="1480">
        <v>0</v>
      </c>
      <c r="K1164" s="1508"/>
      <c r="L1164" s="1508"/>
      <c r="M1164" s="1509">
        <f t="shared" si="123"/>
        <v>0</v>
      </c>
      <c r="N1164" s="1508">
        <f t="shared" si="124"/>
        <v>0</v>
      </c>
    </row>
    <row r="1165" spans="1:14" ht="31" outlineLevel="1" x14ac:dyDescent="0.25">
      <c r="A1165" s="1486">
        <f t="shared" si="126"/>
        <v>8</v>
      </c>
      <c r="B1165" s="1491" t="str">
        <f t="shared" si="126"/>
        <v>Refurbishment of LV bus duct Bus duct of UAT, SAT, station transformer installed at Unit#5,6,&amp;7, CSTPS Chandrapur.</v>
      </c>
      <c r="C1165" s="1488">
        <f t="shared" si="126"/>
        <v>0</v>
      </c>
      <c r="D1165" s="1413" t="str">
        <f t="shared" si="126"/>
        <v>-</v>
      </c>
      <c r="E1165" s="560">
        <f t="shared" si="126"/>
        <v>30</v>
      </c>
      <c r="F1165" s="1508">
        <f t="shared" si="120"/>
        <v>0</v>
      </c>
      <c r="G1165" s="1508">
        <f t="shared" si="121"/>
        <v>0</v>
      </c>
      <c r="H1165" s="1508">
        <f t="shared" si="122"/>
        <v>0</v>
      </c>
      <c r="I1165" s="1480">
        <v>0</v>
      </c>
      <c r="J1165" s="1480">
        <v>0</v>
      </c>
      <c r="K1165" s="1508"/>
      <c r="L1165" s="1508"/>
      <c r="M1165" s="1509">
        <f t="shared" si="123"/>
        <v>0</v>
      </c>
      <c r="N1165" s="1508">
        <f t="shared" si="124"/>
        <v>0</v>
      </c>
    </row>
    <row r="1166" spans="1:14" ht="31" outlineLevel="1" x14ac:dyDescent="0.25">
      <c r="A1166" s="1492">
        <f t="shared" si="126"/>
        <v>0</v>
      </c>
      <c r="B1166" s="1492" t="str">
        <f t="shared" si="126"/>
        <v>Refurbishment of LV bus duct Bus duct of UAT, SAT, station transformer installed at Unit#5,6,&amp;7, CSTPS Chandrapur.</v>
      </c>
      <c r="C1166" s="1488">
        <f t="shared" si="126"/>
        <v>0</v>
      </c>
      <c r="D1166" s="1413" t="str">
        <f t="shared" si="126"/>
        <v>-</v>
      </c>
      <c r="E1166" s="560">
        <f t="shared" si="126"/>
        <v>30</v>
      </c>
      <c r="F1166" s="1508">
        <f t="shared" si="120"/>
        <v>0</v>
      </c>
      <c r="G1166" s="1508">
        <f t="shared" si="121"/>
        <v>0</v>
      </c>
      <c r="H1166" s="1508">
        <f t="shared" si="122"/>
        <v>0</v>
      </c>
      <c r="I1166" s="1480">
        <v>0</v>
      </c>
      <c r="J1166" s="1480">
        <v>0</v>
      </c>
      <c r="K1166" s="1508"/>
      <c r="L1166" s="1508"/>
      <c r="M1166" s="1509">
        <f t="shared" si="123"/>
        <v>0</v>
      </c>
      <c r="N1166" s="1508">
        <f t="shared" si="124"/>
        <v>0</v>
      </c>
    </row>
    <row r="1167" spans="1:14" ht="15.5" outlineLevel="1" x14ac:dyDescent="0.25">
      <c r="A1167" s="1504">
        <f t="shared" si="126"/>
        <v>0</v>
      </c>
      <c r="B1167" s="1504" t="str">
        <f t="shared" si="126"/>
        <v>Instrumentation &amp; Control-II</v>
      </c>
      <c r="C1167" s="1488">
        <f t="shared" si="126"/>
        <v>0</v>
      </c>
      <c r="D1167" s="1413" t="str">
        <f t="shared" si="126"/>
        <v>-</v>
      </c>
      <c r="E1167" s="560">
        <f t="shared" si="126"/>
        <v>0</v>
      </c>
      <c r="F1167" s="1508">
        <f t="shared" si="120"/>
        <v>0</v>
      </c>
      <c r="G1167" s="1508">
        <f t="shared" si="121"/>
        <v>0</v>
      </c>
      <c r="H1167" s="1508">
        <f t="shared" si="122"/>
        <v>0</v>
      </c>
      <c r="I1167" s="1480">
        <v>0</v>
      </c>
      <c r="J1167" s="1480">
        <v>0</v>
      </c>
      <c r="K1167" s="1508"/>
      <c r="L1167" s="1508"/>
      <c r="M1167" s="1509">
        <f t="shared" si="123"/>
        <v>0</v>
      </c>
      <c r="N1167" s="1508">
        <f t="shared" si="124"/>
        <v>0</v>
      </c>
    </row>
    <row r="1168" spans="1:14" ht="31" outlineLevel="1" x14ac:dyDescent="0.25">
      <c r="A1168" s="1486">
        <f t="shared" si="126"/>
        <v>1</v>
      </c>
      <c r="B1168" s="1491" t="str">
        <f t="shared" si="126"/>
        <v>Complete Supply ,Erection and Commissioning DDCMIS system of Unit 7 at CSTPS</v>
      </c>
      <c r="C1168" s="1488">
        <f t="shared" si="126"/>
        <v>0</v>
      </c>
      <c r="D1168" s="1413" t="str">
        <f t="shared" si="126"/>
        <v>-</v>
      </c>
      <c r="E1168" s="560">
        <f t="shared" si="126"/>
        <v>30</v>
      </c>
      <c r="F1168" s="1508">
        <f t="shared" si="120"/>
        <v>0</v>
      </c>
      <c r="G1168" s="1508">
        <f t="shared" si="121"/>
        <v>0</v>
      </c>
      <c r="H1168" s="1508">
        <f t="shared" si="122"/>
        <v>0</v>
      </c>
      <c r="I1168" s="1480">
        <v>0</v>
      </c>
      <c r="J1168" s="1480">
        <v>0</v>
      </c>
      <c r="K1168" s="1508"/>
      <c r="L1168" s="1508"/>
      <c r="M1168" s="1509">
        <f t="shared" si="123"/>
        <v>0</v>
      </c>
      <c r="N1168" s="1508">
        <f t="shared" si="124"/>
        <v>0</v>
      </c>
    </row>
    <row r="1169" spans="1:14" ht="31" outlineLevel="1" x14ac:dyDescent="0.25">
      <c r="A1169" s="1492">
        <f t="shared" si="126"/>
        <v>0</v>
      </c>
      <c r="B1169" s="1492" t="str">
        <f t="shared" si="126"/>
        <v>Complete Supply ,Erection and Commissioning DDCMIS system of Unit 7  at CSTPS</v>
      </c>
      <c r="C1169" s="1488">
        <f t="shared" si="126"/>
        <v>0</v>
      </c>
      <c r="D1169" s="1413" t="str">
        <f t="shared" si="126"/>
        <v>-</v>
      </c>
      <c r="E1169" s="560">
        <f t="shared" si="126"/>
        <v>30</v>
      </c>
      <c r="F1169" s="1508">
        <f t="shared" si="120"/>
        <v>0</v>
      </c>
      <c r="G1169" s="1508">
        <f t="shared" si="121"/>
        <v>0</v>
      </c>
      <c r="H1169" s="1508">
        <f t="shared" si="122"/>
        <v>0</v>
      </c>
      <c r="I1169" s="1480">
        <v>0</v>
      </c>
      <c r="J1169" s="1480">
        <v>0</v>
      </c>
      <c r="K1169" s="1508"/>
      <c r="L1169" s="1508"/>
      <c r="M1169" s="1509">
        <f t="shared" si="123"/>
        <v>0</v>
      </c>
      <c r="N1169" s="1508">
        <f t="shared" si="124"/>
        <v>0</v>
      </c>
    </row>
    <row r="1170" spans="1:14" ht="31" outlineLevel="1" x14ac:dyDescent="0.25">
      <c r="A1170" s="1486">
        <f t="shared" si="126"/>
        <v>2</v>
      </c>
      <c r="B1170" s="1491" t="str">
        <f t="shared" si="126"/>
        <v>Implementation of Flexible Operation Solutions for Unit5,6 &amp;7, CSTPS, Chandrapur</v>
      </c>
      <c r="C1170" s="1488">
        <f t="shared" si="126"/>
        <v>0</v>
      </c>
      <c r="D1170" s="1413" t="str">
        <f t="shared" si="126"/>
        <v>-</v>
      </c>
      <c r="E1170" s="560">
        <f t="shared" si="126"/>
        <v>40</v>
      </c>
      <c r="F1170" s="1508">
        <f t="shared" si="120"/>
        <v>0</v>
      </c>
      <c r="G1170" s="1508">
        <f t="shared" si="121"/>
        <v>0</v>
      </c>
      <c r="H1170" s="1508">
        <f t="shared" si="122"/>
        <v>0</v>
      </c>
      <c r="I1170" s="1480">
        <v>0</v>
      </c>
      <c r="J1170" s="1480">
        <v>0</v>
      </c>
      <c r="K1170" s="1508"/>
      <c r="L1170" s="1508"/>
      <c r="M1170" s="1509">
        <f t="shared" si="123"/>
        <v>0</v>
      </c>
      <c r="N1170" s="1508">
        <f t="shared" si="124"/>
        <v>0</v>
      </c>
    </row>
    <row r="1171" spans="1:14" ht="31" outlineLevel="1" x14ac:dyDescent="0.25">
      <c r="A1171" s="1492">
        <f t="shared" si="126"/>
        <v>0</v>
      </c>
      <c r="B1171" s="1492" t="str">
        <f t="shared" si="126"/>
        <v>Implementation of Flexible Operation Solutions for Unit5,6 &amp;7, CSTPS, Chandrapur</v>
      </c>
      <c r="C1171" s="1488">
        <f t="shared" si="126"/>
        <v>0</v>
      </c>
      <c r="D1171" s="1413" t="str">
        <f t="shared" si="126"/>
        <v>-</v>
      </c>
      <c r="E1171" s="560">
        <f t="shared" si="126"/>
        <v>40</v>
      </c>
      <c r="F1171" s="1508">
        <f t="shared" si="120"/>
        <v>0</v>
      </c>
      <c r="G1171" s="1508">
        <f t="shared" si="121"/>
        <v>0</v>
      </c>
      <c r="H1171" s="1508">
        <f t="shared" si="122"/>
        <v>0</v>
      </c>
      <c r="I1171" s="1480">
        <v>0</v>
      </c>
      <c r="J1171" s="1480">
        <v>0</v>
      </c>
      <c r="K1171" s="1508"/>
      <c r="L1171" s="1508"/>
      <c r="M1171" s="1509">
        <f t="shared" si="123"/>
        <v>0</v>
      </c>
      <c r="N1171" s="1508">
        <f t="shared" si="124"/>
        <v>0</v>
      </c>
    </row>
    <row r="1172" spans="1:14" ht="46.5" outlineLevel="1" x14ac:dyDescent="0.25">
      <c r="A1172" s="1486">
        <f t="shared" si="126"/>
        <v>3</v>
      </c>
      <c r="B1172" s="1491" t="str">
        <f t="shared" si="126"/>
        <v>Supply of sub-assy for ID Fan VFD System&amp;  Energy Management System (EMS) at Stage-III, CSTPS, &amp; Procurement of numerical motor/feeder protection relay</v>
      </c>
      <c r="C1172" s="1488">
        <f t="shared" si="126"/>
        <v>0</v>
      </c>
      <c r="D1172" s="1413" t="str">
        <f t="shared" si="126"/>
        <v>-</v>
      </c>
      <c r="E1172" s="560">
        <f t="shared" si="126"/>
        <v>26.1</v>
      </c>
      <c r="F1172" s="1508">
        <f t="shared" si="120"/>
        <v>0</v>
      </c>
      <c r="G1172" s="1508">
        <f t="shared" si="121"/>
        <v>0</v>
      </c>
      <c r="H1172" s="1508">
        <f t="shared" si="122"/>
        <v>0</v>
      </c>
      <c r="I1172" s="1480">
        <v>0</v>
      </c>
      <c r="J1172" s="1480">
        <v>0</v>
      </c>
      <c r="K1172" s="1508"/>
      <c r="L1172" s="1508"/>
      <c r="M1172" s="1509">
        <f t="shared" si="123"/>
        <v>0</v>
      </c>
      <c r="N1172" s="1508">
        <f t="shared" si="124"/>
        <v>0</v>
      </c>
    </row>
    <row r="1173" spans="1:14" ht="15.5" outlineLevel="1" x14ac:dyDescent="0.25">
      <c r="A1173" s="1492">
        <f t="shared" si="126"/>
        <v>0</v>
      </c>
      <c r="B1173" s="1492" t="str">
        <f t="shared" si="126"/>
        <v>Supply of sub-assy for ID Fan VFD System</v>
      </c>
      <c r="C1173" s="1488">
        <f t="shared" si="126"/>
        <v>0</v>
      </c>
      <c r="D1173" s="1413" t="str">
        <f t="shared" si="126"/>
        <v>-</v>
      </c>
      <c r="E1173" s="560">
        <f t="shared" si="126"/>
        <v>4.5</v>
      </c>
      <c r="F1173" s="1508">
        <f t="shared" si="120"/>
        <v>0</v>
      </c>
      <c r="G1173" s="1508">
        <f t="shared" si="121"/>
        <v>0</v>
      </c>
      <c r="H1173" s="1508">
        <f t="shared" si="122"/>
        <v>0</v>
      </c>
      <c r="I1173" s="1480">
        <v>0</v>
      </c>
      <c r="J1173" s="1480">
        <v>0</v>
      </c>
      <c r="K1173" s="1508"/>
      <c r="L1173" s="1508"/>
      <c r="M1173" s="1509">
        <f t="shared" si="123"/>
        <v>0</v>
      </c>
      <c r="N1173" s="1508">
        <f t="shared" si="124"/>
        <v>0</v>
      </c>
    </row>
    <row r="1174" spans="1:14" ht="31" outlineLevel="1" x14ac:dyDescent="0.25">
      <c r="A1174" s="1492">
        <f t="shared" si="126"/>
        <v>0</v>
      </c>
      <c r="B1174" s="1492" t="str">
        <f t="shared" si="126"/>
        <v>Energy Management System (EMS) at Stage-III, CSTPS, Chandrapur.</v>
      </c>
      <c r="C1174" s="1488">
        <f t="shared" si="126"/>
        <v>0</v>
      </c>
      <c r="D1174" s="1413" t="str">
        <f t="shared" si="126"/>
        <v>-</v>
      </c>
      <c r="E1174" s="560">
        <f t="shared" si="126"/>
        <v>5.5</v>
      </c>
      <c r="F1174" s="1508">
        <f t="shared" si="120"/>
        <v>0</v>
      </c>
      <c r="G1174" s="1508">
        <f t="shared" si="121"/>
        <v>0</v>
      </c>
      <c r="H1174" s="1508">
        <f t="shared" si="122"/>
        <v>0</v>
      </c>
      <c r="I1174" s="1480">
        <v>0</v>
      </c>
      <c r="J1174" s="1480">
        <v>0</v>
      </c>
      <c r="K1174" s="1508"/>
      <c r="L1174" s="1508"/>
      <c r="M1174" s="1509">
        <f t="shared" si="123"/>
        <v>0</v>
      </c>
      <c r="N1174" s="1508">
        <f t="shared" si="124"/>
        <v>0</v>
      </c>
    </row>
    <row r="1175" spans="1:14" ht="15.5" outlineLevel="1" x14ac:dyDescent="0.25">
      <c r="A1175" s="1492">
        <f t="shared" si="126"/>
        <v>0</v>
      </c>
      <c r="B1175" s="1492" t="str">
        <f t="shared" si="126"/>
        <v>Procurement of numerical motor/feeder protection relays</v>
      </c>
      <c r="C1175" s="1488">
        <f t="shared" si="126"/>
        <v>0</v>
      </c>
      <c r="D1175" s="1413" t="str">
        <f t="shared" si="126"/>
        <v>-</v>
      </c>
      <c r="E1175" s="560">
        <f t="shared" si="126"/>
        <v>8.1</v>
      </c>
      <c r="F1175" s="1508">
        <f t="shared" si="120"/>
        <v>0</v>
      </c>
      <c r="G1175" s="1508">
        <f t="shared" si="121"/>
        <v>0</v>
      </c>
      <c r="H1175" s="1508">
        <f t="shared" si="122"/>
        <v>0</v>
      </c>
      <c r="I1175" s="1480">
        <v>0</v>
      </c>
      <c r="J1175" s="1480">
        <v>0</v>
      </c>
      <c r="K1175" s="1508"/>
      <c r="L1175" s="1508"/>
      <c r="M1175" s="1509">
        <f t="shared" si="123"/>
        <v>0</v>
      </c>
      <c r="N1175" s="1508">
        <f t="shared" si="124"/>
        <v>0</v>
      </c>
    </row>
    <row r="1176" spans="1:14" ht="46.5" outlineLevel="1" x14ac:dyDescent="0.25">
      <c r="A1176" s="1492">
        <f t="shared" ref="A1176:E1191" si="127">A506</f>
        <v>0</v>
      </c>
      <c r="B1176" s="1492" t="str">
        <f t="shared" si="127"/>
        <v>Procurement of portable multi function test kit, Microprocessot based CB TIM, CRM &amp; MVDT, CBO analyser, Vacuum cleaner bottle HV tester</v>
      </c>
      <c r="C1176" s="1488">
        <f t="shared" si="127"/>
        <v>0</v>
      </c>
      <c r="D1176" s="1413" t="str">
        <f t="shared" si="127"/>
        <v>-</v>
      </c>
      <c r="E1176" s="560">
        <f t="shared" si="127"/>
        <v>2</v>
      </c>
      <c r="F1176" s="1508">
        <f t="shared" si="120"/>
        <v>0</v>
      </c>
      <c r="G1176" s="1508">
        <f t="shared" si="121"/>
        <v>0</v>
      </c>
      <c r="H1176" s="1508">
        <f t="shared" si="122"/>
        <v>0</v>
      </c>
      <c r="I1176" s="1480">
        <v>0</v>
      </c>
      <c r="J1176" s="1480">
        <v>0</v>
      </c>
      <c r="K1176" s="1508"/>
      <c r="L1176" s="1508"/>
      <c r="M1176" s="1509">
        <f t="shared" si="123"/>
        <v>0</v>
      </c>
      <c r="N1176" s="1508">
        <f t="shared" si="124"/>
        <v>0</v>
      </c>
    </row>
    <row r="1177" spans="1:14" ht="31" outlineLevel="1" x14ac:dyDescent="0.25">
      <c r="A1177" s="1492">
        <f t="shared" si="127"/>
        <v>0</v>
      </c>
      <c r="B1177" s="1492" t="str">
        <f t="shared" si="127"/>
        <v xml:space="preserve">Replacement of various motorised control actuators at Unit 5, 6  CSTPS,Chandrapur.                              </v>
      </c>
      <c r="C1177" s="1488">
        <f t="shared" si="127"/>
        <v>0</v>
      </c>
      <c r="D1177" s="1413" t="str">
        <f t="shared" si="127"/>
        <v>-</v>
      </c>
      <c r="E1177" s="560">
        <f t="shared" si="127"/>
        <v>6</v>
      </c>
      <c r="F1177" s="1508">
        <f t="shared" si="120"/>
        <v>0</v>
      </c>
      <c r="G1177" s="1508">
        <f t="shared" si="121"/>
        <v>0</v>
      </c>
      <c r="H1177" s="1508">
        <f t="shared" si="122"/>
        <v>0</v>
      </c>
      <c r="I1177" s="1480">
        <v>0</v>
      </c>
      <c r="J1177" s="1480">
        <v>0</v>
      </c>
      <c r="K1177" s="1508"/>
      <c r="L1177" s="1508"/>
      <c r="M1177" s="1509">
        <f t="shared" si="123"/>
        <v>0</v>
      </c>
      <c r="N1177" s="1508">
        <f t="shared" si="124"/>
        <v>0</v>
      </c>
    </row>
    <row r="1178" spans="1:14" ht="62" outlineLevel="1" x14ac:dyDescent="0.25">
      <c r="A1178" s="1486">
        <f t="shared" si="127"/>
        <v>4</v>
      </c>
      <c r="B1178" s="1491" t="str">
        <f t="shared" si="127"/>
        <v>Supply and commissioning of Energy Optimization &amp; Real Time Analysis system software for Auxiliary Power management of power network &amp; Pump performance monitoring system for water pumping stations for Unit#5,6&amp;7, CSTPS, Chandrapur</v>
      </c>
      <c r="C1178" s="1488">
        <f t="shared" si="127"/>
        <v>0</v>
      </c>
      <c r="D1178" s="1413" t="str">
        <f t="shared" si="127"/>
        <v>-</v>
      </c>
      <c r="E1178" s="560">
        <f t="shared" si="127"/>
        <v>26</v>
      </c>
      <c r="F1178" s="1508">
        <f t="shared" si="120"/>
        <v>0</v>
      </c>
      <c r="G1178" s="1508">
        <f t="shared" si="121"/>
        <v>0</v>
      </c>
      <c r="H1178" s="1508">
        <f t="shared" si="122"/>
        <v>0</v>
      </c>
      <c r="I1178" s="1480">
        <v>0</v>
      </c>
      <c r="J1178" s="1480">
        <v>0</v>
      </c>
      <c r="K1178" s="1508"/>
      <c r="L1178" s="1508"/>
      <c r="M1178" s="1509">
        <f t="shared" si="123"/>
        <v>0</v>
      </c>
      <c r="N1178" s="1508">
        <f t="shared" si="124"/>
        <v>0</v>
      </c>
    </row>
    <row r="1179" spans="1:14" ht="46.5" outlineLevel="1" x14ac:dyDescent="0.25">
      <c r="A1179" s="1492">
        <f t="shared" si="127"/>
        <v>0</v>
      </c>
      <c r="B1179" s="1492" t="str">
        <f t="shared" si="127"/>
        <v>Supply and commissioning of Energy Optimization &amp; Real Time Analysis system software for Auxiliary Power management of power network</v>
      </c>
      <c r="C1179" s="1488">
        <f t="shared" si="127"/>
        <v>0</v>
      </c>
      <c r="D1179" s="1413" t="str">
        <f t="shared" si="127"/>
        <v>-</v>
      </c>
      <c r="E1179" s="560">
        <f t="shared" si="127"/>
        <v>9</v>
      </c>
      <c r="F1179" s="1508">
        <f t="shared" si="120"/>
        <v>0</v>
      </c>
      <c r="G1179" s="1508">
        <f t="shared" si="121"/>
        <v>0</v>
      </c>
      <c r="H1179" s="1508">
        <f t="shared" si="122"/>
        <v>0</v>
      </c>
      <c r="I1179" s="1480">
        <v>0</v>
      </c>
      <c r="J1179" s="1480">
        <v>0</v>
      </c>
      <c r="K1179" s="1508"/>
      <c r="L1179" s="1508"/>
      <c r="M1179" s="1509">
        <f t="shared" si="123"/>
        <v>0</v>
      </c>
      <c r="N1179" s="1508">
        <f t="shared" si="124"/>
        <v>0</v>
      </c>
    </row>
    <row r="1180" spans="1:14" ht="46.5" outlineLevel="1" x14ac:dyDescent="0.25">
      <c r="A1180" s="1492">
        <f t="shared" si="127"/>
        <v>0</v>
      </c>
      <c r="B1180" s="1492" t="str">
        <f t="shared" si="127"/>
        <v>Supply and installation of advanced Microprocessor based Pump performance monitoring system for water pumping stations for Unit#5,6&amp;7, CSTPS, Chandrapur</v>
      </c>
      <c r="C1180" s="1488">
        <f t="shared" si="127"/>
        <v>0</v>
      </c>
      <c r="D1180" s="1413" t="str">
        <f t="shared" si="127"/>
        <v>-</v>
      </c>
      <c r="E1180" s="560">
        <f t="shared" si="127"/>
        <v>7</v>
      </c>
      <c r="F1180" s="1508">
        <f t="shared" si="120"/>
        <v>0</v>
      </c>
      <c r="G1180" s="1508">
        <f t="shared" si="121"/>
        <v>0</v>
      </c>
      <c r="H1180" s="1508">
        <f t="shared" si="122"/>
        <v>0</v>
      </c>
      <c r="I1180" s="1480">
        <v>0</v>
      </c>
      <c r="J1180" s="1480">
        <v>0</v>
      </c>
      <c r="K1180" s="1508"/>
      <c r="L1180" s="1508"/>
      <c r="M1180" s="1509">
        <f t="shared" si="123"/>
        <v>0</v>
      </c>
      <c r="N1180" s="1508">
        <f t="shared" si="124"/>
        <v>0</v>
      </c>
    </row>
    <row r="1181" spans="1:14" ht="31" outlineLevel="1" x14ac:dyDescent="0.25">
      <c r="A1181" s="1492">
        <f t="shared" si="127"/>
        <v>0</v>
      </c>
      <c r="B1181" s="1492" t="str">
        <f t="shared" si="127"/>
        <v>Upgradation of Online Connectivity and Environmental Monitoring (OCEMS) System at Unit-5,6&amp;7</v>
      </c>
      <c r="C1181" s="1488">
        <f t="shared" si="127"/>
        <v>0</v>
      </c>
      <c r="D1181" s="1413" t="str">
        <f t="shared" si="127"/>
        <v>-</v>
      </c>
      <c r="E1181" s="560">
        <f t="shared" si="127"/>
        <v>4</v>
      </c>
      <c r="F1181" s="1508">
        <f t="shared" si="120"/>
        <v>0</v>
      </c>
      <c r="G1181" s="1508">
        <f t="shared" si="121"/>
        <v>0</v>
      </c>
      <c r="H1181" s="1508">
        <f t="shared" si="122"/>
        <v>0</v>
      </c>
      <c r="I1181" s="1480">
        <v>0</v>
      </c>
      <c r="J1181" s="1480">
        <v>0</v>
      </c>
      <c r="K1181" s="1508"/>
      <c r="L1181" s="1508"/>
      <c r="M1181" s="1509">
        <f t="shared" si="123"/>
        <v>0</v>
      </c>
      <c r="N1181" s="1508">
        <f t="shared" si="124"/>
        <v>0</v>
      </c>
    </row>
    <row r="1182" spans="1:14" ht="15.5" outlineLevel="1" x14ac:dyDescent="0.25">
      <c r="A1182" s="1492">
        <f t="shared" si="127"/>
        <v>0</v>
      </c>
      <c r="B1182" s="1492" t="str">
        <f t="shared" si="127"/>
        <v xml:space="preserve">Procurement of I&amp;C Testing Labouratory Instruments </v>
      </c>
      <c r="C1182" s="1488">
        <f t="shared" si="127"/>
        <v>0</v>
      </c>
      <c r="D1182" s="1413" t="str">
        <f t="shared" si="127"/>
        <v>-</v>
      </c>
      <c r="E1182" s="560">
        <f t="shared" si="127"/>
        <v>2</v>
      </c>
      <c r="F1182" s="1508">
        <f t="shared" si="120"/>
        <v>0</v>
      </c>
      <c r="G1182" s="1508">
        <f t="shared" si="121"/>
        <v>0</v>
      </c>
      <c r="H1182" s="1508">
        <f t="shared" si="122"/>
        <v>0</v>
      </c>
      <c r="I1182" s="1480">
        <v>0</v>
      </c>
      <c r="J1182" s="1480">
        <v>0</v>
      </c>
      <c r="K1182" s="1508"/>
      <c r="L1182" s="1508"/>
      <c r="M1182" s="1509">
        <f t="shared" si="123"/>
        <v>0</v>
      </c>
      <c r="N1182" s="1508">
        <f t="shared" si="124"/>
        <v>0</v>
      </c>
    </row>
    <row r="1183" spans="1:14" ht="31" outlineLevel="1" x14ac:dyDescent="0.25">
      <c r="A1183" s="1492">
        <f t="shared" si="127"/>
        <v>0</v>
      </c>
      <c r="B1183" s="1492" t="str">
        <f t="shared" si="127"/>
        <v xml:space="preserve">Upgradation of various motorised control actuators at Unit-7,  CSTPS,Chandrapur.                              </v>
      </c>
      <c r="C1183" s="1488">
        <f t="shared" si="127"/>
        <v>0</v>
      </c>
      <c r="D1183" s="1413" t="str">
        <f t="shared" si="127"/>
        <v>-</v>
      </c>
      <c r="E1183" s="560">
        <f t="shared" si="127"/>
        <v>4</v>
      </c>
      <c r="F1183" s="1508">
        <f t="shared" si="120"/>
        <v>0</v>
      </c>
      <c r="G1183" s="1508">
        <f t="shared" si="121"/>
        <v>0</v>
      </c>
      <c r="H1183" s="1508">
        <f t="shared" si="122"/>
        <v>0</v>
      </c>
      <c r="I1183" s="1480">
        <v>0</v>
      </c>
      <c r="J1183" s="1480">
        <v>0</v>
      </c>
      <c r="K1183" s="1508"/>
      <c r="L1183" s="1508"/>
      <c r="M1183" s="1509">
        <f t="shared" si="123"/>
        <v>0</v>
      </c>
      <c r="N1183" s="1508">
        <f t="shared" si="124"/>
        <v>0</v>
      </c>
    </row>
    <row r="1184" spans="1:14" ht="15.5" outlineLevel="1" x14ac:dyDescent="0.25">
      <c r="A1184" s="1504">
        <f t="shared" si="127"/>
        <v>0</v>
      </c>
      <c r="B1184" s="1504" t="str">
        <f t="shared" si="127"/>
        <v>ODP-II</v>
      </c>
      <c r="C1184" s="1488">
        <f t="shared" si="127"/>
        <v>0</v>
      </c>
      <c r="D1184" s="1413" t="str">
        <f t="shared" si="127"/>
        <v>-</v>
      </c>
      <c r="E1184" s="560">
        <f t="shared" si="127"/>
        <v>0</v>
      </c>
      <c r="F1184" s="1508">
        <f t="shared" si="120"/>
        <v>0</v>
      </c>
      <c r="G1184" s="1508">
        <f t="shared" si="121"/>
        <v>0</v>
      </c>
      <c r="H1184" s="1508">
        <f t="shared" si="122"/>
        <v>0</v>
      </c>
      <c r="I1184" s="1480">
        <v>0</v>
      </c>
      <c r="J1184" s="1480">
        <v>0</v>
      </c>
      <c r="K1184" s="1508"/>
      <c r="L1184" s="1508"/>
      <c r="M1184" s="1509">
        <f t="shared" si="123"/>
        <v>0</v>
      </c>
      <c r="N1184" s="1508">
        <f t="shared" si="124"/>
        <v>0</v>
      </c>
    </row>
    <row r="1185" spans="1:14" ht="31" outlineLevel="1" x14ac:dyDescent="0.25">
      <c r="A1185" s="1486">
        <f t="shared" si="127"/>
        <v>1</v>
      </c>
      <c r="B1185" s="1491" t="str">
        <f t="shared" si="127"/>
        <v>Complete reconditioning of Condensate cooling water system, Ash raw water system &amp; fire fightning system of U-5,6 &amp; 7</v>
      </c>
      <c r="C1185" s="1488">
        <f t="shared" si="127"/>
        <v>0</v>
      </c>
      <c r="D1185" s="1413" t="str">
        <f t="shared" si="127"/>
        <v>-</v>
      </c>
      <c r="E1185" s="560">
        <f t="shared" si="127"/>
        <v>92</v>
      </c>
      <c r="F1185" s="1508">
        <f t="shared" si="120"/>
        <v>0</v>
      </c>
      <c r="G1185" s="1508">
        <f t="shared" si="121"/>
        <v>0</v>
      </c>
      <c r="H1185" s="1508">
        <f t="shared" si="122"/>
        <v>0</v>
      </c>
      <c r="I1185" s="1480">
        <v>0</v>
      </c>
      <c r="J1185" s="1480">
        <v>0</v>
      </c>
      <c r="K1185" s="1508"/>
      <c r="L1185" s="1508"/>
      <c r="M1185" s="1509">
        <f t="shared" si="123"/>
        <v>0</v>
      </c>
      <c r="N1185" s="1508">
        <f t="shared" si="124"/>
        <v>0</v>
      </c>
    </row>
    <row r="1186" spans="1:14" ht="15.5" outlineLevel="1" x14ac:dyDescent="0.25">
      <c r="A1186" s="1492">
        <f t="shared" si="127"/>
        <v>0</v>
      </c>
      <c r="B1186" s="1492" t="str">
        <f t="shared" si="127"/>
        <v xml:space="preserve"> Complete reconditioning of cooling tower 5A &amp; 5B of Unit -5. </v>
      </c>
      <c r="C1186" s="1488">
        <f t="shared" si="127"/>
        <v>0</v>
      </c>
      <c r="D1186" s="1413" t="str">
        <f t="shared" si="127"/>
        <v>-</v>
      </c>
      <c r="E1186" s="560">
        <f t="shared" si="127"/>
        <v>45</v>
      </c>
      <c r="F1186" s="1508">
        <f t="shared" si="120"/>
        <v>0</v>
      </c>
      <c r="G1186" s="1508">
        <f t="shared" si="121"/>
        <v>0</v>
      </c>
      <c r="H1186" s="1508">
        <f t="shared" si="122"/>
        <v>0</v>
      </c>
      <c r="I1186" s="1480">
        <v>0</v>
      </c>
      <c r="J1186" s="1480">
        <v>0</v>
      </c>
      <c r="K1186" s="1508"/>
      <c r="L1186" s="1508"/>
      <c r="M1186" s="1509">
        <f t="shared" si="123"/>
        <v>0</v>
      </c>
      <c r="N1186" s="1508">
        <f t="shared" si="124"/>
        <v>0</v>
      </c>
    </row>
    <row r="1187" spans="1:14" ht="46.5" outlineLevel="1" x14ac:dyDescent="0.25">
      <c r="A1187" s="1492">
        <f t="shared" si="127"/>
        <v>0</v>
      </c>
      <c r="B1187" s="1492" t="str">
        <f t="shared" si="127"/>
        <v>Revamping of induced draft Cooling tower - 6A &amp; 6B internals with supply &amp; replacement to improve the performance of Cooling tower of Unit -6 (500MW), CSTPS, Chandrapur</v>
      </c>
      <c r="C1187" s="1488">
        <f t="shared" si="127"/>
        <v>0</v>
      </c>
      <c r="D1187" s="1413" t="str">
        <f t="shared" si="127"/>
        <v>-</v>
      </c>
      <c r="E1187" s="560">
        <f t="shared" si="127"/>
        <v>47</v>
      </c>
      <c r="F1187" s="1508">
        <f t="shared" si="120"/>
        <v>0</v>
      </c>
      <c r="G1187" s="1508">
        <f t="shared" si="121"/>
        <v>0</v>
      </c>
      <c r="H1187" s="1508">
        <f t="shared" si="122"/>
        <v>0</v>
      </c>
      <c r="I1187" s="1480">
        <v>0</v>
      </c>
      <c r="J1187" s="1480">
        <v>0</v>
      </c>
      <c r="K1187" s="1508"/>
      <c r="L1187" s="1508"/>
      <c r="M1187" s="1509">
        <f t="shared" si="123"/>
        <v>0</v>
      </c>
      <c r="N1187" s="1508">
        <f t="shared" si="124"/>
        <v>0</v>
      </c>
    </row>
    <row r="1188" spans="1:14" ht="31" outlineLevel="1" x14ac:dyDescent="0.25">
      <c r="A1188" s="1486">
        <f t="shared" si="127"/>
        <v>2</v>
      </c>
      <c r="B1188" s="1491" t="str">
        <f t="shared" si="127"/>
        <v>Replacement of  Complete pump assembly of CCW pump, ACW pump and other schemes</v>
      </c>
      <c r="C1188" s="1488">
        <f t="shared" si="127"/>
        <v>0</v>
      </c>
      <c r="D1188" s="1413" t="str">
        <f t="shared" si="127"/>
        <v>-</v>
      </c>
      <c r="E1188" s="560">
        <f t="shared" si="127"/>
        <v>121</v>
      </c>
      <c r="F1188" s="1508">
        <f t="shared" si="120"/>
        <v>0</v>
      </c>
      <c r="G1188" s="1508">
        <f t="shared" si="121"/>
        <v>0</v>
      </c>
      <c r="H1188" s="1508">
        <f t="shared" si="122"/>
        <v>0</v>
      </c>
      <c r="I1188" s="1480">
        <v>0</v>
      </c>
      <c r="J1188" s="1480">
        <v>0</v>
      </c>
      <c r="K1188" s="1508"/>
      <c r="L1188" s="1508"/>
      <c r="M1188" s="1509">
        <f t="shared" si="123"/>
        <v>0</v>
      </c>
      <c r="N1188" s="1508">
        <f t="shared" si="124"/>
        <v>0</v>
      </c>
    </row>
    <row r="1189" spans="1:14" ht="31" outlineLevel="1" x14ac:dyDescent="0.25">
      <c r="A1189" s="1492">
        <f t="shared" si="127"/>
        <v>0</v>
      </c>
      <c r="B1189" s="1492" t="str">
        <f t="shared" si="127"/>
        <v>Replacement of  Complete pump assembly of CCW pump installed at U-5,6,7.</v>
      </c>
      <c r="C1189" s="1488">
        <f t="shared" si="127"/>
        <v>0</v>
      </c>
      <c r="D1189" s="1413" t="str">
        <f t="shared" si="127"/>
        <v>-</v>
      </c>
      <c r="E1189" s="560">
        <f t="shared" si="127"/>
        <v>100</v>
      </c>
      <c r="F1189" s="1508">
        <f t="shared" si="120"/>
        <v>0</v>
      </c>
      <c r="G1189" s="1508">
        <f t="shared" si="121"/>
        <v>0</v>
      </c>
      <c r="H1189" s="1508">
        <f t="shared" si="122"/>
        <v>0</v>
      </c>
      <c r="I1189" s="1480">
        <v>0</v>
      </c>
      <c r="J1189" s="1480">
        <v>0</v>
      </c>
      <c r="K1189" s="1508"/>
      <c r="L1189" s="1508"/>
      <c r="M1189" s="1509">
        <f t="shared" si="123"/>
        <v>0</v>
      </c>
      <c r="N1189" s="1508">
        <f t="shared" si="124"/>
        <v>0</v>
      </c>
    </row>
    <row r="1190" spans="1:14" ht="31" outlineLevel="1" x14ac:dyDescent="0.25">
      <c r="A1190" s="1492">
        <f t="shared" si="127"/>
        <v>0</v>
      </c>
      <c r="B1190" s="1492" t="str">
        <f t="shared" si="127"/>
        <v xml:space="preserve"> Replacement of  Complete pump assembly of ACW  pump installed at U-5,6,7.</v>
      </c>
      <c r="C1190" s="1488">
        <f t="shared" si="127"/>
        <v>0</v>
      </c>
      <c r="D1190" s="1413" t="str">
        <f t="shared" si="127"/>
        <v>-</v>
      </c>
      <c r="E1190" s="560">
        <f t="shared" si="127"/>
        <v>11</v>
      </c>
      <c r="F1190" s="1508">
        <f t="shared" si="120"/>
        <v>0</v>
      </c>
      <c r="G1190" s="1508">
        <f t="shared" si="121"/>
        <v>0</v>
      </c>
      <c r="H1190" s="1508">
        <f t="shared" si="122"/>
        <v>0</v>
      </c>
      <c r="I1190" s="1480">
        <v>0</v>
      </c>
      <c r="J1190" s="1480">
        <v>0</v>
      </c>
      <c r="K1190" s="1508"/>
      <c r="L1190" s="1508"/>
      <c r="M1190" s="1509">
        <f t="shared" si="123"/>
        <v>0</v>
      </c>
      <c r="N1190" s="1508">
        <f t="shared" si="124"/>
        <v>0</v>
      </c>
    </row>
    <row r="1191" spans="1:14" ht="31" outlineLevel="1" x14ac:dyDescent="0.25">
      <c r="A1191" s="1492">
        <f t="shared" si="127"/>
        <v>0</v>
      </c>
      <c r="B1191" s="1492" t="str">
        <f t="shared" si="127"/>
        <v xml:space="preserve"> Complete reconditioning of Ash Raw water system &amp; DM/NDM system of U- 7. </v>
      </c>
      <c r="C1191" s="1488">
        <f t="shared" si="127"/>
        <v>0</v>
      </c>
      <c r="D1191" s="1413" t="str">
        <f t="shared" si="127"/>
        <v>-</v>
      </c>
      <c r="E1191" s="560">
        <f t="shared" si="127"/>
        <v>8</v>
      </c>
      <c r="F1191" s="1508">
        <f t="shared" si="120"/>
        <v>0</v>
      </c>
      <c r="G1191" s="1508">
        <f t="shared" si="121"/>
        <v>0</v>
      </c>
      <c r="H1191" s="1508">
        <f t="shared" si="122"/>
        <v>0</v>
      </c>
      <c r="I1191" s="1480">
        <v>0</v>
      </c>
      <c r="J1191" s="1480">
        <v>0</v>
      </c>
      <c r="K1191" s="1508"/>
      <c r="L1191" s="1508"/>
      <c r="M1191" s="1509">
        <f t="shared" si="123"/>
        <v>0</v>
      </c>
      <c r="N1191" s="1508">
        <f t="shared" si="124"/>
        <v>0</v>
      </c>
    </row>
    <row r="1192" spans="1:14" ht="31" outlineLevel="1" x14ac:dyDescent="0.25">
      <c r="A1192" s="1492">
        <f t="shared" ref="A1192:E1207" si="128">A522</f>
        <v>0</v>
      </c>
      <c r="B1192" s="1492" t="str">
        <f t="shared" si="128"/>
        <v xml:space="preserve">Complete reconditioning of Fire fightning system of Stage -I, II, III. </v>
      </c>
      <c r="C1192" s="1488">
        <f t="shared" si="128"/>
        <v>0</v>
      </c>
      <c r="D1192" s="1413" t="str">
        <f t="shared" si="128"/>
        <v>-</v>
      </c>
      <c r="E1192" s="560">
        <f t="shared" si="128"/>
        <v>2</v>
      </c>
      <c r="F1192" s="1508">
        <f t="shared" ref="F1192:F1255" si="129">F522+I522</f>
        <v>0</v>
      </c>
      <c r="G1192" s="1508">
        <f t="shared" ref="G1192:G1255" si="130">G522+M522</f>
        <v>0</v>
      </c>
      <c r="H1192" s="1508">
        <f t="shared" si="122"/>
        <v>0</v>
      </c>
      <c r="I1192" s="1480">
        <v>0</v>
      </c>
      <c r="J1192" s="1480">
        <v>0</v>
      </c>
      <c r="K1192" s="1508"/>
      <c r="L1192" s="1508"/>
      <c r="M1192" s="1509">
        <f t="shared" si="123"/>
        <v>0</v>
      </c>
      <c r="N1192" s="1508">
        <f t="shared" si="124"/>
        <v>0</v>
      </c>
    </row>
    <row r="1193" spans="1:14" ht="77.5" outlineLevel="1" x14ac:dyDescent="0.25">
      <c r="A1193" s="1486">
        <f t="shared" si="128"/>
        <v>3</v>
      </c>
      <c r="B1193" s="1491" t="str">
        <f t="shared" si="128"/>
        <v xml:space="preserve">Upgradation of existing DM water system along with supply, erection &amp; Commissioning of PLC panel, Instrumentation, CPVC Pipes &amp; fittings, installed at WTP–500MW, CSTPS, Chandrapur.
</v>
      </c>
      <c r="C1193" s="1488">
        <f t="shared" si="128"/>
        <v>0</v>
      </c>
      <c r="D1193" s="1413" t="str">
        <f t="shared" si="128"/>
        <v>-</v>
      </c>
      <c r="E1193" s="560">
        <f t="shared" si="128"/>
        <v>56</v>
      </c>
      <c r="F1193" s="1508">
        <f t="shared" si="129"/>
        <v>0</v>
      </c>
      <c r="G1193" s="1508">
        <f t="shared" si="130"/>
        <v>0</v>
      </c>
      <c r="H1193" s="1508">
        <f t="shared" si="122"/>
        <v>0</v>
      </c>
      <c r="I1193" s="1480">
        <v>0</v>
      </c>
      <c r="J1193" s="1480">
        <v>0</v>
      </c>
      <c r="K1193" s="1508"/>
      <c r="L1193" s="1508"/>
      <c r="M1193" s="1509">
        <f t="shared" si="123"/>
        <v>0</v>
      </c>
      <c r="N1193" s="1508">
        <f t="shared" si="124"/>
        <v>0</v>
      </c>
    </row>
    <row r="1194" spans="1:14" ht="77.5" outlineLevel="1" x14ac:dyDescent="0.25">
      <c r="A1194" s="1492">
        <f t="shared" si="128"/>
        <v>0</v>
      </c>
      <c r="B1194" s="1492" t="str">
        <f t="shared" si="128"/>
        <v xml:space="preserve">Upgradation of existing DM water system along with supply, erection &amp; Commissioning of PLC panel, Instrumentation, CPVC Pipes &amp; fittings, installed at WTP–500MW, CSTPS, Chandrapur.
</v>
      </c>
      <c r="C1194" s="1488">
        <f t="shared" si="128"/>
        <v>0</v>
      </c>
      <c r="D1194" s="1413" t="str">
        <f t="shared" si="128"/>
        <v>-</v>
      </c>
      <c r="E1194" s="560">
        <f t="shared" si="128"/>
        <v>56</v>
      </c>
      <c r="F1194" s="1508">
        <f t="shared" si="129"/>
        <v>0</v>
      </c>
      <c r="G1194" s="1508">
        <f t="shared" si="130"/>
        <v>0</v>
      </c>
      <c r="H1194" s="1508">
        <f t="shared" si="122"/>
        <v>0</v>
      </c>
      <c r="I1194" s="1480">
        <v>0</v>
      </c>
      <c r="J1194" s="1480">
        <v>0</v>
      </c>
      <c r="K1194" s="1508"/>
      <c r="L1194" s="1508"/>
      <c r="M1194" s="1509">
        <f t="shared" si="123"/>
        <v>0</v>
      </c>
      <c r="N1194" s="1508">
        <f t="shared" si="124"/>
        <v>0</v>
      </c>
    </row>
    <row r="1195" spans="1:14" ht="31" outlineLevel="1" x14ac:dyDescent="0.25">
      <c r="A1195" s="1486">
        <f t="shared" si="128"/>
        <v>4</v>
      </c>
      <c r="B1195" s="1491" t="str">
        <f t="shared" si="128"/>
        <v>Various work for renovation &amp; improvement of ash disposal pipeline system of Unit # 5 &amp; 6 at  CSTPS, Chandrapur.</v>
      </c>
      <c r="C1195" s="1488">
        <f t="shared" si="128"/>
        <v>0</v>
      </c>
      <c r="D1195" s="1413" t="str">
        <f t="shared" si="128"/>
        <v>-</v>
      </c>
      <c r="E1195" s="560">
        <f t="shared" si="128"/>
        <v>58.37</v>
      </c>
      <c r="F1195" s="1508">
        <f t="shared" si="129"/>
        <v>0</v>
      </c>
      <c r="G1195" s="1508">
        <f t="shared" si="130"/>
        <v>0</v>
      </c>
      <c r="H1195" s="1508">
        <f t="shared" si="122"/>
        <v>0</v>
      </c>
      <c r="I1195" s="1480">
        <v>0</v>
      </c>
      <c r="J1195" s="1480">
        <v>0</v>
      </c>
      <c r="K1195" s="1508"/>
      <c r="L1195" s="1508"/>
      <c r="M1195" s="1509">
        <f t="shared" si="123"/>
        <v>0</v>
      </c>
      <c r="N1195" s="1508">
        <f t="shared" si="124"/>
        <v>0</v>
      </c>
    </row>
    <row r="1196" spans="1:14" ht="31" outlineLevel="1" x14ac:dyDescent="0.25">
      <c r="A1196" s="1492">
        <f t="shared" si="128"/>
        <v>0</v>
      </c>
      <c r="B1196" s="1492" t="str">
        <f t="shared" si="128"/>
        <v>Supply, Erection &amp; commissioning of third 400 NB ash slurry disposal pipeline for Unit #5 at CSTPS, Chandrapur</v>
      </c>
      <c r="C1196" s="1488">
        <f t="shared" si="128"/>
        <v>0</v>
      </c>
      <c r="D1196" s="1413" t="str">
        <f t="shared" si="128"/>
        <v>-</v>
      </c>
      <c r="E1196" s="560">
        <f t="shared" si="128"/>
        <v>20.190000000000001</v>
      </c>
      <c r="F1196" s="1508">
        <f t="shared" si="129"/>
        <v>0</v>
      </c>
      <c r="G1196" s="1508">
        <f t="shared" si="130"/>
        <v>0</v>
      </c>
      <c r="H1196" s="1508">
        <f t="shared" si="122"/>
        <v>0</v>
      </c>
      <c r="I1196" s="1480">
        <v>0</v>
      </c>
      <c r="J1196" s="1480">
        <v>0</v>
      </c>
      <c r="K1196" s="1508"/>
      <c r="L1196" s="1508"/>
      <c r="M1196" s="1509">
        <f t="shared" si="123"/>
        <v>0</v>
      </c>
      <c r="N1196" s="1508">
        <f t="shared" si="124"/>
        <v>0</v>
      </c>
    </row>
    <row r="1197" spans="1:14" ht="46.5" outlineLevel="1" x14ac:dyDescent="0.25">
      <c r="A1197" s="1492">
        <f t="shared" si="128"/>
        <v>0</v>
      </c>
      <c r="B1197" s="1492" t="str">
        <f t="shared" si="128"/>
        <v>Supply, Erection, Replacement of 400 NB MSERW pipes of existing Ash disposal pipelines of Unit # 5 &amp; 6 in ‘B’ &amp; ‘C’ zone at CSTPS, Chandrapur.</v>
      </c>
      <c r="C1197" s="1488">
        <f t="shared" si="128"/>
        <v>0</v>
      </c>
      <c r="D1197" s="1413" t="str">
        <f t="shared" si="128"/>
        <v>-</v>
      </c>
      <c r="E1197" s="560">
        <f t="shared" si="128"/>
        <v>38.18</v>
      </c>
      <c r="F1197" s="1508">
        <f t="shared" si="129"/>
        <v>0</v>
      </c>
      <c r="G1197" s="1508">
        <f t="shared" si="130"/>
        <v>0</v>
      </c>
      <c r="H1197" s="1508">
        <f t="shared" si="122"/>
        <v>0</v>
      </c>
      <c r="I1197" s="1480">
        <v>0</v>
      </c>
      <c r="J1197" s="1480">
        <v>0</v>
      </c>
      <c r="K1197" s="1508"/>
      <c r="L1197" s="1508"/>
      <c r="M1197" s="1509">
        <f t="shared" si="123"/>
        <v>0</v>
      </c>
      <c r="N1197" s="1508">
        <f t="shared" si="124"/>
        <v>0</v>
      </c>
    </row>
    <row r="1198" spans="1:14" ht="46.5" outlineLevel="1" x14ac:dyDescent="0.25">
      <c r="A1198" s="1486">
        <f t="shared" si="128"/>
        <v>5</v>
      </c>
      <c r="B1198" s="1491" t="str">
        <f t="shared" si="128"/>
        <v>Design, engineering, supply, installation and commissioning of disposal of bottom ash in under ground mines at Chandrapur area WCL at CSTPS, Chandrapur</v>
      </c>
      <c r="C1198" s="1488">
        <f t="shared" si="128"/>
        <v>0</v>
      </c>
      <c r="D1198" s="1413" t="str">
        <f t="shared" si="128"/>
        <v>-</v>
      </c>
      <c r="E1198" s="560">
        <f t="shared" si="128"/>
        <v>27.55</v>
      </c>
      <c r="F1198" s="1508">
        <f t="shared" si="129"/>
        <v>0</v>
      </c>
      <c r="G1198" s="1508">
        <f t="shared" si="130"/>
        <v>0</v>
      </c>
      <c r="H1198" s="1508">
        <f t="shared" si="122"/>
        <v>0</v>
      </c>
      <c r="I1198" s="1480">
        <v>0</v>
      </c>
      <c r="J1198" s="1480">
        <v>0</v>
      </c>
      <c r="K1198" s="1508"/>
      <c r="L1198" s="1508"/>
      <c r="M1198" s="1509">
        <f t="shared" si="123"/>
        <v>0</v>
      </c>
      <c r="N1198" s="1508">
        <f t="shared" si="124"/>
        <v>0</v>
      </c>
    </row>
    <row r="1199" spans="1:14" ht="46.5" outlineLevel="1" x14ac:dyDescent="0.25">
      <c r="A1199" s="1492">
        <f t="shared" si="128"/>
        <v>0</v>
      </c>
      <c r="B1199" s="1492" t="str">
        <f t="shared" si="128"/>
        <v>Design, engineering, supply, installation and commissioning of disposal of bottom ash in under ground mines at Chandrapur area WCL at CSTPS, Chandrapur</v>
      </c>
      <c r="C1199" s="1488">
        <f t="shared" si="128"/>
        <v>0</v>
      </c>
      <c r="D1199" s="1413" t="str">
        <f t="shared" si="128"/>
        <v>-</v>
      </c>
      <c r="E1199" s="560">
        <f t="shared" si="128"/>
        <v>27.55</v>
      </c>
      <c r="F1199" s="1508">
        <f t="shared" si="129"/>
        <v>0</v>
      </c>
      <c r="G1199" s="1508">
        <f t="shared" si="130"/>
        <v>0</v>
      </c>
      <c r="H1199" s="1508">
        <f t="shared" si="122"/>
        <v>0</v>
      </c>
      <c r="I1199" s="1480">
        <v>0</v>
      </c>
      <c r="J1199" s="1480">
        <v>0</v>
      </c>
      <c r="K1199" s="1508"/>
      <c r="L1199" s="1508"/>
      <c r="M1199" s="1509">
        <f t="shared" si="123"/>
        <v>0</v>
      </c>
      <c r="N1199" s="1508">
        <f t="shared" si="124"/>
        <v>0</v>
      </c>
    </row>
    <row r="1200" spans="1:14" ht="31" outlineLevel="1" x14ac:dyDescent="0.25">
      <c r="A1200" s="1486">
        <f t="shared" si="128"/>
        <v>6</v>
      </c>
      <c r="B1200" s="1491" t="str">
        <f t="shared" si="128"/>
        <v>Supply and replacement of 400 NB MSERW pipe lines of ash disposal system in Ash Handling Plant at CSTPS, Chandrapur.</v>
      </c>
      <c r="C1200" s="1488">
        <f t="shared" si="128"/>
        <v>0</v>
      </c>
      <c r="D1200" s="1413" t="str">
        <f t="shared" si="128"/>
        <v>-</v>
      </c>
      <c r="E1200" s="560">
        <f t="shared" si="128"/>
        <v>81.06</v>
      </c>
      <c r="F1200" s="1508">
        <f t="shared" si="129"/>
        <v>0</v>
      </c>
      <c r="G1200" s="1508">
        <f t="shared" si="130"/>
        <v>0</v>
      </c>
      <c r="H1200" s="1508">
        <f t="shared" si="122"/>
        <v>0</v>
      </c>
      <c r="I1200" s="1480">
        <v>0</v>
      </c>
      <c r="J1200" s="1480">
        <v>0</v>
      </c>
      <c r="K1200" s="1508"/>
      <c r="L1200" s="1508"/>
      <c r="M1200" s="1509">
        <f t="shared" si="123"/>
        <v>0</v>
      </c>
      <c r="N1200" s="1508">
        <f t="shared" si="124"/>
        <v>0</v>
      </c>
    </row>
    <row r="1201" spans="1:14" ht="46.5" outlineLevel="1" x14ac:dyDescent="0.25">
      <c r="A1201" s="1492">
        <f t="shared" si="128"/>
        <v>0</v>
      </c>
      <c r="B1201" s="1492" t="str">
        <f t="shared" si="128"/>
        <v>Procurement and replacement of 400 NB MSERW pipe lines of ash disposal system in Ash Handling Plant at CSTPS, Chandrapur.</v>
      </c>
      <c r="C1201" s="1488">
        <f t="shared" si="128"/>
        <v>0</v>
      </c>
      <c r="D1201" s="1413" t="str">
        <f t="shared" si="128"/>
        <v>-</v>
      </c>
      <c r="E1201" s="560">
        <f t="shared" si="128"/>
        <v>81.06</v>
      </c>
      <c r="F1201" s="1508">
        <f t="shared" si="129"/>
        <v>0</v>
      </c>
      <c r="G1201" s="1508">
        <f t="shared" si="130"/>
        <v>0</v>
      </c>
      <c r="H1201" s="1508">
        <f t="shared" si="122"/>
        <v>0</v>
      </c>
      <c r="I1201" s="1480">
        <v>0</v>
      </c>
      <c r="J1201" s="1480">
        <v>0</v>
      </c>
      <c r="K1201" s="1508"/>
      <c r="L1201" s="1508"/>
      <c r="M1201" s="1509">
        <f t="shared" si="123"/>
        <v>0</v>
      </c>
      <c r="N1201" s="1508">
        <f t="shared" si="124"/>
        <v>0</v>
      </c>
    </row>
    <row r="1202" spans="1:14" ht="15.5" outlineLevel="1" x14ac:dyDescent="0.25">
      <c r="A1202" s="1504">
        <f t="shared" si="128"/>
        <v>0</v>
      </c>
      <c r="B1202" s="1504" t="str">
        <f t="shared" si="128"/>
        <v>WTP-II</v>
      </c>
      <c r="C1202" s="1488">
        <f t="shared" si="128"/>
        <v>0</v>
      </c>
      <c r="D1202" s="1413" t="str">
        <f t="shared" si="128"/>
        <v>-</v>
      </c>
      <c r="E1202" s="560">
        <f t="shared" si="128"/>
        <v>0</v>
      </c>
      <c r="F1202" s="1508">
        <f t="shared" si="129"/>
        <v>0</v>
      </c>
      <c r="G1202" s="1508">
        <f t="shared" si="130"/>
        <v>0</v>
      </c>
      <c r="H1202" s="1508">
        <f t="shared" si="122"/>
        <v>0</v>
      </c>
      <c r="I1202" s="1480">
        <v>0</v>
      </c>
      <c r="J1202" s="1480">
        <v>0</v>
      </c>
      <c r="K1202" s="1508"/>
      <c r="L1202" s="1508"/>
      <c r="M1202" s="1509">
        <f t="shared" si="123"/>
        <v>0</v>
      </c>
      <c r="N1202" s="1508">
        <f t="shared" si="124"/>
        <v>0</v>
      </c>
    </row>
    <row r="1203" spans="1:14" ht="31" outlineLevel="1" x14ac:dyDescent="0.25">
      <c r="A1203" s="1486">
        <f t="shared" si="128"/>
        <v>1</v>
      </c>
      <c r="B1203" s="1491" t="str">
        <f t="shared" si="128"/>
        <v xml:space="preserve">SWAS system &amp; STREAM FILTRATION FOR COOLING WATER SYSTEM </v>
      </c>
      <c r="C1203" s="1488">
        <f t="shared" si="128"/>
        <v>0</v>
      </c>
      <c r="D1203" s="1413" t="str">
        <f t="shared" si="128"/>
        <v>-</v>
      </c>
      <c r="E1203" s="560">
        <f t="shared" si="128"/>
        <v>95.65</v>
      </c>
      <c r="F1203" s="1508">
        <f t="shared" si="129"/>
        <v>0</v>
      </c>
      <c r="G1203" s="1508">
        <f t="shared" si="130"/>
        <v>0</v>
      </c>
      <c r="H1203" s="1508">
        <f t="shared" si="122"/>
        <v>0</v>
      </c>
      <c r="I1203" s="1480">
        <v>0</v>
      </c>
      <c r="J1203" s="1480">
        <v>0</v>
      </c>
      <c r="K1203" s="1508"/>
      <c r="L1203" s="1508"/>
      <c r="M1203" s="1509">
        <f t="shared" si="123"/>
        <v>0</v>
      </c>
      <c r="N1203" s="1508">
        <f t="shared" si="124"/>
        <v>0</v>
      </c>
    </row>
    <row r="1204" spans="1:14" ht="31" outlineLevel="1" x14ac:dyDescent="0.25">
      <c r="A1204" s="1492">
        <f t="shared" si="128"/>
        <v>0</v>
      </c>
      <c r="B1204" s="1492" t="str">
        <f t="shared" si="128"/>
        <v>Revamping of SWAS system at 3 x 500 MW at WTP-II of CSTPS, Chandrapur</v>
      </c>
      <c r="C1204" s="1488">
        <f t="shared" si="128"/>
        <v>0</v>
      </c>
      <c r="D1204" s="1413" t="str">
        <f t="shared" si="128"/>
        <v>-</v>
      </c>
      <c r="E1204" s="560">
        <f t="shared" si="128"/>
        <v>16</v>
      </c>
      <c r="F1204" s="1508">
        <f t="shared" si="129"/>
        <v>0</v>
      </c>
      <c r="G1204" s="1508">
        <f t="shared" si="130"/>
        <v>0</v>
      </c>
      <c r="H1204" s="1508">
        <f t="shared" si="122"/>
        <v>0</v>
      </c>
      <c r="I1204" s="1480">
        <v>0</v>
      </c>
      <c r="J1204" s="1480">
        <v>0</v>
      </c>
      <c r="K1204" s="1508"/>
      <c r="L1204" s="1508"/>
      <c r="M1204" s="1509">
        <f t="shared" si="123"/>
        <v>0</v>
      </c>
      <c r="N1204" s="1508">
        <f t="shared" si="124"/>
        <v>0</v>
      </c>
    </row>
    <row r="1205" spans="1:14" ht="31" outlineLevel="1" x14ac:dyDescent="0.25">
      <c r="A1205" s="1492">
        <f t="shared" si="128"/>
        <v>0</v>
      </c>
      <c r="B1205" s="1492" t="str">
        <f t="shared" si="128"/>
        <v>STREAM FILTRATION FOR COOLING WATER SYSTEM OF UNIT 5,6,7,8 and 9 OF CSTPS CHANDRAPUR</v>
      </c>
      <c r="C1205" s="1488">
        <f t="shared" si="128"/>
        <v>0</v>
      </c>
      <c r="D1205" s="1413" t="str">
        <f t="shared" si="128"/>
        <v>-</v>
      </c>
      <c r="E1205" s="560">
        <f t="shared" si="128"/>
        <v>85.529939999999996</v>
      </c>
      <c r="F1205" s="1508">
        <f t="shared" si="129"/>
        <v>0</v>
      </c>
      <c r="G1205" s="1508">
        <f t="shared" si="130"/>
        <v>0</v>
      </c>
      <c r="H1205" s="1508">
        <f t="shared" si="122"/>
        <v>0</v>
      </c>
      <c r="I1205" s="1480">
        <v>0</v>
      </c>
      <c r="J1205" s="1480">
        <v>0</v>
      </c>
      <c r="K1205" s="1508"/>
      <c r="L1205" s="1508"/>
      <c r="M1205" s="1509">
        <f t="shared" si="123"/>
        <v>0</v>
      </c>
      <c r="N1205" s="1508">
        <f t="shared" si="124"/>
        <v>0</v>
      </c>
    </row>
    <row r="1206" spans="1:14" ht="15.5" outlineLevel="1" x14ac:dyDescent="0.25">
      <c r="A1206" s="1504">
        <f t="shared" si="128"/>
        <v>0</v>
      </c>
      <c r="B1206" s="1504" t="str">
        <f t="shared" si="128"/>
        <v>CHP-B</v>
      </c>
      <c r="C1206" s="1488">
        <f t="shared" si="128"/>
        <v>0</v>
      </c>
      <c r="D1206" s="1413" t="str">
        <f t="shared" si="128"/>
        <v>-</v>
      </c>
      <c r="E1206" s="560">
        <f t="shared" si="128"/>
        <v>0</v>
      </c>
      <c r="F1206" s="1508">
        <f t="shared" si="129"/>
        <v>0</v>
      </c>
      <c r="G1206" s="1508">
        <f t="shared" si="130"/>
        <v>0</v>
      </c>
      <c r="H1206" s="1508">
        <f t="shared" ref="H1206:H1269" si="131">F1206-G1206</f>
        <v>0</v>
      </c>
      <c r="I1206" s="1480">
        <v>0</v>
      </c>
      <c r="J1206" s="1480">
        <v>0</v>
      </c>
      <c r="K1206" s="1508"/>
      <c r="L1206" s="1508"/>
      <c r="M1206" s="1509">
        <f t="shared" ref="M1206:M1269" si="132">SUM(J1206:L1206)</f>
        <v>0</v>
      </c>
      <c r="N1206" s="1508">
        <f t="shared" ref="N1206:N1269" si="133">H1206+I1206-M1206</f>
        <v>0</v>
      </c>
    </row>
    <row r="1207" spans="1:14" ht="46.5" outlineLevel="1" x14ac:dyDescent="0.25">
      <c r="A1207" s="1486">
        <f t="shared" si="128"/>
        <v>1</v>
      </c>
      <c r="B1207" s="1491" t="str">
        <f t="shared" si="128"/>
        <v xml:space="preserve">Renovation of Bunker Hopper of Unit 5&amp;6 along with coal flow system &amp;  Design, Engineering, Manufacturing, Fabrication, Erection and commissioning of Modified Wobbler Feeder at CHPC </v>
      </c>
      <c r="C1207" s="1488">
        <f t="shared" si="128"/>
        <v>0</v>
      </c>
      <c r="D1207" s="1413" t="str">
        <f t="shared" si="128"/>
        <v>-</v>
      </c>
      <c r="E1207" s="560">
        <f t="shared" si="128"/>
        <v>38</v>
      </c>
      <c r="F1207" s="1508">
        <f t="shared" si="129"/>
        <v>0</v>
      </c>
      <c r="G1207" s="1508">
        <f t="shared" si="130"/>
        <v>0</v>
      </c>
      <c r="H1207" s="1508">
        <f t="shared" si="131"/>
        <v>0</v>
      </c>
      <c r="I1207" s="1480">
        <v>0</v>
      </c>
      <c r="J1207" s="1480">
        <v>0</v>
      </c>
      <c r="K1207" s="1508"/>
      <c r="L1207" s="1508"/>
      <c r="M1207" s="1509">
        <f t="shared" si="132"/>
        <v>0</v>
      </c>
      <c r="N1207" s="1508">
        <f t="shared" si="133"/>
        <v>0</v>
      </c>
    </row>
    <row r="1208" spans="1:14" ht="46.5" outlineLevel="1" x14ac:dyDescent="0.25">
      <c r="A1208" s="1492">
        <f t="shared" ref="A1208:E1223" si="134">A538</f>
        <v>0</v>
      </c>
      <c r="B1208" s="1492" t="str">
        <f t="shared" si="134"/>
        <v>Scheme-1 Work of Modification,Upgradation &amp; renovation of Bunker Hopper of Unit 5&amp;6 along with coal flow system at CSTPS Chandrapur</v>
      </c>
      <c r="C1208" s="1488">
        <f t="shared" si="134"/>
        <v>0</v>
      </c>
      <c r="D1208" s="1413" t="str">
        <f t="shared" si="134"/>
        <v>-</v>
      </c>
      <c r="E1208" s="560">
        <f t="shared" si="134"/>
        <v>16</v>
      </c>
      <c r="F1208" s="1508">
        <f t="shared" si="129"/>
        <v>0</v>
      </c>
      <c r="G1208" s="1508">
        <f t="shared" si="130"/>
        <v>0</v>
      </c>
      <c r="H1208" s="1508">
        <f t="shared" si="131"/>
        <v>0</v>
      </c>
      <c r="I1208" s="1480">
        <v>0</v>
      </c>
      <c r="J1208" s="1480">
        <v>0</v>
      </c>
      <c r="K1208" s="1508"/>
      <c r="L1208" s="1508"/>
      <c r="M1208" s="1509">
        <f t="shared" si="132"/>
        <v>0</v>
      </c>
      <c r="N1208" s="1508">
        <f t="shared" si="133"/>
        <v>0</v>
      </c>
    </row>
    <row r="1209" spans="1:14" ht="31" outlineLevel="1" x14ac:dyDescent="0.25">
      <c r="A1209" s="1492">
        <f t="shared" si="134"/>
        <v>0</v>
      </c>
      <c r="B1209" s="1492" t="str">
        <f t="shared" si="134"/>
        <v>Scheme-2 :- Renovation &amp; up gradation of conveyor gantries &amp; Travelling Tripper of CHPB.</v>
      </c>
      <c r="C1209" s="1488">
        <f t="shared" si="134"/>
        <v>0</v>
      </c>
      <c r="D1209" s="1413" t="str">
        <f t="shared" si="134"/>
        <v>-</v>
      </c>
      <c r="E1209" s="560">
        <f t="shared" si="134"/>
        <v>7</v>
      </c>
      <c r="F1209" s="1508">
        <f t="shared" si="129"/>
        <v>0</v>
      </c>
      <c r="G1209" s="1508">
        <f t="shared" si="130"/>
        <v>0</v>
      </c>
      <c r="H1209" s="1508">
        <f t="shared" si="131"/>
        <v>0</v>
      </c>
      <c r="I1209" s="1480">
        <v>0</v>
      </c>
      <c r="J1209" s="1480">
        <v>0</v>
      </c>
      <c r="K1209" s="1508"/>
      <c r="L1209" s="1508"/>
      <c r="M1209" s="1509">
        <f t="shared" si="132"/>
        <v>0</v>
      </c>
      <c r="N1209" s="1508">
        <f t="shared" si="133"/>
        <v>0</v>
      </c>
    </row>
    <row r="1210" spans="1:14" ht="46.5" outlineLevel="1" x14ac:dyDescent="0.25">
      <c r="A1210" s="1492">
        <f t="shared" si="134"/>
        <v>0</v>
      </c>
      <c r="B1210" s="1492" t="str">
        <f t="shared" si="134"/>
        <v>Scheme-3 :- Design, Engineering, Manufacturing, Fabrication, Erection and commissioning of Modified Wobbler Feeder at CHPC of Unit 6&amp;7 of CSTPS Chandrapur</v>
      </c>
      <c r="C1210" s="1488">
        <f t="shared" si="134"/>
        <v>0</v>
      </c>
      <c r="D1210" s="1413" t="str">
        <f t="shared" si="134"/>
        <v>-</v>
      </c>
      <c r="E1210" s="560">
        <f t="shared" si="134"/>
        <v>5</v>
      </c>
      <c r="F1210" s="1508">
        <f t="shared" si="129"/>
        <v>0</v>
      </c>
      <c r="G1210" s="1508">
        <f t="shared" si="130"/>
        <v>0</v>
      </c>
      <c r="H1210" s="1508">
        <f t="shared" si="131"/>
        <v>0</v>
      </c>
      <c r="I1210" s="1480">
        <v>0</v>
      </c>
      <c r="J1210" s="1480">
        <v>0</v>
      </c>
      <c r="K1210" s="1508"/>
      <c r="L1210" s="1508"/>
      <c r="M1210" s="1509">
        <f t="shared" si="132"/>
        <v>0</v>
      </c>
      <c r="N1210" s="1508">
        <f t="shared" si="133"/>
        <v>0</v>
      </c>
    </row>
    <row r="1211" spans="1:14" ht="31" outlineLevel="1" x14ac:dyDescent="0.25">
      <c r="A1211" s="1486">
        <f t="shared" si="134"/>
        <v>2</v>
      </c>
      <c r="B1211" s="1491" t="str">
        <f t="shared" si="134"/>
        <v xml:space="preserve">installation &amp; commissioning of various LV and MV drives at CHPA &amp; Automation of Control Room of CHPA/B </v>
      </c>
      <c r="C1211" s="1488">
        <f t="shared" si="134"/>
        <v>0</v>
      </c>
      <c r="D1211" s="1413" t="str">
        <f t="shared" si="134"/>
        <v>-</v>
      </c>
      <c r="E1211" s="560">
        <f t="shared" si="134"/>
        <v>75</v>
      </c>
      <c r="F1211" s="1508">
        <f t="shared" si="129"/>
        <v>0</v>
      </c>
      <c r="G1211" s="1508">
        <f t="shared" si="130"/>
        <v>0</v>
      </c>
      <c r="H1211" s="1508">
        <f t="shared" si="131"/>
        <v>0</v>
      </c>
      <c r="I1211" s="1480">
        <v>0</v>
      </c>
      <c r="J1211" s="1480">
        <v>0</v>
      </c>
      <c r="K1211" s="1508"/>
      <c r="L1211" s="1508"/>
      <c r="M1211" s="1509">
        <f t="shared" si="132"/>
        <v>0</v>
      </c>
      <c r="N1211" s="1508">
        <f t="shared" si="133"/>
        <v>0</v>
      </c>
    </row>
    <row r="1212" spans="1:14" ht="31" outlineLevel="1" x14ac:dyDescent="0.25">
      <c r="A1212" s="1492">
        <f t="shared" si="134"/>
        <v>0</v>
      </c>
      <c r="B1212" s="1492" t="str">
        <f t="shared" si="134"/>
        <v>Scheme-1 Design, Engineering, supply, installation &amp; commissioning of various LV and MV drives at CHPA</v>
      </c>
      <c r="C1212" s="1488">
        <f t="shared" si="134"/>
        <v>0</v>
      </c>
      <c r="D1212" s="1413" t="str">
        <f t="shared" si="134"/>
        <v>-</v>
      </c>
      <c r="E1212" s="560">
        <f t="shared" si="134"/>
        <v>39</v>
      </c>
      <c r="F1212" s="1508">
        <f t="shared" si="129"/>
        <v>0</v>
      </c>
      <c r="G1212" s="1508">
        <f t="shared" si="130"/>
        <v>0</v>
      </c>
      <c r="H1212" s="1508">
        <f t="shared" si="131"/>
        <v>0</v>
      </c>
      <c r="I1212" s="1480">
        <v>0</v>
      </c>
      <c r="J1212" s="1480">
        <v>0</v>
      </c>
      <c r="K1212" s="1508"/>
      <c r="L1212" s="1508"/>
      <c r="M1212" s="1509">
        <f t="shared" si="132"/>
        <v>0</v>
      </c>
      <c r="N1212" s="1508">
        <f t="shared" si="133"/>
        <v>0</v>
      </c>
    </row>
    <row r="1213" spans="1:14" ht="15.5" outlineLevel="1" x14ac:dyDescent="0.25">
      <c r="A1213" s="1492">
        <f t="shared" si="134"/>
        <v>0</v>
      </c>
      <c r="B1213" s="1492" t="str">
        <f t="shared" si="134"/>
        <v xml:space="preserve">Scheme-2 Automation of Control Room of CHPA/B </v>
      </c>
      <c r="C1213" s="1488">
        <f t="shared" si="134"/>
        <v>0</v>
      </c>
      <c r="D1213" s="1413" t="str">
        <f t="shared" si="134"/>
        <v>-</v>
      </c>
      <c r="E1213" s="560">
        <f t="shared" si="134"/>
        <v>15</v>
      </c>
      <c r="F1213" s="1508">
        <f t="shared" si="129"/>
        <v>0</v>
      </c>
      <c r="G1213" s="1508">
        <f t="shared" si="130"/>
        <v>0</v>
      </c>
      <c r="H1213" s="1508">
        <f t="shared" si="131"/>
        <v>0</v>
      </c>
      <c r="I1213" s="1480">
        <v>0</v>
      </c>
      <c r="J1213" s="1480">
        <v>0</v>
      </c>
      <c r="K1213" s="1508"/>
      <c r="L1213" s="1508"/>
      <c r="M1213" s="1509">
        <f t="shared" si="132"/>
        <v>0</v>
      </c>
      <c r="N1213" s="1508">
        <f t="shared" si="133"/>
        <v>0</v>
      </c>
    </row>
    <row r="1214" spans="1:14" ht="31" outlineLevel="1" x14ac:dyDescent="0.25">
      <c r="A1214" s="1492">
        <f t="shared" si="134"/>
        <v>0</v>
      </c>
      <c r="B1214" s="1492" t="str">
        <f t="shared" si="134"/>
        <v>Scheme-3 Design, Engineering, supply, installation &amp; commissioning of various MV VFD for Crusher 1,2,3&amp;4 at CHPB</v>
      </c>
      <c r="C1214" s="1488">
        <f t="shared" si="134"/>
        <v>0</v>
      </c>
      <c r="D1214" s="1413" t="str">
        <f t="shared" si="134"/>
        <v>-</v>
      </c>
      <c r="E1214" s="560">
        <f t="shared" si="134"/>
        <v>11</v>
      </c>
      <c r="F1214" s="1508">
        <f t="shared" si="129"/>
        <v>0</v>
      </c>
      <c r="G1214" s="1508">
        <f t="shared" si="130"/>
        <v>0</v>
      </c>
      <c r="H1214" s="1508">
        <f t="shared" si="131"/>
        <v>0</v>
      </c>
      <c r="I1214" s="1480">
        <v>0</v>
      </c>
      <c r="J1214" s="1480">
        <v>0</v>
      </c>
      <c r="K1214" s="1508"/>
      <c r="L1214" s="1508"/>
      <c r="M1214" s="1509">
        <f t="shared" si="132"/>
        <v>0</v>
      </c>
      <c r="N1214" s="1508">
        <f t="shared" si="133"/>
        <v>0</v>
      </c>
    </row>
    <row r="1215" spans="1:14" ht="31" outlineLevel="1" x14ac:dyDescent="0.25">
      <c r="A1215" s="1492">
        <f t="shared" si="134"/>
        <v>0</v>
      </c>
      <c r="B1215" s="1492" t="str">
        <f t="shared" si="134"/>
        <v>Scheme-4:- Renovation modernization of 11 KV PMCC Board at Sub-Station-2 of CHPB</v>
      </c>
      <c r="C1215" s="1488">
        <f t="shared" si="134"/>
        <v>0</v>
      </c>
      <c r="D1215" s="1413" t="str">
        <f t="shared" si="134"/>
        <v>-</v>
      </c>
      <c r="E1215" s="560">
        <f t="shared" si="134"/>
        <v>10</v>
      </c>
      <c r="F1215" s="1508">
        <f t="shared" si="129"/>
        <v>0</v>
      </c>
      <c r="G1215" s="1508">
        <f t="shared" si="130"/>
        <v>0</v>
      </c>
      <c r="H1215" s="1508">
        <f t="shared" si="131"/>
        <v>0</v>
      </c>
      <c r="I1215" s="1480">
        <v>0</v>
      </c>
      <c r="J1215" s="1480">
        <v>0</v>
      </c>
      <c r="K1215" s="1508"/>
      <c r="L1215" s="1508"/>
      <c r="M1215" s="1509">
        <f t="shared" si="132"/>
        <v>0</v>
      </c>
      <c r="N1215" s="1508">
        <f t="shared" si="133"/>
        <v>0</v>
      </c>
    </row>
    <row r="1216" spans="1:14" ht="46.5" outlineLevel="1" x14ac:dyDescent="0.25">
      <c r="A1216" s="1486">
        <f t="shared" si="134"/>
        <v>3</v>
      </c>
      <c r="B1216" s="1491" t="str">
        <f t="shared" si="134"/>
        <v>Renovation &amp; Upgrdation of Bunker lift &amp; Desgin, Engineering, supply, installation &amp; commissioning of Energy chain system at various locations of CHPB &amp; CHPC</v>
      </c>
      <c r="C1216" s="1488">
        <f t="shared" si="134"/>
        <v>0</v>
      </c>
      <c r="D1216" s="1413" t="str">
        <f t="shared" si="134"/>
        <v>-</v>
      </c>
      <c r="E1216" s="560">
        <f t="shared" si="134"/>
        <v>29</v>
      </c>
      <c r="F1216" s="1508">
        <f t="shared" si="129"/>
        <v>0</v>
      </c>
      <c r="G1216" s="1508">
        <f t="shared" si="130"/>
        <v>0</v>
      </c>
      <c r="H1216" s="1508">
        <f t="shared" si="131"/>
        <v>0</v>
      </c>
      <c r="I1216" s="1480">
        <v>0</v>
      </c>
      <c r="J1216" s="1480">
        <v>0</v>
      </c>
      <c r="K1216" s="1508"/>
      <c r="L1216" s="1508"/>
      <c r="M1216" s="1509">
        <f t="shared" si="132"/>
        <v>0</v>
      </c>
      <c r="N1216" s="1508">
        <f t="shared" si="133"/>
        <v>0</v>
      </c>
    </row>
    <row r="1217" spans="1:14" ht="31" outlineLevel="1" x14ac:dyDescent="0.25">
      <c r="A1217" s="1492">
        <f t="shared" si="134"/>
        <v>0</v>
      </c>
      <c r="B1217" s="1492" t="str">
        <f t="shared" si="134"/>
        <v>Scheme-1: Renovation &amp; Upgrdation of Bunker lift of Unit 5,6&amp;7 of CHPB</v>
      </c>
      <c r="C1217" s="1488">
        <f t="shared" si="134"/>
        <v>0</v>
      </c>
      <c r="D1217" s="1413" t="str">
        <f t="shared" si="134"/>
        <v>-</v>
      </c>
      <c r="E1217" s="560">
        <f t="shared" si="134"/>
        <v>9</v>
      </c>
      <c r="F1217" s="1508">
        <f t="shared" si="129"/>
        <v>0</v>
      </c>
      <c r="G1217" s="1508">
        <f t="shared" si="130"/>
        <v>0</v>
      </c>
      <c r="H1217" s="1508">
        <f t="shared" si="131"/>
        <v>0</v>
      </c>
      <c r="I1217" s="1480">
        <v>0</v>
      </c>
      <c r="J1217" s="1480">
        <v>0</v>
      </c>
      <c r="K1217" s="1508"/>
      <c r="L1217" s="1508"/>
      <c r="M1217" s="1509">
        <f t="shared" si="132"/>
        <v>0</v>
      </c>
      <c r="N1217" s="1508">
        <f t="shared" si="133"/>
        <v>0</v>
      </c>
    </row>
    <row r="1218" spans="1:14" ht="46.5" outlineLevel="1" x14ac:dyDescent="0.25">
      <c r="A1218" s="1492">
        <f t="shared" si="134"/>
        <v>0</v>
      </c>
      <c r="B1218" s="1492" t="str">
        <f t="shared" si="134"/>
        <v>Scheme-2:- Desgin, Engineering, supply, installation &amp; commissioning of Energy chain system at various locations of CHPB &amp; CHPC</v>
      </c>
      <c r="C1218" s="1488">
        <f t="shared" si="134"/>
        <v>0</v>
      </c>
      <c r="D1218" s="1413" t="str">
        <f t="shared" si="134"/>
        <v>-</v>
      </c>
      <c r="E1218" s="560">
        <f t="shared" si="134"/>
        <v>20</v>
      </c>
      <c r="F1218" s="1508">
        <f t="shared" si="129"/>
        <v>0</v>
      </c>
      <c r="G1218" s="1508">
        <f t="shared" si="130"/>
        <v>0</v>
      </c>
      <c r="H1218" s="1508">
        <f t="shared" si="131"/>
        <v>0</v>
      </c>
      <c r="I1218" s="1480">
        <v>0</v>
      </c>
      <c r="J1218" s="1480">
        <v>0</v>
      </c>
      <c r="K1218" s="1508"/>
      <c r="L1218" s="1508"/>
      <c r="M1218" s="1509">
        <f t="shared" si="132"/>
        <v>0</v>
      </c>
      <c r="N1218" s="1508">
        <f t="shared" si="133"/>
        <v>0</v>
      </c>
    </row>
    <row r="1219" spans="1:14" ht="31" outlineLevel="1" x14ac:dyDescent="0.25">
      <c r="A1219" s="1486">
        <f t="shared" si="134"/>
        <v>4</v>
      </c>
      <c r="B1219" s="1491" t="str">
        <f t="shared" si="134"/>
        <v xml:space="preserve">Upgradation of old ropeway, BC-108 A/B, installation of coal pile thermal monitoring system for stack pile of CHPA/B. </v>
      </c>
      <c r="C1219" s="1488">
        <f t="shared" si="134"/>
        <v>0</v>
      </c>
      <c r="D1219" s="1413" t="str">
        <f t="shared" si="134"/>
        <v>-</v>
      </c>
      <c r="E1219" s="560">
        <f t="shared" si="134"/>
        <v>29</v>
      </c>
      <c r="F1219" s="1508">
        <f t="shared" si="129"/>
        <v>0</v>
      </c>
      <c r="G1219" s="1508">
        <f t="shared" si="130"/>
        <v>0</v>
      </c>
      <c r="H1219" s="1508">
        <f t="shared" si="131"/>
        <v>0</v>
      </c>
      <c r="I1219" s="1480">
        <v>0</v>
      </c>
      <c r="J1219" s="1480">
        <v>0</v>
      </c>
      <c r="K1219" s="1508"/>
      <c r="L1219" s="1508"/>
      <c r="M1219" s="1509">
        <f t="shared" si="132"/>
        <v>0</v>
      </c>
      <c r="N1219" s="1508">
        <f t="shared" si="133"/>
        <v>0</v>
      </c>
    </row>
    <row r="1220" spans="1:14" ht="31" outlineLevel="1" x14ac:dyDescent="0.25">
      <c r="A1220" s="1492">
        <f t="shared" si="134"/>
        <v>0</v>
      </c>
      <c r="B1220" s="1492" t="str">
        <f t="shared" si="134"/>
        <v>Scheme-1 Work of Renovation &amp; upgradation of Ventilation system of CHPA&amp;CHPB.</v>
      </c>
      <c r="C1220" s="1488">
        <f t="shared" si="134"/>
        <v>0</v>
      </c>
      <c r="D1220" s="1413" t="str">
        <f t="shared" si="134"/>
        <v>-</v>
      </c>
      <c r="E1220" s="560">
        <f t="shared" si="134"/>
        <v>8</v>
      </c>
      <c r="F1220" s="1508">
        <f t="shared" si="129"/>
        <v>0</v>
      </c>
      <c r="G1220" s="1508">
        <f t="shared" si="130"/>
        <v>0</v>
      </c>
      <c r="H1220" s="1508">
        <f t="shared" si="131"/>
        <v>0</v>
      </c>
      <c r="I1220" s="1480">
        <v>0</v>
      </c>
      <c r="J1220" s="1480">
        <v>0</v>
      </c>
      <c r="K1220" s="1508"/>
      <c r="L1220" s="1508"/>
      <c r="M1220" s="1509">
        <f t="shared" si="132"/>
        <v>0</v>
      </c>
      <c r="N1220" s="1508">
        <f t="shared" si="133"/>
        <v>0</v>
      </c>
    </row>
    <row r="1221" spans="1:14" ht="46.5" outlineLevel="1" x14ac:dyDescent="0.25">
      <c r="A1221" s="1492">
        <f t="shared" si="134"/>
        <v>0</v>
      </c>
      <c r="B1221" s="1492" t="str">
        <f t="shared" si="134"/>
        <v>Scheme-2: Design, Engineering, Supply, fabrication, Erection, installation &amp; commissioning of modified take up arrangement for BC 108A/B of CHPB.</v>
      </c>
      <c r="C1221" s="1488">
        <f t="shared" si="134"/>
        <v>0</v>
      </c>
      <c r="D1221" s="1413" t="str">
        <f t="shared" si="134"/>
        <v>-</v>
      </c>
      <c r="E1221" s="560">
        <f t="shared" si="134"/>
        <v>4</v>
      </c>
      <c r="F1221" s="1508">
        <f t="shared" si="129"/>
        <v>0</v>
      </c>
      <c r="G1221" s="1508">
        <f t="shared" si="130"/>
        <v>0</v>
      </c>
      <c r="H1221" s="1508">
        <f t="shared" si="131"/>
        <v>0</v>
      </c>
      <c r="I1221" s="1480">
        <v>0</v>
      </c>
      <c r="J1221" s="1480">
        <v>0</v>
      </c>
      <c r="K1221" s="1508"/>
      <c r="L1221" s="1508"/>
      <c r="M1221" s="1509">
        <f t="shared" si="132"/>
        <v>0</v>
      </c>
      <c r="N1221" s="1508">
        <f t="shared" si="133"/>
        <v>0</v>
      </c>
    </row>
    <row r="1222" spans="1:14" ht="31" outlineLevel="1" x14ac:dyDescent="0.25">
      <c r="A1222" s="1492">
        <f t="shared" si="134"/>
        <v>0</v>
      </c>
      <c r="B1222" s="1492" t="str">
        <f t="shared" si="134"/>
        <v>Scheme-3: Design, Engineering, supply &amp; installation of coal pile thermal monitoring system for stack pile of CHPA/B.</v>
      </c>
      <c r="C1222" s="1488">
        <f t="shared" si="134"/>
        <v>0</v>
      </c>
      <c r="D1222" s="1413" t="str">
        <f t="shared" si="134"/>
        <v>-</v>
      </c>
      <c r="E1222" s="560">
        <f t="shared" si="134"/>
        <v>8</v>
      </c>
      <c r="F1222" s="1508">
        <f t="shared" si="129"/>
        <v>0</v>
      </c>
      <c r="G1222" s="1508">
        <f t="shared" si="130"/>
        <v>0</v>
      </c>
      <c r="H1222" s="1508">
        <f t="shared" si="131"/>
        <v>0</v>
      </c>
      <c r="I1222" s="1480">
        <v>0</v>
      </c>
      <c r="J1222" s="1480">
        <v>0</v>
      </c>
      <c r="K1222" s="1508"/>
      <c r="L1222" s="1508"/>
      <c r="M1222" s="1509">
        <f t="shared" si="132"/>
        <v>0</v>
      </c>
      <c r="N1222" s="1508">
        <f t="shared" si="133"/>
        <v>0</v>
      </c>
    </row>
    <row r="1223" spans="1:14" ht="31" outlineLevel="1" x14ac:dyDescent="0.25">
      <c r="A1223" s="1492">
        <f t="shared" si="134"/>
        <v>0</v>
      </c>
      <c r="B1223" s="1492" t="str">
        <f t="shared" si="134"/>
        <v>Scheme-3: Design, Engineering, supply &amp; installation of Belt Tear Detector system for belt conveyor system of CHPB.</v>
      </c>
      <c r="C1223" s="1488">
        <f t="shared" si="134"/>
        <v>0</v>
      </c>
      <c r="D1223" s="1413" t="str">
        <f t="shared" si="134"/>
        <v>-</v>
      </c>
      <c r="E1223" s="560">
        <f t="shared" si="134"/>
        <v>4</v>
      </c>
      <c r="F1223" s="1508">
        <f t="shared" si="129"/>
        <v>0</v>
      </c>
      <c r="G1223" s="1508">
        <f t="shared" si="130"/>
        <v>0</v>
      </c>
      <c r="H1223" s="1508">
        <f t="shared" si="131"/>
        <v>0</v>
      </c>
      <c r="I1223" s="1480">
        <v>0</v>
      </c>
      <c r="J1223" s="1480">
        <v>0</v>
      </c>
      <c r="K1223" s="1508"/>
      <c r="L1223" s="1508"/>
      <c r="M1223" s="1509">
        <f t="shared" si="132"/>
        <v>0</v>
      </c>
      <c r="N1223" s="1508">
        <f t="shared" si="133"/>
        <v>0</v>
      </c>
    </row>
    <row r="1224" spans="1:14" ht="31" outlineLevel="1" x14ac:dyDescent="0.25">
      <c r="A1224" s="1492">
        <f t="shared" ref="A1224:E1239" si="135">A554</f>
        <v>0</v>
      </c>
      <c r="B1224" s="1492" t="str">
        <f t="shared" si="135"/>
        <v>Scheme-4: Capacity Enhancement of Belt Conveyor Drives of CHPB by upgrdation of conveyor drvie system.</v>
      </c>
      <c r="C1224" s="1488">
        <f t="shared" si="135"/>
        <v>0</v>
      </c>
      <c r="D1224" s="1413" t="str">
        <f t="shared" si="135"/>
        <v>-</v>
      </c>
      <c r="E1224" s="560">
        <f t="shared" si="135"/>
        <v>5</v>
      </c>
      <c r="F1224" s="1508">
        <f t="shared" si="129"/>
        <v>0</v>
      </c>
      <c r="G1224" s="1508">
        <f t="shared" si="130"/>
        <v>0</v>
      </c>
      <c r="H1224" s="1508">
        <f t="shared" si="131"/>
        <v>0</v>
      </c>
      <c r="I1224" s="1480">
        <v>0</v>
      </c>
      <c r="J1224" s="1480">
        <v>0</v>
      </c>
      <c r="K1224" s="1508"/>
      <c r="L1224" s="1508"/>
      <c r="M1224" s="1509">
        <f t="shared" si="132"/>
        <v>0</v>
      </c>
      <c r="N1224" s="1508">
        <f t="shared" si="133"/>
        <v>0</v>
      </c>
    </row>
    <row r="1225" spans="1:14" ht="15.5" outlineLevel="1" x14ac:dyDescent="0.25">
      <c r="A1225" s="1486">
        <f t="shared" si="135"/>
        <v>5</v>
      </c>
      <c r="B1225" s="1491" t="str">
        <f t="shared" si="135"/>
        <v>Modification &amp; upgradation in Railway Track network of CSTPS</v>
      </c>
      <c r="C1225" s="1488">
        <f t="shared" si="135"/>
        <v>0</v>
      </c>
      <c r="D1225" s="1413" t="str">
        <f t="shared" si="135"/>
        <v>-</v>
      </c>
      <c r="E1225" s="560">
        <f t="shared" si="135"/>
        <v>29</v>
      </c>
      <c r="F1225" s="1508">
        <f t="shared" si="129"/>
        <v>0</v>
      </c>
      <c r="G1225" s="1508">
        <f t="shared" si="130"/>
        <v>0</v>
      </c>
      <c r="H1225" s="1508">
        <f t="shared" si="131"/>
        <v>0</v>
      </c>
      <c r="I1225" s="1480">
        <v>0</v>
      </c>
      <c r="J1225" s="1480">
        <v>0</v>
      </c>
      <c r="K1225" s="1508"/>
      <c r="L1225" s="1508"/>
      <c r="M1225" s="1509">
        <f t="shared" si="132"/>
        <v>0</v>
      </c>
      <c r="N1225" s="1508">
        <f t="shared" si="133"/>
        <v>0</v>
      </c>
    </row>
    <row r="1226" spans="1:14" ht="62" outlineLevel="1" x14ac:dyDescent="0.25">
      <c r="A1226" s="1492">
        <f t="shared" si="135"/>
        <v>0</v>
      </c>
      <c r="B1226" s="1492" t="str">
        <f t="shared" si="135"/>
        <v xml:space="preserve">Scheme-1: Work of Modification &amp; upgradation in Railway Track network of CSTPS by Provision of additional take off &amp; cutoff point for CHPD and empty formation at WT outhaul in CSTPS Railway Siding. </v>
      </c>
      <c r="C1226" s="1488">
        <f t="shared" si="135"/>
        <v>0</v>
      </c>
      <c r="D1226" s="1413" t="str">
        <f t="shared" si="135"/>
        <v>-</v>
      </c>
      <c r="E1226" s="560">
        <f t="shared" si="135"/>
        <v>14</v>
      </c>
      <c r="F1226" s="1508">
        <f t="shared" si="129"/>
        <v>0</v>
      </c>
      <c r="G1226" s="1508">
        <f t="shared" si="130"/>
        <v>0</v>
      </c>
      <c r="H1226" s="1508">
        <f t="shared" si="131"/>
        <v>0</v>
      </c>
      <c r="I1226" s="1480">
        <v>0</v>
      </c>
      <c r="J1226" s="1480">
        <v>0</v>
      </c>
      <c r="K1226" s="1508"/>
      <c r="L1226" s="1508"/>
      <c r="M1226" s="1509">
        <f t="shared" si="132"/>
        <v>0</v>
      </c>
      <c r="N1226" s="1508">
        <f t="shared" si="133"/>
        <v>0</v>
      </c>
    </row>
    <row r="1227" spans="1:14" ht="46.5" outlineLevel="1" x14ac:dyDescent="0.25">
      <c r="A1227" s="1492">
        <f t="shared" si="135"/>
        <v>0</v>
      </c>
      <c r="B1227" s="1492" t="str">
        <f t="shared" si="135"/>
        <v>Scheme-1: Work of Modification &amp; upgradation in Railway Track network of CSTPS by Complete Track Renewal of old BG rail with other allied works in CSTPS Railway Siding.</v>
      </c>
      <c r="C1227" s="1488">
        <f t="shared" si="135"/>
        <v>0</v>
      </c>
      <c r="D1227" s="1413" t="str">
        <f t="shared" si="135"/>
        <v>-</v>
      </c>
      <c r="E1227" s="560">
        <f t="shared" si="135"/>
        <v>15</v>
      </c>
      <c r="F1227" s="1508">
        <f t="shared" si="129"/>
        <v>0</v>
      </c>
      <c r="G1227" s="1508">
        <f t="shared" si="130"/>
        <v>0</v>
      </c>
      <c r="H1227" s="1508">
        <f t="shared" si="131"/>
        <v>0</v>
      </c>
      <c r="I1227" s="1480">
        <v>0</v>
      </c>
      <c r="J1227" s="1480">
        <v>0</v>
      </c>
      <c r="K1227" s="1508"/>
      <c r="L1227" s="1508"/>
      <c r="M1227" s="1509">
        <f t="shared" si="132"/>
        <v>0</v>
      </c>
      <c r="N1227" s="1508">
        <f t="shared" si="133"/>
        <v>0</v>
      </c>
    </row>
    <row r="1228" spans="1:14" ht="46.5" outlineLevel="1" x14ac:dyDescent="0.25">
      <c r="A1228" s="1486">
        <f t="shared" si="135"/>
        <v>6</v>
      </c>
      <c r="B1228" s="1491" t="str">
        <f t="shared" si="135"/>
        <v>extension of Pipe Conveyor System from Padmapur Loading Station to Coal Handling Plant-C of Unit 5,6&amp;7 at CSTPS Chandrapur.</v>
      </c>
      <c r="C1228" s="1488">
        <f t="shared" si="135"/>
        <v>0</v>
      </c>
      <c r="D1228" s="1413" t="str">
        <f t="shared" si="135"/>
        <v>-</v>
      </c>
      <c r="E1228" s="560">
        <f t="shared" si="135"/>
        <v>100</v>
      </c>
      <c r="F1228" s="1508">
        <f t="shared" si="129"/>
        <v>0</v>
      </c>
      <c r="G1228" s="1508">
        <f t="shared" si="130"/>
        <v>0</v>
      </c>
      <c r="H1228" s="1508">
        <f t="shared" si="131"/>
        <v>0</v>
      </c>
      <c r="I1228" s="1480">
        <v>0</v>
      </c>
      <c r="J1228" s="1480">
        <v>0</v>
      </c>
      <c r="K1228" s="1508"/>
      <c r="L1228" s="1508"/>
      <c r="M1228" s="1509">
        <f t="shared" si="132"/>
        <v>0</v>
      </c>
      <c r="N1228" s="1508">
        <f t="shared" si="133"/>
        <v>0</v>
      </c>
    </row>
    <row r="1229" spans="1:14" ht="46.5" outlineLevel="1" x14ac:dyDescent="0.25">
      <c r="A1229" s="1492">
        <f t="shared" si="135"/>
        <v>0</v>
      </c>
      <c r="B1229" s="1492" t="str">
        <f t="shared" si="135"/>
        <v>Scheme-1: Augmentation of extension of Pipe Conveyor System from Padmapur Loading Station to Coal Handling Plant-C of Unit 5,6&amp;7 at CSTPS Chandrapur.</v>
      </c>
      <c r="C1229" s="1488">
        <f t="shared" si="135"/>
        <v>0</v>
      </c>
      <c r="D1229" s="1413" t="str">
        <f t="shared" si="135"/>
        <v>-</v>
      </c>
      <c r="E1229" s="560">
        <f t="shared" si="135"/>
        <v>100</v>
      </c>
      <c r="F1229" s="1508">
        <f t="shared" si="129"/>
        <v>0</v>
      </c>
      <c r="G1229" s="1508">
        <f t="shared" si="130"/>
        <v>0</v>
      </c>
      <c r="H1229" s="1508">
        <f t="shared" si="131"/>
        <v>0</v>
      </c>
      <c r="I1229" s="1480">
        <v>0</v>
      </c>
      <c r="J1229" s="1480">
        <v>0</v>
      </c>
      <c r="K1229" s="1508"/>
      <c r="L1229" s="1508"/>
      <c r="M1229" s="1509">
        <f t="shared" si="132"/>
        <v>0</v>
      </c>
      <c r="N1229" s="1508">
        <f t="shared" si="133"/>
        <v>0</v>
      </c>
    </row>
    <row r="1230" spans="1:14" ht="15.5" outlineLevel="1" x14ac:dyDescent="0.25">
      <c r="A1230" s="1504">
        <f t="shared" si="135"/>
        <v>0</v>
      </c>
      <c r="B1230" s="1504" t="str">
        <f t="shared" si="135"/>
        <v>CHP-C</v>
      </c>
      <c r="C1230" s="1488">
        <f t="shared" si="135"/>
        <v>0</v>
      </c>
      <c r="D1230" s="1413" t="str">
        <f t="shared" si="135"/>
        <v>-</v>
      </c>
      <c r="E1230" s="560">
        <f t="shared" si="135"/>
        <v>0</v>
      </c>
      <c r="F1230" s="1508">
        <f t="shared" si="129"/>
        <v>0</v>
      </c>
      <c r="G1230" s="1508">
        <f t="shared" si="130"/>
        <v>0</v>
      </c>
      <c r="H1230" s="1508">
        <f t="shared" si="131"/>
        <v>0</v>
      </c>
      <c r="I1230" s="1480">
        <v>0</v>
      </c>
      <c r="J1230" s="1480">
        <v>0</v>
      </c>
      <c r="K1230" s="1508"/>
      <c r="L1230" s="1508"/>
      <c r="M1230" s="1509">
        <f t="shared" si="132"/>
        <v>0</v>
      </c>
      <c r="N1230" s="1508">
        <f t="shared" si="133"/>
        <v>0</v>
      </c>
    </row>
    <row r="1231" spans="1:14" ht="31" outlineLevel="1" x14ac:dyDescent="0.25">
      <c r="A1231" s="1486">
        <f t="shared" si="135"/>
        <v>1</v>
      </c>
      <c r="B1231" s="1491" t="str">
        <f t="shared" si="135"/>
        <v>Design, Engineering, supply, Erection and commissioning of new fire fighting system at Pipe conveyor of CSTPS, Chandrapur</v>
      </c>
      <c r="C1231" s="1488">
        <f t="shared" si="135"/>
        <v>0</v>
      </c>
      <c r="D1231" s="1413" t="str">
        <f t="shared" si="135"/>
        <v>-</v>
      </c>
      <c r="E1231" s="560">
        <f t="shared" si="135"/>
        <v>25</v>
      </c>
      <c r="F1231" s="1508">
        <f t="shared" si="129"/>
        <v>0</v>
      </c>
      <c r="G1231" s="1508">
        <f t="shared" si="130"/>
        <v>0</v>
      </c>
      <c r="H1231" s="1508">
        <f t="shared" si="131"/>
        <v>0</v>
      </c>
      <c r="I1231" s="1480">
        <v>0</v>
      </c>
      <c r="J1231" s="1480">
        <v>0</v>
      </c>
      <c r="K1231" s="1508"/>
      <c r="L1231" s="1508"/>
      <c r="M1231" s="1509">
        <f t="shared" si="132"/>
        <v>0</v>
      </c>
      <c r="N1231" s="1508">
        <f t="shared" si="133"/>
        <v>0</v>
      </c>
    </row>
    <row r="1232" spans="1:14" ht="31" outlineLevel="1" x14ac:dyDescent="0.25">
      <c r="A1232" s="1492">
        <f t="shared" si="135"/>
        <v>0</v>
      </c>
      <c r="B1232" s="1492" t="str">
        <f t="shared" si="135"/>
        <v>Design, Engineering, supply, Erection and commissioning of new fire fighting system at Pipe conveyor of CSTPS, Chandrapur</v>
      </c>
      <c r="C1232" s="1488">
        <f t="shared" si="135"/>
        <v>0</v>
      </c>
      <c r="D1232" s="1413" t="str">
        <f t="shared" si="135"/>
        <v>-</v>
      </c>
      <c r="E1232" s="560">
        <f t="shared" si="135"/>
        <v>25</v>
      </c>
      <c r="F1232" s="1508">
        <f t="shared" si="129"/>
        <v>0</v>
      </c>
      <c r="G1232" s="1508">
        <f t="shared" si="130"/>
        <v>0</v>
      </c>
      <c r="H1232" s="1508">
        <f t="shared" si="131"/>
        <v>0</v>
      </c>
      <c r="I1232" s="1480">
        <v>0</v>
      </c>
      <c r="J1232" s="1480">
        <v>0</v>
      </c>
      <c r="K1232" s="1508"/>
      <c r="L1232" s="1508"/>
      <c r="M1232" s="1509">
        <f t="shared" si="132"/>
        <v>0</v>
      </c>
      <c r="N1232" s="1508">
        <f t="shared" si="133"/>
        <v>0</v>
      </c>
    </row>
    <row r="1233" spans="1:14" ht="31" outlineLevel="1" x14ac:dyDescent="0.25">
      <c r="A1233" s="1486">
        <f t="shared" si="135"/>
        <v>2</v>
      </c>
      <c r="B1233" s="1491" t="str">
        <f t="shared" si="135"/>
        <v>Reliability &amp; availability improvement of coal transportation by Procurement of UTS (BOBR) Wagons for CHP</v>
      </c>
      <c r="C1233" s="1488">
        <f t="shared" si="135"/>
        <v>0</v>
      </c>
      <c r="D1233" s="1413" t="str">
        <f t="shared" si="135"/>
        <v>-</v>
      </c>
      <c r="E1233" s="560">
        <f t="shared" si="135"/>
        <v>15</v>
      </c>
      <c r="F1233" s="1508">
        <f t="shared" si="129"/>
        <v>0</v>
      </c>
      <c r="G1233" s="1508">
        <f t="shared" si="130"/>
        <v>0</v>
      </c>
      <c r="H1233" s="1508">
        <f t="shared" si="131"/>
        <v>0</v>
      </c>
      <c r="I1233" s="1480">
        <v>0</v>
      </c>
      <c r="J1233" s="1480">
        <v>0</v>
      </c>
      <c r="K1233" s="1508"/>
      <c r="L1233" s="1508"/>
      <c r="M1233" s="1509">
        <f t="shared" si="132"/>
        <v>0</v>
      </c>
      <c r="N1233" s="1508">
        <f t="shared" si="133"/>
        <v>0</v>
      </c>
    </row>
    <row r="1234" spans="1:14" ht="31" outlineLevel="1" x14ac:dyDescent="0.25">
      <c r="A1234" s="1492">
        <f t="shared" si="135"/>
        <v>0</v>
      </c>
      <c r="B1234" s="1492" t="str">
        <f t="shared" si="135"/>
        <v>Reliability &amp; availability improvement of coal transportation by Procurement of UTS (BOBR) Wagons for CHP</v>
      </c>
      <c r="C1234" s="1488">
        <f t="shared" si="135"/>
        <v>0</v>
      </c>
      <c r="D1234" s="1413" t="str">
        <f t="shared" si="135"/>
        <v>-</v>
      </c>
      <c r="E1234" s="560">
        <f t="shared" si="135"/>
        <v>15</v>
      </c>
      <c r="F1234" s="1508">
        <f t="shared" si="129"/>
        <v>0</v>
      </c>
      <c r="G1234" s="1508">
        <f t="shared" si="130"/>
        <v>0</v>
      </c>
      <c r="H1234" s="1508">
        <f t="shared" si="131"/>
        <v>0</v>
      </c>
      <c r="I1234" s="1480">
        <v>0</v>
      </c>
      <c r="J1234" s="1480">
        <v>0</v>
      </c>
      <c r="K1234" s="1508"/>
      <c r="L1234" s="1508"/>
      <c r="M1234" s="1509">
        <f t="shared" si="132"/>
        <v>0</v>
      </c>
      <c r="N1234" s="1508">
        <f t="shared" si="133"/>
        <v>0</v>
      </c>
    </row>
    <row r="1235" spans="1:14" ht="31" outlineLevel="1" x14ac:dyDescent="0.25">
      <c r="A1235" s="1486">
        <f t="shared" si="135"/>
        <v>3</v>
      </c>
      <c r="B1235" s="1491" t="str">
        <f t="shared" si="135"/>
        <v>Reliability &amp; availability improvement by replacement of set of internals for Paddle feeders</v>
      </c>
      <c r="C1235" s="1488">
        <f t="shared" si="135"/>
        <v>0</v>
      </c>
      <c r="D1235" s="1413" t="str">
        <f t="shared" si="135"/>
        <v>-</v>
      </c>
      <c r="E1235" s="560">
        <f t="shared" si="135"/>
        <v>6</v>
      </c>
      <c r="F1235" s="1508">
        <f t="shared" si="129"/>
        <v>0</v>
      </c>
      <c r="G1235" s="1508">
        <f t="shared" si="130"/>
        <v>0</v>
      </c>
      <c r="H1235" s="1508">
        <f t="shared" si="131"/>
        <v>0</v>
      </c>
      <c r="I1235" s="1480">
        <v>0</v>
      </c>
      <c r="J1235" s="1480">
        <v>0</v>
      </c>
      <c r="K1235" s="1508"/>
      <c r="L1235" s="1508"/>
      <c r="M1235" s="1509">
        <f t="shared" si="132"/>
        <v>0</v>
      </c>
      <c r="N1235" s="1508">
        <f t="shared" si="133"/>
        <v>0</v>
      </c>
    </row>
    <row r="1236" spans="1:14" ht="31" outlineLevel="1" x14ac:dyDescent="0.25">
      <c r="A1236" s="1492">
        <f t="shared" si="135"/>
        <v>0</v>
      </c>
      <c r="B1236" s="1492" t="str">
        <f t="shared" si="135"/>
        <v>Reliability &amp; availability improvement by replacement of set of internals for Paddle feeders</v>
      </c>
      <c r="C1236" s="1488">
        <f t="shared" si="135"/>
        <v>0</v>
      </c>
      <c r="D1236" s="1413" t="str">
        <f t="shared" si="135"/>
        <v>-</v>
      </c>
      <c r="E1236" s="560">
        <f t="shared" si="135"/>
        <v>6</v>
      </c>
      <c r="F1236" s="1508">
        <f t="shared" si="129"/>
        <v>0</v>
      </c>
      <c r="G1236" s="1508">
        <f t="shared" si="130"/>
        <v>0</v>
      </c>
      <c r="H1236" s="1508">
        <f t="shared" si="131"/>
        <v>0</v>
      </c>
      <c r="I1236" s="1480">
        <v>0</v>
      </c>
      <c r="J1236" s="1480">
        <v>0</v>
      </c>
      <c r="K1236" s="1508"/>
      <c r="L1236" s="1508"/>
      <c r="M1236" s="1509">
        <f t="shared" si="132"/>
        <v>0</v>
      </c>
      <c r="N1236" s="1508">
        <f t="shared" si="133"/>
        <v>0</v>
      </c>
    </row>
    <row r="1237" spans="1:14" ht="31" outlineLevel="1" x14ac:dyDescent="0.25">
      <c r="A1237" s="1486">
        <f t="shared" si="135"/>
        <v>4</v>
      </c>
      <c r="B1237" s="1491" t="str">
        <f t="shared" si="135"/>
        <v>Reliability &amp; availability improvement by replacement of transfer chutes at CHP-C</v>
      </c>
      <c r="C1237" s="1488">
        <f t="shared" si="135"/>
        <v>0</v>
      </c>
      <c r="D1237" s="1413" t="str">
        <f t="shared" si="135"/>
        <v>-</v>
      </c>
      <c r="E1237" s="560">
        <f t="shared" si="135"/>
        <v>10</v>
      </c>
      <c r="F1237" s="1508">
        <f t="shared" si="129"/>
        <v>0</v>
      </c>
      <c r="G1237" s="1508">
        <f t="shared" si="130"/>
        <v>0</v>
      </c>
      <c r="H1237" s="1508">
        <f t="shared" si="131"/>
        <v>0</v>
      </c>
      <c r="I1237" s="1480">
        <v>0</v>
      </c>
      <c r="J1237" s="1480">
        <v>0</v>
      </c>
      <c r="K1237" s="1508"/>
      <c r="L1237" s="1508"/>
      <c r="M1237" s="1509">
        <f t="shared" si="132"/>
        <v>0</v>
      </c>
      <c r="N1237" s="1508">
        <f t="shared" si="133"/>
        <v>0</v>
      </c>
    </row>
    <row r="1238" spans="1:14" ht="31" outlineLevel="1" x14ac:dyDescent="0.25">
      <c r="A1238" s="1492">
        <f t="shared" si="135"/>
        <v>0</v>
      </c>
      <c r="B1238" s="1492" t="str">
        <f t="shared" si="135"/>
        <v>Reliability &amp; availability improvement by replacement of transfer chutes at CHP-C</v>
      </c>
      <c r="C1238" s="1488">
        <f t="shared" si="135"/>
        <v>0</v>
      </c>
      <c r="D1238" s="1413" t="str">
        <f t="shared" si="135"/>
        <v>-</v>
      </c>
      <c r="E1238" s="560">
        <f t="shared" si="135"/>
        <v>10</v>
      </c>
      <c r="F1238" s="1508">
        <f t="shared" si="129"/>
        <v>0</v>
      </c>
      <c r="G1238" s="1508">
        <f t="shared" si="130"/>
        <v>0</v>
      </c>
      <c r="H1238" s="1508">
        <f t="shared" si="131"/>
        <v>0</v>
      </c>
      <c r="I1238" s="1480">
        <v>0</v>
      </c>
      <c r="J1238" s="1480">
        <v>0</v>
      </c>
      <c r="K1238" s="1508"/>
      <c r="L1238" s="1508"/>
      <c r="M1238" s="1509">
        <f t="shared" si="132"/>
        <v>0</v>
      </c>
      <c r="N1238" s="1508">
        <f t="shared" si="133"/>
        <v>0</v>
      </c>
    </row>
    <row r="1239" spans="1:14" ht="15.5" outlineLevel="1" x14ac:dyDescent="0.25">
      <c r="A1239" s="1504">
        <f t="shared" si="135"/>
        <v>0</v>
      </c>
      <c r="B1239" s="1504" t="str">
        <f t="shared" si="135"/>
        <v>Civil U#3  to U#7</v>
      </c>
      <c r="C1239" s="1488">
        <f t="shared" si="135"/>
        <v>0</v>
      </c>
      <c r="D1239" s="1413" t="str">
        <f t="shared" si="135"/>
        <v>-</v>
      </c>
      <c r="E1239" s="560">
        <f t="shared" si="135"/>
        <v>0</v>
      </c>
      <c r="F1239" s="1508">
        <f t="shared" si="129"/>
        <v>0</v>
      </c>
      <c r="G1239" s="1508">
        <f t="shared" si="130"/>
        <v>0</v>
      </c>
      <c r="H1239" s="1508">
        <f t="shared" si="131"/>
        <v>0</v>
      </c>
      <c r="I1239" s="1480">
        <v>0</v>
      </c>
      <c r="J1239" s="1480">
        <v>0</v>
      </c>
      <c r="K1239" s="1508"/>
      <c r="L1239" s="1508"/>
      <c r="M1239" s="1509">
        <f t="shared" si="132"/>
        <v>0</v>
      </c>
      <c r="N1239" s="1508">
        <f t="shared" si="133"/>
        <v>0</v>
      </c>
    </row>
    <row r="1240" spans="1:14" ht="31" outlineLevel="1" x14ac:dyDescent="0.25">
      <c r="A1240" s="1486">
        <f t="shared" ref="A1240:E1255" si="136">A570</f>
        <v>1</v>
      </c>
      <c r="B1240" s="1491" t="str">
        <f t="shared" si="136"/>
        <v xml:space="preserve">Provision for Scientific storage of coal reject and leachate collection system at CSTPS, Chandrapur </v>
      </c>
      <c r="C1240" s="1488">
        <f t="shared" si="136"/>
        <v>0</v>
      </c>
      <c r="D1240" s="1413" t="str">
        <f t="shared" si="136"/>
        <v>-</v>
      </c>
      <c r="E1240" s="560">
        <f t="shared" si="136"/>
        <v>37.57</v>
      </c>
      <c r="F1240" s="1508">
        <f t="shared" si="129"/>
        <v>0</v>
      </c>
      <c r="G1240" s="1508">
        <f t="shared" si="130"/>
        <v>0</v>
      </c>
      <c r="H1240" s="1508">
        <f t="shared" si="131"/>
        <v>0</v>
      </c>
      <c r="I1240" s="1480">
        <v>0</v>
      </c>
      <c r="J1240" s="1480">
        <v>0</v>
      </c>
      <c r="K1240" s="1508"/>
      <c r="L1240" s="1508"/>
      <c r="M1240" s="1509">
        <f t="shared" si="132"/>
        <v>0</v>
      </c>
      <c r="N1240" s="1508">
        <f t="shared" si="133"/>
        <v>0</v>
      </c>
    </row>
    <row r="1241" spans="1:14" ht="31" outlineLevel="1" x14ac:dyDescent="0.25">
      <c r="A1241" s="1492">
        <f t="shared" si="136"/>
        <v>0</v>
      </c>
      <c r="B1241" s="1492" t="str">
        <f t="shared" si="136"/>
        <v>Provision for Scientific storage of coal reject and leachate collection system at CSTPS, Chandrapur</v>
      </c>
      <c r="C1241" s="1488">
        <f t="shared" si="136"/>
        <v>0</v>
      </c>
      <c r="D1241" s="1413" t="str">
        <f t="shared" si="136"/>
        <v>-</v>
      </c>
      <c r="E1241" s="560">
        <f t="shared" si="136"/>
        <v>37.57</v>
      </c>
      <c r="F1241" s="1508">
        <f t="shared" si="129"/>
        <v>0</v>
      </c>
      <c r="G1241" s="1508">
        <f t="shared" si="130"/>
        <v>0</v>
      </c>
      <c r="H1241" s="1508">
        <f t="shared" si="131"/>
        <v>0</v>
      </c>
      <c r="I1241" s="1480">
        <v>0</v>
      </c>
      <c r="J1241" s="1480">
        <v>0</v>
      </c>
      <c r="K1241" s="1508"/>
      <c r="L1241" s="1508"/>
      <c r="M1241" s="1509">
        <f t="shared" si="132"/>
        <v>0</v>
      </c>
      <c r="N1241" s="1508">
        <f t="shared" si="133"/>
        <v>0</v>
      </c>
    </row>
    <row r="1242" spans="1:14" ht="31" outlineLevel="1" x14ac:dyDescent="0.25">
      <c r="A1242" s="1486">
        <f t="shared" si="136"/>
        <v>2</v>
      </c>
      <c r="B1242" s="1491" t="str">
        <f t="shared" si="136"/>
        <v xml:space="preserve">Infrastructure  development scheme for improvement of CHP at CSTPS, Chandrapur </v>
      </c>
      <c r="C1242" s="1488">
        <f t="shared" si="136"/>
        <v>0</v>
      </c>
      <c r="D1242" s="1413" t="str">
        <f t="shared" si="136"/>
        <v>-</v>
      </c>
      <c r="E1242" s="560">
        <f t="shared" si="136"/>
        <v>47.15</v>
      </c>
      <c r="F1242" s="1508">
        <f t="shared" si="129"/>
        <v>0</v>
      </c>
      <c r="G1242" s="1508">
        <f t="shared" si="130"/>
        <v>0</v>
      </c>
      <c r="H1242" s="1508">
        <f t="shared" si="131"/>
        <v>0</v>
      </c>
      <c r="I1242" s="1480">
        <v>0</v>
      </c>
      <c r="J1242" s="1480">
        <v>0</v>
      </c>
      <c r="K1242" s="1508"/>
      <c r="L1242" s="1508"/>
      <c r="M1242" s="1509">
        <f t="shared" si="132"/>
        <v>0</v>
      </c>
      <c r="N1242" s="1508">
        <f t="shared" si="133"/>
        <v>0</v>
      </c>
    </row>
    <row r="1243" spans="1:14" ht="46.5" outlineLevel="1" x14ac:dyDescent="0.25">
      <c r="A1243" s="1492">
        <f t="shared" si="136"/>
        <v>0</v>
      </c>
      <c r="B1243" s="1492" t="str">
        <f t="shared" si="136"/>
        <v xml:space="preserve">Construction of RCC platform facility for Coal storage &amp; transportation in CHP-B STACKER I &amp; II area (500MW) at CSTPS, Chandrapur </v>
      </c>
      <c r="C1243" s="1488">
        <f t="shared" si="136"/>
        <v>0</v>
      </c>
      <c r="D1243" s="1413" t="str">
        <f t="shared" si="136"/>
        <v>-</v>
      </c>
      <c r="E1243" s="560">
        <f t="shared" si="136"/>
        <v>47.15</v>
      </c>
      <c r="F1243" s="1508">
        <f t="shared" si="129"/>
        <v>0</v>
      </c>
      <c r="G1243" s="1508">
        <f t="shared" si="130"/>
        <v>0</v>
      </c>
      <c r="H1243" s="1508">
        <f t="shared" si="131"/>
        <v>0</v>
      </c>
      <c r="I1243" s="1480">
        <v>0</v>
      </c>
      <c r="J1243" s="1480">
        <v>0</v>
      </c>
      <c r="K1243" s="1508"/>
      <c r="L1243" s="1508"/>
      <c r="M1243" s="1509">
        <f t="shared" si="132"/>
        <v>0</v>
      </c>
      <c r="N1243" s="1508">
        <f t="shared" si="133"/>
        <v>0</v>
      </c>
    </row>
    <row r="1244" spans="1:14" ht="31" outlineLevel="1" x14ac:dyDescent="0.25">
      <c r="A1244" s="1486">
        <f t="shared" si="136"/>
        <v>3</v>
      </c>
      <c r="B1244" s="1491" t="str">
        <f t="shared" si="136"/>
        <v>Contruction of cement concrete roads in CHP area at CSTPS, Chandrapur</v>
      </c>
      <c r="C1244" s="1488">
        <f t="shared" si="136"/>
        <v>0</v>
      </c>
      <c r="D1244" s="1413" t="str">
        <f t="shared" si="136"/>
        <v>-</v>
      </c>
      <c r="E1244" s="560">
        <f t="shared" si="136"/>
        <v>27.05</v>
      </c>
      <c r="F1244" s="1508">
        <f t="shared" si="129"/>
        <v>0</v>
      </c>
      <c r="G1244" s="1508">
        <f t="shared" si="130"/>
        <v>0</v>
      </c>
      <c r="H1244" s="1508">
        <f t="shared" si="131"/>
        <v>0</v>
      </c>
      <c r="I1244" s="1480">
        <v>0</v>
      </c>
      <c r="J1244" s="1480">
        <v>0</v>
      </c>
      <c r="K1244" s="1508"/>
      <c r="L1244" s="1508"/>
      <c r="M1244" s="1509">
        <f t="shared" si="132"/>
        <v>0</v>
      </c>
      <c r="N1244" s="1508">
        <f t="shared" si="133"/>
        <v>0</v>
      </c>
    </row>
    <row r="1245" spans="1:14" ht="31" outlineLevel="1" x14ac:dyDescent="0.25">
      <c r="A1245" s="1492">
        <f t="shared" si="136"/>
        <v>0</v>
      </c>
      <c r="B1245" s="1492" t="str">
        <f t="shared" si="136"/>
        <v>Contruction of cement concrete roads in CHP area at CSTPS, Chandrapur</v>
      </c>
      <c r="C1245" s="1488">
        <f t="shared" si="136"/>
        <v>0</v>
      </c>
      <c r="D1245" s="1413" t="str">
        <f t="shared" si="136"/>
        <v>-</v>
      </c>
      <c r="E1245" s="560">
        <f t="shared" si="136"/>
        <v>27.05</v>
      </c>
      <c r="F1245" s="1508">
        <f t="shared" si="129"/>
        <v>0</v>
      </c>
      <c r="G1245" s="1508">
        <f t="shared" si="130"/>
        <v>0</v>
      </c>
      <c r="H1245" s="1508">
        <f t="shared" si="131"/>
        <v>0</v>
      </c>
      <c r="I1245" s="1480">
        <v>0</v>
      </c>
      <c r="J1245" s="1480">
        <v>0</v>
      </c>
      <c r="K1245" s="1508"/>
      <c r="L1245" s="1508"/>
      <c r="M1245" s="1509">
        <f t="shared" si="132"/>
        <v>0</v>
      </c>
      <c r="N1245" s="1508">
        <f t="shared" si="133"/>
        <v>0</v>
      </c>
    </row>
    <row r="1246" spans="1:14" ht="31" outlineLevel="1" x14ac:dyDescent="0.25">
      <c r="A1246" s="1486">
        <f t="shared" si="136"/>
        <v>4</v>
      </c>
      <c r="B1246" s="1491" t="str">
        <f t="shared" si="136"/>
        <v>Arresting Leakages by  water proofing treatment in main Plant &amp; ancillary buildings  at CSTPS, Chandrapur.</v>
      </c>
      <c r="C1246" s="1488">
        <f t="shared" si="136"/>
        <v>0</v>
      </c>
      <c r="D1246" s="1413" t="str">
        <f t="shared" si="136"/>
        <v>-</v>
      </c>
      <c r="E1246" s="560">
        <f t="shared" si="136"/>
        <v>30</v>
      </c>
      <c r="F1246" s="1508">
        <f t="shared" si="129"/>
        <v>0</v>
      </c>
      <c r="G1246" s="1508">
        <f t="shared" si="130"/>
        <v>0</v>
      </c>
      <c r="H1246" s="1508">
        <f t="shared" si="131"/>
        <v>0</v>
      </c>
      <c r="I1246" s="1480">
        <v>0</v>
      </c>
      <c r="J1246" s="1480">
        <v>0</v>
      </c>
      <c r="K1246" s="1508"/>
      <c r="L1246" s="1508"/>
      <c r="M1246" s="1509">
        <f t="shared" si="132"/>
        <v>0</v>
      </c>
      <c r="N1246" s="1508">
        <f t="shared" si="133"/>
        <v>0</v>
      </c>
    </row>
    <row r="1247" spans="1:14" ht="62" outlineLevel="1" x14ac:dyDescent="0.25">
      <c r="A1247" s="1492">
        <f t="shared" si="136"/>
        <v>0</v>
      </c>
      <c r="B1247" s="1492" t="str">
        <f t="shared" si="136"/>
        <v xml:space="preserve">A)- water proofing treatment in Control room of WTP-I area.
(B)- water proofing treatment inControl room of WTP-II area.
(C)-  water proofing treatment in Control room of CT Fan area 
(D)- water proofing treatment in   Main Plant area. </v>
      </c>
      <c r="C1247" s="1488">
        <f t="shared" si="136"/>
        <v>0</v>
      </c>
      <c r="D1247" s="1413" t="str">
        <f t="shared" si="136"/>
        <v>-</v>
      </c>
      <c r="E1247" s="560">
        <f t="shared" si="136"/>
        <v>30</v>
      </c>
      <c r="F1247" s="1508">
        <f t="shared" si="129"/>
        <v>0</v>
      </c>
      <c r="G1247" s="1508">
        <f t="shared" si="130"/>
        <v>0</v>
      </c>
      <c r="H1247" s="1508">
        <f t="shared" si="131"/>
        <v>0</v>
      </c>
      <c r="I1247" s="1480">
        <v>0</v>
      </c>
      <c r="J1247" s="1480">
        <v>0</v>
      </c>
      <c r="K1247" s="1508"/>
      <c r="L1247" s="1508"/>
      <c r="M1247" s="1509">
        <f t="shared" si="132"/>
        <v>0</v>
      </c>
      <c r="N1247" s="1508">
        <f t="shared" si="133"/>
        <v>0</v>
      </c>
    </row>
    <row r="1248" spans="1:14" ht="15.5" outlineLevel="1" x14ac:dyDescent="0.25">
      <c r="A1248" s="1486">
        <f t="shared" si="136"/>
        <v>5</v>
      </c>
      <c r="B1248" s="1491" t="str">
        <f t="shared" si="136"/>
        <v>Structural strengthening of Unit 3&amp; 4 at CSTPS, Chandrapur</v>
      </c>
      <c r="C1248" s="1488">
        <f t="shared" si="136"/>
        <v>0</v>
      </c>
      <c r="D1248" s="1413" t="str">
        <f t="shared" si="136"/>
        <v>-</v>
      </c>
      <c r="E1248" s="560">
        <f t="shared" si="136"/>
        <v>40</v>
      </c>
      <c r="F1248" s="1508">
        <f t="shared" si="129"/>
        <v>0</v>
      </c>
      <c r="G1248" s="1508">
        <f t="shared" si="130"/>
        <v>0</v>
      </c>
      <c r="H1248" s="1508">
        <f t="shared" si="131"/>
        <v>0</v>
      </c>
      <c r="I1248" s="1480">
        <v>0</v>
      </c>
      <c r="J1248" s="1480">
        <v>0</v>
      </c>
      <c r="K1248" s="1508"/>
      <c r="L1248" s="1508"/>
      <c r="M1248" s="1509">
        <f t="shared" si="132"/>
        <v>0</v>
      </c>
      <c r="N1248" s="1508">
        <f t="shared" si="133"/>
        <v>0</v>
      </c>
    </row>
    <row r="1249" spans="1:14" ht="15.5" outlineLevel="1" x14ac:dyDescent="0.25">
      <c r="A1249" s="1492">
        <f t="shared" si="136"/>
        <v>0</v>
      </c>
      <c r="B1249" s="1492" t="str">
        <f t="shared" si="136"/>
        <v>Structural strengthening of Unit 3&amp; 4 at CSTPS, Chandrapur</v>
      </c>
      <c r="C1249" s="1488">
        <f t="shared" si="136"/>
        <v>0</v>
      </c>
      <c r="D1249" s="1413" t="str">
        <f t="shared" si="136"/>
        <v>-</v>
      </c>
      <c r="E1249" s="560">
        <f t="shared" si="136"/>
        <v>30</v>
      </c>
      <c r="F1249" s="1508">
        <f t="shared" si="129"/>
        <v>0</v>
      </c>
      <c r="G1249" s="1508">
        <f t="shared" si="130"/>
        <v>0</v>
      </c>
      <c r="H1249" s="1508">
        <f t="shared" si="131"/>
        <v>0</v>
      </c>
      <c r="I1249" s="1480">
        <v>0</v>
      </c>
      <c r="J1249" s="1480">
        <v>0</v>
      </c>
      <c r="K1249" s="1508"/>
      <c r="L1249" s="1508"/>
      <c r="M1249" s="1509">
        <f t="shared" si="132"/>
        <v>0</v>
      </c>
      <c r="N1249" s="1508">
        <f t="shared" si="133"/>
        <v>0</v>
      </c>
    </row>
    <row r="1250" spans="1:14" ht="15.5" outlineLevel="1" x14ac:dyDescent="0.25">
      <c r="A1250" s="1492">
        <f t="shared" si="136"/>
        <v>0</v>
      </c>
      <c r="B1250" s="1492" t="str">
        <f t="shared" si="136"/>
        <v>Structural strengthening of CHP-A buildings</v>
      </c>
      <c r="C1250" s="1488">
        <f t="shared" si="136"/>
        <v>0</v>
      </c>
      <c r="D1250" s="1413" t="str">
        <f t="shared" si="136"/>
        <v>-</v>
      </c>
      <c r="E1250" s="560">
        <f t="shared" si="136"/>
        <v>10</v>
      </c>
      <c r="F1250" s="1508">
        <f t="shared" si="129"/>
        <v>0</v>
      </c>
      <c r="G1250" s="1508">
        <f t="shared" si="130"/>
        <v>0</v>
      </c>
      <c r="H1250" s="1508">
        <f t="shared" si="131"/>
        <v>0</v>
      </c>
      <c r="I1250" s="1480">
        <v>0</v>
      </c>
      <c r="J1250" s="1480">
        <v>0</v>
      </c>
      <c r="K1250" s="1508"/>
      <c r="L1250" s="1508"/>
      <c r="M1250" s="1509">
        <f t="shared" si="132"/>
        <v>0</v>
      </c>
      <c r="N1250" s="1508">
        <f t="shared" si="133"/>
        <v>0</v>
      </c>
    </row>
    <row r="1251" spans="1:14" ht="31" outlineLevel="1" x14ac:dyDescent="0.25">
      <c r="A1251" s="1486">
        <f t="shared" si="136"/>
        <v>6</v>
      </c>
      <c r="B1251" s="1491" t="str">
        <f t="shared" si="136"/>
        <v>Infrastructure Deveolpment of CSTPS colony at CSTPS Chandrapur .</v>
      </c>
      <c r="C1251" s="1488">
        <f t="shared" si="136"/>
        <v>0</v>
      </c>
      <c r="D1251" s="1413" t="str">
        <f t="shared" si="136"/>
        <v>-</v>
      </c>
      <c r="E1251" s="560">
        <f t="shared" si="136"/>
        <v>67.900000000000006</v>
      </c>
      <c r="F1251" s="1508">
        <f t="shared" si="129"/>
        <v>0</v>
      </c>
      <c r="G1251" s="1508">
        <f t="shared" si="130"/>
        <v>0</v>
      </c>
      <c r="H1251" s="1508">
        <f t="shared" si="131"/>
        <v>0</v>
      </c>
      <c r="I1251" s="1480">
        <v>0</v>
      </c>
      <c r="J1251" s="1480">
        <v>0</v>
      </c>
      <c r="K1251" s="1508"/>
      <c r="L1251" s="1508"/>
      <c r="M1251" s="1509">
        <f t="shared" si="132"/>
        <v>0</v>
      </c>
      <c r="N1251" s="1508">
        <f t="shared" si="133"/>
        <v>0</v>
      </c>
    </row>
    <row r="1252" spans="1:14" ht="31" outlineLevel="1" x14ac:dyDescent="0.25">
      <c r="A1252" s="1492">
        <f t="shared" si="136"/>
        <v>0</v>
      </c>
      <c r="B1252" s="1492" t="str">
        <f t="shared" si="136"/>
        <v>i- Construction of new ESR (Elevated Storage Reservoir) at CSTPS Chandrapur</v>
      </c>
      <c r="C1252" s="1488">
        <f t="shared" si="136"/>
        <v>0</v>
      </c>
      <c r="D1252" s="1413" t="str">
        <f t="shared" si="136"/>
        <v>-</v>
      </c>
      <c r="E1252" s="560">
        <f t="shared" si="136"/>
        <v>3.78</v>
      </c>
      <c r="F1252" s="1508">
        <f t="shared" si="129"/>
        <v>0</v>
      </c>
      <c r="G1252" s="1508">
        <f t="shared" si="130"/>
        <v>0</v>
      </c>
      <c r="H1252" s="1508">
        <f t="shared" si="131"/>
        <v>0</v>
      </c>
      <c r="I1252" s="1480">
        <v>0</v>
      </c>
      <c r="J1252" s="1480">
        <v>0</v>
      </c>
      <c r="K1252" s="1508"/>
      <c r="L1252" s="1508"/>
      <c r="M1252" s="1509">
        <f t="shared" si="132"/>
        <v>0</v>
      </c>
      <c r="N1252" s="1508">
        <f t="shared" si="133"/>
        <v>0</v>
      </c>
    </row>
    <row r="1253" spans="1:14" ht="31" outlineLevel="1" x14ac:dyDescent="0.25">
      <c r="A1253" s="1492">
        <f t="shared" si="136"/>
        <v>0</v>
      </c>
      <c r="B1253" s="1492" t="str">
        <f t="shared" si="136"/>
        <v>ii- Providing &amp; Rerouting of existing water supply pipe line at CSTPS Chandrapur</v>
      </c>
      <c r="C1253" s="1488">
        <f t="shared" si="136"/>
        <v>0</v>
      </c>
      <c r="D1253" s="1413" t="str">
        <f t="shared" si="136"/>
        <v>-</v>
      </c>
      <c r="E1253" s="560">
        <f t="shared" si="136"/>
        <v>4.05</v>
      </c>
      <c r="F1253" s="1508">
        <f t="shared" si="129"/>
        <v>0</v>
      </c>
      <c r="G1253" s="1508">
        <f t="shared" si="130"/>
        <v>0</v>
      </c>
      <c r="H1253" s="1508">
        <f t="shared" si="131"/>
        <v>0</v>
      </c>
      <c r="I1253" s="1480">
        <v>0</v>
      </c>
      <c r="J1253" s="1480">
        <v>0</v>
      </c>
      <c r="K1253" s="1508"/>
      <c r="L1253" s="1508"/>
      <c r="M1253" s="1509">
        <f t="shared" si="132"/>
        <v>0</v>
      </c>
      <c r="N1253" s="1508">
        <f t="shared" si="133"/>
        <v>0</v>
      </c>
    </row>
    <row r="1254" spans="1:14" ht="31" outlineLevel="1" x14ac:dyDescent="0.25">
      <c r="A1254" s="1492">
        <f t="shared" si="136"/>
        <v>0</v>
      </c>
      <c r="B1254" s="1492" t="str">
        <f t="shared" si="136"/>
        <v>iii- Providing &amp; Rerouting of esiting sewer line at CSTPS colony Chandrapur</v>
      </c>
      <c r="C1254" s="1488">
        <f t="shared" si="136"/>
        <v>0</v>
      </c>
      <c r="D1254" s="1413" t="str">
        <f t="shared" si="136"/>
        <v>-</v>
      </c>
      <c r="E1254" s="560">
        <f t="shared" si="136"/>
        <v>7.01</v>
      </c>
      <c r="F1254" s="1508">
        <f t="shared" si="129"/>
        <v>0</v>
      </c>
      <c r="G1254" s="1508">
        <f t="shared" si="130"/>
        <v>0</v>
      </c>
      <c r="H1254" s="1508">
        <f t="shared" si="131"/>
        <v>0</v>
      </c>
      <c r="I1254" s="1480">
        <v>0</v>
      </c>
      <c r="J1254" s="1480">
        <v>0</v>
      </c>
      <c r="K1254" s="1508"/>
      <c r="L1254" s="1508"/>
      <c r="M1254" s="1509">
        <f t="shared" si="132"/>
        <v>0</v>
      </c>
      <c r="N1254" s="1508">
        <f t="shared" si="133"/>
        <v>0</v>
      </c>
    </row>
    <row r="1255" spans="1:14" ht="31" outlineLevel="1" x14ac:dyDescent="0.25">
      <c r="A1255" s="1492">
        <f t="shared" si="136"/>
        <v>0</v>
      </c>
      <c r="B1255" s="1492" t="str">
        <f t="shared" si="136"/>
        <v>iv- Providing water proofing treatment to terrace slab of residential building aaat CSTPS colony Chandrapur</v>
      </c>
      <c r="C1255" s="1488">
        <f t="shared" si="136"/>
        <v>0</v>
      </c>
      <c r="D1255" s="1413" t="str">
        <f t="shared" si="136"/>
        <v>-</v>
      </c>
      <c r="E1255" s="560">
        <f t="shared" si="136"/>
        <v>6.34</v>
      </c>
      <c r="F1255" s="1508">
        <f t="shared" si="129"/>
        <v>0</v>
      </c>
      <c r="G1255" s="1508">
        <f t="shared" si="130"/>
        <v>0</v>
      </c>
      <c r="H1255" s="1508">
        <f t="shared" si="131"/>
        <v>0</v>
      </c>
      <c r="I1255" s="1480">
        <v>0</v>
      </c>
      <c r="J1255" s="1480">
        <v>0</v>
      </c>
      <c r="K1255" s="1508"/>
      <c r="L1255" s="1508"/>
      <c r="M1255" s="1509">
        <f t="shared" si="132"/>
        <v>0</v>
      </c>
      <c r="N1255" s="1508">
        <f t="shared" si="133"/>
        <v>0</v>
      </c>
    </row>
    <row r="1256" spans="1:14" ht="31" outlineLevel="1" x14ac:dyDescent="0.25">
      <c r="A1256" s="1492">
        <f t="shared" ref="A1256:E1271" si="137">A586</f>
        <v>0</v>
      </c>
      <c r="B1256" s="1492" t="str">
        <f t="shared" si="137"/>
        <v>v- Construction of storm water drain along major and internal road of CSTPS colony at Chnadrapur</v>
      </c>
      <c r="C1256" s="1488">
        <f t="shared" si="137"/>
        <v>0</v>
      </c>
      <c r="D1256" s="1413" t="str">
        <f t="shared" si="137"/>
        <v>-</v>
      </c>
      <c r="E1256" s="560">
        <f t="shared" si="137"/>
        <v>16.86</v>
      </c>
      <c r="F1256" s="1508">
        <f t="shared" ref="F1256:F1319" si="138">F586+I586</f>
        <v>0</v>
      </c>
      <c r="G1256" s="1508">
        <f t="shared" ref="G1256:G1319" si="139">G586+M586</f>
        <v>0</v>
      </c>
      <c r="H1256" s="1508">
        <f t="shared" si="131"/>
        <v>0</v>
      </c>
      <c r="I1256" s="1480">
        <v>0</v>
      </c>
      <c r="J1256" s="1480">
        <v>0</v>
      </c>
      <c r="K1256" s="1508"/>
      <c r="L1256" s="1508"/>
      <c r="M1256" s="1509">
        <f t="shared" si="132"/>
        <v>0</v>
      </c>
      <c r="N1256" s="1508">
        <f t="shared" si="133"/>
        <v>0</v>
      </c>
    </row>
    <row r="1257" spans="1:14" ht="31" outlineLevel="1" x14ac:dyDescent="0.25">
      <c r="A1257" s="1492">
        <f t="shared" si="137"/>
        <v>0</v>
      </c>
      <c r="B1257" s="1492" t="str">
        <f t="shared" si="137"/>
        <v>vi-Improvement of existing major and internal Bitumen   road of CSTPS colony  by Bituminous treatment  at  CSTPS Chandrapur</v>
      </c>
      <c r="C1257" s="1488">
        <f t="shared" si="137"/>
        <v>0</v>
      </c>
      <c r="D1257" s="1413" t="str">
        <f t="shared" si="137"/>
        <v>-</v>
      </c>
      <c r="E1257" s="560">
        <f t="shared" si="137"/>
        <v>29.81</v>
      </c>
      <c r="F1257" s="1508">
        <f t="shared" si="138"/>
        <v>0</v>
      </c>
      <c r="G1257" s="1508">
        <f t="shared" si="139"/>
        <v>0</v>
      </c>
      <c r="H1257" s="1508">
        <f t="shared" si="131"/>
        <v>0</v>
      </c>
      <c r="I1257" s="1480">
        <v>0</v>
      </c>
      <c r="J1257" s="1480">
        <v>0</v>
      </c>
      <c r="K1257" s="1508"/>
      <c r="L1257" s="1508"/>
      <c r="M1257" s="1509">
        <f t="shared" si="132"/>
        <v>0</v>
      </c>
      <c r="N1257" s="1508">
        <f t="shared" si="133"/>
        <v>0</v>
      </c>
    </row>
    <row r="1258" spans="1:14" ht="31" outlineLevel="1" x14ac:dyDescent="0.25">
      <c r="A1258" s="1486">
        <f t="shared" si="137"/>
        <v>7</v>
      </c>
      <c r="B1258" s="1491" t="str">
        <f t="shared" si="137"/>
        <v>Renovation of residential buildings , Public building , Road and other allied civil works in CSTPS colony at Chandrapur</v>
      </c>
      <c r="C1258" s="1488">
        <f t="shared" si="137"/>
        <v>0</v>
      </c>
      <c r="D1258" s="1413" t="str">
        <f t="shared" si="137"/>
        <v>-</v>
      </c>
      <c r="E1258" s="560">
        <f t="shared" si="137"/>
        <v>209</v>
      </c>
      <c r="F1258" s="1508">
        <f t="shared" si="138"/>
        <v>0</v>
      </c>
      <c r="G1258" s="1508">
        <f t="shared" si="139"/>
        <v>0</v>
      </c>
      <c r="H1258" s="1508">
        <f t="shared" si="131"/>
        <v>0</v>
      </c>
      <c r="I1258" s="1480">
        <v>0</v>
      </c>
      <c r="J1258" s="1480">
        <v>0</v>
      </c>
      <c r="K1258" s="1508"/>
      <c r="L1258" s="1508"/>
      <c r="M1258" s="1509">
        <f t="shared" si="132"/>
        <v>0</v>
      </c>
      <c r="N1258" s="1508">
        <f t="shared" si="133"/>
        <v>0</v>
      </c>
    </row>
    <row r="1259" spans="1:14" ht="31" outlineLevel="1" x14ac:dyDescent="0.25">
      <c r="A1259" s="1492">
        <f t="shared" si="137"/>
        <v>0</v>
      </c>
      <c r="B1259" s="1492" t="str">
        <f t="shared" si="137"/>
        <v>i- Renovation and Beautification of residential building ( Type A, B, C, D, E and F)  Phase -II at CSTPS Chnadrapur</v>
      </c>
      <c r="C1259" s="1488">
        <f t="shared" si="137"/>
        <v>0</v>
      </c>
      <c r="D1259" s="1413" t="str">
        <f t="shared" si="137"/>
        <v>-</v>
      </c>
      <c r="E1259" s="560">
        <f t="shared" si="137"/>
        <v>132</v>
      </c>
      <c r="F1259" s="1508">
        <f t="shared" si="138"/>
        <v>0</v>
      </c>
      <c r="G1259" s="1508">
        <f t="shared" si="139"/>
        <v>0</v>
      </c>
      <c r="H1259" s="1508">
        <f t="shared" si="131"/>
        <v>0</v>
      </c>
      <c r="I1259" s="1480">
        <v>0</v>
      </c>
      <c r="J1259" s="1480">
        <v>0</v>
      </c>
      <c r="K1259" s="1508"/>
      <c r="L1259" s="1508"/>
      <c r="M1259" s="1509">
        <f t="shared" si="132"/>
        <v>0</v>
      </c>
      <c r="N1259" s="1508">
        <f t="shared" si="133"/>
        <v>0</v>
      </c>
    </row>
    <row r="1260" spans="1:14" ht="15.5" outlineLevel="1" x14ac:dyDescent="0.25">
      <c r="A1260" s="1492">
        <f t="shared" si="137"/>
        <v>0</v>
      </c>
      <c r="B1260" s="1492" t="str">
        <f t="shared" si="137"/>
        <v>ii-Renovation of old and new market at CSTPS Chandrapur</v>
      </c>
      <c r="C1260" s="1488">
        <f t="shared" si="137"/>
        <v>0</v>
      </c>
      <c r="D1260" s="1413" t="str">
        <f t="shared" si="137"/>
        <v>-</v>
      </c>
      <c r="E1260" s="560">
        <f t="shared" si="137"/>
        <v>2</v>
      </c>
      <c r="F1260" s="1508">
        <f t="shared" si="138"/>
        <v>0</v>
      </c>
      <c r="G1260" s="1508">
        <f t="shared" si="139"/>
        <v>0</v>
      </c>
      <c r="H1260" s="1508">
        <f t="shared" si="131"/>
        <v>0</v>
      </c>
      <c r="I1260" s="1480">
        <v>0</v>
      </c>
      <c r="J1260" s="1480">
        <v>0</v>
      </c>
      <c r="K1260" s="1508"/>
      <c r="L1260" s="1508"/>
      <c r="M1260" s="1509">
        <f t="shared" si="132"/>
        <v>0</v>
      </c>
      <c r="N1260" s="1508">
        <f t="shared" si="133"/>
        <v>0</v>
      </c>
    </row>
    <row r="1261" spans="1:14" ht="31" outlineLevel="1" x14ac:dyDescent="0.25">
      <c r="A1261" s="1492">
        <f t="shared" si="137"/>
        <v>0</v>
      </c>
      <c r="B1261" s="1492" t="str">
        <f t="shared" si="137"/>
        <v>iii-Improvement of exsiting Main road by Cement Concrte road  in colony at CSTPS Chandrapur</v>
      </c>
      <c r="C1261" s="1488">
        <f t="shared" si="137"/>
        <v>0</v>
      </c>
      <c r="D1261" s="1413" t="str">
        <f t="shared" si="137"/>
        <v>-</v>
      </c>
      <c r="E1261" s="560">
        <f t="shared" si="137"/>
        <v>55</v>
      </c>
      <c r="F1261" s="1508">
        <f t="shared" si="138"/>
        <v>0</v>
      </c>
      <c r="G1261" s="1508">
        <f t="shared" si="139"/>
        <v>0</v>
      </c>
      <c r="H1261" s="1508">
        <f t="shared" si="131"/>
        <v>0</v>
      </c>
      <c r="I1261" s="1480">
        <v>0</v>
      </c>
      <c r="J1261" s="1480">
        <v>0</v>
      </c>
      <c r="K1261" s="1508"/>
      <c r="L1261" s="1508"/>
      <c r="M1261" s="1509">
        <f t="shared" si="132"/>
        <v>0</v>
      </c>
      <c r="N1261" s="1508">
        <f t="shared" si="133"/>
        <v>0</v>
      </c>
    </row>
    <row r="1262" spans="1:14" ht="31" outlineLevel="1" x14ac:dyDescent="0.25">
      <c r="A1262" s="1492">
        <f t="shared" si="137"/>
        <v>0</v>
      </c>
      <c r="B1262" s="1492" t="str">
        <f t="shared" si="137"/>
        <v>iv-Renovation of Civil and Electrical Maint office building at CSTPS Chandrapur.</v>
      </c>
      <c r="C1262" s="1488">
        <f t="shared" si="137"/>
        <v>0</v>
      </c>
      <c r="D1262" s="1413" t="str">
        <f t="shared" si="137"/>
        <v>-</v>
      </c>
      <c r="E1262" s="560">
        <f t="shared" si="137"/>
        <v>1.5</v>
      </c>
      <c r="F1262" s="1508">
        <f t="shared" si="138"/>
        <v>0</v>
      </c>
      <c r="G1262" s="1508">
        <f t="shared" si="139"/>
        <v>0</v>
      </c>
      <c r="H1262" s="1508">
        <f t="shared" si="131"/>
        <v>0</v>
      </c>
      <c r="I1262" s="1480">
        <v>0</v>
      </c>
      <c r="J1262" s="1480">
        <v>0</v>
      </c>
      <c r="K1262" s="1508"/>
      <c r="L1262" s="1508"/>
      <c r="M1262" s="1509">
        <f t="shared" si="132"/>
        <v>0</v>
      </c>
      <c r="N1262" s="1508">
        <f t="shared" si="133"/>
        <v>0</v>
      </c>
    </row>
    <row r="1263" spans="1:14" ht="31" outlineLevel="1" x14ac:dyDescent="0.25">
      <c r="A1263" s="1492">
        <f t="shared" si="137"/>
        <v>0</v>
      </c>
      <c r="B1263" s="1492" t="str">
        <f t="shared" si="137"/>
        <v xml:space="preserve">v- Renoavtion of Post office building and Bank Building at CSTPS Chandrapur </v>
      </c>
      <c r="C1263" s="1488">
        <f t="shared" si="137"/>
        <v>0</v>
      </c>
      <c r="D1263" s="1413" t="str">
        <f t="shared" si="137"/>
        <v>-</v>
      </c>
      <c r="E1263" s="560">
        <f t="shared" si="137"/>
        <v>1.5</v>
      </c>
      <c r="F1263" s="1508">
        <f t="shared" si="138"/>
        <v>0</v>
      </c>
      <c r="G1263" s="1508">
        <f t="shared" si="139"/>
        <v>0</v>
      </c>
      <c r="H1263" s="1508">
        <f t="shared" si="131"/>
        <v>0</v>
      </c>
      <c r="I1263" s="1480">
        <v>0</v>
      </c>
      <c r="J1263" s="1480">
        <v>0</v>
      </c>
      <c r="K1263" s="1508"/>
      <c r="L1263" s="1508"/>
      <c r="M1263" s="1509">
        <f t="shared" si="132"/>
        <v>0</v>
      </c>
      <c r="N1263" s="1508">
        <f t="shared" si="133"/>
        <v>0</v>
      </c>
    </row>
    <row r="1264" spans="1:14" ht="15.5" outlineLevel="1" x14ac:dyDescent="0.25">
      <c r="A1264" s="1492">
        <f t="shared" si="137"/>
        <v>0</v>
      </c>
      <c r="B1264" s="1492" t="str">
        <f t="shared" si="137"/>
        <v>vi- Renovation fo Erai Dam guest House at CSTPS Chandrapur</v>
      </c>
      <c r="C1264" s="1488">
        <f t="shared" si="137"/>
        <v>0</v>
      </c>
      <c r="D1264" s="1413" t="str">
        <f t="shared" si="137"/>
        <v>-</v>
      </c>
      <c r="E1264" s="560">
        <f t="shared" si="137"/>
        <v>2</v>
      </c>
      <c r="F1264" s="1508">
        <f t="shared" si="138"/>
        <v>0</v>
      </c>
      <c r="G1264" s="1508">
        <f t="shared" si="139"/>
        <v>0</v>
      </c>
      <c r="H1264" s="1508">
        <f t="shared" si="131"/>
        <v>0</v>
      </c>
      <c r="I1264" s="1480">
        <v>0</v>
      </c>
      <c r="J1264" s="1480">
        <v>0</v>
      </c>
      <c r="K1264" s="1508"/>
      <c r="L1264" s="1508"/>
      <c r="M1264" s="1509">
        <f t="shared" si="132"/>
        <v>0</v>
      </c>
      <c r="N1264" s="1508">
        <f t="shared" si="133"/>
        <v>0</v>
      </c>
    </row>
    <row r="1265" spans="1:14" ht="31" outlineLevel="1" x14ac:dyDescent="0.25">
      <c r="A1265" s="1492">
        <f t="shared" si="137"/>
        <v>0</v>
      </c>
      <c r="B1265" s="1492" t="str">
        <f t="shared" si="137"/>
        <v>vii- Improvement of Erai dam approch road by Bituminous treatment at CSTPS Chnadrapur</v>
      </c>
      <c r="C1265" s="1488">
        <f t="shared" si="137"/>
        <v>0</v>
      </c>
      <c r="D1265" s="1413" t="str">
        <f t="shared" si="137"/>
        <v>-</v>
      </c>
      <c r="E1265" s="560">
        <f t="shared" si="137"/>
        <v>15</v>
      </c>
      <c r="F1265" s="1508">
        <f t="shared" si="138"/>
        <v>0</v>
      </c>
      <c r="G1265" s="1508">
        <f t="shared" si="139"/>
        <v>0</v>
      </c>
      <c r="H1265" s="1508">
        <f t="shared" si="131"/>
        <v>0</v>
      </c>
      <c r="I1265" s="1480">
        <v>0</v>
      </c>
      <c r="J1265" s="1480">
        <v>0</v>
      </c>
      <c r="K1265" s="1508"/>
      <c r="L1265" s="1508"/>
      <c r="M1265" s="1509">
        <f t="shared" si="132"/>
        <v>0</v>
      </c>
      <c r="N1265" s="1508">
        <f t="shared" si="133"/>
        <v>0</v>
      </c>
    </row>
    <row r="1266" spans="1:14" ht="46.5" outlineLevel="1" x14ac:dyDescent="0.25">
      <c r="A1266" s="1486">
        <f t="shared" si="137"/>
        <v>8</v>
      </c>
      <c r="B1266" s="1491" t="str">
        <f t="shared" si="137"/>
        <v>Construction of new residential building ,Hospital Building ,Chemmary Building,security office building  and allied civil work infrastructure in colony at CSTPS Chandrapur</v>
      </c>
      <c r="C1266" s="1488">
        <f t="shared" si="137"/>
        <v>0</v>
      </c>
      <c r="D1266" s="1413" t="str">
        <f t="shared" si="137"/>
        <v>-</v>
      </c>
      <c r="E1266" s="560">
        <f t="shared" si="137"/>
        <v>76.25</v>
      </c>
      <c r="F1266" s="1508">
        <f t="shared" si="138"/>
        <v>0</v>
      </c>
      <c r="G1266" s="1508">
        <f t="shared" si="139"/>
        <v>0</v>
      </c>
      <c r="H1266" s="1508">
        <f t="shared" si="131"/>
        <v>0</v>
      </c>
      <c r="I1266" s="1480">
        <v>0</v>
      </c>
      <c r="J1266" s="1480">
        <v>0</v>
      </c>
      <c r="K1266" s="1508"/>
      <c r="L1266" s="1508"/>
      <c r="M1266" s="1509">
        <f t="shared" si="132"/>
        <v>0</v>
      </c>
      <c r="N1266" s="1508">
        <f t="shared" si="133"/>
        <v>0</v>
      </c>
    </row>
    <row r="1267" spans="1:14" ht="31" outlineLevel="1" x14ac:dyDescent="0.25">
      <c r="A1267" s="1492">
        <f t="shared" si="137"/>
        <v>0</v>
      </c>
      <c r="B1267" s="1492" t="str">
        <f t="shared" si="137"/>
        <v>i- Construction of new residential staff quarter of A, B ,C D and E type  building in colony at CSTPS Chandrapur</v>
      </c>
      <c r="C1267" s="1488">
        <f t="shared" si="137"/>
        <v>0</v>
      </c>
      <c r="D1267" s="1413" t="str">
        <f t="shared" si="137"/>
        <v>-</v>
      </c>
      <c r="E1267" s="560">
        <f t="shared" si="137"/>
        <v>60</v>
      </c>
      <c r="F1267" s="1508">
        <f t="shared" si="138"/>
        <v>0</v>
      </c>
      <c r="G1267" s="1508">
        <f t="shared" si="139"/>
        <v>0</v>
      </c>
      <c r="H1267" s="1508">
        <f t="shared" si="131"/>
        <v>0</v>
      </c>
      <c r="I1267" s="1480">
        <v>0</v>
      </c>
      <c r="J1267" s="1480">
        <v>0</v>
      </c>
      <c r="K1267" s="1508"/>
      <c r="L1267" s="1508"/>
      <c r="M1267" s="1509">
        <f t="shared" si="132"/>
        <v>0</v>
      </c>
      <c r="N1267" s="1508">
        <f t="shared" si="133"/>
        <v>0</v>
      </c>
    </row>
    <row r="1268" spans="1:14" ht="15.5" outlineLevel="1" x14ac:dyDescent="0.25">
      <c r="A1268" s="1492">
        <f t="shared" si="137"/>
        <v>0</v>
      </c>
      <c r="B1268" s="1492" t="str">
        <f t="shared" si="137"/>
        <v>ii-Construction of New Hospital Building at CSTSP Chandrapur</v>
      </c>
      <c r="C1268" s="1488">
        <f t="shared" si="137"/>
        <v>0</v>
      </c>
      <c r="D1268" s="1413" t="str">
        <f t="shared" si="137"/>
        <v>-</v>
      </c>
      <c r="E1268" s="560">
        <f t="shared" si="137"/>
        <v>2</v>
      </c>
      <c r="F1268" s="1508">
        <f t="shared" si="138"/>
        <v>0</v>
      </c>
      <c r="G1268" s="1508">
        <f t="shared" si="139"/>
        <v>0</v>
      </c>
      <c r="H1268" s="1508">
        <f t="shared" si="131"/>
        <v>0</v>
      </c>
      <c r="I1268" s="1480">
        <v>0</v>
      </c>
      <c r="J1268" s="1480">
        <v>0</v>
      </c>
      <c r="K1268" s="1508"/>
      <c r="L1268" s="1508"/>
      <c r="M1268" s="1509">
        <f t="shared" si="132"/>
        <v>0</v>
      </c>
      <c r="N1268" s="1508">
        <f t="shared" si="133"/>
        <v>0</v>
      </c>
    </row>
    <row r="1269" spans="1:14" ht="31" outlineLevel="1" x14ac:dyDescent="0.25">
      <c r="A1269" s="1492">
        <f t="shared" si="137"/>
        <v>0</v>
      </c>
      <c r="B1269" s="1492" t="str">
        <f t="shared" si="137"/>
        <v>iii-Construction of new Chummary Building at CSTPS Chandrapur</v>
      </c>
      <c r="C1269" s="1488">
        <f t="shared" si="137"/>
        <v>0</v>
      </c>
      <c r="D1269" s="1413" t="str">
        <f t="shared" si="137"/>
        <v>-</v>
      </c>
      <c r="E1269" s="560">
        <f t="shared" si="137"/>
        <v>7.5</v>
      </c>
      <c r="F1269" s="1508">
        <f t="shared" si="138"/>
        <v>0</v>
      </c>
      <c r="G1269" s="1508">
        <f t="shared" si="139"/>
        <v>0</v>
      </c>
      <c r="H1269" s="1508">
        <f t="shared" si="131"/>
        <v>0</v>
      </c>
      <c r="I1269" s="1480">
        <v>0</v>
      </c>
      <c r="J1269" s="1480">
        <v>0</v>
      </c>
      <c r="K1269" s="1508"/>
      <c r="L1269" s="1508"/>
      <c r="M1269" s="1509">
        <f t="shared" si="132"/>
        <v>0</v>
      </c>
      <c r="N1269" s="1508">
        <f t="shared" si="133"/>
        <v>0</v>
      </c>
    </row>
    <row r="1270" spans="1:14" ht="31" outlineLevel="1" x14ac:dyDescent="0.25">
      <c r="A1270" s="1492">
        <f t="shared" si="137"/>
        <v>0</v>
      </c>
      <c r="B1270" s="1492" t="str">
        <f t="shared" si="137"/>
        <v>iv-Construction of new security office and check post at various location in colony at CSTPS Chandrapur</v>
      </c>
      <c r="C1270" s="1488">
        <f t="shared" si="137"/>
        <v>0</v>
      </c>
      <c r="D1270" s="1413" t="str">
        <f t="shared" si="137"/>
        <v>-</v>
      </c>
      <c r="E1270" s="560">
        <f t="shared" si="137"/>
        <v>0.75</v>
      </c>
      <c r="F1270" s="1508">
        <f t="shared" si="138"/>
        <v>0</v>
      </c>
      <c r="G1270" s="1508">
        <f t="shared" si="139"/>
        <v>0</v>
      </c>
      <c r="H1270" s="1508">
        <f t="shared" ref="H1270:H1333" si="140">F1270-G1270</f>
        <v>0</v>
      </c>
      <c r="I1270" s="1480">
        <v>0</v>
      </c>
      <c r="J1270" s="1480">
        <v>0</v>
      </c>
      <c r="K1270" s="1508"/>
      <c r="L1270" s="1508"/>
      <c r="M1270" s="1509">
        <f t="shared" ref="M1270:M1333" si="141">SUM(J1270:L1270)</f>
        <v>0</v>
      </c>
      <c r="N1270" s="1508">
        <f t="shared" ref="N1270:N1333" si="142">H1270+I1270-M1270</f>
        <v>0</v>
      </c>
    </row>
    <row r="1271" spans="1:14" ht="31" outlineLevel="1" x14ac:dyDescent="0.25">
      <c r="A1271" s="1492">
        <f t="shared" si="137"/>
        <v>0</v>
      </c>
      <c r="B1271" s="1492" t="str">
        <f t="shared" si="137"/>
        <v>v-Construction of swimming pool in colony at CSTPS Chandrapur</v>
      </c>
      <c r="C1271" s="1488">
        <f t="shared" si="137"/>
        <v>0</v>
      </c>
      <c r="D1271" s="1413" t="str">
        <f t="shared" si="137"/>
        <v>-</v>
      </c>
      <c r="E1271" s="560">
        <f t="shared" si="137"/>
        <v>2</v>
      </c>
      <c r="F1271" s="1508">
        <f t="shared" si="138"/>
        <v>0</v>
      </c>
      <c r="G1271" s="1508">
        <f t="shared" si="139"/>
        <v>0</v>
      </c>
      <c r="H1271" s="1508">
        <f t="shared" si="140"/>
        <v>0</v>
      </c>
      <c r="I1271" s="1480">
        <v>0</v>
      </c>
      <c r="J1271" s="1480">
        <v>0</v>
      </c>
      <c r="K1271" s="1508"/>
      <c r="L1271" s="1508"/>
      <c r="M1271" s="1509">
        <f t="shared" si="141"/>
        <v>0</v>
      </c>
      <c r="N1271" s="1508">
        <f t="shared" si="142"/>
        <v>0</v>
      </c>
    </row>
    <row r="1272" spans="1:14" ht="46.5" outlineLevel="1" x14ac:dyDescent="0.25">
      <c r="A1272" s="1492">
        <f t="shared" ref="A1272:E1287" si="143">A602</f>
        <v>0</v>
      </c>
      <c r="B1272" s="1492" t="str">
        <f t="shared" si="143"/>
        <v>vii-Providing new drinking water supply DI- pipe line  300 mm dia .for domestic water supply to rsidential colony at CSTPS Chandrapur.</v>
      </c>
      <c r="C1272" s="1488">
        <f t="shared" si="143"/>
        <v>0</v>
      </c>
      <c r="D1272" s="1413" t="str">
        <f t="shared" si="143"/>
        <v>-</v>
      </c>
      <c r="E1272" s="560">
        <f t="shared" si="143"/>
        <v>2</v>
      </c>
      <c r="F1272" s="1508">
        <f t="shared" si="138"/>
        <v>0</v>
      </c>
      <c r="G1272" s="1508">
        <f t="shared" si="139"/>
        <v>0</v>
      </c>
      <c r="H1272" s="1508">
        <f t="shared" si="140"/>
        <v>0</v>
      </c>
      <c r="I1272" s="1480">
        <v>0</v>
      </c>
      <c r="J1272" s="1480">
        <v>0</v>
      </c>
      <c r="K1272" s="1508"/>
      <c r="L1272" s="1508"/>
      <c r="M1272" s="1509">
        <f t="shared" si="141"/>
        <v>0</v>
      </c>
      <c r="N1272" s="1508">
        <f t="shared" si="142"/>
        <v>0</v>
      </c>
    </row>
    <row r="1273" spans="1:14" ht="31" outlineLevel="1" x14ac:dyDescent="0.25">
      <c r="A1273" s="1492">
        <f t="shared" si="143"/>
        <v>0</v>
      </c>
      <c r="B1273" s="1492" t="str">
        <f t="shared" si="143"/>
        <v>viii-Rain water Harvesting system to residential building at CSTPS Chandrapur.</v>
      </c>
      <c r="C1273" s="1488">
        <f t="shared" si="143"/>
        <v>0</v>
      </c>
      <c r="D1273" s="1413" t="str">
        <f t="shared" si="143"/>
        <v>-</v>
      </c>
      <c r="E1273" s="560">
        <f t="shared" si="143"/>
        <v>2</v>
      </c>
      <c r="F1273" s="1508">
        <f t="shared" si="138"/>
        <v>0</v>
      </c>
      <c r="G1273" s="1508">
        <f t="shared" si="139"/>
        <v>0</v>
      </c>
      <c r="H1273" s="1508">
        <f t="shared" si="140"/>
        <v>0</v>
      </c>
      <c r="I1273" s="1480">
        <v>0</v>
      </c>
      <c r="J1273" s="1480">
        <v>0</v>
      </c>
      <c r="K1273" s="1508"/>
      <c r="L1273" s="1508"/>
      <c r="M1273" s="1509">
        <f t="shared" si="141"/>
        <v>0</v>
      </c>
      <c r="N1273" s="1508">
        <f t="shared" si="142"/>
        <v>0</v>
      </c>
    </row>
    <row r="1274" spans="1:14" ht="15.5" outlineLevel="1" x14ac:dyDescent="0.25">
      <c r="A1274" s="1486">
        <f t="shared" si="143"/>
        <v>9</v>
      </c>
      <c r="B1274" s="1491" t="str">
        <f t="shared" si="143"/>
        <v>Renovation of public utility building of CSTPS, Chandrapur</v>
      </c>
      <c r="C1274" s="1488">
        <f t="shared" si="143"/>
        <v>0</v>
      </c>
      <c r="D1274" s="1413" t="str">
        <f t="shared" si="143"/>
        <v>-</v>
      </c>
      <c r="E1274" s="560">
        <f t="shared" si="143"/>
        <v>29.950000000000003</v>
      </c>
      <c r="F1274" s="1508">
        <f t="shared" si="138"/>
        <v>0</v>
      </c>
      <c r="G1274" s="1508">
        <f t="shared" si="139"/>
        <v>0</v>
      </c>
      <c r="H1274" s="1508">
        <f t="shared" si="140"/>
        <v>0</v>
      </c>
      <c r="I1274" s="1480">
        <v>0</v>
      </c>
      <c r="J1274" s="1480">
        <v>0</v>
      </c>
      <c r="K1274" s="1508"/>
      <c r="L1274" s="1508"/>
      <c r="M1274" s="1509">
        <f t="shared" si="141"/>
        <v>0</v>
      </c>
      <c r="N1274" s="1508">
        <f t="shared" si="142"/>
        <v>0</v>
      </c>
    </row>
    <row r="1275" spans="1:14" ht="15.5" outlineLevel="1" x14ac:dyDescent="0.25">
      <c r="A1275" s="1492">
        <f t="shared" si="143"/>
        <v>0</v>
      </c>
      <c r="B1275" s="1492" t="str">
        <f t="shared" si="143"/>
        <v>Renovation and interior decoration of Hirai guest house</v>
      </c>
      <c r="C1275" s="1488">
        <f t="shared" si="143"/>
        <v>0</v>
      </c>
      <c r="D1275" s="1413" t="str">
        <f t="shared" si="143"/>
        <v>-</v>
      </c>
      <c r="E1275" s="560">
        <f t="shared" si="143"/>
        <v>7.51</v>
      </c>
      <c r="F1275" s="1508">
        <f t="shared" si="138"/>
        <v>0</v>
      </c>
      <c r="G1275" s="1508">
        <f t="shared" si="139"/>
        <v>0</v>
      </c>
      <c r="H1275" s="1508">
        <f t="shared" si="140"/>
        <v>0</v>
      </c>
      <c r="I1275" s="1480">
        <v>0</v>
      </c>
      <c r="J1275" s="1480">
        <v>0</v>
      </c>
      <c r="K1275" s="1508"/>
      <c r="L1275" s="1508"/>
      <c r="M1275" s="1509">
        <f t="shared" si="141"/>
        <v>0</v>
      </c>
      <c r="N1275" s="1508">
        <f t="shared" si="142"/>
        <v>0</v>
      </c>
    </row>
    <row r="1276" spans="1:14" ht="31" outlineLevel="1" x14ac:dyDescent="0.25">
      <c r="A1276" s="1492">
        <f t="shared" si="143"/>
        <v>0</v>
      </c>
      <c r="B1276" s="1492" t="str">
        <f t="shared" si="143"/>
        <v>Renovation and interior decoration of existing chummery guest house</v>
      </c>
      <c r="C1276" s="1488">
        <f t="shared" si="143"/>
        <v>0</v>
      </c>
      <c r="D1276" s="1413" t="str">
        <f t="shared" si="143"/>
        <v>-</v>
      </c>
      <c r="E1276" s="560">
        <f t="shared" si="143"/>
        <v>12.22</v>
      </c>
      <c r="F1276" s="1508">
        <f t="shared" si="138"/>
        <v>0</v>
      </c>
      <c r="G1276" s="1508">
        <f t="shared" si="139"/>
        <v>0</v>
      </c>
      <c r="H1276" s="1508">
        <f t="shared" si="140"/>
        <v>0</v>
      </c>
      <c r="I1276" s="1480">
        <v>0</v>
      </c>
      <c r="J1276" s="1480">
        <v>0</v>
      </c>
      <c r="K1276" s="1508"/>
      <c r="L1276" s="1508"/>
      <c r="M1276" s="1509">
        <f t="shared" si="141"/>
        <v>0</v>
      </c>
      <c r="N1276" s="1508">
        <f t="shared" si="142"/>
        <v>0</v>
      </c>
    </row>
    <row r="1277" spans="1:14" ht="31" outlineLevel="1" x14ac:dyDescent="0.25">
      <c r="A1277" s="1492">
        <f t="shared" si="143"/>
        <v>0</v>
      </c>
      <c r="B1277" s="1492" t="str">
        <f t="shared" si="143"/>
        <v>Renovation and interior decoration of existing Erai dam guest house</v>
      </c>
      <c r="C1277" s="1488">
        <f t="shared" si="143"/>
        <v>0</v>
      </c>
      <c r="D1277" s="1413" t="str">
        <f t="shared" si="143"/>
        <v>-</v>
      </c>
      <c r="E1277" s="560">
        <f t="shared" si="143"/>
        <v>6.65</v>
      </c>
      <c r="F1277" s="1508">
        <f t="shared" si="138"/>
        <v>0</v>
      </c>
      <c r="G1277" s="1508">
        <f t="shared" si="139"/>
        <v>0</v>
      </c>
      <c r="H1277" s="1508">
        <f t="shared" si="140"/>
        <v>0</v>
      </c>
      <c r="I1277" s="1480">
        <v>0</v>
      </c>
      <c r="J1277" s="1480">
        <v>0</v>
      </c>
      <c r="K1277" s="1508"/>
      <c r="L1277" s="1508"/>
      <c r="M1277" s="1509">
        <f t="shared" si="141"/>
        <v>0</v>
      </c>
      <c r="N1277" s="1508">
        <f t="shared" si="142"/>
        <v>0</v>
      </c>
    </row>
    <row r="1278" spans="1:14" ht="46.5" outlineLevel="1" x14ac:dyDescent="0.25">
      <c r="A1278" s="1492">
        <f t="shared" si="143"/>
        <v>0</v>
      </c>
      <c r="B1278" s="1492" t="str">
        <f t="shared" si="143"/>
        <v xml:space="preserve">Work of interior decoration by proding stop cabin arrangement and other internal architechture decorative work for RP section of admin building </v>
      </c>
      <c r="C1278" s="1488">
        <f t="shared" si="143"/>
        <v>0</v>
      </c>
      <c r="D1278" s="1413" t="str">
        <f t="shared" si="143"/>
        <v>-</v>
      </c>
      <c r="E1278" s="560">
        <f t="shared" si="143"/>
        <v>3.57</v>
      </c>
      <c r="F1278" s="1508">
        <f t="shared" si="138"/>
        <v>0</v>
      </c>
      <c r="G1278" s="1508">
        <f t="shared" si="139"/>
        <v>0</v>
      </c>
      <c r="H1278" s="1508">
        <f t="shared" si="140"/>
        <v>0</v>
      </c>
      <c r="I1278" s="1480">
        <v>0</v>
      </c>
      <c r="J1278" s="1480">
        <v>0</v>
      </c>
      <c r="K1278" s="1508"/>
      <c r="L1278" s="1508"/>
      <c r="M1278" s="1509">
        <f t="shared" si="141"/>
        <v>0</v>
      </c>
      <c r="N1278" s="1508">
        <f t="shared" si="142"/>
        <v>0</v>
      </c>
    </row>
    <row r="1279" spans="1:14" ht="15.5" outlineLevel="1" x14ac:dyDescent="0.25">
      <c r="A1279" s="1486">
        <f t="shared" si="143"/>
        <v>10</v>
      </c>
      <c r="B1279" s="1491" t="str">
        <f t="shared" si="143"/>
        <v>R&amp;M/LE for Identified Thermal units of MSPGCL</v>
      </c>
      <c r="C1279" s="1488">
        <f t="shared" si="143"/>
        <v>0</v>
      </c>
      <c r="D1279" s="1413" t="str">
        <f t="shared" si="143"/>
        <v>-</v>
      </c>
      <c r="E1279" s="560">
        <f t="shared" si="143"/>
        <v>400</v>
      </c>
      <c r="F1279" s="1508">
        <f t="shared" si="138"/>
        <v>0</v>
      </c>
      <c r="G1279" s="1508">
        <f t="shared" si="139"/>
        <v>0</v>
      </c>
      <c r="H1279" s="1508">
        <f t="shared" si="140"/>
        <v>0</v>
      </c>
      <c r="I1279" s="1480">
        <v>0</v>
      </c>
      <c r="J1279" s="1480">
        <v>0</v>
      </c>
      <c r="K1279" s="1508"/>
      <c r="L1279" s="1508"/>
      <c r="M1279" s="1509">
        <f t="shared" si="141"/>
        <v>0</v>
      </c>
      <c r="N1279" s="1508">
        <f t="shared" si="142"/>
        <v>0</v>
      </c>
    </row>
    <row r="1280" spans="1:14" ht="15.5" outlineLevel="1" x14ac:dyDescent="0.25">
      <c r="A1280" s="1492">
        <f t="shared" si="143"/>
        <v>0</v>
      </c>
      <c r="B1280" s="1492" t="str">
        <f t="shared" si="143"/>
        <v>R&amp;M/LE for Identified Thermal units of MSPGCL, CSTPS U-3</v>
      </c>
      <c r="C1280" s="1488">
        <f t="shared" si="143"/>
        <v>0</v>
      </c>
      <c r="D1280" s="1413" t="str">
        <f t="shared" si="143"/>
        <v>-</v>
      </c>
      <c r="E1280" s="560">
        <f t="shared" si="143"/>
        <v>293</v>
      </c>
      <c r="F1280" s="1508">
        <f t="shared" si="138"/>
        <v>0</v>
      </c>
      <c r="G1280" s="1508">
        <f t="shared" si="139"/>
        <v>0</v>
      </c>
      <c r="H1280" s="1508">
        <f t="shared" si="140"/>
        <v>0</v>
      </c>
      <c r="I1280" s="1480">
        <v>0</v>
      </c>
      <c r="J1280" s="1480">
        <v>0</v>
      </c>
      <c r="K1280" s="1508"/>
      <c r="L1280" s="1508"/>
      <c r="M1280" s="1509">
        <f t="shared" si="141"/>
        <v>0</v>
      </c>
      <c r="N1280" s="1508">
        <f t="shared" si="142"/>
        <v>0</v>
      </c>
    </row>
    <row r="1281" spans="1:14" ht="15.5" outlineLevel="1" x14ac:dyDescent="0.25">
      <c r="A1281" s="1492">
        <f t="shared" si="143"/>
        <v>0</v>
      </c>
      <c r="B1281" s="1492" t="str">
        <f t="shared" si="143"/>
        <v>R&amp;M/LE for Identified Thermal units of MSPGCL, CSTPS U-4</v>
      </c>
      <c r="C1281" s="1488">
        <f t="shared" si="143"/>
        <v>0</v>
      </c>
      <c r="D1281" s="1413" t="str">
        <f t="shared" si="143"/>
        <v>-</v>
      </c>
      <c r="E1281" s="560">
        <f t="shared" si="143"/>
        <v>300</v>
      </c>
      <c r="F1281" s="1508">
        <f t="shared" si="138"/>
        <v>0</v>
      </c>
      <c r="G1281" s="1508">
        <f t="shared" si="139"/>
        <v>0</v>
      </c>
      <c r="H1281" s="1508">
        <f t="shared" si="140"/>
        <v>0</v>
      </c>
      <c r="I1281" s="1480">
        <v>0</v>
      </c>
      <c r="J1281" s="1480">
        <v>0</v>
      </c>
      <c r="K1281" s="1508"/>
      <c r="L1281" s="1508"/>
      <c r="M1281" s="1509">
        <f t="shared" si="141"/>
        <v>0</v>
      </c>
      <c r="N1281" s="1508">
        <f t="shared" si="142"/>
        <v>0</v>
      </c>
    </row>
    <row r="1282" spans="1:14" ht="15.5" outlineLevel="1" x14ac:dyDescent="0.25">
      <c r="A1282" s="1486">
        <f t="shared" si="143"/>
        <v>11</v>
      </c>
      <c r="B1282" s="1491" t="str">
        <f t="shared" si="143"/>
        <v xml:space="preserve">CHP Improvement Schemes </v>
      </c>
      <c r="C1282" s="1488">
        <f t="shared" si="143"/>
        <v>0</v>
      </c>
      <c r="D1282" s="1413" t="str">
        <f t="shared" si="143"/>
        <v>-</v>
      </c>
      <c r="E1282" s="560">
        <f t="shared" si="143"/>
        <v>100</v>
      </c>
      <c r="F1282" s="1508">
        <f t="shared" si="138"/>
        <v>0</v>
      </c>
      <c r="G1282" s="1508">
        <f t="shared" si="139"/>
        <v>0</v>
      </c>
      <c r="H1282" s="1508">
        <f t="shared" si="140"/>
        <v>0</v>
      </c>
      <c r="I1282" s="1480">
        <v>0</v>
      </c>
      <c r="J1282" s="1480">
        <v>0</v>
      </c>
      <c r="K1282" s="1508"/>
      <c r="L1282" s="1508"/>
      <c r="M1282" s="1509">
        <f t="shared" si="141"/>
        <v>0</v>
      </c>
      <c r="N1282" s="1508">
        <f t="shared" si="142"/>
        <v>0</v>
      </c>
    </row>
    <row r="1283" spans="1:14" ht="15.5" outlineLevel="1" x14ac:dyDescent="0.25">
      <c r="A1283" s="1492">
        <f t="shared" si="143"/>
        <v>0</v>
      </c>
      <c r="B1283" s="1492" t="str">
        <f t="shared" si="143"/>
        <v>CHP Improvement Schemes at CHP-A, B, C</v>
      </c>
      <c r="C1283" s="1488">
        <f t="shared" si="143"/>
        <v>0</v>
      </c>
      <c r="D1283" s="1413" t="str">
        <f t="shared" si="143"/>
        <v>-</v>
      </c>
      <c r="E1283" s="560">
        <f t="shared" si="143"/>
        <v>100</v>
      </c>
      <c r="F1283" s="1508">
        <f t="shared" si="138"/>
        <v>0</v>
      </c>
      <c r="G1283" s="1508">
        <f t="shared" si="139"/>
        <v>0</v>
      </c>
      <c r="H1283" s="1508">
        <f t="shared" si="140"/>
        <v>0</v>
      </c>
      <c r="I1283" s="1480">
        <v>0</v>
      </c>
      <c r="J1283" s="1480">
        <v>0</v>
      </c>
      <c r="K1283" s="1508"/>
      <c r="L1283" s="1508"/>
      <c r="M1283" s="1509">
        <f t="shared" si="141"/>
        <v>0</v>
      </c>
      <c r="N1283" s="1508">
        <f t="shared" si="142"/>
        <v>0</v>
      </c>
    </row>
    <row r="1284" spans="1:14" ht="15.5" outlineLevel="1" x14ac:dyDescent="0.25">
      <c r="A1284" s="1486">
        <f t="shared" si="143"/>
        <v>12</v>
      </c>
      <c r="B1284" s="1491" t="str">
        <f t="shared" si="143"/>
        <v>Developlment &amp; Upgradation of SAP for MSPGCL</v>
      </c>
      <c r="C1284" s="1488">
        <f t="shared" si="143"/>
        <v>0</v>
      </c>
      <c r="D1284" s="1413" t="str">
        <f t="shared" si="143"/>
        <v>-</v>
      </c>
      <c r="E1284" s="560">
        <f t="shared" si="143"/>
        <v>200</v>
      </c>
      <c r="F1284" s="1508">
        <f t="shared" si="138"/>
        <v>0</v>
      </c>
      <c r="G1284" s="1508">
        <f t="shared" si="139"/>
        <v>0</v>
      </c>
      <c r="H1284" s="1508">
        <f t="shared" si="140"/>
        <v>0</v>
      </c>
      <c r="I1284" s="1480">
        <v>0</v>
      </c>
      <c r="J1284" s="1480">
        <v>0</v>
      </c>
      <c r="K1284" s="1508"/>
      <c r="L1284" s="1508"/>
      <c r="M1284" s="1509">
        <f t="shared" si="141"/>
        <v>0</v>
      </c>
      <c r="N1284" s="1508">
        <f t="shared" si="142"/>
        <v>0</v>
      </c>
    </row>
    <row r="1285" spans="1:14" ht="15.5" outlineLevel="1" x14ac:dyDescent="0.25">
      <c r="A1285" s="1492">
        <f t="shared" si="143"/>
        <v>0</v>
      </c>
      <c r="B1285" s="1492" t="str">
        <f t="shared" si="143"/>
        <v>Developlment &amp; Upgradation of SAP for MSPGCL</v>
      </c>
      <c r="C1285" s="1488">
        <f t="shared" si="143"/>
        <v>0</v>
      </c>
      <c r="D1285" s="1413" t="str">
        <f t="shared" si="143"/>
        <v>-</v>
      </c>
      <c r="E1285" s="560">
        <f t="shared" si="143"/>
        <v>200</v>
      </c>
      <c r="F1285" s="1508">
        <f t="shared" si="138"/>
        <v>0</v>
      </c>
      <c r="G1285" s="1508">
        <f t="shared" si="139"/>
        <v>0</v>
      </c>
      <c r="H1285" s="1508">
        <f t="shared" si="140"/>
        <v>0</v>
      </c>
      <c r="I1285" s="1480">
        <v>0</v>
      </c>
      <c r="J1285" s="1480">
        <v>0</v>
      </c>
      <c r="K1285" s="1508"/>
      <c r="L1285" s="1508"/>
      <c r="M1285" s="1509">
        <f t="shared" si="141"/>
        <v>0</v>
      </c>
      <c r="N1285" s="1508">
        <f t="shared" si="142"/>
        <v>0</v>
      </c>
    </row>
    <row r="1286" spans="1:14" ht="62" outlineLevel="1" x14ac:dyDescent="0.25">
      <c r="A1286" s="1486">
        <f t="shared" si="143"/>
        <v>13</v>
      </c>
      <c r="B1286" s="1491" t="str">
        <f t="shared" si="143"/>
        <v>Design, supply, installation and commissioning of Smart Energy Efficienient Illumination System for safety precautions and proving suitable working conditions  at stg-II &amp; III, CSTPS, Chandrapur</v>
      </c>
      <c r="C1286" s="1488">
        <f t="shared" si="143"/>
        <v>0</v>
      </c>
      <c r="D1286" s="1413" t="str">
        <f t="shared" si="143"/>
        <v>-</v>
      </c>
      <c r="E1286" s="560">
        <f t="shared" si="143"/>
        <v>42</v>
      </c>
      <c r="F1286" s="1508">
        <f t="shared" si="138"/>
        <v>0</v>
      </c>
      <c r="G1286" s="1508">
        <f t="shared" si="139"/>
        <v>0</v>
      </c>
      <c r="H1286" s="1508">
        <f t="shared" si="140"/>
        <v>0</v>
      </c>
      <c r="I1286" s="1480">
        <v>0</v>
      </c>
      <c r="J1286" s="1480">
        <v>0</v>
      </c>
      <c r="K1286" s="1508"/>
      <c r="L1286" s="1508"/>
      <c r="M1286" s="1509">
        <f t="shared" si="141"/>
        <v>0</v>
      </c>
      <c r="N1286" s="1508">
        <f t="shared" si="142"/>
        <v>0</v>
      </c>
    </row>
    <row r="1287" spans="1:14" ht="62" outlineLevel="1" x14ac:dyDescent="0.25">
      <c r="A1287" s="1492">
        <f t="shared" si="143"/>
        <v>0</v>
      </c>
      <c r="B1287" s="1492" t="str">
        <f t="shared" si="143"/>
        <v>Design, supply, installation and commissioning of Smart Energy Efficienient Illumination System for safety precautions and proving suitable working conditions  at stg-II &amp; III, CSTPS, Chandrapur</v>
      </c>
      <c r="C1287" s="1488">
        <f t="shared" si="143"/>
        <v>0</v>
      </c>
      <c r="D1287" s="1413" t="str">
        <f t="shared" si="143"/>
        <v>-</v>
      </c>
      <c r="E1287" s="560">
        <f t="shared" si="143"/>
        <v>42</v>
      </c>
      <c r="F1287" s="1508">
        <f t="shared" si="138"/>
        <v>0</v>
      </c>
      <c r="G1287" s="1508">
        <f t="shared" si="139"/>
        <v>0</v>
      </c>
      <c r="H1287" s="1508">
        <f t="shared" si="140"/>
        <v>0</v>
      </c>
      <c r="I1287" s="1480">
        <v>0</v>
      </c>
      <c r="J1287" s="1480">
        <v>0</v>
      </c>
      <c r="K1287" s="1508"/>
      <c r="L1287" s="1508"/>
      <c r="M1287" s="1509">
        <f t="shared" si="141"/>
        <v>0</v>
      </c>
      <c r="N1287" s="1508">
        <f t="shared" si="142"/>
        <v>0</v>
      </c>
    </row>
    <row r="1288" spans="1:14" ht="15.5" outlineLevel="1" x14ac:dyDescent="0.25">
      <c r="A1288" s="1486">
        <f t="shared" ref="A1288:E1303" si="144">A618</f>
        <v>14</v>
      </c>
      <c r="B1288" s="1491" t="str">
        <f t="shared" si="144"/>
        <v>Implementation of Flexible Operation Solutions  (U-3,4)</v>
      </c>
      <c r="C1288" s="1488">
        <f t="shared" si="144"/>
        <v>0</v>
      </c>
      <c r="D1288" s="1413" t="str">
        <f t="shared" si="144"/>
        <v>-</v>
      </c>
      <c r="E1288" s="560">
        <f t="shared" si="144"/>
        <v>25</v>
      </c>
      <c r="F1288" s="1508">
        <f t="shared" si="138"/>
        <v>0</v>
      </c>
      <c r="G1288" s="1508">
        <f t="shared" si="139"/>
        <v>0</v>
      </c>
      <c r="H1288" s="1508">
        <f t="shared" si="140"/>
        <v>0</v>
      </c>
      <c r="I1288" s="1480">
        <v>0</v>
      </c>
      <c r="J1288" s="1480">
        <v>0</v>
      </c>
      <c r="K1288" s="1508"/>
      <c r="L1288" s="1508"/>
      <c r="M1288" s="1509">
        <f t="shared" si="141"/>
        <v>0</v>
      </c>
      <c r="N1288" s="1508">
        <f t="shared" si="142"/>
        <v>0</v>
      </c>
    </row>
    <row r="1289" spans="1:14" ht="15.5" outlineLevel="1" x14ac:dyDescent="0.25">
      <c r="A1289" s="1492">
        <f t="shared" si="144"/>
        <v>0</v>
      </c>
      <c r="B1289" s="1492" t="str">
        <f t="shared" si="144"/>
        <v>Implementation of Flexible Operation Solutions (U-3,4)</v>
      </c>
      <c r="C1289" s="1488">
        <f t="shared" si="144"/>
        <v>0</v>
      </c>
      <c r="D1289" s="1413" t="str">
        <f t="shared" si="144"/>
        <v>-</v>
      </c>
      <c r="E1289" s="560">
        <f t="shared" si="144"/>
        <v>25</v>
      </c>
      <c r="F1289" s="1508">
        <f t="shared" si="138"/>
        <v>0</v>
      </c>
      <c r="G1289" s="1508">
        <f t="shared" si="139"/>
        <v>0</v>
      </c>
      <c r="H1289" s="1508">
        <f t="shared" si="140"/>
        <v>0</v>
      </c>
      <c r="I1289" s="1480">
        <v>0</v>
      </c>
      <c r="J1289" s="1480">
        <v>0</v>
      </c>
      <c r="K1289" s="1508"/>
      <c r="L1289" s="1508"/>
      <c r="M1289" s="1509">
        <f t="shared" si="141"/>
        <v>0</v>
      </c>
      <c r="N1289" s="1508">
        <f t="shared" si="142"/>
        <v>0</v>
      </c>
    </row>
    <row r="1290" spans="1:14" ht="15.5" outlineLevel="1" x14ac:dyDescent="0.25">
      <c r="A1290" s="1486">
        <f t="shared" si="144"/>
        <v>15</v>
      </c>
      <c r="B1290" s="1491" t="str">
        <f t="shared" si="144"/>
        <v>DPR for ash utilisation cell- infrastructure development</v>
      </c>
      <c r="C1290" s="1488">
        <f t="shared" si="144"/>
        <v>0</v>
      </c>
      <c r="D1290" s="1413" t="str">
        <f t="shared" si="144"/>
        <v>-</v>
      </c>
      <c r="E1290" s="560">
        <f t="shared" si="144"/>
        <v>278.5</v>
      </c>
      <c r="F1290" s="1508">
        <f t="shared" si="138"/>
        <v>0</v>
      </c>
      <c r="G1290" s="1508">
        <f t="shared" si="139"/>
        <v>0</v>
      </c>
      <c r="H1290" s="1508">
        <f t="shared" si="140"/>
        <v>0</v>
      </c>
      <c r="I1290" s="1480">
        <v>0</v>
      </c>
      <c r="J1290" s="1480">
        <v>0</v>
      </c>
      <c r="K1290" s="1508"/>
      <c r="L1290" s="1508"/>
      <c r="M1290" s="1509">
        <f t="shared" si="141"/>
        <v>0</v>
      </c>
      <c r="N1290" s="1508">
        <f t="shared" si="142"/>
        <v>0</v>
      </c>
    </row>
    <row r="1291" spans="1:14" ht="31" outlineLevel="1" x14ac:dyDescent="0.25">
      <c r="A1291" s="1492">
        <f t="shared" si="144"/>
        <v>0</v>
      </c>
      <c r="B1291" s="1492" t="str">
        <f t="shared" si="144"/>
        <v>DPR for development of infrastructure for loading and dispatch of fly ash through Railway Wagons, CSTPS, Chandrapur</v>
      </c>
      <c r="C1291" s="1488">
        <f t="shared" si="144"/>
        <v>0</v>
      </c>
      <c r="D1291" s="1413" t="str">
        <f t="shared" si="144"/>
        <v>-</v>
      </c>
      <c r="E1291" s="560">
        <f t="shared" si="144"/>
        <v>268</v>
      </c>
      <c r="F1291" s="1508">
        <f t="shared" si="138"/>
        <v>0</v>
      </c>
      <c r="G1291" s="1508">
        <f t="shared" si="139"/>
        <v>0</v>
      </c>
      <c r="H1291" s="1508">
        <f t="shared" si="140"/>
        <v>0</v>
      </c>
      <c r="I1291" s="1480">
        <v>0</v>
      </c>
      <c r="J1291" s="1480">
        <v>0</v>
      </c>
      <c r="K1291" s="1508"/>
      <c r="L1291" s="1508"/>
      <c r="M1291" s="1509">
        <f t="shared" si="141"/>
        <v>0</v>
      </c>
      <c r="N1291" s="1508">
        <f t="shared" si="142"/>
        <v>0</v>
      </c>
    </row>
    <row r="1292" spans="1:14" ht="31" outlineLevel="1" x14ac:dyDescent="0.25">
      <c r="A1292" s="1492">
        <f t="shared" si="144"/>
        <v>0</v>
      </c>
      <c r="B1292" s="1492" t="str">
        <f t="shared" si="144"/>
        <v>Disposal of bottom ash for stowing of u/g mines of Chandrapur Area by installing direct pipeline from CSTPS to WCL</v>
      </c>
      <c r="C1292" s="1488">
        <f t="shared" si="144"/>
        <v>0</v>
      </c>
      <c r="D1292" s="1413" t="str">
        <f t="shared" si="144"/>
        <v>-</v>
      </c>
      <c r="E1292" s="560">
        <f t="shared" si="144"/>
        <v>10</v>
      </c>
      <c r="F1292" s="1508">
        <f t="shared" si="138"/>
        <v>0</v>
      </c>
      <c r="G1292" s="1508">
        <f t="shared" si="139"/>
        <v>0</v>
      </c>
      <c r="H1292" s="1508">
        <f t="shared" si="140"/>
        <v>0</v>
      </c>
      <c r="I1292" s="1480">
        <v>0</v>
      </c>
      <c r="J1292" s="1480">
        <v>0</v>
      </c>
      <c r="K1292" s="1508"/>
      <c r="L1292" s="1508"/>
      <c r="M1292" s="1509">
        <f t="shared" si="141"/>
        <v>0</v>
      </c>
      <c r="N1292" s="1508">
        <f t="shared" si="142"/>
        <v>0</v>
      </c>
    </row>
    <row r="1293" spans="1:14" ht="46.5" outlineLevel="1" x14ac:dyDescent="0.25">
      <c r="A1293" s="1492">
        <f t="shared" si="144"/>
        <v>0</v>
      </c>
      <c r="B1293" s="1492" t="str">
        <f t="shared" si="144"/>
        <v>Design, supply, installation, testing and commissioning of 100 MT 16X3 Mtr. electronic weigh bridge system, for weighment and dispatch of Pond Ash from Ash bund, CSTPS, Chandrapur</v>
      </c>
      <c r="C1293" s="1488">
        <f t="shared" si="144"/>
        <v>0</v>
      </c>
      <c r="D1293" s="1413" t="str">
        <f t="shared" si="144"/>
        <v>-</v>
      </c>
      <c r="E1293" s="560">
        <f t="shared" si="144"/>
        <v>0.5</v>
      </c>
      <c r="F1293" s="1508">
        <f t="shared" si="138"/>
        <v>0</v>
      </c>
      <c r="G1293" s="1508">
        <f t="shared" si="139"/>
        <v>0</v>
      </c>
      <c r="H1293" s="1508">
        <f t="shared" si="140"/>
        <v>0</v>
      </c>
      <c r="I1293" s="1480">
        <v>0</v>
      </c>
      <c r="J1293" s="1480">
        <v>0</v>
      </c>
      <c r="K1293" s="1508"/>
      <c r="L1293" s="1508"/>
      <c r="M1293" s="1509">
        <f t="shared" si="141"/>
        <v>0</v>
      </c>
      <c r="N1293" s="1508">
        <f t="shared" si="142"/>
        <v>0</v>
      </c>
    </row>
    <row r="1294" spans="1:14" ht="15.5" outlineLevel="1" x14ac:dyDescent="0.25">
      <c r="A1294" s="1486">
        <f t="shared" si="144"/>
        <v>16</v>
      </c>
      <c r="B1294" s="1491" t="str">
        <f t="shared" si="144"/>
        <v>Up-gradation Schemes for CAAQM Stations &amp; NABL Laboratory</v>
      </c>
      <c r="C1294" s="1488">
        <f t="shared" si="144"/>
        <v>0</v>
      </c>
      <c r="D1294" s="1413" t="str">
        <f t="shared" si="144"/>
        <v>-</v>
      </c>
      <c r="E1294" s="560">
        <f t="shared" si="144"/>
        <v>25</v>
      </c>
      <c r="F1294" s="1508">
        <f t="shared" si="138"/>
        <v>0</v>
      </c>
      <c r="G1294" s="1508">
        <f t="shared" si="139"/>
        <v>0</v>
      </c>
      <c r="H1294" s="1508">
        <f t="shared" si="140"/>
        <v>0</v>
      </c>
      <c r="I1294" s="1480">
        <v>0</v>
      </c>
      <c r="J1294" s="1480">
        <v>0</v>
      </c>
      <c r="K1294" s="1508"/>
      <c r="L1294" s="1508"/>
      <c r="M1294" s="1509">
        <f t="shared" si="141"/>
        <v>0</v>
      </c>
      <c r="N1294" s="1508">
        <f t="shared" si="142"/>
        <v>0</v>
      </c>
    </row>
    <row r="1295" spans="1:14" ht="15.5" outlineLevel="1" x14ac:dyDescent="0.25">
      <c r="A1295" s="1492">
        <f t="shared" si="144"/>
        <v>0</v>
      </c>
      <c r="B1295" s="1492" t="str">
        <f t="shared" si="144"/>
        <v>Up-gradation Schemes for CAAQM Stations &amp; NABL Laboratory</v>
      </c>
      <c r="C1295" s="1488">
        <f t="shared" si="144"/>
        <v>0</v>
      </c>
      <c r="D1295" s="1413" t="str">
        <f t="shared" si="144"/>
        <v>-</v>
      </c>
      <c r="E1295" s="560">
        <f t="shared" si="144"/>
        <v>25</v>
      </c>
      <c r="F1295" s="1508">
        <f t="shared" si="138"/>
        <v>0</v>
      </c>
      <c r="G1295" s="1508">
        <f t="shared" si="139"/>
        <v>0</v>
      </c>
      <c r="H1295" s="1508">
        <f t="shared" si="140"/>
        <v>0</v>
      </c>
      <c r="I1295" s="1480">
        <v>0</v>
      </c>
      <c r="J1295" s="1480">
        <v>0</v>
      </c>
      <c r="K1295" s="1508"/>
      <c r="L1295" s="1508"/>
      <c r="M1295" s="1509">
        <f t="shared" si="141"/>
        <v>0</v>
      </c>
      <c r="N1295" s="1508">
        <f t="shared" si="142"/>
        <v>0</v>
      </c>
    </row>
    <row r="1296" spans="1:14" ht="62" outlineLevel="1" x14ac:dyDescent="0.25">
      <c r="A1296" s="1486">
        <f t="shared" si="144"/>
        <v>17</v>
      </c>
      <c r="B1296" s="1491" t="str">
        <f t="shared" si="144"/>
        <v>Comprehensive Strategies for Environmental Sustainability at CSTPS: Implementing Zero Discharge Policies and Pollution Control Measures for Effective Water Body Management and Hazard Prevention</v>
      </c>
      <c r="C1296" s="1488">
        <f t="shared" si="144"/>
        <v>0</v>
      </c>
      <c r="D1296" s="1413" t="str">
        <f t="shared" si="144"/>
        <v>-</v>
      </c>
      <c r="E1296" s="560">
        <f t="shared" si="144"/>
        <v>27.6</v>
      </c>
      <c r="F1296" s="1508">
        <f t="shared" si="138"/>
        <v>0</v>
      </c>
      <c r="G1296" s="1508">
        <f t="shared" si="139"/>
        <v>0</v>
      </c>
      <c r="H1296" s="1508">
        <f t="shared" si="140"/>
        <v>0</v>
      </c>
      <c r="I1296" s="1480">
        <v>0</v>
      </c>
      <c r="J1296" s="1480">
        <v>0</v>
      </c>
      <c r="K1296" s="1508"/>
      <c r="L1296" s="1508"/>
      <c r="M1296" s="1509">
        <f t="shared" si="141"/>
        <v>0</v>
      </c>
      <c r="N1296" s="1508">
        <f t="shared" si="142"/>
        <v>0</v>
      </c>
    </row>
    <row r="1297" spans="1:14" ht="62" outlineLevel="1" x14ac:dyDescent="0.25">
      <c r="A1297" s="1492">
        <f t="shared" si="144"/>
        <v>0</v>
      </c>
      <c r="B1297" s="1492" t="str">
        <f t="shared" si="144"/>
        <v>Upgrading Settling tank near the Coal Reject Area: Installation of Settling Tank Liners and Enhanced Upgraded Pump House Systems to Prevent Acidic Water Seepage into the Ranvendli Nallah which connected to the ERAI River.</v>
      </c>
      <c r="C1297" s="1488">
        <f t="shared" si="144"/>
        <v>0</v>
      </c>
      <c r="D1297" s="1413" t="str">
        <f t="shared" si="144"/>
        <v>-</v>
      </c>
      <c r="E1297" s="560">
        <f t="shared" si="144"/>
        <v>8.9</v>
      </c>
      <c r="F1297" s="1508">
        <f t="shared" si="138"/>
        <v>0</v>
      </c>
      <c r="G1297" s="1508">
        <f t="shared" si="139"/>
        <v>0</v>
      </c>
      <c r="H1297" s="1508">
        <f t="shared" si="140"/>
        <v>0</v>
      </c>
      <c r="I1297" s="1480">
        <v>0</v>
      </c>
      <c r="J1297" s="1480">
        <v>0</v>
      </c>
      <c r="K1297" s="1508"/>
      <c r="L1297" s="1508"/>
      <c r="M1297" s="1509">
        <f t="shared" si="141"/>
        <v>0</v>
      </c>
      <c r="N1297" s="1508">
        <f t="shared" si="142"/>
        <v>0</v>
      </c>
    </row>
    <row r="1298" spans="1:14" ht="46.5" outlineLevel="1" x14ac:dyDescent="0.25">
      <c r="A1298" s="1492">
        <f t="shared" si="144"/>
        <v>0</v>
      </c>
      <c r="B1298" s="1492" t="str">
        <f t="shared" si="144"/>
        <v>Implementation of Zero Water Discharge Solutions: Design, Construction, and Commissioning of New Pump Houses for ETP 1 and ETP 2 to Enhance Capacity for Effective Water Recovery</v>
      </c>
      <c r="C1298" s="1488">
        <f t="shared" si="144"/>
        <v>0</v>
      </c>
      <c r="D1298" s="1413" t="str">
        <f t="shared" si="144"/>
        <v>-</v>
      </c>
      <c r="E1298" s="560">
        <f t="shared" si="144"/>
        <v>10.82</v>
      </c>
      <c r="F1298" s="1508">
        <f t="shared" si="138"/>
        <v>0</v>
      </c>
      <c r="G1298" s="1508">
        <f t="shared" si="139"/>
        <v>0</v>
      </c>
      <c r="H1298" s="1508">
        <f t="shared" si="140"/>
        <v>0</v>
      </c>
      <c r="I1298" s="1480">
        <v>0</v>
      </c>
      <c r="J1298" s="1480">
        <v>0</v>
      </c>
      <c r="K1298" s="1508"/>
      <c r="L1298" s="1508"/>
      <c r="M1298" s="1509">
        <f t="shared" si="141"/>
        <v>0</v>
      </c>
      <c r="N1298" s="1508">
        <f t="shared" si="142"/>
        <v>0</v>
      </c>
    </row>
    <row r="1299" spans="1:14" ht="62" outlineLevel="1" x14ac:dyDescent="0.25">
      <c r="A1299" s="1492">
        <f t="shared" si="144"/>
        <v>0</v>
      </c>
      <c r="B1299" s="1492" t="str">
        <f t="shared" si="144"/>
        <v>Underground Ash Disposal Pipeline Management: Design, Construction, and Installation of Filter Beds Along Ash Disposal Pipelines for Improved Environmental Protection of Water Bodies from Ingress into the Erai River</v>
      </c>
      <c r="C1299" s="1488">
        <f t="shared" si="144"/>
        <v>0</v>
      </c>
      <c r="D1299" s="1413" t="str">
        <f t="shared" si="144"/>
        <v>-</v>
      </c>
      <c r="E1299" s="560">
        <f t="shared" si="144"/>
        <v>7.88</v>
      </c>
      <c r="F1299" s="1508">
        <f t="shared" si="138"/>
        <v>0</v>
      </c>
      <c r="G1299" s="1508">
        <f t="shared" si="139"/>
        <v>0</v>
      </c>
      <c r="H1299" s="1508">
        <f t="shared" si="140"/>
        <v>0</v>
      </c>
      <c r="I1299" s="1480">
        <v>0</v>
      </c>
      <c r="J1299" s="1480">
        <v>0</v>
      </c>
      <c r="K1299" s="1508"/>
      <c r="L1299" s="1508"/>
      <c r="M1299" s="1509">
        <f t="shared" si="141"/>
        <v>0</v>
      </c>
      <c r="N1299" s="1508">
        <f t="shared" si="142"/>
        <v>0</v>
      </c>
    </row>
    <row r="1300" spans="1:14" ht="15.5" outlineLevel="1" x14ac:dyDescent="0.25">
      <c r="A1300" s="1486">
        <f t="shared" si="144"/>
        <v>18</v>
      </c>
      <c r="B1300" s="1491" t="str">
        <f t="shared" si="144"/>
        <v>Ash bund peripheral road</v>
      </c>
      <c r="C1300" s="1488">
        <f t="shared" si="144"/>
        <v>0</v>
      </c>
      <c r="D1300" s="1413" t="str">
        <f t="shared" si="144"/>
        <v>-</v>
      </c>
      <c r="E1300" s="560">
        <f t="shared" si="144"/>
        <v>120</v>
      </c>
      <c r="F1300" s="1508">
        <f t="shared" si="138"/>
        <v>0</v>
      </c>
      <c r="G1300" s="1508">
        <f t="shared" si="139"/>
        <v>0</v>
      </c>
      <c r="H1300" s="1508">
        <f t="shared" si="140"/>
        <v>0</v>
      </c>
      <c r="I1300" s="1480">
        <v>0</v>
      </c>
      <c r="J1300" s="1480">
        <v>0</v>
      </c>
      <c r="K1300" s="1508"/>
      <c r="L1300" s="1508"/>
      <c r="M1300" s="1509">
        <f t="shared" si="141"/>
        <v>0</v>
      </c>
      <c r="N1300" s="1508">
        <f t="shared" si="142"/>
        <v>0</v>
      </c>
    </row>
    <row r="1301" spans="1:14" ht="15.5" outlineLevel="1" x14ac:dyDescent="0.25">
      <c r="A1301" s="1492">
        <f t="shared" si="144"/>
        <v>0</v>
      </c>
      <c r="B1301" s="1492" t="str">
        <f t="shared" si="144"/>
        <v>Ash bund peripheral road</v>
      </c>
      <c r="C1301" s="1488">
        <f t="shared" si="144"/>
        <v>0</v>
      </c>
      <c r="D1301" s="1413" t="str">
        <f t="shared" si="144"/>
        <v>-</v>
      </c>
      <c r="E1301" s="560">
        <f t="shared" si="144"/>
        <v>120</v>
      </c>
      <c r="F1301" s="1508">
        <f t="shared" si="138"/>
        <v>0</v>
      </c>
      <c r="G1301" s="1508">
        <f t="shared" si="139"/>
        <v>0</v>
      </c>
      <c r="H1301" s="1508">
        <f t="shared" si="140"/>
        <v>0</v>
      </c>
      <c r="I1301" s="1480">
        <v>0</v>
      </c>
      <c r="J1301" s="1480">
        <v>0</v>
      </c>
      <c r="K1301" s="1508"/>
      <c r="L1301" s="1508"/>
      <c r="M1301" s="1509">
        <f t="shared" si="141"/>
        <v>0</v>
      </c>
      <c r="N1301" s="1508">
        <f t="shared" si="142"/>
        <v>0</v>
      </c>
    </row>
    <row r="1302" spans="1:14" ht="15.5" outlineLevel="1" x14ac:dyDescent="0.25">
      <c r="A1302" s="1486">
        <f t="shared" si="144"/>
        <v>19</v>
      </c>
      <c r="B1302" s="1491" t="str">
        <f t="shared" si="144"/>
        <v>Construction of peripheral nallah</v>
      </c>
      <c r="C1302" s="1488">
        <f t="shared" si="144"/>
        <v>0</v>
      </c>
      <c r="D1302" s="1413" t="str">
        <f t="shared" si="144"/>
        <v>-</v>
      </c>
      <c r="E1302" s="560">
        <f t="shared" si="144"/>
        <v>100</v>
      </c>
      <c r="F1302" s="1508">
        <f t="shared" si="138"/>
        <v>0</v>
      </c>
      <c r="G1302" s="1508">
        <f t="shared" si="139"/>
        <v>0</v>
      </c>
      <c r="H1302" s="1508">
        <f t="shared" si="140"/>
        <v>0</v>
      </c>
      <c r="I1302" s="1480">
        <v>0</v>
      </c>
      <c r="J1302" s="1480">
        <v>0</v>
      </c>
      <c r="K1302" s="1508"/>
      <c r="L1302" s="1508"/>
      <c r="M1302" s="1509">
        <f t="shared" si="141"/>
        <v>0</v>
      </c>
      <c r="N1302" s="1508">
        <f t="shared" si="142"/>
        <v>0</v>
      </c>
    </row>
    <row r="1303" spans="1:14" ht="15.5" outlineLevel="1" x14ac:dyDescent="0.25">
      <c r="A1303" s="1492">
        <f t="shared" si="144"/>
        <v>0</v>
      </c>
      <c r="B1303" s="1492" t="str">
        <f t="shared" si="144"/>
        <v>Construction of peripheral nallah</v>
      </c>
      <c r="C1303" s="1488">
        <f t="shared" si="144"/>
        <v>0</v>
      </c>
      <c r="D1303" s="1413" t="str">
        <f t="shared" si="144"/>
        <v>-</v>
      </c>
      <c r="E1303" s="560">
        <f t="shared" si="144"/>
        <v>100</v>
      </c>
      <c r="F1303" s="1508">
        <f t="shared" si="138"/>
        <v>0</v>
      </c>
      <c r="G1303" s="1508">
        <f t="shared" si="139"/>
        <v>0</v>
      </c>
      <c r="H1303" s="1508">
        <f t="shared" si="140"/>
        <v>0</v>
      </c>
      <c r="I1303" s="1480">
        <v>0</v>
      </c>
      <c r="J1303" s="1480">
        <v>0</v>
      </c>
      <c r="K1303" s="1508"/>
      <c r="L1303" s="1508"/>
      <c r="M1303" s="1509">
        <f t="shared" si="141"/>
        <v>0</v>
      </c>
      <c r="N1303" s="1508">
        <f t="shared" si="142"/>
        <v>0</v>
      </c>
    </row>
    <row r="1304" spans="1:14" ht="15.5" outlineLevel="1" x14ac:dyDescent="0.25">
      <c r="A1304" s="1486">
        <f t="shared" ref="A1304:E1319" si="145">A634</f>
        <v>20</v>
      </c>
      <c r="B1304" s="1491" t="str">
        <f t="shared" si="145"/>
        <v>Construction of concrete Roads with drains at colony</v>
      </c>
      <c r="C1304" s="1488">
        <f t="shared" si="145"/>
        <v>0</v>
      </c>
      <c r="D1304" s="1413" t="str">
        <f t="shared" si="145"/>
        <v>-</v>
      </c>
      <c r="E1304" s="560">
        <f t="shared" si="145"/>
        <v>110</v>
      </c>
      <c r="F1304" s="1508">
        <f t="shared" si="138"/>
        <v>0</v>
      </c>
      <c r="G1304" s="1508">
        <f t="shared" si="139"/>
        <v>0</v>
      </c>
      <c r="H1304" s="1508">
        <f t="shared" si="140"/>
        <v>0</v>
      </c>
      <c r="I1304" s="1480">
        <v>0</v>
      </c>
      <c r="J1304" s="1480">
        <v>0</v>
      </c>
      <c r="K1304" s="1508"/>
      <c r="L1304" s="1508"/>
      <c r="M1304" s="1509">
        <f t="shared" si="141"/>
        <v>0</v>
      </c>
      <c r="N1304" s="1508">
        <f t="shared" si="142"/>
        <v>0</v>
      </c>
    </row>
    <row r="1305" spans="1:14" ht="15.5" outlineLevel="1" x14ac:dyDescent="0.25">
      <c r="A1305" s="1492">
        <f t="shared" si="145"/>
        <v>0</v>
      </c>
      <c r="B1305" s="1492" t="str">
        <f t="shared" si="145"/>
        <v>Construction of concrete Roads with drains at colony</v>
      </c>
      <c r="C1305" s="1488">
        <f t="shared" si="145"/>
        <v>0</v>
      </c>
      <c r="D1305" s="1413" t="str">
        <f t="shared" si="145"/>
        <v>-</v>
      </c>
      <c r="E1305" s="560">
        <f t="shared" si="145"/>
        <v>110</v>
      </c>
      <c r="F1305" s="1508">
        <f t="shared" si="138"/>
        <v>0</v>
      </c>
      <c r="G1305" s="1508">
        <f t="shared" si="139"/>
        <v>0</v>
      </c>
      <c r="H1305" s="1508">
        <f t="shared" si="140"/>
        <v>0</v>
      </c>
      <c r="I1305" s="1480">
        <v>0</v>
      </c>
      <c r="J1305" s="1480">
        <v>0</v>
      </c>
      <c r="K1305" s="1508"/>
      <c r="L1305" s="1508"/>
      <c r="M1305" s="1509">
        <f t="shared" si="141"/>
        <v>0</v>
      </c>
      <c r="N1305" s="1508">
        <f t="shared" si="142"/>
        <v>0</v>
      </c>
    </row>
    <row r="1306" spans="1:14" ht="15.5" outlineLevel="1" x14ac:dyDescent="0.25">
      <c r="A1306" s="1486">
        <f t="shared" si="145"/>
        <v>21</v>
      </c>
      <c r="B1306" s="1491" t="str">
        <f t="shared" si="145"/>
        <v>Fugitive emisson reduction techniques</v>
      </c>
      <c r="C1306" s="1488">
        <f t="shared" si="145"/>
        <v>0</v>
      </c>
      <c r="D1306" s="1413" t="str">
        <f t="shared" si="145"/>
        <v>-</v>
      </c>
      <c r="E1306" s="560">
        <f t="shared" si="145"/>
        <v>50</v>
      </c>
      <c r="F1306" s="1508">
        <f t="shared" si="138"/>
        <v>0</v>
      </c>
      <c r="G1306" s="1508">
        <f t="shared" si="139"/>
        <v>0</v>
      </c>
      <c r="H1306" s="1508">
        <f t="shared" si="140"/>
        <v>0</v>
      </c>
      <c r="I1306" s="1480">
        <v>0</v>
      </c>
      <c r="J1306" s="1480">
        <v>0</v>
      </c>
      <c r="K1306" s="1508"/>
      <c r="L1306" s="1508"/>
      <c r="M1306" s="1509">
        <f t="shared" si="141"/>
        <v>0</v>
      </c>
      <c r="N1306" s="1508">
        <f t="shared" si="142"/>
        <v>0</v>
      </c>
    </row>
    <row r="1307" spans="1:14" ht="15.5" outlineLevel="1" x14ac:dyDescent="0.25">
      <c r="A1307" s="1492">
        <f t="shared" si="145"/>
        <v>0</v>
      </c>
      <c r="B1307" s="1492" t="str">
        <f t="shared" si="145"/>
        <v>Fugitive emisson reduction schemes</v>
      </c>
      <c r="C1307" s="1488">
        <f t="shared" si="145"/>
        <v>0</v>
      </c>
      <c r="D1307" s="1413" t="str">
        <f t="shared" si="145"/>
        <v>-</v>
      </c>
      <c r="E1307" s="560">
        <f t="shared" si="145"/>
        <v>50</v>
      </c>
      <c r="F1307" s="1508">
        <f t="shared" si="138"/>
        <v>0</v>
      </c>
      <c r="G1307" s="1508">
        <f t="shared" si="139"/>
        <v>0</v>
      </c>
      <c r="H1307" s="1508">
        <f t="shared" si="140"/>
        <v>0</v>
      </c>
      <c r="I1307" s="1480">
        <v>0</v>
      </c>
      <c r="J1307" s="1480">
        <v>0</v>
      </c>
      <c r="K1307" s="1508"/>
      <c r="L1307" s="1508"/>
      <c r="M1307" s="1509">
        <f t="shared" si="141"/>
        <v>0</v>
      </c>
      <c r="N1307" s="1508">
        <f t="shared" si="142"/>
        <v>0</v>
      </c>
    </row>
    <row r="1308" spans="1:14" ht="15.5" outlineLevel="1" x14ac:dyDescent="0.25">
      <c r="A1308" s="1453">
        <f t="shared" si="145"/>
        <v>0</v>
      </c>
      <c r="B1308" s="96">
        <f t="shared" si="145"/>
        <v>0</v>
      </c>
      <c r="C1308" s="1453">
        <f t="shared" si="145"/>
        <v>0</v>
      </c>
      <c r="D1308" s="1503" t="str">
        <f t="shared" si="145"/>
        <v>-</v>
      </c>
      <c r="E1308" s="560">
        <f t="shared" si="145"/>
        <v>0</v>
      </c>
      <c r="F1308" s="1508">
        <f t="shared" si="138"/>
        <v>0</v>
      </c>
      <c r="G1308" s="1508">
        <f t="shared" si="139"/>
        <v>0</v>
      </c>
      <c r="H1308" s="1508">
        <f t="shared" si="140"/>
        <v>0</v>
      </c>
      <c r="I1308" s="1480">
        <v>0</v>
      </c>
      <c r="J1308" s="1480">
        <v>0</v>
      </c>
      <c r="K1308" s="1508"/>
      <c r="L1308" s="1508"/>
      <c r="M1308" s="1509">
        <f t="shared" si="141"/>
        <v>0</v>
      </c>
      <c r="N1308" s="1508">
        <f t="shared" si="142"/>
        <v>0</v>
      </c>
    </row>
    <row r="1309" spans="1:14" ht="15.5" outlineLevel="1" x14ac:dyDescent="0.25">
      <c r="A1309" s="1488">
        <f t="shared" si="145"/>
        <v>0</v>
      </c>
      <c r="B1309" s="1492">
        <f t="shared" si="145"/>
        <v>0</v>
      </c>
      <c r="C1309" s="1488">
        <f t="shared" si="145"/>
        <v>0</v>
      </c>
      <c r="D1309" s="1413" t="str">
        <f t="shared" si="145"/>
        <v>-</v>
      </c>
      <c r="E1309" s="560">
        <f t="shared" si="145"/>
        <v>0</v>
      </c>
      <c r="F1309" s="1508">
        <f t="shared" si="138"/>
        <v>0</v>
      </c>
      <c r="G1309" s="1508">
        <f t="shared" si="139"/>
        <v>0</v>
      </c>
      <c r="H1309" s="1508">
        <f t="shared" si="140"/>
        <v>0</v>
      </c>
      <c r="I1309" s="1480">
        <v>0</v>
      </c>
      <c r="J1309" s="1480">
        <v>0</v>
      </c>
      <c r="K1309" s="1508"/>
      <c r="L1309" s="1508"/>
      <c r="M1309" s="1509">
        <f t="shared" si="141"/>
        <v>0</v>
      </c>
      <c r="N1309" s="1508">
        <f t="shared" si="142"/>
        <v>0</v>
      </c>
    </row>
    <row r="1310" spans="1:14" ht="15.5" outlineLevel="1" x14ac:dyDescent="0.25">
      <c r="A1310" s="1505">
        <f t="shared" si="145"/>
        <v>0</v>
      </c>
      <c r="B1310" s="1492">
        <f t="shared" si="145"/>
        <v>0</v>
      </c>
      <c r="C1310" s="1505">
        <f t="shared" si="145"/>
        <v>0</v>
      </c>
      <c r="D1310" s="1503" t="str">
        <f t="shared" si="145"/>
        <v>-</v>
      </c>
      <c r="E1310" s="560">
        <f t="shared" si="145"/>
        <v>0</v>
      </c>
      <c r="F1310" s="1508">
        <f t="shared" si="138"/>
        <v>0</v>
      </c>
      <c r="G1310" s="1508">
        <f t="shared" si="139"/>
        <v>0</v>
      </c>
      <c r="H1310" s="1508">
        <f t="shared" si="140"/>
        <v>0</v>
      </c>
      <c r="I1310" s="1480">
        <v>0</v>
      </c>
      <c r="J1310" s="1480">
        <v>0</v>
      </c>
      <c r="K1310" s="1508"/>
      <c r="L1310" s="1508"/>
      <c r="M1310" s="1509">
        <f t="shared" si="141"/>
        <v>0</v>
      </c>
      <c r="N1310" s="1508">
        <f t="shared" si="142"/>
        <v>0</v>
      </c>
    </row>
    <row r="1311" spans="1:14" ht="15.5" outlineLevel="1" x14ac:dyDescent="0.25">
      <c r="A1311" s="1453">
        <f t="shared" si="145"/>
        <v>0</v>
      </c>
      <c r="B1311" s="1389" t="str">
        <f t="shared" si="145"/>
        <v>B) Non-DPR Schemes</v>
      </c>
      <c r="C1311" s="1453">
        <f t="shared" si="145"/>
        <v>0</v>
      </c>
      <c r="D1311" s="1503" t="str">
        <f t="shared" si="145"/>
        <v>-</v>
      </c>
      <c r="E1311" s="560">
        <f t="shared" si="145"/>
        <v>0</v>
      </c>
      <c r="F1311" s="1508">
        <f t="shared" si="138"/>
        <v>0</v>
      </c>
      <c r="G1311" s="1508">
        <f t="shared" si="139"/>
        <v>0</v>
      </c>
      <c r="H1311" s="1508">
        <f t="shared" si="140"/>
        <v>0</v>
      </c>
      <c r="I1311" s="1480">
        <v>0</v>
      </c>
      <c r="J1311" s="1480">
        <v>0</v>
      </c>
      <c r="K1311" s="1508"/>
      <c r="L1311" s="1508"/>
      <c r="M1311" s="1509">
        <f t="shared" si="141"/>
        <v>0</v>
      </c>
      <c r="N1311" s="1508">
        <f t="shared" si="142"/>
        <v>0</v>
      </c>
    </row>
    <row r="1312" spans="1:14" ht="15.5" outlineLevel="1" x14ac:dyDescent="0.25">
      <c r="A1312" s="1488">
        <f t="shared" si="145"/>
        <v>1</v>
      </c>
      <c r="B1312" s="1492" t="str">
        <f t="shared" si="145"/>
        <v>GENERAL ASSET</v>
      </c>
      <c r="C1312" s="1488">
        <f t="shared" si="145"/>
        <v>0</v>
      </c>
      <c r="D1312" s="1413" t="str">
        <f t="shared" si="145"/>
        <v>-</v>
      </c>
      <c r="E1312" s="560">
        <f t="shared" si="145"/>
        <v>20</v>
      </c>
      <c r="F1312" s="1508">
        <f t="shared" si="138"/>
        <v>5.3761807089999998</v>
      </c>
      <c r="G1312" s="1508">
        <f t="shared" si="139"/>
        <v>5.3761807089999998</v>
      </c>
      <c r="H1312" s="1508">
        <f t="shared" si="140"/>
        <v>0</v>
      </c>
      <c r="I1312" s="1480">
        <v>0</v>
      </c>
      <c r="J1312" s="1480">
        <v>0</v>
      </c>
      <c r="K1312" s="1508"/>
      <c r="L1312" s="1508"/>
      <c r="M1312" s="1509">
        <f t="shared" si="141"/>
        <v>0</v>
      </c>
      <c r="N1312" s="1508">
        <f t="shared" si="142"/>
        <v>0</v>
      </c>
    </row>
    <row r="1313" spans="1:14" ht="15.5" outlineLevel="1" x14ac:dyDescent="0.25">
      <c r="A1313" s="1488">
        <f t="shared" si="145"/>
        <v>2</v>
      </c>
      <c r="B1313" s="1492" t="str">
        <f t="shared" si="145"/>
        <v>M/S GEO-MILLER arbitration amount</v>
      </c>
      <c r="C1313" s="1488">
        <f t="shared" si="145"/>
        <v>0</v>
      </c>
      <c r="D1313" s="1413" t="str">
        <f t="shared" si="145"/>
        <v>-</v>
      </c>
      <c r="E1313" s="560">
        <f t="shared" si="145"/>
        <v>1.3764700000000001</v>
      </c>
      <c r="F1313" s="1508">
        <f t="shared" si="138"/>
        <v>0.68823500000000004</v>
      </c>
      <c r="G1313" s="1508">
        <f t="shared" si="139"/>
        <v>0.68823500000000004</v>
      </c>
      <c r="H1313" s="1508">
        <f t="shared" si="140"/>
        <v>0</v>
      </c>
      <c r="I1313" s="1480">
        <v>0</v>
      </c>
      <c r="J1313" s="1480">
        <v>0</v>
      </c>
      <c r="K1313" s="1508"/>
      <c r="L1313" s="1508"/>
      <c r="M1313" s="1509">
        <f t="shared" si="141"/>
        <v>0</v>
      </c>
      <c r="N1313" s="1508">
        <f t="shared" si="142"/>
        <v>0</v>
      </c>
    </row>
    <row r="1314" spans="1:14" ht="15.5" outlineLevel="1" x14ac:dyDescent="0.25">
      <c r="A1314" s="1488">
        <f t="shared" si="145"/>
        <v>3</v>
      </c>
      <c r="B1314" s="1492" t="str">
        <f t="shared" si="145"/>
        <v xml:space="preserve"> CM Reject Handling Sys Macawber Breakey</v>
      </c>
      <c r="C1314" s="1488">
        <f t="shared" si="145"/>
        <v>0</v>
      </c>
      <c r="D1314" s="1413" t="str">
        <f t="shared" si="145"/>
        <v>-</v>
      </c>
      <c r="E1314" s="560">
        <f t="shared" si="145"/>
        <v>3.1821571</v>
      </c>
      <c r="F1314" s="1508">
        <f t="shared" si="138"/>
        <v>0</v>
      </c>
      <c r="G1314" s="1508">
        <f t="shared" si="139"/>
        <v>0</v>
      </c>
      <c r="H1314" s="1508">
        <f t="shared" si="140"/>
        <v>0</v>
      </c>
      <c r="I1314" s="1480">
        <v>0</v>
      </c>
      <c r="J1314" s="1480">
        <v>0</v>
      </c>
      <c r="K1314" s="1508"/>
      <c r="L1314" s="1508"/>
      <c r="M1314" s="1509">
        <f t="shared" si="141"/>
        <v>0</v>
      </c>
      <c r="N1314" s="1508">
        <f t="shared" si="142"/>
        <v>0</v>
      </c>
    </row>
    <row r="1315" spans="1:14" ht="62" outlineLevel="1" x14ac:dyDescent="0.25">
      <c r="A1315" s="1488">
        <f t="shared" si="145"/>
        <v>4</v>
      </c>
      <c r="B1315" s="1492" t="str">
        <f t="shared" si="145"/>
        <v xml:space="preserve">Work of Design, Engineering, manufacturing, supply, erection &amp;  commissioning of interconnection conveyor belt Elecon stack yard of CHPA of U-3 &amp; U-4 to Belt Conveyor 105-A/B at CHP-B of Unit 5, 6 &amp; 7 at CSTPS Chandrapur ((Non-DPR) </v>
      </c>
      <c r="C1315" s="1488">
        <f t="shared" si="145"/>
        <v>0</v>
      </c>
      <c r="D1315" s="1413" t="str">
        <f t="shared" si="145"/>
        <v>-</v>
      </c>
      <c r="E1315" s="560">
        <f t="shared" si="145"/>
        <v>4.8622366000000001</v>
      </c>
      <c r="F1315" s="1508">
        <f t="shared" si="138"/>
        <v>4.8622366000000001</v>
      </c>
      <c r="G1315" s="1508">
        <f t="shared" si="139"/>
        <v>4.8622366000000001</v>
      </c>
      <c r="H1315" s="1508">
        <f t="shared" si="140"/>
        <v>0</v>
      </c>
      <c r="I1315" s="1480">
        <v>0</v>
      </c>
      <c r="J1315" s="1480">
        <v>0</v>
      </c>
      <c r="K1315" s="1508"/>
      <c r="L1315" s="1508"/>
      <c r="M1315" s="1509">
        <f t="shared" si="141"/>
        <v>0</v>
      </c>
      <c r="N1315" s="1508">
        <f t="shared" si="142"/>
        <v>0</v>
      </c>
    </row>
    <row r="1316" spans="1:14" ht="46.5" outlineLevel="1" x14ac:dyDescent="0.25">
      <c r="A1316" s="1488">
        <f t="shared" si="145"/>
        <v>5</v>
      </c>
      <c r="B1316" s="1492" t="str">
        <f t="shared" si="145"/>
        <v>Non Dpr The Work of Upgradation/Renovation of Track Hopper Unloading Conveyor system with allied works in CHPB of Unit-5, 6&amp;7 at CSTPS Chandrapur</v>
      </c>
      <c r="C1316" s="1488">
        <f t="shared" si="145"/>
        <v>0</v>
      </c>
      <c r="D1316" s="1413" t="str">
        <f t="shared" si="145"/>
        <v>-</v>
      </c>
      <c r="E1316" s="560">
        <f t="shared" si="145"/>
        <v>4.7420485000000001</v>
      </c>
      <c r="F1316" s="1508">
        <f t="shared" si="138"/>
        <v>4.7420485000000001</v>
      </c>
      <c r="G1316" s="1508">
        <f t="shared" si="139"/>
        <v>4.7420485000000001</v>
      </c>
      <c r="H1316" s="1508">
        <f t="shared" si="140"/>
        <v>0</v>
      </c>
      <c r="I1316" s="1480">
        <v>0</v>
      </c>
      <c r="J1316" s="1480">
        <v>0</v>
      </c>
      <c r="K1316" s="1508"/>
      <c r="L1316" s="1508"/>
      <c r="M1316" s="1509">
        <f t="shared" si="141"/>
        <v>0</v>
      </c>
      <c r="N1316" s="1508">
        <f t="shared" si="142"/>
        <v>0</v>
      </c>
    </row>
    <row r="1317" spans="1:14" ht="46.5" outlineLevel="1" x14ac:dyDescent="0.25">
      <c r="A1317" s="1488">
        <f t="shared" si="145"/>
        <v>6</v>
      </c>
      <c r="B1317" s="1492" t="str">
        <f t="shared" si="145"/>
        <v>Non DPR scheme for “The Work of Upgradation of Belt Conveyor 107A/B by replacement of conveyor deck structure with allied works in CHPB of Unit-5, 6&amp;7 at CSTPS Chandrapur</v>
      </c>
      <c r="C1317" s="1488">
        <f t="shared" si="145"/>
        <v>0</v>
      </c>
      <c r="D1317" s="1413" t="str">
        <f t="shared" si="145"/>
        <v>-</v>
      </c>
      <c r="E1317" s="560">
        <f t="shared" si="145"/>
        <v>4.51</v>
      </c>
      <c r="F1317" s="1508">
        <f t="shared" si="138"/>
        <v>4.5085439999999997</v>
      </c>
      <c r="G1317" s="1508">
        <f t="shared" si="139"/>
        <v>4.5085439999999997</v>
      </c>
      <c r="H1317" s="1508">
        <f t="shared" si="140"/>
        <v>0</v>
      </c>
      <c r="I1317" s="1480">
        <v>0</v>
      </c>
      <c r="J1317" s="1480">
        <v>0</v>
      </c>
      <c r="K1317" s="1508"/>
      <c r="L1317" s="1508"/>
      <c r="M1317" s="1509">
        <f t="shared" si="141"/>
        <v>0</v>
      </c>
      <c r="N1317" s="1508">
        <f t="shared" si="142"/>
        <v>0</v>
      </c>
    </row>
    <row r="1318" spans="1:14" ht="46.5" outlineLevel="1" x14ac:dyDescent="0.25">
      <c r="A1318" s="1488">
        <f t="shared" si="145"/>
        <v>7</v>
      </c>
      <c r="B1318" s="1492" t="str">
        <f t="shared" si="145"/>
        <v>Non-DPR: Supply, installation &amp; commissioning of oil cooled over band magnetic separators for various conveyor belts of CHP-B &amp; CHP-C, CSTPS, Chandrapur</v>
      </c>
      <c r="C1318" s="1488">
        <f t="shared" si="145"/>
        <v>0</v>
      </c>
      <c r="D1318" s="1413" t="str">
        <f t="shared" si="145"/>
        <v>-</v>
      </c>
      <c r="E1318" s="560">
        <f t="shared" si="145"/>
        <v>3.45</v>
      </c>
      <c r="F1318" s="1508">
        <f t="shared" si="138"/>
        <v>3.4450571999999999</v>
      </c>
      <c r="G1318" s="1508">
        <f t="shared" si="139"/>
        <v>3.4450571999999999</v>
      </c>
      <c r="H1318" s="1508">
        <f t="shared" si="140"/>
        <v>0</v>
      </c>
      <c r="I1318" s="1480">
        <v>0</v>
      </c>
      <c r="J1318" s="1480">
        <v>0</v>
      </c>
      <c r="K1318" s="1508"/>
      <c r="L1318" s="1508"/>
      <c r="M1318" s="1509">
        <f t="shared" si="141"/>
        <v>0</v>
      </c>
      <c r="N1318" s="1508">
        <f t="shared" si="142"/>
        <v>0</v>
      </c>
    </row>
    <row r="1319" spans="1:14" ht="62" outlineLevel="1" x14ac:dyDescent="0.25">
      <c r="A1319" s="1488">
        <f t="shared" si="145"/>
        <v>8</v>
      </c>
      <c r="B1319" s="1492" t="str">
        <f t="shared" si="145"/>
        <v>Various preventive works to avoid Tiger movement and animals in CSTPS colony premises Up-gradation od existing periphery compound wall by avoiding barbed wire and concertina fencing and allied works in the colony at CSTPS, Chandrapur</v>
      </c>
      <c r="C1319" s="1488">
        <f t="shared" si="145"/>
        <v>0</v>
      </c>
      <c r="D1319" s="1413" t="str">
        <f t="shared" si="145"/>
        <v>-</v>
      </c>
      <c r="E1319" s="560">
        <f t="shared" si="145"/>
        <v>6.41</v>
      </c>
      <c r="F1319" s="1508">
        <f t="shared" si="138"/>
        <v>0.81083681100000005</v>
      </c>
      <c r="G1319" s="1508">
        <f t="shared" si="139"/>
        <v>0</v>
      </c>
      <c r="H1319" s="1508">
        <f t="shared" si="140"/>
        <v>0.81083681100000005</v>
      </c>
      <c r="I1319" s="1480">
        <v>1.120085741</v>
      </c>
      <c r="J1319" s="1480">
        <v>0</v>
      </c>
      <c r="K1319" s="1508"/>
      <c r="L1319" s="1508"/>
      <c r="M1319" s="1509">
        <f t="shared" si="141"/>
        <v>0</v>
      </c>
      <c r="N1319" s="1508">
        <f t="shared" si="142"/>
        <v>1.9309225520000002</v>
      </c>
    </row>
    <row r="1320" spans="1:14" ht="46.5" outlineLevel="1" x14ac:dyDescent="0.25">
      <c r="A1320" s="1488">
        <f t="shared" ref="A1320:E1335" si="146">A650</f>
        <v>9</v>
      </c>
      <c r="B1320" s="1492" t="str">
        <f t="shared" si="146"/>
        <v>Repairing, revamping and modification of existing alarm and protection system from fire and providing rapid extinguishing CA system at 500 MW Unit # 5 &amp; 6 CSTPS</v>
      </c>
      <c r="C1320" s="1488">
        <f t="shared" si="146"/>
        <v>0</v>
      </c>
      <c r="D1320" s="1413" t="str">
        <f t="shared" si="146"/>
        <v>-</v>
      </c>
      <c r="E1320" s="560">
        <f t="shared" si="146"/>
        <v>7.95</v>
      </c>
      <c r="F1320" s="1508">
        <f t="shared" ref="F1320:F1344" si="147">F650+I650</f>
        <v>7.0232238000000002</v>
      </c>
      <c r="G1320" s="1508">
        <f t="shared" ref="G1320:G1344" si="148">G650+M650</f>
        <v>0</v>
      </c>
      <c r="H1320" s="1508">
        <f t="shared" si="140"/>
        <v>7.0232238000000002</v>
      </c>
      <c r="I1320" s="1480">
        <v>0</v>
      </c>
      <c r="J1320" s="1480">
        <v>0</v>
      </c>
      <c r="K1320" s="1508"/>
      <c r="L1320" s="1508"/>
      <c r="M1320" s="1509">
        <f t="shared" si="141"/>
        <v>0</v>
      </c>
      <c r="N1320" s="1508">
        <f t="shared" si="142"/>
        <v>7.0232238000000002</v>
      </c>
    </row>
    <row r="1321" spans="1:14" ht="62" outlineLevel="1" x14ac:dyDescent="0.25">
      <c r="A1321" s="1488">
        <f t="shared" si="146"/>
        <v>10</v>
      </c>
      <c r="B1321" s="1506" t="str">
        <f t="shared" si="146"/>
        <v>NON-Detailed Project Report for the Work of Upgradation/Renovation of Crusher House of CHPB of Unit-5, 6&amp;7 at CSTPS Chandrapur (benefit U-8,9 by short conveyor coal stacking in catering emergency)</v>
      </c>
      <c r="C1321" s="1488">
        <f t="shared" si="146"/>
        <v>0</v>
      </c>
      <c r="D1321" s="1413" t="str">
        <f t="shared" si="146"/>
        <v>-</v>
      </c>
      <c r="E1321" s="560">
        <f t="shared" si="146"/>
        <v>4.7</v>
      </c>
      <c r="F1321" s="1508">
        <f t="shared" si="147"/>
        <v>0.91373035999999996</v>
      </c>
      <c r="G1321" s="1508">
        <f t="shared" si="148"/>
        <v>0</v>
      </c>
      <c r="H1321" s="1508">
        <f t="shared" si="140"/>
        <v>0.91373035999999996</v>
      </c>
      <c r="I1321" s="1480">
        <v>0.91373035999999996</v>
      </c>
      <c r="J1321" s="1480">
        <v>1.8274607199999999</v>
      </c>
      <c r="K1321" s="1508"/>
      <c r="L1321" s="1508"/>
      <c r="M1321" s="1509">
        <f t="shared" si="141"/>
        <v>1.8274607199999999</v>
      </c>
      <c r="N1321" s="1508">
        <f t="shared" si="142"/>
        <v>0</v>
      </c>
    </row>
    <row r="1322" spans="1:14" ht="46.5" outlineLevel="1" x14ac:dyDescent="0.25">
      <c r="A1322" s="1488">
        <f t="shared" si="146"/>
        <v>11</v>
      </c>
      <c r="B1322" s="1492" t="str">
        <f t="shared" si="146"/>
        <v>Work of Up-gradation/Renovation of Bunkering Conveyor system with allied works in CHPA of Unit-3&amp;4 at CSTPS Chandrapur</v>
      </c>
      <c r="C1322" s="1488">
        <f t="shared" si="146"/>
        <v>0</v>
      </c>
      <c r="D1322" s="1413" t="str">
        <f t="shared" si="146"/>
        <v>-</v>
      </c>
      <c r="E1322" s="560">
        <f t="shared" si="146"/>
        <v>4.6024180000000001</v>
      </c>
      <c r="F1322" s="1508">
        <f t="shared" si="147"/>
        <v>2.301418</v>
      </c>
      <c r="G1322" s="1508">
        <f t="shared" si="148"/>
        <v>0</v>
      </c>
      <c r="H1322" s="1508">
        <f t="shared" si="140"/>
        <v>2.301418</v>
      </c>
      <c r="I1322" s="1480">
        <v>2.3010000000000002</v>
      </c>
      <c r="J1322" s="1480">
        <v>4.6024180000000001</v>
      </c>
      <c r="K1322" s="1508"/>
      <c r="L1322" s="1508"/>
      <c r="M1322" s="1509">
        <f t="shared" si="141"/>
        <v>4.6024180000000001</v>
      </c>
      <c r="N1322" s="1508">
        <f t="shared" si="142"/>
        <v>0</v>
      </c>
    </row>
    <row r="1323" spans="1:14" ht="46.5" outlineLevel="1" x14ac:dyDescent="0.25">
      <c r="A1323" s="1488">
        <f t="shared" si="146"/>
        <v>12</v>
      </c>
      <c r="B1323" s="1492" t="str">
        <f t="shared" si="146"/>
        <v>Non-Detailed Project Report for the up-gradation of existing belt type gravimetric coal feeders to gravimetric rotary weigh coal feeders of unit- 7, at CSTPS, Chandrapur</v>
      </c>
      <c r="C1323" s="1488">
        <f t="shared" si="146"/>
        <v>0</v>
      </c>
      <c r="D1323" s="1413" t="str">
        <f t="shared" si="146"/>
        <v>-</v>
      </c>
      <c r="E1323" s="560">
        <f t="shared" si="146"/>
        <v>7.2510000000000003</v>
      </c>
      <c r="F1323" s="1508">
        <f t="shared" si="147"/>
        <v>0</v>
      </c>
      <c r="G1323" s="1508">
        <f t="shared" si="148"/>
        <v>0</v>
      </c>
      <c r="H1323" s="1508">
        <f t="shared" si="140"/>
        <v>0</v>
      </c>
      <c r="I1323" s="1480">
        <v>7.2509395000000003</v>
      </c>
      <c r="J1323" s="1480">
        <v>7.2509395000000003</v>
      </c>
      <c r="K1323" s="1508"/>
      <c r="L1323" s="1508"/>
      <c r="M1323" s="1509">
        <f t="shared" si="141"/>
        <v>7.2509395000000003</v>
      </c>
      <c r="N1323" s="1508">
        <f t="shared" si="142"/>
        <v>0</v>
      </c>
    </row>
    <row r="1324" spans="1:14" ht="31" outlineLevel="1" x14ac:dyDescent="0.25">
      <c r="A1324" s="1488">
        <f t="shared" si="146"/>
        <v>14</v>
      </c>
      <c r="B1324" s="1492" t="str">
        <f t="shared" si="146"/>
        <v>Non DPR scheme for the procurement of Girth Gear Assembly for BBD-4772 coal mill unit-7</v>
      </c>
      <c r="C1324" s="1488">
        <f t="shared" si="146"/>
        <v>0</v>
      </c>
      <c r="D1324" s="1413" t="str">
        <f t="shared" si="146"/>
        <v>-</v>
      </c>
      <c r="E1324" s="560">
        <f t="shared" si="146"/>
        <v>5.27</v>
      </c>
      <c r="F1324" s="1508">
        <f t="shared" si="147"/>
        <v>0</v>
      </c>
      <c r="G1324" s="1508">
        <f t="shared" si="148"/>
        <v>0</v>
      </c>
      <c r="H1324" s="1508">
        <f t="shared" si="140"/>
        <v>0</v>
      </c>
      <c r="I1324" s="1480">
        <v>2.5837661999999999</v>
      </c>
      <c r="J1324" s="1480">
        <v>2.5837663000000002</v>
      </c>
      <c r="K1324" s="1508"/>
      <c r="L1324" s="1508"/>
      <c r="M1324" s="1509">
        <f t="shared" si="141"/>
        <v>2.5837663000000002</v>
      </c>
      <c r="N1324" s="1508">
        <f t="shared" si="142"/>
        <v>-1.0000000028043132E-7</v>
      </c>
    </row>
    <row r="1325" spans="1:14" ht="62" outlineLevel="1" x14ac:dyDescent="0.25">
      <c r="A1325" s="1488">
        <f t="shared" si="146"/>
        <v>15</v>
      </c>
      <c r="B1325" s="1492" t="str">
        <f t="shared" si="146"/>
        <v>Non DPR Supply of Sub-Assemblies for KBL -make Auxiliary cooling water pump, Model BHR-70 &amp; BHR 60-30 deg. installed at Auxiliary cooling water system of U- 5 to 7 at ODP-II, CSTPS, Chandrapur.</v>
      </c>
      <c r="C1325" s="1488">
        <f t="shared" si="146"/>
        <v>0</v>
      </c>
      <c r="D1325" s="1413" t="str">
        <f t="shared" si="146"/>
        <v>-</v>
      </c>
      <c r="E1325" s="560">
        <f t="shared" si="146"/>
        <v>5.61</v>
      </c>
      <c r="F1325" s="1508">
        <f t="shared" si="147"/>
        <v>0</v>
      </c>
      <c r="G1325" s="1508">
        <f t="shared" si="148"/>
        <v>0</v>
      </c>
      <c r="H1325" s="1508">
        <f t="shared" si="140"/>
        <v>0</v>
      </c>
      <c r="I1325" s="1480">
        <v>5.5874359760000001</v>
      </c>
      <c r="J1325" s="1480">
        <v>0</v>
      </c>
      <c r="K1325" s="1508"/>
      <c r="L1325" s="1508"/>
      <c r="M1325" s="1509">
        <f t="shared" si="141"/>
        <v>0</v>
      </c>
      <c r="N1325" s="1508">
        <f t="shared" si="142"/>
        <v>5.5874359760000001</v>
      </c>
    </row>
    <row r="1326" spans="1:14" ht="46.5" outlineLevel="1" x14ac:dyDescent="0.25">
      <c r="A1326" s="1488">
        <f t="shared" si="146"/>
        <v>16</v>
      </c>
      <c r="B1326" s="1492" t="str">
        <f t="shared" si="146"/>
        <v>Procurement of Primary and Secondary Air Pre-heater Baskets for Unit-5, Chandrapur STPS, 500MW through OEM basis from M/s. BHEL</v>
      </c>
      <c r="C1326" s="1488">
        <f t="shared" si="146"/>
        <v>0</v>
      </c>
      <c r="D1326" s="1413" t="str">
        <f t="shared" si="146"/>
        <v>-</v>
      </c>
      <c r="E1326" s="560">
        <f t="shared" si="146"/>
        <v>9.09</v>
      </c>
      <c r="F1326" s="1508">
        <f t="shared" si="147"/>
        <v>0</v>
      </c>
      <c r="G1326" s="1508">
        <f t="shared" si="148"/>
        <v>0</v>
      </c>
      <c r="H1326" s="1508">
        <f t="shared" si="140"/>
        <v>0</v>
      </c>
      <c r="I1326" s="1480">
        <v>8.2282758079999994</v>
      </c>
      <c r="J1326" s="1480">
        <v>0</v>
      </c>
      <c r="K1326" s="1508"/>
      <c r="L1326" s="1508"/>
      <c r="M1326" s="1509">
        <f t="shared" si="141"/>
        <v>0</v>
      </c>
      <c r="N1326" s="1508">
        <f t="shared" si="142"/>
        <v>8.2282758079999994</v>
      </c>
    </row>
    <row r="1327" spans="1:14" ht="46.5" outlineLevel="1" x14ac:dyDescent="0.25">
      <c r="A1327" s="1488">
        <f t="shared" si="146"/>
        <v>17</v>
      </c>
      <c r="B1327" s="1492" t="str">
        <f t="shared" si="146"/>
        <v>Restoration of Operational efficiency and improvement in useful life of spare HP turbine Module of 500MW Unit-5,6 CSTPS chandrapur by Refurbishement</v>
      </c>
      <c r="C1327" s="1488">
        <f t="shared" si="146"/>
        <v>0</v>
      </c>
      <c r="D1327" s="1413" t="str">
        <f t="shared" si="146"/>
        <v>-</v>
      </c>
      <c r="E1327" s="560">
        <f t="shared" si="146"/>
        <v>9.9499999999999993</v>
      </c>
      <c r="F1327" s="1508">
        <f t="shared" si="147"/>
        <v>0</v>
      </c>
      <c r="G1327" s="1508">
        <f t="shared" si="148"/>
        <v>0</v>
      </c>
      <c r="H1327" s="1508">
        <f t="shared" si="140"/>
        <v>0</v>
      </c>
      <c r="I1327" s="1480">
        <v>0</v>
      </c>
      <c r="J1327" s="1480">
        <v>0</v>
      </c>
      <c r="K1327" s="1508"/>
      <c r="L1327" s="1508"/>
      <c r="M1327" s="1509">
        <f t="shared" si="141"/>
        <v>0</v>
      </c>
      <c r="N1327" s="1508">
        <f t="shared" si="142"/>
        <v>0</v>
      </c>
    </row>
    <row r="1328" spans="1:14" ht="46.5" outlineLevel="1" x14ac:dyDescent="0.25">
      <c r="A1328" s="1488">
        <f t="shared" si="146"/>
        <v>18</v>
      </c>
      <c r="B1328" s="1492" t="str">
        <f t="shared" si="146"/>
        <v>Work of Upgradation/Renovation of Crusher House &amp; Track Hopper Unloading System of CHPC of Unit-6&amp;7 CSTPS Chandrapur</v>
      </c>
      <c r="C1328" s="1488">
        <f t="shared" si="146"/>
        <v>0</v>
      </c>
      <c r="D1328" s="1413" t="str">
        <f t="shared" si="146"/>
        <v>-</v>
      </c>
      <c r="E1328" s="560">
        <f t="shared" si="146"/>
        <v>4.9000000000000004</v>
      </c>
      <c r="F1328" s="1508">
        <f t="shared" si="147"/>
        <v>0</v>
      </c>
      <c r="G1328" s="1508">
        <f t="shared" si="148"/>
        <v>0</v>
      </c>
      <c r="H1328" s="1508">
        <f t="shared" si="140"/>
        <v>0</v>
      </c>
      <c r="I1328" s="1480">
        <v>0.48380000000000001</v>
      </c>
      <c r="J1328" s="1480">
        <v>0</v>
      </c>
      <c r="K1328" s="1508"/>
      <c r="L1328" s="1508"/>
      <c r="M1328" s="1509">
        <f t="shared" si="141"/>
        <v>0</v>
      </c>
      <c r="N1328" s="1508">
        <f t="shared" si="142"/>
        <v>0.48380000000000001</v>
      </c>
    </row>
    <row r="1329" spans="1:14" ht="46.5" outlineLevel="1" x14ac:dyDescent="0.25">
      <c r="A1329" s="1488">
        <f t="shared" si="146"/>
        <v>19</v>
      </c>
      <c r="B1329" s="1492" t="str">
        <f t="shared" si="146"/>
        <v>Non – DPR: Design, supply, erection, installation, testing and commissioning of boiler goods lift in place of existing old lifts installed at Unit#6,7 500MW CSTPS, Chandrapur </v>
      </c>
      <c r="C1329" s="1488">
        <f t="shared" si="146"/>
        <v>0</v>
      </c>
      <c r="D1329" s="1413" t="str">
        <f t="shared" si="146"/>
        <v>-</v>
      </c>
      <c r="E1329" s="560">
        <f t="shared" si="146"/>
        <v>3.66</v>
      </c>
      <c r="F1329" s="1508">
        <f t="shared" si="147"/>
        <v>0</v>
      </c>
      <c r="G1329" s="1508">
        <f t="shared" si="148"/>
        <v>0</v>
      </c>
      <c r="H1329" s="1508">
        <f t="shared" si="140"/>
        <v>0</v>
      </c>
      <c r="I1329" s="1480">
        <v>2.8573254000000001</v>
      </c>
      <c r="J1329" s="1480">
        <v>0</v>
      </c>
      <c r="K1329" s="1508"/>
      <c r="L1329" s="1508"/>
      <c r="M1329" s="1509">
        <f t="shared" si="141"/>
        <v>0</v>
      </c>
      <c r="N1329" s="1508">
        <f t="shared" si="142"/>
        <v>2.8573254000000001</v>
      </c>
    </row>
    <row r="1330" spans="1:14" ht="31" outlineLevel="1" x14ac:dyDescent="0.25">
      <c r="A1330" s="1488">
        <f t="shared" si="146"/>
        <v>20</v>
      </c>
      <c r="B1330" s="1492" t="str">
        <f t="shared" si="146"/>
        <v>Work of refurbishment of Flender make KMS 850 gear box of XRP-1043 coal mill unit 5&amp;6 at CSTPS, Chandrapur</v>
      </c>
      <c r="C1330" s="1488">
        <f t="shared" si="146"/>
        <v>0</v>
      </c>
      <c r="D1330" s="1413" t="str">
        <f t="shared" si="146"/>
        <v>-</v>
      </c>
      <c r="E1330" s="560">
        <f t="shared" si="146"/>
        <v>4.37</v>
      </c>
      <c r="F1330" s="1508">
        <f t="shared" si="147"/>
        <v>0</v>
      </c>
      <c r="G1330" s="1508">
        <f t="shared" si="148"/>
        <v>0</v>
      </c>
      <c r="H1330" s="1508">
        <f t="shared" si="140"/>
        <v>0</v>
      </c>
      <c r="I1330" s="1480">
        <v>0</v>
      </c>
      <c r="J1330" s="1480">
        <v>0</v>
      </c>
      <c r="K1330" s="1508"/>
      <c r="L1330" s="1508"/>
      <c r="M1330" s="1509">
        <f t="shared" si="141"/>
        <v>0</v>
      </c>
      <c r="N1330" s="1508">
        <f t="shared" si="142"/>
        <v>0</v>
      </c>
    </row>
    <row r="1331" spans="1:14" ht="77.5" outlineLevel="1" x14ac:dyDescent="0.25">
      <c r="A1331" s="1488">
        <f t="shared" si="146"/>
        <v>21</v>
      </c>
      <c r="B1331" s="1492" t="str">
        <f t="shared" si="146"/>
        <v>Work of renovation of take up trestle structure of BC-105A2/BC-105B and trestle near TP-104, Modification of MS fixtures for the work of various auxiliary replacement at various sites and other allied works in CHP-B (M2) at CSTPS Chandrapur, as NonDPR Scheme.</v>
      </c>
      <c r="C1331" s="1488">
        <f t="shared" si="146"/>
        <v>0</v>
      </c>
      <c r="D1331" s="1413" t="str">
        <f t="shared" si="146"/>
        <v>-</v>
      </c>
      <c r="E1331" s="560">
        <f t="shared" si="146"/>
        <v>2.2400000000000002</v>
      </c>
      <c r="F1331" s="1508">
        <f t="shared" si="147"/>
        <v>0</v>
      </c>
      <c r="G1331" s="1508">
        <f t="shared" si="148"/>
        <v>0</v>
      </c>
      <c r="H1331" s="1508">
        <f t="shared" si="140"/>
        <v>0</v>
      </c>
      <c r="I1331" s="1480">
        <v>0</v>
      </c>
      <c r="J1331" s="1480">
        <v>0</v>
      </c>
      <c r="K1331" s="1508"/>
      <c r="L1331" s="1508"/>
      <c r="M1331" s="1509">
        <f t="shared" si="141"/>
        <v>0</v>
      </c>
      <c r="N1331" s="1508">
        <f t="shared" si="142"/>
        <v>0</v>
      </c>
    </row>
    <row r="1332" spans="1:14" ht="31" outlineLevel="1" x14ac:dyDescent="0.25">
      <c r="A1332" s="1488">
        <f t="shared" si="146"/>
        <v>22</v>
      </c>
      <c r="B1332" s="1492" t="str">
        <f t="shared" si="146"/>
        <v>Non DPR scheme for upgradation and life enhancements of BC-1AB_BC-4AB at CHP-A, CSTPS, Chandrapur</v>
      </c>
      <c r="C1332" s="1488">
        <f t="shared" si="146"/>
        <v>0</v>
      </c>
      <c r="D1332" s="1413" t="str">
        <f t="shared" si="146"/>
        <v>-</v>
      </c>
      <c r="E1332" s="560">
        <f t="shared" si="146"/>
        <v>1.6</v>
      </c>
      <c r="F1332" s="1508">
        <f t="shared" si="147"/>
        <v>0</v>
      </c>
      <c r="G1332" s="1508">
        <f t="shared" si="148"/>
        <v>0</v>
      </c>
      <c r="H1332" s="1508">
        <f t="shared" si="140"/>
        <v>0</v>
      </c>
      <c r="I1332" s="1480">
        <v>0</v>
      </c>
      <c r="J1332" s="1480">
        <v>0</v>
      </c>
      <c r="K1332" s="1508"/>
      <c r="L1332" s="1508"/>
      <c r="M1332" s="1509">
        <f t="shared" si="141"/>
        <v>0</v>
      </c>
      <c r="N1332" s="1508">
        <f t="shared" si="142"/>
        <v>0</v>
      </c>
    </row>
    <row r="1333" spans="1:14" ht="31" outlineLevel="1" x14ac:dyDescent="0.25">
      <c r="A1333" s="1488">
        <f t="shared" si="146"/>
        <v>23</v>
      </c>
      <c r="B1333" s="1492" t="str">
        <f t="shared" si="146"/>
        <v>THE PROCUREMENT AND REPLACEMENT OF AIR PREHEATER BASKETS ASSEMBLIES AT UNIT-6 AT CSTPS, CHANDRAPUR</v>
      </c>
      <c r="C1333" s="1488">
        <f t="shared" si="146"/>
        <v>0</v>
      </c>
      <c r="D1333" s="1413" t="str">
        <f t="shared" si="146"/>
        <v>-</v>
      </c>
      <c r="E1333" s="560">
        <f t="shared" si="146"/>
        <v>9.01</v>
      </c>
      <c r="F1333" s="1508">
        <f t="shared" si="147"/>
        <v>0</v>
      </c>
      <c r="G1333" s="1508">
        <f t="shared" si="148"/>
        <v>0</v>
      </c>
      <c r="H1333" s="1508">
        <f t="shared" si="140"/>
        <v>0</v>
      </c>
      <c r="I1333" s="1480">
        <v>0</v>
      </c>
      <c r="J1333" s="1480">
        <v>0</v>
      </c>
      <c r="K1333" s="1508"/>
      <c r="L1333" s="1508"/>
      <c r="M1333" s="1509">
        <f t="shared" si="141"/>
        <v>0</v>
      </c>
      <c r="N1333" s="1508">
        <f t="shared" si="142"/>
        <v>0</v>
      </c>
    </row>
    <row r="1334" spans="1:14" ht="46.5" outlineLevel="1" x14ac:dyDescent="0.25">
      <c r="A1334" s="1488">
        <f t="shared" si="146"/>
        <v>24</v>
      </c>
      <c r="B1334" s="1492" t="str">
        <f t="shared" si="146"/>
        <v>NonDPR: Procurement of cartridge for boiler feed pump of 500MW U#7 and parallel shaft gear box for boiler feed pump of 500MW Unit-5 &amp;6 CSTPS, Chandrapur</v>
      </c>
      <c r="C1334" s="1488">
        <f t="shared" si="146"/>
        <v>0</v>
      </c>
      <c r="D1334" s="1413" t="str">
        <f t="shared" si="146"/>
        <v>-</v>
      </c>
      <c r="E1334" s="560">
        <f t="shared" si="146"/>
        <v>2.57</v>
      </c>
      <c r="F1334" s="1508">
        <f t="shared" si="147"/>
        <v>0</v>
      </c>
      <c r="G1334" s="1508">
        <f t="shared" si="148"/>
        <v>0</v>
      </c>
      <c r="H1334" s="1508">
        <f>F1334-G1334</f>
        <v>0</v>
      </c>
      <c r="I1334" s="1480">
        <v>0</v>
      </c>
      <c r="J1334" s="1480">
        <v>0</v>
      </c>
      <c r="K1334" s="1508"/>
      <c r="L1334" s="1508"/>
      <c r="M1334" s="1509">
        <f>SUM(J1334:L1334)</f>
        <v>0</v>
      </c>
      <c r="N1334" s="1508">
        <f>H1334+I1334-M1334</f>
        <v>0</v>
      </c>
    </row>
    <row r="1335" spans="1:14" ht="31" outlineLevel="1" x14ac:dyDescent="0.25">
      <c r="A1335" s="1488">
        <f t="shared" si="146"/>
        <v>25</v>
      </c>
      <c r="B1335" s="1492" t="str">
        <f t="shared" si="146"/>
        <v>Replacement of FD &amp; ID Fan IGV Actuators &amp; Electronic Controllers in 500 MW Unit-5 &amp; 6 at CSTPS, Chandrapur</v>
      </c>
      <c r="C1335" s="1488">
        <f t="shared" si="146"/>
        <v>0</v>
      </c>
      <c r="D1335" s="1413" t="str">
        <f t="shared" si="146"/>
        <v>-</v>
      </c>
      <c r="E1335" s="560">
        <f t="shared" si="146"/>
        <v>4.2</v>
      </c>
      <c r="F1335" s="1508">
        <f t="shared" si="147"/>
        <v>0</v>
      </c>
      <c r="G1335" s="1508">
        <f t="shared" si="148"/>
        <v>0</v>
      </c>
      <c r="H1335" s="1508">
        <f>F1335-G1335</f>
        <v>0</v>
      </c>
      <c r="I1335" s="1480">
        <v>0</v>
      </c>
      <c r="J1335" s="1480">
        <v>0</v>
      </c>
      <c r="K1335" s="1508"/>
      <c r="L1335" s="1508"/>
      <c r="M1335" s="1509">
        <f>SUM(J1335:L1335)</f>
        <v>0</v>
      </c>
      <c r="N1335" s="1508">
        <f>H1335+I1335-M1335</f>
        <v>0</v>
      </c>
    </row>
    <row r="1336" spans="1:14" ht="77.5" outlineLevel="1" x14ac:dyDescent="0.25">
      <c r="A1336" s="1488">
        <f t="shared" ref="A1336:E1344" si="149">A666</f>
        <v>26</v>
      </c>
      <c r="B1336" s="1492" t="str">
        <f t="shared" si="149"/>
        <v>Non DPR for Work of Repairing and Strengthening of Coal Mill structure, Replacement of MS grating and painting of structural supports, columns, and platform supports of at various locations Coal Mill, Boiler and ESP of Unit-5, 6 and 7 at CSTPS Chandrapur.</v>
      </c>
      <c r="C1336" s="1488">
        <f t="shared" si="149"/>
        <v>0</v>
      </c>
      <c r="D1336" s="1413" t="str">
        <f t="shared" si="149"/>
        <v>-</v>
      </c>
      <c r="E1336" s="560">
        <f t="shared" si="149"/>
        <v>2.1</v>
      </c>
      <c r="F1336" s="1508">
        <f t="shared" si="147"/>
        <v>0</v>
      </c>
      <c r="G1336" s="1508">
        <f t="shared" si="148"/>
        <v>0</v>
      </c>
      <c r="H1336" s="1508">
        <f>F1336-G1336</f>
        <v>0</v>
      </c>
      <c r="I1336" s="1480">
        <v>0</v>
      </c>
      <c r="J1336" s="1480">
        <v>0</v>
      </c>
      <c r="K1336" s="1508"/>
      <c r="L1336" s="1508"/>
      <c r="M1336" s="1509">
        <f>SUM(J1336:L1336)</f>
        <v>0</v>
      </c>
      <c r="N1336" s="1508">
        <f>H1336+I1336-M1336</f>
        <v>0</v>
      </c>
    </row>
    <row r="1337" spans="1:14" ht="62" outlineLevel="1" x14ac:dyDescent="0.25">
      <c r="A1337" s="1488">
        <f t="shared" si="149"/>
        <v>27</v>
      </c>
      <c r="B1337" s="1492" t="str">
        <f t="shared" si="149"/>
        <v>Administrative approval under Non DPR scheme for“The Work of Up-gradation / Renovation and life enhancement of Conveyor system BC-6ABC with allied works in CHP-A of Unit-3&amp;4 at CSTPS Chandrapur”</v>
      </c>
      <c r="C1337" s="1488">
        <f t="shared" si="149"/>
        <v>0</v>
      </c>
      <c r="D1337" s="1413" t="str">
        <f t="shared" si="149"/>
        <v>-</v>
      </c>
      <c r="E1337" s="560">
        <f t="shared" si="149"/>
        <v>4.55</v>
      </c>
      <c r="F1337" s="1508">
        <f t="shared" si="147"/>
        <v>0</v>
      </c>
      <c r="G1337" s="1508">
        <f t="shared" si="148"/>
        <v>0</v>
      </c>
      <c r="H1337" s="1508">
        <f>F1337-G1337</f>
        <v>0</v>
      </c>
      <c r="I1337" s="1480">
        <v>0</v>
      </c>
      <c r="J1337" s="1480">
        <v>0</v>
      </c>
      <c r="K1337" s="1508"/>
      <c r="L1337" s="1508"/>
      <c r="M1337" s="1509">
        <f>SUM(J1337:L1337)</f>
        <v>0</v>
      </c>
      <c r="N1337" s="1508">
        <f>H1337+I1337-M1337</f>
        <v>0</v>
      </c>
    </row>
    <row r="1338" spans="1:14" ht="62" outlineLevel="1" x14ac:dyDescent="0.25">
      <c r="A1338" s="1488">
        <f t="shared" si="149"/>
        <v>28</v>
      </c>
      <c r="B1338" s="1492" t="str">
        <f t="shared" si="149"/>
        <v>Supply Erection and commissioning of Institu type SOX, NOX Analyzer along with remote calibration facility and connectivity to CPCB and MPCB as per latest CPCB Guidelines for Unit-3&amp;4, CSTPS.</v>
      </c>
      <c r="C1338" s="1488">
        <f t="shared" si="149"/>
        <v>0</v>
      </c>
      <c r="D1338" s="1413" t="str">
        <f t="shared" si="149"/>
        <v>-</v>
      </c>
      <c r="E1338" s="560">
        <f t="shared" si="149"/>
        <v>0.97</v>
      </c>
      <c r="F1338" s="1508">
        <f t="shared" si="147"/>
        <v>0</v>
      </c>
      <c r="G1338" s="1508">
        <f t="shared" si="148"/>
        <v>0</v>
      </c>
      <c r="H1338" s="1508">
        <f>F1338-G1338</f>
        <v>0</v>
      </c>
      <c r="I1338" s="1480">
        <v>0</v>
      </c>
      <c r="J1338" s="1480">
        <v>0</v>
      </c>
      <c r="K1338" s="1508"/>
      <c r="L1338" s="1508"/>
      <c r="M1338" s="1509">
        <f>SUM(J1338:L1338)</f>
        <v>0</v>
      </c>
      <c r="N1338" s="1508">
        <f>H1338+I1338-M1338</f>
        <v>0</v>
      </c>
    </row>
    <row r="1339" spans="1:14" ht="62" outlineLevel="1" x14ac:dyDescent="0.25">
      <c r="A1339" s="1488">
        <f t="shared" si="149"/>
        <v>29</v>
      </c>
      <c r="B1339" s="1492" t="str">
        <f t="shared" si="149"/>
        <v>Work of Renovation &amp; Upgradation of Receipt &amp; Dispatch Yard of Railway Siding of CSTPS by provision of Various Standard Infrastructure facilities at R&amp;D yard in Coal Handling Plant of CSTPS Chandrapur</v>
      </c>
      <c r="C1339" s="1488">
        <f t="shared" si="149"/>
        <v>0</v>
      </c>
      <c r="D1339" s="1413" t="str">
        <f t="shared" si="149"/>
        <v>-</v>
      </c>
      <c r="E1339" s="560">
        <f t="shared" si="149"/>
        <v>7.89</v>
      </c>
      <c r="F1339" s="1508">
        <f t="shared" si="147"/>
        <v>0</v>
      </c>
      <c r="G1339" s="1508">
        <f t="shared" si="148"/>
        <v>0</v>
      </c>
      <c r="H1339" s="1508">
        <f t="shared" ref="H1339:H1344" si="150">F1339-G1339</f>
        <v>0</v>
      </c>
      <c r="I1339" s="1480">
        <v>0</v>
      </c>
      <c r="J1339" s="1480">
        <v>0</v>
      </c>
      <c r="K1339" s="1508"/>
      <c r="L1339" s="1508"/>
      <c r="M1339" s="1509">
        <f t="shared" ref="M1339:M1344" si="151">SUM(J1339:L1339)</f>
        <v>0</v>
      </c>
      <c r="N1339" s="1508">
        <f t="shared" ref="N1339:N1344" si="152">H1339+I1339-M1339</f>
        <v>0</v>
      </c>
    </row>
    <row r="1340" spans="1:14" ht="46.5" outlineLevel="1" x14ac:dyDescent="0.25">
      <c r="A1340" s="1488">
        <f t="shared" si="149"/>
        <v>30</v>
      </c>
      <c r="B1340" s="1492" t="str">
        <f t="shared" si="149"/>
        <v>Supply, Installation and Commissioning of MV VFD panel along with integrated online cell redundancy technology with VFD bypass feature arrangement for conveyors 103 A &amp; B of CHP-B.</v>
      </c>
      <c r="C1340" s="1488">
        <f t="shared" si="149"/>
        <v>0</v>
      </c>
      <c r="D1340" s="1413" t="str">
        <f t="shared" si="149"/>
        <v>-</v>
      </c>
      <c r="E1340" s="560">
        <f t="shared" si="149"/>
        <v>5.44</v>
      </c>
      <c r="F1340" s="1508">
        <f t="shared" si="147"/>
        <v>0</v>
      </c>
      <c r="G1340" s="1508">
        <f t="shared" si="148"/>
        <v>0</v>
      </c>
      <c r="H1340" s="1508">
        <f t="shared" si="150"/>
        <v>0</v>
      </c>
      <c r="I1340" s="1480">
        <v>0</v>
      </c>
      <c r="J1340" s="1480">
        <v>0</v>
      </c>
      <c r="K1340" s="1508"/>
      <c r="L1340" s="1508"/>
      <c r="M1340" s="1509">
        <f t="shared" si="151"/>
        <v>0</v>
      </c>
      <c r="N1340" s="1508">
        <f t="shared" si="152"/>
        <v>0</v>
      </c>
    </row>
    <row r="1341" spans="1:14" ht="15.5" outlineLevel="1" x14ac:dyDescent="0.25">
      <c r="A1341" s="1488">
        <f t="shared" si="149"/>
        <v>31</v>
      </c>
      <c r="B1341" s="1492" t="str">
        <f t="shared" si="149"/>
        <v>Replacement of LTSH assemblies in U- 5</v>
      </c>
      <c r="C1341" s="1488">
        <f t="shared" si="149"/>
        <v>0</v>
      </c>
      <c r="D1341" s="1413" t="str">
        <f t="shared" si="149"/>
        <v>-</v>
      </c>
      <c r="E1341" s="560">
        <f t="shared" si="149"/>
        <v>1.3756576</v>
      </c>
      <c r="F1341" s="1508">
        <f t="shared" si="147"/>
        <v>0</v>
      </c>
      <c r="G1341" s="1508">
        <f t="shared" si="148"/>
        <v>0</v>
      </c>
      <c r="H1341" s="1508">
        <f t="shared" si="150"/>
        <v>0</v>
      </c>
      <c r="I1341" s="1480">
        <v>1.3756576</v>
      </c>
      <c r="J1341" s="1480">
        <v>1.3756576</v>
      </c>
      <c r="K1341" s="1508"/>
      <c r="L1341" s="1508"/>
      <c r="M1341" s="1509">
        <f t="shared" si="151"/>
        <v>1.3756576</v>
      </c>
      <c r="N1341" s="1508">
        <f t="shared" si="152"/>
        <v>0</v>
      </c>
    </row>
    <row r="1342" spans="1:14" ht="15.5" outlineLevel="1" x14ac:dyDescent="0.25">
      <c r="A1342" s="1488">
        <f t="shared" si="149"/>
        <v>32</v>
      </c>
      <c r="B1342" s="1492" t="str">
        <f t="shared" si="149"/>
        <v>Replacement of complete Z-panels in unit- 5</v>
      </c>
      <c r="C1342" s="1488">
        <f t="shared" si="149"/>
        <v>0</v>
      </c>
      <c r="D1342" s="1413" t="str">
        <f t="shared" si="149"/>
        <v>-</v>
      </c>
      <c r="E1342" s="560">
        <f t="shared" si="149"/>
        <v>0.82545579999999996</v>
      </c>
      <c r="F1342" s="1508">
        <f t="shared" si="147"/>
        <v>0</v>
      </c>
      <c r="G1342" s="1508">
        <f t="shared" si="148"/>
        <v>0</v>
      </c>
      <c r="H1342" s="1508">
        <f t="shared" si="150"/>
        <v>0</v>
      </c>
      <c r="I1342" s="1480">
        <v>0.82545579999999996</v>
      </c>
      <c r="J1342" s="1480">
        <v>0.82545579999999996</v>
      </c>
      <c r="K1342" s="1508"/>
      <c r="L1342" s="1508"/>
      <c r="M1342" s="1509">
        <f t="shared" si="151"/>
        <v>0.82545579999999996</v>
      </c>
      <c r="N1342" s="1508">
        <f t="shared" si="152"/>
        <v>0</v>
      </c>
    </row>
    <row r="1343" spans="1:14" ht="31" outlineLevel="1" x14ac:dyDescent="0.25">
      <c r="A1343" s="1488">
        <f t="shared" si="149"/>
        <v>33</v>
      </c>
      <c r="B1343" s="1492" t="str">
        <f t="shared" si="149"/>
        <v>MODIFICATION AND RESTORATION OF APH OUTLET TO ESP INLET DUCTS AT U#3 (210MW)</v>
      </c>
      <c r="C1343" s="1488">
        <f t="shared" si="149"/>
        <v>0</v>
      </c>
      <c r="D1343" s="1413" t="str">
        <f t="shared" si="149"/>
        <v>-</v>
      </c>
      <c r="E1343" s="560">
        <f t="shared" si="149"/>
        <v>10.3</v>
      </c>
      <c r="F1343" s="1508">
        <f t="shared" si="147"/>
        <v>0</v>
      </c>
      <c r="G1343" s="1508">
        <f t="shared" si="148"/>
        <v>0</v>
      </c>
      <c r="H1343" s="1508">
        <f t="shared" si="150"/>
        <v>0</v>
      </c>
      <c r="I1343" s="1480">
        <v>0</v>
      </c>
      <c r="J1343" s="1480">
        <v>0</v>
      </c>
      <c r="K1343" s="1508"/>
      <c r="L1343" s="1508"/>
      <c r="M1343" s="1509">
        <f t="shared" si="151"/>
        <v>0</v>
      </c>
      <c r="N1343" s="1508">
        <f t="shared" si="152"/>
        <v>0</v>
      </c>
    </row>
    <row r="1344" spans="1:14" ht="62.5" outlineLevel="1" thickBot="1" x14ac:dyDescent="0.3">
      <c r="A1344" s="1488">
        <f t="shared" si="149"/>
        <v>34</v>
      </c>
      <c r="B1344" s="1492" t="str">
        <f t="shared" si="149"/>
        <v xml:space="preserve">Supply, Installation, Testing, Commissioning for complete solution and comprehensive protection and monitoring package along with retrofit of allied accessories for Generator Transformers for 3 X 500 MW Unit#5,6&amp;7 </v>
      </c>
      <c r="C1344" s="1488">
        <f t="shared" si="149"/>
        <v>0</v>
      </c>
      <c r="D1344" s="1413" t="str">
        <f t="shared" si="149"/>
        <v>-</v>
      </c>
      <c r="E1344" s="560">
        <f t="shared" si="149"/>
        <v>5.62</v>
      </c>
      <c r="F1344" s="1508">
        <f t="shared" si="147"/>
        <v>0</v>
      </c>
      <c r="G1344" s="1508">
        <f t="shared" si="148"/>
        <v>0</v>
      </c>
      <c r="H1344" s="1508">
        <f t="shared" si="150"/>
        <v>0</v>
      </c>
      <c r="I1344" s="1480">
        <v>0</v>
      </c>
      <c r="J1344" s="1480">
        <v>0</v>
      </c>
      <c r="K1344" s="1508"/>
      <c r="L1344" s="1508"/>
      <c r="M1344" s="1509">
        <f t="shared" si="151"/>
        <v>0</v>
      </c>
      <c r="N1344" s="1508">
        <f t="shared" si="152"/>
        <v>0</v>
      </c>
    </row>
    <row r="1345" spans="1:16" ht="15.5" thickBot="1" x14ac:dyDescent="0.3">
      <c r="A1345" s="1428"/>
      <c r="B1345" s="1429" t="str">
        <f>B675</f>
        <v>Total</v>
      </c>
      <c r="C1345" s="1430"/>
      <c r="D1345" s="1431"/>
      <c r="E1345" s="1507"/>
      <c r="F1345" s="1507">
        <f t="shared" ref="F1345:N1345" si="153">SUM(F680:F1344)</f>
        <v>1009.6398746255519</v>
      </c>
      <c r="G1345" s="1507">
        <f t="shared" si="153"/>
        <v>966.64874826255209</v>
      </c>
      <c r="H1345" s="1507">
        <f t="shared" si="153"/>
        <v>42.991126362999978</v>
      </c>
      <c r="I1345" s="1507">
        <f t="shared" si="153"/>
        <v>127.60395725800005</v>
      </c>
      <c r="J1345" s="1507">
        <f t="shared" si="153"/>
        <v>110.79418752000001</v>
      </c>
      <c r="K1345" s="1507">
        <f t="shared" si="153"/>
        <v>0</v>
      </c>
      <c r="L1345" s="1507">
        <f t="shared" si="153"/>
        <v>0</v>
      </c>
      <c r="M1345" s="1507">
        <f t="shared" si="153"/>
        <v>110.79418752000001</v>
      </c>
      <c r="N1345" s="1507">
        <f t="shared" si="153"/>
        <v>59.800896101000021</v>
      </c>
    </row>
    <row r="1347" spans="1:16" x14ac:dyDescent="0.25">
      <c r="A1347" s="1419"/>
      <c r="B1347" s="569" t="s">
        <v>508</v>
      </c>
      <c r="C1347" s="1474"/>
      <c r="D1347" s="1475"/>
      <c r="E1347" s="320"/>
      <c r="F1347" s="320"/>
      <c r="G1347" s="320"/>
      <c r="H1347" s="320"/>
      <c r="I1347" s="320"/>
      <c r="J1347" s="320"/>
      <c r="K1347" s="320"/>
      <c r="L1347" s="320"/>
      <c r="M1347" s="320"/>
      <c r="N1347" s="320"/>
    </row>
    <row r="1348" spans="1:16" outlineLevel="1" x14ac:dyDescent="0.25">
      <c r="A1348" s="131"/>
      <c r="B1348" s="1389" t="str">
        <f t="shared" ref="B1348:E1363" si="154">B678</f>
        <v>a) DPR Schemes</v>
      </c>
      <c r="C1348" s="166"/>
      <c r="D1348" s="166"/>
      <c r="E1348" s="320"/>
      <c r="F1348" s="320"/>
      <c r="G1348" s="320"/>
      <c r="H1348" s="320"/>
      <c r="I1348" s="320"/>
      <c r="J1348" s="320"/>
      <c r="K1348" s="320"/>
      <c r="L1348" s="320"/>
      <c r="M1348" s="320"/>
      <c r="N1348" s="320"/>
    </row>
    <row r="1349" spans="1:16" outlineLevel="1" x14ac:dyDescent="0.25">
      <c r="A1349" s="131"/>
      <c r="B1349" s="1476" t="str">
        <f t="shared" si="154"/>
        <v>(i) In Principally Approved By MERC</v>
      </c>
      <c r="C1349" s="166"/>
      <c r="D1349" s="166"/>
      <c r="E1349" s="320"/>
      <c r="F1349" s="320"/>
      <c r="G1349" s="320"/>
      <c r="H1349" s="320"/>
      <c r="I1349" s="320"/>
      <c r="J1349" s="320"/>
      <c r="K1349" s="320"/>
      <c r="L1349" s="320"/>
      <c r="M1349" s="320"/>
      <c r="N1349" s="320"/>
    </row>
    <row r="1350" spans="1:16" ht="15.5" outlineLevel="1" x14ac:dyDescent="0.25">
      <c r="A1350" s="1477">
        <f t="shared" ref="A1350:E1365" si="155">A680</f>
        <v>1</v>
      </c>
      <c r="B1350" s="1478" t="str">
        <f t="shared" si="154"/>
        <v>Boiler &amp; Turbine Improvement</v>
      </c>
      <c r="C1350" s="1477" t="str">
        <f t="shared" si="154"/>
        <v>MERC/CAPEX/20102011/01755</v>
      </c>
      <c r="D1350" s="1479">
        <f t="shared" si="154"/>
        <v>40507</v>
      </c>
      <c r="E1350" s="1383">
        <f t="shared" si="154"/>
        <v>181.82700000000003</v>
      </c>
      <c r="F1350" s="1480">
        <f t="shared" ref="F1350:F1413" si="156">F680+I680</f>
        <v>0</v>
      </c>
      <c r="G1350" s="1480">
        <f t="shared" ref="G1350:G1413" si="157">G680+M680</f>
        <v>0</v>
      </c>
      <c r="H1350" s="1480">
        <f>F1350-G1350</f>
        <v>0</v>
      </c>
      <c r="I1350" s="1480">
        <v>0</v>
      </c>
      <c r="J1350" s="1480">
        <v>0</v>
      </c>
      <c r="K1350" s="1480"/>
      <c r="L1350" s="1480"/>
      <c r="M1350" s="1480">
        <f>SUM(J1350:L1350)</f>
        <v>0</v>
      </c>
      <c r="N1350" s="1480">
        <f>H1350+I1350-M1350</f>
        <v>0</v>
      </c>
      <c r="O1350" s="1481">
        <f t="shared" ref="O1350:O1413" si="158">MAX(0,IF(M1350=0,0,IF(G1350+M1350&lt;E1350,M1350,E1350-G1350)))</f>
        <v>0</v>
      </c>
      <c r="P1350" s="1427">
        <f t="shared" ref="P1350:P1413" si="159">M1350-O1350</f>
        <v>0</v>
      </c>
    </row>
    <row r="1351" spans="1:16" ht="31" outlineLevel="1" x14ac:dyDescent="0.25">
      <c r="A1351" s="1482">
        <f t="shared" si="155"/>
        <v>1.1000000000000001</v>
      </c>
      <c r="B1351" s="1483" t="str">
        <f t="shared" si="154"/>
        <v>Installation of Sonic soot blowers for unit 5, 6 and  7 - Sonic soot blowers will be installed in LTSH and Eco zones (48 nos)</v>
      </c>
      <c r="C1351" s="1482" t="str">
        <f t="shared" si="154"/>
        <v>MERC/CAPEX/20102011/01755</v>
      </c>
      <c r="D1351" s="1390">
        <f t="shared" si="154"/>
        <v>40507</v>
      </c>
      <c r="E1351" s="560">
        <f t="shared" si="154"/>
        <v>1.06</v>
      </c>
      <c r="F1351" s="1508">
        <f t="shared" si="156"/>
        <v>0.44763439999999999</v>
      </c>
      <c r="G1351" s="1508">
        <f t="shared" si="157"/>
        <v>0.44763439999999999</v>
      </c>
      <c r="H1351" s="1508">
        <f t="shared" ref="H1351:H1414" si="160">F1351-G1351</f>
        <v>0</v>
      </c>
      <c r="I1351" s="1480">
        <v>0</v>
      </c>
      <c r="J1351" s="1480">
        <v>0</v>
      </c>
      <c r="K1351" s="1508"/>
      <c r="L1351" s="1508"/>
      <c r="M1351" s="1509">
        <f t="shared" ref="M1351:M1414" si="161">SUM(J1351:L1351)</f>
        <v>0</v>
      </c>
      <c r="N1351" s="1508">
        <f t="shared" ref="N1351:N1414" si="162">H1351+I1351-M1351</f>
        <v>0</v>
      </c>
      <c r="O1351" s="1481">
        <f t="shared" si="158"/>
        <v>0</v>
      </c>
      <c r="P1351" s="1427">
        <f t="shared" si="159"/>
        <v>0</v>
      </c>
    </row>
    <row r="1352" spans="1:16" ht="46.5" outlineLevel="1" x14ac:dyDescent="0.25">
      <c r="A1352" s="1482">
        <f t="shared" si="155"/>
        <v>1.2</v>
      </c>
      <c r="B1352" s="1483" t="str">
        <f t="shared" si="154"/>
        <v>Installation of smart soot blower system for unit 5 and 6 boiler (Smart cannons- 8 nos, sealing and cooling air fans – 8 nos, heat flux sensors- 32 nos, HP pump – 1 no</v>
      </c>
      <c r="C1352" s="1482" t="str">
        <f t="shared" si="154"/>
        <v>MERC/CAPEX/20102011/01755</v>
      </c>
      <c r="D1352" s="1390">
        <f t="shared" si="154"/>
        <v>40507</v>
      </c>
      <c r="E1352" s="560">
        <f t="shared" si="154"/>
        <v>11.8</v>
      </c>
      <c r="F1352" s="1508">
        <f t="shared" si="156"/>
        <v>0</v>
      </c>
      <c r="G1352" s="1508">
        <f t="shared" si="157"/>
        <v>0</v>
      </c>
      <c r="H1352" s="1508">
        <f t="shared" si="160"/>
        <v>0</v>
      </c>
      <c r="I1352" s="1480">
        <v>0</v>
      </c>
      <c r="J1352" s="1480">
        <v>0</v>
      </c>
      <c r="K1352" s="1508"/>
      <c r="L1352" s="1508"/>
      <c r="M1352" s="1509">
        <f t="shared" si="161"/>
        <v>0</v>
      </c>
      <c r="N1352" s="1508">
        <f t="shared" si="162"/>
        <v>0</v>
      </c>
      <c r="O1352" s="1481">
        <f t="shared" si="158"/>
        <v>0</v>
      </c>
      <c r="P1352" s="1427">
        <f t="shared" si="159"/>
        <v>0</v>
      </c>
    </row>
    <row r="1353" spans="1:16" ht="62" outlineLevel="1" x14ac:dyDescent="0.25">
      <c r="A1353" s="1482">
        <f t="shared" si="155"/>
        <v>1.3</v>
      </c>
      <c r="B1353" s="1483" t="str">
        <f t="shared" si="154"/>
        <v>Total Replacement of boiler skin and air duct insulation of unit 3 to 7 (Ribbed aluminium cladding – 2000 m2, GI cladding, U bonded rock wool mattresses 100 mm thick )(consists of two schemes)</v>
      </c>
      <c r="C1353" s="1482" t="str">
        <f t="shared" si="154"/>
        <v>MERC/CAPEX/20102011/01755</v>
      </c>
      <c r="D1353" s="1390">
        <f t="shared" si="154"/>
        <v>40507</v>
      </c>
      <c r="E1353" s="560">
        <f t="shared" si="154"/>
        <v>12.3</v>
      </c>
      <c r="F1353" s="1508">
        <f t="shared" si="156"/>
        <v>10.016599048</v>
      </c>
      <c r="G1353" s="1508">
        <f t="shared" si="157"/>
        <v>10.016599048000002</v>
      </c>
      <c r="H1353" s="1508">
        <f t="shared" si="160"/>
        <v>0</v>
      </c>
      <c r="I1353" s="1480">
        <v>0</v>
      </c>
      <c r="J1353" s="1480">
        <v>0</v>
      </c>
      <c r="K1353" s="1508"/>
      <c r="L1353" s="1508"/>
      <c r="M1353" s="1509">
        <f t="shared" si="161"/>
        <v>0</v>
      </c>
      <c r="N1353" s="1508">
        <f t="shared" si="162"/>
        <v>0</v>
      </c>
      <c r="O1353" s="1481">
        <f t="shared" si="158"/>
        <v>0</v>
      </c>
      <c r="P1353" s="1427">
        <f t="shared" si="159"/>
        <v>0</v>
      </c>
    </row>
    <row r="1354" spans="1:16" ht="77.5" outlineLevel="1" x14ac:dyDescent="0.25">
      <c r="A1354" s="1482">
        <f t="shared" si="155"/>
        <v>1.4</v>
      </c>
      <c r="B1354" s="1483" t="str">
        <f t="shared" si="154"/>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1354" s="1482" t="str">
        <f t="shared" si="154"/>
        <v>MERC/CAPEX/20102011/01755</v>
      </c>
      <c r="D1354" s="1390">
        <f t="shared" si="154"/>
        <v>40507</v>
      </c>
      <c r="E1354" s="560">
        <f t="shared" si="154"/>
        <v>7.52</v>
      </c>
      <c r="F1354" s="1508">
        <f t="shared" si="156"/>
        <v>3.8601695880000002</v>
      </c>
      <c r="G1354" s="1508">
        <f t="shared" si="157"/>
        <v>3.8601695880000002</v>
      </c>
      <c r="H1354" s="1508">
        <f t="shared" si="160"/>
        <v>0</v>
      </c>
      <c r="I1354" s="1480">
        <v>0</v>
      </c>
      <c r="J1354" s="1480">
        <v>0</v>
      </c>
      <c r="K1354" s="1508"/>
      <c r="L1354" s="1508"/>
      <c r="M1354" s="1509">
        <f t="shared" si="161"/>
        <v>0</v>
      </c>
      <c r="N1354" s="1508">
        <f t="shared" si="162"/>
        <v>0</v>
      </c>
      <c r="O1354" s="1481">
        <f t="shared" si="158"/>
        <v>0</v>
      </c>
      <c r="P1354" s="1427">
        <f t="shared" si="159"/>
        <v>0</v>
      </c>
    </row>
    <row r="1355" spans="1:16" ht="46.5" outlineLevel="1" x14ac:dyDescent="0.25">
      <c r="A1355" s="1482">
        <f t="shared" si="155"/>
        <v>1.5</v>
      </c>
      <c r="B1355" s="1483" t="str">
        <f t="shared" si="154"/>
        <v>Replacement of ECO coils with gas velocity profiles and erosion control devices for Unit 1 to 6 (U7 middle eco- 69 assemblies, U5&amp;6 middle and lower eco- 65 assemblies each)</v>
      </c>
      <c r="C1355" s="1482" t="str">
        <f t="shared" si="154"/>
        <v>MERC/CAPEX/20102011/01755</v>
      </c>
      <c r="D1355" s="1390">
        <f t="shared" si="154"/>
        <v>40507</v>
      </c>
      <c r="E1355" s="560">
        <f t="shared" si="154"/>
        <v>43.2</v>
      </c>
      <c r="F1355" s="1508">
        <f t="shared" si="156"/>
        <v>56.159367274552196</v>
      </c>
      <c r="G1355" s="1508">
        <f t="shared" si="157"/>
        <v>56.159367274552196</v>
      </c>
      <c r="H1355" s="1508">
        <f t="shared" si="160"/>
        <v>0</v>
      </c>
      <c r="I1355" s="1480">
        <v>0</v>
      </c>
      <c r="J1355" s="1480">
        <v>0</v>
      </c>
      <c r="K1355" s="1508"/>
      <c r="L1355" s="1508"/>
      <c r="M1355" s="1509">
        <f t="shared" si="161"/>
        <v>0</v>
      </c>
      <c r="N1355" s="1508">
        <f t="shared" si="162"/>
        <v>0</v>
      </c>
      <c r="O1355" s="1481">
        <f t="shared" si="158"/>
        <v>0</v>
      </c>
      <c r="P1355" s="1427">
        <f t="shared" si="159"/>
        <v>0</v>
      </c>
    </row>
    <row r="1356" spans="1:16" ht="46.5" outlineLevel="1" x14ac:dyDescent="0.25">
      <c r="A1356" s="1482">
        <f t="shared" si="155"/>
        <v>1.6</v>
      </c>
      <c r="B1356" s="1483" t="str">
        <f t="shared" si="154"/>
        <v>Replacement of LTSH coils with improved tube materials, gas velocity profiles and erosion control devices for unit 3 to 7 (U5&amp;6 LTSH terminal tubes – 58 assemblies)</v>
      </c>
      <c r="C1356" s="1482" t="str">
        <f t="shared" si="154"/>
        <v>MERC/CAPEX/20102011/01755</v>
      </c>
      <c r="D1356" s="1390">
        <f t="shared" si="154"/>
        <v>40507</v>
      </c>
      <c r="E1356" s="560">
        <f t="shared" si="154"/>
        <v>23.4</v>
      </c>
      <c r="F1356" s="1508">
        <f t="shared" si="156"/>
        <v>12.917271588999998</v>
      </c>
      <c r="G1356" s="1508">
        <f t="shared" si="157"/>
        <v>12.917271589</v>
      </c>
      <c r="H1356" s="1508">
        <f t="shared" si="160"/>
        <v>0</v>
      </c>
      <c r="I1356" s="1480">
        <v>0</v>
      </c>
      <c r="J1356" s="1480">
        <v>0</v>
      </c>
      <c r="K1356" s="1508"/>
      <c r="L1356" s="1508"/>
      <c r="M1356" s="1509">
        <f t="shared" si="161"/>
        <v>0</v>
      </c>
      <c r="N1356" s="1508">
        <f t="shared" si="162"/>
        <v>0</v>
      </c>
      <c r="O1356" s="1481">
        <f t="shared" si="158"/>
        <v>0</v>
      </c>
      <c r="P1356" s="1427">
        <f t="shared" si="159"/>
        <v>0</v>
      </c>
    </row>
    <row r="1357" spans="1:16" ht="31" outlineLevel="1" x14ac:dyDescent="0.25">
      <c r="A1357" s="1482">
        <f t="shared" si="155"/>
        <v>1.7</v>
      </c>
      <c r="B1357" s="1483" t="str">
        <f t="shared" si="154"/>
        <v>Replacement of RH platens for Unit 5 &amp; 6 (unit 5- 46 coils, unit 6- 28 coils)</v>
      </c>
      <c r="C1357" s="1482" t="str">
        <f t="shared" si="154"/>
        <v>MERC/CAPEX/20102011/01755</v>
      </c>
      <c r="D1357" s="1390">
        <f t="shared" si="154"/>
        <v>40507</v>
      </c>
      <c r="E1357" s="560">
        <f t="shared" si="154"/>
        <v>27.6</v>
      </c>
      <c r="F1357" s="1508">
        <f t="shared" si="156"/>
        <v>11.3681175</v>
      </c>
      <c r="G1357" s="1508">
        <f t="shared" si="157"/>
        <v>11.3681175</v>
      </c>
      <c r="H1357" s="1508">
        <f t="shared" si="160"/>
        <v>0</v>
      </c>
      <c r="I1357" s="1480">
        <v>0</v>
      </c>
      <c r="J1357" s="1480">
        <v>0</v>
      </c>
      <c r="K1357" s="1508"/>
      <c r="L1357" s="1508"/>
      <c r="M1357" s="1509">
        <f t="shared" si="161"/>
        <v>0</v>
      </c>
      <c r="N1357" s="1508">
        <f t="shared" si="162"/>
        <v>0</v>
      </c>
      <c r="O1357" s="1481">
        <f t="shared" si="158"/>
        <v>0</v>
      </c>
      <c r="P1357" s="1427">
        <f t="shared" si="159"/>
        <v>0</v>
      </c>
    </row>
    <row r="1358" spans="1:16" ht="46.5" outlineLevel="1" x14ac:dyDescent="0.25">
      <c r="A1358" s="1482">
        <f t="shared" si="155"/>
        <v>1.8</v>
      </c>
      <c r="B1358" s="1483" t="str">
        <f t="shared" si="154"/>
        <v>Gas proportioning dampers, flue gas, primary and secondary air dampers should be retrofitted with cold hardened material (SAH dampers- 4 nos)</v>
      </c>
      <c r="C1358" s="1482" t="str">
        <f t="shared" si="154"/>
        <v>MERC/CAPEX/20102011/01755</v>
      </c>
      <c r="D1358" s="1390">
        <f t="shared" si="154"/>
        <v>40507</v>
      </c>
      <c r="E1358" s="560">
        <f t="shared" si="154"/>
        <v>1.43</v>
      </c>
      <c r="F1358" s="1508">
        <f t="shared" si="156"/>
        <v>1.8769309999999999</v>
      </c>
      <c r="G1358" s="1508">
        <f t="shared" si="157"/>
        <v>1.8769309999999999</v>
      </c>
      <c r="H1358" s="1508">
        <f t="shared" si="160"/>
        <v>0</v>
      </c>
      <c r="I1358" s="1480">
        <v>0</v>
      </c>
      <c r="J1358" s="1480">
        <v>0</v>
      </c>
      <c r="K1358" s="1508"/>
      <c r="L1358" s="1508"/>
      <c r="M1358" s="1509">
        <f t="shared" si="161"/>
        <v>0</v>
      </c>
      <c r="N1358" s="1508">
        <f t="shared" si="162"/>
        <v>0</v>
      </c>
      <c r="O1358" s="1481">
        <f t="shared" si="158"/>
        <v>0</v>
      </c>
      <c r="P1358" s="1427">
        <f t="shared" si="159"/>
        <v>0</v>
      </c>
    </row>
    <row r="1359" spans="1:16" ht="93" outlineLevel="1" x14ac:dyDescent="0.25">
      <c r="A1359" s="1484">
        <f t="shared" si="155"/>
        <v>1.9</v>
      </c>
      <c r="B1359" s="1485" t="str">
        <f t="shared" si="154"/>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1359" s="1482" t="str">
        <f t="shared" si="154"/>
        <v>MERC/CAPEX/20102011/01755</v>
      </c>
      <c r="D1359" s="1390">
        <f t="shared" si="154"/>
        <v>40507</v>
      </c>
      <c r="E1359" s="560">
        <f t="shared" si="154"/>
        <v>3.5</v>
      </c>
      <c r="F1359" s="1508">
        <f t="shared" si="156"/>
        <v>4.2488259999999993</v>
      </c>
      <c r="G1359" s="1508">
        <f t="shared" si="157"/>
        <v>4.2488259999999993</v>
      </c>
      <c r="H1359" s="1508">
        <f t="shared" si="160"/>
        <v>0</v>
      </c>
      <c r="I1359" s="1480">
        <v>0</v>
      </c>
      <c r="J1359" s="1480">
        <v>0</v>
      </c>
      <c r="K1359" s="1508"/>
      <c r="L1359" s="1508"/>
      <c r="M1359" s="1509">
        <f t="shared" si="161"/>
        <v>0</v>
      </c>
      <c r="N1359" s="1508">
        <f t="shared" si="162"/>
        <v>0</v>
      </c>
      <c r="O1359" s="1481">
        <f t="shared" si="158"/>
        <v>0</v>
      </c>
      <c r="P1359" s="1427">
        <f t="shared" si="159"/>
        <v>0</v>
      </c>
    </row>
    <row r="1360" spans="1:16" ht="62" outlineLevel="1" x14ac:dyDescent="0.25">
      <c r="A1360" s="1482" t="str">
        <f t="shared" si="155"/>
        <v>1.10</v>
      </c>
      <c r="B1360" s="1483" t="str">
        <f t="shared" si="154"/>
        <v>Reducing the pressure drop across APH in Unit 5, 6 and 7 (CFD analysis and design modification in APH inlet duct, Manufacture and supply and erection of carbide overlay divertet plates – 600 m2</v>
      </c>
      <c r="C1360" s="1482" t="str">
        <f t="shared" si="154"/>
        <v>MERC/CAPEX/20102011/01755</v>
      </c>
      <c r="D1360" s="1390">
        <f t="shared" si="154"/>
        <v>40507</v>
      </c>
      <c r="E1360" s="560">
        <f t="shared" si="154"/>
        <v>2</v>
      </c>
      <c r="F1360" s="1508">
        <f t="shared" si="156"/>
        <v>2.0468280000000001</v>
      </c>
      <c r="G1360" s="1508">
        <f t="shared" si="157"/>
        <v>2.0468280000000001</v>
      </c>
      <c r="H1360" s="1508">
        <f t="shared" si="160"/>
        <v>0</v>
      </c>
      <c r="I1360" s="1480">
        <v>0</v>
      </c>
      <c r="J1360" s="1480">
        <v>0</v>
      </c>
      <c r="K1360" s="1508"/>
      <c r="L1360" s="1508"/>
      <c r="M1360" s="1509">
        <f t="shared" si="161"/>
        <v>0</v>
      </c>
      <c r="N1360" s="1508">
        <f t="shared" si="162"/>
        <v>0</v>
      </c>
      <c r="O1360" s="1481">
        <f t="shared" si="158"/>
        <v>0</v>
      </c>
      <c r="P1360" s="1427">
        <f t="shared" si="159"/>
        <v>0</v>
      </c>
    </row>
    <row r="1361" spans="1:16" ht="15.5" outlineLevel="1" x14ac:dyDescent="0.25">
      <c r="A1361" s="1482">
        <f t="shared" si="155"/>
        <v>1.1100000000000001</v>
      </c>
      <c r="B1361" s="1483" t="str">
        <f t="shared" si="154"/>
        <v>Reducing the pressure drop across ESP</v>
      </c>
      <c r="C1361" s="1482" t="str">
        <f t="shared" si="154"/>
        <v>MERC/CAPEX/20102011/01755</v>
      </c>
      <c r="D1361" s="1390">
        <f t="shared" si="154"/>
        <v>40507</v>
      </c>
      <c r="E1361" s="560">
        <f t="shared" si="154"/>
        <v>0</v>
      </c>
      <c r="F1361" s="1508">
        <f t="shared" si="156"/>
        <v>0</v>
      </c>
      <c r="G1361" s="1508">
        <f t="shared" si="157"/>
        <v>0</v>
      </c>
      <c r="H1361" s="1508">
        <f t="shared" si="160"/>
        <v>0</v>
      </c>
      <c r="I1361" s="1480">
        <v>0</v>
      </c>
      <c r="J1361" s="1480">
        <v>0</v>
      </c>
      <c r="K1361" s="1508"/>
      <c r="L1361" s="1508"/>
      <c r="M1361" s="1509">
        <f t="shared" si="161"/>
        <v>0</v>
      </c>
      <c r="N1361" s="1508">
        <f t="shared" si="162"/>
        <v>0</v>
      </c>
      <c r="O1361" s="1481">
        <f t="shared" si="158"/>
        <v>0</v>
      </c>
      <c r="P1361" s="1427">
        <f t="shared" si="159"/>
        <v>0</v>
      </c>
    </row>
    <row r="1362" spans="1:16" ht="31" outlineLevel="1" x14ac:dyDescent="0.25">
      <c r="A1362" s="1482">
        <f t="shared" si="155"/>
        <v>1.1200000000000001</v>
      </c>
      <c r="B1362" s="1483" t="str">
        <f t="shared" si="154"/>
        <v>Replacement  of CT fan blades from GRP to FRP and resizing the motor to 75 kw</v>
      </c>
      <c r="C1362" s="1482" t="str">
        <f t="shared" si="154"/>
        <v>MERC/CAPEX/20102011/01755</v>
      </c>
      <c r="D1362" s="1390">
        <f t="shared" si="154"/>
        <v>40507</v>
      </c>
      <c r="E1362" s="560">
        <f t="shared" si="154"/>
        <v>2.9129999999999998</v>
      </c>
      <c r="F1362" s="1508">
        <f t="shared" si="156"/>
        <v>1.6187437680000003</v>
      </c>
      <c r="G1362" s="1508">
        <f t="shared" si="157"/>
        <v>1.6187437679999999</v>
      </c>
      <c r="H1362" s="1508">
        <f t="shared" si="160"/>
        <v>0</v>
      </c>
      <c r="I1362" s="1480">
        <v>0</v>
      </c>
      <c r="J1362" s="1480">
        <v>0</v>
      </c>
      <c r="K1362" s="1508"/>
      <c r="L1362" s="1508"/>
      <c r="M1362" s="1509">
        <f t="shared" si="161"/>
        <v>0</v>
      </c>
      <c r="N1362" s="1508">
        <f t="shared" si="162"/>
        <v>0</v>
      </c>
      <c r="O1362" s="1481">
        <f t="shared" si="158"/>
        <v>0</v>
      </c>
      <c r="P1362" s="1427">
        <f t="shared" si="159"/>
        <v>0</v>
      </c>
    </row>
    <row r="1363" spans="1:16" ht="31" outlineLevel="1" x14ac:dyDescent="0.25">
      <c r="A1363" s="1482">
        <f t="shared" si="155"/>
        <v>1.1299999999999999</v>
      </c>
      <c r="B1363" s="1483" t="str">
        <f t="shared" si="154"/>
        <v>Improving the BFP efficiency by overhauling of pump and motors for unit 3 &amp;4</v>
      </c>
      <c r="C1363" s="1482" t="str">
        <f t="shared" si="154"/>
        <v>MERC/CAPEX/20102011/01755</v>
      </c>
      <c r="D1363" s="1390">
        <f t="shared" si="154"/>
        <v>40507</v>
      </c>
      <c r="E1363" s="560">
        <f t="shared" si="154"/>
        <v>15</v>
      </c>
      <c r="F1363" s="1508">
        <f t="shared" si="156"/>
        <v>14.851620102999998</v>
      </c>
      <c r="G1363" s="1508">
        <f t="shared" si="157"/>
        <v>14.851620102999998</v>
      </c>
      <c r="H1363" s="1508">
        <f t="shared" si="160"/>
        <v>0</v>
      </c>
      <c r="I1363" s="1480">
        <v>0</v>
      </c>
      <c r="J1363" s="1480">
        <v>0</v>
      </c>
      <c r="K1363" s="1508"/>
      <c r="L1363" s="1508"/>
      <c r="M1363" s="1509">
        <f t="shared" si="161"/>
        <v>0</v>
      </c>
      <c r="N1363" s="1508">
        <f t="shared" si="162"/>
        <v>0</v>
      </c>
      <c r="O1363" s="1481">
        <f t="shared" si="158"/>
        <v>0</v>
      </c>
      <c r="P1363" s="1427">
        <f t="shared" si="159"/>
        <v>0</v>
      </c>
    </row>
    <row r="1364" spans="1:16" ht="31" outlineLevel="1" x14ac:dyDescent="0.25">
      <c r="A1364" s="1482">
        <f t="shared" si="155"/>
        <v>1.1399999999999999</v>
      </c>
      <c r="B1364" s="1483" t="str">
        <f t="shared" si="155"/>
        <v>During the next capital overhaul, restoration of the steam paths through steam path audits for unit 1 to 7</v>
      </c>
      <c r="C1364" s="1482" t="str">
        <f t="shared" si="155"/>
        <v>MERC/CAPEX/20102011/01755</v>
      </c>
      <c r="D1364" s="1390">
        <f t="shared" si="155"/>
        <v>40507</v>
      </c>
      <c r="E1364" s="560">
        <f t="shared" si="155"/>
        <v>4.6040000000000001</v>
      </c>
      <c r="F1364" s="1508">
        <f t="shared" si="156"/>
        <v>8.9775599999999997E-2</v>
      </c>
      <c r="G1364" s="1508">
        <f t="shared" si="157"/>
        <v>8.9775599999999997E-2</v>
      </c>
      <c r="H1364" s="1508">
        <f t="shared" si="160"/>
        <v>0</v>
      </c>
      <c r="I1364" s="1480">
        <v>0</v>
      </c>
      <c r="J1364" s="1480">
        <v>0</v>
      </c>
      <c r="K1364" s="1508"/>
      <c r="L1364" s="1508"/>
      <c r="M1364" s="1509">
        <f t="shared" si="161"/>
        <v>0</v>
      </c>
      <c r="N1364" s="1508">
        <f t="shared" si="162"/>
        <v>0</v>
      </c>
      <c r="O1364" s="1481">
        <f t="shared" si="158"/>
        <v>0</v>
      </c>
      <c r="P1364" s="1427">
        <f t="shared" si="159"/>
        <v>0</v>
      </c>
    </row>
    <row r="1365" spans="1:16" ht="31" outlineLevel="1" x14ac:dyDescent="0.25">
      <c r="A1365" s="1482">
        <f t="shared" si="155"/>
        <v>1.1499999999999999</v>
      </c>
      <c r="B1365" s="1483" t="str">
        <f t="shared" si="155"/>
        <v>Continuous monitoring system for CO in the furnace and flue gas ducting zone for Unit 3 to 7</v>
      </c>
      <c r="C1365" s="1482" t="str">
        <f t="shared" si="155"/>
        <v>MERC/CAPEX/20102011/01755</v>
      </c>
      <c r="D1365" s="1390">
        <f t="shared" si="155"/>
        <v>40507</v>
      </c>
      <c r="E1365" s="560">
        <f t="shared" si="155"/>
        <v>10.5</v>
      </c>
      <c r="F1365" s="1508">
        <f t="shared" si="156"/>
        <v>0</v>
      </c>
      <c r="G1365" s="1508">
        <f t="shared" si="157"/>
        <v>0</v>
      </c>
      <c r="H1365" s="1508">
        <f t="shared" si="160"/>
        <v>0</v>
      </c>
      <c r="I1365" s="1480">
        <v>0</v>
      </c>
      <c r="J1365" s="1480">
        <v>0</v>
      </c>
      <c r="K1365" s="1508"/>
      <c r="L1365" s="1508"/>
      <c r="M1365" s="1509">
        <f t="shared" si="161"/>
        <v>0</v>
      </c>
      <c r="N1365" s="1508">
        <f t="shared" si="162"/>
        <v>0</v>
      </c>
      <c r="O1365" s="1481">
        <f t="shared" si="158"/>
        <v>0</v>
      </c>
      <c r="P1365" s="1427">
        <f t="shared" si="159"/>
        <v>0</v>
      </c>
    </row>
    <row r="1366" spans="1:16" ht="31" outlineLevel="1" x14ac:dyDescent="0.25">
      <c r="A1366" s="1482">
        <f t="shared" ref="A1366:E1381" si="163">A696</f>
        <v>1.1599999999999999</v>
      </c>
      <c r="B1366" s="1483" t="str">
        <f t="shared" si="163"/>
        <v>Oxygen measurement must be introduced at APH inlet and after ID fan outlet  for unit 1 to 7</v>
      </c>
      <c r="C1366" s="1482" t="str">
        <f t="shared" si="163"/>
        <v>MERC/CAPEX/20102011/01755</v>
      </c>
      <c r="D1366" s="1390">
        <f t="shared" si="163"/>
        <v>40507</v>
      </c>
      <c r="E1366" s="560">
        <f t="shared" si="163"/>
        <v>4.91</v>
      </c>
      <c r="F1366" s="1508">
        <f t="shared" si="156"/>
        <v>3.543640452</v>
      </c>
      <c r="G1366" s="1508">
        <f t="shared" si="157"/>
        <v>3.543640452</v>
      </c>
      <c r="H1366" s="1508">
        <f t="shared" si="160"/>
        <v>0</v>
      </c>
      <c r="I1366" s="1480">
        <v>0</v>
      </c>
      <c r="J1366" s="1480">
        <v>0</v>
      </c>
      <c r="K1366" s="1508"/>
      <c r="L1366" s="1508"/>
      <c r="M1366" s="1509">
        <f t="shared" si="161"/>
        <v>0</v>
      </c>
      <c r="N1366" s="1508">
        <f t="shared" si="162"/>
        <v>0</v>
      </c>
      <c r="O1366" s="1481">
        <f t="shared" si="158"/>
        <v>0</v>
      </c>
      <c r="P1366" s="1427">
        <f t="shared" si="159"/>
        <v>0</v>
      </c>
    </row>
    <row r="1367" spans="1:16" ht="15.5" outlineLevel="1" x14ac:dyDescent="0.25">
      <c r="A1367" s="1482">
        <f t="shared" si="163"/>
        <v>0</v>
      </c>
      <c r="B1367" s="1483" t="str">
        <f t="shared" si="163"/>
        <v>IDC</v>
      </c>
      <c r="C1367" s="1482" t="str">
        <f t="shared" si="163"/>
        <v>MERC/CAPEX/20102011/01755</v>
      </c>
      <c r="D1367" s="1390">
        <f t="shared" si="163"/>
        <v>40507</v>
      </c>
      <c r="E1367" s="560">
        <f t="shared" si="163"/>
        <v>10.09</v>
      </c>
      <c r="F1367" s="1508">
        <f t="shared" si="156"/>
        <v>0</v>
      </c>
      <c r="G1367" s="1508">
        <f t="shared" si="157"/>
        <v>0</v>
      </c>
      <c r="H1367" s="1508">
        <f t="shared" si="160"/>
        <v>0</v>
      </c>
      <c r="I1367" s="1480">
        <v>0</v>
      </c>
      <c r="J1367" s="1480">
        <v>0</v>
      </c>
      <c r="K1367" s="1508"/>
      <c r="L1367" s="1508"/>
      <c r="M1367" s="1509">
        <f t="shared" si="161"/>
        <v>0</v>
      </c>
      <c r="N1367" s="1508">
        <f t="shared" si="162"/>
        <v>0</v>
      </c>
      <c r="O1367" s="1481">
        <f t="shared" si="158"/>
        <v>0</v>
      </c>
      <c r="P1367" s="1427">
        <f t="shared" si="159"/>
        <v>0</v>
      </c>
    </row>
    <row r="1368" spans="1:16" ht="15.5" outlineLevel="1" x14ac:dyDescent="0.25">
      <c r="A1368" s="1477">
        <f t="shared" si="163"/>
        <v>2</v>
      </c>
      <c r="B1368" s="1478" t="str">
        <f t="shared" si="163"/>
        <v>Input source Measurement</v>
      </c>
      <c r="C1368" s="1486" t="str">
        <f t="shared" si="163"/>
        <v>MERC/CAPEX/20112012/00925</v>
      </c>
      <c r="D1368" s="1487">
        <f t="shared" si="163"/>
        <v>40730</v>
      </c>
      <c r="E1368" s="1383">
        <f t="shared" si="163"/>
        <v>20.990099999999998</v>
      </c>
      <c r="F1368" s="1480">
        <f t="shared" si="156"/>
        <v>0</v>
      </c>
      <c r="G1368" s="1480">
        <f t="shared" si="157"/>
        <v>0</v>
      </c>
      <c r="H1368" s="1480">
        <f t="shared" si="160"/>
        <v>0</v>
      </c>
      <c r="I1368" s="1480">
        <v>0</v>
      </c>
      <c r="J1368" s="1480">
        <v>0</v>
      </c>
      <c r="K1368" s="1480"/>
      <c r="L1368" s="1480"/>
      <c r="M1368" s="1480">
        <f t="shared" si="161"/>
        <v>0</v>
      </c>
      <c r="N1368" s="1480">
        <f t="shared" si="162"/>
        <v>0</v>
      </c>
      <c r="O1368" s="1481">
        <f t="shared" si="158"/>
        <v>0</v>
      </c>
      <c r="P1368" s="1427">
        <f t="shared" si="159"/>
        <v>0</v>
      </c>
    </row>
    <row r="1369" spans="1:16" ht="46.5" outlineLevel="1" x14ac:dyDescent="0.25">
      <c r="A1369" s="1482">
        <f t="shared" si="163"/>
        <v>2.1</v>
      </c>
      <c r="B1369" s="1483" t="str">
        <f t="shared" si="163"/>
        <v>Installation of Guided wave radar type level indicators for all fuel oil tanks of unit-1 to 7 DTFA 15 tanks and MTFA 15 tanks (total 30 tanks)</v>
      </c>
      <c r="C1369" s="1482" t="str">
        <f t="shared" si="163"/>
        <v>MERC/CAPEX/20112012/00925</v>
      </c>
      <c r="D1369" s="1390">
        <f t="shared" si="163"/>
        <v>40730</v>
      </c>
      <c r="E1369" s="560">
        <f t="shared" si="163"/>
        <v>1.0398000000000001</v>
      </c>
      <c r="F1369" s="1508">
        <f t="shared" si="156"/>
        <v>0.70700000000000007</v>
      </c>
      <c r="G1369" s="1508">
        <f t="shared" si="157"/>
        <v>0.70700000000000007</v>
      </c>
      <c r="H1369" s="1508">
        <f t="shared" si="160"/>
        <v>0</v>
      </c>
      <c r="I1369" s="1480">
        <v>0</v>
      </c>
      <c r="J1369" s="1480">
        <v>0</v>
      </c>
      <c r="K1369" s="1508"/>
      <c r="L1369" s="1508"/>
      <c r="M1369" s="1509">
        <f t="shared" si="161"/>
        <v>0</v>
      </c>
      <c r="N1369" s="1508">
        <f t="shared" si="162"/>
        <v>0</v>
      </c>
      <c r="O1369" s="1481">
        <f t="shared" si="158"/>
        <v>0</v>
      </c>
      <c r="P1369" s="1427">
        <f t="shared" si="159"/>
        <v>0</v>
      </c>
    </row>
    <row r="1370" spans="1:16" ht="31" outlineLevel="1" x14ac:dyDescent="0.25">
      <c r="A1370" s="1482">
        <f t="shared" si="163"/>
        <v>2.2000000000000002</v>
      </c>
      <c r="B1370" s="1483" t="str">
        <f t="shared" si="163"/>
        <v>Installation of mass based oil flow meters with provision for continuous digital transfer (20 transmitters)</v>
      </c>
      <c r="C1370" s="1482" t="str">
        <f t="shared" si="163"/>
        <v>MERC/CAPEX/20112012/00925</v>
      </c>
      <c r="D1370" s="1390">
        <f t="shared" si="163"/>
        <v>40730</v>
      </c>
      <c r="E1370" s="560">
        <f t="shared" si="163"/>
        <v>3.1379999999999999</v>
      </c>
      <c r="F1370" s="1508">
        <f t="shared" si="156"/>
        <v>0</v>
      </c>
      <c r="G1370" s="1508">
        <f t="shared" si="157"/>
        <v>0</v>
      </c>
      <c r="H1370" s="1508">
        <f t="shared" si="160"/>
        <v>0</v>
      </c>
      <c r="I1370" s="1480">
        <v>0</v>
      </c>
      <c r="J1370" s="1480">
        <v>0</v>
      </c>
      <c r="K1370" s="1508"/>
      <c r="L1370" s="1508"/>
      <c r="M1370" s="1509">
        <f t="shared" si="161"/>
        <v>0</v>
      </c>
      <c r="N1370" s="1508">
        <f t="shared" si="162"/>
        <v>0</v>
      </c>
      <c r="O1370" s="1481">
        <f t="shared" si="158"/>
        <v>0</v>
      </c>
      <c r="P1370" s="1427">
        <f t="shared" si="159"/>
        <v>0</v>
      </c>
    </row>
    <row r="1371" spans="1:16" ht="31" outlineLevel="1" x14ac:dyDescent="0.25">
      <c r="A1371" s="1482">
        <f t="shared" si="163"/>
        <v>2.2999999999999998</v>
      </c>
      <c r="B1371" s="1483" t="str">
        <f t="shared" si="163"/>
        <v>Installation of 54 Nos. of ultrasonic type Flow measurement transmitters for water consumption monitoring</v>
      </c>
      <c r="C1371" s="1482" t="str">
        <f t="shared" si="163"/>
        <v>MERC/CAPEX/20112012/00925</v>
      </c>
      <c r="D1371" s="1390">
        <f t="shared" si="163"/>
        <v>40730</v>
      </c>
      <c r="E1371" s="560">
        <f t="shared" si="163"/>
        <v>3.0657000000000001</v>
      </c>
      <c r="F1371" s="1508">
        <f t="shared" si="156"/>
        <v>1.7642598999999999</v>
      </c>
      <c r="G1371" s="1508">
        <f t="shared" si="157"/>
        <v>1.7642598999999999</v>
      </c>
      <c r="H1371" s="1508">
        <f t="shared" si="160"/>
        <v>0</v>
      </c>
      <c r="I1371" s="1480">
        <v>0</v>
      </c>
      <c r="J1371" s="1480">
        <v>0</v>
      </c>
      <c r="K1371" s="1508"/>
      <c r="L1371" s="1508"/>
      <c r="M1371" s="1509">
        <f t="shared" si="161"/>
        <v>0</v>
      </c>
      <c r="N1371" s="1508">
        <f t="shared" si="162"/>
        <v>0</v>
      </c>
      <c r="O1371" s="1481">
        <f t="shared" si="158"/>
        <v>0</v>
      </c>
      <c r="P1371" s="1427">
        <f t="shared" si="159"/>
        <v>0</v>
      </c>
    </row>
    <row r="1372" spans="1:16" ht="31" outlineLevel="1" x14ac:dyDescent="0.25">
      <c r="A1372" s="1482">
        <f t="shared" si="163"/>
        <v>2.4</v>
      </c>
      <c r="B1372" s="1483" t="str">
        <f t="shared" si="163"/>
        <v>Trivector Meters for Auxiliary power measurement of GT (7 Nos).</v>
      </c>
      <c r="C1372" s="1488" t="str">
        <f t="shared" si="163"/>
        <v>MERC/CAPEX/20112012/00925</v>
      </c>
      <c r="D1372" s="1413">
        <f t="shared" si="163"/>
        <v>40730</v>
      </c>
      <c r="E1372" s="560">
        <f t="shared" si="163"/>
        <v>2.1100000000000001E-2</v>
      </c>
      <c r="F1372" s="1508">
        <f t="shared" si="156"/>
        <v>0</v>
      </c>
      <c r="G1372" s="1508">
        <f t="shared" si="157"/>
        <v>0</v>
      </c>
      <c r="H1372" s="1508">
        <f t="shared" si="160"/>
        <v>0</v>
      </c>
      <c r="I1372" s="1480">
        <v>0</v>
      </c>
      <c r="J1372" s="1480">
        <v>0</v>
      </c>
      <c r="K1372" s="1508"/>
      <c r="L1372" s="1508"/>
      <c r="M1372" s="1509">
        <f t="shared" si="161"/>
        <v>0</v>
      </c>
      <c r="N1372" s="1508">
        <f t="shared" si="162"/>
        <v>0</v>
      </c>
      <c r="O1372" s="1481">
        <f t="shared" si="158"/>
        <v>0</v>
      </c>
      <c r="P1372" s="1427">
        <f t="shared" si="159"/>
        <v>0</v>
      </c>
    </row>
    <row r="1373" spans="1:16" ht="31" outlineLevel="1" x14ac:dyDescent="0.25">
      <c r="A1373" s="1482">
        <f t="shared" si="163"/>
        <v>2.5</v>
      </c>
      <c r="B1373" s="1483" t="str">
        <f t="shared" si="163"/>
        <v>Standard Meters for Auxiliary power measurement for sp. Consumption of Auxiliary transformer, Limbs and auxiliaries.</v>
      </c>
      <c r="C1373" s="1482" t="str">
        <f t="shared" si="163"/>
        <v>MERC/CAPEX/20112012/00925</v>
      </c>
      <c r="D1373" s="1390">
        <f t="shared" si="163"/>
        <v>40730</v>
      </c>
      <c r="E1373" s="560">
        <f t="shared" si="163"/>
        <v>0.49540000000000001</v>
      </c>
      <c r="F1373" s="1508">
        <f t="shared" si="156"/>
        <v>0.29783999999999999</v>
      </c>
      <c r="G1373" s="1508">
        <f t="shared" si="157"/>
        <v>0.29783999999999999</v>
      </c>
      <c r="H1373" s="1508">
        <f t="shared" si="160"/>
        <v>0</v>
      </c>
      <c r="I1373" s="1480">
        <v>0</v>
      </c>
      <c r="J1373" s="1480">
        <v>0</v>
      </c>
      <c r="K1373" s="1508"/>
      <c r="L1373" s="1508"/>
      <c r="M1373" s="1509">
        <f t="shared" si="161"/>
        <v>0</v>
      </c>
      <c r="N1373" s="1508">
        <f t="shared" si="162"/>
        <v>0</v>
      </c>
      <c r="O1373" s="1481">
        <f t="shared" si="158"/>
        <v>0</v>
      </c>
      <c r="P1373" s="1427">
        <f t="shared" si="159"/>
        <v>0</v>
      </c>
    </row>
    <row r="1374" spans="1:16" ht="15.5" outlineLevel="1" x14ac:dyDescent="0.25">
      <c r="A1374" s="1482">
        <f t="shared" si="163"/>
        <v>2.6</v>
      </c>
      <c r="B1374" s="1483" t="str">
        <f t="shared" si="163"/>
        <v>Belt weighers (28 Nos.)</v>
      </c>
      <c r="C1374" s="1482" t="str">
        <f t="shared" si="163"/>
        <v>MERC/CAPEX/20112012/00925</v>
      </c>
      <c r="D1374" s="1390">
        <f t="shared" si="163"/>
        <v>40730</v>
      </c>
      <c r="E1374" s="560">
        <f t="shared" si="163"/>
        <v>3.3195999999999999</v>
      </c>
      <c r="F1374" s="1508">
        <f t="shared" si="156"/>
        <v>0</v>
      </c>
      <c r="G1374" s="1508">
        <f t="shared" si="157"/>
        <v>0</v>
      </c>
      <c r="H1374" s="1508">
        <f t="shared" si="160"/>
        <v>0</v>
      </c>
      <c r="I1374" s="1480">
        <v>0</v>
      </c>
      <c r="J1374" s="1480">
        <v>0</v>
      </c>
      <c r="K1374" s="1508"/>
      <c r="L1374" s="1508"/>
      <c r="M1374" s="1509">
        <f t="shared" si="161"/>
        <v>0</v>
      </c>
      <c r="N1374" s="1508">
        <f t="shared" si="162"/>
        <v>0</v>
      </c>
      <c r="O1374" s="1481">
        <f t="shared" si="158"/>
        <v>0</v>
      </c>
      <c r="P1374" s="1427">
        <f t="shared" si="159"/>
        <v>0</v>
      </c>
    </row>
    <row r="1375" spans="1:16" ht="15.5" outlineLevel="1" x14ac:dyDescent="0.25">
      <c r="A1375" s="1482">
        <f t="shared" si="163"/>
        <v>2.7</v>
      </c>
      <c r="B1375" s="1483" t="str">
        <f t="shared" si="163"/>
        <v>In motion weigh bridge (10 Nos).</v>
      </c>
      <c r="C1375" s="1482" t="str">
        <f t="shared" si="163"/>
        <v>MERC/CAPEX/20112012/00925</v>
      </c>
      <c r="D1375" s="1390">
        <f t="shared" si="163"/>
        <v>40730</v>
      </c>
      <c r="E1375" s="560">
        <f t="shared" si="163"/>
        <v>4.5396000000000001</v>
      </c>
      <c r="F1375" s="1508">
        <f t="shared" si="156"/>
        <v>0.19084200000000001</v>
      </c>
      <c r="G1375" s="1508">
        <f t="shared" si="157"/>
        <v>0.19084200000000001</v>
      </c>
      <c r="H1375" s="1508">
        <f t="shared" si="160"/>
        <v>0</v>
      </c>
      <c r="I1375" s="1480">
        <v>0</v>
      </c>
      <c r="J1375" s="1480">
        <v>0</v>
      </c>
      <c r="K1375" s="1508"/>
      <c r="L1375" s="1508"/>
      <c r="M1375" s="1509">
        <f t="shared" si="161"/>
        <v>0</v>
      </c>
      <c r="N1375" s="1508">
        <f t="shared" si="162"/>
        <v>0</v>
      </c>
      <c r="O1375" s="1481">
        <f t="shared" si="158"/>
        <v>0</v>
      </c>
      <c r="P1375" s="1427">
        <f t="shared" si="159"/>
        <v>0</v>
      </c>
    </row>
    <row r="1376" spans="1:16" ht="15.5" outlineLevel="1" x14ac:dyDescent="0.25">
      <c r="A1376" s="1482">
        <f t="shared" si="163"/>
        <v>2.8</v>
      </c>
      <c r="B1376" s="1483" t="str">
        <f t="shared" si="163"/>
        <v>Bunker level transmitters (50 Nos.)</v>
      </c>
      <c r="C1376" s="1482" t="str">
        <f t="shared" si="163"/>
        <v>MERC/CAPEX/20112012/00925</v>
      </c>
      <c r="D1376" s="1390">
        <f t="shared" si="163"/>
        <v>40730</v>
      </c>
      <c r="E1376" s="560">
        <f t="shared" si="163"/>
        <v>2.5285000000000002</v>
      </c>
      <c r="F1376" s="1508">
        <f t="shared" si="156"/>
        <v>0</v>
      </c>
      <c r="G1376" s="1508">
        <f t="shared" si="157"/>
        <v>0</v>
      </c>
      <c r="H1376" s="1508">
        <f t="shared" si="160"/>
        <v>0</v>
      </c>
      <c r="I1376" s="1480">
        <v>0</v>
      </c>
      <c r="J1376" s="1480">
        <v>0</v>
      </c>
      <c r="K1376" s="1508"/>
      <c r="L1376" s="1508"/>
      <c r="M1376" s="1509">
        <f t="shared" si="161"/>
        <v>0</v>
      </c>
      <c r="N1376" s="1508">
        <f t="shared" si="162"/>
        <v>0</v>
      </c>
      <c r="O1376" s="1481">
        <f t="shared" si="158"/>
        <v>0</v>
      </c>
      <c r="P1376" s="1427">
        <f t="shared" si="159"/>
        <v>0</v>
      </c>
    </row>
    <row r="1377" spans="1:16" ht="15.5" outlineLevel="1" x14ac:dyDescent="0.25">
      <c r="A1377" s="1482">
        <f t="shared" si="163"/>
        <v>2.9</v>
      </c>
      <c r="B1377" s="1483" t="str">
        <f t="shared" si="163"/>
        <v>Flap Gate sensors (120 Nos.)</v>
      </c>
      <c r="C1377" s="1482" t="str">
        <f t="shared" si="163"/>
        <v>MERC/CAPEX/20112012/00925</v>
      </c>
      <c r="D1377" s="1390">
        <f t="shared" si="163"/>
        <v>40730</v>
      </c>
      <c r="E1377" s="560">
        <f t="shared" si="163"/>
        <v>0.1225</v>
      </c>
      <c r="F1377" s="1508">
        <f t="shared" si="156"/>
        <v>0</v>
      </c>
      <c r="G1377" s="1508">
        <f t="shared" si="157"/>
        <v>0</v>
      </c>
      <c r="H1377" s="1508">
        <f t="shared" si="160"/>
        <v>0</v>
      </c>
      <c r="I1377" s="1480">
        <v>0</v>
      </c>
      <c r="J1377" s="1480">
        <v>0</v>
      </c>
      <c r="K1377" s="1508"/>
      <c r="L1377" s="1508"/>
      <c r="M1377" s="1509">
        <f t="shared" si="161"/>
        <v>0</v>
      </c>
      <c r="N1377" s="1508">
        <f t="shared" si="162"/>
        <v>0</v>
      </c>
      <c r="O1377" s="1481">
        <f t="shared" si="158"/>
        <v>0</v>
      </c>
      <c r="P1377" s="1427">
        <f t="shared" si="159"/>
        <v>0</v>
      </c>
    </row>
    <row r="1378" spans="1:16" ht="15.5" outlineLevel="1" x14ac:dyDescent="0.25">
      <c r="A1378" s="1482" t="str">
        <f t="shared" si="163"/>
        <v>2.10</v>
      </c>
      <c r="B1378" s="1483" t="str">
        <f t="shared" si="163"/>
        <v>PLC (20 Nos)</v>
      </c>
      <c r="C1378" s="1482" t="str">
        <f t="shared" si="163"/>
        <v>MERC/CAPEX/20112012/00925</v>
      </c>
      <c r="D1378" s="1390">
        <f t="shared" si="163"/>
        <v>40730</v>
      </c>
      <c r="E1378" s="560">
        <f t="shared" si="163"/>
        <v>0.5333</v>
      </c>
      <c r="F1378" s="1508">
        <f t="shared" si="156"/>
        <v>0</v>
      </c>
      <c r="G1378" s="1508">
        <f t="shared" si="157"/>
        <v>0</v>
      </c>
      <c r="H1378" s="1508">
        <f t="shared" si="160"/>
        <v>0</v>
      </c>
      <c r="I1378" s="1480">
        <v>0</v>
      </c>
      <c r="J1378" s="1480">
        <v>0</v>
      </c>
      <c r="K1378" s="1508"/>
      <c r="L1378" s="1508"/>
      <c r="M1378" s="1509">
        <f t="shared" si="161"/>
        <v>0</v>
      </c>
      <c r="N1378" s="1508">
        <f t="shared" si="162"/>
        <v>0</v>
      </c>
      <c r="O1378" s="1481">
        <f t="shared" si="158"/>
        <v>0</v>
      </c>
      <c r="P1378" s="1427">
        <f t="shared" si="159"/>
        <v>0</v>
      </c>
    </row>
    <row r="1379" spans="1:16" ht="15.5" outlineLevel="1" x14ac:dyDescent="0.25">
      <c r="A1379" s="1482">
        <f t="shared" si="163"/>
        <v>2.11</v>
      </c>
      <c r="B1379" s="1483" t="str">
        <f t="shared" si="163"/>
        <v>Cables (20,000 meters estimated)</v>
      </c>
      <c r="C1379" s="1482" t="str">
        <f t="shared" si="163"/>
        <v>MERC/CAPEX/20112012/00925</v>
      </c>
      <c r="D1379" s="1390">
        <f t="shared" si="163"/>
        <v>40730</v>
      </c>
      <c r="E1379" s="560">
        <f t="shared" si="163"/>
        <v>1.0216000000000001</v>
      </c>
      <c r="F1379" s="1508">
        <f t="shared" si="156"/>
        <v>0</v>
      </c>
      <c r="G1379" s="1508">
        <f t="shared" si="157"/>
        <v>0</v>
      </c>
      <c r="H1379" s="1508">
        <f t="shared" si="160"/>
        <v>0</v>
      </c>
      <c r="I1379" s="1480">
        <v>0</v>
      </c>
      <c r="J1379" s="1480">
        <v>0</v>
      </c>
      <c r="K1379" s="1508"/>
      <c r="L1379" s="1508"/>
      <c r="M1379" s="1509">
        <f t="shared" si="161"/>
        <v>0</v>
      </c>
      <c r="N1379" s="1508">
        <f t="shared" si="162"/>
        <v>0</v>
      </c>
      <c r="O1379" s="1481">
        <f t="shared" si="158"/>
        <v>0</v>
      </c>
      <c r="P1379" s="1427">
        <f t="shared" si="159"/>
        <v>0</v>
      </c>
    </row>
    <row r="1380" spans="1:16" ht="15.5" outlineLevel="1" x14ac:dyDescent="0.25">
      <c r="A1380" s="1482">
        <f t="shared" si="163"/>
        <v>0</v>
      </c>
      <c r="B1380" s="1483" t="str">
        <f t="shared" si="163"/>
        <v>IDC</v>
      </c>
      <c r="C1380" s="1482" t="str">
        <f t="shared" si="163"/>
        <v>MERC/CAPEX/20112012/00925</v>
      </c>
      <c r="D1380" s="1390">
        <f t="shared" si="163"/>
        <v>40730</v>
      </c>
      <c r="E1380" s="560">
        <f t="shared" si="163"/>
        <v>1.165</v>
      </c>
      <c r="F1380" s="1508">
        <f t="shared" si="156"/>
        <v>0</v>
      </c>
      <c r="G1380" s="1508">
        <f t="shared" si="157"/>
        <v>0</v>
      </c>
      <c r="H1380" s="1508">
        <f t="shared" si="160"/>
        <v>0</v>
      </c>
      <c r="I1380" s="1480">
        <v>0</v>
      </c>
      <c r="J1380" s="1480">
        <v>0</v>
      </c>
      <c r="K1380" s="1508"/>
      <c r="L1380" s="1508"/>
      <c r="M1380" s="1509">
        <f t="shared" si="161"/>
        <v>0</v>
      </c>
      <c r="N1380" s="1508">
        <f t="shared" si="162"/>
        <v>0</v>
      </c>
      <c r="O1380" s="1481">
        <f t="shared" si="158"/>
        <v>0</v>
      </c>
      <c r="P1380" s="1427">
        <f t="shared" si="159"/>
        <v>0</v>
      </c>
    </row>
    <row r="1381" spans="1:16" ht="15.5" outlineLevel="1" x14ac:dyDescent="0.25">
      <c r="A1381" s="1489">
        <f t="shared" si="163"/>
        <v>3</v>
      </c>
      <c r="B1381" s="1490" t="str">
        <f t="shared" si="163"/>
        <v>ESP Restoration/Refurbishment</v>
      </c>
      <c r="C1381" s="1477" t="str">
        <f t="shared" si="163"/>
        <v>MERC/CAPEX/20112012/00939</v>
      </c>
      <c r="D1381" s="1479">
        <f t="shared" si="163"/>
        <v>40731</v>
      </c>
      <c r="E1381" s="1383">
        <f t="shared" si="163"/>
        <v>53.989999999999995</v>
      </c>
      <c r="F1381" s="1480">
        <f t="shared" si="156"/>
        <v>0</v>
      </c>
      <c r="G1381" s="1480">
        <f t="shared" si="157"/>
        <v>0</v>
      </c>
      <c r="H1381" s="1480">
        <f t="shared" si="160"/>
        <v>0</v>
      </c>
      <c r="I1381" s="1480">
        <v>0</v>
      </c>
      <c r="J1381" s="1480">
        <v>0</v>
      </c>
      <c r="K1381" s="1480"/>
      <c r="L1381" s="1480"/>
      <c r="M1381" s="1480">
        <f t="shared" si="161"/>
        <v>0</v>
      </c>
      <c r="N1381" s="1480">
        <f t="shared" si="162"/>
        <v>0</v>
      </c>
      <c r="O1381" s="1481">
        <f t="shared" si="158"/>
        <v>0</v>
      </c>
      <c r="P1381" s="1427">
        <f t="shared" si="159"/>
        <v>0</v>
      </c>
    </row>
    <row r="1382" spans="1:16" ht="31" outlineLevel="1" x14ac:dyDescent="0.25">
      <c r="A1382" s="1484">
        <f t="shared" ref="A1382:E1397" si="164">A712</f>
        <v>3.1</v>
      </c>
      <c r="B1382" s="1485" t="str">
        <f t="shared" si="164"/>
        <v xml:space="preserve">Replacement of all emitting coils and collecting plates of U#5 ESP of all four pass of field 2nd, 3rd &amp; 4th </v>
      </c>
      <c r="C1382" s="1482" t="str">
        <f t="shared" si="164"/>
        <v>MERC/CAPEX/20112012/00939</v>
      </c>
      <c r="D1382" s="1390">
        <f t="shared" si="164"/>
        <v>40731</v>
      </c>
      <c r="E1382" s="560">
        <f t="shared" si="164"/>
        <v>11.7</v>
      </c>
      <c r="F1382" s="1508">
        <f t="shared" si="156"/>
        <v>8.6202149769999998</v>
      </c>
      <c r="G1382" s="1508">
        <f t="shared" si="157"/>
        <v>8.6202149769999998</v>
      </c>
      <c r="H1382" s="1508">
        <f t="shared" si="160"/>
        <v>0</v>
      </c>
      <c r="I1382" s="1480">
        <v>0</v>
      </c>
      <c r="J1382" s="1480">
        <v>0</v>
      </c>
      <c r="K1382" s="1508"/>
      <c r="L1382" s="1508"/>
      <c r="M1382" s="1509">
        <f t="shared" si="161"/>
        <v>0</v>
      </c>
      <c r="N1382" s="1508">
        <f t="shared" si="162"/>
        <v>0</v>
      </c>
      <c r="O1382" s="1481">
        <f t="shared" si="158"/>
        <v>0</v>
      </c>
      <c r="P1382" s="1427">
        <f t="shared" si="159"/>
        <v>0</v>
      </c>
    </row>
    <row r="1383" spans="1:16" ht="31" outlineLevel="1" x14ac:dyDescent="0.25">
      <c r="A1383" s="1484">
        <f t="shared" si="164"/>
        <v>3.2</v>
      </c>
      <c r="B1383" s="1485" t="str">
        <f t="shared" si="164"/>
        <v>Replacement of all emitting coils and collecting plates of all four pass of field 1 to 4, U#6 ESP</v>
      </c>
      <c r="C1383" s="1482" t="str">
        <f t="shared" si="164"/>
        <v>MERC/CAPEX/20112012/00939</v>
      </c>
      <c r="D1383" s="1390">
        <f t="shared" si="164"/>
        <v>40731</v>
      </c>
      <c r="E1383" s="560">
        <f t="shared" si="164"/>
        <v>15.6</v>
      </c>
      <c r="F1383" s="1508">
        <f t="shared" si="156"/>
        <v>6.5552518650000007</v>
      </c>
      <c r="G1383" s="1508">
        <f t="shared" si="157"/>
        <v>6.5552518650000007</v>
      </c>
      <c r="H1383" s="1508">
        <f t="shared" si="160"/>
        <v>0</v>
      </c>
      <c r="I1383" s="1480">
        <v>0</v>
      </c>
      <c r="J1383" s="1480">
        <v>0</v>
      </c>
      <c r="K1383" s="1508"/>
      <c r="L1383" s="1508"/>
      <c r="M1383" s="1509">
        <f t="shared" si="161"/>
        <v>0</v>
      </c>
      <c r="N1383" s="1508">
        <f t="shared" si="162"/>
        <v>0</v>
      </c>
      <c r="O1383" s="1481">
        <f t="shared" si="158"/>
        <v>0</v>
      </c>
      <c r="P1383" s="1427">
        <f t="shared" si="159"/>
        <v>0</v>
      </c>
    </row>
    <row r="1384" spans="1:16" ht="31" outlineLevel="1" x14ac:dyDescent="0.25">
      <c r="A1384" s="1484">
        <f t="shared" si="164"/>
        <v>3.3</v>
      </c>
      <c r="B1384" s="1485" t="str">
        <f t="shared" si="164"/>
        <v xml:space="preserve">Replacement of all emitting coils and collecting plates of all four pass of field 1 to 4, U#7 ESP </v>
      </c>
      <c r="C1384" s="1482" t="str">
        <f t="shared" si="164"/>
        <v>MERC/CAPEX/20112012/00939</v>
      </c>
      <c r="D1384" s="1390">
        <f t="shared" si="164"/>
        <v>40731</v>
      </c>
      <c r="E1384" s="560">
        <f t="shared" si="164"/>
        <v>16.02</v>
      </c>
      <c r="F1384" s="1508">
        <f t="shared" si="156"/>
        <v>5.1898557250000001</v>
      </c>
      <c r="G1384" s="1508">
        <f t="shared" si="157"/>
        <v>5.0852789210000005</v>
      </c>
      <c r="H1384" s="1508">
        <f t="shared" si="160"/>
        <v>0.10457680399999969</v>
      </c>
      <c r="I1384" s="1480">
        <v>0</v>
      </c>
      <c r="J1384" s="1480">
        <v>0</v>
      </c>
      <c r="K1384" s="1508"/>
      <c r="L1384" s="1508"/>
      <c r="M1384" s="1509">
        <f t="shared" si="161"/>
        <v>0</v>
      </c>
      <c r="N1384" s="1508">
        <f t="shared" si="162"/>
        <v>0.10457680399999969</v>
      </c>
      <c r="O1384" s="1481">
        <f t="shared" si="158"/>
        <v>0</v>
      </c>
      <c r="P1384" s="1427">
        <f t="shared" si="159"/>
        <v>0</v>
      </c>
    </row>
    <row r="1385" spans="1:16" ht="31" outlineLevel="1" x14ac:dyDescent="0.25">
      <c r="A1385" s="1484">
        <f t="shared" si="164"/>
        <v>3.4</v>
      </c>
      <c r="B1385" s="1485" t="str">
        <f t="shared" si="164"/>
        <v>Ash evacuation system on existing dummy hoppers of Flue gas duct from APH outlet to ESP inlet of U#5 &amp; 6.</v>
      </c>
      <c r="C1385" s="1482" t="str">
        <f t="shared" si="164"/>
        <v>MERC/CAPEX/20112012/00939</v>
      </c>
      <c r="D1385" s="1390">
        <f t="shared" si="164"/>
        <v>40731</v>
      </c>
      <c r="E1385" s="560">
        <f t="shared" si="164"/>
        <v>0.95</v>
      </c>
      <c r="F1385" s="1508">
        <f t="shared" si="156"/>
        <v>0.92199359999999997</v>
      </c>
      <c r="G1385" s="1508">
        <f t="shared" si="157"/>
        <v>0.92199359999999997</v>
      </c>
      <c r="H1385" s="1508">
        <f t="shared" si="160"/>
        <v>0</v>
      </c>
      <c r="I1385" s="1480">
        <v>0</v>
      </c>
      <c r="J1385" s="1480">
        <v>0</v>
      </c>
      <c r="K1385" s="1508"/>
      <c r="L1385" s="1508"/>
      <c r="M1385" s="1509">
        <f t="shared" si="161"/>
        <v>0</v>
      </c>
      <c r="N1385" s="1508">
        <f t="shared" si="162"/>
        <v>0</v>
      </c>
      <c r="O1385" s="1481">
        <f t="shared" si="158"/>
        <v>0</v>
      </c>
      <c r="P1385" s="1427">
        <f t="shared" si="159"/>
        <v>0</v>
      </c>
    </row>
    <row r="1386" spans="1:16" ht="15.5" outlineLevel="1" x14ac:dyDescent="0.25">
      <c r="A1386" s="1484">
        <f t="shared" si="164"/>
        <v>0</v>
      </c>
      <c r="B1386" s="1485" t="str">
        <f t="shared" si="164"/>
        <v>IDC</v>
      </c>
      <c r="C1386" s="1482" t="str">
        <f t="shared" si="164"/>
        <v>MERC/CAPEX/20112012/00939</v>
      </c>
      <c r="D1386" s="1390">
        <f t="shared" si="164"/>
        <v>40731</v>
      </c>
      <c r="E1386" s="560">
        <f t="shared" si="164"/>
        <v>9.7200000000000006</v>
      </c>
      <c r="F1386" s="1508">
        <f t="shared" si="156"/>
        <v>3.8649799999999998E-2</v>
      </c>
      <c r="G1386" s="1508">
        <f t="shared" si="157"/>
        <v>3.8649799999999998E-2</v>
      </c>
      <c r="H1386" s="1508">
        <f t="shared" si="160"/>
        <v>0</v>
      </c>
      <c r="I1386" s="1480">
        <v>0</v>
      </c>
      <c r="J1386" s="1480">
        <v>0</v>
      </c>
      <c r="K1386" s="1508"/>
      <c r="L1386" s="1508"/>
      <c r="M1386" s="1509">
        <f t="shared" si="161"/>
        <v>0</v>
      </c>
      <c r="N1386" s="1508">
        <f t="shared" si="162"/>
        <v>0</v>
      </c>
      <c r="O1386" s="1481">
        <f t="shared" si="158"/>
        <v>0</v>
      </c>
      <c r="P1386" s="1427">
        <f t="shared" si="159"/>
        <v>0</v>
      </c>
    </row>
    <row r="1387" spans="1:16" ht="15.5" outlineLevel="1" x14ac:dyDescent="0.25">
      <c r="A1387" s="1486">
        <f t="shared" si="164"/>
        <v>4</v>
      </c>
      <c r="B1387" s="1491" t="str">
        <f t="shared" si="164"/>
        <v>Control &amp; Instrumentation up-gradation of CSTPS Unit 5 &amp; 6</v>
      </c>
      <c r="C1387" s="1486" t="str">
        <f t="shared" si="164"/>
        <v>MERC/CAPEX/20112012/01908</v>
      </c>
      <c r="D1387" s="1487">
        <f t="shared" si="164"/>
        <v>40850</v>
      </c>
      <c r="E1387" s="1383">
        <f t="shared" si="164"/>
        <v>57.7</v>
      </c>
      <c r="F1387" s="1480">
        <f t="shared" si="156"/>
        <v>0</v>
      </c>
      <c r="G1387" s="1480">
        <f t="shared" si="157"/>
        <v>0</v>
      </c>
      <c r="H1387" s="1480">
        <f t="shared" si="160"/>
        <v>0</v>
      </c>
      <c r="I1387" s="1480">
        <v>0</v>
      </c>
      <c r="J1387" s="1480">
        <v>0</v>
      </c>
      <c r="K1387" s="1480"/>
      <c r="L1387" s="1480"/>
      <c r="M1387" s="1480">
        <f t="shared" si="161"/>
        <v>0</v>
      </c>
      <c r="N1387" s="1480">
        <f t="shared" si="162"/>
        <v>0</v>
      </c>
      <c r="O1387" s="1481">
        <f t="shared" si="158"/>
        <v>0</v>
      </c>
      <c r="P1387" s="1427">
        <f t="shared" si="159"/>
        <v>0</v>
      </c>
    </row>
    <row r="1388" spans="1:16" ht="15.5" outlineLevel="1" x14ac:dyDescent="0.25">
      <c r="A1388" s="1488">
        <f t="shared" si="164"/>
        <v>4.0999999999999996</v>
      </c>
      <c r="B1388" s="1492" t="str">
        <f t="shared" si="164"/>
        <v>Control &amp; Instrumentation up-gradation of CSTPS Unit 5</v>
      </c>
      <c r="C1388" s="1488" t="str">
        <f t="shared" si="164"/>
        <v>MERC/CAPEX/20112012/01908</v>
      </c>
      <c r="D1388" s="1413">
        <f t="shared" si="164"/>
        <v>40850</v>
      </c>
      <c r="E1388" s="560">
        <f t="shared" si="164"/>
        <v>26.1</v>
      </c>
      <c r="F1388" s="1508">
        <f t="shared" si="156"/>
        <v>0</v>
      </c>
      <c r="G1388" s="1508">
        <f t="shared" si="157"/>
        <v>0</v>
      </c>
      <c r="H1388" s="1508">
        <f t="shared" si="160"/>
        <v>0</v>
      </c>
      <c r="I1388" s="1480">
        <v>0</v>
      </c>
      <c r="J1388" s="1480">
        <v>0</v>
      </c>
      <c r="K1388" s="1508"/>
      <c r="L1388" s="1508"/>
      <c r="M1388" s="1509">
        <f t="shared" si="161"/>
        <v>0</v>
      </c>
      <c r="N1388" s="1508">
        <f t="shared" si="162"/>
        <v>0</v>
      </c>
      <c r="O1388" s="1481">
        <f t="shared" si="158"/>
        <v>0</v>
      </c>
      <c r="P1388" s="1427">
        <f t="shared" si="159"/>
        <v>0</v>
      </c>
    </row>
    <row r="1389" spans="1:16" ht="15.5" outlineLevel="1" x14ac:dyDescent="0.25">
      <c r="A1389" s="1488">
        <f t="shared" si="164"/>
        <v>4.2</v>
      </c>
      <c r="B1389" s="1492" t="str">
        <f t="shared" si="164"/>
        <v>Control &amp; Instrumentation up-gradation of CSTPS Unit 6</v>
      </c>
      <c r="C1389" s="1488" t="str">
        <f t="shared" si="164"/>
        <v>MERC/CAPEX/20112012/01908</v>
      </c>
      <c r="D1389" s="1413">
        <f t="shared" si="164"/>
        <v>40850</v>
      </c>
      <c r="E1389" s="560">
        <f t="shared" si="164"/>
        <v>26.1</v>
      </c>
      <c r="F1389" s="1508">
        <f t="shared" si="156"/>
        <v>0</v>
      </c>
      <c r="G1389" s="1508">
        <f t="shared" si="157"/>
        <v>0</v>
      </c>
      <c r="H1389" s="1508">
        <f t="shared" si="160"/>
        <v>0</v>
      </c>
      <c r="I1389" s="1480">
        <v>26.1</v>
      </c>
      <c r="J1389" s="1480">
        <v>26.1</v>
      </c>
      <c r="K1389" s="1508"/>
      <c r="L1389" s="1508"/>
      <c r="M1389" s="1509">
        <f t="shared" si="161"/>
        <v>26.1</v>
      </c>
      <c r="N1389" s="1508">
        <f t="shared" si="162"/>
        <v>0</v>
      </c>
      <c r="O1389" s="1481">
        <f t="shared" si="158"/>
        <v>26.1</v>
      </c>
      <c r="P1389" s="1427">
        <f t="shared" si="159"/>
        <v>0</v>
      </c>
    </row>
    <row r="1390" spans="1:16" ht="15.5" outlineLevel="1" x14ac:dyDescent="0.25">
      <c r="A1390" s="1484">
        <f t="shared" si="164"/>
        <v>0</v>
      </c>
      <c r="B1390" s="1485" t="str">
        <f t="shared" si="164"/>
        <v>IDC</v>
      </c>
      <c r="C1390" s="1482" t="str">
        <f t="shared" si="164"/>
        <v>MERC/CAPEX/20112012/01908</v>
      </c>
      <c r="D1390" s="1390">
        <f t="shared" si="164"/>
        <v>40850</v>
      </c>
      <c r="E1390" s="560">
        <f t="shared" si="164"/>
        <v>5.5</v>
      </c>
      <c r="F1390" s="1508">
        <f t="shared" si="156"/>
        <v>0</v>
      </c>
      <c r="G1390" s="1508">
        <f t="shared" si="157"/>
        <v>0</v>
      </c>
      <c r="H1390" s="1508">
        <f t="shared" si="160"/>
        <v>0</v>
      </c>
      <c r="I1390" s="1480">
        <v>0</v>
      </c>
      <c r="J1390" s="1480">
        <v>0</v>
      </c>
      <c r="K1390" s="1508"/>
      <c r="L1390" s="1508"/>
      <c r="M1390" s="1509">
        <f t="shared" si="161"/>
        <v>0</v>
      </c>
      <c r="N1390" s="1508">
        <f t="shared" si="162"/>
        <v>0</v>
      </c>
      <c r="O1390" s="1481">
        <f t="shared" si="158"/>
        <v>0</v>
      </c>
      <c r="P1390" s="1427">
        <f t="shared" si="159"/>
        <v>0</v>
      </c>
    </row>
    <row r="1391" spans="1:16" ht="31" outlineLevel="1" x14ac:dyDescent="0.25">
      <c r="A1391" s="1477">
        <f t="shared" si="164"/>
        <v>5</v>
      </c>
      <c r="B1391" s="1478" t="str">
        <f t="shared" si="164"/>
        <v>Alternate water supply Scheme for Chandrapur T.P.S as a crisis management scheme</v>
      </c>
      <c r="C1391" s="1477" t="str">
        <f t="shared" si="164"/>
        <v>MERC/CAPEX/20112012/02443</v>
      </c>
      <c r="D1391" s="1479">
        <f t="shared" si="164"/>
        <v>40911</v>
      </c>
      <c r="E1391" s="1383">
        <f t="shared" si="164"/>
        <v>229.4</v>
      </c>
      <c r="F1391" s="1480">
        <f t="shared" si="156"/>
        <v>0</v>
      </c>
      <c r="G1391" s="1480">
        <f t="shared" si="157"/>
        <v>0</v>
      </c>
      <c r="H1391" s="1480">
        <f t="shared" si="160"/>
        <v>0</v>
      </c>
      <c r="I1391" s="1480">
        <v>0</v>
      </c>
      <c r="J1391" s="1480">
        <v>0</v>
      </c>
      <c r="K1391" s="1480"/>
      <c r="L1391" s="1480"/>
      <c r="M1391" s="1480">
        <f t="shared" si="161"/>
        <v>0</v>
      </c>
      <c r="N1391" s="1480">
        <f t="shared" si="162"/>
        <v>0</v>
      </c>
      <c r="O1391" s="1481">
        <f t="shared" si="158"/>
        <v>0</v>
      </c>
      <c r="P1391" s="1427">
        <f t="shared" si="159"/>
        <v>0</v>
      </c>
    </row>
    <row r="1392" spans="1:16" ht="31" outlineLevel="1" x14ac:dyDescent="0.25">
      <c r="A1392" s="1482">
        <f t="shared" si="164"/>
        <v>5.0999999999999996</v>
      </c>
      <c r="B1392" s="1483" t="str">
        <f t="shared" si="164"/>
        <v>Alternate water supply Scheme for Chandrapur T.P.S as a crisis management scheme</v>
      </c>
      <c r="C1392" s="1482" t="str">
        <f t="shared" si="164"/>
        <v>MERC/CAPEX/20112012/02443</v>
      </c>
      <c r="D1392" s="1390">
        <f t="shared" si="164"/>
        <v>40911</v>
      </c>
      <c r="E1392" s="560">
        <f t="shared" si="164"/>
        <v>229.4</v>
      </c>
      <c r="F1392" s="1508">
        <f t="shared" si="156"/>
        <v>0</v>
      </c>
      <c r="G1392" s="1508">
        <f t="shared" si="157"/>
        <v>0</v>
      </c>
      <c r="H1392" s="1508">
        <f t="shared" si="160"/>
        <v>0</v>
      </c>
      <c r="I1392" s="1480">
        <v>0</v>
      </c>
      <c r="J1392" s="1480">
        <v>0</v>
      </c>
      <c r="K1392" s="1508"/>
      <c r="L1392" s="1508"/>
      <c r="M1392" s="1509">
        <f t="shared" si="161"/>
        <v>0</v>
      </c>
      <c r="N1392" s="1508">
        <f t="shared" si="162"/>
        <v>0</v>
      </c>
      <c r="O1392" s="1481">
        <f t="shared" si="158"/>
        <v>0</v>
      </c>
      <c r="P1392" s="1427">
        <f t="shared" si="159"/>
        <v>0</v>
      </c>
    </row>
    <row r="1393" spans="1:16" ht="62" outlineLevel="1" x14ac:dyDescent="0.25">
      <c r="A1393" s="1486">
        <f t="shared" si="164"/>
        <v>6</v>
      </c>
      <c r="B1393" s="1491" t="str">
        <f t="shared" si="164"/>
        <v>Complete Track Renovation (CTR) work of rail track from Chandrapur Vivekanand Nagar railway stations to exchange yard and bulb line of BOBR at CSTPS siding maintained by railway authority</v>
      </c>
      <c r="C1393" s="1486" t="str">
        <f t="shared" si="164"/>
        <v>MERC/CAPEX/20122013/00818</v>
      </c>
      <c r="D1393" s="1487">
        <f t="shared" si="164"/>
        <v>41100</v>
      </c>
      <c r="E1393" s="1383">
        <f t="shared" si="164"/>
        <v>16.77</v>
      </c>
      <c r="F1393" s="1480">
        <f t="shared" si="156"/>
        <v>0</v>
      </c>
      <c r="G1393" s="1480">
        <f t="shared" si="157"/>
        <v>0</v>
      </c>
      <c r="H1393" s="1480">
        <f t="shared" si="160"/>
        <v>0</v>
      </c>
      <c r="I1393" s="1480">
        <v>0</v>
      </c>
      <c r="J1393" s="1480">
        <v>0</v>
      </c>
      <c r="K1393" s="1480"/>
      <c r="L1393" s="1480"/>
      <c r="M1393" s="1480">
        <f t="shared" si="161"/>
        <v>0</v>
      </c>
      <c r="N1393" s="1480">
        <f t="shared" si="162"/>
        <v>0</v>
      </c>
      <c r="O1393" s="1481">
        <f t="shared" si="158"/>
        <v>0</v>
      </c>
      <c r="P1393" s="1427">
        <f t="shared" si="159"/>
        <v>0</v>
      </c>
    </row>
    <row r="1394" spans="1:16" ht="62" outlineLevel="1" x14ac:dyDescent="0.25">
      <c r="A1394" s="1488">
        <f t="shared" si="164"/>
        <v>6.1</v>
      </c>
      <c r="B1394" s="1492" t="str">
        <f t="shared" si="164"/>
        <v>Complete Track Renovation (CTR) work of rail track from Chandrapur Vivekanand Nagar railway stations to exchange yard and bulb line of BOBR at CSTPS siding maintained by railway authority</v>
      </c>
      <c r="C1394" s="1488" t="str">
        <f t="shared" si="164"/>
        <v>MERC/CAPEX/20122013/00818</v>
      </c>
      <c r="D1394" s="1413">
        <f t="shared" si="164"/>
        <v>41100</v>
      </c>
      <c r="E1394" s="560">
        <f t="shared" si="164"/>
        <v>16.77</v>
      </c>
      <c r="F1394" s="1508">
        <f t="shared" si="156"/>
        <v>5.4266784059999997</v>
      </c>
      <c r="G1394" s="1508">
        <f t="shared" si="157"/>
        <v>4.0159468</v>
      </c>
      <c r="H1394" s="1508">
        <f t="shared" si="160"/>
        <v>1.4107316059999997</v>
      </c>
      <c r="I1394" s="1480">
        <v>0</v>
      </c>
      <c r="J1394" s="1480">
        <v>0</v>
      </c>
      <c r="K1394" s="1508"/>
      <c r="L1394" s="1508"/>
      <c r="M1394" s="1509">
        <f t="shared" si="161"/>
        <v>0</v>
      </c>
      <c r="N1394" s="1508">
        <f t="shared" si="162"/>
        <v>1.4107316059999997</v>
      </c>
      <c r="O1394" s="1481">
        <f t="shared" si="158"/>
        <v>0</v>
      </c>
      <c r="P1394" s="1427">
        <f t="shared" si="159"/>
        <v>0</v>
      </c>
    </row>
    <row r="1395" spans="1:16" ht="31" outlineLevel="1" x14ac:dyDescent="0.25">
      <c r="A1395" s="1477">
        <f t="shared" si="164"/>
        <v>7</v>
      </c>
      <c r="B1395" s="1478" t="str">
        <f t="shared" si="164"/>
        <v>Construction of additional IDCT to improve performance of existing condenser cooling system of CSTPS Unit 5 &amp; 6</v>
      </c>
      <c r="C1395" s="1477" t="str">
        <f t="shared" si="164"/>
        <v>MERC/CAPEX/20122013/00827</v>
      </c>
      <c r="D1395" s="1479">
        <f t="shared" si="164"/>
        <v>41100</v>
      </c>
      <c r="E1395" s="1383">
        <f t="shared" si="164"/>
        <v>29.28</v>
      </c>
      <c r="F1395" s="1480">
        <f t="shared" si="156"/>
        <v>0</v>
      </c>
      <c r="G1395" s="1480">
        <f t="shared" si="157"/>
        <v>0</v>
      </c>
      <c r="H1395" s="1480">
        <f t="shared" si="160"/>
        <v>0</v>
      </c>
      <c r="I1395" s="1480">
        <v>0</v>
      </c>
      <c r="J1395" s="1480">
        <v>0</v>
      </c>
      <c r="K1395" s="1480"/>
      <c r="L1395" s="1480"/>
      <c r="M1395" s="1480">
        <f t="shared" si="161"/>
        <v>0</v>
      </c>
      <c r="N1395" s="1480">
        <f t="shared" si="162"/>
        <v>0</v>
      </c>
      <c r="O1395" s="1481">
        <f t="shared" si="158"/>
        <v>0</v>
      </c>
      <c r="P1395" s="1427">
        <f t="shared" si="159"/>
        <v>0</v>
      </c>
    </row>
    <row r="1396" spans="1:16" ht="15.5" outlineLevel="1" x14ac:dyDescent="0.25">
      <c r="A1396" s="1482">
        <f t="shared" si="164"/>
        <v>7.1</v>
      </c>
      <c r="B1396" s="1483" t="str">
        <f t="shared" si="164"/>
        <v>Construction for U#5</v>
      </c>
      <c r="C1396" s="1482" t="str">
        <f t="shared" si="164"/>
        <v>MERC/CAPEX/20122013/00827</v>
      </c>
      <c r="D1396" s="1390">
        <f t="shared" si="164"/>
        <v>41100</v>
      </c>
      <c r="E1396" s="560">
        <f t="shared" si="164"/>
        <v>11.2318</v>
      </c>
      <c r="F1396" s="1508">
        <f t="shared" si="156"/>
        <v>19.378237200000001</v>
      </c>
      <c r="G1396" s="1508">
        <f t="shared" si="157"/>
        <v>19.378237200000001</v>
      </c>
      <c r="H1396" s="1508">
        <f t="shared" si="160"/>
        <v>0</v>
      </c>
      <c r="I1396" s="1480">
        <v>0</v>
      </c>
      <c r="J1396" s="1480">
        <v>0</v>
      </c>
      <c r="K1396" s="1508"/>
      <c r="L1396" s="1508"/>
      <c r="M1396" s="1509">
        <f t="shared" si="161"/>
        <v>0</v>
      </c>
      <c r="N1396" s="1508">
        <f t="shared" si="162"/>
        <v>0</v>
      </c>
      <c r="O1396" s="1481">
        <f t="shared" si="158"/>
        <v>0</v>
      </c>
      <c r="P1396" s="1427">
        <f t="shared" si="159"/>
        <v>0</v>
      </c>
    </row>
    <row r="1397" spans="1:16" ht="15.5" outlineLevel="1" x14ac:dyDescent="0.25">
      <c r="A1397" s="1482">
        <f t="shared" si="164"/>
        <v>7.2</v>
      </c>
      <c r="B1397" s="1483" t="str">
        <f t="shared" si="164"/>
        <v>Construction for U#6</v>
      </c>
      <c r="C1397" s="1482" t="str">
        <f t="shared" si="164"/>
        <v>MERC/CAPEX/20122013/00827</v>
      </c>
      <c r="D1397" s="1390">
        <f t="shared" si="164"/>
        <v>41100</v>
      </c>
      <c r="E1397" s="560">
        <f t="shared" si="164"/>
        <v>14.968</v>
      </c>
      <c r="F1397" s="1508">
        <f t="shared" si="156"/>
        <v>23.1898537</v>
      </c>
      <c r="G1397" s="1508">
        <f t="shared" si="157"/>
        <v>23.1898537</v>
      </c>
      <c r="H1397" s="1508">
        <f t="shared" si="160"/>
        <v>0</v>
      </c>
      <c r="I1397" s="1480">
        <v>0</v>
      </c>
      <c r="J1397" s="1480">
        <v>0</v>
      </c>
      <c r="K1397" s="1508"/>
      <c r="L1397" s="1508"/>
      <c r="M1397" s="1509">
        <f t="shared" si="161"/>
        <v>0</v>
      </c>
      <c r="N1397" s="1508">
        <f t="shared" si="162"/>
        <v>0</v>
      </c>
      <c r="O1397" s="1481">
        <f t="shared" si="158"/>
        <v>0</v>
      </c>
      <c r="P1397" s="1427">
        <f t="shared" si="159"/>
        <v>0</v>
      </c>
    </row>
    <row r="1398" spans="1:16" ht="15.5" outlineLevel="1" x14ac:dyDescent="0.25">
      <c r="A1398" s="1482">
        <f t="shared" ref="A1398:E1413" si="165">A728</f>
        <v>0</v>
      </c>
      <c r="B1398" s="1483" t="str">
        <f t="shared" si="165"/>
        <v>IDC</v>
      </c>
      <c r="C1398" s="1482" t="str">
        <f t="shared" si="165"/>
        <v>MERC/CAPEX/20122013/00827</v>
      </c>
      <c r="D1398" s="1390">
        <f t="shared" si="165"/>
        <v>41100</v>
      </c>
      <c r="E1398" s="560">
        <f t="shared" si="165"/>
        <v>3.0802000000000014</v>
      </c>
      <c r="F1398" s="1508">
        <f t="shared" si="156"/>
        <v>0</v>
      </c>
      <c r="G1398" s="1508">
        <f t="shared" si="157"/>
        <v>0</v>
      </c>
      <c r="H1398" s="1508">
        <f t="shared" si="160"/>
        <v>0</v>
      </c>
      <c r="I1398" s="1480">
        <v>0</v>
      </c>
      <c r="J1398" s="1480">
        <v>0</v>
      </c>
      <c r="K1398" s="1508"/>
      <c r="L1398" s="1508"/>
      <c r="M1398" s="1509">
        <f t="shared" si="161"/>
        <v>0</v>
      </c>
      <c r="N1398" s="1508">
        <f t="shared" si="162"/>
        <v>0</v>
      </c>
      <c r="O1398" s="1481">
        <f t="shared" si="158"/>
        <v>0</v>
      </c>
      <c r="P1398" s="1427">
        <f t="shared" si="159"/>
        <v>0</v>
      </c>
    </row>
    <row r="1399" spans="1:16" ht="15.5" outlineLevel="1" x14ac:dyDescent="0.25">
      <c r="A1399" s="1477">
        <f t="shared" si="165"/>
        <v>8</v>
      </c>
      <c r="B1399" s="1478" t="str">
        <f t="shared" si="165"/>
        <v>Upgradation of IDCT Unit 5</v>
      </c>
      <c r="C1399" s="1477" t="str">
        <f t="shared" si="165"/>
        <v>MERC/CAPEX/20122013/00914</v>
      </c>
      <c r="D1399" s="1479">
        <f t="shared" si="165"/>
        <v>41108</v>
      </c>
      <c r="E1399" s="1383">
        <f t="shared" si="165"/>
        <v>18.2</v>
      </c>
      <c r="F1399" s="1480">
        <f t="shared" si="156"/>
        <v>0</v>
      </c>
      <c r="G1399" s="1480">
        <f t="shared" si="157"/>
        <v>0</v>
      </c>
      <c r="H1399" s="1480">
        <f t="shared" si="160"/>
        <v>0</v>
      </c>
      <c r="I1399" s="1480">
        <v>0</v>
      </c>
      <c r="J1399" s="1480">
        <v>0</v>
      </c>
      <c r="K1399" s="1480"/>
      <c r="L1399" s="1480"/>
      <c r="M1399" s="1480">
        <f t="shared" si="161"/>
        <v>0</v>
      </c>
      <c r="N1399" s="1480">
        <f t="shared" si="162"/>
        <v>0</v>
      </c>
      <c r="O1399" s="1481">
        <f t="shared" si="158"/>
        <v>0</v>
      </c>
      <c r="P1399" s="1427">
        <f t="shared" si="159"/>
        <v>0</v>
      </c>
    </row>
    <row r="1400" spans="1:16" ht="15.5" outlineLevel="1" x14ac:dyDescent="0.25">
      <c r="A1400" s="1482">
        <f t="shared" si="165"/>
        <v>8.1</v>
      </c>
      <c r="B1400" s="1483" t="str">
        <f t="shared" si="165"/>
        <v>Cooling Tower IDCT for Unit-5A</v>
      </c>
      <c r="C1400" s="1482" t="str">
        <f t="shared" si="165"/>
        <v>MERC/CAPEX/20122013/00914</v>
      </c>
      <c r="D1400" s="1390">
        <f t="shared" si="165"/>
        <v>41108</v>
      </c>
      <c r="E1400" s="560">
        <f t="shared" si="165"/>
        <v>8.5</v>
      </c>
      <c r="F1400" s="1508">
        <f t="shared" si="156"/>
        <v>0</v>
      </c>
      <c r="G1400" s="1508">
        <f t="shared" si="157"/>
        <v>0</v>
      </c>
      <c r="H1400" s="1508">
        <f t="shared" si="160"/>
        <v>0</v>
      </c>
      <c r="I1400" s="1480">
        <v>0</v>
      </c>
      <c r="J1400" s="1480">
        <v>0</v>
      </c>
      <c r="K1400" s="1508"/>
      <c r="L1400" s="1508"/>
      <c r="M1400" s="1509">
        <f t="shared" si="161"/>
        <v>0</v>
      </c>
      <c r="N1400" s="1508">
        <f t="shared" si="162"/>
        <v>0</v>
      </c>
      <c r="O1400" s="1481">
        <f t="shared" si="158"/>
        <v>0</v>
      </c>
      <c r="P1400" s="1427">
        <f t="shared" si="159"/>
        <v>0</v>
      </c>
    </row>
    <row r="1401" spans="1:16" ht="15.5" outlineLevel="1" x14ac:dyDescent="0.25">
      <c r="A1401" s="1482">
        <f t="shared" si="165"/>
        <v>8.1999999999999993</v>
      </c>
      <c r="B1401" s="1483" t="str">
        <f t="shared" si="165"/>
        <v>Cooling Tower IDCT for Unit-5B</v>
      </c>
      <c r="C1401" s="1482" t="str">
        <f t="shared" si="165"/>
        <v>MERC/CAPEX/20122013/00914</v>
      </c>
      <c r="D1401" s="1390">
        <f t="shared" si="165"/>
        <v>41108</v>
      </c>
      <c r="E1401" s="560">
        <f t="shared" si="165"/>
        <v>8.5</v>
      </c>
      <c r="F1401" s="1508">
        <f t="shared" si="156"/>
        <v>0</v>
      </c>
      <c r="G1401" s="1508">
        <f t="shared" si="157"/>
        <v>0</v>
      </c>
      <c r="H1401" s="1508">
        <f t="shared" si="160"/>
        <v>0</v>
      </c>
      <c r="I1401" s="1480">
        <v>0</v>
      </c>
      <c r="J1401" s="1480">
        <v>0</v>
      </c>
      <c r="K1401" s="1508"/>
      <c r="L1401" s="1508"/>
      <c r="M1401" s="1509">
        <f t="shared" si="161"/>
        <v>0</v>
      </c>
      <c r="N1401" s="1508">
        <f t="shared" si="162"/>
        <v>0</v>
      </c>
      <c r="O1401" s="1481">
        <f t="shared" si="158"/>
        <v>0</v>
      </c>
      <c r="P1401" s="1427">
        <f t="shared" si="159"/>
        <v>0</v>
      </c>
    </row>
    <row r="1402" spans="1:16" ht="15.5" outlineLevel="1" x14ac:dyDescent="0.25">
      <c r="A1402" s="1482">
        <f t="shared" si="165"/>
        <v>0</v>
      </c>
      <c r="B1402" s="1483" t="str">
        <f t="shared" si="165"/>
        <v>IDC</v>
      </c>
      <c r="C1402" s="1482" t="str">
        <f t="shared" si="165"/>
        <v>MERC/CAPEX/20122013/00914</v>
      </c>
      <c r="D1402" s="1390">
        <f t="shared" si="165"/>
        <v>41108</v>
      </c>
      <c r="E1402" s="560">
        <f t="shared" si="165"/>
        <v>1.2</v>
      </c>
      <c r="F1402" s="1508">
        <f t="shared" si="156"/>
        <v>0</v>
      </c>
      <c r="G1402" s="1508">
        <f t="shared" si="157"/>
        <v>0</v>
      </c>
      <c r="H1402" s="1508">
        <f t="shared" si="160"/>
        <v>0</v>
      </c>
      <c r="I1402" s="1480">
        <v>0</v>
      </c>
      <c r="J1402" s="1480">
        <v>0</v>
      </c>
      <c r="K1402" s="1508"/>
      <c r="L1402" s="1508"/>
      <c r="M1402" s="1509">
        <f t="shared" si="161"/>
        <v>0</v>
      </c>
      <c r="N1402" s="1508">
        <f t="shared" si="162"/>
        <v>0</v>
      </c>
      <c r="O1402" s="1481">
        <f t="shared" si="158"/>
        <v>0</v>
      </c>
      <c r="P1402" s="1427">
        <f t="shared" si="159"/>
        <v>0</v>
      </c>
    </row>
    <row r="1403" spans="1:16" ht="31" outlineLevel="1" x14ac:dyDescent="0.25">
      <c r="A1403" s="1477">
        <f t="shared" si="165"/>
        <v>9</v>
      </c>
      <c r="B1403" s="1478" t="str">
        <f t="shared" si="165"/>
        <v>LPT Retrofit at Chandrapur TPS Units 3 &amp; 4</v>
      </c>
      <c r="C1403" s="1477" t="str">
        <f t="shared" si="165"/>
        <v>MERC/TECH 1/CAPEX/20132014/00823</v>
      </c>
      <c r="D1403" s="1479">
        <f t="shared" si="165"/>
        <v>41464</v>
      </c>
      <c r="E1403" s="1383">
        <f t="shared" si="165"/>
        <v>107.8364</v>
      </c>
      <c r="F1403" s="1480">
        <f t="shared" si="156"/>
        <v>0</v>
      </c>
      <c r="G1403" s="1480">
        <f t="shared" si="157"/>
        <v>0</v>
      </c>
      <c r="H1403" s="1480">
        <f t="shared" si="160"/>
        <v>0</v>
      </c>
      <c r="I1403" s="1480">
        <v>0</v>
      </c>
      <c r="J1403" s="1480">
        <v>0</v>
      </c>
      <c r="K1403" s="1480"/>
      <c r="L1403" s="1480"/>
      <c r="M1403" s="1480">
        <f t="shared" si="161"/>
        <v>0</v>
      </c>
      <c r="N1403" s="1480">
        <f t="shared" si="162"/>
        <v>0</v>
      </c>
      <c r="O1403" s="1481">
        <f t="shared" si="158"/>
        <v>0</v>
      </c>
      <c r="P1403" s="1427">
        <f t="shared" si="159"/>
        <v>0</v>
      </c>
    </row>
    <row r="1404" spans="1:16" ht="46.5" outlineLevel="1" x14ac:dyDescent="0.25">
      <c r="A1404" s="1482">
        <f t="shared" si="165"/>
        <v>9.1</v>
      </c>
      <c r="B1404" s="1483" t="str">
        <f t="shared" si="165"/>
        <v xml:space="preserve">Design, Engineering, Supply and Retrofitting of LP Cylinder with Modified Bladed rotor without Bauman’s Stages, diaphragms, liners, Gland sealing and exhaust hood spray. (total 2 units) </v>
      </c>
      <c r="C1404" s="1482" t="str">
        <f t="shared" si="165"/>
        <v>MERC/TECH 1/CAPEX/20132014/00823</v>
      </c>
      <c r="D1404" s="1390">
        <f t="shared" si="165"/>
        <v>41464</v>
      </c>
      <c r="E1404" s="560">
        <f t="shared" si="165"/>
        <v>101.8526</v>
      </c>
      <c r="F1404" s="1508">
        <f t="shared" si="156"/>
        <v>0</v>
      </c>
      <c r="G1404" s="1508">
        <f t="shared" si="157"/>
        <v>0</v>
      </c>
      <c r="H1404" s="1508">
        <f t="shared" si="160"/>
        <v>0</v>
      </c>
      <c r="I1404" s="1480">
        <v>0</v>
      </c>
      <c r="J1404" s="1480">
        <v>0</v>
      </c>
      <c r="K1404" s="1508"/>
      <c r="L1404" s="1508"/>
      <c r="M1404" s="1509">
        <f t="shared" si="161"/>
        <v>0</v>
      </c>
      <c r="N1404" s="1508">
        <f t="shared" si="162"/>
        <v>0</v>
      </c>
      <c r="O1404" s="1481">
        <f t="shared" si="158"/>
        <v>0</v>
      </c>
      <c r="P1404" s="1427">
        <f t="shared" si="159"/>
        <v>0</v>
      </c>
    </row>
    <row r="1405" spans="1:16" ht="31" outlineLevel="1" x14ac:dyDescent="0.25">
      <c r="A1405" s="1482">
        <f t="shared" si="165"/>
        <v>0</v>
      </c>
      <c r="B1405" s="1483" t="str">
        <f t="shared" si="165"/>
        <v>IDC</v>
      </c>
      <c r="C1405" s="1482" t="str">
        <f t="shared" si="165"/>
        <v>MERC/TECH 1/CAPEX/20132014/00823</v>
      </c>
      <c r="D1405" s="1390">
        <f t="shared" si="165"/>
        <v>41464</v>
      </c>
      <c r="E1405" s="560">
        <f t="shared" si="165"/>
        <v>5.9837999999999996</v>
      </c>
      <c r="F1405" s="1508">
        <f t="shared" si="156"/>
        <v>0</v>
      </c>
      <c r="G1405" s="1508">
        <f t="shared" si="157"/>
        <v>0</v>
      </c>
      <c r="H1405" s="1508">
        <f t="shared" si="160"/>
        <v>0</v>
      </c>
      <c r="I1405" s="1480">
        <v>0</v>
      </c>
      <c r="J1405" s="1480">
        <v>0</v>
      </c>
      <c r="K1405" s="1508"/>
      <c r="L1405" s="1508"/>
      <c r="M1405" s="1509">
        <f t="shared" si="161"/>
        <v>0</v>
      </c>
      <c r="N1405" s="1508">
        <f t="shared" si="162"/>
        <v>0</v>
      </c>
      <c r="O1405" s="1481">
        <f t="shared" si="158"/>
        <v>0</v>
      </c>
      <c r="P1405" s="1427">
        <f t="shared" si="159"/>
        <v>0</v>
      </c>
    </row>
    <row r="1406" spans="1:16" ht="15.5" outlineLevel="1" x14ac:dyDescent="0.25">
      <c r="A1406" s="1489">
        <f t="shared" si="165"/>
        <v>10</v>
      </c>
      <c r="B1406" s="1490" t="str">
        <f t="shared" si="165"/>
        <v>Modification in Ash Handling Plant at Chandrapur TPS unit 5 &amp; 6</v>
      </c>
      <c r="C1406" s="1477" t="str">
        <f t="shared" si="165"/>
        <v>MERC/CAPEX/20122013/02104</v>
      </c>
      <c r="D1406" s="1479">
        <f t="shared" si="165"/>
        <v>41281</v>
      </c>
      <c r="E1406" s="1383">
        <f t="shared" si="165"/>
        <v>15.25</v>
      </c>
      <c r="F1406" s="1480">
        <f t="shared" si="156"/>
        <v>0</v>
      </c>
      <c r="G1406" s="1480">
        <f t="shared" si="157"/>
        <v>0</v>
      </c>
      <c r="H1406" s="1480">
        <f t="shared" si="160"/>
        <v>0</v>
      </c>
      <c r="I1406" s="1480">
        <v>0</v>
      </c>
      <c r="J1406" s="1480">
        <v>0</v>
      </c>
      <c r="K1406" s="1480"/>
      <c r="L1406" s="1480"/>
      <c r="M1406" s="1480">
        <f t="shared" si="161"/>
        <v>0</v>
      </c>
      <c r="N1406" s="1480">
        <f t="shared" si="162"/>
        <v>0</v>
      </c>
      <c r="O1406" s="1481">
        <f t="shared" si="158"/>
        <v>0</v>
      </c>
      <c r="P1406" s="1427">
        <f t="shared" si="159"/>
        <v>0</v>
      </c>
    </row>
    <row r="1407" spans="1:16" ht="15.5" outlineLevel="1" x14ac:dyDescent="0.25">
      <c r="A1407" s="1484">
        <f t="shared" si="165"/>
        <v>10.1</v>
      </c>
      <c r="B1407" s="1485" t="str">
        <f t="shared" si="165"/>
        <v>Complete series replacement in U-5 &amp; 6</v>
      </c>
      <c r="C1407" s="1482" t="str">
        <f t="shared" si="165"/>
        <v>MERC/CAPEX/20122013/02104</v>
      </c>
      <c r="D1407" s="1390">
        <f t="shared" si="165"/>
        <v>41281</v>
      </c>
      <c r="E1407" s="560">
        <f t="shared" si="165"/>
        <v>7.12</v>
      </c>
      <c r="F1407" s="1508">
        <f t="shared" si="156"/>
        <v>1.4079700719999999</v>
      </c>
      <c r="G1407" s="1508">
        <f t="shared" si="157"/>
        <v>1.4079700719999999</v>
      </c>
      <c r="H1407" s="1508">
        <f t="shared" si="160"/>
        <v>0</v>
      </c>
      <c r="I1407" s="1480">
        <v>0</v>
      </c>
      <c r="J1407" s="1480">
        <v>0</v>
      </c>
      <c r="K1407" s="1508"/>
      <c r="L1407" s="1508"/>
      <c r="M1407" s="1509">
        <f t="shared" si="161"/>
        <v>0</v>
      </c>
      <c r="N1407" s="1508">
        <f t="shared" si="162"/>
        <v>0</v>
      </c>
      <c r="O1407" s="1481">
        <f t="shared" si="158"/>
        <v>0</v>
      </c>
      <c r="P1407" s="1427">
        <f t="shared" si="159"/>
        <v>0</v>
      </c>
    </row>
    <row r="1408" spans="1:16" ht="15.5" outlineLevel="1" x14ac:dyDescent="0.25">
      <c r="A1408" s="1484">
        <f t="shared" si="165"/>
        <v>10.199999999999999</v>
      </c>
      <c r="B1408" s="1485" t="str">
        <f t="shared" si="165"/>
        <v>Extension of ash lines inside ash bund (9000 Rmt)</v>
      </c>
      <c r="C1408" s="1482" t="str">
        <f t="shared" si="165"/>
        <v>MERC/CAPEX/20122013/02104</v>
      </c>
      <c r="D1408" s="1390">
        <f t="shared" si="165"/>
        <v>41281</v>
      </c>
      <c r="E1408" s="560">
        <f t="shared" si="165"/>
        <v>3.03</v>
      </c>
      <c r="F1408" s="1508">
        <f t="shared" si="156"/>
        <v>2.4823816700000001</v>
      </c>
      <c r="G1408" s="1508">
        <f t="shared" si="157"/>
        <v>2.4823816700000001</v>
      </c>
      <c r="H1408" s="1508">
        <f t="shared" si="160"/>
        <v>0</v>
      </c>
      <c r="I1408" s="1480">
        <v>0</v>
      </c>
      <c r="J1408" s="1480">
        <v>0</v>
      </c>
      <c r="K1408" s="1508"/>
      <c r="L1408" s="1508"/>
      <c r="M1408" s="1509">
        <f t="shared" si="161"/>
        <v>0</v>
      </c>
      <c r="N1408" s="1508">
        <f t="shared" si="162"/>
        <v>0</v>
      </c>
      <c r="O1408" s="1481">
        <f t="shared" si="158"/>
        <v>0</v>
      </c>
      <c r="P1408" s="1427">
        <f t="shared" si="159"/>
        <v>0</v>
      </c>
    </row>
    <row r="1409" spans="1:16" ht="15.5" outlineLevel="1" x14ac:dyDescent="0.25">
      <c r="A1409" s="1484">
        <f t="shared" si="165"/>
        <v>10.3</v>
      </c>
      <c r="B1409" s="1485" t="str">
        <f t="shared" si="165"/>
        <v>Replacement ash line worn out pipes</v>
      </c>
      <c r="C1409" s="1482" t="str">
        <f t="shared" si="165"/>
        <v>MERC/CAPEX/20122013/02104</v>
      </c>
      <c r="D1409" s="1390">
        <f t="shared" si="165"/>
        <v>41281</v>
      </c>
      <c r="E1409" s="560">
        <f t="shared" si="165"/>
        <v>3.6</v>
      </c>
      <c r="F1409" s="1508">
        <f t="shared" si="156"/>
        <v>4.4210943270000005</v>
      </c>
      <c r="G1409" s="1508">
        <f t="shared" si="157"/>
        <v>4.4210943270000005</v>
      </c>
      <c r="H1409" s="1508">
        <f t="shared" si="160"/>
        <v>0</v>
      </c>
      <c r="I1409" s="1480">
        <v>0</v>
      </c>
      <c r="J1409" s="1480">
        <v>0</v>
      </c>
      <c r="K1409" s="1508"/>
      <c r="L1409" s="1508"/>
      <c r="M1409" s="1509">
        <f t="shared" si="161"/>
        <v>0</v>
      </c>
      <c r="N1409" s="1508">
        <f t="shared" si="162"/>
        <v>0</v>
      </c>
      <c r="O1409" s="1481">
        <f t="shared" si="158"/>
        <v>0</v>
      </c>
      <c r="P1409" s="1427">
        <f t="shared" si="159"/>
        <v>0</v>
      </c>
    </row>
    <row r="1410" spans="1:16" ht="15.5" outlineLevel="1" x14ac:dyDescent="0.25">
      <c r="A1410" s="1484">
        <f t="shared" si="165"/>
        <v>0</v>
      </c>
      <c r="B1410" s="1485" t="str">
        <f t="shared" si="165"/>
        <v>IDC</v>
      </c>
      <c r="C1410" s="1482" t="str">
        <f t="shared" si="165"/>
        <v>MERC/CAPEX/20122013/02104</v>
      </c>
      <c r="D1410" s="1390">
        <f t="shared" si="165"/>
        <v>41281</v>
      </c>
      <c r="E1410" s="560">
        <f t="shared" si="165"/>
        <v>1.5</v>
      </c>
      <c r="F1410" s="1508">
        <f t="shared" si="156"/>
        <v>0</v>
      </c>
      <c r="G1410" s="1508">
        <f t="shared" si="157"/>
        <v>0</v>
      </c>
      <c r="H1410" s="1508">
        <f t="shared" si="160"/>
        <v>0</v>
      </c>
      <c r="I1410" s="1480">
        <v>0</v>
      </c>
      <c r="J1410" s="1480">
        <v>0</v>
      </c>
      <c r="K1410" s="1508"/>
      <c r="L1410" s="1508"/>
      <c r="M1410" s="1509">
        <f t="shared" si="161"/>
        <v>0</v>
      </c>
      <c r="N1410" s="1508">
        <f t="shared" si="162"/>
        <v>0</v>
      </c>
      <c r="O1410" s="1481">
        <f t="shared" si="158"/>
        <v>0</v>
      </c>
      <c r="P1410" s="1427">
        <f t="shared" si="159"/>
        <v>0</v>
      </c>
    </row>
    <row r="1411" spans="1:16" ht="31" outlineLevel="1" x14ac:dyDescent="0.25">
      <c r="A1411" s="1477">
        <f t="shared" si="165"/>
        <v>11</v>
      </c>
      <c r="B1411" s="1478" t="str">
        <f t="shared" si="165"/>
        <v>Fully Integrated Security Surveillance System</v>
      </c>
      <c r="C1411" s="1477" t="str">
        <f t="shared" si="165"/>
        <v>MERC/TECH 1/CAPEX/20122013/00190</v>
      </c>
      <c r="D1411" s="1479">
        <f t="shared" si="165"/>
        <v>41382</v>
      </c>
      <c r="E1411" s="1383">
        <f t="shared" si="165"/>
        <v>54.197924999999991</v>
      </c>
      <c r="F1411" s="1480">
        <f t="shared" si="156"/>
        <v>0</v>
      </c>
      <c r="G1411" s="1480">
        <f t="shared" si="157"/>
        <v>0</v>
      </c>
      <c r="H1411" s="1480">
        <f t="shared" si="160"/>
        <v>0</v>
      </c>
      <c r="I1411" s="1480">
        <v>0</v>
      </c>
      <c r="J1411" s="1480">
        <v>0</v>
      </c>
      <c r="K1411" s="1480"/>
      <c r="L1411" s="1480"/>
      <c r="M1411" s="1480">
        <f t="shared" si="161"/>
        <v>0</v>
      </c>
      <c r="N1411" s="1480">
        <f t="shared" si="162"/>
        <v>0</v>
      </c>
      <c r="O1411" s="1481">
        <f t="shared" si="158"/>
        <v>0</v>
      </c>
      <c r="P1411" s="1427">
        <f t="shared" si="159"/>
        <v>0</v>
      </c>
    </row>
    <row r="1412" spans="1:16" ht="31" outlineLevel="1" x14ac:dyDescent="0.25">
      <c r="A1412" s="1482">
        <f t="shared" si="165"/>
        <v>11.1</v>
      </c>
      <c r="B1412" s="1483" t="str">
        <f t="shared" si="165"/>
        <v xml:space="preserve">Long range cameras </v>
      </c>
      <c r="C1412" s="1482" t="str">
        <f t="shared" si="165"/>
        <v>MERC/TECH 1/CAPEX/20122013/00190</v>
      </c>
      <c r="D1412" s="1390">
        <f t="shared" si="165"/>
        <v>41382</v>
      </c>
      <c r="E1412" s="560">
        <f t="shared" si="165"/>
        <v>12.3</v>
      </c>
      <c r="F1412" s="1508">
        <f t="shared" si="156"/>
        <v>0</v>
      </c>
      <c r="G1412" s="1508">
        <f t="shared" si="157"/>
        <v>0</v>
      </c>
      <c r="H1412" s="1508">
        <f t="shared" si="160"/>
        <v>0</v>
      </c>
      <c r="I1412" s="1480">
        <v>0</v>
      </c>
      <c r="J1412" s="1480">
        <v>0</v>
      </c>
      <c r="K1412" s="1508"/>
      <c r="L1412" s="1508"/>
      <c r="M1412" s="1509">
        <f t="shared" si="161"/>
        <v>0</v>
      </c>
      <c r="N1412" s="1508">
        <f t="shared" si="162"/>
        <v>0</v>
      </c>
      <c r="O1412" s="1481">
        <f t="shared" si="158"/>
        <v>0</v>
      </c>
      <c r="P1412" s="1427">
        <f t="shared" si="159"/>
        <v>0</v>
      </c>
    </row>
    <row r="1413" spans="1:16" ht="31" outlineLevel="1" x14ac:dyDescent="0.25">
      <c r="A1413" s="1482">
        <f t="shared" si="165"/>
        <v>11.2</v>
      </c>
      <c r="B1413" s="1483" t="str">
        <f t="shared" si="165"/>
        <v xml:space="preserve">Laser fence sensors/buried cable </v>
      </c>
      <c r="C1413" s="1482" t="str">
        <f t="shared" si="165"/>
        <v>MERC/TECH 1/CAPEX/20122013/00190</v>
      </c>
      <c r="D1413" s="1390">
        <f t="shared" si="165"/>
        <v>41382</v>
      </c>
      <c r="E1413" s="560">
        <f t="shared" si="165"/>
        <v>6.1</v>
      </c>
      <c r="F1413" s="1508">
        <f t="shared" si="156"/>
        <v>0</v>
      </c>
      <c r="G1413" s="1508">
        <f t="shared" si="157"/>
        <v>0</v>
      </c>
      <c r="H1413" s="1508">
        <f t="shared" si="160"/>
        <v>0</v>
      </c>
      <c r="I1413" s="1480">
        <v>0</v>
      </c>
      <c r="J1413" s="1480">
        <v>0</v>
      </c>
      <c r="K1413" s="1508"/>
      <c r="L1413" s="1508"/>
      <c r="M1413" s="1509">
        <f t="shared" si="161"/>
        <v>0</v>
      </c>
      <c r="N1413" s="1508">
        <f t="shared" si="162"/>
        <v>0</v>
      </c>
      <c r="O1413" s="1481">
        <f t="shared" si="158"/>
        <v>0</v>
      </c>
      <c r="P1413" s="1427">
        <f t="shared" si="159"/>
        <v>0</v>
      </c>
    </row>
    <row r="1414" spans="1:16" ht="31" outlineLevel="1" x14ac:dyDescent="0.25">
      <c r="A1414" s="1482">
        <f t="shared" ref="A1414:E1429" si="166">A744</f>
        <v>11.3</v>
      </c>
      <c r="B1414" s="1483" t="str">
        <f t="shared" si="166"/>
        <v xml:space="preserve">PTZ/fixed cameras </v>
      </c>
      <c r="C1414" s="1482" t="str">
        <f t="shared" si="166"/>
        <v>MERC/TECH 1/CAPEX/20122013/00190</v>
      </c>
      <c r="D1414" s="1390">
        <f t="shared" si="166"/>
        <v>41382</v>
      </c>
      <c r="E1414" s="560">
        <f t="shared" si="166"/>
        <v>8.0749999999999993</v>
      </c>
      <c r="F1414" s="1508">
        <f t="shared" ref="F1414:F1477" si="167">F744+I744</f>
        <v>0</v>
      </c>
      <c r="G1414" s="1508">
        <f t="shared" ref="G1414:G1477" si="168">G744+M744</f>
        <v>0</v>
      </c>
      <c r="H1414" s="1508">
        <f t="shared" si="160"/>
        <v>0</v>
      </c>
      <c r="I1414" s="1480">
        <v>0</v>
      </c>
      <c r="J1414" s="1480">
        <v>0</v>
      </c>
      <c r="K1414" s="1508"/>
      <c r="L1414" s="1508"/>
      <c r="M1414" s="1509">
        <f t="shared" si="161"/>
        <v>0</v>
      </c>
      <c r="N1414" s="1508">
        <f t="shared" si="162"/>
        <v>0</v>
      </c>
      <c r="O1414" s="1481">
        <f t="shared" ref="O1414:O1477" si="169">MAX(0,IF(M1414=0,0,IF(G1414+M1414&lt;E1414,M1414,E1414-G1414)))</f>
        <v>0</v>
      </c>
      <c r="P1414" s="1427">
        <f t="shared" ref="P1414:P1477" si="170">M1414-O1414</f>
        <v>0</v>
      </c>
    </row>
    <row r="1415" spans="1:16" ht="31" outlineLevel="1" x14ac:dyDescent="0.25">
      <c r="A1415" s="1482">
        <f t="shared" si="166"/>
        <v>11.4</v>
      </c>
      <c r="B1415" s="1483" t="str">
        <f t="shared" si="166"/>
        <v xml:space="preserve">Command &amp; control /video wall </v>
      </c>
      <c r="C1415" s="1482" t="str">
        <f t="shared" si="166"/>
        <v>MERC/TECH 1/CAPEX/20122013/00190</v>
      </c>
      <c r="D1415" s="1390">
        <f t="shared" si="166"/>
        <v>41382</v>
      </c>
      <c r="E1415" s="560">
        <f t="shared" si="166"/>
        <v>16</v>
      </c>
      <c r="F1415" s="1508">
        <f t="shared" si="167"/>
        <v>0</v>
      </c>
      <c r="G1415" s="1508">
        <f t="shared" si="168"/>
        <v>0</v>
      </c>
      <c r="H1415" s="1508">
        <f t="shared" ref="H1415:H1478" si="171">F1415-G1415</f>
        <v>0</v>
      </c>
      <c r="I1415" s="1480">
        <v>0</v>
      </c>
      <c r="J1415" s="1480">
        <v>0</v>
      </c>
      <c r="K1415" s="1508"/>
      <c r="L1415" s="1508"/>
      <c r="M1415" s="1509">
        <f t="shared" ref="M1415:M1478" si="172">SUM(J1415:L1415)</f>
        <v>0</v>
      </c>
      <c r="N1415" s="1508">
        <f t="shared" ref="N1415:N1478" si="173">H1415+I1415-M1415</f>
        <v>0</v>
      </c>
      <c r="O1415" s="1481">
        <f t="shared" si="169"/>
        <v>0</v>
      </c>
      <c r="P1415" s="1427">
        <f t="shared" si="170"/>
        <v>0</v>
      </c>
    </row>
    <row r="1416" spans="1:16" ht="31" outlineLevel="1" x14ac:dyDescent="0.25">
      <c r="A1416" s="1482">
        <f t="shared" si="166"/>
        <v>11.5</v>
      </c>
      <c r="B1416" s="1483" t="str">
        <f t="shared" si="166"/>
        <v xml:space="preserve">Communication </v>
      </c>
      <c r="C1416" s="1482" t="str">
        <f t="shared" si="166"/>
        <v>MERC/TECH 1/CAPEX/20122013/00190</v>
      </c>
      <c r="D1416" s="1390">
        <f t="shared" si="166"/>
        <v>41382</v>
      </c>
      <c r="E1416" s="560">
        <f t="shared" si="166"/>
        <v>0.45950000000000002</v>
      </c>
      <c r="F1416" s="1508">
        <f t="shared" si="167"/>
        <v>0</v>
      </c>
      <c r="G1416" s="1508">
        <f t="shared" si="168"/>
        <v>0</v>
      </c>
      <c r="H1416" s="1508">
        <f t="shared" si="171"/>
        <v>0</v>
      </c>
      <c r="I1416" s="1480">
        <v>0</v>
      </c>
      <c r="J1416" s="1480">
        <v>0</v>
      </c>
      <c r="K1416" s="1508"/>
      <c r="L1416" s="1508"/>
      <c r="M1416" s="1509">
        <f t="shared" si="172"/>
        <v>0</v>
      </c>
      <c r="N1416" s="1508">
        <f t="shared" si="173"/>
        <v>0</v>
      </c>
      <c r="O1416" s="1481">
        <f t="shared" si="169"/>
        <v>0</v>
      </c>
      <c r="P1416" s="1427">
        <f t="shared" si="170"/>
        <v>0</v>
      </c>
    </row>
    <row r="1417" spans="1:16" ht="31" outlineLevel="1" x14ac:dyDescent="0.25">
      <c r="A1417" s="1482">
        <f t="shared" si="166"/>
        <v>11.6</v>
      </c>
      <c r="B1417" s="1483" t="str">
        <f t="shared" si="166"/>
        <v>RFID</v>
      </c>
      <c r="C1417" s="1482" t="str">
        <f t="shared" si="166"/>
        <v>MERC/TECH 1/CAPEX/20122013/00190</v>
      </c>
      <c r="D1417" s="1390">
        <f t="shared" si="166"/>
        <v>41382</v>
      </c>
      <c r="E1417" s="560">
        <f t="shared" si="166"/>
        <v>0.83</v>
      </c>
      <c r="F1417" s="1508">
        <f t="shared" si="167"/>
        <v>0</v>
      </c>
      <c r="G1417" s="1508">
        <f t="shared" si="168"/>
        <v>0</v>
      </c>
      <c r="H1417" s="1508">
        <f t="shared" si="171"/>
        <v>0</v>
      </c>
      <c r="I1417" s="1480">
        <v>0</v>
      </c>
      <c r="J1417" s="1480">
        <v>0</v>
      </c>
      <c r="K1417" s="1508"/>
      <c r="L1417" s="1508"/>
      <c r="M1417" s="1509">
        <f t="shared" si="172"/>
        <v>0</v>
      </c>
      <c r="N1417" s="1508">
        <f t="shared" si="173"/>
        <v>0</v>
      </c>
      <c r="O1417" s="1481">
        <f t="shared" si="169"/>
        <v>0</v>
      </c>
      <c r="P1417" s="1427">
        <f t="shared" si="170"/>
        <v>0</v>
      </c>
    </row>
    <row r="1418" spans="1:16" ht="31" outlineLevel="1" x14ac:dyDescent="0.25">
      <c r="A1418" s="1482">
        <f t="shared" si="166"/>
        <v>11.7</v>
      </c>
      <c r="B1418" s="1483" t="str">
        <f t="shared" si="166"/>
        <v>LPR</v>
      </c>
      <c r="C1418" s="1482" t="str">
        <f t="shared" si="166"/>
        <v>MERC/TECH 1/CAPEX/20122013/00190</v>
      </c>
      <c r="D1418" s="1390">
        <f t="shared" si="166"/>
        <v>41382</v>
      </c>
      <c r="E1418" s="560">
        <f t="shared" si="166"/>
        <v>0.6</v>
      </c>
      <c r="F1418" s="1508">
        <f t="shared" si="167"/>
        <v>0</v>
      </c>
      <c r="G1418" s="1508">
        <f t="shared" si="168"/>
        <v>0</v>
      </c>
      <c r="H1418" s="1508">
        <f t="shared" si="171"/>
        <v>0</v>
      </c>
      <c r="I1418" s="1480">
        <v>0</v>
      </c>
      <c r="J1418" s="1480">
        <v>0</v>
      </c>
      <c r="K1418" s="1508"/>
      <c r="L1418" s="1508"/>
      <c r="M1418" s="1509">
        <f t="shared" si="172"/>
        <v>0</v>
      </c>
      <c r="N1418" s="1508">
        <f t="shared" si="173"/>
        <v>0</v>
      </c>
      <c r="O1418" s="1481">
        <f t="shared" si="169"/>
        <v>0</v>
      </c>
      <c r="P1418" s="1427">
        <f t="shared" si="170"/>
        <v>0</v>
      </c>
    </row>
    <row r="1419" spans="1:16" ht="31" outlineLevel="1" x14ac:dyDescent="0.25">
      <c r="A1419" s="1482">
        <f t="shared" si="166"/>
        <v>11.8</v>
      </c>
      <c r="B1419" s="1483" t="str">
        <f t="shared" si="166"/>
        <v xml:space="preserve">Electricals/networking </v>
      </c>
      <c r="C1419" s="1482" t="str">
        <f t="shared" si="166"/>
        <v>MERC/TECH 1/CAPEX/20122013/00190</v>
      </c>
      <c r="D1419" s="1390">
        <f t="shared" si="166"/>
        <v>41382</v>
      </c>
      <c r="E1419" s="560">
        <f t="shared" si="166"/>
        <v>2.8674249999999999</v>
      </c>
      <c r="F1419" s="1508">
        <f t="shared" si="167"/>
        <v>0</v>
      </c>
      <c r="G1419" s="1508">
        <f t="shared" si="168"/>
        <v>0</v>
      </c>
      <c r="H1419" s="1508">
        <f t="shared" si="171"/>
        <v>0</v>
      </c>
      <c r="I1419" s="1480">
        <v>0</v>
      </c>
      <c r="J1419" s="1480">
        <v>0</v>
      </c>
      <c r="K1419" s="1508"/>
      <c r="L1419" s="1508"/>
      <c r="M1419" s="1509">
        <f t="shared" si="172"/>
        <v>0</v>
      </c>
      <c r="N1419" s="1508">
        <f t="shared" si="173"/>
        <v>0</v>
      </c>
      <c r="O1419" s="1481">
        <f t="shared" si="169"/>
        <v>0</v>
      </c>
      <c r="P1419" s="1427">
        <f t="shared" si="170"/>
        <v>0</v>
      </c>
    </row>
    <row r="1420" spans="1:16" ht="31" outlineLevel="1" x14ac:dyDescent="0.25">
      <c r="A1420" s="1482">
        <f t="shared" si="166"/>
        <v>11.9</v>
      </c>
      <c r="B1420" s="1483" t="str">
        <f t="shared" si="166"/>
        <v xml:space="preserve">Infrastructure </v>
      </c>
      <c r="C1420" s="1482" t="str">
        <f t="shared" si="166"/>
        <v>MERC/TECH 1/CAPEX/20122013/00190</v>
      </c>
      <c r="D1420" s="1390">
        <f t="shared" si="166"/>
        <v>41382</v>
      </c>
      <c r="E1420" s="560">
        <f t="shared" si="166"/>
        <v>3.8959999999999999</v>
      </c>
      <c r="F1420" s="1508">
        <f t="shared" si="167"/>
        <v>0</v>
      </c>
      <c r="G1420" s="1508">
        <f t="shared" si="168"/>
        <v>0</v>
      </c>
      <c r="H1420" s="1508">
        <f t="shared" si="171"/>
        <v>0</v>
      </c>
      <c r="I1420" s="1480">
        <v>0</v>
      </c>
      <c r="J1420" s="1480">
        <v>0</v>
      </c>
      <c r="K1420" s="1508"/>
      <c r="L1420" s="1508"/>
      <c r="M1420" s="1509">
        <f t="shared" si="172"/>
        <v>0</v>
      </c>
      <c r="N1420" s="1508">
        <f t="shared" si="173"/>
        <v>0</v>
      </c>
      <c r="O1420" s="1481">
        <f t="shared" si="169"/>
        <v>0</v>
      </c>
      <c r="P1420" s="1427">
        <f t="shared" si="170"/>
        <v>0</v>
      </c>
    </row>
    <row r="1421" spans="1:16" ht="31" outlineLevel="1" x14ac:dyDescent="0.25">
      <c r="A1421" s="1482">
        <f t="shared" si="166"/>
        <v>0</v>
      </c>
      <c r="B1421" s="1483" t="str">
        <f t="shared" si="166"/>
        <v>IDC</v>
      </c>
      <c r="C1421" s="1482" t="str">
        <f t="shared" si="166"/>
        <v>MERC/TECH 1/CAPEX/20122013/00190</v>
      </c>
      <c r="D1421" s="1390">
        <f t="shared" si="166"/>
        <v>41382</v>
      </c>
      <c r="E1421" s="560">
        <f t="shared" si="166"/>
        <v>3.07</v>
      </c>
      <c r="F1421" s="1508">
        <f t="shared" si="167"/>
        <v>0</v>
      </c>
      <c r="G1421" s="1508">
        <f t="shared" si="168"/>
        <v>0</v>
      </c>
      <c r="H1421" s="1508">
        <f t="shared" si="171"/>
        <v>0</v>
      </c>
      <c r="I1421" s="1480">
        <v>0</v>
      </c>
      <c r="J1421" s="1480">
        <v>0</v>
      </c>
      <c r="K1421" s="1508"/>
      <c r="L1421" s="1508"/>
      <c r="M1421" s="1509">
        <f t="shared" si="172"/>
        <v>0</v>
      </c>
      <c r="N1421" s="1508">
        <f t="shared" si="173"/>
        <v>0</v>
      </c>
      <c r="O1421" s="1481">
        <f t="shared" si="169"/>
        <v>0</v>
      </c>
      <c r="P1421" s="1427">
        <f t="shared" si="170"/>
        <v>0</v>
      </c>
    </row>
    <row r="1422" spans="1:16" ht="31" outlineLevel="1" x14ac:dyDescent="0.25">
      <c r="A1422" s="1489">
        <f t="shared" si="166"/>
        <v>12</v>
      </c>
      <c r="B1422" s="1490" t="str">
        <f t="shared" si="166"/>
        <v>Revamping of existing SWAS installed at U#1 to 4 and commissioning of new  (AFGC) System of U#5&amp;7</v>
      </c>
      <c r="C1422" s="1486" t="str">
        <f t="shared" si="166"/>
        <v>MERC/TECH 1/CAPEX/20132014/01366</v>
      </c>
      <c r="D1422" s="1487">
        <f t="shared" si="166"/>
        <v>41551</v>
      </c>
      <c r="E1422" s="1383">
        <f t="shared" si="166"/>
        <v>10.083855999999999</v>
      </c>
      <c r="F1422" s="1480">
        <f t="shared" si="167"/>
        <v>0</v>
      </c>
      <c r="G1422" s="1480">
        <f t="shared" si="168"/>
        <v>0</v>
      </c>
      <c r="H1422" s="1480">
        <f t="shared" si="171"/>
        <v>0</v>
      </c>
      <c r="I1422" s="1480">
        <v>0</v>
      </c>
      <c r="J1422" s="1480">
        <v>0</v>
      </c>
      <c r="K1422" s="1480"/>
      <c r="L1422" s="1480"/>
      <c r="M1422" s="1480">
        <f t="shared" si="172"/>
        <v>0</v>
      </c>
      <c r="N1422" s="1480">
        <f t="shared" si="173"/>
        <v>0</v>
      </c>
      <c r="O1422" s="1481">
        <f t="shared" si="169"/>
        <v>0</v>
      </c>
      <c r="P1422" s="1427">
        <f t="shared" si="170"/>
        <v>0</v>
      </c>
    </row>
    <row r="1423" spans="1:16" ht="31" outlineLevel="1" x14ac:dyDescent="0.25">
      <c r="A1423" s="1484">
        <f t="shared" si="166"/>
        <v>12.1</v>
      </c>
      <c r="B1423" s="1485" t="str">
        <f t="shared" si="166"/>
        <v>AFGC U 5,7</v>
      </c>
      <c r="C1423" s="1482" t="str">
        <f t="shared" si="166"/>
        <v>MERC/TECH 1/CAPEX/20132014/01366</v>
      </c>
      <c r="D1423" s="1390">
        <f t="shared" si="166"/>
        <v>41551</v>
      </c>
      <c r="E1423" s="560">
        <f t="shared" si="166"/>
        <v>2.08</v>
      </c>
      <c r="F1423" s="1508">
        <f t="shared" si="167"/>
        <v>2.0369565389999997</v>
      </c>
      <c r="G1423" s="1508">
        <f t="shared" si="168"/>
        <v>2.0369565389999997</v>
      </c>
      <c r="H1423" s="1508">
        <f t="shared" si="171"/>
        <v>0</v>
      </c>
      <c r="I1423" s="1480">
        <v>0</v>
      </c>
      <c r="J1423" s="1480">
        <v>0</v>
      </c>
      <c r="K1423" s="1508"/>
      <c r="L1423" s="1508"/>
      <c r="M1423" s="1509">
        <f t="shared" si="172"/>
        <v>0</v>
      </c>
      <c r="N1423" s="1508">
        <f t="shared" si="173"/>
        <v>0</v>
      </c>
      <c r="O1423" s="1481">
        <f t="shared" si="169"/>
        <v>0</v>
      </c>
      <c r="P1423" s="1427">
        <f t="shared" si="170"/>
        <v>0</v>
      </c>
    </row>
    <row r="1424" spans="1:16" ht="31" outlineLevel="1" x14ac:dyDescent="0.25">
      <c r="A1424" s="1484">
        <f t="shared" si="166"/>
        <v>12.2</v>
      </c>
      <c r="B1424" s="1485" t="str">
        <f t="shared" si="166"/>
        <v>Dismantling and revamping of Sample panels of Unit 1 to 4. (4 Nos.)</v>
      </c>
      <c r="C1424" s="1488" t="str">
        <f t="shared" si="166"/>
        <v>MERC/TECH 1/CAPEX/20132014/01366</v>
      </c>
      <c r="D1424" s="1413">
        <f t="shared" si="166"/>
        <v>41551</v>
      </c>
      <c r="E1424" s="560">
        <f t="shared" si="166"/>
        <v>7.1338559999999998</v>
      </c>
      <c r="F1424" s="1508">
        <f t="shared" si="167"/>
        <v>0</v>
      </c>
      <c r="G1424" s="1508">
        <f t="shared" si="168"/>
        <v>0</v>
      </c>
      <c r="H1424" s="1508">
        <f t="shared" si="171"/>
        <v>0</v>
      </c>
      <c r="I1424" s="1480">
        <v>0</v>
      </c>
      <c r="J1424" s="1480">
        <v>0</v>
      </c>
      <c r="K1424" s="1508"/>
      <c r="L1424" s="1508"/>
      <c r="M1424" s="1509">
        <f t="shared" si="172"/>
        <v>0</v>
      </c>
      <c r="N1424" s="1508">
        <f t="shared" si="173"/>
        <v>0</v>
      </c>
      <c r="O1424" s="1481">
        <f t="shared" si="169"/>
        <v>0</v>
      </c>
      <c r="P1424" s="1427">
        <f t="shared" si="170"/>
        <v>0</v>
      </c>
    </row>
    <row r="1425" spans="1:16" ht="31" outlineLevel="1" x14ac:dyDescent="0.25">
      <c r="A1425" s="1484">
        <f t="shared" si="166"/>
        <v>0</v>
      </c>
      <c r="B1425" s="1485" t="str">
        <f t="shared" si="166"/>
        <v>IDC</v>
      </c>
      <c r="C1425" s="1482" t="str">
        <f t="shared" si="166"/>
        <v>MERC/TECH 1/CAPEX/20132014/01366</v>
      </c>
      <c r="D1425" s="1390">
        <f t="shared" si="166"/>
        <v>41551</v>
      </c>
      <c r="E1425" s="560">
        <f t="shared" si="166"/>
        <v>0.87</v>
      </c>
      <c r="F1425" s="1508">
        <f t="shared" si="167"/>
        <v>0</v>
      </c>
      <c r="G1425" s="1508">
        <f t="shared" si="168"/>
        <v>0</v>
      </c>
      <c r="H1425" s="1508">
        <f t="shared" si="171"/>
        <v>0</v>
      </c>
      <c r="I1425" s="1480">
        <v>0</v>
      </c>
      <c r="J1425" s="1480">
        <v>0</v>
      </c>
      <c r="K1425" s="1508"/>
      <c r="L1425" s="1508"/>
      <c r="M1425" s="1509">
        <f t="shared" si="172"/>
        <v>0</v>
      </c>
      <c r="N1425" s="1508">
        <f t="shared" si="173"/>
        <v>0</v>
      </c>
      <c r="O1425" s="1481">
        <f t="shared" si="169"/>
        <v>0</v>
      </c>
      <c r="P1425" s="1427">
        <f t="shared" si="170"/>
        <v>0</v>
      </c>
    </row>
    <row r="1426" spans="1:16" ht="31" outlineLevel="1" x14ac:dyDescent="0.25">
      <c r="A1426" s="1477">
        <f t="shared" si="166"/>
        <v>13</v>
      </c>
      <c r="B1426" s="1478" t="str">
        <f t="shared" si="166"/>
        <v>Replacements Platen Super Heater &amp; Eco Additional of U-5 &amp; U-6 and Upper &amp; Lower LTSH &amp; Eco Bottom assemblies of U-7</v>
      </c>
      <c r="C1426" s="1477" t="str">
        <f t="shared" si="166"/>
        <v>MERC/TECH 1/CAPEX/20132014/01936</v>
      </c>
      <c r="D1426" s="1479">
        <f t="shared" si="166"/>
        <v>41647</v>
      </c>
      <c r="E1426" s="1383">
        <f t="shared" si="166"/>
        <v>76.570000000000007</v>
      </c>
      <c r="F1426" s="1480">
        <f t="shared" si="167"/>
        <v>0</v>
      </c>
      <c r="G1426" s="1480">
        <f t="shared" si="168"/>
        <v>0</v>
      </c>
      <c r="H1426" s="1480">
        <f t="shared" si="171"/>
        <v>0</v>
      </c>
      <c r="I1426" s="1480">
        <v>0</v>
      </c>
      <c r="J1426" s="1480">
        <v>0</v>
      </c>
      <c r="K1426" s="1480"/>
      <c r="L1426" s="1480"/>
      <c r="M1426" s="1480">
        <f t="shared" si="172"/>
        <v>0</v>
      </c>
      <c r="N1426" s="1480">
        <f t="shared" si="173"/>
        <v>0</v>
      </c>
      <c r="O1426" s="1481">
        <f t="shared" si="169"/>
        <v>0</v>
      </c>
      <c r="P1426" s="1427">
        <f t="shared" si="170"/>
        <v>0</v>
      </c>
    </row>
    <row r="1427" spans="1:16" ht="31" outlineLevel="1" x14ac:dyDescent="0.25">
      <c r="A1427" s="1482">
        <f t="shared" si="166"/>
        <v>13.1</v>
      </c>
      <c r="B1427" s="1483" t="str">
        <f t="shared" si="166"/>
        <v>Platen super heater assemblies – 24 nos each for Unit-5 &amp; 6(2 sets)</v>
      </c>
      <c r="C1427" s="1482" t="str">
        <f t="shared" si="166"/>
        <v>MERC/TECH 1/CAPEX/20132014/01936</v>
      </c>
      <c r="D1427" s="1390">
        <f t="shared" si="166"/>
        <v>41647</v>
      </c>
      <c r="E1427" s="560">
        <f t="shared" si="166"/>
        <v>32.76</v>
      </c>
      <c r="F1427" s="1508">
        <f t="shared" si="167"/>
        <v>11.660929755000002</v>
      </c>
      <c r="G1427" s="1508">
        <f t="shared" si="168"/>
        <v>11.660929755000002</v>
      </c>
      <c r="H1427" s="1508">
        <f t="shared" si="171"/>
        <v>0</v>
      </c>
      <c r="I1427" s="1480">
        <v>0</v>
      </c>
      <c r="J1427" s="1480">
        <v>0</v>
      </c>
      <c r="K1427" s="1508"/>
      <c r="L1427" s="1508"/>
      <c r="M1427" s="1509">
        <f t="shared" si="172"/>
        <v>0</v>
      </c>
      <c r="N1427" s="1508">
        <f t="shared" si="173"/>
        <v>0</v>
      </c>
      <c r="O1427" s="1481">
        <f t="shared" si="169"/>
        <v>0</v>
      </c>
      <c r="P1427" s="1427">
        <f t="shared" si="170"/>
        <v>0</v>
      </c>
    </row>
    <row r="1428" spans="1:16" ht="31" outlineLevel="1" x14ac:dyDescent="0.25">
      <c r="A1428" s="1482">
        <f t="shared" si="166"/>
        <v>13.2</v>
      </c>
      <c r="B1428" s="1483" t="str">
        <f t="shared" si="166"/>
        <v>Economizer additional  Assemblies along with cassette baffles – 65 Nos. each for unit-  5 &amp; 6  (2Set )</v>
      </c>
      <c r="C1428" s="1482" t="str">
        <f t="shared" si="166"/>
        <v>MERC/TECH 1/CAPEX/20132014/01936</v>
      </c>
      <c r="D1428" s="1390">
        <f t="shared" si="166"/>
        <v>41647</v>
      </c>
      <c r="E1428" s="560">
        <f t="shared" si="166"/>
        <v>3.88</v>
      </c>
      <c r="F1428" s="1508">
        <f t="shared" si="167"/>
        <v>3.5012203659999996</v>
      </c>
      <c r="G1428" s="1508">
        <f t="shared" si="168"/>
        <v>3.5012203659999996</v>
      </c>
      <c r="H1428" s="1508">
        <f t="shared" si="171"/>
        <v>0</v>
      </c>
      <c r="I1428" s="1480">
        <v>0</v>
      </c>
      <c r="J1428" s="1480">
        <v>0</v>
      </c>
      <c r="K1428" s="1508"/>
      <c r="L1428" s="1508"/>
      <c r="M1428" s="1509">
        <f t="shared" si="172"/>
        <v>0</v>
      </c>
      <c r="N1428" s="1508">
        <f t="shared" si="173"/>
        <v>0</v>
      </c>
      <c r="O1428" s="1481">
        <f t="shared" si="169"/>
        <v>0</v>
      </c>
      <c r="P1428" s="1427">
        <f t="shared" si="170"/>
        <v>0</v>
      </c>
    </row>
    <row r="1429" spans="1:16" ht="31" outlineLevel="1" x14ac:dyDescent="0.25">
      <c r="A1429" s="1482">
        <f t="shared" si="166"/>
        <v>13.3</v>
      </c>
      <c r="B1429" s="1483" t="str">
        <f t="shared" si="166"/>
        <v>Upper LTSH  Assemblies along with cassette baffles – 62 Nos. each for unit – 7 (1 Set)</v>
      </c>
      <c r="C1429" s="1482" t="str">
        <f t="shared" si="166"/>
        <v>MERC/TECH 1/CAPEX/20132014/01936</v>
      </c>
      <c r="D1429" s="1390">
        <f t="shared" si="166"/>
        <v>41647</v>
      </c>
      <c r="E1429" s="560">
        <f t="shared" si="166"/>
        <v>9.81</v>
      </c>
      <c r="F1429" s="1508">
        <f t="shared" si="167"/>
        <v>4.9252947999999996</v>
      </c>
      <c r="G1429" s="1508">
        <f t="shared" si="168"/>
        <v>4.9252947999999996</v>
      </c>
      <c r="H1429" s="1508">
        <f t="shared" si="171"/>
        <v>0</v>
      </c>
      <c r="I1429" s="1480">
        <v>0</v>
      </c>
      <c r="J1429" s="1480">
        <v>0</v>
      </c>
      <c r="K1429" s="1508"/>
      <c r="L1429" s="1508"/>
      <c r="M1429" s="1509">
        <f t="shared" si="172"/>
        <v>0</v>
      </c>
      <c r="N1429" s="1508">
        <f t="shared" si="173"/>
        <v>0</v>
      </c>
      <c r="O1429" s="1481">
        <f t="shared" si="169"/>
        <v>0</v>
      </c>
      <c r="P1429" s="1427">
        <f t="shared" si="170"/>
        <v>0</v>
      </c>
    </row>
    <row r="1430" spans="1:16" ht="31" outlineLevel="1" x14ac:dyDescent="0.25">
      <c r="A1430" s="1482">
        <f t="shared" ref="A1430:E1445" si="174">A760</f>
        <v>13.4</v>
      </c>
      <c r="B1430" s="1483" t="str">
        <f t="shared" si="174"/>
        <v>Lower LTSH  Assemblies along with cassette baffles  – 62Nos. for unit – 7 (1 Set)</v>
      </c>
      <c r="C1430" s="1482" t="str">
        <f t="shared" si="174"/>
        <v>MERC/TECH 1/CAPEX/20132014/01936</v>
      </c>
      <c r="D1430" s="1390">
        <f t="shared" si="174"/>
        <v>41647</v>
      </c>
      <c r="E1430" s="560">
        <f t="shared" si="174"/>
        <v>4.76</v>
      </c>
      <c r="F1430" s="1508">
        <f t="shared" si="167"/>
        <v>2.7667891</v>
      </c>
      <c r="G1430" s="1508">
        <f t="shared" si="168"/>
        <v>2.7667891</v>
      </c>
      <c r="H1430" s="1508">
        <f t="shared" si="171"/>
        <v>0</v>
      </c>
      <c r="I1430" s="1480">
        <v>0</v>
      </c>
      <c r="J1430" s="1480">
        <v>0</v>
      </c>
      <c r="K1430" s="1508"/>
      <c r="L1430" s="1508"/>
      <c r="M1430" s="1509">
        <f t="shared" si="172"/>
        <v>0</v>
      </c>
      <c r="N1430" s="1508">
        <f t="shared" si="173"/>
        <v>0</v>
      </c>
      <c r="O1430" s="1481">
        <f t="shared" si="169"/>
        <v>0</v>
      </c>
      <c r="P1430" s="1427">
        <f t="shared" si="170"/>
        <v>0</v>
      </c>
    </row>
    <row r="1431" spans="1:16" ht="31" outlineLevel="1" x14ac:dyDescent="0.25">
      <c r="A1431" s="1482">
        <f t="shared" si="174"/>
        <v>13.5</v>
      </c>
      <c r="B1431" s="1483" t="str">
        <f t="shared" si="174"/>
        <v>Lower Eco + Eco additional along with cassette baffles  for Unit-7</v>
      </c>
      <c r="C1431" s="1482" t="str">
        <f t="shared" si="174"/>
        <v>MERC/TECH 1/CAPEX/20132014/01936</v>
      </c>
      <c r="D1431" s="1390">
        <f t="shared" si="174"/>
        <v>41647</v>
      </c>
      <c r="E1431" s="560">
        <f t="shared" si="174"/>
        <v>13.41</v>
      </c>
      <c r="F1431" s="1508">
        <f t="shared" si="167"/>
        <v>6.3205716000000001</v>
      </c>
      <c r="G1431" s="1508">
        <f t="shared" si="168"/>
        <v>6.3205716000000001</v>
      </c>
      <c r="H1431" s="1508">
        <f t="shared" si="171"/>
        <v>0</v>
      </c>
      <c r="I1431" s="1480">
        <v>0</v>
      </c>
      <c r="J1431" s="1480">
        <v>0</v>
      </c>
      <c r="K1431" s="1508"/>
      <c r="L1431" s="1508"/>
      <c r="M1431" s="1509">
        <f t="shared" si="172"/>
        <v>0</v>
      </c>
      <c r="N1431" s="1508">
        <f t="shared" si="173"/>
        <v>0</v>
      </c>
      <c r="O1431" s="1481">
        <f t="shared" si="169"/>
        <v>0</v>
      </c>
      <c r="P1431" s="1427">
        <f t="shared" si="170"/>
        <v>0</v>
      </c>
    </row>
    <row r="1432" spans="1:16" ht="31" outlineLevel="1" x14ac:dyDescent="0.25">
      <c r="A1432" s="1482">
        <f t="shared" si="174"/>
        <v>13.6</v>
      </c>
      <c r="B1432" s="1483" t="str">
        <f t="shared" si="174"/>
        <v>Work Cost for Replacement of above Assemblies.</v>
      </c>
      <c r="C1432" s="1482" t="str">
        <f t="shared" si="174"/>
        <v>MERC/TECH 1/CAPEX/20132014/01936</v>
      </c>
      <c r="D1432" s="1390">
        <f t="shared" si="174"/>
        <v>41647</v>
      </c>
      <c r="E1432" s="560">
        <f t="shared" si="174"/>
        <v>5.05</v>
      </c>
      <c r="F1432" s="1508">
        <f t="shared" si="167"/>
        <v>0</v>
      </c>
      <c r="G1432" s="1508">
        <f t="shared" si="168"/>
        <v>0</v>
      </c>
      <c r="H1432" s="1508">
        <f t="shared" si="171"/>
        <v>0</v>
      </c>
      <c r="I1432" s="1480">
        <v>0</v>
      </c>
      <c r="J1432" s="1480">
        <v>0</v>
      </c>
      <c r="K1432" s="1508"/>
      <c r="L1432" s="1508"/>
      <c r="M1432" s="1509">
        <f t="shared" si="172"/>
        <v>0</v>
      </c>
      <c r="N1432" s="1508">
        <f t="shared" si="173"/>
        <v>0</v>
      </c>
      <c r="O1432" s="1481">
        <f t="shared" si="169"/>
        <v>0</v>
      </c>
      <c r="P1432" s="1427">
        <f t="shared" si="170"/>
        <v>0</v>
      </c>
    </row>
    <row r="1433" spans="1:16" ht="31" outlineLevel="1" x14ac:dyDescent="0.25">
      <c r="A1433" s="1482">
        <f t="shared" si="174"/>
        <v>0</v>
      </c>
      <c r="B1433" s="1483" t="str">
        <f t="shared" si="174"/>
        <v>IDC</v>
      </c>
      <c r="C1433" s="1482" t="str">
        <f t="shared" si="174"/>
        <v>MERC/TECH 1/CAPEX/20132014/01936</v>
      </c>
      <c r="D1433" s="1390">
        <f t="shared" si="174"/>
        <v>41647</v>
      </c>
      <c r="E1433" s="560">
        <f t="shared" si="174"/>
        <v>6.9</v>
      </c>
      <c r="F1433" s="1508">
        <f t="shared" si="167"/>
        <v>0</v>
      </c>
      <c r="G1433" s="1508">
        <f t="shared" si="168"/>
        <v>0</v>
      </c>
      <c r="H1433" s="1508">
        <f t="shared" si="171"/>
        <v>0</v>
      </c>
      <c r="I1433" s="1480">
        <v>0</v>
      </c>
      <c r="J1433" s="1480">
        <v>0</v>
      </c>
      <c r="K1433" s="1508"/>
      <c r="L1433" s="1508"/>
      <c r="M1433" s="1509">
        <f t="shared" si="172"/>
        <v>0</v>
      </c>
      <c r="N1433" s="1508">
        <f t="shared" si="173"/>
        <v>0</v>
      </c>
      <c r="O1433" s="1481">
        <f t="shared" si="169"/>
        <v>0</v>
      </c>
      <c r="P1433" s="1427">
        <f t="shared" si="170"/>
        <v>0</v>
      </c>
    </row>
    <row r="1434" spans="1:16" ht="31" outlineLevel="1" x14ac:dyDescent="0.25">
      <c r="A1434" s="1477">
        <f t="shared" si="174"/>
        <v>14</v>
      </c>
      <c r="B1434" s="1478" t="str">
        <f t="shared" si="174"/>
        <v>Procurement of Complete IPT Module for 500MW Unit-7 and Fully Bladed Rotor for LP Turbine of 500 MW Unit-5, 6, &amp; 7</v>
      </c>
      <c r="C1434" s="1477" t="str">
        <f t="shared" si="174"/>
        <v>MERC/TECH 1/CAPEX/20132014/01334</v>
      </c>
      <c r="D1434" s="1479">
        <f t="shared" si="174"/>
        <v>41548</v>
      </c>
      <c r="E1434" s="1383">
        <f t="shared" si="174"/>
        <v>83.823654699999992</v>
      </c>
      <c r="F1434" s="1480">
        <f t="shared" si="167"/>
        <v>0</v>
      </c>
      <c r="G1434" s="1480">
        <f t="shared" si="168"/>
        <v>0</v>
      </c>
      <c r="H1434" s="1480">
        <f t="shared" si="171"/>
        <v>0</v>
      </c>
      <c r="I1434" s="1480">
        <v>0</v>
      </c>
      <c r="J1434" s="1480">
        <v>0</v>
      </c>
      <c r="K1434" s="1480"/>
      <c r="L1434" s="1480"/>
      <c r="M1434" s="1480">
        <f t="shared" si="172"/>
        <v>0</v>
      </c>
      <c r="N1434" s="1480">
        <f t="shared" si="173"/>
        <v>0</v>
      </c>
      <c r="O1434" s="1481">
        <f t="shared" si="169"/>
        <v>0</v>
      </c>
      <c r="P1434" s="1427">
        <f t="shared" si="170"/>
        <v>0</v>
      </c>
    </row>
    <row r="1435" spans="1:16" ht="46.5" outlineLevel="1" x14ac:dyDescent="0.25">
      <c r="A1435" s="1482">
        <f t="shared" si="174"/>
        <v>14.1</v>
      </c>
      <c r="B1435" s="1483" t="str">
        <f t="shared" si="174"/>
        <v>IPT Module complete Type-M30-63 with advance class blading suitable for 500 MW Chandrapur Unit-7, Khaperkheda 1x500, Bhusawal 2x500</v>
      </c>
      <c r="C1435" s="1482" t="str">
        <f t="shared" si="174"/>
        <v>MERC/TECH 1/CAPEX/20132014/01334</v>
      </c>
      <c r="D1435" s="1390">
        <f t="shared" si="174"/>
        <v>41548</v>
      </c>
      <c r="E1435" s="560">
        <f t="shared" si="174"/>
        <v>48.039384900000002</v>
      </c>
      <c r="F1435" s="1508">
        <f t="shared" si="167"/>
        <v>48.039384900000002</v>
      </c>
      <c r="G1435" s="1508">
        <f t="shared" si="168"/>
        <v>48.039384900000002</v>
      </c>
      <c r="H1435" s="1508">
        <f t="shared" si="171"/>
        <v>0</v>
      </c>
      <c r="I1435" s="1480">
        <v>0</v>
      </c>
      <c r="J1435" s="1480">
        <v>0</v>
      </c>
      <c r="K1435" s="1508"/>
      <c r="L1435" s="1508"/>
      <c r="M1435" s="1509">
        <f t="shared" si="172"/>
        <v>0</v>
      </c>
      <c r="N1435" s="1508">
        <f t="shared" si="173"/>
        <v>0</v>
      </c>
      <c r="O1435" s="1481">
        <f t="shared" si="169"/>
        <v>0</v>
      </c>
      <c r="P1435" s="1427">
        <f t="shared" si="170"/>
        <v>0</v>
      </c>
    </row>
    <row r="1436" spans="1:16" ht="31" outlineLevel="1" x14ac:dyDescent="0.25">
      <c r="A1436" s="1482">
        <f t="shared" si="174"/>
        <v>14.2</v>
      </c>
      <c r="B1436" s="1483" t="str">
        <f t="shared" si="174"/>
        <v>Fully bladed dynamically balanced LP Rotor for 500 MW Units-5,6 &amp;7 at Chandrapur STPS</v>
      </c>
      <c r="C1436" s="1482" t="str">
        <f t="shared" si="174"/>
        <v>MERC/TECH 1/CAPEX/20132014/01334</v>
      </c>
      <c r="D1436" s="1390">
        <f t="shared" si="174"/>
        <v>41548</v>
      </c>
      <c r="E1436" s="560">
        <f t="shared" si="174"/>
        <v>35.784269799999997</v>
      </c>
      <c r="F1436" s="1508">
        <f t="shared" si="167"/>
        <v>35.784269799999997</v>
      </c>
      <c r="G1436" s="1508">
        <f t="shared" si="168"/>
        <v>35.784269799999997</v>
      </c>
      <c r="H1436" s="1508">
        <f t="shared" si="171"/>
        <v>0</v>
      </c>
      <c r="I1436" s="1480">
        <v>0</v>
      </c>
      <c r="J1436" s="1480">
        <v>0</v>
      </c>
      <c r="K1436" s="1508"/>
      <c r="L1436" s="1508"/>
      <c r="M1436" s="1509">
        <f t="shared" si="172"/>
        <v>0</v>
      </c>
      <c r="N1436" s="1508">
        <f t="shared" si="173"/>
        <v>0</v>
      </c>
      <c r="O1436" s="1481">
        <f t="shared" si="169"/>
        <v>0</v>
      </c>
      <c r="P1436" s="1427">
        <f t="shared" si="170"/>
        <v>0</v>
      </c>
    </row>
    <row r="1437" spans="1:16" ht="31" outlineLevel="1" x14ac:dyDescent="0.25">
      <c r="A1437" s="1477">
        <f t="shared" si="174"/>
        <v>15</v>
      </c>
      <c r="B1437" s="1478" t="str">
        <f t="shared" si="174"/>
        <v>Performance Improvement of Air Preheater Unit 1 &amp; 2 CSTPS Chandrapur</v>
      </c>
      <c r="C1437" s="1477" t="str">
        <f t="shared" si="174"/>
        <v>MERC/TECH 1/CAPEX/20132014/01431</v>
      </c>
      <c r="D1437" s="1479">
        <f t="shared" si="174"/>
        <v>41565</v>
      </c>
      <c r="E1437" s="1383">
        <f t="shared" si="174"/>
        <v>11.1699751</v>
      </c>
      <c r="F1437" s="1480">
        <f t="shared" si="167"/>
        <v>0</v>
      </c>
      <c r="G1437" s="1480">
        <f t="shared" si="168"/>
        <v>0</v>
      </c>
      <c r="H1437" s="1480">
        <f t="shared" si="171"/>
        <v>0</v>
      </c>
      <c r="I1437" s="1480">
        <v>0</v>
      </c>
      <c r="J1437" s="1480">
        <v>0</v>
      </c>
      <c r="K1437" s="1480"/>
      <c r="L1437" s="1480"/>
      <c r="M1437" s="1480">
        <f t="shared" si="172"/>
        <v>0</v>
      </c>
      <c r="N1437" s="1480">
        <f t="shared" si="173"/>
        <v>0</v>
      </c>
      <c r="O1437" s="1481">
        <f t="shared" si="169"/>
        <v>0</v>
      </c>
      <c r="P1437" s="1427">
        <f t="shared" si="170"/>
        <v>0</v>
      </c>
    </row>
    <row r="1438" spans="1:16" ht="31" outlineLevel="1" x14ac:dyDescent="0.25">
      <c r="A1438" s="1482">
        <f t="shared" si="174"/>
        <v>15.1</v>
      </c>
      <c r="B1438" s="1483" t="str">
        <f t="shared" si="174"/>
        <v xml:space="preserve">supply of MSERW / high frequency induction welding tubes for Air pre-heater in Unit 1&amp;2 </v>
      </c>
      <c r="C1438" s="1482" t="str">
        <f t="shared" si="174"/>
        <v>MERC/TECH 1/CAPEX/20132014/01431</v>
      </c>
      <c r="D1438" s="1390">
        <f t="shared" si="174"/>
        <v>41565</v>
      </c>
      <c r="E1438" s="560">
        <f t="shared" si="174"/>
        <v>8.8553540000000002</v>
      </c>
      <c r="F1438" s="1508">
        <f t="shared" si="167"/>
        <v>0</v>
      </c>
      <c r="G1438" s="1508">
        <f t="shared" si="168"/>
        <v>0</v>
      </c>
      <c r="H1438" s="1508">
        <f t="shared" si="171"/>
        <v>0</v>
      </c>
      <c r="I1438" s="1480">
        <v>0</v>
      </c>
      <c r="J1438" s="1480">
        <v>0</v>
      </c>
      <c r="K1438" s="1508"/>
      <c r="L1438" s="1508"/>
      <c r="M1438" s="1509">
        <f t="shared" si="172"/>
        <v>0</v>
      </c>
      <c r="N1438" s="1508">
        <f t="shared" si="173"/>
        <v>0</v>
      </c>
      <c r="O1438" s="1481">
        <f t="shared" si="169"/>
        <v>0</v>
      </c>
      <c r="P1438" s="1427">
        <f t="shared" si="170"/>
        <v>0</v>
      </c>
    </row>
    <row r="1439" spans="1:16" ht="31" outlineLevel="1" x14ac:dyDescent="0.25">
      <c r="A1439" s="1482">
        <f t="shared" si="174"/>
        <v>15.2</v>
      </c>
      <c r="B1439" s="1483" t="str">
        <f t="shared" si="174"/>
        <v xml:space="preserve">Compete Replacement of the air heater tubes in top ,intermediate and bottom bank(LHS and RHS) of unit 1 &amp; 2 </v>
      </c>
      <c r="C1439" s="1482" t="str">
        <f t="shared" si="174"/>
        <v>MERC/TECH 1/CAPEX/20132014/01431</v>
      </c>
      <c r="D1439" s="1390">
        <f t="shared" si="174"/>
        <v>41565</v>
      </c>
      <c r="E1439" s="560">
        <f t="shared" si="174"/>
        <v>2.14452</v>
      </c>
      <c r="F1439" s="1508">
        <f t="shared" si="167"/>
        <v>0</v>
      </c>
      <c r="G1439" s="1508">
        <f t="shared" si="168"/>
        <v>0</v>
      </c>
      <c r="H1439" s="1508">
        <f t="shared" si="171"/>
        <v>0</v>
      </c>
      <c r="I1439" s="1480">
        <v>0</v>
      </c>
      <c r="J1439" s="1480">
        <v>0</v>
      </c>
      <c r="K1439" s="1508"/>
      <c r="L1439" s="1508"/>
      <c r="M1439" s="1509">
        <f t="shared" si="172"/>
        <v>0</v>
      </c>
      <c r="N1439" s="1508">
        <f t="shared" si="173"/>
        <v>0</v>
      </c>
      <c r="O1439" s="1481">
        <f t="shared" si="169"/>
        <v>0</v>
      </c>
      <c r="P1439" s="1427">
        <f t="shared" si="170"/>
        <v>0</v>
      </c>
    </row>
    <row r="1440" spans="1:16" ht="31" outlineLevel="1" x14ac:dyDescent="0.25">
      <c r="A1440" s="1482">
        <f t="shared" si="174"/>
        <v>0</v>
      </c>
      <c r="B1440" s="1483" t="str">
        <f t="shared" si="174"/>
        <v>IDC</v>
      </c>
      <c r="C1440" s="1482" t="str">
        <f t="shared" si="174"/>
        <v>MERC/TECH 1/CAPEX/20132014/01431</v>
      </c>
      <c r="D1440" s="1390">
        <f t="shared" si="174"/>
        <v>41565</v>
      </c>
      <c r="E1440" s="560">
        <f t="shared" si="174"/>
        <v>0.17010110000000001</v>
      </c>
      <c r="F1440" s="1508">
        <f t="shared" si="167"/>
        <v>0</v>
      </c>
      <c r="G1440" s="1508">
        <f t="shared" si="168"/>
        <v>0</v>
      </c>
      <c r="H1440" s="1508">
        <f t="shared" si="171"/>
        <v>0</v>
      </c>
      <c r="I1440" s="1480">
        <v>0</v>
      </c>
      <c r="J1440" s="1480">
        <v>0</v>
      </c>
      <c r="K1440" s="1508"/>
      <c r="L1440" s="1508"/>
      <c r="M1440" s="1509">
        <f t="shared" si="172"/>
        <v>0</v>
      </c>
      <c r="N1440" s="1508">
        <f t="shared" si="173"/>
        <v>0</v>
      </c>
      <c r="O1440" s="1481">
        <f t="shared" si="169"/>
        <v>0</v>
      </c>
      <c r="P1440" s="1427">
        <f t="shared" si="170"/>
        <v>0</v>
      </c>
    </row>
    <row r="1441" spans="1:16" ht="31" outlineLevel="1" x14ac:dyDescent="0.25">
      <c r="A1441" s="1477">
        <f t="shared" si="174"/>
        <v>16</v>
      </c>
      <c r="B1441" s="1478" t="str">
        <f t="shared" si="174"/>
        <v>Procurement &amp; Replacement of heating elements (baskets) of primary and secondary air pre-heaters of unit # 5 &amp; 6</v>
      </c>
      <c r="C1441" s="1477" t="str">
        <f t="shared" si="174"/>
        <v>MERC/TECH 1/CAPEX/20142015/00432</v>
      </c>
      <c r="D1441" s="1479">
        <f t="shared" si="174"/>
        <v>41792</v>
      </c>
      <c r="E1441" s="1383">
        <f t="shared" si="174"/>
        <v>11.7446</v>
      </c>
      <c r="F1441" s="1480">
        <f t="shared" si="167"/>
        <v>0</v>
      </c>
      <c r="G1441" s="1480">
        <f t="shared" si="168"/>
        <v>0</v>
      </c>
      <c r="H1441" s="1480">
        <f t="shared" si="171"/>
        <v>0</v>
      </c>
      <c r="I1441" s="1480">
        <v>0</v>
      </c>
      <c r="J1441" s="1480">
        <v>0</v>
      </c>
      <c r="K1441" s="1480"/>
      <c r="L1441" s="1480"/>
      <c r="M1441" s="1480">
        <f t="shared" si="172"/>
        <v>0</v>
      </c>
      <c r="N1441" s="1480">
        <f t="shared" si="173"/>
        <v>0</v>
      </c>
      <c r="O1441" s="1481">
        <f t="shared" si="169"/>
        <v>0</v>
      </c>
      <c r="P1441" s="1427">
        <f t="shared" si="170"/>
        <v>0</v>
      </c>
    </row>
    <row r="1442" spans="1:16" ht="31" outlineLevel="1" x14ac:dyDescent="0.25">
      <c r="A1442" s="1482">
        <f t="shared" si="174"/>
        <v>16.100000000000001</v>
      </c>
      <c r="B1442" s="1483" t="str">
        <f t="shared" si="174"/>
        <v>Primary  &amp;  Secondary Air Pre-heater baskets hot end, intermediate  &amp; cold end (2 sets) for U-5 (Including works cost)</v>
      </c>
      <c r="C1442" s="1482" t="str">
        <f t="shared" si="174"/>
        <v>MERC/TECH 1/CAPEX/20142015/00432</v>
      </c>
      <c r="D1442" s="1390">
        <f t="shared" si="174"/>
        <v>41792</v>
      </c>
      <c r="E1442" s="560">
        <f t="shared" si="174"/>
        <v>5.5023</v>
      </c>
      <c r="F1442" s="1508">
        <f t="shared" si="167"/>
        <v>4.2318929900000004</v>
      </c>
      <c r="G1442" s="1508">
        <f t="shared" si="168"/>
        <v>4.2318929900000004</v>
      </c>
      <c r="H1442" s="1508">
        <f t="shared" si="171"/>
        <v>0</v>
      </c>
      <c r="I1442" s="1480">
        <v>0</v>
      </c>
      <c r="J1442" s="1480">
        <v>0</v>
      </c>
      <c r="K1442" s="1508"/>
      <c r="L1442" s="1508"/>
      <c r="M1442" s="1509">
        <f t="shared" si="172"/>
        <v>0</v>
      </c>
      <c r="N1442" s="1508">
        <f t="shared" si="173"/>
        <v>0</v>
      </c>
      <c r="O1442" s="1481">
        <f t="shared" si="169"/>
        <v>0</v>
      </c>
      <c r="P1442" s="1427">
        <f t="shared" si="170"/>
        <v>0</v>
      </c>
    </row>
    <row r="1443" spans="1:16" ht="31" outlineLevel="1" x14ac:dyDescent="0.25">
      <c r="A1443" s="1482">
        <f t="shared" si="174"/>
        <v>16.2</v>
      </c>
      <c r="B1443" s="1483" t="str">
        <f t="shared" si="174"/>
        <v>Primary  &amp;  Secondary Air Pre-heater baskets hot end, intermediate  &amp; cold end (2 sets) for U-6 (Including works cost)</v>
      </c>
      <c r="C1443" s="1482" t="str">
        <f t="shared" si="174"/>
        <v>MERC/TECH 1/CAPEX/20142015/00432</v>
      </c>
      <c r="D1443" s="1390">
        <f t="shared" si="174"/>
        <v>41792</v>
      </c>
      <c r="E1443" s="560">
        <f t="shared" si="174"/>
        <v>5.5023</v>
      </c>
      <c r="F1443" s="1508">
        <f t="shared" si="167"/>
        <v>4.5024009140000008</v>
      </c>
      <c r="G1443" s="1508">
        <f t="shared" si="168"/>
        <v>4.5024009140000008</v>
      </c>
      <c r="H1443" s="1508">
        <f t="shared" si="171"/>
        <v>0</v>
      </c>
      <c r="I1443" s="1480">
        <v>0</v>
      </c>
      <c r="J1443" s="1480">
        <v>0</v>
      </c>
      <c r="K1443" s="1508"/>
      <c r="L1443" s="1508"/>
      <c r="M1443" s="1509">
        <f t="shared" si="172"/>
        <v>0</v>
      </c>
      <c r="N1443" s="1508">
        <f t="shared" si="173"/>
        <v>0</v>
      </c>
      <c r="O1443" s="1481">
        <f t="shared" si="169"/>
        <v>0</v>
      </c>
      <c r="P1443" s="1427">
        <f t="shared" si="170"/>
        <v>0</v>
      </c>
    </row>
    <row r="1444" spans="1:16" ht="31" outlineLevel="1" x14ac:dyDescent="0.25">
      <c r="A1444" s="1482">
        <f t="shared" si="174"/>
        <v>0</v>
      </c>
      <c r="B1444" s="1483" t="str">
        <f t="shared" si="174"/>
        <v>IDC</v>
      </c>
      <c r="C1444" s="1482" t="str">
        <f t="shared" si="174"/>
        <v>MERC/TECH 1/CAPEX/20142015/00432</v>
      </c>
      <c r="D1444" s="1390">
        <f t="shared" si="174"/>
        <v>41792</v>
      </c>
      <c r="E1444" s="560">
        <f t="shared" si="174"/>
        <v>0.74</v>
      </c>
      <c r="F1444" s="1508">
        <f t="shared" si="167"/>
        <v>0</v>
      </c>
      <c r="G1444" s="1508">
        <f t="shared" si="168"/>
        <v>0</v>
      </c>
      <c r="H1444" s="1508">
        <f t="shared" si="171"/>
        <v>0</v>
      </c>
      <c r="I1444" s="1480">
        <v>0</v>
      </c>
      <c r="J1444" s="1480">
        <v>0</v>
      </c>
      <c r="K1444" s="1508"/>
      <c r="L1444" s="1508"/>
      <c r="M1444" s="1509">
        <f t="shared" si="172"/>
        <v>0</v>
      </c>
      <c r="N1444" s="1508">
        <f t="shared" si="173"/>
        <v>0</v>
      </c>
      <c r="O1444" s="1481">
        <f t="shared" si="169"/>
        <v>0</v>
      </c>
      <c r="P1444" s="1427">
        <f t="shared" si="170"/>
        <v>0</v>
      </c>
    </row>
    <row r="1445" spans="1:16" ht="31" outlineLevel="1" x14ac:dyDescent="0.25">
      <c r="A1445" s="1486">
        <f t="shared" si="174"/>
        <v>17</v>
      </c>
      <c r="B1445" s="1491" t="str">
        <f t="shared" si="174"/>
        <v>Procurement of moving blades for LP Turbine, Control Fluid Pumps &amp; AOP of 500MW Unit 5,6 &amp;7</v>
      </c>
      <c r="C1445" s="1486" t="str">
        <f t="shared" si="174"/>
        <v>MERC/TECH 1/CAPEX/20142015/0010</v>
      </c>
      <c r="D1445" s="1487">
        <f t="shared" si="174"/>
        <v>41928</v>
      </c>
      <c r="E1445" s="1383">
        <f t="shared" si="174"/>
        <v>19.310244699999998</v>
      </c>
      <c r="F1445" s="1480">
        <f t="shared" si="167"/>
        <v>0</v>
      </c>
      <c r="G1445" s="1480">
        <f t="shared" si="168"/>
        <v>0</v>
      </c>
      <c r="H1445" s="1480">
        <f t="shared" si="171"/>
        <v>0</v>
      </c>
      <c r="I1445" s="1480">
        <v>0</v>
      </c>
      <c r="J1445" s="1480">
        <v>0</v>
      </c>
      <c r="K1445" s="1480"/>
      <c r="L1445" s="1480"/>
      <c r="M1445" s="1480">
        <f t="shared" si="172"/>
        <v>0</v>
      </c>
      <c r="N1445" s="1480">
        <f t="shared" si="173"/>
        <v>0</v>
      </c>
      <c r="O1445" s="1481">
        <f t="shared" si="169"/>
        <v>0</v>
      </c>
      <c r="P1445" s="1427">
        <f t="shared" si="170"/>
        <v>0</v>
      </c>
    </row>
    <row r="1446" spans="1:16" ht="62" outlineLevel="1" x14ac:dyDescent="0.25">
      <c r="A1446" s="1488">
        <f t="shared" ref="A1446:E1461" si="175">A776</f>
        <v>17.100000000000001</v>
      </c>
      <c r="B1446" s="1492" t="str">
        <f t="shared" si="175"/>
        <v>Moving blades for LPT—2L
Moving blades for LPT—2R
Moving blades for LPT—3L
Moving blades for LPT—3R</v>
      </c>
      <c r="C1446" s="1488" t="str">
        <f t="shared" si="175"/>
        <v>MERC/TECH 1/CAPEX/20142015/0010</v>
      </c>
      <c r="D1446" s="1413">
        <f t="shared" si="175"/>
        <v>41928</v>
      </c>
      <c r="E1446" s="560">
        <f t="shared" si="175"/>
        <v>13.5092</v>
      </c>
      <c r="F1446" s="1508">
        <f t="shared" si="167"/>
        <v>5.3885199799999999</v>
      </c>
      <c r="G1446" s="1508">
        <f t="shared" si="168"/>
        <v>5.3885199799999999</v>
      </c>
      <c r="H1446" s="1508">
        <f t="shared" si="171"/>
        <v>0</v>
      </c>
      <c r="I1446" s="1480">
        <v>0</v>
      </c>
      <c r="J1446" s="1480">
        <v>0</v>
      </c>
      <c r="K1446" s="1508"/>
      <c r="L1446" s="1508"/>
      <c r="M1446" s="1509">
        <f t="shared" si="172"/>
        <v>0</v>
      </c>
      <c r="N1446" s="1508">
        <f t="shared" si="173"/>
        <v>0</v>
      </c>
      <c r="O1446" s="1481">
        <f t="shared" si="169"/>
        <v>0</v>
      </c>
      <c r="P1446" s="1427">
        <f t="shared" si="170"/>
        <v>0</v>
      </c>
    </row>
    <row r="1447" spans="1:16" ht="93" outlineLevel="1" x14ac:dyDescent="0.25">
      <c r="A1447" s="1488">
        <f t="shared" si="175"/>
        <v>17.2</v>
      </c>
      <c r="B1447" s="1492" t="str">
        <f t="shared" si="175"/>
        <v>1. Control Fluid Pump for 500 MW Unit-5&amp;6_KSB Make- Type : WKVM 100/1+4
2. Control Fluid Pump for 500 MW Unit-7_KSB Make- Type : WKVM 80/1+3
3. Aux. Oil Pump for Main Turbine of 500 MW Unit-5,6&amp; 7
KSB Make- Type : ETA 150-50VL</v>
      </c>
      <c r="C1447" s="1488" t="str">
        <f t="shared" si="175"/>
        <v>MERC/TECH 1/CAPEX/20142015/0010</v>
      </c>
      <c r="D1447" s="1413">
        <f t="shared" si="175"/>
        <v>41928</v>
      </c>
      <c r="E1447" s="560">
        <f t="shared" si="175"/>
        <v>4.5510447000000003</v>
      </c>
      <c r="F1447" s="1508">
        <f t="shared" si="167"/>
        <v>2.3470200000000001</v>
      </c>
      <c r="G1447" s="1508">
        <f t="shared" si="168"/>
        <v>2.3470200000000001</v>
      </c>
      <c r="H1447" s="1508">
        <f t="shared" si="171"/>
        <v>0</v>
      </c>
      <c r="I1447" s="1480">
        <v>3.5</v>
      </c>
      <c r="J1447" s="1480">
        <v>3.5</v>
      </c>
      <c r="K1447" s="1508"/>
      <c r="L1447" s="1508"/>
      <c r="M1447" s="1509">
        <f t="shared" si="172"/>
        <v>3.5</v>
      </c>
      <c r="N1447" s="1508">
        <f t="shared" si="173"/>
        <v>0</v>
      </c>
      <c r="O1447" s="1481">
        <f t="shared" si="169"/>
        <v>2.2040247000000002</v>
      </c>
      <c r="P1447" s="1427">
        <f t="shared" si="170"/>
        <v>1.2959752999999998</v>
      </c>
    </row>
    <row r="1448" spans="1:16" ht="31" outlineLevel="1" x14ac:dyDescent="0.25">
      <c r="A1448" s="1482">
        <f t="shared" si="175"/>
        <v>0</v>
      </c>
      <c r="B1448" s="1483" t="str">
        <f t="shared" si="175"/>
        <v>IDC</v>
      </c>
      <c r="C1448" s="1482" t="str">
        <f t="shared" si="175"/>
        <v>MERC/TECH 1/CAPEX/20142015/0010</v>
      </c>
      <c r="D1448" s="1390">
        <f t="shared" si="175"/>
        <v>41928</v>
      </c>
      <c r="E1448" s="560">
        <f t="shared" si="175"/>
        <v>1.25</v>
      </c>
      <c r="F1448" s="1508">
        <f t="shared" si="167"/>
        <v>0</v>
      </c>
      <c r="G1448" s="1508">
        <f t="shared" si="168"/>
        <v>0</v>
      </c>
      <c r="H1448" s="1508">
        <f t="shared" si="171"/>
        <v>0</v>
      </c>
      <c r="I1448" s="1480">
        <v>0</v>
      </c>
      <c r="J1448" s="1480">
        <v>0</v>
      </c>
      <c r="K1448" s="1508"/>
      <c r="L1448" s="1508"/>
      <c r="M1448" s="1509">
        <f t="shared" si="172"/>
        <v>0</v>
      </c>
      <c r="N1448" s="1508">
        <f t="shared" si="173"/>
        <v>0</v>
      </c>
      <c r="O1448" s="1481">
        <f t="shared" si="169"/>
        <v>0</v>
      </c>
      <c r="P1448" s="1427">
        <f t="shared" si="170"/>
        <v>0</v>
      </c>
    </row>
    <row r="1449" spans="1:16" ht="31" outlineLevel="1" x14ac:dyDescent="0.25">
      <c r="A1449" s="1477">
        <f t="shared" si="175"/>
        <v>18</v>
      </c>
      <c r="B1449" s="1478" t="str">
        <f t="shared" si="175"/>
        <v>Procurement of Gear Box &amp; Wear Resistance liners for coal mills of Unit#5&amp;6 &amp; Supply of Gear Box for Coal Mills of Unit#7</v>
      </c>
      <c r="C1449" s="1477" t="str">
        <f t="shared" si="175"/>
        <v>MERC/TECH 1/CAPEX/20142015/01220</v>
      </c>
      <c r="D1449" s="1479">
        <f t="shared" si="175"/>
        <v>41968</v>
      </c>
      <c r="E1449" s="1383">
        <f t="shared" si="175"/>
        <v>11.914453259999998</v>
      </c>
      <c r="F1449" s="1480">
        <f t="shared" si="167"/>
        <v>0</v>
      </c>
      <c r="G1449" s="1480">
        <f t="shared" si="168"/>
        <v>0</v>
      </c>
      <c r="H1449" s="1480">
        <f t="shared" si="171"/>
        <v>0</v>
      </c>
      <c r="I1449" s="1480">
        <v>0</v>
      </c>
      <c r="J1449" s="1480">
        <v>0</v>
      </c>
      <c r="K1449" s="1480"/>
      <c r="L1449" s="1480"/>
      <c r="M1449" s="1480">
        <f t="shared" si="172"/>
        <v>0</v>
      </c>
      <c r="N1449" s="1480">
        <f t="shared" si="173"/>
        <v>0</v>
      </c>
      <c r="O1449" s="1481">
        <f t="shared" si="169"/>
        <v>0</v>
      </c>
      <c r="P1449" s="1427">
        <f t="shared" si="170"/>
        <v>0</v>
      </c>
    </row>
    <row r="1450" spans="1:16" ht="62" outlineLevel="1" x14ac:dyDescent="0.25">
      <c r="A1450" s="1482">
        <f t="shared" si="175"/>
        <v>18.100000000000001</v>
      </c>
      <c r="B1450" s="1483" t="str">
        <f t="shared" si="175"/>
        <v>Complete bevel gear stage consisting of pinion with part nos 100, 106, 107, 109, 110, 158, 159 and gear with part nos 102, 401, 402, 12 X 403 of Flender make Bocholt KMS 850 Gear Boxes of XRP-1043 Coal Mill in Unit#5&amp;6.</v>
      </c>
      <c r="C1450" s="1482" t="str">
        <f t="shared" si="175"/>
        <v>MERC/TECH 1/CAPEX/20142015/01220</v>
      </c>
      <c r="D1450" s="1390">
        <f t="shared" si="175"/>
        <v>41968</v>
      </c>
      <c r="E1450" s="560">
        <f t="shared" si="175"/>
        <v>4.4387999999999996</v>
      </c>
      <c r="F1450" s="1508">
        <f t="shared" si="167"/>
        <v>1.621920096</v>
      </c>
      <c r="G1450" s="1508">
        <f t="shared" si="168"/>
        <v>1.621920096</v>
      </c>
      <c r="H1450" s="1508">
        <f t="shared" si="171"/>
        <v>0</v>
      </c>
      <c r="I1450" s="1480">
        <v>0</v>
      </c>
      <c r="J1450" s="1480">
        <v>0</v>
      </c>
      <c r="K1450" s="1508"/>
      <c r="L1450" s="1508"/>
      <c r="M1450" s="1509">
        <f t="shared" si="172"/>
        <v>0</v>
      </c>
      <c r="N1450" s="1508">
        <f t="shared" si="173"/>
        <v>0</v>
      </c>
      <c r="O1450" s="1481">
        <f t="shared" si="169"/>
        <v>0</v>
      </c>
      <c r="P1450" s="1427">
        <f t="shared" si="170"/>
        <v>0</v>
      </c>
    </row>
    <row r="1451" spans="1:16" ht="31" outlineLevel="1" x14ac:dyDescent="0.25">
      <c r="A1451" s="1482">
        <f t="shared" si="175"/>
        <v>18.2</v>
      </c>
      <c r="B1451" s="1483" t="str">
        <f t="shared" si="175"/>
        <v>Manufacturing, Supply and Application of Wear Resistance Liners inside the mill body of XRP 1043 Coal Mill in unit-5&amp;6</v>
      </c>
      <c r="C1451" s="1482" t="str">
        <f t="shared" si="175"/>
        <v>MERC/TECH 1/CAPEX/20142015/01220</v>
      </c>
      <c r="D1451" s="1390">
        <f t="shared" si="175"/>
        <v>41968</v>
      </c>
      <c r="E1451" s="560">
        <f t="shared" si="175"/>
        <v>2.2756532600000003</v>
      </c>
      <c r="F1451" s="1508">
        <f t="shared" si="167"/>
        <v>2.2756532600000003</v>
      </c>
      <c r="G1451" s="1508">
        <f t="shared" si="168"/>
        <v>2.2756532600000003</v>
      </c>
      <c r="H1451" s="1508">
        <f t="shared" si="171"/>
        <v>0</v>
      </c>
      <c r="I1451" s="1480">
        <v>0</v>
      </c>
      <c r="J1451" s="1480">
        <v>0</v>
      </c>
      <c r="K1451" s="1508"/>
      <c r="L1451" s="1508"/>
      <c r="M1451" s="1509">
        <f t="shared" si="172"/>
        <v>0</v>
      </c>
      <c r="N1451" s="1508">
        <f t="shared" si="173"/>
        <v>0</v>
      </c>
      <c r="O1451" s="1481">
        <f t="shared" si="169"/>
        <v>0</v>
      </c>
      <c r="P1451" s="1427">
        <f t="shared" si="170"/>
        <v>0</v>
      </c>
    </row>
    <row r="1452" spans="1:16" ht="62" outlineLevel="1" x14ac:dyDescent="0.25">
      <c r="A1452" s="1482">
        <f t="shared" si="175"/>
        <v>18.3</v>
      </c>
      <c r="B1452" s="1483" t="str">
        <f t="shared" si="175"/>
        <v>Complete Gear Box type H2C630 without coupling, without lubrication unit. As per order CMD ref: 20/0900212-GA Dwg No 524932 and as per attached list for main reducer gear box of coal mill BBD 4772 in Unit#7.</v>
      </c>
      <c r="C1452" s="1482" t="str">
        <f t="shared" si="175"/>
        <v>MERC/TECH 1/CAPEX/20142015/01220</v>
      </c>
      <c r="D1452" s="1390">
        <f t="shared" si="175"/>
        <v>41968</v>
      </c>
      <c r="E1452" s="560">
        <f t="shared" si="175"/>
        <v>4.4664999999999999</v>
      </c>
      <c r="F1452" s="1508">
        <f t="shared" si="167"/>
        <v>2.2257651389999999</v>
      </c>
      <c r="G1452" s="1508">
        <f t="shared" si="168"/>
        <v>2.2257651389999999</v>
      </c>
      <c r="H1452" s="1508">
        <f t="shared" si="171"/>
        <v>0</v>
      </c>
      <c r="I1452" s="1480">
        <v>0</v>
      </c>
      <c r="J1452" s="1480">
        <v>0</v>
      </c>
      <c r="K1452" s="1508"/>
      <c r="L1452" s="1508"/>
      <c r="M1452" s="1509">
        <f t="shared" si="172"/>
        <v>0</v>
      </c>
      <c r="N1452" s="1508">
        <f t="shared" si="173"/>
        <v>0</v>
      </c>
      <c r="O1452" s="1481">
        <f t="shared" si="169"/>
        <v>0</v>
      </c>
      <c r="P1452" s="1427">
        <f t="shared" si="170"/>
        <v>0</v>
      </c>
    </row>
    <row r="1453" spans="1:16" ht="31" outlineLevel="1" x14ac:dyDescent="0.25">
      <c r="A1453" s="1482">
        <f t="shared" si="175"/>
        <v>0</v>
      </c>
      <c r="B1453" s="1483" t="str">
        <f t="shared" si="175"/>
        <v>IDC</v>
      </c>
      <c r="C1453" s="1482" t="str">
        <f t="shared" si="175"/>
        <v>MERC/TECH 1/CAPEX/20142015/01220</v>
      </c>
      <c r="D1453" s="1390">
        <f t="shared" si="175"/>
        <v>41968</v>
      </c>
      <c r="E1453" s="560">
        <f t="shared" si="175"/>
        <v>0.73350000000000004</v>
      </c>
      <c r="F1453" s="1508">
        <f t="shared" si="167"/>
        <v>0</v>
      </c>
      <c r="G1453" s="1508">
        <f t="shared" si="168"/>
        <v>0</v>
      </c>
      <c r="H1453" s="1508">
        <f t="shared" si="171"/>
        <v>0</v>
      </c>
      <c r="I1453" s="1480">
        <v>0</v>
      </c>
      <c r="J1453" s="1480">
        <v>0</v>
      </c>
      <c r="K1453" s="1508"/>
      <c r="L1453" s="1508"/>
      <c r="M1453" s="1509">
        <f t="shared" si="172"/>
        <v>0</v>
      </c>
      <c r="N1453" s="1508">
        <f t="shared" si="173"/>
        <v>0</v>
      </c>
      <c r="O1453" s="1481">
        <f t="shared" si="169"/>
        <v>0</v>
      </c>
      <c r="P1453" s="1427">
        <f t="shared" si="170"/>
        <v>0</v>
      </c>
    </row>
    <row r="1454" spans="1:16" ht="31" outlineLevel="1" x14ac:dyDescent="0.25">
      <c r="A1454" s="1477">
        <f t="shared" si="175"/>
        <v>19</v>
      </c>
      <c r="B1454" s="1478" t="str">
        <f t="shared" si="175"/>
        <v>Procurement &amp; Replacement of Condenser tubes for 500MW Unit-6 &amp; BFP cartridge for Unit 5, 6 &amp; 7</v>
      </c>
      <c r="C1454" s="1477" t="str">
        <f t="shared" si="175"/>
        <v>MERC/TECH 1/CAPEX/20142015/00950</v>
      </c>
      <c r="D1454" s="1479">
        <f t="shared" si="175"/>
        <v>41893</v>
      </c>
      <c r="E1454" s="1383">
        <f t="shared" si="175"/>
        <v>13.163734</v>
      </c>
      <c r="F1454" s="1480">
        <f t="shared" si="167"/>
        <v>0</v>
      </c>
      <c r="G1454" s="1480">
        <f t="shared" si="168"/>
        <v>0</v>
      </c>
      <c r="H1454" s="1480">
        <f t="shared" si="171"/>
        <v>0</v>
      </c>
      <c r="I1454" s="1480">
        <v>0</v>
      </c>
      <c r="J1454" s="1480">
        <v>0</v>
      </c>
      <c r="K1454" s="1480"/>
      <c r="L1454" s="1480"/>
      <c r="M1454" s="1480">
        <f t="shared" si="172"/>
        <v>0</v>
      </c>
      <c r="N1454" s="1480">
        <f t="shared" si="173"/>
        <v>0</v>
      </c>
      <c r="O1454" s="1481">
        <f t="shared" si="169"/>
        <v>0</v>
      </c>
      <c r="P1454" s="1427">
        <f t="shared" si="170"/>
        <v>0</v>
      </c>
    </row>
    <row r="1455" spans="1:16" ht="31" outlineLevel="1" x14ac:dyDescent="0.25">
      <c r="A1455" s="1482">
        <f t="shared" si="175"/>
        <v>19.100000000000001</v>
      </c>
      <c r="B1455" s="1483" t="str">
        <f t="shared" si="175"/>
        <v>Procurement of Cartridge Assembly for Boiler Feed Pump type FK 4E 36</v>
      </c>
      <c r="C1455" s="1482" t="str">
        <f t="shared" si="175"/>
        <v>MERC/TECH 1/CAPEX/20142015/00950</v>
      </c>
      <c r="D1455" s="1390">
        <f t="shared" si="175"/>
        <v>41893</v>
      </c>
      <c r="E1455" s="560">
        <f t="shared" si="175"/>
        <v>4.87</v>
      </c>
      <c r="F1455" s="1508">
        <f t="shared" si="167"/>
        <v>2.8937499999999998</v>
      </c>
      <c r="G1455" s="1508">
        <f t="shared" si="168"/>
        <v>2.8937499999999998</v>
      </c>
      <c r="H1455" s="1508">
        <f t="shared" si="171"/>
        <v>0</v>
      </c>
      <c r="I1455" s="1480">
        <v>0</v>
      </c>
      <c r="J1455" s="1480">
        <v>0</v>
      </c>
      <c r="K1455" s="1508"/>
      <c r="L1455" s="1508"/>
      <c r="M1455" s="1509">
        <f t="shared" si="172"/>
        <v>0</v>
      </c>
      <c r="N1455" s="1508">
        <f t="shared" si="173"/>
        <v>0</v>
      </c>
      <c r="O1455" s="1481">
        <f t="shared" si="169"/>
        <v>0</v>
      </c>
      <c r="P1455" s="1427">
        <f t="shared" si="170"/>
        <v>0</v>
      </c>
    </row>
    <row r="1456" spans="1:16" ht="31" outlineLevel="1" x14ac:dyDescent="0.25">
      <c r="A1456" s="1482">
        <f t="shared" si="175"/>
        <v>19.2</v>
      </c>
      <c r="B1456" s="1483" t="str">
        <f t="shared" si="175"/>
        <v>Procurement &amp; Replacement of Condenser tubes for 500MW Unit-6</v>
      </c>
      <c r="C1456" s="1482" t="str">
        <f t="shared" si="175"/>
        <v>MERC/TECH 1/CAPEX/20142015/00950</v>
      </c>
      <c r="D1456" s="1390">
        <f t="shared" si="175"/>
        <v>41893</v>
      </c>
      <c r="E1456" s="560">
        <f t="shared" si="175"/>
        <v>7.0937340000000004</v>
      </c>
      <c r="F1456" s="1508">
        <f t="shared" si="167"/>
        <v>6.1698368290000003</v>
      </c>
      <c r="G1456" s="1508">
        <f t="shared" si="168"/>
        <v>6.1698368290000003</v>
      </c>
      <c r="H1456" s="1508">
        <f t="shared" si="171"/>
        <v>0</v>
      </c>
      <c r="I1456" s="1480">
        <v>0</v>
      </c>
      <c r="J1456" s="1480">
        <v>0</v>
      </c>
      <c r="K1456" s="1508"/>
      <c r="L1456" s="1508"/>
      <c r="M1456" s="1509">
        <f t="shared" si="172"/>
        <v>0</v>
      </c>
      <c r="N1456" s="1508">
        <f t="shared" si="173"/>
        <v>0</v>
      </c>
      <c r="O1456" s="1481">
        <f t="shared" si="169"/>
        <v>0</v>
      </c>
      <c r="P1456" s="1427">
        <f t="shared" si="170"/>
        <v>0</v>
      </c>
    </row>
    <row r="1457" spans="1:16" ht="31" outlineLevel="1" x14ac:dyDescent="0.25">
      <c r="A1457" s="1482">
        <f t="shared" si="175"/>
        <v>0</v>
      </c>
      <c r="B1457" s="1483" t="str">
        <f t="shared" si="175"/>
        <v>IDC</v>
      </c>
      <c r="C1457" s="1482" t="str">
        <f t="shared" si="175"/>
        <v>MERC/TECH 1/CAPEX/20142015/00950</v>
      </c>
      <c r="D1457" s="1390">
        <f t="shared" si="175"/>
        <v>41893</v>
      </c>
      <c r="E1457" s="560">
        <f t="shared" si="175"/>
        <v>1.2</v>
      </c>
      <c r="F1457" s="1508">
        <f t="shared" si="167"/>
        <v>0</v>
      </c>
      <c r="G1457" s="1508">
        <f t="shared" si="168"/>
        <v>0</v>
      </c>
      <c r="H1457" s="1508">
        <f t="shared" si="171"/>
        <v>0</v>
      </c>
      <c r="I1457" s="1480">
        <v>0</v>
      </c>
      <c r="J1457" s="1480">
        <v>0</v>
      </c>
      <c r="K1457" s="1508"/>
      <c r="L1457" s="1508"/>
      <c r="M1457" s="1509">
        <f t="shared" si="172"/>
        <v>0</v>
      </c>
      <c r="N1457" s="1508">
        <f t="shared" si="173"/>
        <v>0</v>
      </c>
      <c r="O1457" s="1481">
        <f t="shared" si="169"/>
        <v>0</v>
      </c>
      <c r="P1457" s="1427">
        <f t="shared" si="170"/>
        <v>0</v>
      </c>
    </row>
    <row r="1458" spans="1:16" ht="31" outlineLevel="1" x14ac:dyDescent="0.25">
      <c r="A1458" s="1477">
        <f t="shared" si="175"/>
        <v>20</v>
      </c>
      <c r="B1458" s="1478" t="str">
        <f t="shared" si="175"/>
        <v>210/500 MW CHP performance improvement</v>
      </c>
      <c r="C1458" s="1477" t="str">
        <f t="shared" si="175"/>
        <v>MERC/Cell No. 1/CAPEX/ 20152016/00634</v>
      </c>
      <c r="D1458" s="1479">
        <f t="shared" si="175"/>
        <v>42256</v>
      </c>
      <c r="E1458" s="1383">
        <f t="shared" si="175"/>
        <v>16.303000000000001</v>
      </c>
      <c r="F1458" s="1480">
        <f t="shared" si="167"/>
        <v>0</v>
      </c>
      <c r="G1458" s="1480">
        <f t="shared" si="168"/>
        <v>0</v>
      </c>
      <c r="H1458" s="1480">
        <f t="shared" si="171"/>
        <v>0</v>
      </c>
      <c r="I1458" s="1480">
        <v>0</v>
      </c>
      <c r="J1458" s="1480">
        <v>0</v>
      </c>
      <c r="K1458" s="1480"/>
      <c r="L1458" s="1480"/>
      <c r="M1458" s="1480">
        <f t="shared" si="172"/>
        <v>0</v>
      </c>
      <c r="N1458" s="1480">
        <f t="shared" si="173"/>
        <v>0</v>
      </c>
      <c r="O1458" s="1481">
        <f t="shared" si="169"/>
        <v>0</v>
      </c>
      <c r="P1458" s="1427">
        <f t="shared" si="170"/>
        <v>0</v>
      </c>
    </row>
    <row r="1459" spans="1:16" ht="31" outlineLevel="1" x14ac:dyDescent="0.25">
      <c r="A1459" s="1482">
        <f t="shared" si="175"/>
        <v>20.100000000000001</v>
      </c>
      <c r="B1459" s="1483" t="str">
        <f t="shared" si="175"/>
        <v>Provision of over band suspended magnets for CHP-C.</v>
      </c>
      <c r="C1459" s="1482" t="str">
        <f t="shared" si="175"/>
        <v>MERC/Cell No. 1/CAPEX/ 20152016/00634</v>
      </c>
      <c r="D1459" s="1390">
        <f t="shared" si="175"/>
        <v>42256</v>
      </c>
      <c r="E1459" s="560">
        <f t="shared" si="175"/>
        <v>1.077</v>
      </c>
      <c r="F1459" s="1508">
        <f t="shared" si="167"/>
        <v>0.90834481999999994</v>
      </c>
      <c r="G1459" s="1508">
        <f t="shared" si="168"/>
        <v>0.90834481999999994</v>
      </c>
      <c r="H1459" s="1508">
        <f t="shared" si="171"/>
        <v>0</v>
      </c>
      <c r="I1459" s="1480">
        <v>0</v>
      </c>
      <c r="J1459" s="1480">
        <v>0</v>
      </c>
      <c r="K1459" s="1508"/>
      <c r="L1459" s="1508"/>
      <c r="M1459" s="1509">
        <f t="shared" si="172"/>
        <v>0</v>
      </c>
      <c r="N1459" s="1508">
        <f t="shared" si="173"/>
        <v>0</v>
      </c>
      <c r="O1459" s="1481">
        <f t="shared" si="169"/>
        <v>0</v>
      </c>
      <c r="P1459" s="1427">
        <f t="shared" si="170"/>
        <v>0</v>
      </c>
    </row>
    <row r="1460" spans="1:16" ht="62" outlineLevel="1" x14ac:dyDescent="0.25">
      <c r="A1460" s="1482">
        <f t="shared" si="175"/>
        <v>20.2</v>
      </c>
      <c r="B1460" s="1483" t="str">
        <f t="shared" si="175"/>
        <v>1. Procurement of HT contactor for bunkering side auxiliary at CHP B
2. Procurement of HT contactor for unloading side Critical Auxiliary at CHP-B</v>
      </c>
      <c r="C1460" s="1482" t="str">
        <f t="shared" si="175"/>
        <v>MERC/Cell No. 1/CAPEX/ 20152016/00634</v>
      </c>
      <c r="D1460" s="1390">
        <f t="shared" si="175"/>
        <v>42256</v>
      </c>
      <c r="E1460" s="560">
        <f t="shared" si="175"/>
        <v>5.7590000000000003</v>
      </c>
      <c r="F1460" s="1508">
        <f t="shared" si="167"/>
        <v>2.894304</v>
      </c>
      <c r="G1460" s="1508">
        <f t="shared" si="168"/>
        <v>2.894304</v>
      </c>
      <c r="H1460" s="1508">
        <f t="shared" si="171"/>
        <v>0</v>
      </c>
      <c r="I1460" s="1480">
        <v>0</v>
      </c>
      <c r="J1460" s="1480">
        <v>0</v>
      </c>
      <c r="K1460" s="1508"/>
      <c r="L1460" s="1508"/>
      <c r="M1460" s="1509">
        <f t="shared" si="172"/>
        <v>0</v>
      </c>
      <c r="N1460" s="1508">
        <f t="shared" si="173"/>
        <v>0</v>
      </c>
      <c r="O1460" s="1481">
        <f t="shared" si="169"/>
        <v>0</v>
      </c>
      <c r="P1460" s="1427">
        <f t="shared" si="170"/>
        <v>0</v>
      </c>
    </row>
    <row r="1461" spans="1:16" ht="31" outlineLevel="1" x14ac:dyDescent="0.25">
      <c r="A1461" s="1482">
        <f t="shared" si="175"/>
        <v>20.3</v>
      </c>
      <c r="B1461" s="1483" t="str">
        <f t="shared" si="175"/>
        <v>Bulldozer BD-155</v>
      </c>
      <c r="C1461" s="1482" t="str">
        <f t="shared" si="175"/>
        <v>MERC/Cell No. 1/CAPEX/ 20152016/00634</v>
      </c>
      <c r="D1461" s="1390">
        <f t="shared" si="175"/>
        <v>42256</v>
      </c>
      <c r="E1461" s="560">
        <f t="shared" si="175"/>
        <v>5.12</v>
      </c>
      <c r="F1461" s="1508">
        <f t="shared" si="167"/>
        <v>7.9707386820000004</v>
      </c>
      <c r="G1461" s="1508">
        <f t="shared" si="168"/>
        <v>7.9707386820000004</v>
      </c>
      <c r="H1461" s="1508">
        <f t="shared" si="171"/>
        <v>0</v>
      </c>
      <c r="I1461" s="1480">
        <v>0</v>
      </c>
      <c r="J1461" s="1480">
        <v>0</v>
      </c>
      <c r="K1461" s="1508"/>
      <c r="L1461" s="1508"/>
      <c r="M1461" s="1509">
        <f t="shared" si="172"/>
        <v>0</v>
      </c>
      <c r="N1461" s="1508">
        <f t="shared" si="173"/>
        <v>0</v>
      </c>
      <c r="O1461" s="1481">
        <f t="shared" si="169"/>
        <v>0</v>
      </c>
      <c r="P1461" s="1427">
        <f t="shared" si="170"/>
        <v>0</v>
      </c>
    </row>
    <row r="1462" spans="1:16" ht="31" outlineLevel="1" x14ac:dyDescent="0.25">
      <c r="A1462" s="1482">
        <f t="shared" ref="A1462:E1477" si="176">A792</f>
        <v>20.399999999999999</v>
      </c>
      <c r="B1462" s="1483" t="str">
        <f t="shared" si="176"/>
        <v>Modification of wagon tippler CHP-A</v>
      </c>
      <c r="C1462" s="1482" t="str">
        <f t="shared" si="176"/>
        <v>MERC/Cell No. 1/CAPEX/ 20152016/00634</v>
      </c>
      <c r="D1462" s="1390">
        <f t="shared" si="176"/>
        <v>42256</v>
      </c>
      <c r="E1462" s="560">
        <f t="shared" si="176"/>
        <v>3.8969999999999998</v>
      </c>
      <c r="F1462" s="1508">
        <f t="shared" si="167"/>
        <v>4.488435977</v>
      </c>
      <c r="G1462" s="1508">
        <f t="shared" si="168"/>
        <v>4.488435977</v>
      </c>
      <c r="H1462" s="1508">
        <f t="shared" si="171"/>
        <v>0</v>
      </c>
      <c r="I1462" s="1480">
        <v>0</v>
      </c>
      <c r="J1462" s="1480">
        <v>0</v>
      </c>
      <c r="K1462" s="1508"/>
      <c r="L1462" s="1508"/>
      <c r="M1462" s="1509">
        <f t="shared" si="172"/>
        <v>0</v>
      </c>
      <c r="N1462" s="1508">
        <f t="shared" si="173"/>
        <v>0</v>
      </c>
      <c r="O1462" s="1481">
        <f t="shared" si="169"/>
        <v>0</v>
      </c>
      <c r="P1462" s="1427">
        <f t="shared" si="170"/>
        <v>0</v>
      </c>
    </row>
    <row r="1463" spans="1:16" ht="31" outlineLevel="1" x14ac:dyDescent="0.25">
      <c r="A1463" s="1482">
        <f t="shared" si="176"/>
        <v>0</v>
      </c>
      <c r="B1463" s="1483" t="str">
        <f t="shared" si="176"/>
        <v>IDC</v>
      </c>
      <c r="C1463" s="1482" t="str">
        <f t="shared" si="176"/>
        <v>MERC/Cell No. 1/CAPEX/ 20152016/00634</v>
      </c>
      <c r="D1463" s="1390">
        <f t="shared" si="176"/>
        <v>42256</v>
      </c>
      <c r="E1463" s="560">
        <f t="shared" si="176"/>
        <v>0.45</v>
      </c>
      <c r="F1463" s="1508">
        <f t="shared" si="167"/>
        <v>0</v>
      </c>
      <c r="G1463" s="1508">
        <f t="shared" si="168"/>
        <v>0</v>
      </c>
      <c r="H1463" s="1508">
        <f t="shared" si="171"/>
        <v>0</v>
      </c>
      <c r="I1463" s="1480">
        <v>0</v>
      </c>
      <c r="J1463" s="1480">
        <v>0</v>
      </c>
      <c r="K1463" s="1508"/>
      <c r="L1463" s="1508"/>
      <c r="M1463" s="1509">
        <f t="shared" si="172"/>
        <v>0</v>
      </c>
      <c r="N1463" s="1508">
        <f t="shared" si="173"/>
        <v>0</v>
      </c>
      <c r="O1463" s="1481">
        <f t="shared" si="169"/>
        <v>0</v>
      </c>
      <c r="P1463" s="1427">
        <f t="shared" si="170"/>
        <v>0</v>
      </c>
    </row>
    <row r="1464" spans="1:16" ht="15.5" outlineLevel="1" x14ac:dyDescent="0.25">
      <c r="A1464" s="1489">
        <f t="shared" si="176"/>
        <v>21</v>
      </c>
      <c r="B1464" s="1490" t="str">
        <f t="shared" si="176"/>
        <v>Improvement in Electrical Systems</v>
      </c>
      <c r="C1464" s="1477" t="str">
        <f t="shared" si="176"/>
        <v>MERC/CAPEX/20162017/00192</v>
      </c>
      <c r="D1464" s="1479">
        <f t="shared" si="176"/>
        <v>42500</v>
      </c>
      <c r="E1464" s="1383">
        <f t="shared" si="176"/>
        <v>10.499999999999998</v>
      </c>
      <c r="F1464" s="1480">
        <f t="shared" si="167"/>
        <v>0</v>
      </c>
      <c r="G1464" s="1480">
        <f t="shared" si="168"/>
        <v>0</v>
      </c>
      <c r="H1464" s="1480">
        <f t="shared" si="171"/>
        <v>0</v>
      </c>
      <c r="I1464" s="1480">
        <v>0</v>
      </c>
      <c r="J1464" s="1480">
        <v>0</v>
      </c>
      <c r="K1464" s="1480"/>
      <c r="L1464" s="1480"/>
      <c r="M1464" s="1480">
        <f t="shared" si="172"/>
        <v>0</v>
      </c>
      <c r="N1464" s="1480">
        <f t="shared" si="173"/>
        <v>0</v>
      </c>
      <c r="O1464" s="1481">
        <f t="shared" si="169"/>
        <v>0</v>
      </c>
      <c r="P1464" s="1427">
        <f t="shared" si="170"/>
        <v>0</v>
      </c>
    </row>
    <row r="1465" spans="1:16" ht="31" outlineLevel="1" x14ac:dyDescent="0.25">
      <c r="A1465" s="1484">
        <f t="shared" si="176"/>
        <v>21.1</v>
      </c>
      <c r="B1465" s="1485" t="str">
        <f t="shared" si="176"/>
        <v>Station Battery set 1 &amp; 2 of 220V, 2190  AH Capacity (2V X 110 Cells) New type Make- Exide</v>
      </c>
      <c r="C1465" s="1482" t="str">
        <f t="shared" si="176"/>
        <v>MERC/CAPEX/20162017/00192</v>
      </c>
      <c r="D1465" s="1390">
        <f t="shared" si="176"/>
        <v>42500</v>
      </c>
      <c r="E1465" s="560">
        <f t="shared" si="176"/>
        <v>2.71</v>
      </c>
      <c r="F1465" s="1508">
        <f t="shared" si="167"/>
        <v>3.7130741999999999</v>
      </c>
      <c r="G1465" s="1508">
        <f t="shared" si="168"/>
        <v>3.7130741</v>
      </c>
      <c r="H1465" s="1508">
        <f t="shared" si="171"/>
        <v>9.9999999836342113E-8</v>
      </c>
      <c r="I1465" s="1480">
        <v>0</v>
      </c>
      <c r="J1465" s="1480">
        <v>0</v>
      </c>
      <c r="K1465" s="1508"/>
      <c r="L1465" s="1508"/>
      <c r="M1465" s="1509">
        <f t="shared" si="172"/>
        <v>0</v>
      </c>
      <c r="N1465" s="1508">
        <f t="shared" si="173"/>
        <v>9.9999999836342113E-8</v>
      </c>
      <c r="O1465" s="1481">
        <f t="shared" si="169"/>
        <v>0</v>
      </c>
      <c r="P1465" s="1427">
        <f t="shared" si="170"/>
        <v>0</v>
      </c>
    </row>
    <row r="1466" spans="1:16" ht="31" outlineLevel="1" x14ac:dyDescent="0.25">
      <c r="A1466" s="1484">
        <f t="shared" si="176"/>
        <v>21.2</v>
      </c>
      <c r="B1466" s="1485" t="str">
        <f t="shared" si="176"/>
        <v>The G1 &amp; G2 Battery sets of 24V, 1825AH Capacity (13 Nos. cells X 2= 26 Nos. cells) plantetype Make- Exide</v>
      </c>
      <c r="C1466" s="1482" t="str">
        <f t="shared" si="176"/>
        <v>MERC/CAPEX/20162017/00192</v>
      </c>
      <c r="D1466" s="1390">
        <f t="shared" si="176"/>
        <v>42500</v>
      </c>
      <c r="E1466" s="560">
        <f t="shared" si="176"/>
        <v>0.55000000000000004</v>
      </c>
      <c r="F1466" s="1508">
        <f t="shared" si="167"/>
        <v>0.53016459999999999</v>
      </c>
      <c r="G1466" s="1508">
        <f t="shared" si="168"/>
        <v>0.53016459999999999</v>
      </c>
      <c r="H1466" s="1508">
        <f t="shared" si="171"/>
        <v>0</v>
      </c>
      <c r="I1466" s="1480">
        <v>0</v>
      </c>
      <c r="J1466" s="1480">
        <v>0</v>
      </c>
      <c r="K1466" s="1508"/>
      <c r="L1466" s="1508"/>
      <c r="M1466" s="1509">
        <f t="shared" si="172"/>
        <v>0</v>
      </c>
      <c r="N1466" s="1508">
        <f t="shared" si="173"/>
        <v>0</v>
      </c>
      <c r="O1466" s="1481">
        <f t="shared" si="169"/>
        <v>0</v>
      </c>
      <c r="P1466" s="1427">
        <f t="shared" si="170"/>
        <v>0</v>
      </c>
    </row>
    <row r="1467" spans="1:16" ht="31" outlineLevel="1" x14ac:dyDescent="0.25">
      <c r="A1467" s="1484">
        <f t="shared" si="176"/>
        <v>21.3</v>
      </c>
      <c r="B1467" s="1485" t="str">
        <f t="shared" si="176"/>
        <v>Replacement of 6.6 KV HT breakers at Ash Handling Plant by 6.6 KV SF6 contactors  suitable for frequent ON/OFFs.</v>
      </c>
      <c r="C1467" s="1482" t="str">
        <f t="shared" si="176"/>
        <v>MERC/CAPEX/20162017/00192</v>
      </c>
      <c r="D1467" s="1390">
        <f t="shared" si="176"/>
        <v>42500</v>
      </c>
      <c r="E1467" s="560">
        <f t="shared" si="176"/>
        <v>3.12</v>
      </c>
      <c r="F1467" s="1508">
        <f t="shared" si="167"/>
        <v>3.5539240080000001</v>
      </c>
      <c r="G1467" s="1508">
        <f t="shared" si="168"/>
        <v>3.5539240080000001</v>
      </c>
      <c r="H1467" s="1508">
        <f t="shared" si="171"/>
        <v>0</v>
      </c>
      <c r="I1467" s="1480">
        <v>0</v>
      </c>
      <c r="J1467" s="1480">
        <v>0</v>
      </c>
      <c r="K1467" s="1508"/>
      <c r="L1467" s="1508"/>
      <c r="M1467" s="1509">
        <f t="shared" si="172"/>
        <v>0</v>
      </c>
      <c r="N1467" s="1508">
        <f t="shared" si="173"/>
        <v>0</v>
      </c>
      <c r="O1467" s="1481">
        <f t="shared" si="169"/>
        <v>0</v>
      </c>
      <c r="P1467" s="1427">
        <f t="shared" si="170"/>
        <v>0</v>
      </c>
    </row>
    <row r="1468" spans="1:16" ht="15.5" outlineLevel="1" x14ac:dyDescent="0.25">
      <c r="A1468" s="1484">
        <f t="shared" si="176"/>
        <v>21.4</v>
      </c>
      <c r="B1468" s="1485" t="str">
        <f t="shared" si="176"/>
        <v>Micro-processor based flame scanners at Unit#3&amp;4 (210 MW)</v>
      </c>
      <c r="C1468" s="1482" t="str">
        <f t="shared" si="176"/>
        <v>MERC/CAPEX/20162017/00192</v>
      </c>
      <c r="D1468" s="1390">
        <f t="shared" si="176"/>
        <v>42500</v>
      </c>
      <c r="E1468" s="560">
        <f t="shared" si="176"/>
        <v>2.34</v>
      </c>
      <c r="F1468" s="1508">
        <f t="shared" si="167"/>
        <v>3.3241367359999998</v>
      </c>
      <c r="G1468" s="1508">
        <f t="shared" si="168"/>
        <v>3.3241367359999998</v>
      </c>
      <c r="H1468" s="1508">
        <f t="shared" si="171"/>
        <v>0</v>
      </c>
      <c r="I1468" s="1480">
        <v>0</v>
      </c>
      <c r="J1468" s="1480">
        <v>0</v>
      </c>
      <c r="K1468" s="1508"/>
      <c r="L1468" s="1508"/>
      <c r="M1468" s="1509">
        <f t="shared" si="172"/>
        <v>0</v>
      </c>
      <c r="N1468" s="1508">
        <f t="shared" si="173"/>
        <v>0</v>
      </c>
      <c r="O1468" s="1481">
        <f t="shared" si="169"/>
        <v>0</v>
      </c>
      <c r="P1468" s="1427">
        <f t="shared" si="170"/>
        <v>0</v>
      </c>
    </row>
    <row r="1469" spans="1:16" ht="46.5" outlineLevel="1" x14ac:dyDescent="0.25">
      <c r="A1469" s="1484">
        <f t="shared" si="176"/>
        <v>21.5</v>
      </c>
      <c r="B1469" s="1485" t="str">
        <f t="shared" si="176"/>
        <v>Supply, erection and commissioning of Generator Protection scheme as per enclosed material schedule and scope of work for Unit-6</v>
      </c>
      <c r="C1469" s="1482" t="str">
        <f t="shared" si="176"/>
        <v>MERC/CAPEX/20162017/00192</v>
      </c>
      <c r="D1469" s="1390">
        <f t="shared" si="176"/>
        <v>42500</v>
      </c>
      <c r="E1469" s="560">
        <f t="shared" si="176"/>
        <v>1.03</v>
      </c>
      <c r="F1469" s="1508">
        <f t="shared" si="167"/>
        <v>1.1915800000000001</v>
      </c>
      <c r="G1469" s="1508">
        <f t="shared" si="168"/>
        <v>1.1915800000000001</v>
      </c>
      <c r="H1469" s="1508">
        <f t="shared" si="171"/>
        <v>0</v>
      </c>
      <c r="I1469" s="1480">
        <v>0</v>
      </c>
      <c r="J1469" s="1480">
        <v>0</v>
      </c>
      <c r="K1469" s="1508"/>
      <c r="L1469" s="1508"/>
      <c r="M1469" s="1509">
        <f t="shared" si="172"/>
        <v>0</v>
      </c>
      <c r="N1469" s="1508">
        <f t="shared" si="173"/>
        <v>0</v>
      </c>
      <c r="O1469" s="1481">
        <f t="shared" si="169"/>
        <v>0</v>
      </c>
      <c r="P1469" s="1427">
        <f t="shared" si="170"/>
        <v>0</v>
      </c>
    </row>
    <row r="1470" spans="1:16" ht="15.5" outlineLevel="1" x14ac:dyDescent="0.25">
      <c r="A1470" s="1484">
        <f t="shared" si="176"/>
        <v>0</v>
      </c>
      <c r="B1470" s="1485" t="str">
        <f t="shared" si="176"/>
        <v>IDC</v>
      </c>
      <c r="C1470" s="1482" t="str">
        <f t="shared" si="176"/>
        <v>MERC/CAPEX/20162017/00192</v>
      </c>
      <c r="D1470" s="1390">
        <f t="shared" si="176"/>
        <v>42500</v>
      </c>
      <c r="E1470" s="560">
        <f t="shared" si="176"/>
        <v>0.75</v>
      </c>
      <c r="F1470" s="1508">
        <f t="shared" si="167"/>
        <v>0</v>
      </c>
      <c r="G1470" s="1508">
        <f t="shared" si="168"/>
        <v>0</v>
      </c>
      <c r="H1470" s="1508">
        <f t="shared" si="171"/>
        <v>0</v>
      </c>
      <c r="I1470" s="1480">
        <v>0</v>
      </c>
      <c r="J1470" s="1480">
        <v>0</v>
      </c>
      <c r="K1470" s="1508"/>
      <c r="L1470" s="1508"/>
      <c r="M1470" s="1509">
        <f t="shared" si="172"/>
        <v>0</v>
      </c>
      <c r="N1470" s="1508">
        <f t="shared" si="173"/>
        <v>0</v>
      </c>
      <c r="O1470" s="1481">
        <f t="shared" si="169"/>
        <v>0</v>
      </c>
      <c r="P1470" s="1427">
        <f t="shared" si="170"/>
        <v>0</v>
      </c>
    </row>
    <row r="1471" spans="1:16" ht="31" outlineLevel="1" x14ac:dyDescent="0.25">
      <c r="A1471" s="1489">
        <f t="shared" si="176"/>
        <v>22</v>
      </c>
      <c r="B1471" s="1490" t="str">
        <f t="shared" si="176"/>
        <v>Implementation of MPCB related ESP performance Improvement schemes at Chandrapur STPS Unit 3 to 7</v>
      </c>
      <c r="C1471" s="1486" t="str">
        <f t="shared" si="176"/>
        <v>MERC/CAPEX/20152016/00420</v>
      </c>
      <c r="D1471" s="1487">
        <f t="shared" si="176"/>
        <v>42584</v>
      </c>
      <c r="E1471" s="1383">
        <f t="shared" si="176"/>
        <v>18.170000000000002</v>
      </c>
      <c r="F1471" s="1480">
        <f t="shared" si="167"/>
        <v>0</v>
      </c>
      <c r="G1471" s="1480">
        <f t="shared" si="168"/>
        <v>0</v>
      </c>
      <c r="H1471" s="1480">
        <f t="shared" si="171"/>
        <v>0</v>
      </c>
      <c r="I1471" s="1480">
        <v>0</v>
      </c>
      <c r="J1471" s="1480">
        <v>0</v>
      </c>
      <c r="K1471" s="1480"/>
      <c r="L1471" s="1480"/>
      <c r="M1471" s="1480">
        <f t="shared" si="172"/>
        <v>0</v>
      </c>
      <c r="N1471" s="1480">
        <f t="shared" si="173"/>
        <v>0</v>
      </c>
      <c r="O1471" s="1481">
        <f t="shared" si="169"/>
        <v>0</v>
      </c>
      <c r="P1471" s="1427">
        <f t="shared" si="170"/>
        <v>0</v>
      </c>
    </row>
    <row r="1472" spans="1:16" ht="31" outlineLevel="1" x14ac:dyDescent="0.25">
      <c r="A1472" s="1484">
        <f t="shared" si="176"/>
        <v>22.1</v>
      </c>
      <c r="B1472" s="1485" t="str">
        <f t="shared" si="176"/>
        <v>Supply of internals of ESP. ( model-2FAA-5 X 32-13290-2) 1st &amp; 2nd fields in Unit #3 &amp; Works</v>
      </c>
      <c r="C1472" s="1488" t="str">
        <f t="shared" si="176"/>
        <v>MERC/CAPEX/20152016/00420</v>
      </c>
      <c r="D1472" s="1413">
        <f t="shared" si="176"/>
        <v>42584</v>
      </c>
      <c r="E1472" s="560">
        <f t="shared" si="176"/>
        <v>4.6100000000000003</v>
      </c>
      <c r="F1472" s="1508">
        <f t="shared" si="167"/>
        <v>3.9121787139999999</v>
      </c>
      <c r="G1472" s="1508">
        <f t="shared" si="168"/>
        <v>3.9121787139999999</v>
      </c>
      <c r="H1472" s="1508">
        <f t="shared" si="171"/>
        <v>0</v>
      </c>
      <c r="I1472" s="1480">
        <v>0</v>
      </c>
      <c r="J1472" s="1480">
        <v>0</v>
      </c>
      <c r="K1472" s="1508"/>
      <c r="L1472" s="1508"/>
      <c r="M1472" s="1509">
        <f t="shared" si="172"/>
        <v>0</v>
      </c>
      <c r="N1472" s="1508">
        <f t="shared" si="173"/>
        <v>0</v>
      </c>
      <c r="O1472" s="1481">
        <f t="shared" si="169"/>
        <v>0</v>
      </c>
      <c r="P1472" s="1427">
        <f t="shared" si="170"/>
        <v>0</v>
      </c>
    </row>
    <row r="1473" spans="1:16" ht="31" outlineLevel="1" x14ac:dyDescent="0.25">
      <c r="A1473" s="1484">
        <f t="shared" si="176"/>
        <v>22.2</v>
      </c>
      <c r="B1473" s="1485" t="str">
        <f t="shared" si="176"/>
        <v>Supply of internals of ESP. ( model-2FAA-5 X 32-13290-2) 1st &amp; 2nd fields in Unit #4 &amp; Works</v>
      </c>
      <c r="C1473" s="1488" t="str">
        <f t="shared" si="176"/>
        <v>MERC/CAPEX/20152016/00420</v>
      </c>
      <c r="D1473" s="1413">
        <f t="shared" si="176"/>
        <v>42584</v>
      </c>
      <c r="E1473" s="560">
        <f t="shared" si="176"/>
        <v>4.6100000000000003</v>
      </c>
      <c r="F1473" s="1508">
        <f t="shared" si="167"/>
        <v>0</v>
      </c>
      <c r="G1473" s="1508">
        <f t="shared" si="168"/>
        <v>0</v>
      </c>
      <c r="H1473" s="1508">
        <f t="shared" si="171"/>
        <v>0</v>
      </c>
      <c r="I1473" s="1480">
        <v>0</v>
      </c>
      <c r="J1473" s="1480">
        <v>0</v>
      </c>
      <c r="K1473" s="1508"/>
      <c r="L1473" s="1508"/>
      <c r="M1473" s="1509">
        <f t="shared" si="172"/>
        <v>0</v>
      </c>
      <c r="N1473" s="1508">
        <f t="shared" si="173"/>
        <v>0</v>
      </c>
      <c r="O1473" s="1481">
        <f t="shared" si="169"/>
        <v>0</v>
      </c>
      <c r="P1473" s="1427">
        <f t="shared" si="170"/>
        <v>0</v>
      </c>
    </row>
    <row r="1474" spans="1:16" ht="31" outlineLevel="1" x14ac:dyDescent="0.25">
      <c r="A1474" s="1484">
        <f t="shared" si="176"/>
        <v>22.3</v>
      </c>
      <c r="B1474" s="1485" t="str">
        <f t="shared" si="176"/>
        <v>Installation of SOx/ NOx analyzers for unit-3 to 7 along with all required hardware and software (Statutory requirement).</v>
      </c>
      <c r="C1474" s="1482" t="str">
        <f t="shared" si="176"/>
        <v>MERC/CAPEX/20152016/00420</v>
      </c>
      <c r="D1474" s="1390">
        <f t="shared" si="176"/>
        <v>42584</v>
      </c>
      <c r="E1474" s="560">
        <f t="shared" si="176"/>
        <v>2.98</v>
      </c>
      <c r="F1474" s="1508">
        <f t="shared" si="167"/>
        <v>1.37732225</v>
      </c>
      <c r="G1474" s="1508">
        <f t="shared" si="168"/>
        <v>1.37732225</v>
      </c>
      <c r="H1474" s="1508">
        <f t="shared" si="171"/>
        <v>0</v>
      </c>
      <c r="I1474" s="1480">
        <v>0</v>
      </c>
      <c r="J1474" s="1480">
        <v>0</v>
      </c>
      <c r="K1474" s="1508"/>
      <c r="L1474" s="1508"/>
      <c r="M1474" s="1509">
        <f t="shared" si="172"/>
        <v>0</v>
      </c>
      <c r="N1474" s="1508">
        <f t="shared" si="173"/>
        <v>0</v>
      </c>
      <c r="O1474" s="1481">
        <f t="shared" si="169"/>
        <v>0</v>
      </c>
      <c r="P1474" s="1427">
        <f t="shared" si="170"/>
        <v>0</v>
      </c>
    </row>
    <row r="1475" spans="1:16" ht="62" outlineLevel="1" x14ac:dyDescent="0.25">
      <c r="A1475" s="1484">
        <f t="shared" si="176"/>
        <v>22.4</v>
      </c>
      <c r="B1475" s="1485" t="str">
        <f t="shared" si="176"/>
        <v>Design, Engineering, Supply, Erection and Commissioning of High pressure MIST/FOG Generating System at Track hopper, WT 1 &amp; 2 of 500MW, Crusher House, Transfer Points &amp; Bunker house of 500MW</v>
      </c>
      <c r="C1475" s="1488" t="str">
        <f t="shared" si="176"/>
        <v>MERC/CAPEX/20152016/00420</v>
      </c>
      <c r="D1475" s="1413">
        <f t="shared" si="176"/>
        <v>42584</v>
      </c>
      <c r="E1475" s="560">
        <f t="shared" si="176"/>
        <v>5.37</v>
      </c>
      <c r="F1475" s="1508">
        <f t="shared" si="167"/>
        <v>4.5728099999999996</v>
      </c>
      <c r="G1475" s="1508">
        <f t="shared" si="168"/>
        <v>4.5728099999999996</v>
      </c>
      <c r="H1475" s="1508">
        <f t="shared" si="171"/>
        <v>0</v>
      </c>
      <c r="I1475" s="1480">
        <v>0</v>
      </c>
      <c r="J1475" s="1480">
        <v>0</v>
      </c>
      <c r="K1475" s="1508"/>
      <c r="L1475" s="1508"/>
      <c r="M1475" s="1509">
        <f t="shared" si="172"/>
        <v>0</v>
      </c>
      <c r="N1475" s="1508">
        <f t="shared" si="173"/>
        <v>0</v>
      </c>
      <c r="O1475" s="1481">
        <f t="shared" si="169"/>
        <v>0</v>
      </c>
      <c r="P1475" s="1427">
        <f t="shared" si="170"/>
        <v>0</v>
      </c>
    </row>
    <row r="1476" spans="1:16" ht="15.5" outlineLevel="1" x14ac:dyDescent="0.25">
      <c r="A1476" s="1484">
        <f t="shared" si="176"/>
        <v>0</v>
      </c>
      <c r="B1476" s="1485" t="str">
        <f t="shared" si="176"/>
        <v>IDC</v>
      </c>
      <c r="C1476" s="1482" t="str">
        <f t="shared" si="176"/>
        <v>MERC/CAPEX/20152016/00420</v>
      </c>
      <c r="D1476" s="1390">
        <f t="shared" si="176"/>
        <v>42584</v>
      </c>
      <c r="E1476" s="560">
        <f t="shared" si="176"/>
        <v>0.6</v>
      </c>
      <c r="F1476" s="1508">
        <f t="shared" si="167"/>
        <v>0</v>
      </c>
      <c r="G1476" s="1508">
        <f t="shared" si="168"/>
        <v>0</v>
      </c>
      <c r="H1476" s="1508">
        <f t="shared" si="171"/>
        <v>0</v>
      </c>
      <c r="I1476" s="1480">
        <v>0</v>
      </c>
      <c r="J1476" s="1480">
        <v>0</v>
      </c>
      <c r="K1476" s="1508"/>
      <c r="L1476" s="1508"/>
      <c r="M1476" s="1509">
        <f t="shared" si="172"/>
        <v>0</v>
      </c>
      <c r="N1476" s="1508">
        <f t="shared" si="173"/>
        <v>0</v>
      </c>
      <c r="O1476" s="1481">
        <f t="shared" si="169"/>
        <v>0</v>
      </c>
      <c r="P1476" s="1427">
        <f t="shared" si="170"/>
        <v>0</v>
      </c>
    </row>
    <row r="1477" spans="1:16" ht="15.5" outlineLevel="1" x14ac:dyDescent="0.25">
      <c r="A1477" s="1477">
        <f t="shared" si="176"/>
        <v>23</v>
      </c>
      <c r="B1477" s="1478" t="str">
        <f t="shared" si="176"/>
        <v>Performance Improvement &amp; Life enhancement of 500MW CHP-B</v>
      </c>
      <c r="C1477" s="1477" t="str">
        <f t="shared" si="176"/>
        <v>MERC/CAPEX/20162017/01067</v>
      </c>
      <c r="D1477" s="1479">
        <f t="shared" si="176"/>
        <v>42702</v>
      </c>
      <c r="E1477" s="1383">
        <f t="shared" si="176"/>
        <v>18.78</v>
      </c>
      <c r="F1477" s="1480">
        <f t="shared" si="167"/>
        <v>0</v>
      </c>
      <c r="G1477" s="1480">
        <f t="shared" si="168"/>
        <v>0</v>
      </c>
      <c r="H1477" s="1480">
        <f t="shared" si="171"/>
        <v>0</v>
      </c>
      <c r="I1477" s="1480">
        <v>0</v>
      </c>
      <c r="J1477" s="1480">
        <v>0</v>
      </c>
      <c r="K1477" s="1480"/>
      <c r="L1477" s="1480"/>
      <c r="M1477" s="1480">
        <f t="shared" si="172"/>
        <v>0</v>
      </c>
      <c r="N1477" s="1480">
        <f t="shared" si="173"/>
        <v>0</v>
      </c>
      <c r="O1477" s="1481">
        <f t="shared" si="169"/>
        <v>0</v>
      </c>
      <c r="P1477" s="1427">
        <f t="shared" si="170"/>
        <v>0</v>
      </c>
    </row>
    <row r="1478" spans="1:16" ht="15.5" outlineLevel="1" x14ac:dyDescent="0.25">
      <c r="A1478" s="1482">
        <f t="shared" ref="A1478:E1493" si="177">A808</f>
        <v>23.1</v>
      </c>
      <c r="B1478" s="1483" t="str">
        <f t="shared" si="177"/>
        <v>Life Enhancement of Stacker reclaimer of CHP-B.</v>
      </c>
      <c r="C1478" s="1482" t="str">
        <f t="shared" si="177"/>
        <v>MERC/CAPEX/20162017/01067</v>
      </c>
      <c r="D1478" s="1390">
        <f t="shared" si="177"/>
        <v>42702</v>
      </c>
      <c r="E1478" s="560">
        <f t="shared" si="177"/>
        <v>5.76</v>
      </c>
      <c r="F1478" s="1508">
        <f t="shared" ref="F1478:F1541" si="178">F808+I808</f>
        <v>5.2949505139999999</v>
      </c>
      <c r="G1478" s="1508">
        <f t="shared" ref="G1478:G1541" si="179">G808+M808</f>
        <v>5.2949505139999999</v>
      </c>
      <c r="H1478" s="1508">
        <f t="shared" si="171"/>
        <v>0</v>
      </c>
      <c r="I1478" s="1480">
        <v>0</v>
      </c>
      <c r="J1478" s="1480">
        <v>0</v>
      </c>
      <c r="K1478" s="1508"/>
      <c r="L1478" s="1508"/>
      <c r="M1478" s="1509">
        <f t="shared" si="172"/>
        <v>0</v>
      </c>
      <c r="N1478" s="1508">
        <f t="shared" si="173"/>
        <v>0</v>
      </c>
      <c r="O1478" s="1481">
        <f t="shared" ref="O1478:O1541" si="180">MAX(0,IF(M1478=0,0,IF(G1478+M1478&lt;E1478,M1478,E1478-G1478)))</f>
        <v>0</v>
      </c>
      <c r="P1478" s="1427">
        <f t="shared" ref="P1478:P1541" si="181">M1478-O1478</f>
        <v>0</v>
      </c>
    </row>
    <row r="1479" spans="1:16" ht="31" outlineLevel="1" x14ac:dyDescent="0.25">
      <c r="A1479" s="1482">
        <f t="shared" si="177"/>
        <v>23.2</v>
      </c>
      <c r="B1479" s="1483" t="str">
        <f t="shared" si="177"/>
        <v>Renovation including replacement of hydraulic system of paddle feeder with up gradations at CHPB.</v>
      </c>
      <c r="C1479" s="1482" t="str">
        <f t="shared" si="177"/>
        <v>MERC/CAPEX/20162017/01067</v>
      </c>
      <c r="D1479" s="1390">
        <f t="shared" si="177"/>
        <v>42702</v>
      </c>
      <c r="E1479" s="560">
        <f t="shared" si="177"/>
        <v>2.19</v>
      </c>
      <c r="F1479" s="1508">
        <f t="shared" si="178"/>
        <v>2.3147547999999998</v>
      </c>
      <c r="G1479" s="1508">
        <f t="shared" si="179"/>
        <v>2.3147547999999998</v>
      </c>
      <c r="H1479" s="1508">
        <f t="shared" ref="H1479:H1534" si="182">F1479-G1479</f>
        <v>0</v>
      </c>
      <c r="I1479" s="1480">
        <v>0</v>
      </c>
      <c r="J1479" s="1480">
        <v>0</v>
      </c>
      <c r="K1479" s="1508"/>
      <c r="L1479" s="1508"/>
      <c r="M1479" s="1509">
        <f t="shared" ref="M1479:M1534" si="183">SUM(J1479:L1479)</f>
        <v>0</v>
      </c>
      <c r="N1479" s="1508">
        <f t="shared" ref="N1479:N1534" si="184">H1479+I1479-M1479</f>
        <v>0</v>
      </c>
      <c r="O1479" s="1481">
        <f t="shared" si="180"/>
        <v>0</v>
      </c>
      <c r="P1479" s="1427">
        <f t="shared" si="181"/>
        <v>0</v>
      </c>
    </row>
    <row r="1480" spans="1:16" ht="31" outlineLevel="1" x14ac:dyDescent="0.25">
      <c r="A1480" s="1482">
        <f t="shared" si="177"/>
        <v>23.3</v>
      </c>
      <c r="B1480" s="1483" t="str">
        <f t="shared" si="177"/>
        <v>Renovation of hydraulic system of wagon tippler and side arm charger with procurement of its essential spares at CHPB.</v>
      </c>
      <c r="C1480" s="1482" t="str">
        <f t="shared" si="177"/>
        <v>MERC/CAPEX/20162017/01067</v>
      </c>
      <c r="D1480" s="1390">
        <f t="shared" si="177"/>
        <v>42702</v>
      </c>
      <c r="E1480" s="560">
        <f t="shared" si="177"/>
        <v>10.33</v>
      </c>
      <c r="F1480" s="1508">
        <f t="shared" si="178"/>
        <v>11.7941</v>
      </c>
      <c r="G1480" s="1508">
        <f t="shared" si="179"/>
        <v>11.7941</v>
      </c>
      <c r="H1480" s="1508">
        <f t="shared" si="182"/>
        <v>0</v>
      </c>
      <c r="I1480" s="1480">
        <v>0</v>
      </c>
      <c r="J1480" s="1480">
        <v>0</v>
      </c>
      <c r="K1480" s="1508"/>
      <c r="L1480" s="1508"/>
      <c r="M1480" s="1509">
        <f t="shared" si="183"/>
        <v>0</v>
      </c>
      <c r="N1480" s="1508">
        <f t="shared" si="184"/>
        <v>0</v>
      </c>
      <c r="O1480" s="1481">
        <f t="shared" si="180"/>
        <v>0</v>
      </c>
      <c r="P1480" s="1427">
        <f t="shared" si="181"/>
        <v>0</v>
      </c>
    </row>
    <row r="1481" spans="1:16" ht="15.5" outlineLevel="1" x14ac:dyDescent="0.25">
      <c r="A1481" s="1482">
        <f t="shared" si="177"/>
        <v>0</v>
      </c>
      <c r="B1481" s="1483" t="str">
        <f t="shared" si="177"/>
        <v>IDC</v>
      </c>
      <c r="C1481" s="1482" t="str">
        <f t="shared" si="177"/>
        <v>MERC/CAPEX/20162017/01067</v>
      </c>
      <c r="D1481" s="1390">
        <f t="shared" si="177"/>
        <v>42702</v>
      </c>
      <c r="E1481" s="560">
        <f t="shared" si="177"/>
        <v>0.5</v>
      </c>
      <c r="F1481" s="1508">
        <f t="shared" si="178"/>
        <v>0</v>
      </c>
      <c r="G1481" s="1508">
        <f t="shared" si="179"/>
        <v>0</v>
      </c>
      <c r="H1481" s="1508">
        <f t="shared" si="182"/>
        <v>0</v>
      </c>
      <c r="I1481" s="1480">
        <v>0</v>
      </c>
      <c r="J1481" s="1480">
        <v>0</v>
      </c>
      <c r="K1481" s="1508"/>
      <c r="L1481" s="1508"/>
      <c r="M1481" s="1509">
        <f t="shared" si="183"/>
        <v>0</v>
      </c>
      <c r="N1481" s="1508">
        <f t="shared" si="184"/>
        <v>0</v>
      </c>
      <c r="O1481" s="1481">
        <f t="shared" si="180"/>
        <v>0</v>
      </c>
      <c r="P1481" s="1427">
        <f t="shared" si="181"/>
        <v>0</v>
      </c>
    </row>
    <row r="1482" spans="1:16" ht="31" outlineLevel="1" x14ac:dyDescent="0.25">
      <c r="A1482" s="1477">
        <f t="shared" si="177"/>
        <v>24</v>
      </c>
      <c r="B1482" s="1478" t="str">
        <f t="shared" si="177"/>
        <v>Retrofitting of existing circuit breakers at Chandrapur STPS Unit-3, 4, 5, 6 and ODP-II</v>
      </c>
      <c r="C1482" s="1477" t="str">
        <f t="shared" si="177"/>
        <v>MERC/CAPEX/20162017/01475</v>
      </c>
      <c r="D1482" s="1479">
        <f t="shared" si="177"/>
        <v>42772</v>
      </c>
      <c r="E1482" s="1383">
        <f t="shared" si="177"/>
        <v>13.700000000000001</v>
      </c>
      <c r="F1482" s="1480">
        <f t="shared" si="178"/>
        <v>0</v>
      </c>
      <c r="G1482" s="1480">
        <f t="shared" si="179"/>
        <v>0</v>
      </c>
      <c r="H1482" s="1480">
        <f t="shared" si="182"/>
        <v>0</v>
      </c>
      <c r="I1482" s="1480">
        <v>0</v>
      </c>
      <c r="J1482" s="1480">
        <v>0</v>
      </c>
      <c r="K1482" s="1480"/>
      <c r="L1482" s="1480"/>
      <c r="M1482" s="1480">
        <f t="shared" si="183"/>
        <v>0</v>
      </c>
      <c r="N1482" s="1480">
        <f t="shared" si="184"/>
        <v>0</v>
      </c>
      <c r="O1482" s="1481">
        <f t="shared" si="180"/>
        <v>0</v>
      </c>
      <c r="P1482" s="1427">
        <f t="shared" si="181"/>
        <v>0</v>
      </c>
    </row>
    <row r="1483" spans="1:16" ht="31" outlineLevel="1" x14ac:dyDescent="0.25">
      <c r="A1483" s="1482">
        <f t="shared" si="177"/>
        <v>24.1</v>
      </c>
      <c r="B1483" s="1483" t="str">
        <f t="shared" si="177"/>
        <v>Retrofitting of existing Circuit breakers of AHP motor feeders at Unit # 5 &amp; 6</v>
      </c>
      <c r="C1483" s="1482" t="str">
        <f t="shared" si="177"/>
        <v>MERC/CAPEX/20162017/01475</v>
      </c>
      <c r="D1483" s="1390">
        <f t="shared" si="177"/>
        <v>42772</v>
      </c>
      <c r="E1483" s="560">
        <f t="shared" si="177"/>
        <v>3.25</v>
      </c>
      <c r="F1483" s="1508">
        <f t="shared" si="178"/>
        <v>3.8744195499999998</v>
      </c>
      <c r="G1483" s="1508">
        <f t="shared" si="179"/>
        <v>3.8744195500000003</v>
      </c>
      <c r="H1483" s="1508">
        <f t="shared" si="182"/>
        <v>0</v>
      </c>
      <c r="I1483" s="1480">
        <v>0</v>
      </c>
      <c r="J1483" s="1480">
        <v>0</v>
      </c>
      <c r="K1483" s="1508"/>
      <c r="L1483" s="1508"/>
      <c r="M1483" s="1509">
        <f t="shared" si="183"/>
        <v>0</v>
      </c>
      <c r="N1483" s="1508">
        <f t="shared" si="184"/>
        <v>0</v>
      </c>
      <c r="O1483" s="1481">
        <f t="shared" si="180"/>
        <v>0</v>
      </c>
      <c r="P1483" s="1427">
        <f t="shared" si="181"/>
        <v>0</v>
      </c>
    </row>
    <row r="1484" spans="1:16" ht="31" outlineLevel="1" x14ac:dyDescent="0.25">
      <c r="A1484" s="1482">
        <f t="shared" si="177"/>
        <v>24.2</v>
      </c>
      <c r="B1484" s="1483" t="str">
        <f t="shared" si="177"/>
        <v>Retrofitting of existing Circuit breakers installed at Unit Boards at Unit –5  &amp; Aundha Pump House (ODP-II)</v>
      </c>
      <c r="C1484" s="1482" t="str">
        <f t="shared" si="177"/>
        <v>MERC/CAPEX/20162017/01475</v>
      </c>
      <c r="D1484" s="1390">
        <f t="shared" si="177"/>
        <v>42772</v>
      </c>
      <c r="E1484" s="560">
        <f t="shared" si="177"/>
        <v>3.46</v>
      </c>
      <c r="F1484" s="1508">
        <f t="shared" si="178"/>
        <v>3.5522795499999997</v>
      </c>
      <c r="G1484" s="1508">
        <f t="shared" si="179"/>
        <v>3.5522795500000002</v>
      </c>
      <c r="H1484" s="1508">
        <f t="shared" si="182"/>
        <v>0</v>
      </c>
      <c r="I1484" s="1480">
        <v>0</v>
      </c>
      <c r="J1484" s="1480">
        <v>0</v>
      </c>
      <c r="K1484" s="1508"/>
      <c r="L1484" s="1508"/>
      <c r="M1484" s="1509">
        <f t="shared" si="183"/>
        <v>0</v>
      </c>
      <c r="N1484" s="1508">
        <f t="shared" si="184"/>
        <v>0</v>
      </c>
      <c r="O1484" s="1481">
        <f t="shared" si="180"/>
        <v>0</v>
      </c>
      <c r="P1484" s="1427">
        <f t="shared" si="181"/>
        <v>0</v>
      </c>
    </row>
    <row r="1485" spans="1:16" ht="31" outlineLevel="1" x14ac:dyDescent="0.25">
      <c r="A1485" s="1482">
        <f t="shared" si="177"/>
        <v>24.3</v>
      </c>
      <c r="B1485" s="1483" t="str">
        <f t="shared" si="177"/>
        <v xml:space="preserve">Retrofitting of existing Circuit breakers installed at Unit Boards at Unit –3&amp;4 </v>
      </c>
      <c r="C1485" s="1482" t="str">
        <f t="shared" si="177"/>
        <v>MERC/CAPEX/20162017/01475</v>
      </c>
      <c r="D1485" s="1390">
        <f t="shared" si="177"/>
        <v>42772</v>
      </c>
      <c r="E1485" s="560">
        <f t="shared" si="177"/>
        <v>6.19</v>
      </c>
      <c r="F1485" s="1508">
        <f t="shared" si="178"/>
        <v>4.5767479</v>
      </c>
      <c r="G1485" s="1508">
        <f t="shared" si="179"/>
        <v>4.5767479</v>
      </c>
      <c r="H1485" s="1508">
        <f t="shared" si="182"/>
        <v>0</v>
      </c>
      <c r="I1485" s="1480">
        <v>0</v>
      </c>
      <c r="J1485" s="1480">
        <v>0</v>
      </c>
      <c r="K1485" s="1508"/>
      <c r="L1485" s="1508"/>
      <c r="M1485" s="1509">
        <f t="shared" si="183"/>
        <v>0</v>
      </c>
      <c r="N1485" s="1508">
        <f t="shared" si="184"/>
        <v>0</v>
      </c>
      <c r="O1485" s="1481">
        <f t="shared" si="180"/>
        <v>0</v>
      </c>
      <c r="P1485" s="1427">
        <f t="shared" si="181"/>
        <v>0</v>
      </c>
    </row>
    <row r="1486" spans="1:16" ht="15.5" outlineLevel="1" x14ac:dyDescent="0.25">
      <c r="A1486" s="1482">
        <f t="shared" si="177"/>
        <v>0</v>
      </c>
      <c r="B1486" s="1483" t="str">
        <f t="shared" si="177"/>
        <v>IDC</v>
      </c>
      <c r="C1486" s="1482" t="str">
        <f t="shared" si="177"/>
        <v>MERC/CAPEX/20162017/01475</v>
      </c>
      <c r="D1486" s="1390">
        <f t="shared" si="177"/>
        <v>42772</v>
      </c>
      <c r="E1486" s="560">
        <f t="shared" si="177"/>
        <v>0.8</v>
      </c>
      <c r="F1486" s="1508">
        <f t="shared" si="178"/>
        <v>0</v>
      </c>
      <c r="G1486" s="1508">
        <f t="shared" si="179"/>
        <v>0</v>
      </c>
      <c r="H1486" s="1508">
        <f t="shared" si="182"/>
        <v>0</v>
      </c>
      <c r="I1486" s="1480">
        <v>0</v>
      </c>
      <c r="J1486" s="1480">
        <v>0</v>
      </c>
      <c r="K1486" s="1508"/>
      <c r="L1486" s="1508"/>
      <c r="M1486" s="1509">
        <f t="shared" si="183"/>
        <v>0</v>
      </c>
      <c r="N1486" s="1508">
        <f t="shared" si="184"/>
        <v>0</v>
      </c>
      <c r="O1486" s="1481">
        <f t="shared" si="180"/>
        <v>0</v>
      </c>
      <c r="P1486" s="1427">
        <f t="shared" si="181"/>
        <v>0</v>
      </c>
    </row>
    <row r="1487" spans="1:16" ht="31" outlineLevel="1" x14ac:dyDescent="0.25">
      <c r="A1487" s="1489">
        <f t="shared" si="177"/>
        <v>25</v>
      </c>
      <c r="B1487" s="1490" t="str">
        <f t="shared" si="177"/>
        <v>Construction of Quarter Guard, Bachelor Accomodation &amp; Allied Structures in Phase I &amp; II for Induction of CISF Security</v>
      </c>
      <c r="C1487" s="1477" t="str">
        <f t="shared" si="177"/>
        <v>MERC/CAPEX/20162017/01269</v>
      </c>
      <c r="D1487" s="1479">
        <f t="shared" si="177"/>
        <v>42737</v>
      </c>
      <c r="E1487" s="1383">
        <f t="shared" si="177"/>
        <v>14.686</v>
      </c>
      <c r="F1487" s="1480">
        <f t="shared" si="178"/>
        <v>0</v>
      </c>
      <c r="G1487" s="1480">
        <f t="shared" si="179"/>
        <v>0</v>
      </c>
      <c r="H1487" s="1480">
        <f t="shared" si="182"/>
        <v>0</v>
      </c>
      <c r="I1487" s="1480">
        <v>0</v>
      </c>
      <c r="J1487" s="1480">
        <v>0</v>
      </c>
      <c r="K1487" s="1480"/>
      <c r="L1487" s="1480"/>
      <c r="M1487" s="1480">
        <f t="shared" si="183"/>
        <v>0</v>
      </c>
      <c r="N1487" s="1480">
        <f t="shared" si="184"/>
        <v>0</v>
      </c>
      <c r="O1487" s="1481">
        <f t="shared" si="180"/>
        <v>0</v>
      </c>
      <c r="P1487" s="1427">
        <f t="shared" si="181"/>
        <v>0</v>
      </c>
    </row>
    <row r="1488" spans="1:16" ht="31" outlineLevel="1" x14ac:dyDescent="0.25">
      <c r="A1488" s="1484">
        <f t="shared" si="177"/>
        <v>25.1</v>
      </c>
      <c r="B1488" s="1485" t="str">
        <f t="shared" si="177"/>
        <v>Construction of Quarter Guard, Bachelor Accomodation &amp; Allied Structures in Phase I &amp; II for Induction of CISF Security</v>
      </c>
      <c r="C1488" s="1482" t="str">
        <f t="shared" si="177"/>
        <v>MERC/CAPEX/20162017/01269</v>
      </c>
      <c r="D1488" s="1390">
        <f t="shared" si="177"/>
        <v>42737</v>
      </c>
      <c r="E1488" s="560">
        <f t="shared" si="177"/>
        <v>14.686</v>
      </c>
      <c r="F1488" s="1508">
        <f t="shared" si="178"/>
        <v>12.400374417000002</v>
      </c>
      <c r="G1488" s="1508">
        <f t="shared" si="179"/>
        <v>12.400374417000002</v>
      </c>
      <c r="H1488" s="1508">
        <f t="shared" si="182"/>
        <v>0</v>
      </c>
      <c r="I1488" s="1480">
        <v>2.29</v>
      </c>
      <c r="J1488" s="1480">
        <v>2.29</v>
      </c>
      <c r="K1488" s="1508"/>
      <c r="L1488" s="1508"/>
      <c r="M1488" s="1509">
        <f t="shared" si="183"/>
        <v>2.29</v>
      </c>
      <c r="N1488" s="1508">
        <f t="shared" si="184"/>
        <v>0</v>
      </c>
      <c r="O1488" s="1481">
        <f t="shared" si="180"/>
        <v>2.2856255829999981</v>
      </c>
      <c r="P1488" s="1427">
        <f t="shared" si="181"/>
        <v>4.3744170000019622E-3</v>
      </c>
    </row>
    <row r="1489" spans="1:16" ht="31" outlineLevel="1" x14ac:dyDescent="0.25">
      <c r="A1489" s="1489">
        <f t="shared" si="177"/>
        <v>26</v>
      </c>
      <c r="B1489" s="1490" t="str">
        <f t="shared" si="177"/>
        <v>Pipe Conveyor System for Transporting Coal from Bhatadi Coal Mine to Chandrapur STPS.</v>
      </c>
      <c r="C1489" s="1477" t="str">
        <f t="shared" si="177"/>
        <v>MERC/CAPEX/20172018/4171</v>
      </c>
      <c r="D1489" s="1479">
        <f t="shared" si="177"/>
        <v>42986</v>
      </c>
      <c r="E1489" s="1383">
        <f t="shared" si="177"/>
        <v>196.26</v>
      </c>
      <c r="F1489" s="1480">
        <f t="shared" si="178"/>
        <v>0</v>
      </c>
      <c r="G1489" s="1480">
        <f t="shared" si="179"/>
        <v>0</v>
      </c>
      <c r="H1489" s="1480">
        <f t="shared" si="182"/>
        <v>0</v>
      </c>
      <c r="I1489" s="1480">
        <v>0</v>
      </c>
      <c r="J1489" s="1480">
        <v>0</v>
      </c>
      <c r="K1489" s="1480"/>
      <c r="L1489" s="1480"/>
      <c r="M1489" s="1480">
        <f t="shared" si="183"/>
        <v>0</v>
      </c>
      <c r="N1489" s="1480">
        <f t="shared" si="184"/>
        <v>0</v>
      </c>
      <c r="O1489" s="1481">
        <f t="shared" si="180"/>
        <v>0</v>
      </c>
      <c r="P1489" s="1427">
        <f t="shared" si="181"/>
        <v>0</v>
      </c>
    </row>
    <row r="1490" spans="1:16" ht="31" outlineLevel="1" x14ac:dyDescent="0.25">
      <c r="A1490" s="1484">
        <f t="shared" si="177"/>
        <v>26.1</v>
      </c>
      <c r="B1490" s="1485" t="str">
        <f t="shared" si="177"/>
        <v>Pipe Conveyor System for Transporting Coal from Bhatadi Coal Mine to Chandrapur STPS.</v>
      </c>
      <c r="C1490" s="1482" t="str">
        <f t="shared" si="177"/>
        <v>MERC/CAPEX/20172018/4171</v>
      </c>
      <c r="D1490" s="1390">
        <f t="shared" si="177"/>
        <v>42986</v>
      </c>
      <c r="E1490" s="560">
        <f t="shared" si="177"/>
        <v>196.26</v>
      </c>
      <c r="F1490" s="1508">
        <f t="shared" si="178"/>
        <v>256.81526693500001</v>
      </c>
      <c r="G1490" s="1508">
        <f t="shared" si="179"/>
        <v>256.81526693500001</v>
      </c>
      <c r="H1490" s="1508">
        <f t="shared" si="182"/>
        <v>0</v>
      </c>
      <c r="I1490" s="1480">
        <v>0</v>
      </c>
      <c r="J1490" s="1480">
        <v>0</v>
      </c>
      <c r="K1490" s="1508"/>
      <c r="L1490" s="1508"/>
      <c r="M1490" s="1509">
        <f t="shared" si="183"/>
        <v>0</v>
      </c>
      <c r="N1490" s="1508">
        <f t="shared" si="184"/>
        <v>0</v>
      </c>
      <c r="O1490" s="1481">
        <f t="shared" si="180"/>
        <v>0</v>
      </c>
      <c r="P1490" s="1427">
        <f t="shared" si="181"/>
        <v>0</v>
      </c>
    </row>
    <row r="1491" spans="1:16" ht="31" outlineLevel="1" x14ac:dyDescent="0.25">
      <c r="A1491" s="1477">
        <f t="shared" si="177"/>
        <v>27</v>
      </c>
      <c r="B1491" s="1478" t="str">
        <f t="shared" si="177"/>
        <v>Procurement &amp; replacement of Economizer upper assemblies of Unit-5,6 &amp; hot Reheater coil complete set of Unit-3 of CSTPS</v>
      </c>
      <c r="C1491" s="1477" t="str">
        <f t="shared" si="177"/>
        <v>MERC/CAPEX/20172018/4071</v>
      </c>
      <c r="D1491" s="1479">
        <f t="shared" si="177"/>
        <v>42965</v>
      </c>
      <c r="E1491" s="1403">
        <f t="shared" si="177"/>
        <v>25.27</v>
      </c>
      <c r="F1491" s="1510">
        <f t="shared" si="178"/>
        <v>0</v>
      </c>
      <c r="G1491" s="1510">
        <f t="shared" si="179"/>
        <v>0</v>
      </c>
      <c r="H1491" s="1510">
        <f t="shared" si="182"/>
        <v>0</v>
      </c>
      <c r="I1491" s="1480">
        <v>0</v>
      </c>
      <c r="J1491" s="1480">
        <v>0</v>
      </c>
      <c r="K1491" s="1510"/>
      <c r="L1491" s="1510"/>
      <c r="M1491" s="1510">
        <f t="shared" si="183"/>
        <v>0</v>
      </c>
      <c r="N1491" s="1510">
        <f t="shared" si="184"/>
        <v>0</v>
      </c>
      <c r="O1491" s="1481">
        <f t="shared" si="180"/>
        <v>0</v>
      </c>
      <c r="P1491" s="1427">
        <f t="shared" si="181"/>
        <v>0</v>
      </c>
    </row>
    <row r="1492" spans="1:16" ht="31" outlineLevel="1" x14ac:dyDescent="0.25">
      <c r="A1492" s="1482">
        <f t="shared" si="177"/>
        <v>27.1</v>
      </c>
      <c r="B1492" s="1483" t="str">
        <f t="shared" si="177"/>
        <v>supply &amp; replacement of Economizer Upper Assemblies of unit no.5 &amp; 6</v>
      </c>
      <c r="C1492" s="1482" t="str">
        <f t="shared" si="177"/>
        <v>MERC/CAPEX/20172018/4071</v>
      </c>
      <c r="D1492" s="1390">
        <f t="shared" si="177"/>
        <v>42965</v>
      </c>
      <c r="E1492" s="560">
        <f t="shared" si="177"/>
        <v>18.25</v>
      </c>
      <c r="F1492" s="1508">
        <f t="shared" si="178"/>
        <v>8.2829930689999998</v>
      </c>
      <c r="G1492" s="1508">
        <f t="shared" si="179"/>
        <v>8.2829930689999998</v>
      </c>
      <c r="H1492" s="1508">
        <f t="shared" si="182"/>
        <v>0</v>
      </c>
      <c r="I1492" s="1480">
        <v>0</v>
      </c>
      <c r="J1492" s="1480">
        <v>0</v>
      </c>
      <c r="K1492" s="1508"/>
      <c r="L1492" s="1508"/>
      <c r="M1492" s="1509">
        <f t="shared" si="183"/>
        <v>0</v>
      </c>
      <c r="N1492" s="1508">
        <f t="shared" si="184"/>
        <v>0</v>
      </c>
      <c r="O1492" s="1481">
        <f t="shared" si="180"/>
        <v>0</v>
      </c>
      <c r="P1492" s="1427">
        <f t="shared" si="181"/>
        <v>0</v>
      </c>
    </row>
    <row r="1493" spans="1:16" ht="31" outlineLevel="1" x14ac:dyDescent="0.25">
      <c r="A1493" s="1482">
        <f t="shared" si="177"/>
        <v>27.2</v>
      </c>
      <c r="B1493" s="1483" t="str">
        <f t="shared" si="177"/>
        <v>Supply &amp; replacement of hot reheater coil complete set of Unit-3.</v>
      </c>
      <c r="C1493" s="1482" t="str">
        <f t="shared" si="177"/>
        <v>MERC/CAPEX/20172018/4071</v>
      </c>
      <c r="D1493" s="1390">
        <f t="shared" si="177"/>
        <v>42965</v>
      </c>
      <c r="E1493" s="560">
        <f t="shared" si="177"/>
        <v>6.72</v>
      </c>
      <c r="F1493" s="1508">
        <f t="shared" si="178"/>
        <v>6.0757019999999997</v>
      </c>
      <c r="G1493" s="1508">
        <f t="shared" si="179"/>
        <v>6.0757019999999997</v>
      </c>
      <c r="H1493" s="1508">
        <f t="shared" si="182"/>
        <v>0</v>
      </c>
      <c r="I1493" s="1480">
        <v>0</v>
      </c>
      <c r="J1493" s="1480">
        <v>0</v>
      </c>
      <c r="K1493" s="1508"/>
      <c r="L1493" s="1508"/>
      <c r="M1493" s="1509">
        <f t="shared" si="183"/>
        <v>0</v>
      </c>
      <c r="N1493" s="1508">
        <f t="shared" si="184"/>
        <v>0</v>
      </c>
      <c r="O1493" s="1481">
        <f t="shared" si="180"/>
        <v>0</v>
      </c>
      <c r="P1493" s="1427">
        <f t="shared" si="181"/>
        <v>0</v>
      </c>
    </row>
    <row r="1494" spans="1:16" ht="15.5" outlineLevel="1" x14ac:dyDescent="0.25">
      <c r="A1494" s="1482">
        <f t="shared" ref="A1494:E1509" si="185">A824</f>
        <v>0</v>
      </c>
      <c r="B1494" s="1483" t="str">
        <f t="shared" si="185"/>
        <v>IDC</v>
      </c>
      <c r="C1494" s="1482" t="str">
        <f t="shared" si="185"/>
        <v>MERC/CAPEX/20172018/4071</v>
      </c>
      <c r="D1494" s="1390">
        <f t="shared" si="185"/>
        <v>42965</v>
      </c>
      <c r="E1494" s="560">
        <f t="shared" si="185"/>
        <v>0.3</v>
      </c>
      <c r="F1494" s="1508">
        <f t="shared" si="178"/>
        <v>0</v>
      </c>
      <c r="G1494" s="1508">
        <f t="shared" si="179"/>
        <v>0</v>
      </c>
      <c r="H1494" s="1508">
        <f t="shared" si="182"/>
        <v>0</v>
      </c>
      <c r="I1494" s="1480">
        <v>0</v>
      </c>
      <c r="J1494" s="1480">
        <v>0</v>
      </c>
      <c r="K1494" s="1508"/>
      <c r="L1494" s="1508"/>
      <c r="M1494" s="1509">
        <f t="shared" si="183"/>
        <v>0</v>
      </c>
      <c r="N1494" s="1508">
        <f t="shared" si="184"/>
        <v>0</v>
      </c>
      <c r="O1494" s="1481">
        <f t="shared" si="180"/>
        <v>0</v>
      </c>
      <c r="P1494" s="1427">
        <f t="shared" si="181"/>
        <v>0</v>
      </c>
    </row>
    <row r="1495" spans="1:16" ht="46.5" outlineLevel="1" x14ac:dyDescent="0.25">
      <c r="A1495" s="1477">
        <f t="shared" si="185"/>
        <v>28</v>
      </c>
      <c r="B1495" s="1478" t="str">
        <f t="shared" si="185"/>
        <v xml:space="preserve">Replacement of H2 Generator with new Hydrogen Generator (Non Asbestos Design), procurement of 3-phase TR sets for stage II &amp; other electrical items for ORC at Chandrapur STPS.” </v>
      </c>
      <c r="C1495" s="1486" t="str">
        <f t="shared" si="185"/>
        <v>MERC/CAPEX/20172018/4686</v>
      </c>
      <c r="D1495" s="1487">
        <f t="shared" si="185"/>
        <v>43054</v>
      </c>
      <c r="E1495" s="1383">
        <f t="shared" si="185"/>
        <v>12.456</v>
      </c>
      <c r="F1495" s="1480">
        <f t="shared" si="178"/>
        <v>0</v>
      </c>
      <c r="G1495" s="1480">
        <f t="shared" si="179"/>
        <v>0</v>
      </c>
      <c r="H1495" s="1480">
        <f t="shared" si="182"/>
        <v>0</v>
      </c>
      <c r="I1495" s="1480">
        <v>0</v>
      </c>
      <c r="J1495" s="1480">
        <v>0</v>
      </c>
      <c r="K1495" s="1480"/>
      <c r="L1495" s="1480"/>
      <c r="M1495" s="1480">
        <f t="shared" si="183"/>
        <v>0</v>
      </c>
      <c r="N1495" s="1480">
        <f t="shared" si="184"/>
        <v>0</v>
      </c>
      <c r="O1495" s="1481">
        <f t="shared" si="180"/>
        <v>0</v>
      </c>
      <c r="P1495" s="1427">
        <f t="shared" si="181"/>
        <v>0</v>
      </c>
    </row>
    <row r="1496" spans="1:16" ht="31" outlineLevel="1" x14ac:dyDescent="0.25">
      <c r="A1496" s="1482">
        <f t="shared" si="185"/>
        <v>28.1</v>
      </c>
      <c r="B1496" s="1483" t="str">
        <f t="shared" si="185"/>
        <v>Supply, Installation &amp; Commissioning of   Hydrogen Generator Model : HMXT 200 (Non Asbestos Design)</v>
      </c>
      <c r="C1496" s="1482" t="str">
        <f t="shared" si="185"/>
        <v>MERC/CAPEX/20172018/4686</v>
      </c>
      <c r="D1496" s="1390">
        <f t="shared" si="185"/>
        <v>43054</v>
      </c>
      <c r="E1496" s="560">
        <f t="shared" si="185"/>
        <v>10.36</v>
      </c>
      <c r="F1496" s="1508">
        <f t="shared" si="178"/>
        <v>11.5757999</v>
      </c>
      <c r="G1496" s="1508">
        <f t="shared" si="179"/>
        <v>11.5757999</v>
      </c>
      <c r="H1496" s="1508">
        <f t="shared" si="182"/>
        <v>0</v>
      </c>
      <c r="I1496" s="1480">
        <v>0</v>
      </c>
      <c r="J1496" s="1480">
        <v>0</v>
      </c>
      <c r="K1496" s="1508"/>
      <c r="L1496" s="1508"/>
      <c r="M1496" s="1509">
        <f t="shared" si="183"/>
        <v>0</v>
      </c>
      <c r="N1496" s="1508">
        <f t="shared" si="184"/>
        <v>0</v>
      </c>
      <c r="O1496" s="1481">
        <f t="shared" si="180"/>
        <v>0</v>
      </c>
      <c r="P1496" s="1427">
        <f t="shared" si="181"/>
        <v>0</v>
      </c>
    </row>
    <row r="1497" spans="1:16" ht="31" outlineLevel="1" x14ac:dyDescent="0.25">
      <c r="A1497" s="1482">
        <f t="shared" si="185"/>
        <v>28.2</v>
      </c>
      <c r="B1497" s="1483" t="str">
        <f t="shared" si="185"/>
        <v>Supply of 3 phase high frequency T-R sets for replacement of T-R sets of ESP Stg-II</v>
      </c>
      <c r="C1497" s="1488" t="str">
        <f t="shared" si="185"/>
        <v>MERC/CAPEX/20172018/4686</v>
      </c>
      <c r="D1497" s="1413">
        <f t="shared" si="185"/>
        <v>43054</v>
      </c>
      <c r="E1497" s="560">
        <f t="shared" si="185"/>
        <v>0.63</v>
      </c>
      <c r="F1497" s="1508">
        <f t="shared" si="178"/>
        <v>0</v>
      </c>
      <c r="G1497" s="1508">
        <f t="shared" si="179"/>
        <v>0</v>
      </c>
      <c r="H1497" s="1508">
        <f t="shared" si="182"/>
        <v>0</v>
      </c>
      <c r="I1497" s="1480">
        <v>0</v>
      </c>
      <c r="J1497" s="1480">
        <v>0</v>
      </c>
      <c r="K1497" s="1508"/>
      <c r="L1497" s="1508"/>
      <c r="M1497" s="1509">
        <f t="shared" si="183"/>
        <v>0</v>
      </c>
      <c r="N1497" s="1508">
        <f t="shared" si="184"/>
        <v>0</v>
      </c>
      <c r="O1497" s="1481">
        <f t="shared" si="180"/>
        <v>0</v>
      </c>
      <c r="P1497" s="1427">
        <f t="shared" si="181"/>
        <v>0</v>
      </c>
    </row>
    <row r="1498" spans="1:16" ht="31" outlineLevel="1" x14ac:dyDescent="0.25">
      <c r="A1498" s="1482">
        <f t="shared" si="185"/>
        <v>28.3</v>
      </c>
      <c r="B1498" s="1483" t="str">
        <f t="shared" si="185"/>
        <v>Replacement of HPSV High Mast Towers by Stadium LED  High Mast at ORC ground CSTPS Chandrapur</v>
      </c>
      <c r="C1498" s="1482" t="str">
        <f t="shared" si="185"/>
        <v>MERC/CAPEX/20172018/4686</v>
      </c>
      <c r="D1498" s="1390">
        <f t="shared" si="185"/>
        <v>43054</v>
      </c>
      <c r="E1498" s="560">
        <f t="shared" si="185"/>
        <v>0.53600000000000003</v>
      </c>
      <c r="F1498" s="1508">
        <f t="shared" si="178"/>
        <v>0.51656219999999997</v>
      </c>
      <c r="G1498" s="1508">
        <f t="shared" si="179"/>
        <v>0.51656219999999997</v>
      </c>
      <c r="H1498" s="1508">
        <f t="shared" si="182"/>
        <v>0</v>
      </c>
      <c r="I1498" s="1480">
        <v>0</v>
      </c>
      <c r="J1498" s="1480">
        <v>0</v>
      </c>
      <c r="K1498" s="1508"/>
      <c r="L1498" s="1508"/>
      <c r="M1498" s="1509">
        <f t="shared" si="183"/>
        <v>0</v>
      </c>
      <c r="N1498" s="1508">
        <f t="shared" si="184"/>
        <v>0</v>
      </c>
      <c r="O1498" s="1481">
        <f t="shared" si="180"/>
        <v>0</v>
      </c>
      <c r="P1498" s="1427">
        <f t="shared" si="181"/>
        <v>0</v>
      </c>
    </row>
    <row r="1499" spans="1:16" ht="15.5" outlineLevel="1" x14ac:dyDescent="0.25">
      <c r="A1499" s="1482">
        <f t="shared" si="185"/>
        <v>0</v>
      </c>
      <c r="B1499" s="1483" t="str">
        <f t="shared" si="185"/>
        <v>IDC</v>
      </c>
      <c r="C1499" s="1482" t="str">
        <f t="shared" si="185"/>
        <v>MERC/CAPEX/20172018/4686</v>
      </c>
      <c r="D1499" s="1390">
        <f t="shared" si="185"/>
        <v>43054</v>
      </c>
      <c r="E1499" s="560">
        <f t="shared" si="185"/>
        <v>0.93</v>
      </c>
      <c r="F1499" s="1508">
        <f t="shared" si="178"/>
        <v>0</v>
      </c>
      <c r="G1499" s="1508">
        <f t="shared" si="179"/>
        <v>0</v>
      </c>
      <c r="H1499" s="1508">
        <f t="shared" si="182"/>
        <v>0</v>
      </c>
      <c r="I1499" s="1480">
        <v>0</v>
      </c>
      <c r="J1499" s="1480">
        <v>0</v>
      </c>
      <c r="K1499" s="1508"/>
      <c r="L1499" s="1508"/>
      <c r="M1499" s="1509">
        <f t="shared" si="183"/>
        <v>0</v>
      </c>
      <c r="N1499" s="1508">
        <f t="shared" si="184"/>
        <v>0</v>
      </c>
      <c r="O1499" s="1481">
        <f t="shared" si="180"/>
        <v>0</v>
      </c>
      <c r="P1499" s="1427">
        <f t="shared" si="181"/>
        <v>0</v>
      </c>
    </row>
    <row r="1500" spans="1:16" ht="46.5" outlineLevel="1" x14ac:dyDescent="0.25">
      <c r="A1500" s="1477">
        <f t="shared" si="185"/>
        <v>29</v>
      </c>
      <c r="B1500" s="1478" t="str">
        <f t="shared" si="185"/>
        <v>Procurement of Boiler Feed Booster Pumps to improve availability &amp; performance of feed system, moving blades for LPT &amp; Condenser Tubes of (3 x 500 MW) Units at Chandrapur STPS</v>
      </c>
      <c r="C1500" s="1477" t="str">
        <f t="shared" si="185"/>
        <v>MERC/CAPEX/20172018/0272</v>
      </c>
      <c r="D1500" s="1479">
        <f t="shared" si="185"/>
        <v>43154</v>
      </c>
      <c r="E1500" s="1383">
        <f t="shared" si="185"/>
        <v>15.489999999999998</v>
      </c>
      <c r="F1500" s="1480">
        <f t="shared" si="178"/>
        <v>0</v>
      </c>
      <c r="G1500" s="1480">
        <f t="shared" si="179"/>
        <v>0</v>
      </c>
      <c r="H1500" s="1480">
        <f t="shared" si="182"/>
        <v>0</v>
      </c>
      <c r="I1500" s="1480">
        <v>0</v>
      </c>
      <c r="J1500" s="1480">
        <v>0</v>
      </c>
      <c r="K1500" s="1480"/>
      <c r="L1500" s="1480"/>
      <c r="M1500" s="1480">
        <f t="shared" si="183"/>
        <v>0</v>
      </c>
      <c r="N1500" s="1480">
        <f t="shared" si="184"/>
        <v>0</v>
      </c>
      <c r="O1500" s="1481">
        <f t="shared" si="180"/>
        <v>0</v>
      </c>
      <c r="P1500" s="1427">
        <f t="shared" si="181"/>
        <v>0</v>
      </c>
    </row>
    <row r="1501" spans="1:16" ht="46.5" outlineLevel="1" x14ac:dyDescent="0.25">
      <c r="A1501" s="1482">
        <f t="shared" si="185"/>
        <v>29.1</v>
      </c>
      <c r="B1501" s="1483" t="str">
        <f t="shared" si="185"/>
        <v>Procurement of Boiler Feed Booster pumps to improve availability and performance of Feed system of 500 MW Unit-5, 6 &amp; 7 at CSTPS, Chandrapur</v>
      </c>
      <c r="C1501" s="1482" t="str">
        <f t="shared" si="185"/>
        <v>MERC/CAPEX/20172018/0272</v>
      </c>
      <c r="D1501" s="1390">
        <f t="shared" si="185"/>
        <v>43154</v>
      </c>
      <c r="E1501" s="560">
        <f t="shared" si="185"/>
        <v>2.0099999999999998</v>
      </c>
      <c r="F1501" s="1508">
        <f t="shared" si="178"/>
        <v>2.1150194</v>
      </c>
      <c r="G1501" s="1508">
        <f t="shared" si="179"/>
        <v>2.1150194</v>
      </c>
      <c r="H1501" s="1508">
        <f t="shared" si="182"/>
        <v>0</v>
      </c>
      <c r="I1501" s="1480">
        <v>0</v>
      </c>
      <c r="J1501" s="1480">
        <v>0</v>
      </c>
      <c r="K1501" s="1508"/>
      <c r="L1501" s="1508"/>
      <c r="M1501" s="1509">
        <f t="shared" si="183"/>
        <v>0</v>
      </c>
      <c r="N1501" s="1508">
        <f t="shared" si="184"/>
        <v>0</v>
      </c>
      <c r="O1501" s="1481">
        <f t="shared" si="180"/>
        <v>0</v>
      </c>
      <c r="P1501" s="1427">
        <f t="shared" si="181"/>
        <v>0</v>
      </c>
    </row>
    <row r="1502" spans="1:16" ht="31" outlineLevel="1" x14ac:dyDescent="0.25">
      <c r="A1502" s="1482">
        <f t="shared" si="185"/>
        <v>29.2</v>
      </c>
      <c r="B1502" s="1483" t="str">
        <f t="shared" si="185"/>
        <v>Procurement of moving blades for 500 MW Unit-5, 6 &amp; 7 LPT at CSTPS, Chandrapur</v>
      </c>
      <c r="C1502" s="1482" t="str">
        <f t="shared" si="185"/>
        <v>MERC/CAPEX/20172018/0272</v>
      </c>
      <c r="D1502" s="1390">
        <f t="shared" si="185"/>
        <v>43154</v>
      </c>
      <c r="E1502" s="560">
        <f t="shared" si="185"/>
        <v>3.34</v>
      </c>
      <c r="F1502" s="1508">
        <f t="shared" si="178"/>
        <v>1.9274450000000001</v>
      </c>
      <c r="G1502" s="1508">
        <f t="shared" si="179"/>
        <v>1.9274450000000001</v>
      </c>
      <c r="H1502" s="1508">
        <f t="shared" si="182"/>
        <v>0</v>
      </c>
      <c r="I1502" s="1480">
        <v>0</v>
      </c>
      <c r="J1502" s="1480">
        <v>0</v>
      </c>
      <c r="K1502" s="1508"/>
      <c r="L1502" s="1508"/>
      <c r="M1502" s="1509">
        <f t="shared" si="183"/>
        <v>0</v>
      </c>
      <c r="N1502" s="1508">
        <f t="shared" si="184"/>
        <v>0</v>
      </c>
      <c r="O1502" s="1481">
        <f t="shared" si="180"/>
        <v>0</v>
      </c>
      <c r="P1502" s="1427">
        <f t="shared" si="181"/>
        <v>0</v>
      </c>
    </row>
    <row r="1503" spans="1:16" ht="31" outlineLevel="1" x14ac:dyDescent="0.25">
      <c r="A1503" s="1482">
        <f t="shared" si="185"/>
        <v>29.3</v>
      </c>
      <c r="B1503" s="1483" t="str">
        <f t="shared" si="185"/>
        <v>Procurement &amp; Replacement of Condenser Tubes in 500MW, Unit-7 at CSTPS, Chandrapur</v>
      </c>
      <c r="C1503" s="1482" t="str">
        <f t="shared" si="185"/>
        <v>MERC/CAPEX/20172018/0272</v>
      </c>
      <c r="D1503" s="1390">
        <f t="shared" si="185"/>
        <v>43154</v>
      </c>
      <c r="E1503" s="560">
        <f t="shared" si="185"/>
        <v>9.02</v>
      </c>
      <c r="F1503" s="1508">
        <f t="shared" si="178"/>
        <v>8.8301990999999997</v>
      </c>
      <c r="G1503" s="1508">
        <f t="shared" si="179"/>
        <v>8.8301990999999997</v>
      </c>
      <c r="H1503" s="1508">
        <f t="shared" si="182"/>
        <v>0</v>
      </c>
      <c r="I1503" s="1480">
        <v>0</v>
      </c>
      <c r="J1503" s="1480">
        <v>0</v>
      </c>
      <c r="K1503" s="1508"/>
      <c r="L1503" s="1508"/>
      <c r="M1503" s="1509">
        <f t="shared" si="183"/>
        <v>0</v>
      </c>
      <c r="N1503" s="1508">
        <f t="shared" si="184"/>
        <v>0</v>
      </c>
      <c r="O1503" s="1481">
        <f t="shared" si="180"/>
        <v>0</v>
      </c>
      <c r="P1503" s="1427">
        <f t="shared" si="181"/>
        <v>0</v>
      </c>
    </row>
    <row r="1504" spans="1:16" ht="15.5" outlineLevel="1" x14ac:dyDescent="0.25">
      <c r="A1504" s="1482">
        <f t="shared" si="185"/>
        <v>0</v>
      </c>
      <c r="B1504" s="1483" t="str">
        <f t="shared" si="185"/>
        <v>IDC</v>
      </c>
      <c r="C1504" s="1482" t="str">
        <f t="shared" si="185"/>
        <v>MERC/CAPEX/20172018/0272</v>
      </c>
      <c r="D1504" s="1390">
        <f t="shared" si="185"/>
        <v>43154</v>
      </c>
      <c r="E1504" s="560">
        <f t="shared" si="185"/>
        <v>1.1200000000000001</v>
      </c>
      <c r="F1504" s="1508">
        <f t="shared" si="178"/>
        <v>0</v>
      </c>
      <c r="G1504" s="1508">
        <f t="shared" si="179"/>
        <v>0</v>
      </c>
      <c r="H1504" s="1508">
        <f t="shared" si="182"/>
        <v>0</v>
      </c>
      <c r="I1504" s="1480">
        <v>0</v>
      </c>
      <c r="J1504" s="1480">
        <v>0</v>
      </c>
      <c r="K1504" s="1508"/>
      <c r="L1504" s="1508"/>
      <c r="M1504" s="1509">
        <f t="shared" si="183"/>
        <v>0</v>
      </c>
      <c r="N1504" s="1508">
        <f t="shared" si="184"/>
        <v>0</v>
      </c>
      <c r="O1504" s="1481">
        <f t="shared" si="180"/>
        <v>0</v>
      </c>
      <c r="P1504" s="1427">
        <f t="shared" si="181"/>
        <v>0</v>
      </c>
    </row>
    <row r="1505" spans="1:16" ht="15.5" outlineLevel="1" x14ac:dyDescent="0.25">
      <c r="A1505" s="1489">
        <f t="shared" si="185"/>
        <v>30</v>
      </c>
      <c r="B1505" s="1490" t="str">
        <f t="shared" si="185"/>
        <v>Renovation &amp; Beautification of Colony at Chandrapur STPS</v>
      </c>
      <c r="C1505" s="1486" t="str">
        <f t="shared" si="185"/>
        <v>MERC/CAPEX/20182019/0644</v>
      </c>
      <c r="D1505" s="1487">
        <f t="shared" si="185"/>
        <v>43238</v>
      </c>
      <c r="E1505" s="1383">
        <f t="shared" si="185"/>
        <v>117.57</v>
      </c>
      <c r="F1505" s="1480">
        <f t="shared" si="178"/>
        <v>0</v>
      </c>
      <c r="G1505" s="1480">
        <f t="shared" si="179"/>
        <v>0</v>
      </c>
      <c r="H1505" s="1480">
        <f t="shared" si="182"/>
        <v>0</v>
      </c>
      <c r="I1505" s="1480">
        <v>0</v>
      </c>
      <c r="J1505" s="1480">
        <v>0</v>
      </c>
      <c r="K1505" s="1480"/>
      <c r="L1505" s="1480"/>
      <c r="M1505" s="1480">
        <f t="shared" si="183"/>
        <v>0</v>
      </c>
      <c r="N1505" s="1480">
        <f t="shared" si="184"/>
        <v>0</v>
      </c>
      <c r="O1505" s="1481">
        <f t="shared" si="180"/>
        <v>0</v>
      </c>
      <c r="P1505" s="1427">
        <f t="shared" si="181"/>
        <v>0</v>
      </c>
    </row>
    <row r="1506" spans="1:16" ht="31" outlineLevel="1" x14ac:dyDescent="0.25">
      <c r="A1506" s="1484">
        <f t="shared" si="185"/>
        <v>30.1</v>
      </c>
      <c r="B1506" s="1485" t="str">
        <f t="shared" si="185"/>
        <v>Face- lifting and Renovation of staff quarters &amp; related work at CSTPS, Chandrapur</v>
      </c>
      <c r="C1506" s="1482" t="str">
        <f t="shared" si="185"/>
        <v>MERC/CAPEX/20182019/0644</v>
      </c>
      <c r="D1506" s="1390">
        <f t="shared" si="185"/>
        <v>43238</v>
      </c>
      <c r="E1506" s="560">
        <f t="shared" si="185"/>
        <v>82.6</v>
      </c>
      <c r="F1506" s="1508">
        <f t="shared" si="178"/>
        <v>82.25</v>
      </c>
      <c r="G1506" s="1508">
        <f t="shared" si="179"/>
        <v>82.25</v>
      </c>
      <c r="H1506" s="1508">
        <f t="shared" si="182"/>
        <v>0</v>
      </c>
      <c r="I1506" s="1480">
        <v>0.35</v>
      </c>
      <c r="J1506" s="1480">
        <v>0.35</v>
      </c>
      <c r="K1506" s="1508"/>
      <c r="L1506" s="1508"/>
      <c r="M1506" s="1509">
        <f t="shared" si="183"/>
        <v>0.35</v>
      </c>
      <c r="N1506" s="1508">
        <f t="shared" si="184"/>
        <v>0</v>
      </c>
      <c r="O1506" s="1481">
        <f t="shared" si="180"/>
        <v>0.34999999999999432</v>
      </c>
      <c r="P1506" s="1427">
        <f t="shared" si="181"/>
        <v>5.6621374255882984E-15</v>
      </c>
    </row>
    <row r="1507" spans="1:16" ht="15.5" outlineLevel="1" x14ac:dyDescent="0.25">
      <c r="A1507" s="1484">
        <f t="shared" si="185"/>
        <v>30.2</v>
      </c>
      <c r="B1507" s="1485" t="str">
        <f t="shared" si="185"/>
        <v>Colony Internal Roads at CSTPS, Chandrapur</v>
      </c>
      <c r="C1507" s="1482" t="str">
        <f t="shared" si="185"/>
        <v>MERC/CAPEX/20182019/0644</v>
      </c>
      <c r="D1507" s="1390">
        <f t="shared" si="185"/>
        <v>43238</v>
      </c>
      <c r="E1507" s="560">
        <f t="shared" si="185"/>
        <v>7.08</v>
      </c>
      <c r="F1507" s="1508">
        <f t="shared" si="178"/>
        <v>6.3802027680000002</v>
      </c>
      <c r="G1507" s="1508">
        <f t="shared" si="179"/>
        <v>6.3802027680000002</v>
      </c>
      <c r="H1507" s="1508">
        <f t="shared" si="182"/>
        <v>0</v>
      </c>
      <c r="I1507" s="1480">
        <v>0.69979723199999966</v>
      </c>
      <c r="J1507" s="1480">
        <v>0.69979723199999966</v>
      </c>
      <c r="K1507" s="1508"/>
      <c r="L1507" s="1508"/>
      <c r="M1507" s="1509">
        <f t="shared" si="183"/>
        <v>0.69979723199999966</v>
      </c>
      <c r="N1507" s="1508">
        <f t="shared" si="184"/>
        <v>0</v>
      </c>
      <c r="O1507" s="1481">
        <f t="shared" si="180"/>
        <v>0.69979723199999988</v>
      </c>
      <c r="P1507" s="1427">
        <f t="shared" si="181"/>
        <v>0</v>
      </c>
    </row>
    <row r="1508" spans="1:16" ht="31" outlineLevel="1" x14ac:dyDescent="0.25">
      <c r="A1508" s="1484">
        <f t="shared" si="185"/>
        <v>30.3</v>
      </c>
      <c r="B1508" s="1485" t="str">
        <f t="shared" si="185"/>
        <v>Development of existing open spaces and Garden at CSTPS, Chandrapur</v>
      </c>
      <c r="C1508" s="1488" t="str">
        <f t="shared" si="185"/>
        <v>MERC/CAPEX/20182019/0644</v>
      </c>
      <c r="D1508" s="1413">
        <f t="shared" si="185"/>
        <v>43238</v>
      </c>
      <c r="E1508" s="560">
        <f t="shared" si="185"/>
        <v>4.72</v>
      </c>
      <c r="F1508" s="1508">
        <f t="shared" si="178"/>
        <v>4.1940667999999999</v>
      </c>
      <c r="G1508" s="1508">
        <f t="shared" si="179"/>
        <v>4.1940667999999999</v>
      </c>
      <c r="H1508" s="1508">
        <f t="shared" si="182"/>
        <v>0</v>
      </c>
      <c r="I1508" s="1480">
        <v>0.52593319999999988</v>
      </c>
      <c r="J1508" s="1480">
        <v>0.52593319999999988</v>
      </c>
      <c r="K1508" s="1508"/>
      <c r="L1508" s="1508"/>
      <c r="M1508" s="1509">
        <f t="shared" si="183"/>
        <v>0.52593319999999988</v>
      </c>
      <c r="N1508" s="1508">
        <f t="shared" si="184"/>
        <v>0</v>
      </c>
      <c r="O1508" s="1481">
        <f t="shared" si="180"/>
        <v>0.52593319999999988</v>
      </c>
      <c r="P1508" s="1427">
        <f t="shared" si="181"/>
        <v>0</v>
      </c>
    </row>
    <row r="1509" spans="1:16" ht="46.5" outlineLevel="1" x14ac:dyDescent="0.25">
      <c r="A1509" s="1484">
        <f t="shared" si="185"/>
        <v>30.4</v>
      </c>
      <c r="B1509" s="1485" t="str">
        <f t="shared" si="185"/>
        <v>Renovation of club building /community building and providing new swimming pool and other misc works including Architectural and Consultancy Charges at CSTPS, Chandrapur</v>
      </c>
      <c r="C1509" s="1488" t="str">
        <f t="shared" si="185"/>
        <v>MERC/CAPEX/20182019/0644</v>
      </c>
      <c r="D1509" s="1413">
        <f t="shared" si="185"/>
        <v>43238</v>
      </c>
      <c r="E1509" s="560">
        <f t="shared" si="185"/>
        <v>15.34</v>
      </c>
      <c r="F1509" s="1508">
        <f t="shared" si="178"/>
        <v>5.2469927180000102</v>
      </c>
      <c r="G1509" s="1508">
        <f t="shared" si="179"/>
        <v>4.6648973320000096</v>
      </c>
      <c r="H1509" s="1508">
        <f t="shared" si="182"/>
        <v>0.58209538600000066</v>
      </c>
      <c r="I1509" s="1480">
        <v>2.0999999999999996</v>
      </c>
      <c r="J1509" s="1480">
        <v>2.0999999999999996</v>
      </c>
      <c r="K1509" s="1508"/>
      <c r="L1509" s="1508"/>
      <c r="M1509" s="1509">
        <f t="shared" si="183"/>
        <v>2.0999999999999996</v>
      </c>
      <c r="N1509" s="1508">
        <f t="shared" si="184"/>
        <v>0.58209538600000066</v>
      </c>
      <c r="O1509" s="1481">
        <f t="shared" si="180"/>
        <v>2.0999999999999996</v>
      </c>
      <c r="P1509" s="1427">
        <f t="shared" si="181"/>
        <v>0</v>
      </c>
    </row>
    <row r="1510" spans="1:16" ht="15.5" outlineLevel="1" x14ac:dyDescent="0.25">
      <c r="A1510" s="1484">
        <f t="shared" ref="A1510:E1525" si="186">A840</f>
        <v>0</v>
      </c>
      <c r="B1510" s="1485" t="str">
        <f t="shared" si="186"/>
        <v>IDC</v>
      </c>
      <c r="C1510" s="1482" t="str">
        <f t="shared" si="186"/>
        <v>MERC/CAPEX/20182019/0644</v>
      </c>
      <c r="D1510" s="1390">
        <f t="shared" si="186"/>
        <v>43238</v>
      </c>
      <c r="E1510" s="560">
        <f t="shared" si="186"/>
        <v>7.83</v>
      </c>
      <c r="F1510" s="1508">
        <f t="shared" si="178"/>
        <v>10.9403115</v>
      </c>
      <c r="G1510" s="1508">
        <f t="shared" si="179"/>
        <v>10.9403115</v>
      </c>
      <c r="H1510" s="1508">
        <f t="shared" si="182"/>
        <v>0</v>
      </c>
      <c r="I1510" s="1480">
        <v>0</v>
      </c>
      <c r="J1510" s="1480">
        <v>0</v>
      </c>
      <c r="K1510" s="1508"/>
      <c r="L1510" s="1508"/>
      <c r="M1510" s="1509">
        <f t="shared" si="183"/>
        <v>0</v>
      </c>
      <c r="N1510" s="1508">
        <f t="shared" si="184"/>
        <v>0</v>
      </c>
      <c r="O1510" s="1481">
        <f t="shared" si="180"/>
        <v>0</v>
      </c>
      <c r="P1510" s="1427">
        <f t="shared" si="181"/>
        <v>0</v>
      </c>
    </row>
    <row r="1511" spans="1:16" ht="15.5" outlineLevel="1" x14ac:dyDescent="0.25">
      <c r="A1511" s="1486">
        <f t="shared" si="186"/>
        <v>31</v>
      </c>
      <c r="B1511" s="1491" t="str">
        <f t="shared" si="186"/>
        <v>Fully Integrated Security Surveillance System</v>
      </c>
      <c r="C1511" s="1486" t="str">
        <f t="shared" si="186"/>
        <v>MERC/CAPEX/2018-19/066</v>
      </c>
      <c r="D1511" s="1487">
        <f t="shared" si="186"/>
        <v>43529</v>
      </c>
      <c r="E1511" s="1383">
        <f t="shared" si="186"/>
        <v>76.410000000000025</v>
      </c>
      <c r="F1511" s="1480">
        <f t="shared" si="178"/>
        <v>0</v>
      </c>
      <c r="G1511" s="1480">
        <f t="shared" si="179"/>
        <v>0</v>
      </c>
      <c r="H1511" s="1480">
        <f t="shared" si="182"/>
        <v>0</v>
      </c>
      <c r="I1511" s="1480">
        <v>0</v>
      </c>
      <c r="J1511" s="1480">
        <v>0</v>
      </c>
      <c r="K1511" s="1480"/>
      <c r="L1511" s="1480"/>
      <c r="M1511" s="1480">
        <f t="shared" si="183"/>
        <v>0</v>
      </c>
      <c r="N1511" s="1480">
        <f t="shared" si="184"/>
        <v>0</v>
      </c>
      <c r="O1511" s="1481">
        <f t="shared" si="180"/>
        <v>0</v>
      </c>
      <c r="P1511" s="1427">
        <f t="shared" si="181"/>
        <v>0</v>
      </c>
    </row>
    <row r="1512" spans="1:16" ht="15.5" outlineLevel="1" x14ac:dyDescent="0.25">
      <c r="A1512" s="1488">
        <f t="shared" si="186"/>
        <v>31.1</v>
      </c>
      <c r="B1512" s="1492" t="str">
        <f t="shared" si="186"/>
        <v>CLOSE CIRCUIT TELEVISION SYSTEM (CCTV), MOBILE DVR</v>
      </c>
      <c r="C1512" s="1488" t="str">
        <f t="shared" si="186"/>
        <v>MERC/CAPEX/2018-19/066</v>
      </c>
      <c r="D1512" s="1413">
        <f t="shared" si="186"/>
        <v>43529</v>
      </c>
      <c r="E1512" s="560">
        <f t="shared" si="186"/>
        <v>24.03</v>
      </c>
      <c r="F1512" s="1508">
        <f t="shared" si="178"/>
        <v>0</v>
      </c>
      <c r="G1512" s="1508">
        <f t="shared" si="179"/>
        <v>0</v>
      </c>
      <c r="H1512" s="1508">
        <f t="shared" si="182"/>
        <v>0</v>
      </c>
      <c r="I1512" s="1480">
        <v>0</v>
      </c>
      <c r="J1512" s="1480">
        <v>0</v>
      </c>
      <c r="K1512" s="1508"/>
      <c r="L1512" s="1508"/>
      <c r="M1512" s="1509">
        <f t="shared" si="183"/>
        <v>0</v>
      </c>
      <c r="N1512" s="1508">
        <f t="shared" si="184"/>
        <v>0</v>
      </c>
      <c r="O1512" s="1481">
        <f t="shared" si="180"/>
        <v>0</v>
      </c>
      <c r="P1512" s="1427">
        <f t="shared" si="181"/>
        <v>0</v>
      </c>
    </row>
    <row r="1513" spans="1:16" ht="15.5" outlineLevel="1" x14ac:dyDescent="0.25">
      <c r="A1513" s="1488">
        <f t="shared" si="186"/>
        <v>31.2</v>
      </c>
      <c r="B1513" s="1492" t="str">
        <f t="shared" si="186"/>
        <v>FIRE ALARM SYSTEM</v>
      </c>
      <c r="C1513" s="1488" t="str">
        <f t="shared" si="186"/>
        <v>MERC/CAPEX/2018-19/066</v>
      </c>
      <c r="D1513" s="1413">
        <f t="shared" si="186"/>
        <v>43529</v>
      </c>
      <c r="E1513" s="560">
        <f t="shared" si="186"/>
        <v>4.33</v>
      </c>
      <c r="F1513" s="1508">
        <f t="shared" si="178"/>
        <v>0</v>
      </c>
      <c r="G1513" s="1508">
        <f t="shared" si="179"/>
        <v>0</v>
      </c>
      <c r="H1513" s="1508">
        <f t="shared" si="182"/>
        <v>0</v>
      </c>
      <c r="I1513" s="1480">
        <v>0</v>
      </c>
      <c r="J1513" s="1480">
        <v>0</v>
      </c>
      <c r="K1513" s="1508"/>
      <c r="L1513" s="1508"/>
      <c r="M1513" s="1509">
        <f t="shared" si="183"/>
        <v>0</v>
      </c>
      <c r="N1513" s="1508">
        <f t="shared" si="184"/>
        <v>0</v>
      </c>
      <c r="O1513" s="1481">
        <f t="shared" si="180"/>
        <v>0</v>
      </c>
      <c r="P1513" s="1427">
        <f t="shared" si="181"/>
        <v>0</v>
      </c>
    </row>
    <row r="1514" spans="1:16" ht="15.5" outlineLevel="1" x14ac:dyDescent="0.25">
      <c r="A1514" s="1488">
        <f t="shared" si="186"/>
        <v>31.3</v>
      </c>
      <c r="B1514" s="1492" t="str">
        <f t="shared" si="186"/>
        <v>ACCESS CONTROL SYSTEM</v>
      </c>
      <c r="C1514" s="1488" t="str">
        <f t="shared" si="186"/>
        <v>MERC/CAPEX/2018-19/066</v>
      </c>
      <c r="D1514" s="1413">
        <f t="shared" si="186"/>
        <v>43529</v>
      </c>
      <c r="E1514" s="560">
        <f t="shared" si="186"/>
        <v>0.48</v>
      </c>
      <c r="F1514" s="1508">
        <f t="shared" si="178"/>
        <v>0</v>
      </c>
      <c r="G1514" s="1508">
        <f t="shared" si="179"/>
        <v>0</v>
      </c>
      <c r="H1514" s="1508">
        <f t="shared" si="182"/>
        <v>0</v>
      </c>
      <c r="I1514" s="1480">
        <v>0</v>
      </c>
      <c r="J1514" s="1480">
        <v>0</v>
      </c>
      <c r="K1514" s="1508"/>
      <c r="L1514" s="1508"/>
      <c r="M1514" s="1509">
        <f t="shared" si="183"/>
        <v>0</v>
      </c>
      <c r="N1514" s="1508">
        <f t="shared" si="184"/>
        <v>0</v>
      </c>
      <c r="O1514" s="1481">
        <f t="shared" si="180"/>
        <v>0</v>
      </c>
      <c r="P1514" s="1427">
        <f t="shared" si="181"/>
        <v>0</v>
      </c>
    </row>
    <row r="1515" spans="1:16" ht="15.5" outlineLevel="1" x14ac:dyDescent="0.25">
      <c r="A1515" s="1488">
        <f t="shared" si="186"/>
        <v>31.4</v>
      </c>
      <c r="B1515" s="1492" t="str">
        <f t="shared" si="186"/>
        <v>EPABX</v>
      </c>
      <c r="C1515" s="1488" t="str">
        <f t="shared" si="186"/>
        <v>MERC/CAPEX/2018-19/066</v>
      </c>
      <c r="D1515" s="1413">
        <f t="shared" si="186"/>
        <v>43529</v>
      </c>
      <c r="E1515" s="560">
        <f t="shared" si="186"/>
        <v>1.93</v>
      </c>
      <c r="F1515" s="1508">
        <f t="shared" si="178"/>
        <v>0</v>
      </c>
      <c r="G1515" s="1508">
        <f t="shared" si="179"/>
        <v>0</v>
      </c>
      <c r="H1515" s="1508">
        <f t="shared" si="182"/>
        <v>0</v>
      </c>
      <c r="I1515" s="1480">
        <v>0</v>
      </c>
      <c r="J1515" s="1480">
        <v>0</v>
      </c>
      <c r="K1515" s="1508"/>
      <c r="L1515" s="1508"/>
      <c r="M1515" s="1509">
        <f t="shared" si="183"/>
        <v>0</v>
      </c>
      <c r="N1515" s="1508">
        <f t="shared" si="184"/>
        <v>0</v>
      </c>
      <c r="O1515" s="1481">
        <f t="shared" si="180"/>
        <v>0</v>
      </c>
      <c r="P1515" s="1427">
        <f t="shared" si="181"/>
        <v>0</v>
      </c>
    </row>
    <row r="1516" spans="1:16" ht="15.5" outlineLevel="1" x14ac:dyDescent="0.25">
      <c r="A1516" s="1488">
        <f t="shared" si="186"/>
        <v>31.5</v>
      </c>
      <c r="B1516" s="1492" t="str">
        <f t="shared" si="186"/>
        <v>RADIO COMMUNICATION AND CONNECTIVITY (Wireless)</v>
      </c>
      <c r="C1516" s="1488" t="str">
        <f t="shared" si="186"/>
        <v>MERC/CAPEX/2018-19/066</v>
      </c>
      <c r="D1516" s="1413">
        <f t="shared" si="186"/>
        <v>43529</v>
      </c>
      <c r="E1516" s="560">
        <f t="shared" si="186"/>
        <v>1.76</v>
      </c>
      <c r="F1516" s="1508">
        <f t="shared" si="178"/>
        <v>0</v>
      </c>
      <c r="G1516" s="1508">
        <f t="shared" si="179"/>
        <v>0</v>
      </c>
      <c r="H1516" s="1508">
        <f t="shared" si="182"/>
        <v>0</v>
      </c>
      <c r="I1516" s="1480">
        <v>0</v>
      </c>
      <c r="J1516" s="1480">
        <v>0</v>
      </c>
      <c r="K1516" s="1508"/>
      <c r="L1516" s="1508"/>
      <c r="M1516" s="1509">
        <f t="shared" si="183"/>
        <v>0</v>
      </c>
      <c r="N1516" s="1508">
        <f t="shared" si="184"/>
        <v>0</v>
      </c>
      <c r="O1516" s="1481">
        <f t="shared" si="180"/>
        <v>0</v>
      </c>
      <c r="P1516" s="1427">
        <f t="shared" si="181"/>
        <v>0</v>
      </c>
    </row>
    <row r="1517" spans="1:16" ht="15.5" outlineLevel="1" x14ac:dyDescent="0.25">
      <c r="A1517" s="1488">
        <f t="shared" si="186"/>
        <v>31.6</v>
      </c>
      <c r="B1517" s="1492" t="str">
        <f t="shared" si="186"/>
        <v>ENTRY MANAGEMENT SYSTEM, TRUCK TRACKING SYSTEM</v>
      </c>
      <c r="C1517" s="1488" t="str">
        <f t="shared" si="186"/>
        <v>MERC/CAPEX/2018-19/066</v>
      </c>
      <c r="D1517" s="1413">
        <f t="shared" si="186"/>
        <v>43529</v>
      </c>
      <c r="E1517" s="560">
        <f t="shared" si="186"/>
        <v>1.25</v>
      </c>
      <c r="F1517" s="1508">
        <f t="shared" si="178"/>
        <v>0</v>
      </c>
      <c r="G1517" s="1508">
        <f t="shared" si="179"/>
        <v>0</v>
      </c>
      <c r="H1517" s="1508">
        <f t="shared" si="182"/>
        <v>0</v>
      </c>
      <c r="I1517" s="1480">
        <v>0</v>
      </c>
      <c r="J1517" s="1480">
        <v>0</v>
      </c>
      <c r="K1517" s="1508"/>
      <c r="L1517" s="1508"/>
      <c r="M1517" s="1509">
        <f t="shared" si="183"/>
        <v>0</v>
      </c>
      <c r="N1517" s="1508">
        <f t="shared" si="184"/>
        <v>0</v>
      </c>
      <c r="O1517" s="1481">
        <f t="shared" si="180"/>
        <v>0</v>
      </c>
      <c r="P1517" s="1427">
        <f t="shared" si="181"/>
        <v>0</v>
      </c>
    </row>
    <row r="1518" spans="1:16" ht="15.5" outlineLevel="1" x14ac:dyDescent="0.25">
      <c r="A1518" s="1488">
        <f t="shared" si="186"/>
        <v>31.7</v>
      </c>
      <c r="B1518" s="1492" t="str">
        <f t="shared" si="186"/>
        <v>NETWORKING</v>
      </c>
      <c r="C1518" s="1488" t="str">
        <f t="shared" si="186"/>
        <v>MERC/CAPEX/2018-19/066</v>
      </c>
      <c r="D1518" s="1413">
        <f t="shared" si="186"/>
        <v>43529</v>
      </c>
      <c r="E1518" s="560">
        <f t="shared" si="186"/>
        <v>9.35</v>
      </c>
      <c r="F1518" s="1508">
        <f t="shared" si="178"/>
        <v>0</v>
      </c>
      <c r="G1518" s="1508">
        <f t="shared" si="179"/>
        <v>0</v>
      </c>
      <c r="H1518" s="1508">
        <f t="shared" si="182"/>
        <v>0</v>
      </c>
      <c r="I1518" s="1480">
        <v>0</v>
      </c>
      <c r="J1518" s="1480">
        <v>0</v>
      </c>
      <c r="K1518" s="1508"/>
      <c r="L1518" s="1508"/>
      <c r="M1518" s="1509">
        <f t="shared" si="183"/>
        <v>0</v>
      </c>
      <c r="N1518" s="1508">
        <f t="shared" si="184"/>
        <v>0</v>
      </c>
      <c r="O1518" s="1481">
        <f t="shared" si="180"/>
        <v>0</v>
      </c>
      <c r="P1518" s="1427">
        <f t="shared" si="181"/>
        <v>0</v>
      </c>
    </row>
    <row r="1519" spans="1:16" ht="15.5" outlineLevel="1" x14ac:dyDescent="0.25">
      <c r="A1519" s="1488">
        <f t="shared" si="186"/>
        <v>31.8</v>
      </c>
      <c r="B1519" s="1492" t="str">
        <f t="shared" si="186"/>
        <v>MESSAGE DISPLAY SYSTEM</v>
      </c>
      <c r="C1519" s="1488" t="str">
        <f t="shared" si="186"/>
        <v>MERC/CAPEX/2018-19/066</v>
      </c>
      <c r="D1519" s="1413">
        <f t="shared" si="186"/>
        <v>43529</v>
      </c>
      <c r="E1519" s="560">
        <f t="shared" si="186"/>
        <v>0.31</v>
      </c>
      <c r="F1519" s="1508">
        <f t="shared" si="178"/>
        <v>0</v>
      </c>
      <c r="G1519" s="1508">
        <f t="shared" si="179"/>
        <v>0</v>
      </c>
      <c r="H1519" s="1508">
        <f t="shared" si="182"/>
        <v>0</v>
      </c>
      <c r="I1519" s="1480">
        <v>0</v>
      </c>
      <c r="J1519" s="1480">
        <v>0</v>
      </c>
      <c r="K1519" s="1508"/>
      <c r="L1519" s="1508"/>
      <c r="M1519" s="1509">
        <f t="shared" si="183"/>
        <v>0</v>
      </c>
      <c r="N1519" s="1508">
        <f t="shared" si="184"/>
        <v>0</v>
      </c>
      <c r="O1519" s="1481">
        <f t="shared" si="180"/>
        <v>0</v>
      </c>
      <c r="P1519" s="1427">
        <f t="shared" si="181"/>
        <v>0</v>
      </c>
    </row>
    <row r="1520" spans="1:16" ht="15.5" outlineLevel="1" x14ac:dyDescent="0.25">
      <c r="A1520" s="1488">
        <f t="shared" si="186"/>
        <v>31.9</v>
      </c>
      <c r="B1520" s="1492" t="str">
        <f t="shared" si="186"/>
        <v>IP PA SYSTEM</v>
      </c>
      <c r="C1520" s="1488" t="str">
        <f t="shared" si="186"/>
        <v>MERC/CAPEX/2018-19/066</v>
      </c>
      <c r="D1520" s="1413">
        <f t="shared" si="186"/>
        <v>43529</v>
      </c>
      <c r="E1520" s="560">
        <f t="shared" si="186"/>
        <v>2.74</v>
      </c>
      <c r="F1520" s="1508">
        <f t="shared" si="178"/>
        <v>0</v>
      </c>
      <c r="G1520" s="1508">
        <f t="shared" si="179"/>
        <v>0</v>
      </c>
      <c r="H1520" s="1508">
        <f t="shared" si="182"/>
        <v>0</v>
      </c>
      <c r="I1520" s="1480">
        <v>0</v>
      </c>
      <c r="J1520" s="1480">
        <v>0</v>
      </c>
      <c r="K1520" s="1508"/>
      <c r="L1520" s="1508"/>
      <c r="M1520" s="1509">
        <f t="shared" si="183"/>
        <v>0</v>
      </c>
      <c r="N1520" s="1508">
        <f t="shared" si="184"/>
        <v>0</v>
      </c>
      <c r="O1520" s="1481">
        <f t="shared" si="180"/>
        <v>0</v>
      </c>
      <c r="P1520" s="1427">
        <f t="shared" si="181"/>
        <v>0</v>
      </c>
    </row>
    <row r="1521" spans="1:16" ht="15.5" outlineLevel="1" x14ac:dyDescent="0.25">
      <c r="A1521" s="1488" t="str">
        <f t="shared" si="186"/>
        <v>31.10</v>
      </c>
      <c r="B1521" s="1492" t="str">
        <f t="shared" si="186"/>
        <v>TOWERS, EARTHING /POLES, CONDUITING, DIGGING</v>
      </c>
      <c r="C1521" s="1488" t="str">
        <f t="shared" si="186"/>
        <v>MERC/CAPEX/2018-19/066</v>
      </c>
      <c r="D1521" s="1413">
        <f t="shared" si="186"/>
        <v>43529</v>
      </c>
      <c r="E1521" s="560">
        <f t="shared" si="186"/>
        <v>7.63</v>
      </c>
      <c r="F1521" s="1508">
        <f t="shared" si="178"/>
        <v>0</v>
      </c>
      <c r="G1521" s="1508">
        <f t="shared" si="179"/>
        <v>0</v>
      </c>
      <c r="H1521" s="1508">
        <f t="shared" si="182"/>
        <v>0</v>
      </c>
      <c r="I1521" s="1480">
        <v>0</v>
      </c>
      <c r="J1521" s="1480">
        <v>0</v>
      </c>
      <c r="K1521" s="1508"/>
      <c r="L1521" s="1508"/>
      <c r="M1521" s="1509">
        <f t="shared" si="183"/>
        <v>0</v>
      </c>
      <c r="N1521" s="1508">
        <f t="shared" si="184"/>
        <v>0</v>
      </c>
      <c r="O1521" s="1481">
        <f t="shared" si="180"/>
        <v>0</v>
      </c>
      <c r="P1521" s="1427">
        <f t="shared" si="181"/>
        <v>0</v>
      </c>
    </row>
    <row r="1522" spans="1:16" ht="46.5" outlineLevel="1" x14ac:dyDescent="0.25">
      <c r="A1522" s="1488">
        <f t="shared" si="186"/>
        <v>31.11</v>
      </c>
      <c r="B1522" s="1492" t="str">
        <f t="shared" si="186"/>
        <v>RDBMS, SERVER, WORKSTATIONS, IN CON. ROOM WITH FURINITURE DOCUMENTATION, CAMERA &amp; ANALYTICS LICENSES</v>
      </c>
      <c r="C1522" s="1488" t="str">
        <f t="shared" si="186"/>
        <v>MERC/CAPEX/2018-19/066</v>
      </c>
      <c r="D1522" s="1413">
        <f t="shared" si="186"/>
        <v>43529</v>
      </c>
      <c r="E1522" s="560">
        <f t="shared" si="186"/>
        <v>18.670000000000002</v>
      </c>
      <c r="F1522" s="1508">
        <f t="shared" si="178"/>
        <v>0</v>
      </c>
      <c r="G1522" s="1508">
        <f t="shared" si="179"/>
        <v>0</v>
      </c>
      <c r="H1522" s="1508">
        <f t="shared" si="182"/>
        <v>0</v>
      </c>
      <c r="I1522" s="1480">
        <v>0</v>
      </c>
      <c r="J1522" s="1480">
        <v>0</v>
      </c>
      <c r="K1522" s="1508"/>
      <c r="L1522" s="1508"/>
      <c r="M1522" s="1509">
        <f t="shared" si="183"/>
        <v>0</v>
      </c>
      <c r="N1522" s="1508">
        <f t="shared" si="184"/>
        <v>0</v>
      </c>
      <c r="O1522" s="1481">
        <f t="shared" si="180"/>
        <v>0</v>
      </c>
      <c r="P1522" s="1427">
        <f t="shared" si="181"/>
        <v>0</v>
      </c>
    </row>
    <row r="1523" spans="1:16" ht="15.5" outlineLevel="1" x14ac:dyDescent="0.25">
      <c r="A1523" s="1488">
        <f t="shared" si="186"/>
        <v>31.12</v>
      </c>
      <c r="B1523" s="1492" t="str">
        <f t="shared" si="186"/>
        <v>ADDITIONAL CIVIL WORK</v>
      </c>
      <c r="C1523" s="1488" t="str">
        <f t="shared" si="186"/>
        <v>MERC/CAPEX/2018-19/066</v>
      </c>
      <c r="D1523" s="1413">
        <f t="shared" si="186"/>
        <v>43529</v>
      </c>
      <c r="E1523" s="560">
        <f t="shared" si="186"/>
        <v>3.93</v>
      </c>
      <c r="F1523" s="1508">
        <f t="shared" si="178"/>
        <v>0</v>
      </c>
      <c r="G1523" s="1508">
        <f t="shared" si="179"/>
        <v>0</v>
      </c>
      <c r="H1523" s="1508">
        <f t="shared" si="182"/>
        <v>0</v>
      </c>
      <c r="I1523" s="1480">
        <v>0</v>
      </c>
      <c r="J1523" s="1480">
        <v>0</v>
      </c>
      <c r="K1523" s="1508"/>
      <c r="L1523" s="1508"/>
      <c r="M1523" s="1509">
        <f t="shared" si="183"/>
        <v>0</v>
      </c>
      <c r="N1523" s="1508">
        <f t="shared" si="184"/>
        <v>0</v>
      </c>
      <c r="O1523" s="1481">
        <f t="shared" si="180"/>
        <v>0</v>
      </c>
      <c r="P1523" s="1427">
        <f t="shared" si="181"/>
        <v>0</v>
      </c>
    </row>
    <row r="1524" spans="1:16" ht="46.5" outlineLevel="1" x14ac:dyDescent="0.25">
      <c r="A1524" s="1486">
        <f t="shared" si="186"/>
        <v>32</v>
      </c>
      <c r="B1524" s="1491" t="str">
        <f t="shared" si="186"/>
        <v>Provision of VFD panel along with bypasses arrangement for HT/LT conveyors &amp; automation of control room at Coal Handling Plant-B</v>
      </c>
      <c r="C1524" s="1486" t="str">
        <f t="shared" si="186"/>
        <v>MERC/CAPEX/20182019/1240</v>
      </c>
      <c r="D1524" s="1487">
        <f t="shared" si="186"/>
        <v>43363</v>
      </c>
      <c r="E1524" s="1383">
        <f t="shared" si="186"/>
        <v>38.629999999999995</v>
      </c>
      <c r="F1524" s="1480">
        <f t="shared" si="178"/>
        <v>0</v>
      </c>
      <c r="G1524" s="1480">
        <f t="shared" si="179"/>
        <v>0</v>
      </c>
      <c r="H1524" s="1480">
        <f t="shared" si="182"/>
        <v>0</v>
      </c>
      <c r="I1524" s="1480">
        <v>0</v>
      </c>
      <c r="J1524" s="1480">
        <v>0</v>
      </c>
      <c r="K1524" s="1480"/>
      <c r="L1524" s="1480"/>
      <c r="M1524" s="1480">
        <f t="shared" si="183"/>
        <v>0</v>
      </c>
      <c r="N1524" s="1480">
        <f t="shared" si="184"/>
        <v>0</v>
      </c>
      <c r="O1524" s="1481">
        <f t="shared" si="180"/>
        <v>0</v>
      </c>
      <c r="P1524" s="1427">
        <f t="shared" si="181"/>
        <v>0</v>
      </c>
    </row>
    <row r="1525" spans="1:16" ht="46.5" outlineLevel="1" x14ac:dyDescent="0.25">
      <c r="A1525" s="1488">
        <f t="shared" si="186"/>
        <v>32.1</v>
      </c>
      <c r="B1525" s="1492" t="str">
        <f t="shared" si="186"/>
        <v>Procurement, Installation and commissioning of MV/LT VFD panel along with bypass arrangement for HT/LT Conveyors of CHP-B</v>
      </c>
      <c r="C1525" s="1488" t="str">
        <f t="shared" si="186"/>
        <v>MERC/CAPEX/20182019/1240</v>
      </c>
      <c r="D1525" s="1413">
        <f t="shared" si="186"/>
        <v>43363</v>
      </c>
      <c r="E1525" s="560">
        <f t="shared" si="186"/>
        <v>32.56</v>
      </c>
      <c r="F1525" s="1508">
        <f t="shared" si="178"/>
        <v>29.203240699999998</v>
      </c>
      <c r="G1525" s="1508">
        <f t="shared" si="179"/>
        <v>1.71336</v>
      </c>
      <c r="H1525" s="1508">
        <f t="shared" si="182"/>
        <v>27.489880699999997</v>
      </c>
      <c r="I1525" s="1480">
        <v>3.3567593000000042</v>
      </c>
      <c r="J1525" s="1480">
        <v>30.846640000000001</v>
      </c>
      <c r="K1525" s="1508"/>
      <c r="L1525" s="1508"/>
      <c r="M1525" s="1509">
        <f t="shared" si="183"/>
        <v>30.846640000000001</v>
      </c>
      <c r="N1525" s="1508">
        <f t="shared" si="184"/>
        <v>0</v>
      </c>
      <c r="O1525" s="1481">
        <f t="shared" si="180"/>
        <v>30.846640000000001</v>
      </c>
      <c r="P1525" s="1427">
        <f t="shared" si="181"/>
        <v>0</v>
      </c>
    </row>
    <row r="1526" spans="1:16" ht="15.5" outlineLevel="1" x14ac:dyDescent="0.25">
      <c r="A1526" s="1488">
        <f t="shared" ref="A1526:E1541" si="187">A856</f>
        <v>32.200000000000003</v>
      </c>
      <c r="B1526" s="1492" t="str">
        <f t="shared" si="187"/>
        <v>Automation of Control Room of CHP-B Using PLC System</v>
      </c>
      <c r="C1526" s="1488" t="str">
        <f t="shared" si="187"/>
        <v>MERC/CAPEX/20182019/1240</v>
      </c>
      <c r="D1526" s="1413">
        <f t="shared" si="187"/>
        <v>43363</v>
      </c>
      <c r="E1526" s="560">
        <f t="shared" si="187"/>
        <v>4.91</v>
      </c>
      <c r="F1526" s="1508">
        <f t="shared" si="178"/>
        <v>0</v>
      </c>
      <c r="G1526" s="1508">
        <f t="shared" si="179"/>
        <v>0</v>
      </c>
      <c r="H1526" s="1508">
        <f t="shared" si="182"/>
        <v>0</v>
      </c>
      <c r="I1526" s="1480">
        <v>0</v>
      </c>
      <c r="J1526" s="1480">
        <v>0</v>
      </c>
      <c r="K1526" s="1508"/>
      <c r="L1526" s="1508"/>
      <c r="M1526" s="1509">
        <f t="shared" si="183"/>
        <v>0</v>
      </c>
      <c r="N1526" s="1508">
        <f t="shared" si="184"/>
        <v>0</v>
      </c>
      <c r="O1526" s="1481">
        <f t="shared" si="180"/>
        <v>0</v>
      </c>
      <c r="P1526" s="1427">
        <f t="shared" si="181"/>
        <v>0</v>
      </c>
    </row>
    <row r="1527" spans="1:16" ht="15.5" outlineLevel="1" x14ac:dyDescent="0.25">
      <c r="A1527" s="1482">
        <f t="shared" si="187"/>
        <v>0</v>
      </c>
      <c r="B1527" s="1483" t="str">
        <f t="shared" si="187"/>
        <v>IDC</v>
      </c>
      <c r="C1527" s="1482" t="str">
        <f t="shared" si="187"/>
        <v>MERC/CAPEX/20182019/1240</v>
      </c>
      <c r="D1527" s="1390">
        <f t="shared" si="187"/>
        <v>43363</v>
      </c>
      <c r="E1527" s="560">
        <f t="shared" si="187"/>
        <v>1.1599999999999999</v>
      </c>
      <c r="F1527" s="1508">
        <f t="shared" si="178"/>
        <v>0</v>
      </c>
      <c r="G1527" s="1508">
        <f t="shared" si="179"/>
        <v>0</v>
      </c>
      <c r="H1527" s="1508">
        <f t="shared" si="182"/>
        <v>0</v>
      </c>
      <c r="I1527" s="1480">
        <v>0</v>
      </c>
      <c r="J1527" s="1480">
        <v>0</v>
      </c>
      <c r="K1527" s="1508"/>
      <c r="L1527" s="1508"/>
      <c r="M1527" s="1509">
        <f t="shared" si="183"/>
        <v>0</v>
      </c>
      <c r="N1527" s="1508">
        <f t="shared" si="184"/>
        <v>0</v>
      </c>
      <c r="O1527" s="1481">
        <f t="shared" si="180"/>
        <v>0</v>
      </c>
      <c r="P1527" s="1427">
        <f t="shared" si="181"/>
        <v>0</v>
      </c>
    </row>
    <row r="1528" spans="1:16" ht="31" outlineLevel="1" x14ac:dyDescent="0.25">
      <c r="A1528" s="1486">
        <f t="shared" si="187"/>
        <v>33</v>
      </c>
      <c r="B1528" s="1491" t="str">
        <f t="shared" si="187"/>
        <v>Complete Track Renewal (CTR)/Renovation of existing Broad Gauge Railway Siding of 500MW Yard in CSTPS</v>
      </c>
      <c r="C1528" s="1486" t="str">
        <f t="shared" si="187"/>
        <v>MERC/CAPEX/2019-2020/362</v>
      </c>
      <c r="D1528" s="1487">
        <f t="shared" si="187"/>
        <v>43657</v>
      </c>
      <c r="E1528" s="1383">
        <f t="shared" si="187"/>
        <v>15.22025</v>
      </c>
      <c r="F1528" s="1480">
        <f t="shared" si="178"/>
        <v>0</v>
      </c>
      <c r="G1528" s="1480">
        <f t="shared" si="179"/>
        <v>0</v>
      </c>
      <c r="H1528" s="1480">
        <f t="shared" si="182"/>
        <v>0</v>
      </c>
      <c r="I1528" s="1480">
        <v>0</v>
      </c>
      <c r="J1528" s="1480">
        <v>0</v>
      </c>
      <c r="K1528" s="1480"/>
      <c r="L1528" s="1480"/>
      <c r="M1528" s="1480">
        <f t="shared" si="183"/>
        <v>0</v>
      </c>
      <c r="N1528" s="1480">
        <f t="shared" si="184"/>
        <v>0</v>
      </c>
      <c r="O1528" s="1481">
        <f t="shared" si="180"/>
        <v>0</v>
      </c>
      <c r="P1528" s="1427">
        <f t="shared" si="181"/>
        <v>0</v>
      </c>
    </row>
    <row r="1529" spans="1:16" ht="31" outlineLevel="1" x14ac:dyDescent="0.25">
      <c r="A1529" s="1488">
        <f t="shared" si="187"/>
        <v>33.1</v>
      </c>
      <c r="B1529" s="1492" t="str">
        <f t="shared" si="187"/>
        <v>Complete Track Renewal (CTR)/Renovation of existing Broad Gauge Railway Siding of 500MW Yard in CSTPS</v>
      </c>
      <c r="C1529" s="1488" t="str">
        <f t="shared" si="187"/>
        <v>MERC/CAPEX/2019-2020/362</v>
      </c>
      <c r="D1529" s="1413">
        <f t="shared" si="187"/>
        <v>43657</v>
      </c>
      <c r="E1529" s="560">
        <f t="shared" si="187"/>
        <v>14.20025</v>
      </c>
      <c r="F1529" s="1508">
        <f t="shared" si="178"/>
        <v>1.464883969</v>
      </c>
      <c r="G1529" s="1508">
        <f t="shared" si="179"/>
        <v>0</v>
      </c>
      <c r="H1529" s="1508">
        <f t="shared" si="182"/>
        <v>1.464883969</v>
      </c>
      <c r="I1529" s="1480">
        <v>15.435116030999998</v>
      </c>
      <c r="J1529" s="1480">
        <v>16.899999999999999</v>
      </c>
      <c r="K1529" s="1508"/>
      <c r="L1529" s="1508"/>
      <c r="M1529" s="1509">
        <f t="shared" si="183"/>
        <v>16.899999999999999</v>
      </c>
      <c r="N1529" s="1508">
        <f t="shared" si="184"/>
        <v>0</v>
      </c>
      <c r="O1529" s="1481">
        <f t="shared" si="180"/>
        <v>14.20025</v>
      </c>
      <c r="P1529" s="1427">
        <f t="shared" si="181"/>
        <v>2.6997499999999981</v>
      </c>
    </row>
    <row r="1530" spans="1:16" ht="15.5" outlineLevel="1" x14ac:dyDescent="0.25">
      <c r="A1530" s="1482">
        <f t="shared" si="187"/>
        <v>0</v>
      </c>
      <c r="B1530" s="1483" t="str">
        <f t="shared" si="187"/>
        <v>IDC</v>
      </c>
      <c r="C1530" s="1482" t="str">
        <f t="shared" si="187"/>
        <v>MERC/CAPEX/2019-2020/362</v>
      </c>
      <c r="D1530" s="1390">
        <f t="shared" si="187"/>
        <v>43657</v>
      </c>
      <c r="E1530" s="560">
        <f t="shared" si="187"/>
        <v>1.02</v>
      </c>
      <c r="F1530" s="1508">
        <f t="shared" si="178"/>
        <v>0</v>
      </c>
      <c r="G1530" s="1508">
        <f t="shared" si="179"/>
        <v>0</v>
      </c>
      <c r="H1530" s="1508">
        <f t="shared" si="182"/>
        <v>0</v>
      </c>
      <c r="I1530" s="1480">
        <v>0</v>
      </c>
      <c r="J1530" s="1480">
        <v>0</v>
      </c>
      <c r="K1530" s="1508"/>
      <c r="L1530" s="1508"/>
      <c r="M1530" s="1509">
        <f t="shared" si="183"/>
        <v>0</v>
      </c>
      <c r="N1530" s="1508">
        <f t="shared" si="184"/>
        <v>0</v>
      </c>
      <c r="O1530" s="1481">
        <f t="shared" si="180"/>
        <v>0</v>
      </c>
      <c r="P1530" s="1427">
        <f t="shared" si="181"/>
        <v>0</v>
      </c>
    </row>
    <row r="1531" spans="1:16" ht="31" outlineLevel="1" x14ac:dyDescent="0.25">
      <c r="A1531" s="1486">
        <f t="shared" si="187"/>
        <v>34</v>
      </c>
      <c r="B1531" s="1491" t="str">
        <f t="shared" si="187"/>
        <v>Procurement of Spare Generator Rotor along with one set of Bearings for Unit # 5, 6 &amp; 7 CSTPS, Chandrapur</v>
      </c>
      <c r="C1531" s="1486" t="str">
        <f t="shared" si="187"/>
        <v>MERC/CAPEX/2019-2020/129</v>
      </c>
      <c r="D1531" s="1487">
        <f t="shared" si="187"/>
        <v>43588</v>
      </c>
      <c r="E1531" s="1383">
        <f t="shared" si="187"/>
        <v>41.469115199999997</v>
      </c>
      <c r="F1531" s="1480">
        <f t="shared" si="178"/>
        <v>0</v>
      </c>
      <c r="G1531" s="1480">
        <f t="shared" si="179"/>
        <v>0</v>
      </c>
      <c r="H1531" s="1480">
        <f t="shared" si="182"/>
        <v>0</v>
      </c>
      <c r="I1531" s="1480">
        <v>0</v>
      </c>
      <c r="J1531" s="1480">
        <v>0</v>
      </c>
      <c r="K1531" s="1480"/>
      <c r="L1531" s="1480"/>
      <c r="M1531" s="1480">
        <f t="shared" si="183"/>
        <v>0</v>
      </c>
      <c r="N1531" s="1480">
        <f t="shared" si="184"/>
        <v>0</v>
      </c>
      <c r="O1531" s="1481">
        <f t="shared" si="180"/>
        <v>0</v>
      </c>
      <c r="P1531" s="1427">
        <f t="shared" si="181"/>
        <v>0</v>
      </c>
    </row>
    <row r="1532" spans="1:16" ht="46.5" outlineLevel="1" x14ac:dyDescent="0.25">
      <c r="A1532" s="1488">
        <f t="shared" si="187"/>
        <v>34.1</v>
      </c>
      <c r="B1532" s="1492" t="str">
        <f t="shared" si="187"/>
        <v xml:space="preserve">Generator Rotor suitable for THDF 115/59
One Set of Bearings (Comprising of 2 nos. of bearings)
</v>
      </c>
      <c r="C1532" s="1488" t="str">
        <f t="shared" si="187"/>
        <v>MERC/CAPEX/2019-2020/129</v>
      </c>
      <c r="D1532" s="1413">
        <f t="shared" si="187"/>
        <v>43588</v>
      </c>
      <c r="E1532" s="560">
        <f t="shared" si="187"/>
        <v>40.359115199999998</v>
      </c>
      <c r="F1532" s="1508">
        <f t="shared" si="178"/>
        <v>42.189589900000001</v>
      </c>
      <c r="G1532" s="1508">
        <f t="shared" si="179"/>
        <v>42.189589900000001</v>
      </c>
      <c r="H1532" s="1508">
        <f t="shared" si="182"/>
        <v>0</v>
      </c>
      <c r="I1532" s="1480">
        <v>0</v>
      </c>
      <c r="J1532" s="1480">
        <v>0</v>
      </c>
      <c r="K1532" s="1508"/>
      <c r="L1532" s="1508"/>
      <c r="M1532" s="1509">
        <f t="shared" si="183"/>
        <v>0</v>
      </c>
      <c r="N1532" s="1508">
        <f t="shared" si="184"/>
        <v>0</v>
      </c>
      <c r="O1532" s="1481">
        <f t="shared" si="180"/>
        <v>0</v>
      </c>
      <c r="P1532" s="1427">
        <f t="shared" si="181"/>
        <v>0</v>
      </c>
    </row>
    <row r="1533" spans="1:16" ht="15.5" outlineLevel="1" x14ac:dyDescent="0.25">
      <c r="A1533" s="1482">
        <f t="shared" si="187"/>
        <v>0</v>
      </c>
      <c r="B1533" s="1483" t="str">
        <f t="shared" si="187"/>
        <v>IDC</v>
      </c>
      <c r="C1533" s="1482" t="str">
        <f t="shared" si="187"/>
        <v>MERC/CAPEX/2019-2020/129</v>
      </c>
      <c r="D1533" s="1390">
        <f t="shared" si="187"/>
        <v>43588</v>
      </c>
      <c r="E1533" s="560">
        <f t="shared" si="187"/>
        <v>1.1100000000000001</v>
      </c>
      <c r="F1533" s="1508">
        <f t="shared" si="178"/>
        <v>0</v>
      </c>
      <c r="G1533" s="1508">
        <f t="shared" si="179"/>
        <v>0</v>
      </c>
      <c r="H1533" s="1508">
        <f t="shared" si="182"/>
        <v>0</v>
      </c>
      <c r="I1533" s="1480">
        <v>0</v>
      </c>
      <c r="J1533" s="1480">
        <v>0</v>
      </c>
      <c r="K1533" s="1508"/>
      <c r="L1533" s="1508"/>
      <c r="M1533" s="1509">
        <f t="shared" si="183"/>
        <v>0</v>
      </c>
      <c r="N1533" s="1508">
        <f t="shared" si="184"/>
        <v>0</v>
      </c>
      <c r="O1533" s="1481">
        <f t="shared" si="180"/>
        <v>0</v>
      </c>
      <c r="P1533" s="1427">
        <f t="shared" si="181"/>
        <v>0</v>
      </c>
    </row>
    <row r="1534" spans="1:16" ht="31" outlineLevel="1" x14ac:dyDescent="0.25">
      <c r="A1534" s="1477">
        <f t="shared" si="187"/>
        <v>35</v>
      </c>
      <c r="B1534" s="1478" t="str">
        <f t="shared" si="187"/>
        <v>Procurement of 2 NOS. OF 3100 HP, WDG-3A Locomotives for CSTPS, Chandrapur</v>
      </c>
      <c r="C1534" s="1486" t="str">
        <f t="shared" si="187"/>
        <v>MERC/CAPEX/2019-2020/1214</v>
      </c>
      <c r="D1534" s="1487">
        <f t="shared" si="187"/>
        <v>43822</v>
      </c>
      <c r="E1534" s="1383">
        <f t="shared" si="187"/>
        <v>22.05</v>
      </c>
      <c r="F1534" s="1480">
        <f t="shared" si="178"/>
        <v>0</v>
      </c>
      <c r="G1534" s="1480">
        <f t="shared" si="179"/>
        <v>0</v>
      </c>
      <c r="H1534" s="1480">
        <f t="shared" si="182"/>
        <v>0</v>
      </c>
      <c r="I1534" s="1480">
        <v>0</v>
      </c>
      <c r="J1534" s="1480">
        <v>0</v>
      </c>
      <c r="K1534" s="1480"/>
      <c r="L1534" s="1480"/>
      <c r="M1534" s="1480">
        <f t="shared" si="183"/>
        <v>0</v>
      </c>
      <c r="N1534" s="1480">
        <f t="shared" si="184"/>
        <v>0</v>
      </c>
      <c r="O1534" s="1481">
        <f t="shared" si="180"/>
        <v>0</v>
      </c>
      <c r="P1534" s="1427">
        <f t="shared" si="181"/>
        <v>0</v>
      </c>
    </row>
    <row r="1535" spans="1:16" ht="31" outlineLevel="1" x14ac:dyDescent="0.25">
      <c r="A1535" s="1482">
        <f t="shared" si="187"/>
        <v>35.1</v>
      </c>
      <c r="B1535" s="1483" t="str">
        <f t="shared" si="187"/>
        <v>Procurement of 2 NOS. OF 3100 HP, WDG-3A Locomotives for CSTPS, Chandrapur</v>
      </c>
      <c r="C1535" s="1488" t="str">
        <f t="shared" si="187"/>
        <v>MERC/CAPEX/2019-2020/1214</v>
      </c>
      <c r="D1535" s="1413">
        <f t="shared" si="187"/>
        <v>43822</v>
      </c>
      <c r="E1535" s="1383">
        <f t="shared" si="187"/>
        <v>21.66</v>
      </c>
      <c r="F1535" s="1480">
        <f t="shared" si="178"/>
        <v>22.854784800000001</v>
      </c>
      <c r="G1535" s="1480">
        <f t="shared" si="179"/>
        <v>22.854784800000001</v>
      </c>
      <c r="H1535" s="1480">
        <f>F1535-G1535</f>
        <v>0</v>
      </c>
      <c r="I1535" s="1480">
        <v>0</v>
      </c>
      <c r="J1535" s="1480">
        <v>0</v>
      </c>
      <c r="K1535" s="1480"/>
      <c r="L1535" s="1480"/>
      <c r="M1535" s="1480">
        <f>SUM(J1535:L1535)</f>
        <v>0</v>
      </c>
      <c r="N1535" s="1480">
        <f>H1535+I1535-M1535</f>
        <v>0</v>
      </c>
      <c r="O1535" s="1481">
        <f t="shared" si="180"/>
        <v>0</v>
      </c>
      <c r="P1535" s="1427">
        <f t="shared" si="181"/>
        <v>0</v>
      </c>
    </row>
    <row r="1536" spans="1:16" ht="15.5" outlineLevel="1" x14ac:dyDescent="0.25">
      <c r="A1536" s="1482">
        <f t="shared" si="187"/>
        <v>0</v>
      </c>
      <c r="B1536" s="1483" t="str">
        <f t="shared" si="187"/>
        <v>IDC</v>
      </c>
      <c r="C1536" s="1482" t="str">
        <f t="shared" si="187"/>
        <v>MERC/CAPEX/2019-2020/1214</v>
      </c>
      <c r="D1536" s="1390">
        <f t="shared" si="187"/>
        <v>43822</v>
      </c>
      <c r="E1536" s="560">
        <f t="shared" si="187"/>
        <v>0.39</v>
      </c>
      <c r="F1536" s="1508">
        <f t="shared" si="178"/>
        <v>0</v>
      </c>
      <c r="G1536" s="1508">
        <f t="shared" si="179"/>
        <v>0</v>
      </c>
      <c r="H1536" s="1508">
        <f t="shared" ref="H1536:H1599" si="188">F1536-G1536</f>
        <v>0</v>
      </c>
      <c r="I1536" s="1480">
        <v>0</v>
      </c>
      <c r="J1536" s="1480">
        <v>0</v>
      </c>
      <c r="K1536" s="1508"/>
      <c r="L1536" s="1508"/>
      <c r="M1536" s="1509">
        <f t="shared" ref="M1536:M1592" si="189">SUM(J1536:L1536)</f>
        <v>0</v>
      </c>
      <c r="N1536" s="1508">
        <f t="shared" ref="N1536:N1599" si="190">H1536+I1536-M1536</f>
        <v>0</v>
      </c>
      <c r="O1536" s="1481">
        <f t="shared" si="180"/>
        <v>0</v>
      </c>
      <c r="P1536" s="1427">
        <f t="shared" si="181"/>
        <v>0</v>
      </c>
    </row>
    <row r="1537" spans="1:16" ht="46.5" outlineLevel="1" x14ac:dyDescent="0.25">
      <c r="A1537" s="1486">
        <f t="shared" si="187"/>
        <v>36</v>
      </c>
      <c r="B1537" s="1491" t="str">
        <f t="shared" si="187"/>
        <v>Replacement of 220 V Station Battery Sets &amp; UPS Battery Sets of Unit# 5 &amp; 6 and 24 V G1 G2 Battery sets of Unit# 5, 6 &amp; 7 for 500MW Stage-III CSTPS.</v>
      </c>
      <c r="C1537" s="1486" t="str">
        <f t="shared" si="187"/>
        <v>MERC/CAPEX/2020-2021/WFH/SBR/32</v>
      </c>
      <c r="D1537" s="1487">
        <f t="shared" si="187"/>
        <v>44104</v>
      </c>
      <c r="E1537" s="1383">
        <f t="shared" si="187"/>
        <v>18.559999999999999</v>
      </c>
      <c r="F1537" s="1480">
        <f t="shared" si="178"/>
        <v>0</v>
      </c>
      <c r="G1537" s="1480">
        <f t="shared" si="179"/>
        <v>0</v>
      </c>
      <c r="H1537" s="1480">
        <f t="shared" si="188"/>
        <v>0</v>
      </c>
      <c r="I1537" s="1480">
        <v>0</v>
      </c>
      <c r="J1537" s="1480">
        <v>0</v>
      </c>
      <c r="K1537" s="1480"/>
      <c r="L1537" s="1480"/>
      <c r="M1537" s="1480">
        <f t="shared" si="189"/>
        <v>0</v>
      </c>
      <c r="N1537" s="1480">
        <f t="shared" si="190"/>
        <v>0</v>
      </c>
      <c r="O1537" s="1481">
        <f t="shared" si="180"/>
        <v>0</v>
      </c>
      <c r="P1537" s="1427">
        <f t="shared" si="181"/>
        <v>0</v>
      </c>
    </row>
    <row r="1538" spans="1:16" ht="46.5" outlineLevel="1" x14ac:dyDescent="0.25">
      <c r="A1538" s="1488">
        <f t="shared" si="187"/>
        <v>36.1</v>
      </c>
      <c r="B1538" s="1492" t="str">
        <f t="shared" si="187"/>
        <v>Replacement of 220 V Station Battery Sets &amp; UPS Battery Sets of Unit# 5 &amp; 6 and 24 V G1 G2 Battery sets of Unit# 5, 6 &amp; 7 for 500MW Stage-III, CSTPS.</v>
      </c>
      <c r="C1538" s="1488" t="str">
        <f t="shared" si="187"/>
        <v>MERC/CAPEX/2020-2021/WFH/SBR/32</v>
      </c>
      <c r="D1538" s="1413">
        <f t="shared" si="187"/>
        <v>44104</v>
      </c>
      <c r="E1538" s="560">
        <f t="shared" si="187"/>
        <v>18.32</v>
      </c>
      <c r="F1538" s="1508">
        <f t="shared" si="178"/>
        <v>16.770041472000003</v>
      </c>
      <c r="G1538" s="1508">
        <f t="shared" si="179"/>
        <v>16.224425572000001</v>
      </c>
      <c r="H1538" s="1508">
        <f t="shared" si="188"/>
        <v>0.54561590000000137</v>
      </c>
      <c r="I1538" s="1480">
        <v>1.5499585279999977</v>
      </c>
      <c r="J1538" s="1480">
        <v>1.0955744279999977</v>
      </c>
      <c r="K1538" s="1508"/>
      <c r="L1538" s="1508"/>
      <c r="M1538" s="1509">
        <f t="shared" si="189"/>
        <v>1.0955744279999977</v>
      </c>
      <c r="N1538" s="1508">
        <f t="shared" si="190"/>
        <v>1.0000000000000013</v>
      </c>
      <c r="O1538" s="1481">
        <f t="shared" si="180"/>
        <v>1.0955744279999977</v>
      </c>
      <c r="P1538" s="1427">
        <f t="shared" si="181"/>
        <v>0</v>
      </c>
    </row>
    <row r="1539" spans="1:16" ht="31" outlineLevel="1" x14ac:dyDescent="0.25">
      <c r="A1539" s="1482">
        <f t="shared" si="187"/>
        <v>0</v>
      </c>
      <c r="B1539" s="1483" t="str">
        <f t="shared" si="187"/>
        <v>IDC</v>
      </c>
      <c r="C1539" s="1482" t="str">
        <f t="shared" si="187"/>
        <v>MERC/CAPEX/2020-2021/WFH/SBR/32</v>
      </c>
      <c r="D1539" s="1390">
        <f t="shared" si="187"/>
        <v>44104</v>
      </c>
      <c r="E1539" s="560">
        <f t="shared" si="187"/>
        <v>0.24</v>
      </c>
      <c r="F1539" s="1508">
        <f t="shared" si="178"/>
        <v>0</v>
      </c>
      <c r="G1539" s="1508">
        <f t="shared" si="179"/>
        <v>0</v>
      </c>
      <c r="H1539" s="1508">
        <f t="shared" si="188"/>
        <v>0</v>
      </c>
      <c r="I1539" s="1480">
        <v>0</v>
      </c>
      <c r="J1539" s="1480">
        <v>0</v>
      </c>
      <c r="K1539" s="1508"/>
      <c r="L1539" s="1508"/>
      <c r="M1539" s="1509">
        <f t="shared" si="189"/>
        <v>0</v>
      </c>
      <c r="N1539" s="1508">
        <f t="shared" si="190"/>
        <v>0</v>
      </c>
      <c r="O1539" s="1481">
        <f t="shared" si="180"/>
        <v>0</v>
      </c>
      <c r="P1539" s="1427">
        <f t="shared" si="181"/>
        <v>0</v>
      </c>
    </row>
    <row r="1540" spans="1:16" ht="46.5" outlineLevel="1" x14ac:dyDescent="0.25">
      <c r="A1540" s="1486">
        <f t="shared" si="187"/>
        <v>37</v>
      </c>
      <c r="B1540" s="1491" t="str">
        <f t="shared" si="187"/>
        <v>Flue Gas Desulphurization (FGD) System for 500 MW UnitS (Total 8 Nos) of MSPGCL
(Chandrapur Unit # 5-7)</v>
      </c>
      <c r="C1540" s="1486" t="str">
        <f t="shared" si="187"/>
        <v>MERC/CAPEX/2020-2021/WFH/SBR/43</v>
      </c>
      <c r="D1540" s="1487">
        <f t="shared" si="187"/>
        <v>44179</v>
      </c>
      <c r="E1540" s="1383">
        <f t="shared" si="187"/>
        <v>656.25</v>
      </c>
      <c r="F1540" s="1480">
        <f t="shared" si="178"/>
        <v>0</v>
      </c>
      <c r="G1540" s="1480">
        <f t="shared" si="179"/>
        <v>0</v>
      </c>
      <c r="H1540" s="1480">
        <f t="shared" si="188"/>
        <v>0</v>
      </c>
      <c r="I1540" s="1480">
        <v>0</v>
      </c>
      <c r="J1540" s="1480">
        <v>0</v>
      </c>
      <c r="K1540" s="1480"/>
      <c r="L1540" s="1480"/>
      <c r="M1540" s="1480">
        <f t="shared" si="189"/>
        <v>0</v>
      </c>
      <c r="N1540" s="1480">
        <f t="shared" si="190"/>
        <v>0</v>
      </c>
      <c r="O1540" s="1481">
        <f t="shared" si="180"/>
        <v>0</v>
      </c>
      <c r="P1540" s="1427">
        <f t="shared" si="181"/>
        <v>0</v>
      </c>
    </row>
    <row r="1541" spans="1:16" ht="46.5" outlineLevel="1" x14ac:dyDescent="0.25">
      <c r="A1541" s="1488">
        <f t="shared" si="187"/>
        <v>37.1</v>
      </c>
      <c r="B1541" s="1492" t="str">
        <f t="shared" si="187"/>
        <v>Flue Gas Desulphurization (FGD) System for 500 MW UnitS (Total 8 Nos) of MSPGCL
(Chandrapur Unit # 5-7)</v>
      </c>
      <c r="C1541" s="1488" t="str">
        <f t="shared" si="187"/>
        <v>MERC/CAPEX/2020-2021/WFH/SBR/43</v>
      </c>
      <c r="D1541" s="1413">
        <f t="shared" si="187"/>
        <v>44179</v>
      </c>
      <c r="E1541" s="560">
        <f t="shared" si="187"/>
        <v>602.58000000000004</v>
      </c>
      <c r="F1541" s="1508">
        <f t="shared" si="178"/>
        <v>0</v>
      </c>
      <c r="G1541" s="1508">
        <f t="shared" si="179"/>
        <v>0</v>
      </c>
      <c r="H1541" s="1508">
        <f t="shared" si="188"/>
        <v>0</v>
      </c>
      <c r="I1541" s="1480">
        <v>179.49</v>
      </c>
      <c r="J1541" s="1480">
        <v>0</v>
      </c>
      <c r="K1541" s="1508"/>
      <c r="L1541" s="1508"/>
      <c r="M1541" s="1509">
        <f t="shared" si="189"/>
        <v>0</v>
      </c>
      <c r="N1541" s="1508">
        <f t="shared" si="190"/>
        <v>179.49</v>
      </c>
      <c r="O1541" s="1481">
        <f t="shared" si="180"/>
        <v>0</v>
      </c>
      <c r="P1541" s="1427">
        <f t="shared" si="181"/>
        <v>0</v>
      </c>
    </row>
    <row r="1542" spans="1:16" ht="31" outlineLevel="1" x14ac:dyDescent="0.25">
      <c r="A1542" s="1488">
        <f t="shared" ref="A1542:E1557" si="191">A872</f>
        <v>0</v>
      </c>
      <c r="B1542" s="1492" t="str">
        <f t="shared" si="191"/>
        <v>IDC</v>
      </c>
      <c r="C1542" s="1488" t="str">
        <f t="shared" si="191"/>
        <v>MERC/CAPEX/2020-2021/WFH/SBR/43</v>
      </c>
      <c r="D1542" s="1413">
        <f t="shared" si="191"/>
        <v>44179</v>
      </c>
      <c r="E1542" s="560">
        <f t="shared" si="191"/>
        <v>53.67</v>
      </c>
      <c r="F1542" s="1508">
        <f t="shared" ref="F1542:F1605" si="192">F872+I872</f>
        <v>0</v>
      </c>
      <c r="G1542" s="1508">
        <f t="shared" ref="G1542:G1605" si="193">G872+M872</f>
        <v>0</v>
      </c>
      <c r="H1542" s="1508">
        <f t="shared" si="188"/>
        <v>0</v>
      </c>
      <c r="I1542" s="1480">
        <v>0</v>
      </c>
      <c r="J1542" s="1480">
        <v>0</v>
      </c>
      <c r="K1542" s="1508"/>
      <c r="L1542" s="1508"/>
      <c r="M1542" s="1509">
        <f t="shared" si="189"/>
        <v>0</v>
      </c>
      <c r="N1542" s="1508">
        <f t="shared" si="190"/>
        <v>0</v>
      </c>
      <c r="O1542" s="1481">
        <f t="shared" ref="O1542:O1592" si="194">MAX(0,IF(M1542=0,0,IF(G1542+M1542&lt;E1542,M1542,E1542-G1542)))</f>
        <v>0</v>
      </c>
      <c r="P1542" s="1427">
        <f t="shared" ref="P1542:P1592" si="195">M1542-O1542</f>
        <v>0</v>
      </c>
    </row>
    <row r="1543" spans="1:16" ht="31" outlineLevel="1" x14ac:dyDescent="0.25">
      <c r="A1543" s="1486">
        <f t="shared" si="191"/>
        <v>38</v>
      </c>
      <c r="B1543" s="1491" t="str">
        <f t="shared" si="191"/>
        <v>Replacement of ECO and LTSH coils to Unit-4 Chandrapur (Parli DPR)</v>
      </c>
      <c r="C1543" s="1486" t="str">
        <f t="shared" si="191"/>
        <v xml:space="preserve">MERC/TECH1/CAPEX/20142015/01526 </v>
      </c>
      <c r="D1543" s="1487">
        <f t="shared" si="191"/>
        <v>42033</v>
      </c>
      <c r="E1543" s="1383">
        <f t="shared" si="191"/>
        <v>10</v>
      </c>
      <c r="F1543" s="1480">
        <f t="shared" si="192"/>
        <v>0</v>
      </c>
      <c r="G1543" s="1480">
        <f t="shared" si="193"/>
        <v>0</v>
      </c>
      <c r="H1543" s="1480">
        <f t="shared" si="188"/>
        <v>0</v>
      </c>
      <c r="I1543" s="1480">
        <v>0</v>
      </c>
      <c r="J1543" s="1480">
        <v>0</v>
      </c>
      <c r="K1543" s="1480"/>
      <c r="L1543" s="1480"/>
      <c r="M1543" s="1480">
        <f t="shared" si="189"/>
        <v>0</v>
      </c>
      <c r="N1543" s="1480">
        <f t="shared" si="190"/>
        <v>0</v>
      </c>
      <c r="O1543" s="1481">
        <f t="shared" si="194"/>
        <v>0</v>
      </c>
      <c r="P1543" s="1427">
        <f t="shared" si="195"/>
        <v>0</v>
      </c>
    </row>
    <row r="1544" spans="1:16" ht="31" outlineLevel="1" x14ac:dyDescent="0.25">
      <c r="A1544" s="1488">
        <f t="shared" si="191"/>
        <v>0</v>
      </c>
      <c r="B1544" s="1492" t="str">
        <f t="shared" si="191"/>
        <v>Replacement of ECO and LTSH coils to Unit-4 Chandrapur</v>
      </c>
      <c r="C1544" s="1493" t="str">
        <f t="shared" si="191"/>
        <v xml:space="preserve">MERC/TECH1/CAPEX/20142015/01526 </v>
      </c>
      <c r="D1544" s="1494">
        <f t="shared" si="191"/>
        <v>42033</v>
      </c>
      <c r="E1544" s="560">
        <f t="shared" si="191"/>
        <v>9.4</v>
      </c>
      <c r="F1544" s="1508">
        <f t="shared" si="192"/>
        <v>9.3998608000000008</v>
      </c>
      <c r="G1544" s="1508">
        <f t="shared" si="193"/>
        <v>9.3998608000000008</v>
      </c>
      <c r="H1544" s="1508">
        <f t="shared" si="188"/>
        <v>0</v>
      </c>
      <c r="I1544" s="1480">
        <v>0</v>
      </c>
      <c r="J1544" s="1480">
        <v>0</v>
      </c>
      <c r="K1544" s="1508"/>
      <c r="L1544" s="1508"/>
      <c r="M1544" s="1509">
        <f t="shared" si="189"/>
        <v>0</v>
      </c>
      <c r="N1544" s="1508">
        <f t="shared" si="190"/>
        <v>0</v>
      </c>
      <c r="O1544" s="1481">
        <f t="shared" si="194"/>
        <v>0</v>
      </c>
      <c r="P1544" s="1427">
        <f t="shared" si="195"/>
        <v>0</v>
      </c>
    </row>
    <row r="1545" spans="1:16" ht="31" outlineLevel="1" x14ac:dyDescent="0.25">
      <c r="A1545" s="1488">
        <f t="shared" si="191"/>
        <v>0</v>
      </c>
      <c r="B1545" s="1492" t="str">
        <f t="shared" si="191"/>
        <v>IDC</v>
      </c>
      <c r="C1545" s="1493" t="str">
        <f t="shared" si="191"/>
        <v xml:space="preserve">MERC/TECH1/CAPEX/20142015/01526 </v>
      </c>
      <c r="D1545" s="1494">
        <f t="shared" si="191"/>
        <v>42033</v>
      </c>
      <c r="E1545" s="560">
        <f t="shared" si="191"/>
        <v>0.6</v>
      </c>
      <c r="F1545" s="1508">
        <f t="shared" si="192"/>
        <v>0</v>
      </c>
      <c r="G1545" s="1508">
        <f t="shared" si="193"/>
        <v>0</v>
      </c>
      <c r="H1545" s="1508">
        <f t="shared" si="188"/>
        <v>0</v>
      </c>
      <c r="I1545" s="1480">
        <v>0</v>
      </c>
      <c r="J1545" s="1480">
        <v>0</v>
      </c>
      <c r="K1545" s="1508"/>
      <c r="L1545" s="1508"/>
      <c r="M1545" s="1509">
        <f t="shared" si="189"/>
        <v>0</v>
      </c>
      <c r="N1545" s="1508">
        <f t="shared" si="190"/>
        <v>0</v>
      </c>
      <c r="O1545" s="1481">
        <f t="shared" si="194"/>
        <v>0</v>
      </c>
      <c r="P1545" s="1427">
        <f t="shared" si="195"/>
        <v>0</v>
      </c>
    </row>
    <row r="1546" spans="1:16" ht="31" outlineLevel="1" x14ac:dyDescent="0.25">
      <c r="A1546" s="1486">
        <f t="shared" si="191"/>
        <v>39</v>
      </c>
      <c r="B1546" s="1491" t="str">
        <f t="shared" si="191"/>
        <v>Supply of complete gear box assembly for XRP-1043 coal mill at U-5 &amp;  U-6 for FY 2019-20 &amp; FY 20-21 at CSTPS, Chandrapur</v>
      </c>
      <c r="C1546" s="1486" t="str">
        <f t="shared" si="191"/>
        <v>MERC/CAPEX/2020-2021/WFH/SBR/05</v>
      </c>
      <c r="D1546" s="1487">
        <f t="shared" si="191"/>
        <v>44335</v>
      </c>
      <c r="E1546" s="1383">
        <f t="shared" si="191"/>
        <v>21.53</v>
      </c>
      <c r="F1546" s="1480">
        <f t="shared" si="192"/>
        <v>0</v>
      </c>
      <c r="G1546" s="1480">
        <f t="shared" si="193"/>
        <v>0</v>
      </c>
      <c r="H1546" s="1480">
        <f t="shared" si="188"/>
        <v>0</v>
      </c>
      <c r="I1546" s="1480">
        <v>0</v>
      </c>
      <c r="J1546" s="1480">
        <v>0</v>
      </c>
      <c r="K1546" s="1480"/>
      <c r="L1546" s="1480"/>
      <c r="M1546" s="1480">
        <f t="shared" si="189"/>
        <v>0</v>
      </c>
      <c r="N1546" s="1480">
        <f t="shared" si="190"/>
        <v>0</v>
      </c>
      <c r="O1546" s="1481">
        <f t="shared" si="194"/>
        <v>0</v>
      </c>
      <c r="P1546" s="1427">
        <f t="shared" si="195"/>
        <v>0</v>
      </c>
    </row>
    <row r="1547" spans="1:16" ht="77.5" outlineLevel="1" x14ac:dyDescent="0.25">
      <c r="A1547" s="1488">
        <f t="shared" si="191"/>
        <v>39.1</v>
      </c>
      <c r="B1547" s="1492" t="str">
        <f t="shared" si="191"/>
        <v>Supply of complete gear box assembly for XRP-1043coal mill unit
5&amp;6and complete lub oil system of XRP-1043Coal Mill in Unit-5&amp;6.
(Qty. 02 nos. one for each unit)</v>
      </c>
      <c r="C1547" s="1488" t="str">
        <f t="shared" si="191"/>
        <v>MERC/CAPEX/2020-2021/WFH/SBR/05</v>
      </c>
      <c r="D1547" s="1413">
        <f t="shared" si="191"/>
        <v>44335</v>
      </c>
      <c r="E1547" s="560">
        <f t="shared" si="191"/>
        <v>21.02</v>
      </c>
      <c r="F1547" s="1508">
        <f t="shared" si="192"/>
        <v>9.9520900000000001</v>
      </c>
      <c r="G1547" s="1508">
        <f t="shared" si="193"/>
        <v>9.9520900000000001</v>
      </c>
      <c r="H1547" s="1508">
        <f t="shared" si="188"/>
        <v>0</v>
      </c>
      <c r="I1547" s="1480">
        <v>0</v>
      </c>
      <c r="J1547" s="1480">
        <v>0</v>
      </c>
      <c r="K1547" s="1508"/>
      <c r="L1547" s="1508"/>
      <c r="M1547" s="1509">
        <f t="shared" si="189"/>
        <v>0</v>
      </c>
      <c r="N1547" s="1508">
        <f t="shared" si="190"/>
        <v>0</v>
      </c>
      <c r="O1547" s="1481">
        <f t="shared" si="194"/>
        <v>0</v>
      </c>
      <c r="P1547" s="1427">
        <f t="shared" si="195"/>
        <v>0</v>
      </c>
    </row>
    <row r="1548" spans="1:16" ht="31" outlineLevel="1" x14ac:dyDescent="0.25">
      <c r="A1548" s="1488">
        <f t="shared" si="191"/>
        <v>0</v>
      </c>
      <c r="B1548" s="1492" t="str">
        <f t="shared" si="191"/>
        <v>IDC</v>
      </c>
      <c r="C1548" s="1488" t="str">
        <f t="shared" si="191"/>
        <v>MERC/CAPEX/2020-2021/WFH/SBR/05</v>
      </c>
      <c r="D1548" s="1413">
        <f t="shared" si="191"/>
        <v>44335</v>
      </c>
      <c r="E1548" s="560">
        <f t="shared" si="191"/>
        <v>0.51</v>
      </c>
      <c r="F1548" s="1508">
        <f t="shared" si="192"/>
        <v>0</v>
      </c>
      <c r="G1548" s="1508">
        <f t="shared" si="193"/>
        <v>0</v>
      </c>
      <c r="H1548" s="1508">
        <f t="shared" si="188"/>
        <v>0</v>
      </c>
      <c r="I1548" s="1480">
        <v>0</v>
      </c>
      <c r="J1548" s="1480">
        <v>0</v>
      </c>
      <c r="K1548" s="1508"/>
      <c r="L1548" s="1508"/>
      <c r="M1548" s="1509">
        <f t="shared" si="189"/>
        <v>0</v>
      </c>
      <c r="N1548" s="1508">
        <f t="shared" si="190"/>
        <v>0</v>
      </c>
      <c r="O1548" s="1481">
        <f t="shared" si="194"/>
        <v>0</v>
      </c>
      <c r="P1548" s="1427">
        <f t="shared" si="195"/>
        <v>0</v>
      </c>
    </row>
    <row r="1549" spans="1:16" ht="31" outlineLevel="1" x14ac:dyDescent="0.25">
      <c r="A1549" s="1477" t="str">
        <f t="shared" si="191"/>
        <v>HO
DPR 1</v>
      </c>
      <c r="B1549" s="1478" t="str">
        <f t="shared" si="191"/>
        <v>AFGC/DFGC SYSTEM 210MW</v>
      </c>
      <c r="C1549" s="1477" t="str">
        <f t="shared" si="191"/>
        <v>MERC/CAP/DPR/10/07/1149</v>
      </c>
      <c r="D1549" s="1479">
        <f t="shared" si="191"/>
        <v>39232</v>
      </c>
      <c r="E1549" s="1383">
        <f t="shared" si="191"/>
        <v>9.6</v>
      </c>
      <c r="F1549" s="1480">
        <f t="shared" si="192"/>
        <v>0</v>
      </c>
      <c r="G1549" s="1480">
        <f t="shared" si="193"/>
        <v>0</v>
      </c>
      <c r="H1549" s="1480">
        <f t="shared" si="188"/>
        <v>0</v>
      </c>
      <c r="I1549" s="1480">
        <v>0</v>
      </c>
      <c r="J1549" s="1480">
        <v>0</v>
      </c>
      <c r="K1549" s="1480"/>
      <c r="L1549" s="1480"/>
      <c r="M1549" s="1480">
        <f t="shared" si="189"/>
        <v>0</v>
      </c>
      <c r="N1549" s="1480">
        <f t="shared" si="190"/>
        <v>0</v>
      </c>
      <c r="O1549" s="1481">
        <f t="shared" si="194"/>
        <v>0</v>
      </c>
      <c r="P1549" s="1427">
        <f t="shared" si="195"/>
        <v>0</v>
      </c>
    </row>
    <row r="1550" spans="1:16" ht="31" outlineLevel="1" x14ac:dyDescent="0.25">
      <c r="A1550" s="1482" t="str">
        <f t="shared" si="191"/>
        <v>HO
DPR 1.1</v>
      </c>
      <c r="B1550" s="1483" t="str">
        <f t="shared" si="191"/>
        <v>CSTPS U-1,2&amp;4</v>
      </c>
      <c r="C1550" s="1482" t="str">
        <f t="shared" si="191"/>
        <v>MERC/CAP/DPR/10/07/1149</v>
      </c>
      <c r="D1550" s="1390">
        <f t="shared" si="191"/>
        <v>39232</v>
      </c>
      <c r="E1550" s="560">
        <f t="shared" si="191"/>
        <v>9.6</v>
      </c>
      <c r="F1550" s="1508">
        <f t="shared" si="192"/>
        <v>4.9831317769999997</v>
      </c>
      <c r="G1550" s="1508">
        <f t="shared" si="193"/>
        <v>4.9831317769999997</v>
      </c>
      <c r="H1550" s="1508">
        <f t="shared" si="188"/>
        <v>0</v>
      </c>
      <c r="I1550" s="1480">
        <v>0</v>
      </c>
      <c r="J1550" s="1480">
        <v>0</v>
      </c>
      <c r="K1550" s="1508"/>
      <c r="L1550" s="1508"/>
      <c r="M1550" s="1509">
        <f t="shared" si="189"/>
        <v>0</v>
      </c>
      <c r="N1550" s="1508">
        <f t="shared" si="190"/>
        <v>0</v>
      </c>
      <c r="O1550" s="1481">
        <f t="shared" si="194"/>
        <v>0</v>
      </c>
      <c r="P1550" s="1427">
        <f t="shared" si="195"/>
        <v>0</v>
      </c>
    </row>
    <row r="1551" spans="1:16" ht="31" outlineLevel="1" x14ac:dyDescent="0.25">
      <c r="A1551" s="1477" t="str">
        <f t="shared" si="191"/>
        <v>HO
DPR 4</v>
      </c>
      <c r="B1551" s="1478" t="str">
        <f t="shared" si="191"/>
        <v>Construction of coal platform for Chandrapur TPS, Khaperkheda TPS &amp; Parli TPS</v>
      </c>
      <c r="C1551" s="1477" t="str">
        <f t="shared" si="191"/>
        <v>MERC/TECH 1/CAPEX/20132014/00827</v>
      </c>
      <c r="D1551" s="1479">
        <f t="shared" si="191"/>
        <v>41464</v>
      </c>
      <c r="E1551" s="1383">
        <f t="shared" si="191"/>
        <v>10.36</v>
      </c>
      <c r="F1551" s="1480">
        <f t="shared" si="192"/>
        <v>0</v>
      </c>
      <c r="G1551" s="1480">
        <f t="shared" si="193"/>
        <v>0</v>
      </c>
      <c r="H1551" s="1480">
        <f t="shared" si="188"/>
        <v>0</v>
      </c>
      <c r="I1551" s="1480">
        <v>0</v>
      </c>
      <c r="J1551" s="1480">
        <v>0</v>
      </c>
      <c r="K1551" s="1480"/>
      <c r="L1551" s="1480"/>
      <c r="M1551" s="1480">
        <f t="shared" si="189"/>
        <v>0</v>
      </c>
      <c r="N1551" s="1480">
        <f t="shared" si="190"/>
        <v>0</v>
      </c>
      <c r="O1551" s="1481">
        <f t="shared" si="194"/>
        <v>0</v>
      </c>
      <c r="P1551" s="1427">
        <f t="shared" si="195"/>
        <v>0</v>
      </c>
    </row>
    <row r="1552" spans="1:16" ht="31" outlineLevel="1" x14ac:dyDescent="0.25">
      <c r="A1552" s="1482" t="str">
        <f t="shared" si="191"/>
        <v>HO
DPR 4.1</v>
      </c>
      <c r="B1552" s="1483" t="str">
        <f t="shared" si="191"/>
        <v>Chandrapur TPS</v>
      </c>
      <c r="C1552" s="1482" t="str">
        <f t="shared" si="191"/>
        <v>MERC/TECH 1/CAPEX/20132014/00827</v>
      </c>
      <c r="D1552" s="1390">
        <f t="shared" si="191"/>
        <v>41464</v>
      </c>
      <c r="E1552" s="560">
        <f t="shared" si="191"/>
        <v>10.36</v>
      </c>
      <c r="F1552" s="1508">
        <f t="shared" si="192"/>
        <v>0</v>
      </c>
      <c r="G1552" s="1508">
        <f t="shared" si="193"/>
        <v>0</v>
      </c>
      <c r="H1552" s="1508">
        <f t="shared" si="188"/>
        <v>0</v>
      </c>
      <c r="I1552" s="1480">
        <v>0</v>
      </c>
      <c r="J1552" s="1480">
        <v>0</v>
      </c>
      <c r="K1552" s="1508"/>
      <c r="L1552" s="1508"/>
      <c r="M1552" s="1509">
        <f t="shared" si="189"/>
        <v>0</v>
      </c>
      <c r="N1552" s="1508">
        <f t="shared" si="190"/>
        <v>0</v>
      </c>
      <c r="O1552" s="1481">
        <f t="shared" si="194"/>
        <v>0</v>
      </c>
      <c r="P1552" s="1427">
        <f t="shared" si="195"/>
        <v>0</v>
      </c>
    </row>
    <row r="1553" spans="1:16" ht="31" outlineLevel="1" x14ac:dyDescent="0.25">
      <c r="A1553" s="1482">
        <f t="shared" si="191"/>
        <v>0</v>
      </c>
      <c r="B1553" s="1483" t="str">
        <f t="shared" si="191"/>
        <v>IDC</v>
      </c>
      <c r="C1553" s="1482" t="str">
        <f t="shared" si="191"/>
        <v>MERC/TECH 1/CAPEX/20132014/00827</v>
      </c>
      <c r="D1553" s="1390">
        <f t="shared" si="191"/>
        <v>41464</v>
      </c>
      <c r="E1553" s="560">
        <f t="shared" si="191"/>
        <v>0</v>
      </c>
      <c r="F1553" s="1508">
        <f t="shared" si="192"/>
        <v>0</v>
      </c>
      <c r="G1553" s="1508">
        <f t="shared" si="193"/>
        <v>0</v>
      </c>
      <c r="H1553" s="1508">
        <f t="shared" si="188"/>
        <v>0</v>
      </c>
      <c r="I1553" s="1480">
        <v>0</v>
      </c>
      <c r="J1553" s="1480">
        <v>0</v>
      </c>
      <c r="K1553" s="1508"/>
      <c r="L1553" s="1508"/>
      <c r="M1553" s="1509">
        <f t="shared" si="189"/>
        <v>0</v>
      </c>
      <c r="N1553" s="1508">
        <f t="shared" si="190"/>
        <v>0</v>
      </c>
      <c r="O1553" s="1481">
        <f t="shared" si="194"/>
        <v>0</v>
      </c>
      <c r="P1553" s="1427">
        <f t="shared" si="195"/>
        <v>0</v>
      </c>
    </row>
    <row r="1554" spans="1:16" ht="46.5" outlineLevel="1" x14ac:dyDescent="0.25">
      <c r="A1554" s="1477" t="str">
        <f t="shared" si="191"/>
        <v>HO
DPR 5</v>
      </c>
      <c r="B1554" s="1478" t="str">
        <f t="shared" si="191"/>
        <v>Procurement of energy efficient HT motors at Bhusawal TPS, Koradi TPS, Chandrapur TPS, khaperkheda TPS, Parli TPS &amp; Paras TPS as insurance spares</v>
      </c>
      <c r="C1554" s="1477" t="str">
        <f t="shared" si="191"/>
        <v>MERC/TECH 1/CAPEX/20142015/01218</v>
      </c>
      <c r="D1554" s="1479">
        <f t="shared" si="191"/>
        <v>41968</v>
      </c>
      <c r="E1554" s="1383">
        <f t="shared" si="191"/>
        <v>16.956</v>
      </c>
      <c r="F1554" s="1480">
        <f t="shared" si="192"/>
        <v>0</v>
      </c>
      <c r="G1554" s="1480">
        <f t="shared" si="193"/>
        <v>0</v>
      </c>
      <c r="H1554" s="1480">
        <f t="shared" si="188"/>
        <v>0</v>
      </c>
      <c r="I1554" s="1480">
        <v>0</v>
      </c>
      <c r="J1554" s="1480">
        <v>0</v>
      </c>
      <c r="K1554" s="1480"/>
      <c r="L1554" s="1480"/>
      <c r="M1554" s="1480">
        <f t="shared" si="189"/>
        <v>0</v>
      </c>
      <c r="N1554" s="1480">
        <f t="shared" si="190"/>
        <v>0</v>
      </c>
      <c r="O1554" s="1481">
        <f t="shared" si="194"/>
        <v>0</v>
      </c>
      <c r="P1554" s="1427">
        <f t="shared" si="195"/>
        <v>0</v>
      </c>
    </row>
    <row r="1555" spans="1:16" ht="46.5" outlineLevel="1" x14ac:dyDescent="0.25">
      <c r="A1555" s="1482" t="str">
        <f t="shared" si="191"/>
        <v>HO
DPR 5.3a</v>
      </c>
      <c r="B1555" s="1483" t="str">
        <f t="shared" si="191"/>
        <v>CSTPS (U-3/4, 210 MW, 7Nos)</v>
      </c>
      <c r="C1555" s="1482" t="str">
        <f t="shared" si="191"/>
        <v>MERC/TECH 1/CAPEX/20142015/01218</v>
      </c>
      <c r="D1555" s="1390">
        <f t="shared" si="191"/>
        <v>41968</v>
      </c>
      <c r="E1555" s="560">
        <f t="shared" si="191"/>
        <v>5.7060000000000004</v>
      </c>
      <c r="F1555" s="1508">
        <f t="shared" si="192"/>
        <v>0.90661499000000001</v>
      </c>
      <c r="G1555" s="1508">
        <f t="shared" si="193"/>
        <v>0.90661499000000001</v>
      </c>
      <c r="H1555" s="1508">
        <f t="shared" si="188"/>
        <v>0</v>
      </c>
      <c r="I1555" s="1480">
        <v>0</v>
      </c>
      <c r="J1555" s="1480">
        <v>0</v>
      </c>
      <c r="K1555" s="1508"/>
      <c r="L1555" s="1508"/>
      <c r="M1555" s="1509">
        <f t="shared" si="189"/>
        <v>0</v>
      </c>
      <c r="N1555" s="1508">
        <f t="shared" si="190"/>
        <v>0</v>
      </c>
      <c r="O1555" s="1481">
        <f t="shared" si="194"/>
        <v>0</v>
      </c>
      <c r="P1555" s="1427">
        <f t="shared" si="195"/>
        <v>0</v>
      </c>
    </row>
    <row r="1556" spans="1:16" ht="46.5" outlineLevel="1" x14ac:dyDescent="0.25">
      <c r="A1556" s="1482" t="str">
        <f t="shared" si="191"/>
        <v>HO
DPR 5.3b</v>
      </c>
      <c r="B1556" s="1483" t="str">
        <f t="shared" si="191"/>
        <v>CSTPS (U-5/6/7, 500 MW, 11Nos)</v>
      </c>
      <c r="C1556" s="1482" t="str">
        <f t="shared" si="191"/>
        <v>MERC/TECH 1/CAPEX/20142015/01218</v>
      </c>
      <c r="D1556" s="1390">
        <f t="shared" si="191"/>
        <v>41968</v>
      </c>
      <c r="E1556" s="560">
        <f t="shared" si="191"/>
        <v>11.25</v>
      </c>
      <c r="F1556" s="1508">
        <f t="shared" si="192"/>
        <v>5.7542039999999997</v>
      </c>
      <c r="G1556" s="1508">
        <f t="shared" si="193"/>
        <v>5.7542039999999997</v>
      </c>
      <c r="H1556" s="1508">
        <f t="shared" si="188"/>
        <v>0</v>
      </c>
      <c r="I1556" s="1480">
        <v>0</v>
      </c>
      <c r="J1556" s="1480">
        <v>0</v>
      </c>
      <c r="K1556" s="1508"/>
      <c r="L1556" s="1508"/>
      <c r="M1556" s="1509">
        <f t="shared" si="189"/>
        <v>0</v>
      </c>
      <c r="N1556" s="1508">
        <f t="shared" si="190"/>
        <v>0</v>
      </c>
      <c r="O1556" s="1481">
        <f t="shared" si="194"/>
        <v>0</v>
      </c>
      <c r="P1556" s="1427">
        <f t="shared" si="195"/>
        <v>0</v>
      </c>
    </row>
    <row r="1557" spans="1:16" ht="46.5" outlineLevel="1" x14ac:dyDescent="0.25">
      <c r="A1557" s="1477" t="str">
        <f t="shared" si="191"/>
        <v>HO
DPR 6</v>
      </c>
      <c r="B1557" s="1478" t="str">
        <f t="shared" si="191"/>
        <v>Supply, Installation, Commissioning and Operation &amp; Maintenance Services of Continuous Ambient Air Quality Monitoring Stations (CAAQMS) at various TPS</v>
      </c>
      <c r="C1557" s="1477" t="str">
        <f t="shared" si="191"/>
        <v>MERC/CAPEX/20162017/00423</v>
      </c>
      <c r="D1557" s="1479">
        <f t="shared" si="191"/>
        <v>42585</v>
      </c>
      <c r="E1557" s="1383">
        <f t="shared" si="191"/>
        <v>1.3257526714285714</v>
      </c>
      <c r="F1557" s="1480">
        <f t="shared" si="192"/>
        <v>0</v>
      </c>
      <c r="G1557" s="1480">
        <f t="shared" si="193"/>
        <v>0</v>
      </c>
      <c r="H1557" s="1480">
        <f t="shared" si="188"/>
        <v>0</v>
      </c>
      <c r="I1557" s="1480">
        <v>0</v>
      </c>
      <c r="J1557" s="1480">
        <v>0</v>
      </c>
      <c r="K1557" s="1480"/>
      <c r="L1557" s="1480"/>
      <c r="M1557" s="1480">
        <f t="shared" si="189"/>
        <v>0</v>
      </c>
      <c r="N1557" s="1480">
        <f t="shared" si="190"/>
        <v>0</v>
      </c>
      <c r="O1557" s="1481">
        <f t="shared" si="194"/>
        <v>0</v>
      </c>
      <c r="P1557" s="1427">
        <f t="shared" si="195"/>
        <v>0</v>
      </c>
    </row>
    <row r="1558" spans="1:16" ht="31" outlineLevel="1" x14ac:dyDescent="0.25">
      <c r="A1558" s="1482" t="str">
        <f t="shared" ref="A1558:E1573" si="196">A888</f>
        <v>HO
DPR 6.1</v>
      </c>
      <c r="B1558" s="1483" t="str">
        <f t="shared" si="196"/>
        <v>CSTPS (U-1 to 7) ( 1 Nos.)</v>
      </c>
      <c r="C1558" s="1482" t="str">
        <f t="shared" si="196"/>
        <v>MERC/CAPEX/20162017/00423</v>
      </c>
      <c r="D1558" s="1390">
        <f t="shared" si="196"/>
        <v>42585</v>
      </c>
      <c r="E1558" s="560">
        <f t="shared" si="196"/>
        <v>1.3257526714285714</v>
      </c>
      <c r="F1558" s="1508">
        <f t="shared" si="192"/>
        <v>0</v>
      </c>
      <c r="G1558" s="1508">
        <f t="shared" si="193"/>
        <v>0</v>
      </c>
      <c r="H1558" s="1508">
        <f t="shared" si="188"/>
        <v>0</v>
      </c>
      <c r="I1558" s="1480">
        <v>0</v>
      </c>
      <c r="J1558" s="1480">
        <v>0</v>
      </c>
      <c r="K1558" s="1508"/>
      <c r="L1558" s="1508"/>
      <c r="M1558" s="1509">
        <f t="shared" si="189"/>
        <v>0</v>
      </c>
      <c r="N1558" s="1508">
        <f t="shared" si="190"/>
        <v>0</v>
      </c>
      <c r="O1558" s="1481">
        <f t="shared" si="194"/>
        <v>0</v>
      </c>
      <c r="P1558" s="1427">
        <f t="shared" si="195"/>
        <v>0</v>
      </c>
    </row>
    <row r="1559" spans="1:16" ht="31" outlineLevel="1" x14ac:dyDescent="0.25">
      <c r="A1559" s="1486" t="str">
        <f t="shared" si="196"/>
        <v>HO
DPR 7</v>
      </c>
      <c r="B1559" s="1491" t="str">
        <f t="shared" si="196"/>
        <v>Installation of Real Time Online Coal-Ash Analyzer at various TPS</v>
      </c>
      <c r="C1559" s="1477" t="str">
        <f t="shared" si="196"/>
        <v>MERC/CAPEX/20162017/00774</v>
      </c>
      <c r="D1559" s="1479">
        <f t="shared" si="196"/>
        <v>42643</v>
      </c>
      <c r="E1559" s="1383">
        <f t="shared" si="196"/>
        <v>7.0965999999999996</v>
      </c>
      <c r="F1559" s="1480">
        <f t="shared" si="192"/>
        <v>0</v>
      </c>
      <c r="G1559" s="1480">
        <f t="shared" si="193"/>
        <v>0</v>
      </c>
      <c r="H1559" s="1480">
        <f t="shared" si="188"/>
        <v>0</v>
      </c>
      <c r="I1559" s="1480">
        <v>0</v>
      </c>
      <c r="J1559" s="1480">
        <v>0</v>
      </c>
      <c r="K1559" s="1480"/>
      <c r="L1559" s="1480"/>
      <c r="M1559" s="1480">
        <f t="shared" si="189"/>
        <v>0</v>
      </c>
      <c r="N1559" s="1480">
        <f t="shared" si="190"/>
        <v>0</v>
      </c>
      <c r="O1559" s="1481">
        <f t="shared" si="194"/>
        <v>0</v>
      </c>
      <c r="P1559" s="1427">
        <f t="shared" si="195"/>
        <v>0</v>
      </c>
    </row>
    <row r="1560" spans="1:16" ht="31" outlineLevel="1" x14ac:dyDescent="0.25">
      <c r="A1560" s="1488" t="str">
        <f t="shared" si="196"/>
        <v>HO
DPR 7.1</v>
      </c>
      <c r="B1560" s="1492" t="str">
        <f t="shared" si="196"/>
        <v>Chandrapur STPS</v>
      </c>
      <c r="C1560" s="1482" t="str">
        <f t="shared" si="196"/>
        <v>MERC/CAPEX/20162017/00774</v>
      </c>
      <c r="D1560" s="1390">
        <f t="shared" si="196"/>
        <v>42643</v>
      </c>
      <c r="E1560" s="560">
        <f t="shared" si="196"/>
        <v>7.0965999999999996</v>
      </c>
      <c r="F1560" s="1508">
        <f t="shared" si="192"/>
        <v>0</v>
      </c>
      <c r="G1560" s="1508">
        <f t="shared" si="193"/>
        <v>0</v>
      </c>
      <c r="H1560" s="1508">
        <f t="shared" si="188"/>
        <v>0</v>
      </c>
      <c r="I1560" s="1480">
        <v>0</v>
      </c>
      <c r="J1560" s="1480">
        <v>0</v>
      </c>
      <c r="K1560" s="1508"/>
      <c r="L1560" s="1508"/>
      <c r="M1560" s="1509">
        <f t="shared" si="189"/>
        <v>0</v>
      </c>
      <c r="N1560" s="1508">
        <f t="shared" si="190"/>
        <v>0</v>
      </c>
      <c r="O1560" s="1481">
        <f t="shared" si="194"/>
        <v>0</v>
      </c>
      <c r="P1560" s="1427">
        <f t="shared" si="195"/>
        <v>0</v>
      </c>
    </row>
    <row r="1561" spans="1:16" ht="31" outlineLevel="1" x14ac:dyDescent="0.25">
      <c r="A1561" s="1489" t="str">
        <f t="shared" si="196"/>
        <v>HO
DPR 8</v>
      </c>
      <c r="B1561" s="1490" t="str">
        <f t="shared" si="196"/>
        <v>Replacement of Fire Tenders at Various Power Stations of Mahagenco</v>
      </c>
      <c r="C1561" s="1477" t="str">
        <f t="shared" si="196"/>
        <v>MERC/CAPEX/20172018/4653</v>
      </c>
      <c r="D1561" s="1479">
        <f t="shared" si="196"/>
        <v>43052</v>
      </c>
      <c r="E1561" s="1383">
        <f t="shared" si="196"/>
        <v>4.1500000000000004</v>
      </c>
      <c r="F1561" s="1480">
        <f t="shared" si="192"/>
        <v>0</v>
      </c>
      <c r="G1561" s="1480">
        <f t="shared" si="193"/>
        <v>0</v>
      </c>
      <c r="H1561" s="1480">
        <f t="shared" si="188"/>
        <v>0</v>
      </c>
      <c r="I1561" s="1480">
        <v>0</v>
      </c>
      <c r="J1561" s="1480">
        <v>0</v>
      </c>
      <c r="K1561" s="1480"/>
      <c r="L1561" s="1480"/>
      <c r="M1561" s="1480">
        <f t="shared" si="189"/>
        <v>0</v>
      </c>
      <c r="N1561" s="1480">
        <f t="shared" si="190"/>
        <v>0</v>
      </c>
      <c r="O1561" s="1481">
        <f t="shared" si="194"/>
        <v>0</v>
      </c>
      <c r="P1561" s="1427">
        <f t="shared" si="195"/>
        <v>0</v>
      </c>
    </row>
    <row r="1562" spans="1:16" ht="31" outlineLevel="1" x14ac:dyDescent="0.25">
      <c r="A1562" s="1484" t="str">
        <f t="shared" si="196"/>
        <v>HO
DPR 8.1</v>
      </c>
      <c r="B1562" s="1485" t="str">
        <f t="shared" si="196"/>
        <v>Advance Multipurpose Fire Tender for CSTPS</v>
      </c>
      <c r="C1562" s="1482" t="str">
        <f t="shared" si="196"/>
        <v>MERC/CAPEX/20172018/4653</v>
      </c>
      <c r="D1562" s="1390">
        <f t="shared" si="196"/>
        <v>43052</v>
      </c>
      <c r="E1562" s="560">
        <f t="shared" si="196"/>
        <v>2.9</v>
      </c>
      <c r="F1562" s="1508">
        <f t="shared" si="192"/>
        <v>0.26772339999999994</v>
      </c>
      <c r="G1562" s="1508">
        <f t="shared" si="193"/>
        <v>0.2677234</v>
      </c>
      <c r="H1562" s="1508">
        <f t="shared" si="188"/>
        <v>0</v>
      </c>
      <c r="I1562" s="1480">
        <v>0</v>
      </c>
      <c r="J1562" s="1480">
        <v>0</v>
      </c>
      <c r="K1562" s="1508"/>
      <c r="L1562" s="1508"/>
      <c r="M1562" s="1509">
        <f t="shared" si="189"/>
        <v>0</v>
      </c>
      <c r="N1562" s="1508">
        <f t="shared" si="190"/>
        <v>0</v>
      </c>
      <c r="O1562" s="1481">
        <f t="shared" si="194"/>
        <v>0</v>
      </c>
      <c r="P1562" s="1427">
        <f t="shared" si="195"/>
        <v>0</v>
      </c>
    </row>
    <row r="1563" spans="1:16" ht="31" outlineLevel="1" x14ac:dyDescent="0.25">
      <c r="A1563" s="1484" t="str">
        <f t="shared" si="196"/>
        <v>HO
DPR 8.2</v>
      </c>
      <c r="B1563" s="1485" t="str">
        <f t="shared" si="196"/>
        <v>Normal Multipurpose Fire Tender for CSTPS</v>
      </c>
      <c r="C1563" s="1482" t="str">
        <f t="shared" si="196"/>
        <v>MERC/CAPEX/20172018/4653</v>
      </c>
      <c r="D1563" s="1390">
        <f t="shared" si="196"/>
        <v>43052</v>
      </c>
      <c r="E1563" s="560">
        <f t="shared" si="196"/>
        <v>1.25</v>
      </c>
      <c r="F1563" s="1508">
        <f t="shared" si="192"/>
        <v>2.1846524010000001</v>
      </c>
      <c r="G1563" s="1508">
        <f t="shared" si="193"/>
        <v>2.1846524010000001</v>
      </c>
      <c r="H1563" s="1508">
        <f t="shared" si="188"/>
        <v>0</v>
      </c>
      <c r="I1563" s="1480">
        <v>0</v>
      </c>
      <c r="J1563" s="1480">
        <v>0</v>
      </c>
      <c r="K1563" s="1508"/>
      <c r="L1563" s="1508"/>
      <c r="M1563" s="1509">
        <f t="shared" si="189"/>
        <v>0</v>
      </c>
      <c r="N1563" s="1508">
        <f t="shared" si="190"/>
        <v>0</v>
      </c>
      <c r="O1563" s="1481">
        <f t="shared" si="194"/>
        <v>0</v>
      </c>
      <c r="P1563" s="1427">
        <f t="shared" si="195"/>
        <v>0</v>
      </c>
    </row>
    <row r="1564" spans="1:16" ht="15.5" outlineLevel="1" x14ac:dyDescent="0.25">
      <c r="A1564" s="1484">
        <f t="shared" si="196"/>
        <v>0</v>
      </c>
      <c r="B1564" s="1485" t="str">
        <f t="shared" si="196"/>
        <v>IDC</v>
      </c>
      <c r="C1564" s="1482" t="str">
        <f t="shared" si="196"/>
        <v>MERC/CAPEX/20172018/4653</v>
      </c>
      <c r="D1564" s="1390">
        <f t="shared" si="196"/>
        <v>43052</v>
      </c>
      <c r="E1564" s="560">
        <f t="shared" si="196"/>
        <v>0</v>
      </c>
      <c r="F1564" s="1508">
        <f t="shared" si="192"/>
        <v>0</v>
      </c>
      <c r="G1564" s="1508">
        <f t="shared" si="193"/>
        <v>0</v>
      </c>
      <c r="H1564" s="1508">
        <f t="shared" si="188"/>
        <v>0</v>
      </c>
      <c r="I1564" s="1480">
        <v>0</v>
      </c>
      <c r="J1564" s="1480">
        <v>0</v>
      </c>
      <c r="K1564" s="1508"/>
      <c r="L1564" s="1508"/>
      <c r="M1564" s="1509">
        <f t="shared" si="189"/>
        <v>0</v>
      </c>
      <c r="N1564" s="1508">
        <f t="shared" si="190"/>
        <v>0</v>
      </c>
      <c r="O1564" s="1481">
        <f t="shared" si="194"/>
        <v>0</v>
      </c>
      <c r="P1564" s="1427">
        <f t="shared" si="195"/>
        <v>0</v>
      </c>
    </row>
    <row r="1565" spans="1:16" ht="31" outlineLevel="1" x14ac:dyDescent="0.25">
      <c r="A1565" s="1489" t="str">
        <f t="shared" si="196"/>
        <v>HO
DPR 10</v>
      </c>
      <c r="B1565" s="1490" t="str">
        <f t="shared" si="196"/>
        <v>Implementation of IB recommendations- Civil works at various TPS of Mahagenco</v>
      </c>
      <c r="C1565" s="1486" t="str">
        <f t="shared" si="196"/>
        <v>MERC/CAPEX/20172018/0177</v>
      </c>
      <c r="D1565" s="1487">
        <f t="shared" si="196"/>
        <v>43137</v>
      </c>
      <c r="E1565" s="1383">
        <f t="shared" si="196"/>
        <v>9.0741999999999994</v>
      </c>
      <c r="F1565" s="1480">
        <f t="shared" si="192"/>
        <v>0</v>
      </c>
      <c r="G1565" s="1480">
        <f t="shared" si="193"/>
        <v>0</v>
      </c>
      <c r="H1565" s="1480">
        <f t="shared" si="188"/>
        <v>0</v>
      </c>
      <c r="I1565" s="1480">
        <v>0</v>
      </c>
      <c r="J1565" s="1480">
        <v>0</v>
      </c>
      <c r="K1565" s="1480"/>
      <c r="L1565" s="1480"/>
      <c r="M1565" s="1480">
        <f t="shared" si="189"/>
        <v>0</v>
      </c>
      <c r="N1565" s="1480">
        <f t="shared" si="190"/>
        <v>0</v>
      </c>
      <c r="O1565" s="1481">
        <f t="shared" si="194"/>
        <v>0</v>
      </c>
      <c r="P1565" s="1427">
        <f t="shared" si="195"/>
        <v>0</v>
      </c>
    </row>
    <row r="1566" spans="1:16" ht="46.5" outlineLevel="1" x14ac:dyDescent="0.25">
      <c r="A1566" s="1484" t="str">
        <f t="shared" si="196"/>
        <v>HO
DPR 10.1</v>
      </c>
      <c r="B1566" s="1485" t="str">
        <f t="shared" si="196"/>
        <v>CSTPS Chandrapur</v>
      </c>
      <c r="C1566" s="1488" t="str">
        <f t="shared" si="196"/>
        <v>MERC/CAPEX/20172018/0177</v>
      </c>
      <c r="D1566" s="1413">
        <f t="shared" si="196"/>
        <v>43137</v>
      </c>
      <c r="E1566" s="560">
        <f t="shared" si="196"/>
        <v>9.0741999999999994</v>
      </c>
      <c r="F1566" s="1508">
        <f t="shared" si="192"/>
        <v>9.6122519690000008</v>
      </c>
      <c r="G1566" s="1508">
        <f t="shared" si="193"/>
        <v>9.6122519690000008</v>
      </c>
      <c r="H1566" s="1508">
        <f t="shared" si="188"/>
        <v>0</v>
      </c>
      <c r="I1566" s="1480">
        <v>0</v>
      </c>
      <c r="J1566" s="1480">
        <v>0</v>
      </c>
      <c r="K1566" s="1508"/>
      <c r="L1566" s="1508"/>
      <c r="M1566" s="1509">
        <f t="shared" si="189"/>
        <v>0</v>
      </c>
      <c r="N1566" s="1508">
        <f t="shared" si="190"/>
        <v>0</v>
      </c>
      <c r="O1566" s="1481">
        <f t="shared" si="194"/>
        <v>0</v>
      </c>
      <c r="P1566" s="1427">
        <f t="shared" si="195"/>
        <v>0</v>
      </c>
    </row>
    <row r="1567" spans="1:16" ht="31" outlineLevel="1" x14ac:dyDescent="0.25">
      <c r="A1567" s="1489" t="str">
        <f t="shared" si="196"/>
        <v>HO
DPR 15</v>
      </c>
      <c r="B1567" s="1490" t="str">
        <f t="shared" si="196"/>
        <v>Procurement &amp; Replacement of Complete Sets of Air Pre-heater Baskets at Nashik, Parli &amp; Chandrapur TPS of Mahagenco</v>
      </c>
      <c r="C1567" s="1477" t="str">
        <f t="shared" si="196"/>
        <v>MERC/CAPEX/2019-2020/643</v>
      </c>
      <c r="D1567" s="1479">
        <f t="shared" si="196"/>
        <v>43703</v>
      </c>
      <c r="E1567" s="1383">
        <f t="shared" si="196"/>
        <v>11.13</v>
      </c>
      <c r="F1567" s="1480">
        <f t="shared" si="192"/>
        <v>0</v>
      </c>
      <c r="G1567" s="1480">
        <f t="shared" si="193"/>
        <v>0</v>
      </c>
      <c r="H1567" s="1480">
        <f t="shared" si="188"/>
        <v>0</v>
      </c>
      <c r="I1567" s="1480">
        <v>0</v>
      </c>
      <c r="J1567" s="1480">
        <v>0</v>
      </c>
      <c r="K1567" s="1480"/>
      <c r="L1567" s="1480"/>
      <c r="M1567" s="1480">
        <f t="shared" si="189"/>
        <v>0</v>
      </c>
      <c r="N1567" s="1480">
        <f t="shared" si="190"/>
        <v>0</v>
      </c>
      <c r="O1567" s="1481">
        <f t="shared" si="194"/>
        <v>0</v>
      </c>
      <c r="P1567" s="1427">
        <f t="shared" si="195"/>
        <v>0</v>
      </c>
    </row>
    <row r="1568" spans="1:16" ht="46.5" outlineLevel="1" x14ac:dyDescent="0.25">
      <c r="A1568" s="1484" t="str">
        <f t="shared" si="196"/>
        <v>HO
DPR 15.2</v>
      </c>
      <c r="B1568" s="1485" t="str">
        <f t="shared" si="196"/>
        <v>Procurement of Complete set of assembly of baskets for air preheater of type tri-sector APH in27 VI(T) 80”CSTPS unit No-4 (210MW). (2 Sets Per Unit)</v>
      </c>
      <c r="C1568" s="1482" t="str">
        <f t="shared" si="196"/>
        <v>MERC/CAPEX/2019-2020/643</v>
      </c>
      <c r="D1568" s="1390">
        <f t="shared" si="196"/>
        <v>43703</v>
      </c>
      <c r="E1568" s="560">
        <f t="shared" si="196"/>
        <v>1.73</v>
      </c>
      <c r="F1568" s="1508">
        <f t="shared" si="192"/>
        <v>1.6959658</v>
      </c>
      <c r="G1568" s="1508">
        <f t="shared" si="193"/>
        <v>1.6959658</v>
      </c>
      <c r="H1568" s="1508">
        <f t="shared" si="188"/>
        <v>0</v>
      </c>
      <c r="I1568" s="1480">
        <v>0</v>
      </c>
      <c r="J1568" s="1480">
        <v>0</v>
      </c>
      <c r="K1568" s="1508"/>
      <c r="L1568" s="1508"/>
      <c r="M1568" s="1509">
        <f t="shared" si="189"/>
        <v>0</v>
      </c>
      <c r="N1568" s="1508">
        <f t="shared" si="190"/>
        <v>0</v>
      </c>
      <c r="O1568" s="1481">
        <f t="shared" si="194"/>
        <v>0</v>
      </c>
      <c r="P1568" s="1427">
        <f t="shared" si="195"/>
        <v>0</v>
      </c>
    </row>
    <row r="1569" spans="1:16" ht="46.5" outlineLevel="1" x14ac:dyDescent="0.25">
      <c r="A1569" s="1484" t="str">
        <f t="shared" si="196"/>
        <v>HO
DPR 15.4</v>
      </c>
      <c r="B1569" s="1485" t="str">
        <f t="shared" si="196"/>
        <v>Procurement of Complete set of assembly of baskets for air preheater of type bi-sector APH “BI-SECTOR 27VI 1250(1400)”in CSTPS unit no. 5 &amp; 6 (500MW). (4 Sets Per Unit)</v>
      </c>
      <c r="C1569" s="1482" t="str">
        <f t="shared" si="196"/>
        <v>MERC/CAPEX/2019-2020/643</v>
      </c>
      <c r="D1569" s="1390">
        <f t="shared" si="196"/>
        <v>43703</v>
      </c>
      <c r="E1569" s="560">
        <f t="shared" si="196"/>
        <v>9.4</v>
      </c>
      <c r="F1569" s="1508">
        <f t="shared" si="192"/>
        <v>8.9105042999999995</v>
      </c>
      <c r="G1569" s="1508">
        <f t="shared" si="193"/>
        <v>8.9105042999999995</v>
      </c>
      <c r="H1569" s="1508">
        <f t="shared" si="188"/>
        <v>0</v>
      </c>
      <c r="I1569" s="1480">
        <v>0</v>
      </c>
      <c r="J1569" s="1480">
        <v>0</v>
      </c>
      <c r="K1569" s="1508"/>
      <c r="L1569" s="1508"/>
      <c r="M1569" s="1509">
        <f t="shared" si="189"/>
        <v>0</v>
      </c>
      <c r="N1569" s="1508">
        <f t="shared" si="190"/>
        <v>0</v>
      </c>
      <c r="O1569" s="1481">
        <f t="shared" si="194"/>
        <v>0</v>
      </c>
      <c r="P1569" s="1427">
        <f t="shared" si="195"/>
        <v>0</v>
      </c>
    </row>
    <row r="1570" spans="1:16" ht="15.5" outlineLevel="1" x14ac:dyDescent="0.25">
      <c r="A1570" s="1484">
        <f t="shared" si="196"/>
        <v>0</v>
      </c>
      <c r="B1570" s="1485" t="str">
        <f t="shared" si="196"/>
        <v>IDC</v>
      </c>
      <c r="C1570" s="1482" t="str">
        <f t="shared" si="196"/>
        <v>MERC/CAPEX/2019-2020/643</v>
      </c>
      <c r="D1570" s="1390">
        <f t="shared" si="196"/>
        <v>43703</v>
      </c>
      <c r="E1570" s="560">
        <f t="shared" si="196"/>
        <v>0</v>
      </c>
      <c r="F1570" s="1508">
        <f t="shared" si="192"/>
        <v>0</v>
      </c>
      <c r="G1570" s="1508">
        <f t="shared" si="193"/>
        <v>0</v>
      </c>
      <c r="H1570" s="1508">
        <f t="shared" si="188"/>
        <v>0</v>
      </c>
      <c r="I1570" s="1480">
        <v>0</v>
      </c>
      <c r="J1570" s="1480">
        <v>0</v>
      </c>
      <c r="K1570" s="1508"/>
      <c r="L1570" s="1508"/>
      <c r="M1570" s="1509">
        <f t="shared" si="189"/>
        <v>0</v>
      </c>
      <c r="N1570" s="1508">
        <f t="shared" si="190"/>
        <v>0</v>
      </c>
      <c r="O1570" s="1481">
        <f t="shared" si="194"/>
        <v>0</v>
      </c>
      <c r="P1570" s="1427">
        <f t="shared" si="195"/>
        <v>0</v>
      </c>
    </row>
    <row r="1571" spans="1:16" ht="31" outlineLevel="1" x14ac:dyDescent="0.25">
      <c r="A1571" s="1489" t="str">
        <f t="shared" si="196"/>
        <v>HO
DPR 16</v>
      </c>
      <c r="B1571" s="1490" t="str">
        <f t="shared" si="196"/>
        <v>Implementation of Water Flow Monitoring system at Chandrapur STPS &amp; Khaperkheda TPS</v>
      </c>
      <c r="C1571" s="1486" t="str">
        <f t="shared" si="196"/>
        <v>MERC/CAPEX/2020-2021/WFH/SBR/37</v>
      </c>
      <c r="D1571" s="1487">
        <f t="shared" si="196"/>
        <v>44131</v>
      </c>
      <c r="E1571" s="1383">
        <f t="shared" si="196"/>
        <v>3.7552319999999999</v>
      </c>
      <c r="F1571" s="1480">
        <f t="shared" si="192"/>
        <v>0</v>
      </c>
      <c r="G1571" s="1480">
        <f t="shared" si="193"/>
        <v>0</v>
      </c>
      <c r="H1571" s="1480">
        <f t="shared" si="188"/>
        <v>0</v>
      </c>
      <c r="I1571" s="1480">
        <v>0</v>
      </c>
      <c r="J1571" s="1480">
        <v>0</v>
      </c>
      <c r="K1571" s="1480"/>
      <c r="L1571" s="1480"/>
      <c r="M1571" s="1480">
        <f t="shared" si="189"/>
        <v>0</v>
      </c>
      <c r="N1571" s="1480">
        <f t="shared" si="190"/>
        <v>0</v>
      </c>
      <c r="O1571" s="1481">
        <f t="shared" si="194"/>
        <v>0</v>
      </c>
      <c r="P1571" s="1427">
        <f t="shared" si="195"/>
        <v>0</v>
      </c>
    </row>
    <row r="1572" spans="1:16" ht="46.5" outlineLevel="1" x14ac:dyDescent="0.25">
      <c r="A1572" s="1484" t="str">
        <f t="shared" si="196"/>
        <v>HO
DPR 16.1</v>
      </c>
      <c r="B1572" s="1485" t="str">
        <f t="shared" si="196"/>
        <v>Electromagnetic Flow meters at various lines &amp; Locations of CSTPS unit-3 to 7</v>
      </c>
      <c r="C1572" s="1488" t="str">
        <f t="shared" si="196"/>
        <v>MERC/CAPEX/2020-2021/WFH/SBR/37</v>
      </c>
      <c r="D1572" s="1413">
        <f t="shared" si="196"/>
        <v>44131</v>
      </c>
      <c r="E1572" s="560">
        <f t="shared" si="196"/>
        <v>2.912712</v>
      </c>
      <c r="F1572" s="1508">
        <f t="shared" si="192"/>
        <v>2.8883319000000003</v>
      </c>
      <c r="G1572" s="1508">
        <f t="shared" si="193"/>
        <v>2.8883319000000003</v>
      </c>
      <c r="H1572" s="1508">
        <f t="shared" si="188"/>
        <v>0</v>
      </c>
      <c r="I1572" s="1480">
        <v>0</v>
      </c>
      <c r="J1572" s="1480">
        <v>0</v>
      </c>
      <c r="K1572" s="1508"/>
      <c r="L1572" s="1508"/>
      <c r="M1572" s="1509">
        <f t="shared" si="189"/>
        <v>0</v>
      </c>
      <c r="N1572" s="1508">
        <f t="shared" si="190"/>
        <v>0</v>
      </c>
      <c r="O1572" s="1481">
        <f t="shared" si="194"/>
        <v>0</v>
      </c>
      <c r="P1572" s="1427">
        <f t="shared" si="195"/>
        <v>0</v>
      </c>
    </row>
    <row r="1573" spans="1:16" ht="62" outlineLevel="1" x14ac:dyDescent="0.25">
      <c r="A1573" s="1484" t="str">
        <f t="shared" si="196"/>
        <v>HO
DPR 16.2</v>
      </c>
      <c r="B1573" s="1485" t="str">
        <f t="shared" si="196"/>
        <v xml:space="preserve">Automation: Centralized SCADA, RTU, MODBUS Cable, Power cable &amp; Operation &amp; Maintenance for 1 Year &amp; mandatory spares
</v>
      </c>
      <c r="C1573" s="1488" t="str">
        <f t="shared" si="196"/>
        <v>MERC/CAPEX/2020-2021/WFH/SBR/37</v>
      </c>
      <c r="D1573" s="1413">
        <f t="shared" si="196"/>
        <v>44131</v>
      </c>
      <c r="E1573" s="560">
        <f t="shared" si="196"/>
        <v>0.84251999999999994</v>
      </c>
      <c r="F1573" s="1508">
        <f t="shared" si="192"/>
        <v>0.84251999999999994</v>
      </c>
      <c r="G1573" s="1508">
        <f t="shared" si="193"/>
        <v>0.84251999999999994</v>
      </c>
      <c r="H1573" s="1508">
        <f t="shared" si="188"/>
        <v>0</v>
      </c>
      <c r="I1573" s="1480">
        <v>0</v>
      </c>
      <c r="J1573" s="1480">
        <v>0</v>
      </c>
      <c r="K1573" s="1508"/>
      <c r="L1573" s="1508"/>
      <c r="M1573" s="1509">
        <f t="shared" si="189"/>
        <v>0</v>
      </c>
      <c r="N1573" s="1508">
        <f t="shared" si="190"/>
        <v>0</v>
      </c>
      <c r="O1573" s="1481">
        <f t="shared" si="194"/>
        <v>0</v>
      </c>
      <c r="P1573" s="1427">
        <f t="shared" si="195"/>
        <v>0</v>
      </c>
    </row>
    <row r="1574" spans="1:16" ht="31" outlineLevel="1" x14ac:dyDescent="0.25">
      <c r="A1574" s="1484">
        <f t="shared" ref="A1574:E1589" si="197">A904</f>
        <v>0</v>
      </c>
      <c r="B1574" s="1485" t="str">
        <f t="shared" si="197"/>
        <v>IDC</v>
      </c>
      <c r="C1574" s="1482" t="str">
        <f t="shared" si="197"/>
        <v>MERC/CAPEX/2020-2021/WFH/SBR/37</v>
      </c>
      <c r="D1574" s="1390">
        <f t="shared" si="197"/>
        <v>44131</v>
      </c>
      <c r="E1574" s="560">
        <f t="shared" si="197"/>
        <v>0</v>
      </c>
      <c r="F1574" s="1508">
        <f t="shared" si="192"/>
        <v>0</v>
      </c>
      <c r="G1574" s="1508">
        <f t="shared" si="193"/>
        <v>0</v>
      </c>
      <c r="H1574" s="1508">
        <f t="shared" si="188"/>
        <v>0</v>
      </c>
      <c r="I1574" s="1480">
        <v>0</v>
      </c>
      <c r="J1574" s="1480">
        <v>0</v>
      </c>
      <c r="K1574" s="1508"/>
      <c r="L1574" s="1508"/>
      <c r="M1574" s="1509">
        <f t="shared" si="189"/>
        <v>0</v>
      </c>
      <c r="N1574" s="1508">
        <f t="shared" si="190"/>
        <v>0</v>
      </c>
      <c r="O1574" s="1481">
        <f t="shared" si="194"/>
        <v>0</v>
      </c>
      <c r="P1574" s="1427">
        <f t="shared" si="195"/>
        <v>0</v>
      </c>
    </row>
    <row r="1575" spans="1:16" ht="46.5" outlineLevel="1" x14ac:dyDescent="0.25">
      <c r="A1575" s="1489">
        <f t="shared" si="197"/>
        <v>40</v>
      </c>
      <c r="B1575" s="1490" t="str">
        <f t="shared" si="197"/>
        <v>Procurement of Condensate Extraction Pump for 500MW Unit-5, 6 &amp; 7 And Supply &amp; Replacement of complete PVC Fills of cell of cooling tower of Unit-7 in ODP-II at CSTPS, Chandrapur</v>
      </c>
      <c r="C1575" s="1486" t="str">
        <f t="shared" si="197"/>
        <v>MERC/CAPEX/2021-2022/ WFH/SBR/ 10</v>
      </c>
      <c r="D1575" s="1487">
        <f t="shared" si="197"/>
        <v>44357</v>
      </c>
      <c r="E1575" s="1383">
        <f t="shared" si="197"/>
        <v>10.89</v>
      </c>
      <c r="F1575" s="1480">
        <f t="shared" si="192"/>
        <v>0</v>
      </c>
      <c r="G1575" s="1480">
        <f t="shared" si="193"/>
        <v>0</v>
      </c>
      <c r="H1575" s="1480">
        <f t="shared" si="188"/>
        <v>0</v>
      </c>
      <c r="I1575" s="1480">
        <v>0</v>
      </c>
      <c r="J1575" s="1480">
        <v>0</v>
      </c>
      <c r="K1575" s="1480"/>
      <c r="L1575" s="1480"/>
      <c r="M1575" s="1480">
        <f t="shared" si="189"/>
        <v>0</v>
      </c>
      <c r="N1575" s="1480">
        <f t="shared" si="190"/>
        <v>0</v>
      </c>
      <c r="O1575" s="1481">
        <f t="shared" si="194"/>
        <v>0</v>
      </c>
      <c r="P1575" s="1427">
        <f t="shared" si="195"/>
        <v>0</v>
      </c>
    </row>
    <row r="1576" spans="1:16" ht="46.5" outlineLevel="1" x14ac:dyDescent="0.25">
      <c r="A1576" s="1484">
        <f t="shared" si="197"/>
        <v>40.1</v>
      </c>
      <c r="B1576" s="1485" t="str">
        <f t="shared" si="197"/>
        <v>Procurement of Condensate Extraction
Pump for 500MW Unit-5, 6 &amp; 7, CSTPS,
Chandrapur as insurance spare</v>
      </c>
      <c r="C1576" s="1488" t="str">
        <f t="shared" si="197"/>
        <v>MERC/CAPEX/2021-2022/ WFH/SBR/ 10</v>
      </c>
      <c r="D1576" s="1413">
        <f t="shared" si="197"/>
        <v>44357</v>
      </c>
      <c r="E1576" s="560">
        <f t="shared" si="197"/>
        <v>6.2</v>
      </c>
      <c r="F1576" s="1508">
        <f t="shared" si="192"/>
        <v>6.0121000000000002</v>
      </c>
      <c r="G1576" s="1508">
        <f t="shared" si="193"/>
        <v>6.0121000000000002</v>
      </c>
      <c r="H1576" s="1508">
        <f t="shared" si="188"/>
        <v>0</v>
      </c>
      <c r="I1576" s="1480">
        <v>0</v>
      </c>
      <c r="J1576" s="1480">
        <v>0</v>
      </c>
      <c r="K1576" s="1508"/>
      <c r="L1576" s="1508"/>
      <c r="M1576" s="1509">
        <f t="shared" si="189"/>
        <v>0</v>
      </c>
      <c r="N1576" s="1508">
        <f t="shared" si="190"/>
        <v>0</v>
      </c>
      <c r="O1576" s="1481">
        <f t="shared" si="194"/>
        <v>0</v>
      </c>
      <c r="P1576" s="1427">
        <f t="shared" si="195"/>
        <v>0</v>
      </c>
    </row>
    <row r="1577" spans="1:16" ht="46.5" outlineLevel="1" x14ac:dyDescent="0.25">
      <c r="A1577" s="1484">
        <f t="shared" si="197"/>
        <v>40.200000000000003</v>
      </c>
      <c r="B1577" s="1485" t="str">
        <f t="shared" si="197"/>
        <v>Supply and replacement of complete
PVC Fills of cell of cooling tower in Unit-
7</v>
      </c>
      <c r="C1577" s="1488" t="str">
        <f t="shared" si="197"/>
        <v>MERC/CAPEX/2021-2022/ WFH/SBR/ 10</v>
      </c>
      <c r="D1577" s="1413">
        <f t="shared" si="197"/>
        <v>44357</v>
      </c>
      <c r="E1577" s="560">
        <f t="shared" si="197"/>
        <v>4.3899999999999997</v>
      </c>
      <c r="F1577" s="1508">
        <f t="shared" si="192"/>
        <v>4.3293638999999997</v>
      </c>
      <c r="G1577" s="1508">
        <f t="shared" si="193"/>
        <v>4.3293638999999997</v>
      </c>
      <c r="H1577" s="1508">
        <f t="shared" si="188"/>
        <v>0</v>
      </c>
      <c r="I1577" s="1480">
        <v>0</v>
      </c>
      <c r="J1577" s="1480">
        <v>0</v>
      </c>
      <c r="K1577" s="1508"/>
      <c r="L1577" s="1508"/>
      <c r="M1577" s="1509">
        <f t="shared" si="189"/>
        <v>0</v>
      </c>
      <c r="N1577" s="1508">
        <f t="shared" si="190"/>
        <v>0</v>
      </c>
      <c r="O1577" s="1481">
        <f t="shared" si="194"/>
        <v>0</v>
      </c>
      <c r="P1577" s="1427">
        <f t="shared" si="195"/>
        <v>0</v>
      </c>
    </row>
    <row r="1578" spans="1:16" ht="31" outlineLevel="1" x14ac:dyDescent="0.25">
      <c r="A1578" s="1484">
        <f t="shared" si="197"/>
        <v>0</v>
      </c>
      <c r="B1578" s="1485" t="str">
        <f t="shared" si="197"/>
        <v>IDC</v>
      </c>
      <c r="C1578" s="1482" t="str">
        <f t="shared" si="197"/>
        <v>MERC/CAPEX/2021-2022/ WFH/SBR/ 10</v>
      </c>
      <c r="D1578" s="1390">
        <f t="shared" si="197"/>
        <v>44357</v>
      </c>
      <c r="E1578" s="560">
        <f t="shared" si="197"/>
        <v>0.3</v>
      </c>
      <c r="F1578" s="1508">
        <f t="shared" si="192"/>
        <v>0</v>
      </c>
      <c r="G1578" s="1508">
        <f t="shared" si="193"/>
        <v>0</v>
      </c>
      <c r="H1578" s="1508">
        <f t="shared" si="188"/>
        <v>0</v>
      </c>
      <c r="I1578" s="1480">
        <v>0</v>
      </c>
      <c r="J1578" s="1480">
        <v>0</v>
      </c>
      <c r="K1578" s="1508"/>
      <c r="L1578" s="1508"/>
      <c r="M1578" s="1509">
        <f t="shared" si="189"/>
        <v>0</v>
      </c>
      <c r="N1578" s="1508">
        <f t="shared" si="190"/>
        <v>0</v>
      </c>
      <c r="O1578" s="1481">
        <f t="shared" si="194"/>
        <v>0</v>
      </c>
      <c r="P1578" s="1427">
        <f t="shared" si="195"/>
        <v>0</v>
      </c>
    </row>
    <row r="1579" spans="1:16" ht="77.5" outlineLevel="1" x14ac:dyDescent="0.25">
      <c r="A1579" s="1489">
        <f t="shared" si="197"/>
        <v>41</v>
      </c>
      <c r="B1579" s="1490" t="str">
        <f t="shared" si="197"/>
        <v>Supply &amp; Commissioning of Advanced Microprocessor based Fast Bus Transfer panels; Up-gradation of Thyristor based 24V &amp; 220V DC battery chargers by SMPS Microprocessor based Battery Chargers at U-5,6 &amp;7
and Generator Protection scheme at U-7, at CSTPS, Chandrapur</v>
      </c>
      <c r="C1579" s="1486" t="str">
        <f t="shared" si="197"/>
        <v>MERC/CAPEX/2022-2023/0321</v>
      </c>
      <c r="D1579" s="1487">
        <f t="shared" si="197"/>
        <v>44760</v>
      </c>
      <c r="E1579" s="1383">
        <f t="shared" si="197"/>
        <v>14.06</v>
      </c>
      <c r="F1579" s="1480">
        <f t="shared" si="192"/>
        <v>0</v>
      </c>
      <c r="G1579" s="1480">
        <f t="shared" si="193"/>
        <v>0</v>
      </c>
      <c r="H1579" s="1480">
        <f t="shared" si="188"/>
        <v>0</v>
      </c>
      <c r="I1579" s="1480">
        <v>0</v>
      </c>
      <c r="J1579" s="1480">
        <v>0</v>
      </c>
      <c r="K1579" s="1480"/>
      <c r="L1579" s="1480"/>
      <c r="M1579" s="1480">
        <f t="shared" si="189"/>
        <v>0</v>
      </c>
      <c r="N1579" s="1480">
        <f t="shared" si="190"/>
        <v>0</v>
      </c>
      <c r="O1579" s="1481">
        <f t="shared" si="194"/>
        <v>0</v>
      </c>
      <c r="P1579" s="1427">
        <f t="shared" si="195"/>
        <v>0</v>
      </c>
    </row>
    <row r="1580" spans="1:16" ht="46.5" outlineLevel="1" x14ac:dyDescent="0.25">
      <c r="A1580" s="1484">
        <f t="shared" si="197"/>
        <v>41.1</v>
      </c>
      <c r="B1580" s="1485" t="str">
        <f t="shared" si="197"/>
        <v>Supply &amp; commissioning of Advanced Microprocessor based Fast Bus Transfer Panels for Unit#5,6,7, Stage-III, CSTPS, Chandrapur.</v>
      </c>
      <c r="C1580" s="1488" t="str">
        <f t="shared" si="197"/>
        <v>MERC/CAPEX/2022-2023/0321</v>
      </c>
      <c r="D1580" s="1413">
        <f t="shared" si="197"/>
        <v>44760</v>
      </c>
      <c r="E1580" s="560">
        <f t="shared" si="197"/>
        <v>6.08</v>
      </c>
      <c r="F1580" s="1508">
        <f t="shared" si="192"/>
        <v>3.607024</v>
      </c>
      <c r="G1580" s="1508">
        <f t="shared" si="193"/>
        <v>3.607024</v>
      </c>
      <c r="H1580" s="1508">
        <f t="shared" si="188"/>
        <v>0</v>
      </c>
      <c r="I1580" s="1480">
        <v>2.4700000000000002</v>
      </c>
      <c r="J1580" s="1480">
        <v>2.4700000000000002</v>
      </c>
      <c r="K1580" s="1508"/>
      <c r="L1580" s="1508"/>
      <c r="M1580" s="1509">
        <f t="shared" si="189"/>
        <v>2.4700000000000002</v>
      </c>
      <c r="N1580" s="1508">
        <f t="shared" si="190"/>
        <v>0</v>
      </c>
      <c r="O1580" s="1481">
        <f t="shared" si="194"/>
        <v>2.4700000000000002</v>
      </c>
      <c r="P1580" s="1427">
        <f t="shared" si="195"/>
        <v>0</v>
      </c>
    </row>
    <row r="1581" spans="1:16" ht="46.5" outlineLevel="1" x14ac:dyDescent="0.25">
      <c r="A1581" s="1484">
        <f t="shared" si="197"/>
        <v>41.2</v>
      </c>
      <c r="B1581" s="1485" t="str">
        <f t="shared" si="197"/>
        <v>Up-gradation of thyristor based 24V &amp; 220V DC Battery Chargers by SMPS Microprocessor based Battery Chargers at Stage-III, CSTPS, Chandrapur.</v>
      </c>
      <c r="C1581" s="1488" t="str">
        <f t="shared" si="197"/>
        <v>MERC/CAPEX/2022-2023/0321</v>
      </c>
      <c r="D1581" s="1413">
        <f t="shared" si="197"/>
        <v>44760</v>
      </c>
      <c r="E1581" s="560">
        <f t="shared" si="197"/>
        <v>5.28</v>
      </c>
      <c r="F1581" s="1508">
        <f t="shared" si="192"/>
        <v>2.7090321999999998</v>
      </c>
      <c r="G1581" s="1508">
        <f t="shared" si="193"/>
        <v>2.3456039999999998</v>
      </c>
      <c r="H1581" s="1508">
        <f t="shared" si="188"/>
        <v>0.36342819999999998</v>
      </c>
      <c r="I1581" s="1480">
        <v>0</v>
      </c>
      <c r="J1581" s="1480">
        <v>0.36342819999999998</v>
      </c>
      <c r="K1581" s="1508"/>
      <c r="L1581" s="1508"/>
      <c r="M1581" s="1509">
        <f t="shared" si="189"/>
        <v>0.36342819999999998</v>
      </c>
      <c r="N1581" s="1508">
        <f t="shared" si="190"/>
        <v>0</v>
      </c>
      <c r="O1581" s="1481">
        <f t="shared" si="194"/>
        <v>0.36342819999999998</v>
      </c>
      <c r="P1581" s="1427">
        <f t="shared" si="195"/>
        <v>0</v>
      </c>
    </row>
    <row r="1582" spans="1:16" ht="15.5" outlineLevel="1" x14ac:dyDescent="0.25">
      <c r="A1582" s="1484">
        <f t="shared" si="197"/>
        <v>41.3</v>
      </c>
      <c r="B1582" s="1485" t="str">
        <f t="shared" si="197"/>
        <v>Generator Protection Scheme U-7</v>
      </c>
      <c r="C1582" s="1488" t="str">
        <f t="shared" si="197"/>
        <v>MERC/CAPEX/2022-2023/0321</v>
      </c>
      <c r="D1582" s="1413">
        <f t="shared" si="197"/>
        <v>44760</v>
      </c>
      <c r="E1582" s="560">
        <f t="shared" si="197"/>
        <v>1.98</v>
      </c>
      <c r="F1582" s="1508">
        <f t="shared" si="192"/>
        <v>1.7286999999999999</v>
      </c>
      <c r="G1582" s="1508">
        <f t="shared" si="193"/>
        <v>0</v>
      </c>
      <c r="H1582" s="1508">
        <f t="shared" si="188"/>
        <v>1.7286999999999999</v>
      </c>
      <c r="I1582" s="1480">
        <v>0</v>
      </c>
      <c r="J1582" s="1480">
        <v>0</v>
      </c>
      <c r="K1582" s="1508"/>
      <c r="L1582" s="1508"/>
      <c r="M1582" s="1509">
        <f t="shared" si="189"/>
        <v>0</v>
      </c>
      <c r="N1582" s="1508">
        <f t="shared" si="190"/>
        <v>1.7286999999999999</v>
      </c>
      <c r="O1582" s="1481">
        <f t="shared" si="194"/>
        <v>0</v>
      </c>
      <c r="P1582" s="1427">
        <f t="shared" si="195"/>
        <v>0</v>
      </c>
    </row>
    <row r="1583" spans="1:16" ht="15.5" outlineLevel="1" x14ac:dyDescent="0.25">
      <c r="A1583" s="1484">
        <f t="shared" si="197"/>
        <v>0</v>
      </c>
      <c r="B1583" s="1485" t="str">
        <f t="shared" si="197"/>
        <v>IDC</v>
      </c>
      <c r="C1583" s="1482" t="str">
        <f t="shared" si="197"/>
        <v>MERC/CAPEX/2022-2023/0321</v>
      </c>
      <c r="D1583" s="1390">
        <f t="shared" si="197"/>
        <v>44760</v>
      </c>
      <c r="E1583" s="560">
        <f t="shared" si="197"/>
        <v>0.72</v>
      </c>
      <c r="F1583" s="1508">
        <f t="shared" si="192"/>
        <v>0</v>
      </c>
      <c r="G1583" s="1508">
        <f t="shared" si="193"/>
        <v>0</v>
      </c>
      <c r="H1583" s="1508">
        <f t="shared" si="188"/>
        <v>0</v>
      </c>
      <c r="I1583" s="1480">
        <v>0</v>
      </c>
      <c r="J1583" s="1480">
        <v>0</v>
      </c>
      <c r="K1583" s="1508"/>
      <c r="L1583" s="1508"/>
      <c r="M1583" s="1509">
        <f t="shared" si="189"/>
        <v>0</v>
      </c>
      <c r="N1583" s="1508">
        <f t="shared" si="190"/>
        <v>0</v>
      </c>
      <c r="O1583" s="1481">
        <f t="shared" si="194"/>
        <v>0</v>
      </c>
      <c r="P1583" s="1427">
        <f t="shared" si="195"/>
        <v>0</v>
      </c>
    </row>
    <row r="1584" spans="1:16" ht="31" outlineLevel="1" x14ac:dyDescent="0.25">
      <c r="A1584" s="1489">
        <f t="shared" si="197"/>
        <v>42</v>
      </c>
      <c r="B1584" s="1490" t="str">
        <f t="shared" si="197"/>
        <v>ESP Upgradation of 5 Nos. of 210/500MW Units at Khaperkheda, Koradi &amp; Chandrapur TPS</v>
      </c>
      <c r="C1584" s="1486" t="str">
        <f t="shared" si="197"/>
        <v>MERC/CAPEX/2022-2023/MSPGCL/0453</v>
      </c>
      <c r="D1584" s="1487">
        <f t="shared" si="197"/>
        <v>44833</v>
      </c>
      <c r="E1584" s="1383">
        <f t="shared" si="197"/>
        <v>219.44</v>
      </c>
      <c r="F1584" s="1480">
        <f t="shared" si="192"/>
        <v>0</v>
      </c>
      <c r="G1584" s="1480">
        <f t="shared" si="193"/>
        <v>0</v>
      </c>
      <c r="H1584" s="1480">
        <f t="shared" si="188"/>
        <v>0</v>
      </c>
      <c r="I1584" s="1480">
        <v>0</v>
      </c>
      <c r="J1584" s="1480">
        <v>0</v>
      </c>
      <c r="K1584" s="1480"/>
      <c r="L1584" s="1480"/>
      <c r="M1584" s="1480">
        <f t="shared" si="189"/>
        <v>0</v>
      </c>
      <c r="N1584" s="1480">
        <f t="shared" si="190"/>
        <v>0</v>
      </c>
      <c r="O1584" s="1481">
        <f t="shared" si="194"/>
        <v>0</v>
      </c>
      <c r="P1584" s="1427">
        <f t="shared" si="195"/>
        <v>0</v>
      </c>
    </row>
    <row r="1585" spans="1:16" ht="31" outlineLevel="1" x14ac:dyDescent="0.25">
      <c r="A1585" s="1484">
        <f t="shared" si="197"/>
        <v>42.1</v>
      </c>
      <c r="B1585" s="1485" t="str">
        <f t="shared" si="197"/>
        <v>ESP Upgradation at Unit # 5 &amp; 6, Chandrapur TPS</v>
      </c>
      <c r="C1585" s="1488" t="str">
        <f t="shared" si="197"/>
        <v>MERC/CAPEX/2022-2023/MSPGCL/0453</v>
      </c>
      <c r="D1585" s="1413">
        <f t="shared" si="197"/>
        <v>44833</v>
      </c>
      <c r="E1585" s="560">
        <f t="shared" si="197"/>
        <v>207.46</v>
      </c>
      <c r="F1585" s="1508">
        <f t="shared" si="192"/>
        <v>0</v>
      </c>
      <c r="G1585" s="1508">
        <f t="shared" si="193"/>
        <v>0</v>
      </c>
      <c r="H1585" s="1508">
        <f t="shared" si="188"/>
        <v>0</v>
      </c>
      <c r="I1585" s="1480">
        <v>116.38</v>
      </c>
      <c r="J1585" s="1480">
        <v>116.38</v>
      </c>
      <c r="K1585" s="1508"/>
      <c r="L1585" s="1508"/>
      <c r="M1585" s="1509">
        <f t="shared" si="189"/>
        <v>116.38</v>
      </c>
      <c r="N1585" s="1508">
        <f t="shared" si="190"/>
        <v>0</v>
      </c>
      <c r="O1585" s="1481">
        <f t="shared" si="194"/>
        <v>116.38</v>
      </c>
      <c r="P1585" s="1427">
        <f t="shared" si="195"/>
        <v>0</v>
      </c>
    </row>
    <row r="1586" spans="1:16" ht="31" outlineLevel="1" x14ac:dyDescent="0.25">
      <c r="A1586" s="1484">
        <f t="shared" si="197"/>
        <v>0</v>
      </c>
      <c r="B1586" s="1485" t="str">
        <f t="shared" si="197"/>
        <v>IDC</v>
      </c>
      <c r="C1586" s="1482" t="str">
        <f t="shared" si="197"/>
        <v>MERC/CAPEX/2022-2023/MSPGCL/0453</v>
      </c>
      <c r="D1586" s="1390">
        <f t="shared" si="197"/>
        <v>44833</v>
      </c>
      <c r="E1586" s="560">
        <f t="shared" si="197"/>
        <v>11.98</v>
      </c>
      <c r="F1586" s="1508">
        <f t="shared" si="192"/>
        <v>0</v>
      </c>
      <c r="G1586" s="1508">
        <f t="shared" si="193"/>
        <v>0</v>
      </c>
      <c r="H1586" s="1508">
        <f t="shared" si="188"/>
        <v>0</v>
      </c>
      <c r="I1586" s="1480">
        <v>0</v>
      </c>
      <c r="J1586" s="1480">
        <v>0</v>
      </c>
      <c r="K1586" s="1508"/>
      <c r="L1586" s="1508"/>
      <c r="M1586" s="1509">
        <f t="shared" si="189"/>
        <v>0</v>
      </c>
      <c r="N1586" s="1508">
        <f t="shared" si="190"/>
        <v>0</v>
      </c>
      <c r="O1586" s="1481">
        <f t="shared" si="194"/>
        <v>0</v>
      </c>
      <c r="P1586" s="1427">
        <f t="shared" si="195"/>
        <v>0</v>
      </c>
    </row>
    <row r="1587" spans="1:16" ht="31" outlineLevel="1" x14ac:dyDescent="0.25">
      <c r="A1587" s="1489">
        <f t="shared" si="197"/>
        <v>43</v>
      </c>
      <c r="B1587" s="1490" t="str">
        <f t="shared" si="197"/>
        <v>Flue Gas Desulphurization (FGD) System at 10 Nos. of 210 MW Units at Chandrapur, Koradi, Khaperkheda &amp; Nasik TPS</v>
      </c>
      <c r="C1587" s="1486" t="str">
        <f t="shared" si="197"/>
        <v>MERC/CAPEX/MSPGCL/2023-2024/0459</v>
      </c>
      <c r="D1587" s="1487">
        <f t="shared" si="197"/>
        <v>45174</v>
      </c>
      <c r="E1587" s="1383">
        <f t="shared" si="197"/>
        <v>115.34</v>
      </c>
      <c r="F1587" s="1480">
        <f t="shared" si="192"/>
        <v>0</v>
      </c>
      <c r="G1587" s="1480">
        <f t="shared" si="193"/>
        <v>0</v>
      </c>
      <c r="H1587" s="1480">
        <f t="shared" si="188"/>
        <v>0</v>
      </c>
      <c r="I1587" s="1480">
        <v>0</v>
      </c>
      <c r="J1587" s="1480">
        <v>0</v>
      </c>
      <c r="K1587" s="1480"/>
      <c r="L1587" s="1480"/>
      <c r="M1587" s="1480">
        <f t="shared" si="189"/>
        <v>0</v>
      </c>
      <c r="N1587" s="1480">
        <f t="shared" si="190"/>
        <v>0</v>
      </c>
      <c r="O1587" s="1481">
        <f t="shared" si="194"/>
        <v>0</v>
      </c>
      <c r="P1587" s="1427">
        <f t="shared" si="195"/>
        <v>0</v>
      </c>
    </row>
    <row r="1588" spans="1:16" ht="31" outlineLevel="1" x14ac:dyDescent="0.25">
      <c r="A1588" s="1484">
        <f t="shared" si="197"/>
        <v>43.1</v>
      </c>
      <c r="B1588" s="1485" t="str">
        <f t="shared" si="197"/>
        <v>Flue Gas Desulphurization (FGD) System at Unit 3 &amp; 4, Chandrapur</v>
      </c>
      <c r="C1588" s="1488" t="str">
        <f t="shared" si="197"/>
        <v>MERC/CAPEX/MSPGCL/2023-2024/0459</v>
      </c>
      <c r="D1588" s="1413">
        <f t="shared" si="197"/>
        <v>45174</v>
      </c>
      <c r="E1588" s="560">
        <f t="shared" si="197"/>
        <v>109.4</v>
      </c>
      <c r="F1588" s="1508">
        <f t="shared" si="192"/>
        <v>0</v>
      </c>
      <c r="G1588" s="1508">
        <f t="shared" si="193"/>
        <v>0</v>
      </c>
      <c r="H1588" s="1508">
        <f t="shared" si="188"/>
        <v>0</v>
      </c>
      <c r="I1588" s="1480">
        <v>19.22</v>
      </c>
      <c r="J1588" s="1480">
        <v>128.16</v>
      </c>
      <c r="K1588" s="1508"/>
      <c r="L1588" s="1508"/>
      <c r="M1588" s="1509">
        <f t="shared" si="189"/>
        <v>128.16</v>
      </c>
      <c r="N1588" s="1508">
        <f t="shared" si="190"/>
        <v>-108.94</v>
      </c>
      <c r="O1588" s="1481">
        <f t="shared" si="194"/>
        <v>109.4</v>
      </c>
      <c r="P1588" s="1427">
        <f t="shared" si="195"/>
        <v>18.759999999999991</v>
      </c>
    </row>
    <row r="1589" spans="1:16" ht="31" outlineLevel="1" x14ac:dyDescent="0.25">
      <c r="A1589" s="1484">
        <f t="shared" si="197"/>
        <v>0</v>
      </c>
      <c r="B1589" s="1485" t="str">
        <f t="shared" si="197"/>
        <v>IDC</v>
      </c>
      <c r="C1589" s="1488" t="str">
        <f t="shared" si="197"/>
        <v>MERC/CAPEX/MSPGCL/2023-2024/0459</v>
      </c>
      <c r="D1589" s="1413">
        <f t="shared" si="197"/>
        <v>45174</v>
      </c>
      <c r="E1589" s="560">
        <f t="shared" si="197"/>
        <v>5.94</v>
      </c>
      <c r="F1589" s="1508">
        <f t="shared" si="192"/>
        <v>0</v>
      </c>
      <c r="G1589" s="1508">
        <f t="shared" si="193"/>
        <v>0</v>
      </c>
      <c r="H1589" s="1508">
        <f t="shared" si="188"/>
        <v>0</v>
      </c>
      <c r="I1589" s="1480">
        <v>0</v>
      </c>
      <c r="J1589" s="1480">
        <v>0</v>
      </c>
      <c r="K1589" s="1508"/>
      <c r="L1589" s="1508"/>
      <c r="M1589" s="1509">
        <f t="shared" si="189"/>
        <v>0</v>
      </c>
      <c r="N1589" s="1508">
        <f t="shared" si="190"/>
        <v>0</v>
      </c>
      <c r="O1589" s="1481">
        <f t="shared" si="194"/>
        <v>0</v>
      </c>
      <c r="P1589" s="1427">
        <f t="shared" si="195"/>
        <v>0</v>
      </c>
    </row>
    <row r="1590" spans="1:16" ht="77.5" outlineLevel="1" x14ac:dyDescent="0.25">
      <c r="A1590" s="1489">
        <f t="shared" ref="A1590:E1605" si="198">A920</f>
        <v>44</v>
      </c>
      <c r="B1590" s="1490" t="str">
        <f t="shared" si="198"/>
        <v>Design, Engineering, Manufacturing, Transportation to CSTPS site, unloading, Erection, Testing &amp; Commissioning of 3 nos. of new 200MVA. 21/400/√3KV, Single phase Generator Transformers, BHEL make for 3 X 500 MW Unit#5,6&amp;7 500MW Stage-III CSTPS, Chandrapur</v>
      </c>
      <c r="C1590" s="1486" t="str">
        <f t="shared" si="198"/>
        <v>MERC/CAPEX/2022-2023/0409</v>
      </c>
      <c r="D1590" s="1487">
        <f t="shared" si="198"/>
        <v>44806</v>
      </c>
      <c r="E1590" s="1383">
        <f t="shared" si="198"/>
        <v>33.268000000000001</v>
      </c>
      <c r="F1590" s="1480">
        <f t="shared" si="192"/>
        <v>0</v>
      </c>
      <c r="G1590" s="1480">
        <f t="shared" si="193"/>
        <v>0</v>
      </c>
      <c r="H1590" s="1480">
        <f t="shared" si="188"/>
        <v>0</v>
      </c>
      <c r="I1590" s="1480">
        <v>0</v>
      </c>
      <c r="J1590" s="1480">
        <v>0</v>
      </c>
      <c r="K1590" s="1480"/>
      <c r="L1590" s="1480"/>
      <c r="M1590" s="1480">
        <f t="shared" si="189"/>
        <v>0</v>
      </c>
      <c r="N1590" s="1480">
        <f t="shared" si="190"/>
        <v>0</v>
      </c>
      <c r="O1590" s="1481">
        <f t="shared" si="194"/>
        <v>0</v>
      </c>
      <c r="P1590" s="1427">
        <f t="shared" si="195"/>
        <v>0</v>
      </c>
    </row>
    <row r="1591" spans="1:16" ht="93" outlineLevel="1" x14ac:dyDescent="0.25">
      <c r="A1591" s="1484">
        <f t="shared" si="198"/>
        <v>44.1</v>
      </c>
      <c r="B1591" s="1485" t="str">
        <f t="shared" si="198"/>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1591" s="1488" t="str">
        <f t="shared" si="198"/>
        <v>MERC/CAPEX/2022-2023/0409</v>
      </c>
      <c r="D1591" s="1413">
        <f t="shared" si="198"/>
        <v>44806</v>
      </c>
      <c r="E1591" s="560">
        <f t="shared" si="198"/>
        <v>32.567999999999998</v>
      </c>
      <c r="F1591" s="1508">
        <f t="shared" si="192"/>
        <v>0</v>
      </c>
      <c r="G1591" s="1508">
        <f t="shared" si="193"/>
        <v>0</v>
      </c>
      <c r="H1591" s="1508">
        <f t="shared" si="188"/>
        <v>0</v>
      </c>
      <c r="I1591" s="1480">
        <v>39</v>
      </c>
      <c r="J1591" s="1480">
        <v>39</v>
      </c>
      <c r="K1591" s="1508"/>
      <c r="L1591" s="1508"/>
      <c r="M1591" s="1509">
        <f t="shared" si="189"/>
        <v>39</v>
      </c>
      <c r="N1591" s="1508">
        <f t="shared" si="190"/>
        <v>0</v>
      </c>
      <c r="O1591" s="1481">
        <f t="shared" si="194"/>
        <v>32.567999999999998</v>
      </c>
      <c r="P1591" s="1427">
        <f t="shared" si="195"/>
        <v>6.4320000000000022</v>
      </c>
    </row>
    <row r="1592" spans="1:16" ht="15.5" outlineLevel="1" x14ac:dyDescent="0.25">
      <c r="A1592" s="1484">
        <f t="shared" si="198"/>
        <v>0</v>
      </c>
      <c r="B1592" s="1485" t="str">
        <f t="shared" si="198"/>
        <v>IDC</v>
      </c>
      <c r="C1592" s="1482" t="str">
        <f t="shared" si="198"/>
        <v>MERC/CAPEX/2022-2023/0409</v>
      </c>
      <c r="D1592" s="1390">
        <f t="shared" si="198"/>
        <v>44806</v>
      </c>
      <c r="E1592" s="560">
        <f t="shared" si="198"/>
        <v>0.7</v>
      </c>
      <c r="F1592" s="1508">
        <f t="shared" si="192"/>
        <v>0</v>
      </c>
      <c r="G1592" s="1508">
        <f t="shared" si="193"/>
        <v>0</v>
      </c>
      <c r="H1592" s="1508">
        <f t="shared" si="188"/>
        <v>0</v>
      </c>
      <c r="I1592" s="1480">
        <v>0</v>
      </c>
      <c r="J1592" s="1480">
        <v>0</v>
      </c>
      <c r="K1592" s="1508"/>
      <c r="L1592" s="1508"/>
      <c r="M1592" s="1509">
        <f t="shared" si="189"/>
        <v>0</v>
      </c>
      <c r="N1592" s="1508">
        <f t="shared" si="190"/>
        <v>0</v>
      </c>
      <c r="O1592" s="1481">
        <f t="shared" si="194"/>
        <v>0</v>
      </c>
      <c r="P1592" s="1427">
        <f t="shared" si="195"/>
        <v>0</v>
      </c>
    </row>
    <row r="1593" spans="1:16" ht="93" outlineLevel="1" x14ac:dyDescent="0.25">
      <c r="A1593" s="1489">
        <f t="shared" si="198"/>
        <v>45</v>
      </c>
      <c r="B1593" s="1490" t="str">
        <f t="shared" si="198"/>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1593" s="1486" t="str">
        <f t="shared" si="198"/>
        <v>MERC/CAPEX/2022-2023/MSPGCL/0458</v>
      </c>
      <c r="D1593" s="1487">
        <f t="shared" si="198"/>
        <v>45174</v>
      </c>
      <c r="E1593" s="560">
        <f t="shared" si="198"/>
        <v>145.05495436368</v>
      </c>
      <c r="F1593" s="1508">
        <f t="shared" si="192"/>
        <v>0</v>
      </c>
      <c r="G1593" s="1508">
        <f t="shared" si="193"/>
        <v>0</v>
      </c>
      <c r="H1593" s="1508">
        <f t="shared" si="188"/>
        <v>0</v>
      </c>
      <c r="I1593" s="1480">
        <v>0</v>
      </c>
      <c r="J1593" s="1480">
        <v>0</v>
      </c>
      <c r="K1593" s="1508"/>
      <c r="L1593" s="1508"/>
      <c r="M1593" s="1509">
        <f t="shared" ref="M1593:M1621" si="199">SUM(J1593:L1593)</f>
        <v>0</v>
      </c>
      <c r="N1593" s="1508">
        <f t="shared" si="190"/>
        <v>0</v>
      </c>
      <c r="O1593" s="1481"/>
      <c r="P1593" s="1427"/>
    </row>
    <row r="1594" spans="1:16" ht="31" outlineLevel="1" x14ac:dyDescent="0.25">
      <c r="A1594" s="1484">
        <f t="shared" si="198"/>
        <v>45.1</v>
      </c>
      <c r="B1594" s="1485" t="str">
        <f t="shared" si="198"/>
        <v>Construction of 4th raising of existing Ash Bund from T.B.L. 198.00 M to T.B.L 201.00 M</v>
      </c>
      <c r="C1594" s="1488" t="str">
        <f t="shared" si="198"/>
        <v>MERC/CAPEX/2022-2023/MSPGCL/0458</v>
      </c>
      <c r="D1594" s="1413">
        <f t="shared" si="198"/>
        <v>45174</v>
      </c>
      <c r="E1594" s="560">
        <f t="shared" si="198"/>
        <v>101.81018586775998</v>
      </c>
      <c r="F1594" s="1508">
        <f t="shared" si="192"/>
        <v>40.1338133</v>
      </c>
      <c r="G1594" s="1508">
        <f t="shared" si="193"/>
        <v>40.1338133</v>
      </c>
      <c r="H1594" s="1508">
        <f t="shared" si="188"/>
        <v>0</v>
      </c>
      <c r="I1594" s="1480">
        <v>26.809870558253138</v>
      </c>
      <c r="J1594" s="1480">
        <v>26.809870558253138</v>
      </c>
      <c r="K1594" s="1508"/>
      <c r="L1594" s="1508"/>
      <c r="M1594" s="1509">
        <f t="shared" si="199"/>
        <v>26.809870558253138</v>
      </c>
      <c r="N1594" s="1508">
        <f t="shared" si="190"/>
        <v>0</v>
      </c>
      <c r="O1594" s="1481"/>
      <c r="P1594" s="1427"/>
    </row>
    <row r="1595" spans="1:16" ht="31" outlineLevel="1" x14ac:dyDescent="0.25">
      <c r="A1595" s="1484">
        <f t="shared" si="198"/>
        <v>45.2</v>
      </c>
      <c r="B1595" s="1485" t="str">
        <f t="shared" si="198"/>
        <v>Construction of New Drain Wells (12 Nos.) along with necessary connection to existing drain wells at CSTPS</v>
      </c>
      <c r="C1595" s="1488" t="str">
        <f t="shared" si="198"/>
        <v>MERC/CAPEX/2022-2023/MSPGCL/0458</v>
      </c>
      <c r="D1595" s="1413">
        <f t="shared" si="198"/>
        <v>45174</v>
      </c>
      <c r="E1595" s="560">
        <f t="shared" si="198"/>
        <v>1.7079926814999997</v>
      </c>
      <c r="F1595" s="1508">
        <f t="shared" si="192"/>
        <v>0</v>
      </c>
      <c r="G1595" s="1508">
        <f t="shared" si="193"/>
        <v>0</v>
      </c>
      <c r="H1595" s="1508">
        <f t="shared" si="188"/>
        <v>0</v>
      </c>
      <c r="I1595" s="1480">
        <v>1.1230636809863013</v>
      </c>
      <c r="J1595" s="1480">
        <v>1.1230636809863013</v>
      </c>
      <c r="K1595" s="1508"/>
      <c r="L1595" s="1508"/>
      <c r="M1595" s="1509">
        <f t="shared" si="199"/>
        <v>1.1230636809863013</v>
      </c>
      <c r="N1595" s="1508">
        <f t="shared" si="190"/>
        <v>0</v>
      </c>
      <c r="O1595" s="1481"/>
      <c r="P1595" s="1427"/>
    </row>
    <row r="1596" spans="1:16" ht="31" outlineLevel="1" x14ac:dyDescent="0.25">
      <c r="A1596" s="1484">
        <f t="shared" si="198"/>
        <v>45.3</v>
      </c>
      <c r="B1596" s="1485" t="str">
        <f t="shared" si="198"/>
        <v xml:space="preserve"> Construction of waste weir for raising of ash bund (Waste Weir &amp; Non overflow structure)</v>
      </c>
      <c r="C1596" s="1488" t="str">
        <f t="shared" si="198"/>
        <v>MERC/CAPEX/2022-2023/MSPGCL/0458</v>
      </c>
      <c r="D1596" s="1413">
        <f t="shared" si="198"/>
        <v>45174</v>
      </c>
      <c r="E1596" s="560">
        <f t="shared" si="198"/>
        <v>4.2692499462199995</v>
      </c>
      <c r="F1596" s="1508">
        <f t="shared" si="192"/>
        <v>0</v>
      </c>
      <c r="G1596" s="1508">
        <f t="shared" si="193"/>
        <v>0</v>
      </c>
      <c r="H1596" s="1508">
        <f t="shared" si="188"/>
        <v>0</v>
      </c>
      <c r="I1596" s="1480">
        <v>2.8071780468295886</v>
      </c>
      <c r="J1596" s="1480">
        <v>2.8071780468295886</v>
      </c>
      <c r="K1596" s="1508"/>
      <c r="L1596" s="1508"/>
      <c r="M1596" s="1509">
        <f t="shared" si="199"/>
        <v>2.8071780468295886</v>
      </c>
      <c r="N1596" s="1508">
        <f t="shared" si="190"/>
        <v>0</v>
      </c>
      <c r="O1596" s="1481"/>
      <c r="P1596" s="1427"/>
    </row>
    <row r="1597" spans="1:16" ht="31" outlineLevel="1" x14ac:dyDescent="0.25">
      <c r="A1597" s="1484">
        <f t="shared" si="198"/>
        <v>45.4</v>
      </c>
      <c r="B1597" s="1485" t="str">
        <f t="shared" si="198"/>
        <v>Raising of Ash Compartment i.e. Lagoon in Ash Bund</v>
      </c>
      <c r="C1597" s="1488" t="str">
        <f t="shared" si="198"/>
        <v>MERC/CAPEX/2022-2023/MSPGCL/0458</v>
      </c>
      <c r="D1597" s="1413">
        <f t="shared" si="198"/>
        <v>45174</v>
      </c>
      <c r="E1597" s="560">
        <f t="shared" si="198"/>
        <v>25.657525868199997</v>
      </c>
      <c r="F1597" s="1508">
        <f t="shared" si="192"/>
        <v>0</v>
      </c>
      <c r="G1597" s="1508">
        <f t="shared" si="193"/>
        <v>0</v>
      </c>
      <c r="H1597" s="1508">
        <f t="shared" si="188"/>
        <v>0</v>
      </c>
      <c r="I1597" s="1480">
        <v>16.870701940734246</v>
      </c>
      <c r="J1597" s="1480">
        <v>16.870701940734246</v>
      </c>
      <c r="K1597" s="1508"/>
      <c r="L1597" s="1508"/>
      <c r="M1597" s="1509">
        <f t="shared" si="199"/>
        <v>16.870701940734246</v>
      </c>
      <c r="N1597" s="1508">
        <f t="shared" si="190"/>
        <v>0</v>
      </c>
      <c r="O1597" s="1481"/>
      <c r="P1597" s="1427"/>
    </row>
    <row r="1598" spans="1:16" ht="31" outlineLevel="1" x14ac:dyDescent="0.25">
      <c r="A1598" s="1484">
        <f t="shared" si="198"/>
        <v>0</v>
      </c>
      <c r="B1598" s="1485" t="str">
        <f t="shared" si="198"/>
        <v>IDC</v>
      </c>
      <c r="C1598" s="1482" t="str">
        <f t="shared" si="198"/>
        <v>MERC/CAPEX/2022-2023/MSPGCL/0458</v>
      </c>
      <c r="D1598" s="1390">
        <f t="shared" si="198"/>
        <v>45174</v>
      </c>
      <c r="E1598" s="560">
        <f t="shared" si="198"/>
        <v>11.61</v>
      </c>
      <c r="F1598" s="1508">
        <f t="shared" si="192"/>
        <v>0</v>
      </c>
      <c r="G1598" s="1508">
        <f t="shared" si="193"/>
        <v>0</v>
      </c>
      <c r="H1598" s="1508">
        <f t="shared" si="188"/>
        <v>0</v>
      </c>
      <c r="I1598" s="1480">
        <v>0</v>
      </c>
      <c r="J1598" s="1480">
        <v>0</v>
      </c>
      <c r="K1598" s="1508"/>
      <c r="L1598" s="1508"/>
      <c r="M1598" s="1509">
        <f t="shared" si="199"/>
        <v>0</v>
      </c>
      <c r="N1598" s="1508">
        <f t="shared" si="190"/>
        <v>0</v>
      </c>
      <c r="O1598" s="1481"/>
      <c r="P1598" s="1427"/>
    </row>
    <row r="1599" spans="1:16" ht="46.5" outlineLevel="1" x14ac:dyDescent="0.25">
      <c r="A1599" s="1489">
        <f t="shared" si="198"/>
        <v>46</v>
      </c>
      <c r="B1599" s="1490" t="str">
        <f t="shared" si="198"/>
        <v>Procurement of 03 Nos. of complete assembly of 3.3 KV, 300 KW Boiler Circulation Water Pump - Motors along with Impeller for Unit#5&amp;6, 500MW Stage-III CSTPS Chandrapur</v>
      </c>
      <c r="C1599" s="1486" t="str">
        <f t="shared" si="198"/>
        <v>MERC/CAPEX/2024-2025/MSPGCL/0308</v>
      </c>
      <c r="D1599" s="1487">
        <f t="shared" si="198"/>
        <v>45429</v>
      </c>
      <c r="E1599" s="560">
        <f t="shared" si="198"/>
        <v>37.32</v>
      </c>
      <c r="F1599" s="1508">
        <f t="shared" si="192"/>
        <v>0</v>
      </c>
      <c r="G1599" s="1508">
        <f t="shared" si="193"/>
        <v>0</v>
      </c>
      <c r="H1599" s="1508">
        <f t="shared" si="188"/>
        <v>0</v>
      </c>
      <c r="I1599" s="1480">
        <v>0</v>
      </c>
      <c r="J1599" s="1480">
        <v>0</v>
      </c>
      <c r="K1599" s="1508"/>
      <c r="L1599" s="1508"/>
      <c r="M1599" s="1509">
        <f t="shared" si="199"/>
        <v>0</v>
      </c>
      <c r="N1599" s="1508">
        <f t="shared" si="190"/>
        <v>0</v>
      </c>
      <c r="O1599" s="1481"/>
      <c r="P1599" s="1427"/>
    </row>
    <row r="1600" spans="1:16" ht="46.5" outlineLevel="1" x14ac:dyDescent="0.25">
      <c r="A1600" s="1484">
        <f t="shared" si="198"/>
        <v>46.1</v>
      </c>
      <c r="B1600" s="1485" t="str">
        <f t="shared" si="198"/>
        <v>Procurement of 03 Nos. of complete assembly of 3.3 KV, 300 KW Boiler Circulation Water Pump - Motors along with Impeller for Unit#5&amp;6, 500MW Stage-III CSTPS Chandrapur</v>
      </c>
      <c r="C1600" s="1488" t="str">
        <f t="shared" si="198"/>
        <v>MERC/CAPEX/2024-2025/MSPGCL/0308</v>
      </c>
      <c r="D1600" s="1495">
        <f t="shared" si="198"/>
        <v>45429</v>
      </c>
      <c r="E1600" s="560">
        <f t="shared" si="198"/>
        <v>0</v>
      </c>
      <c r="F1600" s="1508">
        <f t="shared" si="192"/>
        <v>0</v>
      </c>
      <c r="G1600" s="1508">
        <f t="shared" si="193"/>
        <v>0</v>
      </c>
      <c r="H1600" s="1508">
        <f t="shared" ref="H1600:H1663" si="200">F1600-G1600</f>
        <v>0</v>
      </c>
      <c r="I1600" s="1480">
        <v>0</v>
      </c>
      <c r="J1600" s="1480">
        <v>0</v>
      </c>
      <c r="K1600" s="1508"/>
      <c r="L1600" s="1508"/>
      <c r="M1600" s="1509">
        <f t="shared" si="199"/>
        <v>0</v>
      </c>
      <c r="N1600" s="1508">
        <f t="shared" ref="N1600:N1663" si="201">H1600+I1600-M1600</f>
        <v>0</v>
      </c>
      <c r="O1600" s="1481"/>
      <c r="P1600" s="1427"/>
    </row>
    <row r="1601" spans="1:16" ht="31" outlineLevel="1" x14ac:dyDescent="0.25">
      <c r="A1601" s="1484">
        <f t="shared" si="198"/>
        <v>0</v>
      </c>
      <c r="B1601" s="1485" t="str">
        <f t="shared" si="198"/>
        <v>IDC</v>
      </c>
      <c r="C1601" s="1488" t="str">
        <f t="shared" si="198"/>
        <v>MERC/CAPEX/2024-2025/MSPGCL/0308</v>
      </c>
      <c r="D1601" s="1495">
        <f t="shared" si="198"/>
        <v>45429</v>
      </c>
      <c r="E1601" s="560">
        <f t="shared" si="198"/>
        <v>0</v>
      </c>
      <c r="F1601" s="1508">
        <f t="shared" si="192"/>
        <v>0</v>
      </c>
      <c r="G1601" s="1508">
        <f t="shared" si="193"/>
        <v>0</v>
      </c>
      <c r="H1601" s="1508">
        <f t="shared" si="200"/>
        <v>0</v>
      </c>
      <c r="I1601" s="1480">
        <v>0</v>
      </c>
      <c r="J1601" s="1480">
        <v>0</v>
      </c>
      <c r="K1601" s="1508"/>
      <c r="L1601" s="1508"/>
      <c r="M1601" s="1509">
        <f t="shared" si="199"/>
        <v>0</v>
      </c>
      <c r="N1601" s="1508">
        <f t="shared" si="201"/>
        <v>0</v>
      </c>
      <c r="O1601" s="1481"/>
      <c r="P1601" s="1427"/>
    </row>
    <row r="1602" spans="1:16" ht="31" outlineLevel="1" x14ac:dyDescent="0.25">
      <c r="A1602" s="1489">
        <f t="shared" si="198"/>
        <v>47</v>
      </c>
      <c r="B1602" s="1490" t="str">
        <f t="shared" si="198"/>
        <v>Performance Improvement &amp; Life Extension Schemes for CHP of Unit 3 to 7 of CSTPS, Chandrapur</v>
      </c>
      <c r="C1602" s="1486" t="str">
        <f t="shared" si="198"/>
        <v>MERC/CAPEX/MSPGCL/2023-24/0560</v>
      </c>
      <c r="D1602" s="1413">
        <f t="shared" si="198"/>
        <v>45230</v>
      </c>
      <c r="E1602" s="560">
        <f t="shared" si="198"/>
        <v>43.01</v>
      </c>
      <c r="F1602" s="1508">
        <f t="shared" si="192"/>
        <v>0</v>
      </c>
      <c r="G1602" s="1508">
        <f t="shared" si="193"/>
        <v>0</v>
      </c>
      <c r="H1602" s="1508">
        <f t="shared" si="200"/>
        <v>0</v>
      </c>
      <c r="I1602" s="1480">
        <v>0</v>
      </c>
      <c r="J1602" s="1480">
        <v>0</v>
      </c>
      <c r="K1602" s="1508"/>
      <c r="L1602" s="1508"/>
      <c r="M1602" s="1509">
        <f t="shared" si="199"/>
        <v>0</v>
      </c>
      <c r="N1602" s="1508">
        <f t="shared" si="201"/>
        <v>0</v>
      </c>
      <c r="O1602" s="1481"/>
      <c r="P1602" s="1427"/>
    </row>
    <row r="1603" spans="1:16" ht="31" outlineLevel="1" x14ac:dyDescent="0.25">
      <c r="A1603" s="1484">
        <f t="shared" si="198"/>
        <v>47.1</v>
      </c>
      <c r="B1603" s="1485" t="str">
        <f t="shared" si="198"/>
        <v>Work of Renovation/Upgradation/Modification of Crusher House of CHPA of Unit 3&amp;4 of CSTPS Chandrapur.</v>
      </c>
      <c r="C1603" s="1488" t="str">
        <f t="shared" si="198"/>
        <v>MERC/CAPEX/MSPGCL/2023-24/0560</v>
      </c>
      <c r="D1603" s="1413">
        <f t="shared" si="198"/>
        <v>45230</v>
      </c>
      <c r="E1603" s="560">
        <f t="shared" si="198"/>
        <v>5.66</v>
      </c>
      <c r="F1603" s="1508">
        <f t="shared" si="192"/>
        <v>0</v>
      </c>
      <c r="G1603" s="1508">
        <f t="shared" si="193"/>
        <v>0</v>
      </c>
      <c r="H1603" s="1508">
        <f t="shared" si="200"/>
        <v>0</v>
      </c>
      <c r="I1603" s="1480">
        <v>5.66</v>
      </c>
      <c r="J1603" s="1480">
        <v>5.66</v>
      </c>
      <c r="K1603" s="1508"/>
      <c r="L1603" s="1508"/>
      <c r="M1603" s="1509">
        <f t="shared" si="199"/>
        <v>5.66</v>
      </c>
      <c r="N1603" s="1508">
        <f t="shared" si="201"/>
        <v>0</v>
      </c>
      <c r="O1603" s="1481"/>
      <c r="P1603" s="1427"/>
    </row>
    <row r="1604" spans="1:16" ht="31" outlineLevel="1" x14ac:dyDescent="0.25">
      <c r="A1604" s="1484">
        <f t="shared" si="198"/>
        <v>47.2</v>
      </c>
      <c r="B1604" s="1485" t="str">
        <f t="shared" si="198"/>
        <v>Work of Renovation/Upgradation/Modification of Belt Conveyor 10A/B/C of CHPA of Unit 3&amp;4 of CSTPS Chandrapur.</v>
      </c>
      <c r="C1604" s="1488" t="str">
        <f t="shared" si="198"/>
        <v>MERC/CAPEX/MSPGCL/2023-24/0560</v>
      </c>
      <c r="D1604" s="1413">
        <f t="shared" si="198"/>
        <v>45230</v>
      </c>
      <c r="E1604" s="560">
        <f t="shared" si="198"/>
        <v>8.17</v>
      </c>
      <c r="F1604" s="1508">
        <f t="shared" si="192"/>
        <v>0</v>
      </c>
      <c r="G1604" s="1508">
        <f t="shared" si="193"/>
        <v>0</v>
      </c>
      <c r="H1604" s="1508">
        <f t="shared" si="200"/>
        <v>0</v>
      </c>
      <c r="I1604" s="1480">
        <v>8.17</v>
      </c>
      <c r="J1604" s="1480">
        <v>8.17</v>
      </c>
      <c r="K1604" s="1508"/>
      <c r="L1604" s="1508"/>
      <c r="M1604" s="1509">
        <f t="shared" si="199"/>
        <v>8.17</v>
      </c>
      <c r="N1604" s="1508">
        <f t="shared" si="201"/>
        <v>0</v>
      </c>
      <c r="O1604" s="1481"/>
      <c r="P1604" s="1427"/>
    </row>
    <row r="1605" spans="1:16" ht="31" outlineLevel="1" x14ac:dyDescent="0.25">
      <c r="A1605" s="1484">
        <f t="shared" si="198"/>
        <v>47.3</v>
      </c>
      <c r="B1605" s="1485" t="str">
        <f t="shared" si="198"/>
        <v xml:space="preserve">Work of Modification/Modernization of conveyor cable of 10 A/B/C of CHPA of Unit 3&amp;4 of CSTPS Chandrapur. </v>
      </c>
      <c r="C1605" s="1488" t="str">
        <f t="shared" si="198"/>
        <v>MERC/CAPEX/MSPGCL/2023-24/0560</v>
      </c>
      <c r="D1605" s="1413">
        <f t="shared" si="198"/>
        <v>45230</v>
      </c>
      <c r="E1605" s="560">
        <f t="shared" si="198"/>
        <v>4.12</v>
      </c>
      <c r="F1605" s="1508">
        <f t="shared" si="192"/>
        <v>0</v>
      </c>
      <c r="G1605" s="1508">
        <f t="shared" si="193"/>
        <v>0</v>
      </c>
      <c r="H1605" s="1508">
        <f t="shared" si="200"/>
        <v>0</v>
      </c>
      <c r="I1605" s="1480">
        <v>4.12</v>
      </c>
      <c r="J1605" s="1480">
        <v>4.12</v>
      </c>
      <c r="K1605" s="1508"/>
      <c r="L1605" s="1508"/>
      <c r="M1605" s="1509">
        <f t="shared" si="199"/>
        <v>4.12</v>
      </c>
      <c r="N1605" s="1508">
        <f t="shared" si="201"/>
        <v>0</v>
      </c>
      <c r="O1605" s="1481"/>
      <c r="P1605" s="1427"/>
    </row>
    <row r="1606" spans="1:16" ht="46.5" outlineLevel="1" x14ac:dyDescent="0.25">
      <c r="A1606" s="1484">
        <f t="shared" ref="A1606:E1621" si="202">A936</f>
        <v>47.4</v>
      </c>
      <c r="B1606" s="1485" t="str">
        <f t="shared" si="202"/>
        <v xml:space="preserve">Design, Engineering, Supply, Erection and commissioning of bypass chute with hydraulic cylinder &amp; modification/renovation at JT-06 of CHPA of Unit 3&amp;4 of CSTPS Chandrapur. </v>
      </c>
      <c r="C1606" s="1488" t="str">
        <f t="shared" si="202"/>
        <v>MERC/CAPEX/MSPGCL/2023-24/0560</v>
      </c>
      <c r="D1606" s="1413">
        <f t="shared" si="202"/>
        <v>45230</v>
      </c>
      <c r="E1606" s="560">
        <f t="shared" si="202"/>
        <v>3.72</v>
      </c>
      <c r="F1606" s="1508">
        <f t="shared" ref="F1606:F1669" si="203">F936+I936</f>
        <v>0</v>
      </c>
      <c r="G1606" s="1508">
        <f t="shared" ref="G1606:G1669" si="204">G936+M936</f>
        <v>0</v>
      </c>
      <c r="H1606" s="1508">
        <f t="shared" si="200"/>
        <v>0</v>
      </c>
      <c r="I1606" s="1480">
        <v>3.72</v>
      </c>
      <c r="J1606" s="1480">
        <v>3.72</v>
      </c>
      <c r="K1606" s="1508"/>
      <c r="L1606" s="1508"/>
      <c r="M1606" s="1509">
        <f t="shared" si="199"/>
        <v>3.72</v>
      </c>
      <c r="N1606" s="1508">
        <f t="shared" si="201"/>
        <v>0</v>
      </c>
      <c r="O1606" s="1481"/>
      <c r="P1606" s="1427"/>
    </row>
    <row r="1607" spans="1:16" ht="46.5" outlineLevel="1" x14ac:dyDescent="0.25">
      <c r="A1607" s="1484">
        <f t="shared" si="202"/>
        <v>47.5</v>
      </c>
      <c r="B1607" s="1485" t="str">
        <f t="shared" si="202"/>
        <v xml:space="preserve">Design, Engineering, Supply, Erection and Installation of Wear Resistance Chutes for Belt Conveyor System at CHPA/B of Unit 3to9 of CSTPS Chandrapur. </v>
      </c>
      <c r="C1607" s="1488" t="str">
        <f t="shared" si="202"/>
        <v>MERC/CAPEX/MSPGCL/2023-24/0560</v>
      </c>
      <c r="D1607" s="1413">
        <f t="shared" si="202"/>
        <v>45230</v>
      </c>
      <c r="E1607" s="560">
        <f t="shared" si="202"/>
        <v>3.45</v>
      </c>
      <c r="F1607" s="1508">
        <f t="shared" si="203"/>
        <v>0</v>
      </c>
      <c r="G1607" s="1508">
        <f t="shared" si="204"/>
        <v>0</v>
      </c>
      <c r="H1607" s="1508">
        <f t="shared" si="200"/>
        <v>0</v>
      </c>
      <c r="I1607" s="1480">
        <v>3.45</v>
      </c>
      <c r="J1607" s="1480">
        <v>3.45</v>
      </c>
      <c r="K1607" s="1508"/>
      <c r="L1607" s="1508"/>
      <c r="M1607" s="1509">
        <f t="shared" si="199"/>
        <v>3.45</v>
      </c>
      <c r="N1607" s="1508">
        <f t="shared" si="201"/>
        <v>0</v>
      </c>
      <c r="O1607" s="1481"/>
      <c r="P1607" s="1427"/>
    </row>
    <row r="1608" spans="1:16" ht="46.5" outlineLevel="1" x14ac:dyDescent="0.25">
      <c r="A1608" s="1484">
        <f t="shared" si="202"/>
        <v>47.6</v>
      </c>
      <c r="B1608" s="1485" t="str">
        <f t="shared" si="202"/>
        <v xml:space="preserve">Work of Modification/Renovation/Upgradation of Ventilation System of Track Hopper of CHPB of Unit 5,6&amp;7 of CSTPS Chandrapur. </v>
      </c>
      <c r="C1608" s="1488" t="str">
        <f t="shared" si="202"/>
        <v>MERC/CAPEX/MSPGCL/2023-24/0560</v>
      </c>
      <c r="D1608" s="1413">
        <f t="shared" si="202"/>
        <v>45230</v>
      </c>
      <c r="E1608" s="560">
        <f t="shared" si="202"/>
        <v>4.5999999999999996</v>
      </c>
      <c r="F1608" s="1508">
        <f t="shared" si="203"/>
        <v>0</v>
      </c>
      <c r="G1608" s="1508">
        <f t="shared" si="204"/>
        <v>0</v>
      </c>
      <c r="H1608" s="1508">
        <f t="shared" si="200"/>
        <v>0</v>
      </c>
      <c r="I1608" s="1480">
        <v>4.5999999999999996</v>
      </c>
      <c r="J1608" s="1480">
        <v>4.5999999999999996</v>
      </c>
      <c r="K1608" s="1508"/>
      <c r="L1608" s="1508"/>
      <c r="M1608" s="1509">
        <f t="shared" si="199"/>
        <v>4.5999999999999996</v>
      </c>
      <c r="N1608" s="1508">
        <f t="shared" si="201"/>
        <v>0</v>
      </c>
      <c r="O1608" s="1481"/>
      <c r="P1608" s="1427"/>
    </row>
    <row r="1609" spans="1:16" ht="31" outlineLevel="1" x14ac:dyDescent="0.25">
      <c r="A1609" s="1484">
        <f t="shared" si="202"/>
        <v>47.7</v>
      </c>
      <c r="B1609" s="1485" t="str">
        <f t="shared" si="202"/>
        <v xml:space="preserve">Work of Renovation /Upgradation of Hydraulic System of Paddle Feeder at CHPB of Unit 5,6&amp;7 of CSTPS Chandrapur.  </v>
      </c>
      <c r="C1609" s="1488" t="str">
        <f t="shared" si="202"/>
        <v>MERC/CAPEX/MSPGCL/2023-24/0560</v>
      </c>
      <c r="D1609" s="1413">
        <f t="shared" si="202"/>
        <v>45230</v>
      </c>
      <c r="E1609" s="560">
        <f t="shared" si="202"/>
        <v>8.14</v>
      </c>
      <c r="F1609" s="1508">
        <f t="shared" si="203"/>
        <v>0</v>
      </c>
      <c r="G1609" s="1508">
        <f t="shared" si="204"/>
        <v>0</v>
      </c>
      <c r="H1609" s="1508">
        <f t="shared" si="200"/>
        <v>0</v>
      </c>
      <c r="I1609" s="1480">
        <v>8.14</v>
      </c>
      <c r="J1609" s="1480">
        <v>8.14</v>
      </c>
      <c r="K1609" s="1508"/>
      <c r="L1609" s="1508"/>
      <c r="M1609" s="1509">
        <f t="shared" si="199"/>
        <v>8.14</v>
      </c>
      <c r="N1609" s="1508">
        <f t="shared" si="201"/>
        <v>0</v>
      </c>
      <c r="O1609" s="1481"/>
      <c r="P1609" s="1427"/>
    </row>
    <row r="1610" spans="1:16" ht="46.5" outlineLevel="1" x14ac:dyDescent="0.25">
      <c r="A1610" s="1484">
        <f t="shared" si="202"/>
        <v>47.8</v>
      </c>
      <c r="B1610" s="1485" t="str">
        <f t="shared" si="202"/>
        <v xml:space="preserve">Design, Engineering, Manufacturing, Fabrication, Erection and commissioning of Modified Wobbler Feeder at CHPB of Unit 5,6&amp;7 of CSTPS Chandrapur. </v>
      </c>
      <c r="C1610" s="1488" t="str">
        <f t="shared" si="202"/>
        <v>MERC/CAPEX/MSPGCL/2023-24/0560</v>
      </c>
      <c r="D1610" s="1413">
        <f t="shared" si="202"/>
        <v>45230</v>
      </c>
      <c r="E1610" s="560">
        <f t="shared" si="202"/>
        <v>4.18</v>
      </c>
      <c r="F1610" s="1508">
        <f t="shared" si="203"/>
        <v>0</v>
      </c>
      <c r="G1610" s="1508">
        <f t="shared" si="204"/>
        <v>0</v>
      </c>
      <c r="H1610" s="1508">
        <f t="shared" si="200"/>
        <v>0</v>
      </c>
      <c r="I1610" s="1480">
        <v>4.18</v>
      </c>
      <c r="J1610" s="1480">
        <v>4.18</v>
      </c>
      <c r="K1610" s="1508"/>
      <c r="L1610" s="1508"/>
      <c r="M1610" s="1509">
        <f t="shared" si="199"/>
        <v>4.18</v>
      </c>
      <c r="N1610" s="1508">
        <f t="shared" si="201"/>
        <v>0</v>
      </c>
      <c r="O1610" s="1481"/>
      <c r="P1610" s="1427"/>
    </row>
    <row r="1611" spans="1:16" ht="31" outlineLevel="1" x14ac:dyDescent="0.25">
      <c r="A1611" s="1484">
        <f t="shared" si="202"/>
        <v>0</v>
      </c>
      <c r="B1611" s="1485" t="str">
        <f t="shared" si="202"/>
        <v>IDC</v>
      </c>
      <c r="C1611" s="1488" t="str">
        <f t="shared" si="202"/>
        <v>MERC/CAPEX/MSPGCL/2023-24/0560</v>
      </c>
      <c r="D1611" s="1413">
        <f t="shared" si="202"/>
        <v>45230</v>
      </c>
      <c r="E1611" s="560">
        <f t="shared" si="202"/>
        <v>0.97</v>
      </c>
      <c r="F1611" s="1508">
        <f t="shared" si="203"/>
        <v>0</v>
      </c>
      <c r="G1611" s="1508">
        <f t="shared" si="204"/>
        <v>0</v>
      </c>
      <c r="H1611" s="1508">
        <f t="shared" si="200"/>
        <v>0</v>
      </c>
      <c r="I1611" s="1480">
        <v>0</v>
      </c>
      <c r="J1611" s="1480">
        <v>0</v>
      </c>
      <c r="K1611" s="1508"/>
      <c r="L1611" s="1508"/>
      <c r="M1611" s="1509">
        <f t="shared" si="199"/>
        <v>0</v>
      </c>
      <c r="N1611" s="1508">
        <f t="shared" si="201"/>
        <v>0</v>
      </c>
      <c r="O1611" s="1481"/>
      <c r="P1611" s="1427"/>
    </row>
    <row r="1612" spans="1:16" ht="31" outlineLevel="1" x14ac:dyDescent="0.25">
      <c r="A1612" s="1489" t="str">
        <f t="shared" si="202"/>
        <v>HO
DPR 17</v>
      </c>
      <c r="B1612" s="1490" t="str">
        <f t="shared" si="202"/>
        <v>Construction of new Administrative Building for Mahagenco at Vidyut Bhawan, Katol Road, Nagpur</v>
      </c>
      <c r="C1612" s="1486" t="str">
        <f t="shared" si="202"/>
        <v>MERC/CAPEX/2021-2022/MSPGCL/063</v>
      </c>
      <c r="D1612" s="1487">
        <f t="shared" si="202"/>
        <v>44604</v>
      </c>
      <c r="E1612" s="560">
        <f t="shared" si="202"/>
        <v>57</v>
      </c>
      <c r="F1612" s="1508">
        <f t="shared" si="203"/>
        <v>0</v>
      </c>
      <c r="G1612" s="1508">
        <f t="shared" si="204"/>
        <v>0</v>
      </c>
      <c r="H1612" s="1508">
        <f t="shared" si="200"/>
        <v>0</v>
      </c>
      <c r="I1612" s="1480">
        <v>0</v>
      </c>
      <c r="J1612" s="1480">
        <v>0</v>
      </c>
      <c r="K1612" s="1508"/>
      <c r="L1612" s="1508"/>
      <c r="M1612" s="1509">
        <f t="shared" si="199"/>
        <v>0</v>
      </c>
      <c r="N1612" s="1508">
        <f t="shared" si="201"/>
        <v>0</v>
      </c>
      <c r="O1612" s="1481"/>
      <c r="P1612" s="1427"/>
    </row>
    <row r="1613" spans="1:16" ht="46.5" outlineLevel="1" x14ac:dyDescent="0.25">
      <c r="A1613" s="1484" t="str">
        <f t="shared" si="202"/>
        <v>HO
DPR 17.1</v>
      </c>
      <c r="B1613" s="1485" t="str">
        <f t="shared" si="202"/>
        <v>Construction of new Administrative Building for Mahagenco at Vidyut Bhawan, Katol Road, Nagpur</v>
      </c>
      <c r="C1613" s="1493" t="str">
        <f t="shared" si="202"/>
        <v>MERC/CAPEX/2021-2022/MSPGCL/063</v>
      </c>
      <c r="D1613" s="1494">
        <f t="shared" si="202"/>
        <v>44604</v>
      </c>
      <c r="E1613" s="560">
        <f t="shared" si="202"/>
        <v>54.24</v>
      </c>
      <c r="F1613" s="1508">
        <f t="shared" si="203"/>
        <v>0</v>
      </c>
      <c r="G1613" s="1508">
        <f t="shared" si="204"/>
        <v>0</v>
      </c>
      <c r="H1613" s="1508">
        <f t="shared" si="200"/>
        <v>0</v>
      </c>
      <c r="I1613" s="1480">
        <v>0</v>
      </c>
      <c r="J1613" s="1480">
        <v>0</v>
      </c>
      <c r="K1613" s="1508"/>
      <c r="L1613" s="1508"/>
      <c r="M1613" s="1509">
        <f t="shared" si="199"/>
        <v>0</v>
      </c>
      <c r="N1613" s="1508">
        <f t="shared" si="201"/>
        <v>0</v>
      </c>
      <c r="O1613" s="1481"/>
      <c r="P1613" s="1427"/>
    </row>
    <row r="1614" spans="1:16" ht="31" outlineLevel="1" x14ac:dyDescent="0.25">
      <c r="A1614" s="1496">
        <f t="shared" si="202"/>
        <v>0</v>
      </c>
      <c r="B1614" s="1485" t="str">
        <f t="shared" si="202"/>
        <v>IDC</v>
      </c>
      <c r="C1614" s="1493" t="str">
        <f t="shared" si="202"/>
        <v>MERC/CAPEX/2021-2022/MSPGCL/063</v>
      </c>
      <c r="D1614" s="1494">
        <f t="shared" si="202"/>
        <v>44604</v>
      </c>
      <c r="E1614" s="560">
        <f t="shared" si="202"/>
        <v>2.76</v>
      </c>
      <c r="F1614" s="1508">
        <f t="shared" si="203"/>
        <v>0</v>
      </c>
      <c r="G1614" s="1508">
        <f t="shared" si="204"/>
        <v>0</v>
      </c>
      <c r="H1614" s="1508">
        <f t="shared" si="200"/>
        <v>0</v>
      </c>
      <c r="I1614" s="1480">
        <v>0</v>
      </c>
      <c r="J1614" s="1480">
        <v>0</v>
      </c>
      <c r="K1614" s="1508"/>
      <c r="L1614" s="1508"/>
      <c r="M1614" s="1509">
        <f t="shared" si="199"/>
        <v>0</v>
      </c>
      <c r="N1614" s="1508">
        <f t="shared" si="201"/>
        <v>0</v>
      </c>
      <c r="O1614" s="1481"/>
      <c r="P1614" s="1427"/>
    </row>
    <row r="1615" spans="1:16" ht="31" outlineLevel="1" x14ac:dyDescent="0.25">
      <c r="A1615" s="1489" t="str">
        <f t="shared" si="202"/>
        <v>HO
DPR 18</v>
      </c>
      <c r="B1615" s="1490" t="str">
        <f t="shared" si="202"/>
        <v>Centralized Monitoring Solution</v>
      </c>
      <c r="C1615" s="1486" t="str">
        <f t="shared" si="202"/>
        <v>MERC/CAPEX/MSPGCL/2023-24/0576</v>
      </c>
      <c r="D1615" s="1487">
        <f t="shared" si="202"/>
        <v>45232</v>
      </c>
      <c r="E1615" s="560">
        <f t="shared" si="202"/>
        <v>69.308999999999997</v>
      </c>
      <c r="F1615" s="1508">
        <f t="shared" si="203"/>
        <v>0</v>
      </c>
      <c r="G1615" s="1508">
        <f t="shared" si="204"/>
        <v>0</v>
      </c>
      <c r="H1615" s="1508">
        <f t="shared" si="200"/>
        <v>0</v>
      </c>
      <c r="I1615" s="1480">
        <v>0</v>
      </c>
      <c r="J1615" s="1480">
        <v>0</v>
      </c>
      <c r="K1615" s="1508"/>
      <c r="L1615" s="1508"/>
      <c r="M1615" s="1509">
        <f t="shared" si="199"/>
        <v>0</v>
      </c>
      <c r="N1615" s="1508">
        <f t="shared" si="201"/>
        <v>0</v>
      </c>
      <c r="O1615" s="1481"/>
      <c r="P1615" s="1427"/>
    </row>
    <row r="1616" spans="1:16" ht="46.5" outlineLevel="1" x14ac:dyDescent="0.25">
      <c r="A1616" s="1484" t="str">
        <f t="shared" si="202"/>
        <v>HO
DPR 18.1</v>
      </c>
      <c r="B1616" s="1485" t="str">
        <f t="shared" si="202"/>
        <v>Centralized Monitoring Solution</v>
      </c>
      <c r="C1616" s="1493" t="str">
        <f t="shared" si="202"/>
        <v>MERC/CAPEX/MSPGCL/2023-24/0576</v>
      </c>
      <c r="D1616" s="1494">
        <f t="shared" si="202"/>
        <v>45232</v>
      </c>
      <c r="E1616" s="560">
        <f t="shared" si="202"/>
        <v>66.009</v>
      </c>
      <c r="F1616" s="1508">
        <f t="shared" si="203"/>
        <v>0</v>
      </c>
      <c r="G1616" s="1508">
        <f t="shared" si="204"/>
        <v>0</v>
      </c>
      <c r="H1616" s="1508">
        <f t="shared" si="200"/>
        <v>0</v>
      </c>
      <c r="I1616" s="1480">
        <v>0</v>
      </c>
      <c r="J1616" s="1480">
        <v>0</v>
      </c>
      <c r="K1616" s="1508"/>
      <c r="L1616" s="1508"/>
      <c r="M1616" s="1509">
        <f t="shared" si="199"/>
        <v>0</v>
      </c>
      <c r="N1616" s="1508">
        <f t="shared" si="201"/>
        <v>0</v>
      </c>
      <c r="O1616" s="1481"/>
      <c r="P1616" s="1427"/>
    </row>
    <row r="1617" spans="1:16" ht="31" outlineLevel="1" x14ac:dyDescent="0.25">
      <c r="A1617" s="1496">
        <f t="shared" si="202"/>
        <v>0</v>
      </c>
      <c r="B1617" s="1485" t="str">
        <f t="shared" si="202"/>
        <v>IDC</v>
      </c>
      <c r="C1617" s="1493" t="str">
        <f t="shared" si="202"/>
        <v>MERC/CAPEX/MSPGCL/2023-24/0576</v>
      </c>
      <c r="D1617" s="1494">
        <f t="shared" si="202"/>
        <v>45232</v>
      </c>
      <c r="E1617" s="560">
        <f t="shared" si="202"/>
        <v>3.3</v>
      </c>
      <c r="F1617" s="1508">
        <f t="shared" si="203"/>
        <v>0</v>
      </c>
      <c r="G1617" s="1508">
        <f t="shared" si="204"/>
        <v>0</v>
      </c>
      <c r="H1617" s="1508">
        <f t="shared" si="200"/>
        <v>0</v>
      </c>
      <c r="I1617" s="1480">
        <v>0</v>
      </c>
      <c r="J1617" s="1480">
        <v>0</v>
      </c>
      <c r="K1617" s="1508"/>
      <c r="L1617" s="1508"/>
      <c r="M1617" s="1509">
        <f t="shared" si="199"/>
        <v>0</v>
      </c>
      <c r="N1617" s="1508">
        <f t="shared" si="201"/>
        <v>0</v>
      </c>
      <c r="O1617" s="1481"/>
      <c r="P1617" s="1427"/>
    </row>
    <row r="1618" spans="1:16" ht="62" outlineLevel="1" x14ac:dyDescent="0.25">
      <c r="A1618" s="1486" t="str">
        <f t="shared" si="202"/>
        <v>Y2</v>
      </c>
      <c r="B1618" s="1491" t="str">
        <f t="shared" si="202"/>
        <v>Procurement &amp; replacement of 400 NB Cast Basalt Pipelines with the existing MSERW pipe of ash disposal system of Unit #5,6 &amp; 7 at CSTPS, Chandrapur” under capital expenditure during the FY 2023-24.</v>
      </c>
      <c r="C1618" s="1486" t="str">
        <f t="shared" si="202"/>
        <v>MERC/CAPEX/2024-2025/MSPGCL/0475 Dt 06.08.2024</v>
      </c>
      <c r="D1618" s="1487">
        <f t="shared" si="202"/>
        <v>45510</v>
      </c>
      <c r="E1618" s="560">
        <f t="shared" si="202"/>
        <v>81.350000000000009</v>
      </c>
      <c r="F1618" s="1508">
        <f t="shared" si="203"/>
        <v>0</v>
      </c>
      <c r="G1618" s="1508">
        <f t="shared" si="204"/>
        <v>0</v>
      </c>
      <c r="H1618" s="1508">
        <f t="shared" si="200"/>
        <v>0</v>
      </c>
      <c r="I1618" s="1480">
        <v>0</v>
      </c>
      <c r="J1618" s="1480">
        <v>0</v>
      </c>
      <c r="K1618" s="1508"/>
      <c r="L1618" s="1508"/>
      <c r="M1618" s="1509">
        <f t="shared" si="199"/>
        <v>0</v>
      </c>
      <c r="N1618" s="1508">
        <f t="shared" si="201"/>
        <v>0</v>
      </c>
      <c r="O1618" s="1481"/>
      <c r="P1618" s="1427"/>
    </row>
    <row r="1619" spans="1:16" ht="62" outlineLevel="1" x14ac:dyDescent="0.25">
      <c r="A1619" s="1488">
        <f t="shared" si="202"/>
        <v>2.1</v>
      </c>
      <c r="B1619" s="1492" t="str">
        <f t="shared" si="202"/>
        <v>Procurement &amp; replacement of 400 NB Cast Basalt Pipelines with the existing MSERW pipe of ash disposal system of Unit #5,6 &amp; 7 at CSTPS, Chandrapur” under capital expenditure during the FY 2023-24.</v>
      </c>
      <c r="C1619" s="1488" t="str">
        <f t="shared" si="202"/>
        <v>MERC/CAPEX/2024-2025/MSPGCL/0475 Dt 06.08.2024</v>
      </c>
      <c r="D1619" s="1413">
        <f t="shared" si="202"/>
        <v>45510</v>
      </c>
      <c r="E1619" s="560">
        <f t="shared" si="202"/>
        <v>80.150000000000006</v>
      </c>
      <c r="F1619" s="1508">
        <f t="shared" si="203"/>
        <v>0</v>
      </c>
      <c r="G1619" s="1508">
        <f t="shared" si="204"/>
        <v>0</v>
      </c>
      <c r="H1619" s="1508">
        <f t="shared" si="200"/>
        <v>0</v>
      </c>
      <c r="I1619" s="1480">
        <v>0</v>
      </c>
      <c r="J1619" s="1480">
        <v>0</v>
      </c>
      <c r="K1619" s="1508"/>
      <c r="L1619" s="1508"/>
      <c r="M1619" s="1509">
        <f t="shared" si="199"/>
        <v>0</v>
      </c>
      <c r="N1619" s="1508">
        <f t="shared" si="201"/>
        <v>0</v>
      </c>
      <c r="O1619" s="1481"/>
      <c r="P1619" s="1427"/>
    </row>
    <row r="1620" spans="1:16" ht="31" outlineLevel="1" x14ac:dyDescent="0.25">
      <c r="A1620" s="1488">
        <f t="shared" si="202"/>
        <v>0</v>
      </c>
      <c r="B1620" s="1492" t="str">
        <f t="shared" si="202"/>
        <v>IDC</v>
      </c>
      <c r="C1620" s="1488" t="str">
        <f t="shared" si="202"/>
        <v>MERC/CAPEX/2024-2025/MSPGCL/0475 Dt 06.08.2024</v>
      </c>
      <c r="D1620" s="1413">
        <f t="shared" si="202"/>
        <v>45510</v>
      </c>
      <c r="E1620" s="560">
        <f t="shared" si="202"/>
        <v>1.2</v>
      </c>
      <c r="F1620" s="1508">
        <f t="shared" si="203"/>
        <v>0</v>
      </c>
      <c r="G1620" s="1508">
        <f t="shared" si="204"/>
        <v>0</v>
      </c>
      <c r="H1620" s="1508">
        <f t="shared" si="200"/>
        <v>0</v>
      </c>
      <c r="I1620" s="1480">
        <v>0</v>
      </c>
      <c r="J1620" s="1480">
        <v>0</v>
      </c>
      <c r="K1620" s="1508"/>
      <c r="L1620" s="1508"/>
      <c r="M1620" s="1509">
        <f t="shared" si="199"/>
        <v>0</v>
      </c>
      <c r="N1620" s="1508">
        <f t="shared" si="201"/>
        <v>0</v>
      </c>
      <c r="O1620" s="1481"/>
      <c r="P1620" s="1427"/>
    </row>
    <row r="1621" spans="1:16" ht="77.5" outlineLevel="1" x14ac:dyDescent="0.25">
      <c r="A1621" s="1486" t="str">
        <f t="shared" si="202"/>
        <v>Y3</v>
      </c>
      <c r="B1621" s="1491" t="str">
        <f t="shared" si="202"/>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1621" s="1486" t="str">
        <f t="shared" si="202"/>
        <v>MERC/CAPEX/2024-25/MSPGCL/0473 Dt 06.08.2024</v>
      </c>
      <c r="D1621" s="1487">
        <f t="shared" si="202"/>
        <v>45510</v>
      </c>
      <c r="E1621" s="560">
        <f t="shared" si="202"/>
        <v>25.78</v>
      </c>
      <c r="F1621" s="1508">
        <f t="shared" si="203"/>
        <v>0</v>
      </c>
      <c r="G1621" s="1508">
        <f t="shared" si="204"/>
        <v>0</v>
      </c>
      <c r="H1621" s="1508">
        <f t="shared" si="200"/>
        <v>0</v>
      </c>
      <c r="I1621" s="1480">
        <v>0</v>
      </c>
      <c r="J1621" s="1480">
        <v>0</v>
      </c>
      <c r="K1621" s="1508"/>
      <c r="L1621" s="1508"/>
      <c r="M1621" s="1509">
        <f t="shared" si="199"/>
        <v>0</v>
      </c>
      <c r="N1621" s="1508">
        <f t="shared" si="201"/>
        <v>0</v>
      </c>
      <c r="O1621" s="1481"/>
      <c r="P1621" s="1427"/>
    </row>
    <row r="1622" spans="1:16" ht="31" outlineLevel="1" x14ac:dyDescent="0.25">
      <c r="A1622" s="1488">
        <f t="shared" ref="A1622:E1637" si="205">A952</f>
        <v>3.1</v>
      </c>
      <c r="B1622" s="1497" t="str">
        <f t="shared" si="205"/>
        <v>Scheme-1: Upgradation of 11KV Sub-stations of Urjanagar colony, CSTPS, Chandrapur.</v>
      </c>
      <c r="C1622" s="1488" t="str">
        <f t="shared" si="205"/>
        <v>MERC/CAPEX/2024-25/MSPGCL/0473 Dt 06.08.2024</v>
      </c>
      <c r="D1622" s="1413">
        <f t="shared" si="205"/>
        <v>45510</v>
      </c>
      <c r="E1622" s="1383">
        <f t="shared" si="205"/>
        <v>7.19</v>
      </c>
      <c r="F1622" s="1480">
        <f t="shared" si="203"/>
        <v>0</v>
      </c>
      <c r="G1622" s="1480">
        <f t="shared" si="204"/>
        <v>0</v>
      </c>
      <c r="H1622" s="1480">
        <f t="shared" si="200"/>
        <v>0</v>
      </c>
      <c r="I1622" s="1480">
        <v>0</v>
      </c>
      <c r="J1622" s="1480">
        <v>0</v>
      </c>
      <c r="K1622" s="1480"/>
      <c r="L1622" s="1480"/>
      <c r="M1622" s="1480">
        <f t="shared" ref="M1622:M1680" si="206">SUM(J1622:L1622)</f>
        <v>0</v>
      </c>
      <c r="N1622" s="1480">
        <f t="shared" si="201"/>
        <v>0</v>
      </c>
      <c r="O1622" s="1481">
        <f t="shared" ref="O1622:O1644" si="207">MAX(0,IF(M1622=0,0,IF(G1622+M1622&lt;E1622,M1622,E1622-G1622)))</f>
        <v>0</v>
      </c>
      <c r="P1622" s="1427">
        <f t="shared" ref="P1622:P1644" si="208">M1622-O1622</f>
        <v>0</v>
      </c>
    </row>
    <row r="1623" spans="1:16" ht="31" outlineLevel="1" x14ac:dyDescent="0.25">
      <c r="A1623" s="1488">
        <f t="shared" si="205"/>
        <v>3.1</v>
      </c>
      <c r="B1623" s="1497" t="str">
        <f t="shared" si="205"/>
        <v>Scheme-3: Replacement of old energy meters by electronics energy meters at Urjanagar colony, CSTPS, Chandrapur.</v>
      </c>
      <c r="C1623" s="1488" t="str">
        <f t="shared" si="205"/>
        <v>MERC/CAPEX/2024-25/MSPGCL/0473 Dt 06.08.2024</v>
      </c>
      <c r="D1623" s="1413">
        <f t="shared" si="205"/>
        <v>45510</v>
      </c>
      <c r="E1623" s="560">
        <f t="shared" si="205"/>
        <v>0.8</v>
      </c>
      <c r="F1623" s="1508">
        <f t="shared" si="203"/>
        <v>0</v>
      </c>
      <c r="G1623" s="1508">
        <f t="shared" si="204"/>
        <v>0</v>
      </c>
      <c r="H1623" s="1508">
        <f t="shared" si="200"/>
        <v>0</v>
      </c>
      <c r="I1623" s="1480">
        <v>0</v>
      </c>
      <c r="J1623" s="1480">
        <v>0</v>
      </c>
      <c r="K1623" s="1508"/>
      <c r="L1623" s="1508"/>
      <c r="M1623" s="1509">
        <f t="shared" si="206"/>
        <v>0</v>
      </c>
      <c r="N1623" s="1508">
        <f t="shared" si="201"/>
        <v>0</v>
      </c>
      <c r="O1623" s="1481">
        <f t="shared" si="207"/>
        <v>0</v>
      </c>
      <c r="P1623" s="1427">
        <f t="shared" si="208"/>
        <v>0</v>
      </c>
    </row>
    <row r="1624" spans="1:16" ht="31" outlineLevel="1" x14ac:dyDescent="0.25">
      <c r="A1624" s="1488">
        <f t="shared" si="205"/>
        <v>3.1</v>
      </c>
      <c r="B1624" s="1497" t="str">
        <f t="shared" si="205"/>
        <v>Scheme-5 : Provision of 11KV  supply to Urjanagar colony from station board of Stage-III, CSTPS Chandrapur.</v>
      </c>
      <c r="C1624" s="1488" t="str">
        <f t="shared" si="205"/>
        <v>MERC/CAPEX/2024-25/MSPGCL/0473 Dt 06.08.2024</v>
      </c>
      <c r="D1624" s="1413">
        <f t="shared" si="205"/>
        <v>45510</v>
      </c>
      <c r="E1624" s="560">
        <f t="shared" si="205"/>
        <v>2.97</v>
      </c>
      <c r="F1624" s="1508">
        <f t="shared" si="203"/>
        <v>2.9193972000000001</v>
      </c>
      <c r="G1624" s="1508">
        <f t="shared" si="204"/>
        <v>2.9193972000000001</v>
      </c>
      <c r="H1624" s="1508">
        <f t="shared" si="200"/>
        <v>0</v>
      </c>
      <c r="I1624" s="1480">
        <v>0</v>
      </c>
      <c r="J1624" s="1480">
        <v>0</v>
      </c>
      <c r="K1624" s="1508"/>
      <c r="L1624" s="1508"/>
      <c r="M1624" s="1509">
        <f t="shared" si="206"/>
        <v>0</v>
      </c>
      <c r="N1624" s="1508">
        <f t="shared" si="201"/>
        <v>0</v>
      </c>
      <c r="O1624" s="1481">
        <f t="shared" si="207"/>
        <v>0</v>
      </c>
      <c r="P1624" s="1427">
        <f t="shared" si="208"/>
        <v>0</v>
      </c>
    </row>
    <row r="1625" spans="1:16" ht="77.5" outlineLevel="1" x14ac:dyDescent="0.25">
      <c r="A1625" s="1488">
        <f t="shared" si="205"/>
        <v>3.1</v>
      </c>
      <c r="B1625" s="1497" t="str">
        <f t="shared" si="205"/>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1625" s="1488" t="str">
        <f t="shared" si="205"/>
        <v>MERC/CAPEX/2024-25/MSPGCL/0473 Dt 06.08.2024</v>
      </c>
      <c r="D1625" s="1413">
        <f t="shared" si="205"/>
        <v>45510</v>
      </c>
      <c r="E1625" s="560">
        <f t="shared" si="205"/>
        <v>10.48</v>
      </c>
      <c r="F1625" s="1508">
        <f t="shared" si="203"/>
        <v>0</v>
      </c>
      <c r="G1625" s="1508">
        <f t="shared" si="204"/>
        <v>0</v>
      </c>
      <c r="H1625" s="1508">
        <f t="shared" si="200"/>
        <v>0</v>
      </c>
      <c r="I1625" s="1480">
        <v>0</v>
      </c>
      <c r="J1625" s="1480">
        <v>0</v>
      </c>
      <c r="K1625" s="1508"/>
      <c r="L1625" s="1508"/>
      <c r="M1625" s="1509">
        <f t="shared" si="206"/>
        <v>0</v>
      </c>
      <c r="N1625" s="1508">
        <f t="shared" si="201"/>
        <v>0</v>
      </c>
      <c r="O1625" s="1481">
        <f t="shared" si="207"/>
        <v>0</v>
      </c>
      <c r="P1625" s="1427">
        <f t="shared" si="208"/>
        <v>0</v>
      </c>
    </row>
    <row r="1626" spans="1:16" ht="62" outlineLevel="1" x14ac:dyDescent="0.25">
      <c r="A1626" s="1488">
        <f t="shared" si="205"/>
        <v>3.1</v>
      </c>
      <c r="B1626" s="1497" t="str">
        <f t="shared" si="205"/>
        <v>Scheme-7: Design, supply, erection, installation, testing and commissioning of the boiler goods lifts in place of the existing old lifts installed at Unit#6&amp;7 500MW Stage-III CSTPS Chandrapur</v>
      </c>
      <c r="C1626" s="1488" t="str">
        <f t="shared" si="205"/>
        <v>MERC/CAPEX/2024-25/MSPGCL/0473 Dt 06.08.2024</v>
      </c>
      <c r="D1626" s="1413">
        <f t="shared" si="205"/>
        <v>45510</v>
      </c>
      <c r="E1626" s="560">
        <f t="shared" si="205"/>
        <v>3.66</v>
      </c>
      <c r="F1626" s="1508">
        <f t="shared" si="203"/>
        <v>0</v>
      </c>
      <c r="G1626" s="1508">
        <f t="shared" si="204"/>
        <v>0</v>
      </c>
      <c r="H1626" s="1508">
        <f t="shared" si="200"/>
        <v>0</v>
      </c>
      <c r="I1626" s="1480">
        <v>0</v>
      </c>
      <c r="J1626" s="1480">
        <v>0</v>
      </c>
      <c r="K1626" s="1508"/>
      <c r="L1626" s="1508"/>
      <c r="M1626" s="1509">
        <f t="shared" si="206"/>
        <v>0</v>
      </c>
      <c r="N1626" s="1508">
        <f t="shared" si="201"/>
        <v>0</v>
      </c>
      <c r="O1626" s="1481">
        <f t="shared" si="207"/>
        <v>0</v>
      </c>
      <c r="P1626" s="1427">
        <f t="shared" si="208"/>
        <v>0</v>
      </c>
    </row>
    <row r="1627" spans="1:16" ht="31" outlineLevel="1" x14ac:dyDescent="0.25">
      <c r="A1627" s="1488">
        <f t="shared" si="205"/>
        <v>0</v>
      </c>
      <c r="B1627" s="1497" t="str">
        <f t="shared" si="205"/>
        <v>IDC</v>
      </c>
      <c r="C1627" s="1488" t="str">
        <f t="shared" si="205"/>
        <v>MERC/CAPEX/2024-25/MSPGCL/0473 Dt 06.08.2024</v>
      </c>
      <c r="D1627" s="1413">
        <f t="shared" si="205"/>
        <v>45510</v>
      </c>
      <c r="E1627" s="560">
        <f t="shared" si="205"/>
        <v>0.68</v>
      </c>
      <c r="F1627" s="1508">
        <f t="shared" si="203"/>
        <v>0</v>
      </c>
      <c r="G1627" s="1508">
        <f t="shared" si="204"/>
        <v>0</v>
      </c>
      <c r="H1627" s="1508">
        <f t="shared" si="200"/>
        <v>0</v>
      </c>
      <c r="I1627" s="1480">
        <v>0</v>
      </c>
      <c r="J1627" s="1480">
        <v>0</v>
      </c>
      <c r="K1627" s="1508"/>
      <c r="L1627" s="1508"/>
      <c r="M1627" s="1509">
        <f t="shared" si="206"/>
        <v>0</v>
      </c>
      <c r="N1627" s="1508">
        <f t="shared" si="201"/>
        <v>0</v>
      </c>
      <c r="O1627" s="1481">
        <f t="shared" si="207"/>
        <v>0</v>
      </c>
      <c r="P1627" s="1427">
        <f t="shared" si="208"/>
        <v>0</v>
      </c>
    </row>
    <row r="1628" spans="1:16" ht="31" outlineLevel="1" x14ac:dyDescent="0.25">
      <c r="A1628" s="1486" t="str">
        <f t="shared" si="205"/>
        <v>Y4</v>
      </c>
      <c r="B1628" s="1491" t="str">
        <f t="shared" si="205"/>
        <v>Providing 1600 mm pipeline from Erdai Dam to CSTPS, Chandrapur</v>
      </c>
      <c r="C1628" s="1486" t="str">
        <f t="shared" si="205"/>
        <v>MERC/CAPEX/2024-2025/MSPGCL/0476 Dt 06.08.2024</v>
      </c>
      <c r="D1628" s="1487">
        <f t="shared" si="205"/>
        <v>45510</v>
      </c>
      <c r="E1628" s="1383">
        <f t="shared" si="205"/>
        <v>0</v>
      </c>
      <c r="F1628" s="1480">
        <f t="shared" si="203"/>
        <v>0</v>
      </c>
      <c r="G1628" s="1480">
        <f t="shared" si="204"/>
        <v>0</v>
      </c>
      <c r="H1628" s="1480">
        <f t="shared" si="200"/>
        <v>0</v>
      </c>
      <c r="I1628" s="1480">
        <v>0</v>
      </c>
      <c r="J1628" s="1480">
        <v>0</v>
      </c>
      <c r="K1628" s="1480"/>
      <c r="L1628" s="1480"/>
      <c r="M1628" s="1480">
        <f t="shared" si="206"/>
        <v>0</v>
      </c>
      <c r="N1628" s="1480">
        <f t="shared" si="201"/>
        <v>0</v>
      </c>
      <c r="O1628" s="1481">
        <f t="shared" si="207"/>
        <v>0</v>
      </c>
      <c r="P1628" s="1427">
        <f t="shared" si="208"/>
        <v>0</v>
      </c>
    </row>
    <row r="1629" spans="1:16" ht="31" outlineLevel="1" x14ac:dyDescent="0.25">
      <c r="A1629" s="1488">
        <f t="shared" si="205"/>
        <v>4.0999999999999996</v>
      </c>
      <c r="B1629" s="1492" t="str">
        <f t="shared" si="205"/>
        <v>Providing 1600 mm pipeline from Erdai Dam to CSTPS, Chandrapur</v>
      </c>
      <c r="C1629" s="1488" t="str">
        <f t="shared" si="205"/>
        <v>MERC/CAPEX/2024-2025/MSPGCL/0476 Dt 06.08.2024</v>
      </c>
      <c r="D1629" s="1413">
        <f t="shared" si="205"/>
        <v>45510</v>
      </c>
      <c r="E1629" s="560">
        <f t="shared" si="205"/>
        <v>0</v>
      </c>
      <c r="F1629" s="1508">
        <f t="shared" si="203"/>
        <v>0</v>
      </c>
      <c r="G1629" s="1508">
        <f t="shared" si="204"/>
        <v>0</v>
      </c>
      <c r="H1629" s="1508">
        <f t="shared" si="200"/>
        <v>0</v>
      </c>
      <c r="I1629" s="1480">
        <v>0</v>
      </c>
      <c r="J1629" s="1480">
        <v>0</v>
      </c>
      <c r="K1629" s="1508"/>
      <c r="L1629" s="1508"/>
      <c r="M1629" s="1509">
        <f t="shared" si="206"/>
        <v>0</v>
      </c>
      <c r="N1629" s="1508">
        <f t="shared" si="201"/>
        <v>0</v>
      </c>
      <c r="O1629" s="1481">
        <f t="shared" si="207"/>
        <v>0</v>
      </c>
      <c r="P1629" s="1427">
        <f t="shared" si="208"/>
        <v>0</v>
      </c>
    </row>
    <row r="1630" spans="1:16" ht="31" outlineLevel="1" x14ac:dyDescent="0.25">
      <c r="A1630" s="1488">
        <f t="shared" si="205"/>
        <v>0</v>
      </c>
      <c r="B1630" s="1492" t="str">
        <f t="shared" si="205"/>
        <v>IDC</v>
      </c>
      <c r="C1630" s="1488" t="str">
        <f t="shared" si="205"/>
        <v>MERC/CAPEX/2024-2025/MSPGCL/0476 Dt 06.08.2024</v>
      </c>
      <c r="D1630" s="1413">
        <f t="shared" si="205"/>
        <v>45510</v>
      </c>
      <c r="E1630" s="560">
        <f t="shared" si="205"/>
        <v>0</v>
      </c>
      <c r="F1630" s="1508">
        <f t="shared" si="203"/>
        <v>0</v>
      </c>
      <c r="G1630" s="1508">
        <f t="shared" si="204"/>
        <v>0</v>
      </c>
      <c r="H1630" s="1508">
        <f t="shared" si="200"/>
        <v>0</v>
      </c>
      <c r="I1630" s="1480">
        <v>0</v>
      </c>
      <c r="J1630" s="1480">
        <v>0</v>
      </c>
      <c r="K1630" s="1508"/>
      <c r="L1630" s="1508"/>
      <c r="M1630" s="1509">
        <f t="shared" si="206"/>
        <v>0</v>
      </c>
      <c r="N1630" s="1508">
        <f t="shared" si="201"/>
        <v>0</v>
      </c>
      <c r="O1630" s="1481">
        <f t="shared" si="207"/>
        <v>0</v>
      </c>
      <c r="P1630" s="1427">
        <f t="shared" si="208"/>
        <v>0</v>
      </c>
    </row>
    <row r="1631" spans="1:16" ht="31" outlineLevel="1" x14ac:dyDescent="0.25">
      <c r="A1631" s="1486" t="str">
        <f t="shared" si="205"/>
        <v>Y5</v>
      </c>
      <c r="B1631" s="1491" t="str">
        <f t="shared" si="205"/>
        <v>Performance Improvement &amp; Life Extension Schemes for CHP of Unit 5 to 7 of CSTPS, Chandrapur. -Part-2</v>
      </c>
      <c r="C1631" s="1486" t="str">
        <f t="shared" si="205"/>
        <v>MERC/CAPEX/MSPGCL/2023-2024/0466 Dt 02.08.2024</v>
      </c>
      <c r="D1631" s="1487">
        <f t="shared" si="205"/>
        <v>45506</v>
      </c>
      <c r="E1631" s="560">
        <f t="shared" si="205"/>
        <v>0</v>
      </c>
      <c r="F1631" s="1508">
        <f t="shared" si="203"/>
        <v>0</v>
      </c>
      <c r="G1631" s="1508">
        <f t="shared" si="204"/>
        <v>0</v>
      </c>
      <c r="H1631" s="1508">
        <f t="shared" si="200"/>
        <v>0</v>
      </c>
      <c r="I1631" s="1480">
        <v>0</v>
      </c>
      <c r="J1631" s="1480">
        <v>0</v>
      </c>
      <c r="K1631" s="1508"/>
      <c r="L1631" s="1508"/>
      <c r="M1631" s="1509">
        <f t="shared" si="206"/>
        <v>0</v>
      </c>
      <c r="N1631" s="1508">
        <f t="shared" si="201"/>
        <v>0</v>
      </c>
      <c r="O1631" s="1481">
        <f t="shared" si="207"/>
        <v>0</v>
      </c>
      <c r="P1631" s="1427">
        <f t="shared" si="208"/>
        <v>0</v>
      </c>
    </row>
    <row r="1632" spans="1:16" ht="31" outlineLevel="1" x14ac:dyDescent="0.25">
      <c r="A1632" s="1488">
        <f t="shared" si="205"/>
        <v>5.0999999999999996</v>
      </c>
      <c r="B1632" s="1492" t="str">
        <f t="shared" si="205"/>
        <v>Scheme-1: Upgradation/Renovation of Deck Module of Under Ground Conveyor stream of CHPB of Unit-5,6&amp;7 Chandrapur.</v>
      </c>
      <c r="C1632" s="1488" t="str">
        <f t="shared" si="205"/>
        <v>MERC/CAPEX/MSPGCL/2023-2024/0466 Dt 02.08.2024</v>
      </c>
      <c r="D1632" s="1413">
        <f t="shared" si="205"/>
        <v>45506</v>
      </c>
      <c r="E1632" s="1383">
        <f t="shared" si="205"/>
        <v>0</v>
      </c>
      <c r="F1632" s="1480">
        <f t="shared" si="203"/>
        <v>0</v>
      </c>
      <c r="G1632" s="1480">
        <f t="shared" si="204"/>
        <v>0</v>
      </c>
      <c r="H1632" s="1480">
        <f t="shared" si="200"/>
        <v>0</v>
      </c>
      <c r="I1632" s="1480">
        <v>0</v>
      </c>
      <c r="J1632" s="1480">
        <v>0</v>
      </c>
      <c r="K1632" s="1480"/>
      <c r="L1632" s="1480"/>
      <c r="M1632" s="1480">
        <f t="shared" si="206"/>
        <v>0</v>
      </c>
      <c r="N1632" s="1480">
        <f t="shared" si="201"/>
        <v>0</v>
      </c>
      <c r="O1632" s="1481">
        <f t="shared" si="207"/>
        <v>0</v>
      </c>
      <c r="P1632" s="1427">
        <f t="shared" si="208"/>
        <v>0</v>
      </c>
    </row>
    <row r="1633" spans="1:16" ht="31" outlineLevel="1" x14ac:dyDescent="0.25">
      <c r="A1633" s="1488">
        <f t="shared" si="205"/>
        <v>5.2</v>
      </c>
      <c r="B1633" s="1492" t="str">
        <f t="shared" si="205"/>
        <v>Scheme-2: Renovation &amp; Upgradation of Transfer Point of CHPB of Unit 5 to 7 of CSTPS Chandrapur.</v>
      </c>
      <c r="C1633" s="1488" t="str">
        <f t="shared" si="205"/>
        <v>MERC/CAPEX/MSPGCL/2023-2024/0466 Dt 02.08.2024</v>
      </c>
      <c r="D1633" s="1413">
        <f t="shared" si="205"/>
        <v>45506</v>
      </c>
      <c r="E1633" s="560">
        <f t="shared" si="205"/>
        <v>0</v>
      </c>
      <c r="F1633" s="1508">
        <f t="shared" si="203"/>
        <v>0</v>
      </c>
      <c r="G1633" s="1508">
        <f t="shared" si="204"/>
        <v>0</v>
      </c>
      <c r="H1633" s="1508">
        <f t="shared" si="200"/>
        <v>0</v>
      </c>
      <c r="I1633" s="1480">
        <v>0</v>
      </c>
      <c r="J1633" s="1480">
        <v>0</v>
      </c>
      <c r="K1633" s="1508"/>
      <c r="L1633" s="1508"/>
      <c r="M1633" s="1509">
        <f t="shared" si="206"/>
        <v>0</v>
      </c>
      <c r="N1633" s="1508">
        <f t="shared" si="201"/>
        <v>0</v>
      </c>
      <c r="O1633" s="1481">
        <f t="shared" si="207"/>
        <v>0</v>
      </c>
      <c r="P1633" s="1427">
        <f t="shared" si="208"/>
        <v>0</v>
      </c>
    </row>
    <row r="1634" spans="1:16" ht="31" outlineLevel="1" x14ac:dyDescent="0.25">
      <c r="A1634" s="1488">
        <f t="shared" si="205"/>
        <v>5.3</v>
      </c>
      <c r="B1634" s="1492" t="str">
        <f t="shared" si="205"/>
        <v>Scheme-3: Renovation &amp; Upgradation of Walkway Platform of CHPB of Unit 5 to 7 of CSTPS Chandrapur.</v>
      </c>
      <c r="C1634" s="1488" t="str">
        <f t="shared" si="205"/>
        <v>MERC/CAPEX/MSPGCL/2023-2024/0466 Dt 02.08.2024</v>
      </c>
      <c r="D1634" s="1413">
        <f t="shared" si="205"/>
        <v>45506</v>
      </c>
      <c r="E1634" s="560">
        <f t="shared" si="205"/>
        <v>0</v>
      </c>
      <c r="F1634" s="1508">
        <f t="shared" si="203"/>
        <v>0</v>
      </c>
      <c r="G1634" s="1508">
        <f t="shared" si="204"/>
        <v>0</v>
      </c>
      <c r="H1634" s="1508">
        <f t="shared" si="200"/>
        <v>0</v>
      </c>
      <c r="I1634" s="1480">
        <v>0</v>
      </c>
      <c r="J1634" s="1480">
        <v>0</v>
      </c>
      <c r="K1634" s="1508"/>
      <c r="L1634" s="1508"/>
      <c r="M1634" s="1509">
        <f t="shared" si="206"/>
        <v>0</v>
      </c>
      <c r="N1634" s="1508">
        <f t="shared" si="201"/>
        <v>0</v>
      </c>
      <c r="O1634" s="1481">
        <f t="shared" si="207"/>
        <v>0</v>
      </c>
      <c r="P1634" s="1427">
        <f t="shared" si="208"/>
        <v>0</v>
      </c>
    </row>
    <row r="1635" spans="1:16" ht="31" outlineLevel="1" x14ac:dyDescent="0.25">
      <c r="A1635" s="1488">
        <f t="shared" si="205"/>
        <v>5.4</v>
      </c>
      <c r="B1635" s="1492" t="str">
        <f t="shared" si="205"/>
        <v>Scheme-4: Work of Renovation &amp; Modernization of Bunker Shuttle Conveyor of CHPB of Unit 5, 6 &amp; 7 in CSTPS Chandrapur.</v>
      </c>
      <c r="C1635" s="1488" t="str">
        <f t="shared" si="205"/>
        <v>MERC/CAPEX/MSPGCL/2023-2024/0466 Dt 02.08.2024</v>
      </c>
      <c r="D1635" s="1413">
        <f t="shared" si="205"/>
        <v>45506</v>
      </c>
      <c r="E1635" s="560">
        <f t="shared" si="205"/>
        <v>0</v>
      </c>
      <c r="F1635" s="1508">
        <f t="shared" si="203"/>
        <v>0</v>
      </c>
      <c r="G1635" s="1508">
        <f t="shared" si="204"/>
        <v>0</v>
      </c>
      <c r="H1635" s="1508">
        <f t="shared" si="200"/>
        <v>0</v>
      </c>
      <c r="I1635" s="1480">
        <v>0</v>
      </c>
      <c r="J1635" s="1480">
        <v>0</v>
      </c>
      <c r="K1635" s="1508"/>
      <c r="L1635" s="1508"/>
      <c r="M1635" s="1509">
        <f t="shared" si="206"/>
        <v>0</v>
      </c>
      <c r="N1635" s="1508">
        <f t="shared" si="201"/>
        <v>0</v>
      </c>
      <c r="O1635" s="1481">
        <f t="shared" si="207"/>
        <v>0</v>
      </c>
      <c r="P1635" s="1427">
        <f t="shared" si="208"/>
        <v>0</v>
      </c>
    </row>
    <row r="1636" spans="1:16" ht="46.5" outlineLevel="1" x14ac:dyDescent="0.25">
      <c r="A1636" s="1488">
        <f t="shared" si="205"/>
        <v>5.5</v>
      </c>
      <c r="B1636" s="1492" t="str">
        <f t="shared" si="205"/>
        <v>Scheme-5: Renovation &amp; Modernization of Wagon Tippler Concrete Hopper of Coal Handling Plant-B of Unit 5,6&amp;7 at CSTPS Chandrapur.</v>
      </c>
      <c r="C1636" s="1488" t="str">
        <f t="shared" si="205"/>
        <v>MERC/CAPEX/MSPGCL/2023-2024/0466 Dt 02.08.2024</v>
      </c>
      <c r="D1636" s="1413">
        <f t="shared" si="205"/>
        <v>45506</v>
      </c>
      <c r="E1636" s="560">
        <f t="shared" si="205"/>
        <v>0</v>
      </c>
      <c r="F1636" s="1508">
        <f t="shared" si="203"/>
        <v>0</v>
      </c>
      <c r="G1636" s="1508">
        <f t="shared" si="204"/>
        <v>0</v>
      </c>
      <c r="H1636" s="1508">
        <f t="shared" si="200"/>
        <v>0</v>
      </c>
      <c r="I1636" s="1480">
        <v>0</v>
      </c>
      <c r="J1636" s="1480">
        <v>0</v>
      </c>
      <c r="K1636" s="1508"/>
      <c r="L1636" s="1508"/>
      <c r="M1636" s="1509">
        <f t="shared" si="206"/>
        <v>0</v>
      </c>
      <c r="N1636" s="1508">
        <f t="shared" si="201"/>
        <v>0</v>
      </c>
      <c r="O1636" s="1481">
        <f t="shared" si="207"/>
        <v>0</v>
      </c>
      <c r="P1636" s="1427">
        <f t="shared" si="208"/>
        <v>0</v>
      </c>
    </row>
    <row r="1637" spans="1:16" ht="46.5" outlineLevel="1" x14ac:dyDescent="0.25">
      <c r="A1637" s="1488">
        <f t="shared" si="205"/>
        <v>5.6</v>
      </c>
      <c r="B1637" s="1492" t="str">
        <f t="shared" si="205"/>
        <v>Scheme-6: Renovation &amp; Modernization of Wagon Tippler Concrete Hopper of Coal Handling Plant-D of Unit 8&amp;9 at CSTPS Chandrapur.</v>
      </c>
      <c r="C1637" s="1488" t="str">
        <f t="shared" si="205"/>
        <v>MERC/CAPEX/MSPGCL/2023-2024/0466 Dt 02.08.2024</v>
      </c>
      <c r="D1637" s="1413">
        <f t="shared" si="205"/>
        <v>45506</v>
      </c>
      <c r="E1637" s="1383">
        <f t="shared" si="205"/>
        <v>0</v>
      </c>
      <c r="F1637" s="1480">
        <f t="shared" si="203"/>
        <v>0</v>
      </c>
      <c r="G1637" s="1480">
        <f t="shared" si="204"/>
        <v>0</v>
      </c>
      <c r="H1637" s="1480">
        <f t="shared" si="200"/>
        <v>0</v>
      </c>
      <c r="I1637" s="1480">
        <v>0</v>
      </c>
      <c r="J1637" s="1480">
        <v>0</v>
      </c>
      <c r="K1637" s="1480"/>
      <c r="L1637" s="1480"/>
      <c r="M1637" s="1480">
        <f t="shared" si="206"/>
        <v>0</v>
      </c>
      <c r="N1637" s="1480">
        <f t="shared" si="201"/>
        <v>0</v>
      </c>
      <c r="O1637" s="1481">
        <f t="shared" si="207"/>
        <v>0</v>
      </c>
      <c r="P1637" s="1427">
        <f t="shared" si="208"/>
        <v>0</v>
      </c>
    </row>
    <row r="1638" spans="1:16" ht="46.5" outlineLevel="1" x14ac:dyDescent="0.25">
      <c r="A1638" s="1488">
        <f t="shared" ref="A1638:E1653" si="209">A968</f>
        <v>5.7</v>
      </c>
      <c r="B1638" s="1492" t="str">
        <f t="shared" si="209"/>
        <v xml:space="preserve">Scheme-7: Design, supply, installation &amp; commissioning of LED based energy efficient illumination system at CHP-A, B &amp; C, C.S.T.P.S., Chandrapur.  </v>
      </c>
      <c r="C1638" s="1488" t="str">
        <f t="shared" si="209"/>
        <v>MERC/CAPEX/MSPGCL/2023-2024/0466 Dt 02.08.2024</v>
      </c>
      <c r="D1638" s="1413">
        <f t="shared" si="209"/>
        <v>45506</v>
      </c>
      <c r="E1638" s="560">
        <f t="shared" si="209"/>
        <v>0</v>
      </c>
      <c r="F1638" s="1508">
        <f t="shared" si="203"/>
        <v>0</v>
      </c>
      <c r="G1638" s="1508">
        <f t="shared" si="204"/>
        <v>0</v>
      </c>
      <c r="H1638" s="1508">
        <f t="shared" si="200"/>
        <v>0</v>
      </c>
      <c r="I1638" s="1480">
        <v>0</v>
      </c>
      <c r="J1638" s="1480">
        <v>0</v>
      </c>
      <c r="K1638" s="1508"/>
      <c r="L1638" s="1508"/>
      <c r="M1638" s="1509">
        <f t="shared" si="206"/>
        <v>0</v>
      </c>
      <c r="N1638" s="1508">
        <f t="shared" si="201"/>
        <v>0</v>
      </c>
      <c r="O1638" s="1481">
        <f t="shared" si="207"/>
        <v>0</v>
      </c>
      <c r="P1638" s="1427">
        <f t="shared" si="208"/>
        <v>0</v>
      </c>
    </row>
    <row r="1639" spans="1:16" ht="31" outlineLevel="1" x14ac:dyDescent="0.25">
      <c r="A1639" s="1488">
        <f t="shared" si="209"/>
        <v>0</v>
      </c>
      <c r="B1639" s="1492" t="str">
        <f t="shared" si="209"/>
        <v>IDC</v>
      </c>
      <c r="C1639" s="1488" t="str">
        <f t="shared" si="209"/>
        <v>MERC/CAPEX/MSPGCL/2023-2024/0466 Dt 02.08.2024</v>
      </c>
      <c r="D1639" s="1413">
        <f t="shared" si="209"/>
        <v>45506</v>
      </c>
      <c r="E1639" s="1383">
        <f t="shared" si="209"/>
        <v>0</v>
      </c>
      <c r="F1639" s="1480">
        <f t="shared" si="203"/>
        <v>0</v>
      </c>
      <c r="G1639" s="1480">
        <f t="shared" si="204"/>
        <v>0</v>
      </c>
      <c r="H1639" s="1480">
        <f t="shared" si="200"/>
        <v>0</v>
      </c>
      <c r="I1639" s="1480">
        <v>0</v>
      </c>
      <c r="J1639" s="1480">
        <v>0</v>
      </c>
      <c r="K1639" s="1480"/>
      <c r="L1639" s="1480"/>
      <c r="M1639" s="1480">
        <f t="shared" si="206"/>
        <v>0</v>
      </c>
      <c r="N1639" s="1480">
        <f t="shared" si="201"/>
        <v>0</v>
      </c>
      <c r="O1639" s="1481">
        <f t="shared" si="207"/>
        <v>0</v>
      </c>
      <c r="P1639" s="1427">
        <f t="shared" si="208"/>
        <v>0</v>
      </c>
    </row>
    <row r="1640" spans="1:16" ht="62" outlineLevel="1" x14ac:dyDescent="0.25">
      <c r="A1640" s="1486">
        <f t="shared" si="209"/>
        <v>63</v>
      </c>
      <c r="B1640" s="1491" t="str">
        <f t="shared" si="209"/>
        <v>Procurement of Equipment’s for Stack yard management at Coal Handling Plant &amp; Upgradation of existing ash disposal pump system by installing higher efficiency pump system in Ash Handling Plant of Unit- 5 &amp; 6 at CSTPS, Chandrapur.</v>
      </c>
      <c r="C1640" s="1486" t="str">
        <f t="shared" si="209"/>
        <v>MERC/CAPEX/MSPGCL/2023-24/496 Dt 08.08.2024</v>
      </c>
      <c r="D1640" s="1413">
        <f t="shared" si="209"/>
        <v>45512</v>
      </c>
      <c r="E1640" s="560">
        <f t="shared" si="209"/>
        <v>38.4</v>
      </c>
      <c r="F1640" s="1508">
        <f t="shared" si="203"/>
        <v>0</v>
      </c>
      <c r="G1640" s="1508">
        <f t="shared" si="204"/>
        <v>0</v>
      </c>
      <c r="H1640" s="1508">
        <f t="shared" si="200"/>
        <v>0</v>
      </c>
      <c r="I1640" s="1480">
        <v>0</v>
      </c>
      <c r="J1640" s="1480">
        <v>0</v>
      </c>
      <c r="K1640" s="1508"/>
      <c r="L1640" s="1508"/>
      <c r="M1640" s="1509">
        <f t="shared" si="206"/>
        <v>0</v>
      </c>
      <c r="N1640" s="1508">
        <f t="shared" si="201"/>
        <v>0</v>
      </c>
      <c r="O1640" s="1481">
        <f t="shared" si="207"/>
        <v>0</v>
      </c>
      <c r="P1640" s="1427">
        <f t="shared" si="208"/>
        <v>0</v>
      </c>
    </row>
    <row r="1641" spans="1:16" ht="31" outlineLevel="1" x14ac:dyDescent="0.25">
      <c r="A1641" s="1488">
        <f t="shared" si="209"/>
        <v>6.1</v>
      </c>
      <c r="B1641" s="1492" t="str">
        <f t="shared" si="209"/>
        <v>Scheme-1: Procurement of 04 Nos Bulldozers.</v>
      </c>
      <c r="C1641" s="1488" t="str">
        <f t="shared" si="209"/>
        <v>MERC/CAPEX/MSPGCL/2023-24/496 Dt 08.08.2024</v>
      </c>
      <c r="D1641" s="1413">
        <f t="shared" si="209"/>
        <v>45512</v>
      </c>
      <c r="E1641" s="560">
        <f t="shared" si="209"/>
        <v>9.58</v>
      </c>
      <c r="F1641" s="1508">
        <f t="shared" si="203"/>
        <v>0</v>
      </c>
      <c r="G1641" s="1508">
        <f t="shared" si="204"/>
        <v>0</v>
      </c>
      <c r="H1641" s="1508">
        <f t="shared" si="200"/>
        <v>0</v>
      </c>
      <c r="I1641" s="1480">
        <v>0</v>
      </c>
      <c r="J1641" s="1480">
        <v>0</v>
      </c>
      <c r="K1641" s="1508"/>
      <c r="L1641" s="1508"/>
      <c r="M1641" s="1509">
        <f t="shared" si="206"/>
        <v>0</v>
      </c>
      <c r="N1641" s="1508">
        <f t="shared" si="201"/>
        <v>0</v>
      </c>
      <c r="O1641" s="1481">
        <f t="shared" si="207"/>
        <v>0</v>
      </c>
      <c r="P1641" s="1427">
        <f t="shared" si="208"/>
        <v>0</v>
      </c>
    </row>
    <row r="1642" spans="1:16" ht="31" outlineLevel="1" x14ac:dyDescent="0.25">
      <c r="A1642" s="1488">
        <f t="shared" si="209"/>
        <v>6.2</v>
      </c>
      <c r="B1642" s="1492" t="str">
        <f t="shared" si="209"/>
        <v>Scheme-2:  Procurement of 01 No Wheel Dozer</v>
      </c>
      <c r="C1642" s="1488" t="str">
        <f t="shared" si="209"/>
        <v>MERC/CAPEX/MSPGCL/2023-24/496 Dt 08.08.2024</v>
      </c>
      <c r="D1642" s="1413">
        <f t="shared" si="209"/>
        <v>45512</v>
      </c>
      <c r="E1642" s="1383">
        <f t="shared" si="209"/>
        <v>2.95</v>
      </c>
      <c r="F1642" s="1480">
        <f t="shared" si="203"/>
        <v>0</v>
      </c>
      <c r="G1642" s="1480">
        <f t="shared" si="204"/>
        <v>0</v>
      </c>
      <c r="H1642" s="1480">
        <f t="shared" si="200"/>
        <v>0</v>
      </c>
      <c r="I1642" s="1480">
        <v>0</v>
      </c>
      <c r="J1642" s="1480">
        <v>0</v>
      </c>
      <c r="K1642" s="1480"/>
      <c r="L1642" s="1480"/>
      <c r="M1642" s="1480">
        <f t="shared" si="206"/>
        <v>0</v>
      </c>
      <c r="N1642" s="1480">
        <f t="shared" si="201"/>
        <v>0</v>
      </c>
      <c r="O1642" s="1481">
        <f t="shared" si="207"/>
        <v>0</v>
      </c>
      <c r="P1642" s="1427">
        <f t="shared" si="208"/>
        <v>0</v>
      </c>
    </row>
    <row r="1643" spans="1:16" ht="31" outlineLevel="1" x14ac:dyDescent="0.25">
      <c r="A1643" s="1488">
        <f t="shared" si="209"/>
        <v>6.3</v>
      </c>
      <c r="B1643" s="1492" t="str">
        <f t="shared" si="209"/>
        <v>Scheme-3: Procurement 02 Nos. 800 HP Diesel Hydraulic Locomotives.</v>
      </c>
      <c r="C1643" s="1488" t="str">
        <f t="shared" si="209"/>
        <v>MERC/CAPEX/MSPGCL/2023-24/496 Dt 08.08.2024</v>
      </c>
      <c r="D1643" s="1413">
        <f t="shared" si="209"/>
        <v>45512</v>
      </c>
      <c r="E1643" s="560">
        <f t="shared" si="209"/>
        <v>7.95</v>
      </c>
      <c r="F1643" s="1508">
        <f t="shared" si="203"/>
        <v>0</v>
      </c>
      <c r="G1643" s="1508">
        <f t="shared" si="204"/>
        <v>0</v>
      </c>
      <c r="H1643" s="1508">
        <f t="shared" si="200"/>
        <v>0</v>
      </c>
      <c r="I1643" s="1480">
        <v>0</v>
      </c>
      <c r="J1643" s="1480">
        <v>0</v>
      </c>
      <c r="K1643" s="1508"/>
      <c r="L1643" s="1508"/>
      <c r="M1643" s="1509">
        <f t="shared" si="206"/>
        <v>0</v>
      </c>
      <c r="N1643" s="1508">
        <f t="shared" si="201"/>
        <v>0</v>
      </c>
      <c r="O1643" s="1481">
        <f t="shared" si="207"/>
        <v>0</v>
      </c>
      <c r="P1643" s="1427">
        <f t="shared" si="208"/>
        <v>0</v>
      </c>
    </row>
    <row r="1644" spans="1:16" ht="31" outlineLevel="1" x14ac:dyDescent="0.25">
      <c r="A1644" s="1488">
        <f t="shared" si="209"/>
        <v>6.4</v>
      </c>
      <c r="B1644" s="1492" t="str">
        <f t="shared" si="209"/>
        <v>Scheme-4: Upgradation of existing ash disposal pump assembly by higher efficiency pump assembly in ash handling plant.</v>
      </c>
      <c r="C1644" s="1488" t="str">
        <f t="shared" si="209"/>
        <v>MERC/CAPEX/MSPGCL/2023-24/496 Dt 08.08.2024</v>
      </c>
      <c r="D1644" s="1413">
        <f t="shared" si="209"/>
        <v>45512</v>
      </c>
      <c r="E1644" s="560">
        <f t="shared" si="209"/>
        <v>17.46</v>
      </c>
      <c r="F1644" s="1508">
        <f t="shared" si="203"/>
        <v>0</v>
      </c>
      <c r="G1644" s="1508">
        <f t="shared" si="204"/>
        <v>0</v>
      </c>
      <c r="H1644" s="1508">
        <f t="shared" si="200"/>
        <v>0</v>
      </c>
      <c r="I1644" s="1480">
        <v>17.46</v>
      </c>
      <c r="J1644" s="1480">
        <v>17.46</v>
      </c>
      <c r="K1644" s="1508"/>
      <c r="L1644" s="1508"/>
      <c r="M1644" s="1509">
        <f t="shared" si="206"/>
        <v>17.46</v>
      </c>
      <c r="N1644" s="1508">
        <f t="shared" si="201"/>
        <v>0</v>
      </c>
      <c r="O1644" s="1481">
        <f t="shared" si="207"/>
        <v>17.46</v>
      </c>
      <c r="P1644" s="1427">
        <f t="shared" si="208"/>
        <v>0</v>
      </c>
    </row>
    <row r="1645" spans="1:16" ht="31" outlineLevel="1" x14ac:dyDescent="0.25">
      <c r="A1645" s="1488">
        <f t="shared" si="209"/>
        <v>0</v>
      </c>
      <c r="B1645" s="1492" t="str">
        <f t="shared" si="209"/>
        <v>IDC</v>
      </c>
      <c r="C1645" s="1488" t="str">
        <f t="shared" si="209"/>
        <v>MERC/CAPEX/MSPGCL/2023-24/496 Dt 08.08.2024</v>
      </c>
      <c r="D1645" s="1413">
        <f t="shared" si="209"/>
        <v>45512</v>
      </c>
      <c r="E1645" s="560">
        <f t="shared" si="209"/>
        <v>0.46</v>
      </c>
      <c r="F1645" s="1508">
        <f t="shared" si="203"/>
        <v>0</v>
      </c>
      <c r="G1645" s="1508">
        <f t="shared" si="204"/>
        <v>0</v>
      </c>
      <c r="H1645" s="1508">
        <f t="shared" si="200"/>
        <v>0</v>
      </c>
      <c r="I1645" s="1480">
        <v>0</v>
      </c>
      <c r="J1645" s="1480">
        <v>0</v>
      </c>
      <c r="K1645" s="1508"/>
      <c r="L1645" s="1508"/>
      <c r="M1645" s="1509">
        <f t="shared" si="206"/>
        <v>0</v>
      </c>
      <c r="N1645" s="1508">
        <f t="shared" si="201"/>
        <v>0</v>
      </c>
    </row>
    <row r="1646" spans="1:16" ht="46.5" outlineLevel="1" x14ac:dyDescent="0.25">
      <c r="A1646" s="1486">
        <f t="shared" si="209"/>
        <v>64</v>
      </c>
      <c r="B1646" s="1491" t="str">
        <f t="shared" si="209"/>
        <v>Stacker Reclaimer, Impact Crusher and Conveyor Drive reliability &amp; availability improvement scheme for CHP of Unit 5,6&amp;7 CSTPS Chandrapur.- Elecon</v>
      </c>
      <c r="C1646" s="1488" t="str">
        <f t="shared" si="209"/>
        <v>MERC approved MERC/CAPEX/MSPGCL/2023-24/566  Dt 09.09.2024</v>
      </c>
      <c r="D1646" s="1413">
        <f t="shared" si="209"/>
        <v>45544</v>
      </c>
      <c r="E1646" s="1383">
        <f t="shared" si="209"/>
        <v>32.549999999999997</v>
      </c>
      <c r="F1646" s="1480">
        <f t="shared" si="203"/>
        <v>0</v>
      </c>
      <c r="G1646" s="1480">
        <f t="shared" si="204"/>
        <v>0</v>
      </c>
      <c r="H1646" s="1480">
        <f t="shared" si="200"/>
        <v>0</v>
      </c>
      <c r="I1646" s="1480">
        <v>0</v>
      </c>
      <c r="J1646" s="1480">
        <v>0</v>
      </c>
      <c r="K1646" s="1480"/>
      <c r="L1646" s="1480"/>
      <c r="M1646" s="1480">
        <f t="shared" si="206"/>
        <v>0</v>
      </c>
      <c r="N1646" s="1480">
        <f t="shared" si="201"/>
        <v>0</v>
      </c>
    </row>
    <row r="1647" spans="1:16" ht="46.5" outlineLevel="1" x14ac:dyDescent="0.25">
      <c r="A1647" s="1488">
        <f t="shared" si="209"/>
        <v>0</v>
      </c>
      <c r="B1647" s="1497" t="str">
        <f t="shared" si="209"/>
        <v xml:space="preserve">Scheme-1: Reliability &amp; availability improvement for Stacker Reclaimer by supply &amp; commissioning of essential equipment at CHPB of Unit 5,6&amp;7 CSTPS  Chandrapur. </v>
      </c>
      <c r="C1647" s="1488" t="str">
        <f t="shared" si="209"/>
        <v>MERC approved MERC/CAPEX/MSPGCL/2023-24/566  Dt 09.09.2024</v>
      </c>
      <c r="D1647" s="1413">
        <f t="shared" si="209"/>
        <v>45544</v>
      </c>
      <c r="E1647" s="560">
        <f t="shared" si="209"/>
        <v>17.61</v>
      </c>
      <c r="F1647" s="1508">
        <f t="shared" si="203"/>
        <v>0</v>
      </c>
      <c r="G1647" s="1508">
        <f t="shared" si="204"/>
        <v>0</v>
      </c>
      <c r="H1647" s="1508">
        <f t="shared" si="200"/>
        <v>0</v>
      </c>
      <c r="I1647" s="1480">
        <v>0</v>
      </c>
      <c r="J1647" s="1480">
        <v>0</v>
      </c>
      <c r="K1647" s="1508"/>
      <c r="L1647" s="1508"/>
      <c r="M1647" s="1509">
        <f t="shared" si="206"/>
        <v>0</v>
      </c>
      <c r="N1647" s="1508">
        <f t="shared" si="201"/>
        <v>0</v>
      </c>
    </row>
    <row r="1648" spans="1:16" ht="46.5" outlineLevel="1" x14ac:dyDescent="0.25">
      <c r="A1648" s="1488">
        <f t="shared" si="209"/>
        <v>0</v>
      </c>
      <c r="B1648" s="1497" t="str">
        <f t="shared" si="209"/>
        <v xml:space="preserve">Scheme-2: Reliability &amp; availability improvement for Conveyor Drive by supply &amp; commissioning of essential equipment at CHPB of Unit 5,6&amp;7 CSTPS </v>
      </c>
      <c r="C1648" s="1488" t="str">
        <f t="shared" si="209"/>
        <v>MERC approved MERC/CAPEX/MSPGCL/2023-24/566  Dt 09.09.2024</v>
      </c>
      <c r="D1648" s="1413">
        <f t="shared" si="209"/>
        <v>45544</v>
      </c>
      <c r="E1648" s="560">
        <f t="shared" si="209"/>
        <v>14.65</v>
      </c>
      <c r="F1648" s="1508">
        <f t="shared" si="203"/>
        <v>0</v>
      </c>
      <c r="G1648" s="1508">
        <f t="shared" si="204"/>
        <v>0</v>
      </c>
      <c r="H1648" s="1508">
        <f t="shared" si="200"/>
        <v>0</v>
      </c>
      <c r="I1648" s="1480">
        <v>0</v>
      </c>
      <c r="J1648" s="1480">
        <v>0</v>
      </c>
      <c r="K1648" s="1508"/>
      <c r="L1648" s="1508"/>
      <c r="M1648" s="1509">
        <f t="shared" si="206"/>
        <v>0</v>
      </c>
      <c r="N1648" s="1508">
        <f t="shared" si="201"/>
        <v>0</v>
      </c>
    </row>
    <row r="1649" spans="1:14" ht="46.5" outlineLevel="1" x14ac:dyDescent="0.25">
      <c r="A1649" s="1488">
        <f t="shared" si="209"/>
        <v>0</v>
      </c>
      <c r="B1649" s="1497" t="str">
        <f t="shared" si="209"/>
        <v>IDC</v>
      </c>
      <c r="C1649" s="1488" t="str">
        <f t="shared" si="209"/>
        <v>MERC approved MERC/CAPEX/MSPGCL/2023-24/566  Dt 09.09.2024</v>
      </c>
      <c r="D1649" s="1413">
        <f t="shared" si="209"/>
        <v>45544</v>
      </c>
      <c r="E1649" s="560">
        <f t="shared" si="209"/>
        <v>0.28999999999999998</v>
      </c>
      <c r="F1649" s="1508">
        <f t="shared" si="203"/>
        <v>0</v>
      </c>
      <c r="G1649" s="1508">
        <f t="shared" si="204"/>
        <v>0</v>
      </c>
      <c r="H1649" s="1508">
        <f t="shared" si="200"/>
        <v>0</v>
      </c>
      <c r="I1649" s="1480">
        <v>0</v>
      </c>
      <c r="J1649" s="1480">
        <v>0</v>
      </c>
      <c r="K1649" s="1508"/>
      <c r="L1649" s="1508"/>
      <c r="M1649" s="1509">
        <f t="shared" si="206"/>
        <v>0</v>
      </c>
      <c r="N1649" s="1508">
        <f t="shared" si="201"/>
        <v>0</v>
      </c>
    </row>
    <row r="1650" spans="1:14" ht="15.5" outlineLevel="1" x14ac:dyDescent="0.25">
      <c r="A1650" s="1498">
        <f t="shared" si="209"/>
        <v>0</v>
      </c>
      <c r="B1650" s="1492">
        <f t="shared" si="209"/>
        <v>0</v>
      </c>
      <c r="C1650" s="1498">
        <f t="shared" si="209"/>
        <v>0</v>
      </c>
      <c r="D1650" s="1499" t="str">
        <f t="shared" si="209"/>
        <v>-</v>
      </c>
      <c r="E1650" s="560">
        <f t="shared" si="209"/>
        <v>0</v>
      </c>
      <c r="F1650" s="1508">
        <f t="shared" si="203"/>
        <v>0</v>
      </c>
      <c r="G1650" s="1508">
        <f t="shared" si="204"/>
        <v>0</v>
      </c>
      <c r="H1650" s="1508">
        <f t="shared" si="200"/>
        <v>0</v>
      </c>
      <c r="I1650" s="1480">
        <v>0</v>
      </c>
      <c r="J1650" s="1480">
        <v>0</v>
      </c>
      <c r="K1650" s="1508"/>
      <c r="L1650" s="1508"/>
      <c r="M1650" s="1509">
        <f t="shared" si="206"/>
        <v>0</v>
      </c>
      <c r="N1650" s="1508">
        <f t="shared" si="201"/>
        <v>0</v>
      </c>
    </row>
    <row r="1651" spans="1:14" ht="15.5" outlineLevel="1" x14ac:dyDescent="0.25">
      <c r="A1651" s="1498">
        <f t="shared" si="209"/>
        <v>0</v>
      </c>
      <c r="B1651" s="1492">
        <f t="shared" si="209"/>
        <v>0</v>
      </c>
      <c r="C1651" s="1498">
        <f t="shared" si="209"/>
        <v>0</v>
      </c>
      <c r="D1651" s="1499" t="str">
        <f t="shared" si="209"/>
        <v>-</v>
      </c>
      <c r="E1651" s="560">
        <f t="shared" si="209"/>
        <v>0</v>
      </c>
      <c r="F1651" s="1508">
        <f t="shared" si="203"/>
        <v>0</v>
      </c>
      <c r="G1651" s="1508">
        <f t="shared" si="204"/>
        <v>0</v>
      </c>
      <c r="H1651" s="1508">
        <f t="shared" si="200"/>
        <v>0</v>
      </c>
      <c r="I1651" s="1480">
        <v>0</v>
      </c>
      <c r="J1651" s="1480">
        <v>0</v>
      </c>
      <c r="K1651" s="1508"/>
      <c r="L1651" s="1508"/>
      <c r="M1651" s="1509">
        <f t="shared" si="206"/>
        <v>0</v>
      </c>
      <c r="N1651" s="1508">
        <f t="shared" si="201"/>
        <v>0</v>
      </c>
    </row>
    <row r="1652" spans="1:14" ht="15.5" outlineLevel="1" x14ac:dyDescent="0.25">
      <c r="A1652" s="1500">
        <f t="shared" si="209"/>
        <v>0</v>
      </c>
      <c r="B1652" s="1483">
        <f t="shared" si="209"/>
        <v>0</v>
      </c>
      <c r="C1652" s="1500">
        <f t="shared" si="209"/>
        <v>0</v>
      </c>
      <c r="D1652" s="1501" t="str">
        <f t="shared" si="209"/>
        <v>-</v>
      </c>
      <c r="E1652" s="560">
        <f t="shared" si="209"/>
        <v>0</v>
      </c>
      <c r="F1652" s="1508">
        <f t="shared" si="203"/>
        <v>0</v>
      </c>
      <c r="G1652" s="1508">
        <f t="shared" si="204"/>
        <v>0</v>
      </c>
      <c r="H1652" s="1508">
        <f t="shared" si="200"/>
        <v>0</v>
      </c>
      <c r="I1652" s="1480">
        <v>0</v>
      </c>
      <c r="J1652" s="1480">
        <v>0</v>
      </c>
      <c r="K1652" s="1508"/>
      <c r="L1652" s="1508"/>
      <c r="M1652" s="1509">
        <f t="shared" si="206"/>
        <v>0</v>
      </c>
      <c r="N1652" s="1508">
        <f t="shared" si="201"/>
        <v>0</v>
      </c>
    </row>
    <row r="1653" spans="1:14" ht="15.5" outlineLevel="1" x14ac:dyDescent="0.25">
      <c r="A1653" s="131">
        <f t="shared" si="209"/>
        <v>0</v>
      </c>
      <c r="B1653" s="1476" t="str">
        <f t="shared" si="209"/>
        <v>(ii) Submitted to MERC, Yet To Receive Approval</v>
      </c>
      <c r="C1653" s="166">
        <f t="shared" si="209"/>
        <v>0</v>
      </c>
      <c r="D1653" s="1413" t="str">
        <f t="shared" si="209"/>
        <v>-</v>
      </c>
      <c r="E1653" s="1383">
        <f t="shared" si="209"/>
        <v>0</v>
      </c>
      <c r="F1653" s="1480">
        <f t="shared" si="203"/>
        <v>0</v>
      </c>
      <c r="G1653" s="1480">
        <f t="shared" si="204"/>
        <v>0</v>
      </c>
      <c r="H1653" s="1480">
        <f t="shared" si="200"/>
        <v>0</v>
      </c>
      <c r="I1653" s="1480">
        <v>0</v>
      </c>
      <c r="J1653" s="1480">
        <v>0</v>
      </c>
      <c r="K1653" s="1480"/>
      <c r="L1653" s="1480"/>
      <c r="M1653" s="1480">
        <f t="shared" si="206"/>
        <v>0</v>
      </c>
      <c r="N1653" s="1480">
        <f t="shared" si="201"/>
        <v>0</v>
      </c>
    </row>
    <row r="1654" spans="1:14" ht="93" outlineLevel="1" x14ac:dyDescent="0.25">
      <c r="A1654" s="1486" t="str">
        <f t="shared" ref="A1654:E1669" si="210">A984</f>
        <v>Y8, Y9</v>
      </c>
      <c r="B1654" s="1491" t="str">
        <f t="shared" si="210"/>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1654" s="1486" t="str">
        <f t="shared" si="210"/>
        <v>Yet To Receive Approval</v>
      </c>
      <c r="D1654" s="1487" t="str">
        <f t="shared" si="210"/>
        <v>-</v>
      </c>
      <c r="E1654" s="560">
        <f t="shared" si="210"/>
        <v>0</v>
      </c>
      <c r="F1654" s="1508">
        <f t="shared" si="203"/>
        <v>0</v>
      </c>
      <c r="G1654" s="1508">
        <f t="shared" si="204"/>
        <v>0</v>
      </c>
      <c r="H1654" s="1508">
        <f t="shared" si="200"/>
        <v>0</v>
      </c>
      <c r="I1654" s="1480">
        <v>0</v>
      </c>
      <c r="J1654" s="1480">
        <v>0</v>
      </c>
      <c r="K1654" s="1508"/>
      <c r="L1654" s="1508"/>
      <c r="M1654" s="1509">
        <f t="shared" si="206"/>
        <v>0</v>
      </c>
      <c r="N1654" s="1508">
        <f t="shared" si="201"/>
        <v>0</v>
      </c>
    </row>
    <row r="1655" spans="1:14" ht="15.5" outlineLevel="1" x14ac:dyDescent="0.25">
      <c r="A1655" s="1488">
        <f t="shared" si="210"/>
        <v>0</v>
      </c>
      <c r="B1655" s="1497" t="str">
        <f t="shared" si="210"/>
        <v>Procurement of BOXN-HL Wagons for C.S.T.P.S., Chandrapur.</v>
      </c>
      <c r="C1655" s="1488" t="str">
        <f t="shared" si="210"/>
        <v>Yet To Receive Approval</v>
      </c>
      <c r="D1655" s="1413" t="str">
        <f t="shared" si="210"/>
        <v>-</v>
      </c>
      <c r="E1655" s="560">
        <f t="shared" si="210"/>
        <v>0</v>
      </c>
      <c r="F1655" s="1508">
        <f t="shared" si="203"/>
        <v>0</v>
      </c>
      <c r="G1655" s="1508">
        <f t="shared" si="204"/>
        <v>0</v>
      </c>
      <c r="H1655" s="1508">
        <f t="shared" si="200"/>
        <v>0</v>
      </c>
      <c r="I1655" s="1480">
        <v>0</v>
      </c>
      <c r="J1655" s="1480">
        <v>0</v>
      </c>
      <c r="K1655" s="1508"/>
      <c r="L1655" s="1508"/>
      <c r="M1655" s="1509">
        <f t="shared" si="206"/>
        <v>0</v>
      </c>
      <c r="N1655" s="1508">
        <f t="shared" si="201"/>
        <v>0</v>
      </c>
    </row>
    <row r="1656" spans="1:14" ht="31" outlineLevel="1" x14ac:dyDescent="0.25">
      <c r="A1656" s="1488">
        <f t="shared" si="210"/>
        <v>0</v>
      </c>
      <c r="B1656" s="1497" t="str">
        <f t="shared" si="210"/>
        <v>Combined Fire and Rescue vehicle with Hydraulic Platform (Multipurpose Fire Tender)</v>
      </c>
      <c r="C1656" s="1488" t="str">
        <f t="shared" si="210"/>
        <v>Yet To Receive Approval</v>
      </c>
      <c r="D1656" s="1413" t="str">
        <f t="shared" si="210"/>
        <v>-</v>
      </c>
      <c r="E1656" s="1383">
        <f t="shared" si="210"/>
        <v>0</v>
      </c>
      <c r="F1656" s="1480">
        <f t="shared" si="203"/>
        <v>0</v>
      </c>
      <c r="G1656" s="1480">
        <f t="shared" si="204"/>
        <v>0</v>
      </c>
      <c r="H1656" s="1480">
        <f t="shared" si="200"/>
        <v>0</v>
      </c>
      <c r="I1656" s="1480">
        <v>0</v>
      </c>
      <c r="J1656" s="1480">
        <v>0</v>
      </c>
      <c r="K1656" s="1480"/>
      <c r="L1656" s="1480"/>
      <c r="M1656" s="1480">
        <f t="shared" si="206"/>
        <v>0</v>
      </c>
      <c r="N1656" s="1480">
        <f t="shared" si="201"/>
        <v>0</v>
      </c>
    </row>
    <row r="1657" spans="1:14" ht="15.5" outlineLevel="1" x14ac:dyDescent="0.25">
      <c r="A1657" s="1488">
        <f t="shared" si="210"/>
        <v>0</v>
      </c>
      <c r="B1657" s="1497" t="str">
        <f t="shared" si="210"/>
        <v>Quick Response Vehicle (Multipurpose Fire Tender)</v>
      </c>
      <c r="C1657" s="1488" t="str">
        <f t="shared" si="210"/>
        <v>Yet To Receive Approval</v>
      </c>
      <c r="D1657" s="1413" t="str">
        <f t="shared" si="210"/>
        <v>-</v>
      </c>
      <c r="E1657" s="560">
        <f t="shared" si="210"/>
        <v>0</v>
      </c>
      <c r="F1657" s="1508">
        <f t="shared" si="203"/>
        <v>0</v>
      </c>
      <c r="G1657" s="1508">
        <f t="shared" si="204"/>
        <v>0</v>
      </c>
      <c r="H1657" s="1508">
        <f t="shared" si="200"/>
        <v>0</v>
      </c>
      <c r="I1657" s="1480">
        <v>0</v>
      </c>
      <c r="J1657" s="1480">
        <v>0</v>
      </c>
      <c r="K1657" s="1508"/>
      <c r="L1657" s="1508"/>
      <c r="M1657" s="1509">
        <f t="shared" si="206"/>
        <v>0</v>
      </c>
      <c r="N1657" s="1508">
        <f t="shared" si="201"/>
        <v>0</v>
      </c>
    </row>
    <row r="1658" spans="1:14" ht="31" outlineLevel="1" x14ac:dyDescent="0.25">
      <c r="A1658" s="1488">
        <f t="shared" si="210"/>
        <v>0</v>
      </c>
      <c r="B1658" s="1497" t="str">
        <f t="shared" si="210"/>
        <v xml:space="preserve">High capacity Machine for debris transporting by Mechanized way (Vehicle) along with jetting machine </v>
      </c>
      <c r="C1658" s="1488" t="str">
        <f t="shared" si="210"/>
        <v>Yet To Receive Approval</v>
      </c>
      <c r="D1658" s="1413" t="str">
        <f t="shared" si="210"/>
        <v>-</v>
      </c>
      <c r="E1658" s="560">
        <f t="shared" si="210"/>
        <v>0</v>
      </c>
      <c r="F1658" s="1508">
        <f t="shared" si="203"/>
        <v>0</v>
      </c>
      <c r="G1658" s="1508">
        <f t="shared" si="204"/>
        <v>0</v>
      </c>
      <c r="H1658" s="1508">
        <f t="shared" si="200"/>
        <v>0</v>
      </c>
      <c r="I1658" s="1480">
        <v>0</v>
      </c>
      <c r="J1658" s="1480">
        <v>0</v>
      </c>
      <c r="K1658" s="1508"/>
      <c r="L1658" s="1508"/>
      <c r="M1658" s="1509">
        <f t="shared" si="206"/>
        <v>0</v>
      </c>
      <c r="N1658" s="1508">
        <f t="shared" si="201"/>
        <v>0</v>
      </c>
    </row>
    <row r="1659" spans="1:14" ht="15.5" outlineLevel="1" x14ac:dyDescent="0.25">
      <c r="A1659" s="1488">
        <f t="shared" si="210"/>
        <v>0</v>
      </c>
      <c r="B1659" s="1497" t="str">
        <f t="shared" si="210"/>
        <v>IDC</v>
      </c>
      <c r="C1659" s="1488" t="str">
        <f t="shared" si="210"/>
        <v>Yet To Receive Approval</v>
      </c>
      <c r="D1659" s="1413" t="str">
        <f t="shared" si="210"/>
        <v>-</v>
      </c>
      <c r="E1659" s="1383">
        <f t="shared" si="210"/>
        <v>0</v>
      </c>
      <c r="F1659" s="1480">
        <f t="shared" si="203"/>
        <v>0</v>
      </c>
      <c r="G1659" s="1480">
        <f t="shared" si="204"/>
        <v>0</v>
      </c>
      <c r="H1659" s="1480">
        <f t="shared" si="200"/>
        <v>0</v>
      </c>
      <c r="I1659" s="1480">
        <v>0</v>
      </c>
      <c r="J1659" s="1480">
        <v>0</v>
      </c>
      <c r="K1659" s="1480"/>
      <c r="L1659" s="1480"/>
      <c r="M1659" s="1480">
        <f t="shared" si="206"/>
        <v>0</v>
      </c>
      <c r="N1659" s="1480">
        <f t="shared" si="201"/>
        <v>0</v>
      </c>
    </row>
    <row r="1660" spans="1:14" ht="62" outlineLevel="1" x14ac:dyDescent="0.25">
      <c r="A1660" s="1486" t="str">
        <f t="shared" si="210"/>
        <v>Y10</v>
      </c>
      <c r="B1660" s="1491" t="str">
        <f t="shared" si="210"/>
        <v>Retrofitting of existing SF6 HT Circuit Breakers installed at Unit # 7 &amp; EM-II (Outdoor plant) of 3X500MW CSTPS Chandrapur by latest technology HT Contactor/ Vacuum Circuit breakers along with Supply, Installation &amp; Commissioning</v>
      </c>
      <c r="C1660" s="1486" t="str">
        <f t="shared" si="210"/>
        <v>Yet To Receive Approval</v>
      </c>
      <c r="D1660" s="1413" t="str">
        <f t="shared" si="210"/>
        <v>-</v>
      </c>
      <c r="E1660" s="1383">
        <f t="shared" si="210"/>
        <v>0</v>
      </c>
      <c r="F1660" s="1480">
        <f t="shared" si="203"/>
        <v>0</v>
      </c>
      <c r="G1660" s="1480">
        <f t="shared" si="204"/>
        <v>0</v>
      </c>
      <c r="H1660" s="1480">
        <f t="shared" si="200"/>
        <v>0</v>
      </c>
      <c r="I1660" s="1480">
        <v>0</v>
      </c>
      <c r="J1660" s="1480">
        <v>0</v>
      </c>
      <c r="K1660" s="1480"/>
      <c r="L1660" s="1480"/>
      <c r="M1660" s="1480">
        <f t="shared" si="206"/>
        <v>0</v>
      </c>
      <c r="N1660" s="1480">
        <f t="shared" si="201"/>
        <v>0</v>
      </c>
    </row>
    <row r="1661" spans="1:14" ht="46.5" outlineLevel="1" x14ac:dyDescent="0.25">
      <c r="A1661" s="1488">
        <f t="shared" si="210"/>
        <v>0</v>
      </c>
      <c r="B1661" s="1497" t="str">
        <f t="shared" si="210"/>
        <v>Retrofitting of existing ABB make SF6 Circuit Breakers installed at AHP Unit#7 by latest technology SF6 HT Contactor/ Vacuum Circuit Breaker</v>
      </c>
      <c r="C1661" s="1488" t="str">
        <f t="shared" si="210"/>
        <v>Yet To Receive Approval</v>
      </c>
      <c r="D1661" s="1413" t="str">
        <f t="shared" si="210"/>
        <v>-</v>
      </c>
      <c r="E1661" s="1383">
        <f t="shared" si="210"/>
        <v>0</v>
      </c>
      <c r="F1661" s="1480">
        <f t="shared" si="203"/>
        <v>0</v>
      </c>
      <c r="G1661" s="1480">
        <f t="shared" si="204"/>
        <v>0</v>
      </c>
      <c r="H1661" s="1480">
        <f t="shared" si="200"/>
        <v>0</v>
      </c>
      <c r="I1661" s="1480">
        <v>0</v>
      </c>
      <c r="J1661" s="1480">
        <v>0</v>
      </c>
      <c r="K1661" s="1480"/>
      <c r="L1661" s="1480"/>
      <c r="M1661" s="1480">
        <f t="shared" si="206"/>
        <v>0</v>
      </c>
      <c r="N1661" s="1480">
        <f t="shared" si="201"/>
        <v>0</v>
      </c>
    </row>
    <row r="1662" spans="1:14" ht="62" outlineLevel="1" x14ac:dyDescent="0.25">
      <c r="A1662" s="1488">
        <f t="shared" si="210"/>
        <v>0</v>
      </c>
      <c r="B1662" s="1497" t="str">
        <f t="shared" si="210"/>
        <v>Retrofitting of existing ABB/Voltas make SF6 Circuit Breakers installed at CCW Board of Unit#5,6&amp;7 ODP-II, WTP- II Board of ODP-II, Raw water RWS Board of ODP-II by latest technology Vacuum Circuit Breaker:</v>
      </c>
      <c r="C1662" s="1488" t="str">
        <f t="shared" si="210"/>
        <v>Yet To Receive Approval</v>
      </c>
      <c r="D1662" s="1413" t="str">
        <f t="shared" si="210"/>
        <v>-</v>
      </c>
      <c r="E1662" s="560">
        <f t="shared" si="210"/>
        <v>0</v>
      </c>
      <c r="F1662" s="1508">
        <f t="shared" si="203"/>
        <v>0</v>
      </c>
      <c r="G1662" s="1508">
        <f t="shared" si="204"/>
        <v>0</v>
      </c>
      <c r="H1662" s="1508">
        <f t="shared" si="200"/>
        <v>0</v>
      </c>
      <c r="I1662" s="1480">
        <v>0</v>
      </c>
      <c r="J1662" s="1480">
        <v>0</v>
      </c>
      <c r="K1662" s="1508"/>
      <c r="L1662" s="1508"/>
      <c r="M1662" s="1509">
        <f t="shared" si="206"/>
        <v>0</v>
      </c>
      <c r="N1662" s="1508">
        <f t="shared" si="201"/>
        <v>0</v>
      </c>
    </row>
    <row r="1663" spans="1:14" ht="15.5" outlineLevel="1" x14ac:dyDescent="0.25">
      <c r="A1663" s="1488">
        <f t="shared" si="210"/>
        <v>0</v>
      </c>
      <c r="B1663" s="1497" t="str">
        <f t="shared" si="210"/>
        <v>IDC</v>
      </c>
      <c r="C1663" s="1488" t="str">
        <f t="shared" si="210"/>
        <v>Yet To Receive Approval</v>
      </c>
      <c r="D1663" s="1413" t="str">
        <f t="shared" si="210"/>
        <v>-</v>
      </c>
      <c r="E1663" s="560">
        <f t="shared" si="210"/>
        <v>0</v>
      </c>
      <c r="F1663" s="1508">
        <f t="shared" si="203"/>
        <v>0</v>
      </c>
      <c r="G1663" s="1508">
        <f t="shared" si="204"/>
        <v>0</v>
      </c>
      <c r="H1663" s="1508">
        <f t="shared" si="200"/>
        <v>0</v>
      </c>
      <c r="I1663" s="1480">
        <v>0</v>
      </c>
      <c r="J1663" s="1480">
        <v>0</v>
      </c>
      <c r="K1663" s="1508"/>
      <c r="L1663" s="1508"/>
      <c r="M1663" s="1509">
        <f t="shared" si="206"/>
        <v>0</v>
      </c>
      <c r="N1663" s="1508">
        <f t="shared" si="201"/>
        <v>0</v>
      </c>
    </row>
    <row r="1664" spans="1:14" ht="62" outlineLevel="1" x14ac:dyDescent="0.25">
      <c r="A1664" s="1486" t="str">
        <f t="shared" si="210"/>
        <v>Y11</v>
      </c>
      <c r="B1664" s="1491" t="str">
        <f t="shared" si="210"/>
        <v>Design, Engineering, Manufacturing, Supply, Erection, Commissioning and testing of Wagon Locking System for wagon Tippler &amp; Portable Reclaim Feeder for CHP of Unit 5 to 9 of CSTPS, Chandrapur</v>
      </c>
      <c r="C1664" s="1486" t="str">
        <f t="shared" si="210"/>
        <v>Yet To Receive Approval</v>
      </c>
      <c r="D1664" s="1413" t="str">
        <f t="shared" si="210"/>
        <v>-</v>
      </c>
      <c r="E1664" s="560">
        <f t="shared" si="210"/>
        <v>0</v>
      </c>
      <c r="F1664" s="1508">
        <f t="shared" si="203"/>
        <v>0</v>
      </c>
      <c r="G1664" s="1508">
        <f t="shared" si="204"/>
        <v>0</v>
      </c>
      <c r="H1664" s="1508">
        <f t="shared" ref="H1664:H1680" si="211">F1664-G1664</f>
        <v>0</v>
      </c>
      <c r="I1664" s="1480">
        <v>0</v>
      </c>
      <c r="J1664" s="1480">
        <v>0</v>
      </c>
      <c r="K1664" s="1508"/>
      <c r="L1664" s="1508"/>
      <c r="M1664" s="1509">
        <f t="shared" si="206"/>
        <v>0</v>
      </c>
      <c r="N1664" s="1508">
        <f t="shared" ref="N1664:N1680" si="212">H1664+I1664-M1664</f>
        <v>0</v>
      </c>
    </row>
    <row r="1665" spans="1:14" ht="46.5" outlineLevel="1" x14ac:dyDescent="0.25">
      <c r="A1665" s="1488">
        <f t="shared" si="210"/>
        <v>0</v>
      </c>
      <c r="B1665" s="1497" t="str">
        <f t="shared" si="210"/>
        <v>Scheme-1: Design, Engineering, Manufacturing, Supply, Erection, Commissioning and testing of Wagon Locking System for Wagon Tippler of CHP of Unit 5 to 9 of CSTPS Chandrapur.</v>
      </c>
      <c r="C1665" s="1488" t="str">
        <f t="shared" si="210"/>
        <v>Yet To Receive Approval</v>
      </c>
      <c r="D1665" s="1413" t="str">
        <f t="shared" si="210"/>
        <v>-</v>
      </c>
      <c r="E1665" s="560">
        <f t="shared" si="210"/>
        <v>0</v>
      </c>
      <c r="F1665" s="1508">
        <f t="shared" si="203"/>
        <v>0</v>
      </c>
      <c r="G1665" s="1508">
        <f t="shared" si="204"/>
        <v>0</v>
      </c>
      <c r="H1665" s="1508">
        <f t="shared" si="211"/>
        <v>0</v>
      </c>
      <c r="I1665" s="1480">
        <v>0</v>
      </c>
      <c r="J1665" s="1480">
        <v>0</v>
      </c>
      <c r="K1665" s="1508"/>
      <c r="L1665" s="1508"/>
      <c r="M1665" s="1509">
        <f t="shared" si="206"/>
        <v>0</v>
      </c>
      <c r="N1665" s="1508">
        <f t="shared" si="212"/>
        <v>0</v>
      </c>
    </row>
    <row r="1666" spans="1:14" ht="46.5" outlineLevel="1" x14ac:dyDescent="0.25">
      <c r="A1666" s="1488">
        <f t="shared" si="210"/>
        <v>0</v>
      </c>
      <c r="B1666" s="1497" t="str">
        <f t="shared" si="210"/>
        <v>Scheme-2: Design, Engineering, Manufacturing, Supply, Erection, Commissioning, and testing of Portable Reclaim Feeder for CHP of Unit 5 to 9 in CSTPS Chandrapur.</v>
      </c>
      <c r="C1666" s="1488" t="str">
        <f t="shared" si="210"/>
        <v>Yet To Receive Approval</v>
      </c>
      <c r="D1666" s="1413" t="str">
        <f t="shared" si="210"/>
        <v>-</v>
      </c>
      <c r="E1666" s="560">
        <f t="shared" si="210"/>
        <v>0</v>
      </c>
      <c r="F1666" s="1508">
        <f t="shared" si="203"/>
        <v>0</v>
      </c>
      <c r="G1666" s="1508">
        <f t="shared" si="204"/>
        <v>0</v>
      </c>
      <c r="H1666" s="1508">
        <f t="shared" si="211"/>
        <v>0</v>
      </c>
      <c r="I1666" s="1480">
        <v>0</v>
      </c>
      <c r="J1666" s="1480">
        <v>0</v>
      </c>
      <c r="K1666" s="1508"/>
      <c r="L1666" s="1508"/>
      <c r="M1666" s="1509">
        <f t="shared" si="206"/>
        <v>0</v>
      </c>
      <c r="N1666" s="1508">
        <f t="shared" si="212"/>
        <v>0</v>
      </c>
    </row>
    <row r="1667" spans="1:14" ht="15.5" outlineLevel="1" x14ac:dyDescent="0.25">
      <c r="A1667" s="1488">
        <f t="shared" si="210"/>
        <v>0</v>
      </c>
      <c r="B1667" s="1497" t="str">
        <f t="shared" si="210"/>
        <v>IDC</v>
      </c>
      <c r="C1667" s="1488" t="str">
        <f t="shared" si="210"/>
        <v>Yet To Receive Approval</v>
      </c>
      <c r="D1667" s="1413" t="str">
        <f t="shared" si="210"/>
        <v>-</v>
      </c>
      <c r="E1667" s="560">
        <f t="shared" si="210"/>
        <v>0</v>
      </c>
      <c r="F1667" s="1508">
        <f t="shared" si="203"/>
        <v>0</v>
      </c>
      <c r="G1667" s="1508">
        <f t="shared" si="204"/>
        <v>0</v>
      </c>
      <c r="H1667" s="1508">
        <f t="shared" si="211"/>
        <v>0</v>
      </c>
      <c r="I1667" s="1480">
        <v>0</v>
      </c>
      <c r="J1667" s="1480">
        <v>0</v>
      </c>
      <c r="K1667" s="1508"/>
      <c r="L1667" s="1508"/>
      <c r="M1667" s="1509">
        <f t="shared" si="206"/>
        <v>0</v>
      </c>
      <c r="N1667" s="1508">
        <f t="shared" si="212"/>
        <v>0</v>
      </c>
    </row>
    <row r="1668" spans="1:14" ht="46.5" outlineLevel="1" x14ac:dyDescent="0.25">
      <c r="A1668" s="1486" t="str">
        <f t="shared" si="210"/>
        <v>Y12</v>
      </c>
      <c r="B1668" s="1491" t="str">
        <f t="shared" si="210"/>
        <v>Efficiency and Reliability improvement of PRDS, HP Heaters &amp;
Boiler pressure part system by rejuvenation of control valves, CSTPS Chandrapur</v>
      </c>
      <c r="C1668" s="1486" t="str">
        <f t="shared" si="210"/>
        <v>Yet To Receive Approval</v>
      </c>
      <c r="D1668" s="1413" t="str">
        <f t="shared" si="210"/>
        <v>-</v>
      </c>
      <c r="E1668" s="560">
        <f t="shared" si="210"/>
        <v>0</v>
      </c>
      <c r="F1668" s="1508">
        <f t="shared" si="203"/>
        <v>0</v>
      </c>
      <c r="G1668" s="1508">
        <f t="shared" si="204"/>
        <v>0</v>
      </c>
      <c r="H1668" s="1508">
        <f t="shared" si="211"/>
        <v>0</v>
      </c>
      <c r="I1668" s="1480">
        <v>0</v>
      </c>
      <c r="J1668" s="1480">
        <v>0</v>
      </c>
      <c r="K1668" s="1508"/>
      <c r="L1668" s="1508"/>
      <c r="M1668" s="1509">
        <f t="shared" si="206"/>
        <v>0</v>
      </c>
      <c r="N1668" s="1508">
        <f t="shared" si="212"/>
        <v>0</v>
      </c>
    </row>
    <row r="1669" spans="1:14" ht="31" outlineLevel="1" x14ac:dyDescent="0.25">
      <c r="A1669" s="1488">
        <f t="shared" si="210"/>
        <v>0</v>
      </c>
      <c r="B1669" s="1497" t="str">
        <f t="shared" si="210"/>
        <v>Scheme-1: Procurement of Sub body assembly &amp; Actuator for control &amp; motorized valves for U#3 &amp; U#4 (210MW).</v>
      </c>
      <c r="C1669" s="1488" t="str">
        <f t="shared" si="210"/>
        <v>Yet To Receive Approval</v>
      </c>
      <c r="D1669" s="1413" t="str">
        <f t="shared" si="210"/>
        <v>-</v>
      </c>
      <c r="E1669" s="560">
        <f t="shared" si="210"/>
        <v>0</v>
      </c>
      <c r="F1669" s="1508">
        <f t="shared" si="203"/>
        <v>0</v>
      </c>
      <c r="G1669" s="1508">
        <f t="shared" si="204"/>
        <v>0</v>
      </c>
      <c r="H1669" s="1508">
        <f t="shared" si="211"/>
        <v>0</v>
      </c>
      <c r="I1669" s="1480">
        <v>0</v>
      </c>
      <c r="J1669" s="1480">
        <v>0</v>
      </c>
      <c r="K1669" s="1508"/>
      <c r="L1669" s="1508"/>
      <c r="M1669" s="1509">
        <f t="shared" si="206"/>
        <v>0</v>
      </c>
      <c r="N1669" s="1508">
        <f t="shared" si="212"/>
        <v>0</v>
      </c>
    </row>
    <row r="1670" spans="1:14" ht="46.5" outlineLevel="1" x14ac:dyDescent="0.25">
      <c r="A1670" s="1488">
        <f t="shared" ref="A1670:E1685" si="213">A1000</f>
        <v>0</v>
      </c>
      <c r="B1670" s="1497" t="str">
        <f t="shared" si="213"/>
        <v>Scheme-2: Procurement of HC &amp; LC Feed and Soot Blower Drain Control sub body assembly for control valves for boiler Unit- 5, 6 &amp; 7 (500MW).</v>
      </c>
      <c r="C1670" s="1488" t="str">
        <f t="shared" si="213"/>
        <v>Yet To Receive Approval</v>
      </c>
      <c r="D1670" s="1413" t="str">
        <f t="shared" si="213"/>
        <v>-</v>
      </c>
      <c r="E1670" s="560">
        <f t="shared" si="213"/>
        <v>0</v>
      </c>
      <c r="F1670" s="1508">
        <f t="shared" ref="F1670:F1733" si="214">F1000+I1000</f>
        <v>0</v>
      </c>
      <c r="G1670" s="1508">
        <f t="shared" ref="G1670:G1733" si="215">G1000+M1000</f>
        <v>0</v>
      </c>
      <c r="H1670" s="1508">
        <f t="shared" si="211"/>
        <v>0</v>
      </c>
      <c r="I1670" s="1480">
        <v>0</v>
      </c>
      <c r="J1670" s="1480">
        <v>0</v>
      </c>
      <c r="K1670" s="1508"/>
      <c r="L1670" s="1508"/>
      <c r="M1670" s="1509">
        <f t="shared" si="206"/>
        <v>0</v>
      </c>
      <c r="N1670" s="1508">
        <f t="shared" si="212"/>
        <v>0</v>
      </c>
    </row>
    <row r="1671" spans="1:14" ht="31" outlineLevel="1" x14ac:dyDescent="0.25">
      <c r="A1671" s="1488">
        <f t="shared" si="213"/>
        <v>0</v>
      </c>
      <c r="B1671" s="1497" t="str">
        <f t="shared" si="213"/>
        <v>Scheme-3: Procurement of actuator assembly for control valves for boiler Unit- 5, 6 &amp; 7 (500MW).</v>
      </c>
      <c r="C1671" s="1488" t="str">
        <f t="shared" si="213"/>
        <v>Yet To Receive Approval</v>
      </c>
      <c r="D1671" s="1413" t="str">
        <f t="shared" si="213"/>
        <v>-</v>
      </c>
      <c r="E1671" s="560">
        <f t="shared" si="213"/>
        <v>0</v>
      </c>
      <c r="F1671" s="1508">
        <f t="shared" si="214"/>
        <v>0</v>
      </c>
      <c r="G1671" s="1508">
        <f t="shared" si="215"/>
        <v>0</v>
      </c>
      <c r="H1671" s="1508">
        <f t="shared" si="211"/>
        <v>0</v>
      </c>
      <c r="I1671" s="1480">
        <v>0</v>
      </c>
      <c r="J1671" s="1480">
        <v>0</v>
      </c>
      <c r="K1671" s="1508"/>
      <c r="L1671" s="1508"/>
      <c r="M1671" s="1509">
        <f t="shared" si="206"/>
        <v>0</v>
      </c>
      <c r="N1671" s="1508">
        <f t="shared" si="212"/>
        <v>0</v>
      </c>
    </row>
    <row r="1672" spans="1:14" ht="31" outlineLevel="1" x14ac:dyDescent="0.25">
      <c r="A1672" s="1488">
        <f t="shared" si="213"/>
        <v>0</v>
      </c>
      <c r="B1672" s="1497" t="str">
        <f t="shared" si="213"/>
        <v>Scheme-4: Procurement of HP heaters drip sub body assembly for control valve of 500MW Unit-5,6&amp;7.</v>
      </c>
      <c r="C1672" s="1488" t="str">
        <f t="shared" si="213"/>
        <v>Yet To Receive Approval</v>
      </c>
      <c r="D1672" s="1413" t="str">
        <f t="shared" si="213"/>
        <v>-</v>
      </c>
      <c r="E1672" s="560">
        <f t="shared" si="213"/>
        <v>0</v>
      </c>
      <c r="F1672" s="1508">
        <f t="shared" si="214"/>
        <v>0</v>
      </c>
      <c r="G1672" s="1508">
        <f t="shared" si="215"/>
        <v>0</v>
      </c>
      <c r="H1672" s="1508">
        <f t="shared" si="211"/>
        <v>0</v>
      </c>
      <c r="I1672" s="1480">
        <v>0</v>
      </c>
      <c r="J1672" s="1480">
        <v>0</v>
      </c>
      <c r="K1672" s="1508"/>
      <c r="L1672" s="1508"/>
      <c r="M1672" s="1509">
        <f t="shared" si="206"/>
        <v>0</v>
      </c>
      <c r="N1672" s="1508">
        <f t="shared" si="212"/>
        <v>0</v>
      </c>
    </row>
    <row r="1673" spans="1:14" ht="31" outlineLevel="1" x14ac:dyDescent="0.25">
      <c r="A1673" s="1488">
        <f t="shared" si="213"/>
        <v>0</v>
      </c>
      <c r="B1673" s="1497" t="str">
        <f t="shared" si="213"/>
        <v>Scheme-5: Procurement of actuator assembly for control valve of 500MW Unit-5,6&amp;7.</v>
      </c>
      <c r="C1673" s="1488" t="str">
        <f t="shared" si="213"/>
        <v>Yet To Receive Approval</v>
      </c>
      <c r="D1673" s="1413" t="str">
        <f t="shared" si="213"/>
        <v>-</v>
      </c>
      <c r="E1673" s="560">
        <f t="shared" si="213"/>
        <v>0</v>
      </c>
      <c r="F1673" s="1508">
        <f t="shared" si="214"/>
        <v>0</v>
      </c>
      <c r="G1673" s="1508">
        <f t="shared" si="215"/>
        <v>0</v>
      </c>
      <c r="H1673" s="1508">
        <f t="shared" si="211"/>
        <v>0</v>
      </c>
      <c r="I1673" s="1480">
        <v>0</v>
      </c>
      <c r="J1673" s="1480">
        <v>0</v>
      </c>
      <c r="K1673" s="1508"/>
      <c r="L1673" s="1508"/>
      <c r="M1673" s="1509">
        <f t="shared" si="206"/>
        <v>0</v>
      </c>
      <c r="N1673" s="1508">
        <f t="shared" si="212"/>
        <v>0</v>
      </c>
    </row>
    <row r="1674" spans="1:14" ht="15.5" outlineLevel="1" x14ac:dyDescent="0.25">
      <c r="A1674" s="1488">
        <f t="shared" si="213"/>
        <v>0</v>
      </c>
      <c r="B1674" s="1497" t="str">
        <f t="shared" si="213"/>
        <v>IDC</v>
      </c>
      <c r="C1674" s="1488" t="str">
        <f t="shared" si="213"/>
        <v>Yet To Receive Approval</v>
      </c>
      <c r="D1674" s="1413" t="str">
        <f t="shared" si="213"/>
        <v>-</v>
      </c>
      <c r="E1674" s="560">
        <f t="shared" si="213"/>
        <v>0</v>
      </c>
      <c r="F1674" s="1508">
        <f t="shared" si="214"/>
        <v>0</v>
      </c>
      <c r="G1674" s="1508">
        <f t="shared" si="215"/>
        <v>0</v>
      </c>
      <c r="H1674" s="1508">
        <f t="shared" si="211"/>
        <v>0</v>
      </c>
      <c r="I1674" s="1480">
        <v>0</v>
      </c>
      <c r="J1674" s="1480">
        <v>0</v>
      </c>
      <c r="K1674" s="1508"/>
      <c r="L1674" s="1508"/>
      <c r="M1674" s="1509">
        <f t="shared" si="206"/>
        <v>0</v>
      </c>
      <c r="N1674" s="1508">
        <f t="shared" si="212"/>
        <v>0</v>
      </c>
    </row>
    <row r="1675" spans="1:14" ht="46.5" outlineLevel="1" x14ac:dyDescent="0.25">
      <c r="A1675" s="1486" t="str">
        <f t="shared" si="213"/>
        <v>Y13</v>
      </c>
      <c r="B1675" s="1491" t="str">
        <f t="shared" si="213"/>
        <v>Supply &amp; installation of Advanced ESP Controller &amp; Numerical relay at U-7 and DAVR &amp; Up-gradation of Servo valves (ST) for HP-Bypass system at U-5,6,7, CSTPS</v>
      </c>
      <c r="C1675" s="1486" t="str">
        <f t="shared" si="213"/>
        <v>Yet To Receive Approval</v>
      </c>
      <c r="D1675" s="1413" t="str">
        <f t="shared" si="213"/>
        <v>-</v>
      </c>
      <c r="E1675" s="560">
        <f t="shared" si="213"/>
        <v>0</v>
      </c>
      <c r="F1675" s="1508">
        <f t="shared" si="214"/>
        <v>0</v>
      </c>
      <c r="G1675" s="1508">
        <f t="shared" si="215"/>
        <v>0</v>
      </c>
      <c r="H1675" s="1508">
        <f t="shared" si="211"/>
        <v>0</v>
      </c>
      <c r="I1675" s="1480">
        <v>0</v>
      </c>
      <c r="J1675" s="1480">
        <v>0</v>
      </c>
      <c r="K1675" s="1508"/>
      <c r="L1675" s="1508"/>
      <c r="M1675" s="1509">
        <f t="shared" si="206"/>
        <v>0</v>
      </c>
      <c r="N1675" s="1508">
        <f t="shared" si="212"/>
        <v>0</v>
      </c>
    </row>
    <row r="1676" spans="1:14" ht="46.5" outlineLevel="1" x14ac:dyDescent="0.25">
      <c r="A1676" s="1488">
        <f t="shared" si="213"/>
        <v>0</v>
      </c>
      <c r="B1676" s="1497" t="str">
        <f t="shared" si="213"/>
        <v xml:space="preserve">Scheme1: Supply and installation of advanced ESP Controllers for retrofitting in place of existing Alstom make EPIC-II controllers at ESP U-7 </v>
      </c>
      <c r="C1676" s="1488" t="str">
        <f t="shared" si="213"/>
        <v>Yet To Receive Approval</v>
      </c>
      <c r="D1676" s="1413" t="str">
        <f t="shared" si="213"/>
        <v>-</v>
      </c>
      <c r="E1676" s="560">
        <f t="shared" si="213"/>
        <v>0</v>
      </c>
      <c r="F1676" s="1508">
        <f t="shared" si="214"/>
        <v>0</v>
      </c>
      <c r="G1676" s="1508">
        <f t="shared" si="215"/>
        <v>0</v>
      </c>
      <c r="H1676" s="1508">
        <f t="shared" si="211"/>
        <v>0</v>
      </c>
      <c r="I1676" s="1480">
        <v>0</v>
      </c>
      <c r="J1676" s="1480">
        <v>0</v>
      </c>
      <c r="K1676" s="1508"/>
      <c r="L1676" s="1508"/>
      <c r="M1676" s="1509">
        <f t="shared" si="206"/>
        <v>0</v>
      </c>
      <c r="N1676" s="1508">
        <f t="shared" si="212"/>
        <v>0</v>
      </c>
    </row>
    <row r="1677" spans="1:14" ht="15.5" outlineLevel="1" x14ac:dyDescent="0.25">
      <c r="A1677" s="1488">
        <f t="shared" si="213"/>
        <v>0</v>
      </c>
      <c r="B1677" s="1497" t="str">
        <f t="shared" si="213"/>
        <v>Scheme-2: Supply and installation of DAVR at U-5,6,7</v>
      </c>
      <c r="C1677" s="1488" t="str">
        <f t="shared" si="213"/>
        <v>Yet To Receive Approval</v>
      </c>
      <c r="D1677" s="1413" t="str">
        <f t="shared" si="213"/>
        <v>-</v>
      </c>
      <c r="E1677" s="560">
        <f t="shared" si="213"/>
        <v>0</v>
      </c>
      <c r="F1677" s="1508">
        <f t="shared" si="214"/>
        <v>0</v>
      </c>
      <c r="G1677" s="1508">
        <f t="shared" si="215"/>
        <v>0</v>
      </c>
      <c r="H1677" s="1508">
        <f t="shared" si="211"/>
        <v>0</v>
      </c>
      <c r="I1677" s="1480">
        <v>0</v>
      </c>
      <c r="J1677" s="1480">
        <v>0</v>
      </c>
      <c r="K1677" s="1508"/>
      <c r="L1677" s="1508"/>
      <c r="M1677" s="1509">
        <f t="shared" si="206"/>
        <v>0</v>
      </c>
      <c r="N1677" s="1508">
        <f t="shared" si="212"/>
        <v>0</v>
      </c>
    </row>
    <row r="1678" spans="1:14" ht="46.5" outlineLevel="1" x14ac:dyDescent="0.25">
      <c r="A1678" s="1488">
        <f t="shared" si="213"/>
        <v>0</v>
      </c>
      <c r="B1678" s="1497" t="str">
        <f t="shared" si="213"/>
        <v>Scheme 3: Supply, installation and commissioning of numerical protection relays with set of auxiliary relays for HT switchgear, Unit-7</v>
      </c>
      <c r="C1678" s="1488" t="str">
        <f t="shared" si="213"/>
        <v>Yet To Receive Approval</v>
      </c>
      <c r="D1678" s="1413" t="str">
        <f t="shared" si="213"/>
        <v>-</v>
      </c>
      <c r="E1678" s="560">
        <f t="shared" si="213"/>
        <v>0</v>
      </c>
      <c r="F1678" s="1508">
        <f t="shared" si="214"/>
        <v>0</v>
      </c>
      <c r="G1678" s="1508">
        <f t="shared" si="215"/>
        <v>0</v>
      </c>
      <c r="H1678" s="1508">
        <f t="shared" si="211"/>
        <v>0</v>
      </c>
      <c r="I1678" s="1480">
        <v>0</v>
      </c>
      <c r="J1678" s="1480">
        <v>0</v>
      </c>
      <c r="K1678" s="1508"/>
      <c r="L1678" s="1508"/>
      <c r="M1678" s="1509">
        <f t="shared" si="206"/>
        <v>0</v>
      </c>
      <c r="N1678" s="1508">
        <f t="shared" si="212"/>
        <v>0</v>
      </c>
    </row>
    <row r="1679" spans="1:14" ht="31" outlineLevel="1" x14ac:dyDescent="0.25">
      <c r="A1679" s="1488">
        <f t="shared" si="213"/>
        <v>0</v>
      </c>
      <c r="B1679" s="1497" t="str">
        <f t="shared" si="213"/>
        <v>Scheme 4: Up-gradation of Servo valves (ST) by Proportional valves (PV) &amp; oil unitOV to HV for HP- Bypass system in U-5,6,7</v>
      </c>
      <c r="C1679" s="1488" t="str">
        <f t="shared" si="213"/>
        <v>Yet To Receive Approval</v>
      </c>
      <c r="D1679" s="1413" t="str">
        <f t="shared" si="213"/>
        <v>-</v>
      </c>
      <c r="E1679" s="560">
        <f t="shared" si="213"/>
        <v>0</v>
      </c>
      <c r="F1679" s="1508">
        <f t="shared" si="214"/>
        <v>0</v>
      </c>
      <c r="G1679" s="1508">
        <f t="shared" si="215"/>
        <v>0</v>
      </c>
      <c r="H1679" s="1508">
        <f t="shared" si="211"/>
        <v>0</v>
      </c>
      <c r="I1679" s="1480">
        <v>0</v>
      </c>
      <c r="J1679" s="1480">
        <v>0</v>
      </c>
      <c r="K1679" s="1508"/>
      <c r="L1679" s="1508"/>
      <c r="M1679" s="1509">
        <f t="shared" si="206"/>
        <v>0</v>
      </c>
      <c r="N1679" s="1508">
        <f t="shared" si="212"/>
        <v>0</v>
      </c>
    </row>
    <row r="1680" spans="1:14" ht="15.5" outlineLevel="1" x14ac:dyDescent="0.25">
      <c r="A1680" s="1488">
        <f t="shared" si="213"/>
        <v>0</v>
      </c>
      <c r="B1680" s="1497" t="str">
        <f t="shared" si="213"/>
        <v>IDC</v>
      </c>
      <c r="C1680" s="1488" t="str">
        <f t="shared" si="213"/>
        <v>Yet To Receive Approval</v>
      </c>
      <c r="D1680" s="1413" t="str">
        <f t="shared" si="213"/>
        <v>-</v>
      </c>
      <c r="E1680" s="560">
        <f t="shared" si="213"/>
        <v>0</v>
      </c>
      <c r="F1680" s="1508">
        <f t="shared" si="214"/>
        <v>0</v>
      </c>
      <c r="G1680" s="1508">
        <f t="shared" si="215"/>
        <v>0</v>
      </c>
      <c r="H1680" s="1508">
        <f t="shared" si="211"/>
        <v>0</v>
      </c>
      <c r="I1680" s="1480">
        <v>0</v>
      </c>
      <c r="J1680" s="1480">
        <v>0</v>
      </c>
      <c r="K1680" s="1508"/>
      <c r="L1680" s="1508"/>
      <c r="M1680" s="1509">
        <f t="shared" si="206"/>
        <v>0</v>
      </c>
      <c r="N1680" s="1508">
        <f t="shared" si="212"/>
        <v>0</v>
      </c>
    </row>
    <row r="1681" spans="1:14" ht="46.5" outlineLevel="1" x14ac:dyDescent="0.25">
      <c r="A1681" s="1486" t="str">
        <f t="shared" si="213"/>
        <v>Y14</v>
      </c>
      <c r="B1681" s="1491" t="str">
        <f t="shared" si="213"/>
        <v>Improvement in Reliability and Life Enhancement of Coal Mill by Refurbishment of Flender make KMS 850 Gear Box of XRP-1043 Coal Mill Unit 5 &amp; 6 at CSTPS, Chandrapur</v>
      </c>
      <c r="C1681" s="1486" t="str">
        <f t="shared" si="213"/>
        <v>Yet To Receive Approval</v>
      </c>
      <c r="D1681" s="1413" t="str">
        <f t="shared" si="213"/>
        <v>-</v>
      </c>
      <c r="E1681" s="560">
        <f t="shared" si="213"/>
        <v>0</v>
      </c>
      <c r="F1681" s="1508">
        <f t="shared" si="214"/>
        <v>0</v>
      </c>
      <c r="G1681" s="1508">
        <f t="shared" si="215"/>
        <v>0</v>
      </c>
      <c r="H1681" s="1508">
        <f>F1681-G1681</f>
        <v>0</v>
      </c>
      <c r="I1681" s="1480">
        <v>0</v>
      </c>
      <c r="J1681" s="1480">
        <v>0</v>
      </c>
      <c r="K1681" s="1508"/>
      <c r="L1681" s="1508"/>
      <c r="M1681" s="1509">
        <f>SUM(J1681:L1681)</f>
        <v>0</v>
      </c>
      <c r="N1681" s="1508">
        <f>H1681+I1681-M1681</f>
        <v>0</v>
      </c>
    </row>
    <row r="1682" spans="1:14" ht="31" outlineLevel="1" x14ac:dyDescent="0.25">
      <c r="A1682" s="1488">
        <f t="shared" si="213"/>
        <v>0</v>
      </c>
      <c r="B1682" s="1497" t="str">
        <f t="shared" si="213"/>
        <v>Coal Mill Life Enhancement by Refurbishment of Flender make KMS 850 gear box of XRP-1043 coal mill in Unit-5&amp;6</v>
      </c>
      <c r="C1682" s="1488" t="str">
        <f t="shared" si="213"/>
        <v>Yet To Receive Approval</v>
      </c>
      <c r="D1682" s="1413" t="str">
        <f t="shared" si="213"/>
        <v>-</v>
      </c>
      <c r="E1682" s="560">
        <f t="shared" si="213"/>
        <v>0</v>
      </c>
      <c r="F1682" s="1508">
        <f t="shared" si="214"/>
        <v>0</v>
      </c>
      <c r="G1682" s="1508">
        <f t="shared" si="215"/>
        <v>0</v>
      </c>
      <c r="H1682" s="1508">
        <f>F1682-G1682</f>
        <v>0</v>
      </c>
      <c r="I1682" s="1480">
        <v>0</v>
      </c>
      <c r="J1682" s="1480">
        <v>0</v>
      </c>
      <c r="K1682" s="1508"/>
      <c r="L1682" s="1508"/>
      <c r="M1682" s="1509">
        <f>SUM(J1682:L1682)</f>
        <v>0</v>
      </c>
      <c r="N1682" s="1508">
        <f>H1682+I1682-M1682</f>
        <v>0</v>
      </c>
    </row>
    <row r="1683" spans="1:14" ht="15.5" outlineLevel="1" x14ac:dyDescent="0.25">
      <c r="A1683" s="1488">
        <f t="shared" si="213"/>
        <v>0</v>
      </c>
      <c r="B1683" s="1497" t="str">
        <f t="shared" si="213"/>
        <v>IDC</v>
      </c>
      <c r="C1683" s="1488" t="str">
        <f t="shared" si="213"/>
        <v>Yet To Receive Approval</v>
      </c>
      <c r="D1683" s="1413" t="str">
        <f t="shared" si="213"/>
        <v>-</v>
      </c>
      <c r="E1683" s="560">
        <f t="shared" si="213"/>
        <v>0</v>
      </c>
      <c r="F1683" s="1508">
        <f t="shared" si="214"/>
        <v>0</v>
      </c>
      <c r="G1683" s="1508">
        <f t="shared" si="215"/>
        <v>0</v>
      </c>
      <c r="H1683" s="1508">
        <f>F1683-G1683</f>
        <v>0</v>
      </c>
      <c r="I1683" s="1480">
        <v>0</v>
      </c>
      <c r="J1683" s="1480">
        <v>0</v>
      </c>
      <c r="K1683" s="1508"/>
      <c r="L1683" s="1508"/>
      <c r="M1683" s="1509">
        <f>SUM(J1683:L1683)</f>
        <v>0</v>
      </c>
      <c r="N1683" s="1508">
        <f>H1683+I1683-M1683</f>
        <v>0</v>
      </c>
    </row>
    <row r="1684" spans="1:14" ht="15.5" outlineLevel="1" x14ac:dyDescent="0.25">
      <c r="A1684" s="1488">
        <f t="shared" si="213"/>
        <v>0</v>
      </c>
      <c r="B1684" s="1497">
        <f t="shared" si="213"/>
        <v>0</v>
      </c>
      <c r="C1684" s="1488">
        <f t="shared" si="213"/>
        <v>0</v>
      </c>
      <c r="D1684" s="1413" t="str">
        <f t="shared" si="213"/>
        <v>-</v>
      </c>
      <c r="E1684" s="560">
        <f t="shared" si="213"/>
        <v>0</v>
      </c>
      <c r="F1684" s="1508">
        <f t="shared" si="214"/>
        <v>0</v>
      </c>
      <c r="G1684" s="1508">
        <f t="shared" si="215"/>
        <v>0</v>
      </c>
      <c r="H1684" s="1508">
        <f t="shared" ref="H1684:H1747" si="216">F1684-G1684</f>
        <v>0</v>
      </c>
      <c r="I1684" s="1480">
        <v>0</v>
      </c>
      <c r="J1684" s="1480">
        <v>0</v>
      </c>
      <c r="K1684" s="1508"/>
      <c r="L1684" s="1508"/>
      <c r="M1684" s="1509">
        <f t="shared" ref="M1684:M1747" si="217">SUM(J1684:L1684)</f>
        <v>0</v>
      </c>
      <c r="N1684" s="1508">
        <f t="shared" ref="N1684:N1747" si="218">H1684+I1684-M1684</f>
        <v>0</v>
      </c>
    </row>
    <row r="1685" spans="1:14" ht="15.5" outlineLevel="1" x14ac:dyDescent="0.25">
      <c r="A1685" s="1488">
        <f t="shared" si="213"/>
        <v>0</v>
      </c>
      <c r="B1685" s="1497">
        <f t="shared" si="213"/>
        <v>0</v>
      </c>
      <c r="C1685" s="1488">
        <f t="shared" si="213"/>
        <v>0</v>
      </c>
      <c r="D1685" s="1413" t="str">
        <f t="shared" si="213"/>
        <v>-</v>
      </c>
      <c r="E1685" s="560">
        <f t="shared" si="213"/>
        <v>0</v>
      </c>
      <c r="F1685" s="1508">
        <f t="shared" si="214"/>
        <v>0</v>
      </c>
      <c r="G1685" s="1508">
        <f t="shared" si="215"/>
        <v>0</v>
      </c>
      <c r="H1685" s="1508">
        <f t="shared" si="216"/>
        <v>0</v>
      </c>
      <c r="I1685" s="1480">
        <v>0</v>
      </c>
      <c r="J1685" s="1480">
        <v>0</v>
      </c>
      <c r="K1685" s="1508"/>
      <c r="L1685" s="1508"/>
      <c r="M1685" s="1509">
        <f t="shared" si="217"/>
        <v>0</v>
      </c>
      <c r="N1685" s="1508">
        <f t="shared" si="218"/>
        <v>0</v>
      </c>
    </row>
    <row r="1686" spans="1:14" ht="15.5" outlineLevel="1" x14ac:dyDescent="0.25">
      <c r="A1686" s="1500">
        <f t="shared" ref="A1686:E1701" si="219">A1016</f>
        <v>0</v>
      </c>
      <c r="B1686" s="1502">
        <f t="shared" si="219"/>
        <v>0</v>
      </c>
      <c r="C1686" s="1500">
        <f t="shared" si="219"/>
        <v>0</v>
      </c>
      <c r="D1686" s="1501" t="str">
        <f t="shared" si="219"/>
        <v>-</v>
      </c>
      <c r="E1686" s="560">
        <f t="shared" si="219"/>
        <v>0</v>
      </c>
      <c r="F1686" s="1508">
        <f t="shared" si="214"/>
        <v>0</v>
      </c>
      <c r="G1686" s="1508">
        <f t="shared" si="215"/>
        <v>0</v>
      </c>
      <c r="H1686" s="1508">
        <f t="shared" si="216"/>
        <v>0</v>
      </c>
      <c r="I1686" s="1480">
        <v>0</v>
      </c>
      <c r="J1686" s="1480">
        <v>0</v>
      </c>
      <c r="K1686" s="1508"/>
      <c r="L1686" s="1508"/>
      <c r="M1686" s="1509">
        <f t="shared" si="217"/>
        <v>0</v>
      </c>
      <c r="N1686" s="1508">
        <f t="shared" si="218"/>
        <v>0</v>
      </c>
    </row>
    <row r="1687" spans="1:14" ht="15.5" outlineLevel="1" x14ac:dyDescent="0.25">
      <c r="A1687" s="1453">
        <f t="shared" si="219"/>
        <v>0</v>
      </c>
      <c r="B1687" s="1476" t="str">
        <f t="shared" si="219"/>
        <v>(ii) Yet to be submitted to MERC</v>
      </c>
      <c r="C1687" s="1453">
        <f t="shared" si="219"/>
        <v>0</v>
      </c>
      <c r="D1687" s="1503" t="str">
        <f t="shared" si="219"/>
        <v>-</v>
      </c>
      <c r="E1687" s="560">
        <f t="shared" si="219"/>
        <v>0</v>
      </c>
      <c r="F1687" s="1508">
        <f t="shared" si="214"/>
        <v>0</v>
      </c>
      <c r="G1687" s="1508">
        <f t="shared" si="215"/>
        <v>0</v>
      </c>
      <c r="H1687" s="1508">
        <f t="shared" si="216"/>
        <v>0</v>
      </c>
      <c r="I1687" s="1480">
        <v>0</v>
      </c>
      <c r="J1687" s="1480">
        <v>0</v>
      </c>
      <c r="K1687" s="1508"/>
      <c r="L1687" s="1508"/>
      <c r="M1687" s="1509">
        <f t="shared" si="217"/>
        <v>0</v>
      </c>
      <c r="N1687" s="1508">
        <f t="shared" si="218"/>
        <v>0</v>
      </c>
    </row>
    <row r="1688" spans="1:14" ht="15.5" outlineLevel="1" x14ac:dyDescent="0.25">
      <c r="A1688" s="1453">
        <f t="shared" si="219"/>
        <v>0</v>
      </c>
      <c r="B1688" s="1476">
        <f t="shared" si="219"/>
        <v>0</v>
      </c>
      <c r="C1688" s="1453">
        <f t="shared" si="219"/>
        <v>0</v>
      </c>
      <c r="D1688" s="1503" t="str">
        <f t="shared" si="219"/>
        <v>-</v>
      </c>
      <c r="E1688" s="560">
        <f t="shared" si="219"/>
        <v>0</v>
      </c>
      <c r="F1688" s="1508">
        <f t="shared" si="214"/>
        <v>0</v>
      </c>
      <c r="G1688" s="1508">
        <f t="shared" si="215"/>
        <v>0</v>
      </c>
      <c r="H1688" s="1508">
        <f t="shared" si="216"/>
        <v>0</v>
      </c>
      <c r="I1688" s="1480">
        <v>0</v>
      </c>
      <c r="J1688" s="1480">
        <v>0</v>
      </c>
      <c r="K1688" s="1508"/>
      <c r="L1688" s="1508"/>
      <c r="M1688" s="1509">
        <f t="shared" si="217"/>
        <v>0</v>
      </c>
      <c r="N1688" s="1508">
        <f t="shared" si="218"/>
        <v>0</v>
      </c>
    </row>
    <row r="1689" spans="1:14" ht="77.5" outlineLevel="1" x14ac:dyDescent="0.25">
      <c r="A1689" s="1486">
        <f t="shared" si="219"/>
        <v>2</v>
      </c>
      <c r="B1689" s="1491" t="str">
        <f t="shared" si="219"/>
        <v>‘Supply, installation, restoration, up-gradation and revamping of Fire Protection Systems viz Fire Hydrant System, Passive Fire Protection System, DV House Construction &amp; Fire Water Spray System at plant &amp; ODP area of Unit-3to9 and CHPs (CHP-A,B,C,&amp;D) of CSTPS, Chandrapur’</v>
      </c>
      <c r="C1689" s="166">
        <f t="shared" si="219"/>
        <v>0</v>
      </c>
      <c r="D1689" s="1413" t="str">
        <f t="shared" si="219"/>
        <v>-</v>
      </c>
      <c r="E1689" s="560">
        <f t="shared" si="219"/>
        <v>118.75</v>
      </c>
      <c r="F1689" s="1508">
        <f t="shared" si="214"/>
        <v>0</v>
      </c>
      <c r="G1689" s="1508">
        <f t="shared" si="215"/>
        <v>0</v>
      </c>
      <c r="H1689" s="1508">
        <f t="shared" si="216"/>
        <v>0</v>
      </c>
      <c r="I1689" s="1480">
        <v>0</v>
      </c>
      <c r="J1689" s="1480">
        <v>0</v>
      </c>
      <c r="K1689" s="1508"/>
      <c r="L1689" s="1508"/>
      <c r="M1689" s="1509">
        <f t="shared" si="217"/>
        <v>0</v>
      </c>
      <c r="N1689" s="1508">
        <f t="shared" si="218"/>
        <v>0</v>
      </c>
    </row>
    <row r="1690" spans="1:14" ht="77.5" outlineLevel="1" x14ac:dyDescent="0.25">
      <c r="A1690" s="1492">
        <f t="shared" si="219"/>
        <v>0</v>
      </c>
      <c r="B1690" s="1492" t="str">
        <f t="shared" si="219"/>
        <v>‘Supply, installation, restoration, up-gradation and revamping of Fire Protection Systems viz Fire Hydrant System, Passive Fire Protection System, DV House Construction &amp; Fire Water Spray System at plant &amp; ODP area of Unit-3to9 and CHPs (CHP-A,B,C,&amp;D) of CSTPS, Chandrapur’</v>
      </c>
      <c r="C1690" s="166">
        <f t="shared" si="219"/>
        <v>0</v>
      </c>
      <c r="D1690" s="1413" t="str">
        <f t="shared" si="219"/>
        <v>-</v>
      </c>
      <c r="E1690" s="560">
        <f t="shared" si="219"/>
        <v>118.75</v>
      </c>
      <c r="F1690" s="1508">
        <f t="shared" si="214"/>
        <v>0</v>
      </c>
      <c r="G1690" s="1508">
        <f t="shared" si="215"/>
        <v>0</v>
      </c>
      <c r="H1690" s="1508">
        <f t="shared" si="216"/>
        <v>0</v>
      </c>
      <c r="I1690" s="1480">
        <v>0</v>
      </c>
      <c r="J1690" s="1480">
        <v>0</v>
      </c>
      <c r="K1690" s="1508"/>
      <c r="L1690" s="1508"/>
      <c r="M1690" s="1509">
        <f t="shared" si="217"/>
        <v>0</v>
      </c>
      <c r="N1690" s="1508">
        <f t="shared" si="218"/>
        <v>0</v>
      </c>
    </row>
    <row r="1691" spans="1:14" ht="62" outlineLevel="1" x14ac:dyDescent="0.25">
      <c r="A1691" s="1486">
        <f t="shared" si="219"/>
        <v>3</v>
      </c>
      <c r="B1691" s="1491" t="str">
        <f t="shared" si="219"/>
        <v>DPR for Fire Detection &amp; Alarm and Protection System from Fire and Providing Rapid Extinguishing Clean Agent (CA) System at Unit -7, Outdoor Plants, CHPs, Service building &amp; Admin Building at CSTPS</v>
      </c>
      <c r="C1691" s="166">
        <f t="shared" si="219"/>
        <v>0</v>
      </c>
      <c r="D1691" s="1413" t="str">
        <f t="shared" si="219"/>
        <v>-</v>
      </c>
      <c r="E1691" s="560">
        <f t="shared" si="219"/>
        <v>31.56</v>
      </c>
      <c r="F1691" s="1508">
        <f t="shared" si="214"/>
        <v>0</v>
      </c>
      <c r="G1691" s="1508">
        <f t="shared" si="215"/>
        <v>0</v>
      </c>
      <c r="H1691" s="1508">
        <f t="shared" si="216"/>
        <v>0</v>
      </c>
      <c r="I1691" s="1480">
        <v>0</v>
      </c>
      <c r="J1691" s="1480">
        <v>0</v>
      </c>
      <c r="K1691" s="1508"/>
      <c r="L1691" s="1508"/>
      <c r="M1691" s="1509">
        <f t="shared" si="217"/>
        <v>0</v>
      </c>
      <c r="N1691" s="1508">
        <f t="shared" si="218"/>
        <v>0</v>
      </c>
    </row>
    <row r="1692" spans="1:14" ht="62" outlineLevel="1" x14ac:dyDescent="0.25">
      <c r="A1692" s="1492">
        <f t="shared" si="219"/>
        <v>0</v>
      </c>
      <c r="B1692" s="1492" t="str">
        <f t="shared" si="219"/>
        <v>DPR for Fire Detection &amp; Alarm and Protection System from Fire and Providing Rapid Extinguishing Clean Agent (CA) System at Unit -7, Outdoor Plants, CHPs, Service building &amp; Admin Building at CSTPS</v>
      </c>
      <c r="C1692" s="166">
        <f t="shared" si="219"/>
        <v>0</v>
      </c>
      <c r="D1692" s="1413" t="str">
        <f t="shared" si="219"/>
        <v>-</v>
      </c>
      <c r="E1692" s="560">
        <f t="shared" si="219"/>
        <v>31.56</v>
      </c>
      <c r="F1692" s="1508">
        <f t="shared" si="214"/>
        <v>0</v>
      </c>
      <c r="G1692" s="1508">
        <f t="shared" si="215"/>
        <v>0</v>
      </c>
      <c r="H1692" s="1508">
        <f t="shared" si="216"/>
        <v>0</v>
      </c>
      <c r="I1692" s="1480">
        <v>0</v>
      </c>
      <c r="J1692" s="1480">
        <v>0</v>
      </c>
      <c r="K1692" s="1508"/>
      <c r="L1692" s="1508"/>
      <c r="M1692" s="1509">
        <f t="shared" si="217"/>
        <v>0</v>
      </c>
      <c r="N1692" s="1508">
        <f t="shared" si="218"/>
        <v>0</v>
      </c>
    </row>
    <row r="1693" spans="1:14" ht="46.5" outlineLevel="1" x14ac:dyDescent="0.25">
      <c r="A1693" s="1486">
        <f t="shared" si="219"/>
        <v>4</v>
      </c>
      <c r="B1693" s="1491" t="str">
        <f t="shared" si="219"/>
        <v>Renovation of various component of bottom opening bogie frame at CSTPS Chandrapur &amp; Provision of Wagon Tippler Safety System in Coal Handling Plant at CSTPS</v>
      </c>
      <c r="C1693" s="166">
        <f t="shared" si="219"/>
        <v>0</v>
      </c>
      <c r="D1693" s="1413" t="str">
        <f t="shared" si="219"/>
        <v>-</v>
      </c>
      <c r="E1693" s="560">
        <f t="shared" si="219"/>
        <v>35</v>
      </c>
      <c r="F1693" s="1508">
        <f t="shared" si="214"/>
        <v>0</v>
      </c>
      <c r="G1693" s="1508">
        <f t="shared" si="215"/>
        <v>0</v>
      </c>
      <c r="H1693" s="1508">
        <f t="shared" si="216"/>
        <v>0</v>
      </c>
      <c r="I1693" s="1480">
        <v>0</v>
      </c>
      <c r="J1693" s="1480">
        <v>0</v>
      </c>
      <c r="K1693" s="1508"/>
      <c r="L1693" s="1508"/>
      <c r="M1693" s="1509">
        <f t="shared" si="217"/>
        <v>0</v>
      </c>
      <c r="N1693" s="1508">
        <f t="shared" si="218"/>
        <v>0</v>
      </c>
    </row>
    <row r="1694" spans="1:14" ht="46.5" outlineLevel="1" x14ac:dyDescent="0.25">
      <c r="A1694" s="1492">
        <f t="shared" si="219"/>
        <v>0</v>
      </c>
      <c r="B1694" s="1492" t="str">
        <f t="shared" si="219"/>
        <v>Renovation of various component of bottom opening bogie frame at CSTPS Chandrapur &amp; Provision of Wagon Tippler Safety System in Coal Handling Plant at CSTPS</v>
      </c>
      <c r="C1694" s="166">
        <f t="shared" si="219"/>
        <v>0</v>
      </c>
      <c r="D1694" s="1413" t="str">
        <f t="shared" si="219"/>
        <v>-</v>
      </c>
      <c r="E1694" s="560">
        <f t="shared" si="219"/>
        <v>35</v>
      </c>
      <c r="F1694" s="1508">
        <f t="shared" si="214"/>
        <v>0</v>
      </c>
      <c r="G1694" s="1508">
        <f t="shared" si="215"/>
        <v>0</v>
      </c>
      <c r="H1694" s="1508">
        <f t="shared" si="216"/>
        <v>0</v>
      </c>
      <c r="I1694" s="1480">
        <v>0</v>
      </c>
      <c r="J1694" s="1480">
        <v>0</v>
      </c>
      <c r="K1694" s="1508"/>
      <c r="L1694" s="1508"/>
      <c r="M1694" s="1509">
        <f t="shared" si="217"/>
        <v>0</v>
      </c>
      <c r="N1694" s="1508">
        <f t="shared" si="218"/>
        <v>0</v>
      </c>
    </row>
    <row r="1695" spans="1:14" ht="31" outlineLevel="1" x14ac:dyDescent="0.25">
      <c r="A1695" s="1486">
        <f t="shared" si="219"/>
        <v>5</v>
      </c>
      <c r="B1695" s="1491" t="str">
        <f t="shared" si="219"/>
        <v>Construction of road from CHP Weighbridge to Railway Crossing &amp; provision of Road Under Bridge (RUB) at CSTPS, Chandrapur</v>
      </c>
      <c r="C1695" s="166">
        <f t="shared" si="219"/>
        <v>0</v>
      </c>
      <c r="D1695" s="1413" t="str">
        <f t="shared" si="219"/>
        <v>-</v>
      </c>
      <c r="E1695" s="560">
        <f t="shared" si="219"/>
        <v>41.24</v>
      </c>
      <c r="F1695" s="1508">
        <f t="shared" si="214"/>
        <v>0</v>
      </c>
      <c r="G1695" s="1508">
        <f t="shared" si="215"/>
        <v>0</v>
      </c>
      <c r="H1695" s="1508">
        <f t="shared" si="216"/>
        <v>0</v>
      </c>
      <c r="I1695" s="1480">
        <v>0</v>
      </c>
      <c r="J1695" s="1480">
        <v>0</v>
      </c>
      <c r="K1695" s="1508"/>
      <c r="L1695" s="1508"/>
      <c r="M1695" s="1509">
        <f t="shared" si="217"/>
        <v>0</v>
      </c>
      <c r="N1695" s="1508">
        <f t="shared" si="218"/>
        <v>0</v>
      </c>
    </row>
    <row r="1696" spans="1:14" ht="31" outlineLevel="1" x14ac:dyDescent="0.25">
      <c r="A1696" s="1492">
        <f t="shared" si="219"/>
        <v>0</v>
      </c>
      <c r="B1696" s="1492" t="str">
        <f t="shared" si="219"/>
        <v>Construction of concrete pavement road connecting to CHP weighbridge to Railway crossing at CSTPS, Chandrapur.</v>
      </c>
      <c r="C1696" s="166">
        <f t="shared" si="219"/>
        <v>0</v>
      </c>
      <c r="D1696" s="1413" t="str">
        <f t="shared" si="219"/>
        <v>-</v>
      </c>
      <c r="E1696" s="560">
        <f t="shared" si="219"/>
        <v>5.42</v>
      </c>
      <c r="F1696" s="1508">
        <f t="shared" si="214"/>
        <v>0</v>
      </c>
      <c r="G1696" s="1508">
        <f t="shared" si="215"/>
        <v>0</v>
      </c>
      <c r="H1696" s="1508">
        <f t="shared" si="216"/>
        <v>0</v>
      </c>
      <c r="I1696" s="1480">
        <v>0</v>
      </c>
      <c r="J1696" s="1480">
        <v>0</v>
      </c>
      <c r="K1696" s="1508"/>
      <c r="L1696" s="1508"/>
      <c r="M1696" s="1509">
        <f t="shared" si="217"/>
        <v>0</v>
      </c>
      <c r="N1696" s="1508">
        <f t="shared" si="218"/>
        <v>0</v>
      </c>
    </row>
    <row r="1697" spans="1:14" ht="31" outlineLevel="1" x14ac:dyDescent="0.25">
      <c r="A1697" s="1492">
        <f t="shared" si="219"/>
        <v>0</v>
      </c>
      <c r="B1697" s="1492" t="str">
        <f t="shared" si="219"/>
        <v>Provision of Road Under Bridge at Vivekanand Nagar Tukum At CSTPS, Chandrapur.</v>
      </c>
      <c r="C1697" s="166">
        <f t="shared" si="219"/>
        <v>0</v>
      </c>
      <c r="D1697" s="1413" t="str">
        <f t="shared" si="219"/>
        <v>-</v>
      </c>
      <c r="E1697" s="560">
        <f t="shared" si="219"/>
        <v>35.82</v>
      </c>
      <c r="F1697" s="1508">
        <f t="shared" si="214"/>
        <v>0</v>
      </c>
      <c r="G1697" s="1508">
        <f t="shared" si="215"/>
        <v>0</v>
      </c>
      <c r="H1697" s="1508">
        <f t="shared" si="216"/>
        <v>0</v>
      </c>
      <c r="I1697" s="1480">
        <v>0</v>
      </c>
      <c r="J1697" s="1480">
        <v>0</v>
      </c>
      <c r="K1697" s="1508"/>
      <c r="L1697" s="1508"/>
      <c r="M1697" s="1509">
        <f t="shared" si="217"/>
        <v>0</v>
      </c>
      <c r="N1697" s="1508">
        <f t="shared" si="218"/>
        <v>0</v>
      </c>
    </row>
    <row r="1698" spans="1:14" ht="31" outlineLevel="1" x14ac:dyDescent="0.25">
      <c r="A1698" s="1486">
        <f t="shared" si="219"/>
        <v>6</v>
      </c>
      <c r="B1698" s="1491" t="str">
        <f t="shared" si="219"/>
        <v>Construction of UCR wall and bed of Neri Nallah at CSTPS, Chandrapur.</v>
      </c>
      <c r="C1698" s="166">
        <f t="shared" si="219"/>
        <v>0</v>
      </c>
      <c r="D1698" s="1413" t="str">
        <f t="shared" si="219"/>
        <v>-</v>
      </c>
      <c r="E1698" s="560">
        <f t="shared" si="219"/>
        <v>33.47</v>
      </c>
      <c r="F1698" s="1508">
        <f t="shared" si="214"/>
        <v>0</v>
      </c>
      <c r="G1698" s="1508">
        <f t="shared" si="215"/>
        <v>0</v>
      </c>
      <c r="H1698" s="1508">
        <f t="shared" si="216"/>
        <v>0</v>
      </c>
      <c r="I1698" s="1480">
        <v>0</v>
      </c>
      <c r="J1698" s="1480">
        <v>0</v>
      </c>
      <c r="K1698" s="1508"/>
      <c r="L1698" s="1508"/>
      <c r="M1698" s="1509">
        <f t="shared" si="217"/>
        <v>0</v>
      </c>
      <c r="N1698" s="1508">
        <f t="shared" si="218"/>
        <v>0</v>
      </c>
    </row>
    <row r="1699" spans="1:14" ht="31" outlineLevel="1" x14ac:dyDescent="0.25">
      <c r="A1699" s="1492">
        <f t="shared" si="219"/>
        <v>0</v>
      </c>
      <c r="B1699" s="1492" t="str">
        <f t="shared" si="219"/>
        <v>Construction of UCR wall and bed of Neri Nallah at CSTPS, Chandrapur.</v>
      </c>
      <c r="C1699" s="166">
        <f t="shared" si="219"/>
        <v>0</v>
      </c>
      <c r="D1699" s="1413" t="str">
        <f t="shared" si="219"/>
        <v>-</v>
      </c>
      <c r="E1699" s="560">
        <f t="shared" si="219"/>
        <v>33.47</v>
      </c>
      <c r="F1699" s="1508">
        <f t="shared" si="214"/>
        <v>0</v>
      </c>
      <c r="G1699" s="1508">
        <f t="shared" si="215"/>
        <v>0</v>
      </c>
      <c r="H1699" s="1508">
        <f t="shared" si="216"/>
        <v>0</v>
      </c>
      <c r="I1699" s="1480">
        <v>0</v>
      </c>
      <c r="J1699" s="1480">
        <v>0</v>
      </c>
      <c r="K1699" s="1508"/>
      <c r="L1699" s="1508"/>
      <c r="M1699" s="1509">
        <f t="shared" si="217"/>
        <v>0</v>
      </c>
      <c r="N1699" s="1508">
        <f t="shared" si="218"/>
        <v>0</v>
      </c>
    </row>
    <row r="1700" spans="1:14" ht="46.5" outlineLevel="1" x14ac:dyDescent="0.25">
      <c r="A1700" s="1486">
        <f t="shared" si="219"/>
        <v>7</v>
      </c>
      <c r="B1700" s="1491" t="str">
        <f t="shared" si="219"/>
        <v>Construction of  Concrete Pavement  Road  Connecting to Reject Coal Gate &amp; F point upto  Ash water recovery pump house &amp; F point to CP No- 635 at CSTPS Chandrapur</v>
      </c>
      <c r="C1700" s="166">
        <f t="shared" si="219"/>
        <v>0</v>
      </c>
      <c r="D1700" s="1413" t="str">
        <f t="shared" si="219"/>
        <v>-</v>
      </c>
      <c r="E1700" s="560">
        <f t="shared" si="219"/>
        <v>71.5</v>
      </c>
      <c r="F1700" s="1508">
        <f t="shared" si="214"/>
        <v>0</v>
      </c>
      <c r="G1700" s="1508">
        <f t="shared" si="215"/>
        <v>0</v>
      </c>
      <c r="H1700" s="1508">
        <f t="shared" si="216"/>
        <v>0</v>
      </c>
      <c r="I1700" s="1480">
        <v>0</v>
      </c>
      <c r="J1700" s="1480">
        <v>0</v>
      </c>
      <c r="K1700" s="1508"/>
      <c r="L1700" s="1508"/>
      <c r="M1700" s="1509">
        <f t="shared" si="217"/>
        <v>0</v>
      </c>
      <c r="N1700" s="1508">
        <f t="shared" si="218"/>
        <v>0</v>
      </c>
    </row>
    <row r="1701" spans="1:14" ht="46.5" outlineLevel="1" x14ac:dyDescent="0.25">
      <c r="A1701" s="1492">
        <f t="shared" si="219"/>
        <v>0</v>
      </c>
      <c r="B1701" s="1492" t="str">
        <f t="shared" si="219"/>
        <v>Construction of  Concrete Pavement  Road  Connecting to Reject Coal Gate &amp; F point upto  Ash water recovery pump house &amp; F point to CP No- 635 at CSTPS Chandrapur</v>
      </c>
      <c r="C1701" s="166">
        <f t="shared" si="219"/>
        <v>0</v>
      </c>
      <c r="D1701" s="1413" t="str">
        <f t="shared" si="219"/>
        <v>-</v>
      </c>
      <c r="E1701" s="560">
        <f t="shared" si="219"/>
        <v>71.5</v>
      </c>
      <c r="F1701" s="1508">
        <f t="shared" si="214"/>
        <v>0</v>
      </c>
      <c r="G1701" s="1508">
        <f t="shared" si="215"/>
        <v>0</v>
      </c>
      <c r="H1701" s="1508">
        <f t="shared" si="216"/>
        <v>0</v>
      </c>
      <c r="I1701" s="1480">
        <v>0</v>
      </c>
      <c r="J1701" s="1480">
        <v>0</v>
      </c>
      <c r="K1701" s="1508"/>
      <c r="L1701" s="1508"/>
      <c r="M1701" s="1509">
        <f t="shared" si="217"/>
        <v>0</v>
      </c>
      <c r="N1701" s="1508">
        <f t="shared" si="218"/>
        <v>0</v>
      </c>
    </row>
    <row r="1702" spans="1:14" ht="15.5" outlineLevel="1" x14ac:dyDescent="0.25">
      <c r="A1702" s="1504">
        <f t="shared" ref="A1702:E1717" si="220">A1032</f>
        <v>0</v>
      </c>
      <c r="B1702" s="1504" t="str">
        <f t="shared" si="220"/>
        <v>Boiler Maintenance-I</v>
      </c>
      <c r="C1702" s="166">
        <f t="shared" si="220"/>
        <v>0</v>
      </c>
      <c r="D1702" s="1413" t="str">
        <f t="shared" si="220"/>
        <v>-</v>
      </c>
      <c r="E1702" s="560">
        <f t="shared" si="220"/>
        <v>0</v>
      </c>
      <c r="F1702" s="1508">
        <f t="shared" si="214"/>
        <v>0</v>
      </c>
      <c r="G1702" s="1508">
        <f t="shared" si="215"/>
        <v>0</v>
      </c>
      <c r="H1702" s="1508">
        <f t="shared" si="216"/>
        <v>0</v>
      </c>
      <c r="I1702" s="1480">
        <v>0</v>
      </c>
      <c r="J1702" s="1480">
        <v>0</v>
      </c>
      <c r="K1702" s="1508"/>
      <c r="L1702" s="1508"/>
      <c r="M1702" s="1509">
        <f t="shared" si="217"/>
        <v>0</v>
      </c>
      <c r="N1702" s="1508">
        <f t="shared" si="218"/>
        <v>0</v>
      </c>
    </row>
    <row r="1703" spans="1:14" ht="15.5" outlineLevel="1" x14ac:dyDescent="0.25">
      <c r="A1703" s="1486">
        <f t="shared" si="220"/>
        <v>1</v>
      </c>
      <c r="B1703" s="1491" t="str">
        <f t="shared" si="220"/>
        <v>DPR for Coal mill improvement</v>
      </c>
      <c r="C1703" s="166">
        <f t="shared" si="220"/>
        <v>0</v>
      </c>
      <c r="D1703" s="1413" t="str">
        <f t="shared" si="220"/>
        <v>-</v>
      </c>
      <c r="E1703" s="560">
        <f t="shared" si="220"/>
        <v>54.74</v>
      </c>
      <c r="F1703" s="1508">
        <f t="shared" si="214"/>
        <v>0</v>
      </c>
      <c r="G1703" s="1508">
        <f t="shared" si="215"/>
        <v>0</v>
      </c>
      <c r="H1703" s="1508">
        <f t="shared" si="216"/>
        <v>0</v>
      </c>
      <c r="I1703" s="1480">
        <v>0</v>
      </c>
      <c r="J1703" s="1480">
        <v>0</v>
      </c>
      <c r="K1703" s="1508"/>
      <c r="L1703" s="1508"/>
      <c r="M1703" s="1509">
        <f t="shared" si="217"/>
        <v>0</v>
      </c>
      <c r="N1703" s="1508">
        <f t="shared" si="218"/>
        <v>0</v>
      </c>
    </row>
    <row r="1704" spans="1:14" ht="31" outlineLevel="1" x14ac:dyDescent="0.25">
      <c r="A1704" s="1492">
        <f t="shared" si="220"/>
        <v>0</v>
      </c>
      <c r="B1704" s="1492" t="str">
        <f t="shared" si="220"/>
        <v>The performance improvement &amp; availability enhancement of coal millsXRP-803 at U#3&amp;4(210MW)CSTPS, Chandrapur</v>
      </c>
      <c r="C1704" s="166">
        <f t="shared" si="220"/>
        <v>0</v>
      </c>
      <c r="D1704" s="1413" t="str">
        <f t="shared" si="220"/>
        <v>-</v>
      </c>
      <c r="E1704" s="560">
        <f t="shared" si="220"/>
        <v>18.739999999999998</v>
      </c>
      <c r="F1704" s="1508">
        <f t="shared" si="214"/>
        <v>0</v>
      </c>
      <c r="G1704" s="1508">
        <f t="shared" si="215"/>
        <v>0</v>
      </c>
      <c r="H1704" s="1508">
        <f t="shared" si="216"/>
        <v>0</v>
      </c>
      <c r="I1704" s="1480">
        <v>0</v>
      </c>
      <c r="J1704" s="1480">
        <v>0</v>
      </c>
      <c r="K1704" s="1508"/>
      <c r="L1704" s="1508"/>
      <c r="M1704" s="1509">
        <f t="shared" si="217"/>
        <v>0</v>
      </c>
      <c r="N1704" s="1508">
        <f t="shared" si="218"/>
        <v>0</v>
      </c>
    </row>
    <row r="1705" spans="1:14" ht="31" outlineLevel="1" x14ac:dyDescent="0.25">
      <c r="A1705" s="1492">
        <f t="shared" si="220"/>
        <v>0</v>
      </c>
      <c r="B1705" s="1492" t="str">
        <f t="shared" si="220"/>
        <v>Replacement of Existing Volumetric coal feeders by Rotary Gravimetric coal feeders</v>
      </c>
      <c r="C1705" s="166">
        <f t="shared" si="220"/>
        <v>0</v>
      </c>
      <c r="D1705" s="1413" t="str">
        <f t="shared" si="220"/>
        <v>-</v>
      </c>
      <c r="E1705" s="560">
        <f t="shared" si="220"/>
        <v>36</v>
      </c>
      <c r="F1705" s="1508">
        <f t="shared" si="214"/>
        <v>0</v>
      </c>
      <c r="G1705" s="1508">
        <f t="shared" si="215"/>
        <v>0</v>
      </c>
      <c r="H1705" s="1508">
        <f t="shared" si="216"/>
        <v>0</v>
      </c>
      <c r="I1705" s="1480">
        <v>0</v>
      </c>
      <c r="J1705" s="1480">
        <v>0</v>
      </c>
      <c r="K1705" s="1508"/>
      <c r="L1705" s="1508"/>
      <c r="M1705" s="1509">
        <f t="shared" si="217"/>
        <v>0</v>
      </c>
      <c r="N1705" s="1508">
        <f t="shared" si="218"/>
        <v>0</v>
      </c>
    </row>
    <row r="1706" spans="1:14" ht="15.5" outlineLevel="1" x14ac:dyDescent="0.25">
      <c r="A1706" s="1486">
        <f t="shared" si="220"/>
        <v>2</v>
      </c>
      <c r="B1706" s="1491" t="str">
        <f t="shared" si="220"/>
        <v>DPR for APH basket, HRH coil and Valves</v>
      </c>
      <c r="C1706" s="1488">
        <f t="shared" si="220"/>
        <v>0</v>
      </c>
      <c r="D1706" s="1413" t="str">
        <f t="shared" si="220"/>
        <v>-</v>
      </c>
      <c r="E1706" s="560">
        <f t="shared" si="220"/>
        <v>28.94</v>
      </c>
      <c r="F1706" s="1508">
        <f t="shared" si="214"/>
        <v>0</v>
      </c>
      <c r="G1706" s="1508">
        <f t="shared" si="215"/>
        <v>0</v>
      </c>
      <c r="H1706" s="1508">
        <f t="shared" si="216"/>
        <v>0</v>
      </c>
      <c r="I1706" s="1480">
        <v>0</v>
      </c>
      <c r="J1706" s="1480">
        <v>0</v>
      </c>
      <c r="K1706" s="1508"/>
      <c r="L1706" s="1508"/>
      <c r="M1706" s="1509">
        <f t="shared" si="217"/>
        <v>0</v>
      </c>
      <c r="N1706" s="1508">
        <f t="shared" si="218"/>
        <v>0</v>
      </c>
    </row>
    <row r="1707" spans="1:14" ht="31" outlineLevel="1" x14ac:dyDescent="0.25">
      <c r="A1707" s="1492">
        <f t="shared" si="220"/>
        <v>0</v>
      </c>
      <c r="B1707" s="1492" t="str">
        <f t="shared" si="220"/>
        <v>Procurement &amp; replacement of APH Basket assemblies at U#3&amp;4,CSTPS, Chandrapur</v>
      </c>
      <c r="C1707" s="1488">
        <f t="shared" si="220"/>
        <v>0</v>
      </c>
      <c r="D1707" s="1413" t="str">
        <f t="shared" si="220"/>
        <v>-</v>
      </c>
      <c r="E1707" s="560">
        <f t="shared" si="220"/>
        <v>4.9400000000000004</v>
      </c>
      <c r="F1707" s="1508">
        <f t="shared" si="214"/>
        <v>0</v>
      </c>
      <c r="G1707" s="1508">
        <f t="shared" si="215"/>
        <v>0</v>
      </c>
      <c r="H1707" s="1508">
        <f t="shared" si="216"/>
        <v>0</v>
      </c>
      <c r="I1707" s="1480">
        <v>0</v>
      </c>
      <c r="J1707" s="1480">
        <v>0</v>
      </c>
      <c r="K1707" s="1508"/>
      <c r="L1707" s="1508"/>
      <c r="M1707" s="1509">
        <f t="shared" si="217"/>
        <v>0</v>
      </c>
      <c r="N1707" s="1508">
        <f t="shared" si="218"/>
        <v>0</v>
      </c>
    </row>
    <row r="1708" spans="1:14" ht="31" outlineLevel="1" x14ac:dyDescent="0.25">
      <c r="A1708" s="1492">
        <f t="shared" si="220"/>
        <v>0</v>
      </c>
      <c r="B1708" s="1492" t="str">
        <f t="shared" si="220"/>
        <v>Procurement &amp; replacement of complete HRH coils assembly in U#4</v>
      </c>
      <c r="C1708" s="1488">
        <f t="shared" si="220"/>
        <v>0</v>
      </c>
      <c r="D1708" s="1413" t="str">
        <f t="shared" si="220"/>
        <v>-</v>
      </c>
      <c r="E1708" s="560">
        <f t="shared" si="220"/>
        <v>24</v>
      </c>
      <c r="F1708" s="1508">
        <f t="shared" si="214"/>
        <v>0</v>
      </c>
      <c r="G1708" s="1508">
        <f t="shared" si="215"/>
        <v>0</v>
      </c>
      <c r="H1708" s="1508">
        <f t="shared" si="216"/>
        <v>0</v>
      </c>
      <c r="I1708" s="1480">
        <v>0</v>
      </c>
      <c r="J1708" s="1480">
        <v>0</v>
      </c>
      <c r="K1708" s="1508"/>
      <c r="L1708" s="1508"/>
      <c r="M1708" s="1509">
        <f t="shared" si="217"/>
        <v>0</v>
      </c>
      <c r="N1708" s="1508">
        <f t="shared" si="218"/>
        <v>0</v>
      </c>
    </row>
    <row r="1709" spans="1:14" ht="15.5" outlineLevel="1" x14ac:dyDescent="0.25">
      <c r="A1709" s="1486">
        <f t="shared" si="220"/>
        <v>3</v>
      </c>
      <c r="B1709" s="1491" t="str">
        <f t="shared" si="220"/>
        <v>DPR for ESP internal and CRH coil</v>
      </c>
      <c r="C1709" s="1488">
        <f t="shared" si="220"/>
        <v>0</v>
      </c>
      <c r="D1709" s="1413" t="str">
        <f t="shared" si="220"/>
        <v>-</v>
      </c>
      <c r="E1709" s="560">
        <f t="shared" si="220"/>
        <v>45</v>
      </c>
      <c r="F1709" s="1508">
        <f t="shared" si="214"/>
        <v>0</v>
      </c>
      <c r="G1709" s="1508">
        <f t="shared" si="215"/>
        <v>0</v>
      </c>
      <c r="H1709" s="1508">
        <f t="shared" si="216"/>
        <v>0</v>
      </c>
      <c r="I1709" s="1480">
        <v>0</v>
      </c>
      <c r="J1709" s="1480">
        <v>0</v>
      </c>
      <c r="K1709" s="1508"/>
      <c r="L1709" s="1508"/>
      <c r="M1709" s="1509">
        <f t="shared" si="217"/>
        <v>0</v>
      </c>
      <c r="N1709" s="1508">
        <f t="shared" si="218"/>
        <v>0</v>
      </c>
    </row>
    <row r="1710" spans="1:14" ht="15.5" outlineLevel="1" x14ac:dyDescent="0.25">
      <c r="A1710" s="1492">
        <f t="shared" si="220"/>
        <v>0</v>
      </c>
      <c r="B1710" s="1492" t="str">
        <f t="shared" si="220"/>
        <v>Replacement of complete internals of ESP U#3&amp;4</v>
      </c>
      <c r="C1710" s="1488">
        <f t="shared" si="220"/>
        <v>0</v>
      </c>
      <c r="D1710" s="1413" t="str">
        <f t="shared" si="220"/>
        <v>-</v>
      </c>
      <c r="E1710" s="560">
        <f t="shared" si="220"/>
        <v>20</v>
      </c>
      <c r="F1710" s="1508">
        <f t="shared" si="214"/>
        <v>0</v>
      </c>
      <c r="G1710" s="1508">
        <f t="shared" si="215"/>
        <v>0</v>
      </c>
      <c r="H1710" s="1508">
        <f t="shared" si="216"/>
        <v>0</v>
      </c>
      <c r="I1710" s="1480">
        <v>0</v>
      </c>
      <c r="J1710" s="1480">
        <v>0</v>
      </c>
      <c r="K1710" s="1508"/>
      <c r="L1710" s="1508"/>
      <c r="M1710" s="1509">
        <f t="shared" si="217"/>
        <v>0</v>
      </c>
      <c r="N1710" s="1508">
        <f t="shared" si="218"/>
        <v>0</v>
      </c>
    </row>
    <row r="1711" spans="1:14" ht="15.5" outlineLevel="1" x14ac:dyDescent="0.25">
      <c r="A1711" s="1492">
        <f t="shared" si="220"/>
        <v>0</v>
      </c>
      <c r="B1711" s="1492" t="str">
        <f t="shared" si="220"/>
        <v xml:space="preserve">Procurement &amp; replacement of CRH coil assemblies in U#3 </v>
      </c>
      <c r="C1711" s="1488">
        <f t="shared" si="220"/>
        <v>0</v>
      </c>
      <c r="D1711" s="1413" t="str">
        <f t="shared" si="220"/>
        <v>-</v>
      </c>
      <c r="E1711" s="560">
        <f t="shared" si="220"/>
        <v>25</v>
      </c>
      <c r="F1711" s="1508">
        <f t="shared" si="214"/>
        <v>0</v>
      </c>
      <c r="G1711" s="1508">
        <f t="shared" si="215"/>
        <v>0</v>
      </c>
      <c r="H1711" s="1508">
        <f t="shared" si="216"/>
        <v>0</v>
      </c>
      <c r="I1711" s="1480">
        <v>0</v>
      </c>
      <c r="J1711" s="1480">
        <v>0</v>
      </c>
      <c r="K1711" s="1508"/>
      <c r="L1711" s="1508"/>
      <c r="M1711" s="1509">
        <f t="shared" si="217"/>
        <v>0</v>
      </c>
      <c r="N1711" s="1508">
        <f t="shared" si="218"/>
        <v>0</v>
      </c>
    </row>
    <row r="1712" spans="1:14" ht="31" outlineLevel="1" x14ac:dyDescent="0.25">
      <c r="A1712" s="1486">
        <f t="shared" si="220"/>
        <v>4</v>
      </c>
      <c r="B1712" s="1491" t="str">
        <f t="shared" si="220"/>
        <v>Procurement &amp; replacement of LTSH &amp; Economiser coil assemblies in U#3</v>
      </c>
      <c r="C1712" s="1488">
        <f t="shared" si="220"/>
        <v>0</v>
      </c>
      <c r="D1712" s="1413" t="str">
        <f t="shared" si="220"/>
        <v>-</v>
      </c>
      <c r="E1712" s="560">
        <f t="shared" si="220"/>
        <v>30</v>
      </c>
      <c r="F1712" s="1508">
        <f t="shared" si="214"/>
        <v>0</v>
      </c>
      <c r="G1712" s="1508">
        <f t="shared" si="215"/>
        <v>0</v>
      </c>
      <c r="H1712" s="1508">
        <f t="shared" si="216"/>
        <v>0</v>
      </c>
      <c r="I1712" s="1480">
        <v>0</v>
      </c>
      <c r="J1712" s="1480">
        <v>0</v>
      </c>
      <c r="K1712" s="1508"/>
      <c r="L1712" s="1508"/>
      <c r="M1712" s="1509">
        <f t="shared" si="217"/>
        <v>0</v>
      </c>
      <c r="N1712" s="1508">
        <f t="shared" si="218"/>
        <v>0</v>
      </c>
    </row>
    <row r="1713" spans="1:14" ht="31" outlineLevel="1" x14ac:dyDescent="0.25">
      <c r="A1713" s="1492">
        <f t="shared" si="220"/>
        <v>0</v>
      </c>
      <c r="B1713" s="1492" t="str">
        <f t="shared" si="220"/>
        <v>Procurement &amp; replacement of LTSH &amp; Economiser coil assemblies in U#3</v>
      </c>
      <c r="C1713" s="1488">
        <f t="shared" si="220"/>
        <v>0</v>
      </c>
      <c r="D1713" s="1413" t="str">
        <f t="shared" si="220"/>
        <v>-</v>
      </c>
      <c r="E1713" s="560">
        <f t="shared" si="220"/>
        <v>30</v>
      </c>
      <c r="F1713" s="1508">
        <f t="shared" si="214"/>
        <v>0</v>
      </c>
      <c r="G1713" s="1508">
        <f t="shared" si="215"/>
        <v>0</v>
      </c>
      <c r="H1713" s="1508">
        <f t="shared" si="216"/>
        <v>0</v>
      </c>
      <c r="I1713" s="1480">
        <v>0</v>
      </c>
      <c r="J1713" s="1480">
        <v>0</v>
      </c>
      <c r="K1713" s="1508"/>
      <c r="L1713" s="1508"/>
      <c r="M1713" s="1509">
        <f t="shared" si="217"/>
        <v>0</v>
      </c>
      <c r="N1713" s="1508">
        <f t="shared" si="218"/>
        <v>0</v>
      </c>
    </row>
    <row r="1714" spans="1:14" ht="15.5" outlineLevel="1" x14ac:dyDescent="0.25">
      <c r="A1714" s="1504">
        <f t="shared" si="220"/>
        <v>0</v>
      </c>
      <c r="B1714" s="1504" t="str">
        <f t="shared" si="220"/>
        <v>Turbine Maintenance-I</v>
      </c>
      <c r="C1714" s="1488">
        <f t="shared" si="220"/>
        <v>0</v>
      </c>
      <c r="D1714" s="1413" t="str">
        <f t="shared" si="220"/>
        <v>-</v>
      </c>
      <c r="E1714" s="560">
        <f t="shared" si="220"/>
        <v>0</v>
      </c>
      <c r="F1714" s="1508">
        <f t="shared" si="214"/>
        <v>0</v>
      </c>
      <c r="G1714" s="1508">
        <f t="shared" si="215"/>
        <v>0</v>
      </c>
      <c r="H1714" s="1508">
        <f t="shared" si="216"/>
        <v>0</v>
      </c>
      <c r="I1714" s="1480">
        <v>0</v>
      </c>
      <c r="J1714" s="1480">
        <v>0</v>
      </c>
      <c r="K1714" s="1508"/>
      <c r="L1714" s="1508"/>
      <c r="M1714" s="1509">
        <f t="shared" si="217"/>
        <v>0</v>
      </c>
      <c r="N1714" s="1508">
        <f t="shared" si="218"/>
        <v>0</v>
      </c>
    </row>
    <row r="1715" spans="1:14" ht="31" outlineLevel="1" x14ac:dyDescent="0.25">
      <c r="A1715" s="1486">
        <f t="shared" si="220"/>
        <v>1</v>
      </c>
      <c r="B1715" s="1491" t="str">
        <f t="shared" si="220"/>
        <v>DPR for Vaccuum system improvement and procurment of BFP cartridge</v>
      </c>
      <c r="C1715" s="1488">
        <f t="shared" si="220"/>
        <v>0</v>
      </c>
      <c r="D1715" s="1413" t="str">
        <f t="shared" si="220"/>
        <v>-</v>
      </c>
      <c r="E1715" s="560">
        <f t="shared" si="220"/>
        <v>35</v>
      </c>
      <c r="F1715" s="1508">
        <f t="shared" si="214"/>
        <v>0</v>
      </c>
      <c r="G1715" s="1508">
        <f t="shared" si="215"/>
        <v>0</v>
      </c>
      <c r="H1715" s="1508">
        <f t="shared" si="216"/>
        <v>0</v>
      </c>
      <c r="I1715" s="1480">
        <v>0</v>
      </c>
      <c r="J1715" s="1480">
        <v>0</v>
      </c>
      <c r="K1715" s="1508"/>
      <c r="L1715" s="1508"/>
      <c r="M1715" s="1509">
        <f t="shared" si="217"/>
        <v>0</v>
      </c>
      <c r="N1715" s="1508">
        <f t="shared" si="218"/>
        <v>0</v>
      </c>
    </row>
    <row r="1716" spans="1:14" ht="15.5" outlineLevel="1" x14ac:dyDescent="0.25">
      <c r="A1716" s="1492">
        <f t="shared" si="220"/>
        <v>0</v>
      </c>
      <c r="B1716" s="1492" t="str">
        <f t="shared" si="220"/>
        <v>Condenser vaccuum system improvement</v>
      </c>
      <c r="C1716" s="1488">
        <f t="shared" si="220"/>
        <v>0</v>
      </c>
      <c r="D1716" s="1413" t="str">
        <f t="shared" si="220"/>
        <v>-</v>
      </c>
      <c r="E1716" s="560">
        <f t="shared" si="220"/>
        <v>16</v>
      </c>
      <c r="F1716" s="1508">
        <f t="shared" si="214"/>
        <v>0</v>
      </c>
      <c r="G1716" s="1508">
        <f t="shared" si="215"/>
        <v>0</v>
      </c>
      <c r="H1716" s="1508">
        <f t="shared" si="216"/>
        <v>0</v>
      </c>
      <c r="I1716" s="1480">
        <v>0</v>
      </c>
      <c r="J1716" s="1480">
        <v>0</v>
      </c>
      <c r="K1716" s="1508"/>
      <c r="L1716" s="1508"/>
      <c r="M1716" s="1509">
        <f t="shared" si="217"/>
        <v>0</v>
      </c>
      <c r="N1716" s="1508">
        <f t="shared" si="218"/>
        <v>0</v>
      </c>
    </row>
    <row r="1717" spans="1:14" ht="31" outlineLevel="1" x14ac:dyDescent="0.25">
      <c r="A1717" s="1492">
        <f t="shared" si="220"/>
        <v>0</v>
      </c>
      <c r="B1717" s="1492" t="str">
        <f t="shared" si="220"/>
        <v>Procurement of BFP main pump cartridges for 200 KHI/s BHEL pump &amp; Procurment of Voith Hydraulic Coupling R17K for BFP</v>
      </c>
      <c r="C1717" s="1488">
        <f t="shared" si="220"/>
        <v>0</v>
      </c>
      <c r="D1717" s="1413" t="str">
        <f t="shared" si="220"/>
        <v>-</v>
      </c>
      <c r="E1717" s="560">
        <f t="shared" si="220"/>
        <v>19</v>
      </c>
      <c r="F1717" s="1508">
        <f t="shared" si="214"/>
        <v>0</v>
      </c>
      <c r="G1717" s="1508">
        <f t="shared" si="215"/>
        <v>0</v>
      </c>
      <c r="H1717" s="1508">
        <f t="shared" si="216"/>
        <v>0</v>
      </c>
      <c r="I1717" s="1480">
        <v>0</v>
      </c>
      <c r="J1717" s="1480">
        <v>0</v>
      </c>
      <c r="K1717" s="1508"/>
      <c r="L1717" s="1508"/>
      <c r="M1717" s="1509">
        <f t="shared" si="217"/>
        <v>0</v>
      </c>
      <c r="N1717" s="1508">
        <f t="shared" si="218"/>
        <v>0</v>
      </c>
    </row>
    <row r="1718" spans="1:14" ht="15.5" outlineLevel="1" x14ac:dyDescent="0.25">
      <c r="A1718" s="1486">
        <f t="shared" ref="A1718:E1733" si="221">A1048</f>
        <v>2</v>
      </c>
      <c r="B1718" s="1491" t="str">
        <f t="shared" si="221"/>
        <v>WTP-I improvement schemes</v>
      </c>
      <c r="C1718" s="1488">
        <f t="shared" si="221"/>
        <v>0</v>
      </c>
      <c r="D1718" s="1413" t="str">
        <f t="shared" si="221"/>
        <v>-</v>
      </c>
      <c r="E1718" s="560">
        <f t="shared" si="221"/>
        <v>26</v>
      </c>
      <c r="F1718" s="1508">
        <f t="shared" si="214"/>
        <v>0</v>
      </c>
      <c r="G1718" s="1508">
        <f t="shared" si="215"/>
        <v>0</v>
      </c>
      <c r="H1718" s="1508">
        <f t="shared" si="216"/>
        <v>0</v>
      </c>
      <c r="I1718" s="1480">
        <v>0</v>
      </c>
      <c r="J1718" s="1480">
        <v>0</v>
      </c>
      <c r="K1718" s="1508"/>
      <c r="L1718" s="1508"/>
      <c r="M1718" s="1509">
        <f t="shared" si="217"/>
        <v>0</v>
      </c>
      <c r="N1718" s="1508">
        <f t="shared" si="218"/>
        <v>0</v>
      </c>
    </row>
    <row r="1719" spans="1:14" ht="46.5" outlineLevel="1" x14ac:dyDescent="0.25">
      <c r="A1719" s="1492">
        <f t="shared" si="221"/>
        <v>0</v>
      </c>
      <c r="B1719" s="1492" t="str">
        <f t="shared" si="221"/>
        <v>Replacement of instrument air an service air compressors in Unit 3 &amp; 4, WTP-I with screw type compressors including refrigerant type air dryer system</v>
      </c>
      <c r="C1719" s="1488">
        <f t="shared" si="221"/>
        <v>0</v>
      </c>
      <c r="D1719" s="1413" t="str">
        <f t="shared" si="221"/>
        <v>-</v>
      </c>
      <c r="E1719" s="560">
        <f t="shared" si="221"/>
        <v>6</v>
      </c>
      <c r="F1719" s="1508">
        <f t="shared" si="214"/>
        <v>0</v>
      </c>
      <c r="G1719" s="1508">
        <f t="shared" si="215"/>
        <v>0</v>
      </c>
      <c r="H1719" s="1508">
        <f t="shared" si="216"/>
        <v>0</v>
      </c>
      <c r="I1719" s="1480">
        <v>0</v>
      </c>
      <c r="J1719" s="1480">
        <v>0</v>
      </c>
      <c r="K1719" s="1508"/>
      <c r="L1719" s="1508"/>
      <c r="M1719" s="1509">
        <f t="shared" si="217"/>
        <v>0</v>
      </c>
      <c r="N1719" s="1508">
        <f t="shared" si="218"/>
        <v>0</v>
      </c>
    </row>
    <row r="1720" spans="1:14" ht="31" outlineLevel="1" x14ac:dyDescent="0.25">
      <c r="A1720" s="1492">
        <f t="shared" si="221"/>
        <v>0</v>
      </c>
      <c r="B1720" s="1492" t="str">
        <f t="shared" si="221"/>
        <v>Refurbishment of hydrogen compressors at Hydrogen plant WTP-I</v>
      </c>
      <c r="C1720" s="1488">
        <f t="shared" si="221"/>
        <v>0</v>
      </c>
      <c r="D1720" s="1413" t="str">
        <f t="shared" si="221"/>
        <v>-</v>
      </c>
      <c r="E1720" s="560">
        <f t="shared" si="221"/>
        <v>10</v>
      </c>
      <c r="F1720" s="1508">
        <f t="shared" si="214"/>
        <v>0</v>
      </c>
      <c r="G1720" s="1508">
        <f t="shared" si="215"/>
        <v>0</v>
      </c>
      <c r="H1720" s="1508">
        <f t="shared" si="216"/>
        <v>0</v>
      </c>
      <c r="I1720" s="1480">
        <v>0</v>
      </c>
      <c r="J1720" s="1480">
        <v>0</v>
      </c>
      <c r="K1720" s="1508"/>
      <c r="L1720" s="1508"/>
      <c r="M1720" s="1509">
        <f t="shared" si="217"/>
        <v>0</v>
      </c>
      <c r="N1720" s="1508">
        <f t="shared" si="218"/>
        <v>0</v>
      </c>
    </row>
    <row r="1721" spans="1:14" ht="15.5" outlineLevel="1" x14ac:dyDescent="0.25">
      <c r="A1721" s="1492">
        <f t="shared" si="221"/>
        <v>0</v>
      </c>
      <c r="B1721" s="1492" t="str">
        <f t="shared" si="221"/>
        <v>Replacement of Circulating water pumps in Unit 3 &amp; 4</v>
      </c>
      <c r="C1721" s="1488">
        <f t="shared" si="221"/>
        <v>0</v>
      </c>
      <c r="D1721" s="1413" t="str">
        <f t="shared" si="221"/>
        <v>-</v>
      </c>
      <c r="E1721" s="560">
        <f t="shared" si="221"/>
        <v>10</v>
      </c>
      <c r="F1721" s="1508">
        <f t="shared" si="214"/>
        <v>0</v>
      </c>
      <c r="G1721" s="1508">
        <f t="shared" si="215"/>
        <v>0</v>
      </c>
      <c r="H1721" s="1508">
        <f t="shared" si="216"/>
        <v>0</v>
      </c>
      <c r="I1721" s="1480">
        <v>0</v>
      </c>
      <c r="J1721" s="1480">
        <v>0</v>
      </c>
      <c r="K1721" s="1508"/>
      <c r="L1721" s="1508"/>
      <c r="M1721" s="1509">
        <f t="shared" si="217"/>
        <v>0</v>
      </c>
      <c r="N1721" s="1508">
        <f t="shared" si="218"/>
        <v>0</v>
      </c>
    </row>
    <row r="1722" spans="1:14" ht="15.5" outlineLevel="1" x14ac:dyDescent="0.25">
      <c r="A1722" s="1486">
        <f t="shared" si="221"/>
        <v>3</v>
      </c>
      <c r="B1722" s="1491" t="str">
        <f t="shared" si="221"/>
        <v>Procurment of HP valves, CEP Cartridge, GS pump</v>
      </c>
      <c r="C1722" s="1488">
        <f t="shared" si="221"/>
        <v>0</v>
      </c>
      <c r="D1722" s="1413" t="str">
        <f t="shared" si="221"/>
        <v>-</v>
      </c>
      <c r="E1722" s="560">
        <f t="shared" si="221"/>
        <v>25</v>
      </c>
      <c r="F1722" s="1508">
        <f t="shared" si="214"/>
        <v>0</v>
      </c>
      <c r="G1722" s="1508">
        <f t="shared" si="215"/>
        <v>0</v>
      </c>
      <c r="H1722" s="1508">
        <f t="shared" si="216"/>
        <v>0</v>
      </c>
      <c r="I1722" s="1480">
        <v>0</v>
      </c>
      <c r="J1722" s="1480">
        <v>0</v>
      </c>
      <c r="K1722" s="1508"/>
      <c r="L1722" s="1508"/>
      <c r="M1722" s="1509">
        <f t="shared" si="217"/>
        <v>0</v>
      </c>
      <c r="N1722" s="1508">
        <f t="shared" si="218"/>
        <v>0</v>
      </c>
    </row>
    <row r="1723" spans="1:14" ht="15.5" outlineLevel="1" x14ac:dyDescent="0.25">
      <c r="A1723" s="1492">
        <f t="shared" si="221"/>
        <v>0</v>
      </c>
      <c r="B1723" s="1492" t="str">
        <f t="shared" si="221"/>
        <v>Procurement of HP valves for Unit 3 &amp; 4</v>
      </c>
      <c r="C1723" s="1488">
        <f t="shared" si="221"/>
        <v>0</v>
      </c>
      <c r="D1723" s="1413" t="str">
        <f t="shared" si="221"/>
        <v>-</v>
      </c>
      <c r="E1723" s="560">
        <f t="shared" si="221"/>
        <v>15</v>
      </c>
      <c r="F1723" s="1508">
        <f t="shared" si="214"/>
        <v>0</v>
      </c>
      <c r="G1723" s="1508">
        <f t="shared" si="215"/>
        <v>0</v>
      </c>
      <c r="H1723" s="1508">
        <f t="shared" si="216"/>
        <v>0</v>
      </c>
      <c r="I1723" s="1480">
        <v>0</v>
      </c>
      <c r="J1723" s="1480">
        <v>0</v>
      </c>
      <c r="K1723" s="1508"/>
      <c r="L1723" s="1508"/>
      <c r="M1723" s="1509">
        <f t="shared" si="217"/>
        <v>0</v>
      </c>
      <c r="N1723" s="1508">
        <f t="shared" si="218"/>
        <v>0</v>
      </c>
    </row>
    <row r="1724" spans="1:14" ht="31" outlineLevel="1" x14ac:dyDescent="0.25">
      <c r="A1724" s="1492">
        <f t="shared" si="221"/>
        <v>0</v>
      </c>
      <c r="B1724" s="1492" t="str">
        <f t="shared" si="221"/>
        <v>Procurement cartridges for Condensate extraction pump ( Make KSB WKT 150/7)</v>
      </c>
      <c r="C1724" s="1488">
        <f t="shared" si="221"/>
        <v>0</v>
      </c>
      <c r="D1724" s="1413" t="str">
        <f t="shared" si="221"/>
        <v>-</v>
      </c>
      <c r="E1724" s="560">
        <f t="shared" si="221"/>
        <v>5</v>
      </c>
      <c r="F1724" s="1508">
        <f t="shared" si="214"/>
        <v>0</v>
      </c>
      <c r="G1724" s="1508">
        <f t="shared" si="215"/>
        <v>0</v>
      </c>
      <c r="H1724" s="1508">
        <f t="shared" si="216"/>
        <v>0</v>
      </c>
      <c r="I1724" s="1480">
        <v>0</v>
      </c>
      <c r="J1724" s="1480">
        <v>0</v>
      </c>
      <c r="K1724" s="1508"/>
      <c r="L1724" s="1508"/>
      <c r="M1724" s="1509">
        <f t="shared" si="217"/>
        <v>0</v>
      </c>
      <c r="N1724" s="1508">
        <f t="shared" si="218"/>
        <v>0</v>
      </c>
    </row>
    <row r="1725" spans="1:14" ht="31" outlineLevel="1" x14ac:dyDescent="0.25">
      <c r="A1725" s="1492">
        <f t="shared" si="221"/>
        <v>0</v>
      </c>
      <c r="B1725" s="1492" t="str">
        <f t="shared" si="221"/>
        <v>Procurement of WPIL make GS pump JTC 24E with pipelines and valves for Unit 3 &amp; 4</v>
      </c>
      <c r="C1725" s="1488">
        <f t="shared" si="221"/>
        <v>0</v>
      </c>
      <c r="D1725" s="1413" t="str">
        <f t="shared" si="221"/>
        <v>-</v>
      </c>
      <c r="E1725" s="560">
        <f t="shared" si="221"/>
        <v>5</v>
      </c>
      <c r="F1725" s="1508">
        <f t="shared" si="214"/>
        <v>0</v>
      </c>
      <c r="G1725" s="1508">
        <f t="shared" si="215"/>
        <v>0</v>
      </c>
      <c r="H1725" s="1508">
        <f t="shared" si="216"/>
        <v>0</v>
      </c>
      <c r="I1725" s="1480">
        <v>0</v>
      </c>
      <c r="J1725" s="1480">
        <v>0</v>
      </c>
      <c r="K1725" s="1508"/>
      <c r="L1725" s="1508"/>
      <c r="M1725" s="1509">
        <f t="shared" si="217"/>
        <v>0</v>
      </c>
      <c r="N1725" s="1508">
        <f t="shared" si="218"/>
        <v>0</v>
      </c>
    </row>
    <row r="1726" spans="1:14" ht="15.5" outlineLevel="1" x14ac:dyDescent="0.25">
      <c r="A1726" s="1504">
        <f t="shared" si="221"/>
        <v>0</v>
      </c>
      <c r="B1726" s="1504" t="str">
        <f t="shared" si="221"/>
        <v>Electrical maintenance -I</v>
      </c>
      <c r="C1726" s="1488">
        <f t="shared" si="221"/>
        <v>0</v>
      </c>
      <c r="D1726" s="1413" t="str">
        <f t="shared" si="221"/>
        <v>-</v>
      </c>
      <c r="E1726" s="560">
        <f t="shared" si="221"/>
        <v>0</v>
      </c>
      <c r="F1726" s="1508">
        <f t="shared" si="214"/>
        <v>0</v>
      </c>
      <c r="G1726" s="1508">
        <f t="shared" si="215"/>
        <v>0</v>
      </c>
      <c r="H1726" s="1508">
        <f t="shared" si="216"/>
        <v>0</v>
      </c>
      <c r="I1726" s="1480">
        <v>0</v>
      </c>
      <c r="J1726" s="1480">
        <v>0</v>
      </c>
      <c r="K1726" s="1508"/>
      <c r="L1726" s="1508"/>
      <c r="M1726" s="1509">
        <f t="shared" si="217"/>
        <v>0</v>
      </c>
      <c r="N1726" s="1508">
        <f t="shared" si="218"/>
        <v>0</v>
      </c>
    </row>
    <row r="1727" spans="1:14" ht="31" outlineLevel="1" x14ac:dyDescent="0.25">
      <c r="A1727" s="1486">
        <f t="shared" si="221"/>
        <v>1</v>
      </c>
      <c r="B1727" s="1491" t="str">
        <f t="shared" si="221"/>
        <v>DPR  for colony electrical renovation, switchgear, Energy meter, breaker</v>
      </c>
      <c r="C1727" s="1488">
        <f t="shared" si="221"/>
        <v>0</v>
      </c>
      <c r="D1727" s="1413" t="str">
        <f t="shared" si="221"/>
        <v>-</v>
      </c>
      <c r="E1727" s="560">
        <f t="shared" si="221"/>
        <v>47.3</v>
      </c>
      <c r="F1727" s="1508">
        <f t="shared" si="214"/>
        <v>0</v>
      </c>
      <c r="G1727" s="1508">
        <f t="shared" si="215"/>
        <v>0</v>
      </c>
      <c r="H1727" s="1508">
        <f t="shared" si="216"/>
        <v>0</v>
      </c>
      <c r="I1727" s="1480">
        <v>0</v>
      </c>
      <c r="J1727" s="1480">
        <v>0</v>
      </c>
      <c r="K1727" s="1508"/>
      <c r="L1727" s="1508"/>
      <c r="M1727" s="1509">
        <f t="shared" si="217"/>
        <v>0</v>
      </c>
      <c r="N1727" s="1508">
        <f t="shared" si="218"/>
        <v>0</v>
      </c>
    </row>
    <row r="1728" spans="1:14" ht="15.5" outlineLevel="1" x14ac:dyDescent="0.25">
      <c r="A1728" s="1492">
        <f t="shared" si="221"/>
        <v>0</v>
      </c>
      <c r="B1728" s="1492" t="str">
        <f t="shared" si="221"/>
        <v>Colony electrical renovation</v>
      </c>
      <c r="C1728" s="1488">
        <f t="shared" si="221"/>
        <v>0</v>
      </c>
      <c r="D1728" s="1413" t="str">
        <f t="shared" si="221"/>
        <v>-</v>
      </c>
      <c r="E1728" s="560">
        <f t="shared" si="221"/>
        <v>47.3</v>
      </c>
      <c r="F1728" s="1508">
        <f t="shared" si="214"/>
        <v>0</v>
      </c>
      <c r="G1728" s="1508">
        <f t="shared" si="215"/>
        <v>0</v>
      </c>
      <c r="H1728" s="1508">
        <f t="shared" si="216"/>
        <v>0</v>
      </c>
      <c r="I1728" s="1480">
        <v>0</v>
      </c>
      <c r="J1728" s="1480">
        <v>0</v>
      </c>
      <c r="K1728" s="1508"/>
      <c r="L1728" s="1508"/>
      <c r="M1728" s="1509">
        <f t="shared" si="217"/>
        <v>0</v>
      </c>
      <c r="N1728" s="1508">
        <f t="shared" si="218"/>
        <v>0</v>
      </c>
    </row>
    <row r="1729" spans="1:14" ht="31" outlineLevel="1" x14ac:dyDescent="0.25">
      <c r="A1729" s="1486">
        <f t="shared" si="221"/>
        <v>2</v>
      </c>
      <c r="B1729" s="1491" t="str">
        <f t="shared" si="221"/>
        <v>Electrification and illumination of perimeter wall CSTPS, Chandapur as per IB recomm</v>
      </c>
      <c r="C1729" s="1488">
        <f t="shared" si="221"/>
        <v>0</v>
      </c>
      <c r="D1729" s="1413" t="str">
        <f t="shared" si="221"/>
        <v>-</v>
      </c>
      <c r="E1729" s="560">
        <f t="shared" si="221"/>
        <v>25.679999999999996</v>
      </c>
      <c r="F1729" s="1508">
        <f t="shared" si="214"/>
        <v>0</v>
      </c>
      <c r="G1729" s="1508">
        <f t="shared" si="215"/>
        <v>0</v>
      </c>
      <c r="H1729" s="1508">
        <f t="shared" si="216"/>
        <v>0</v>
      </c>
      <c r="I1729" s="1480">
        <v>0</v>
      </c>
      <c r="J1729" s="1480">
        <v>0</v>
      </c>
      <c r="K1729" s="1508"/>
      <c r="L1729" s="1508"/>
      <c r="M1729" s="1509">
        <f t="shared" si="217"/>
        <v>0</v>
      </c>
      <c r="N1729" s="1508">
        <f t="shared" si="218"/>
        <v>0</v>
      </c>
    </row>
    <row r="1730" spans="1:14" ht="31" outlineLevel="1" x14ac:dyDescent="0.25">
      <c r="A1730" s="1492">
        <f t="shared" si="221"/>
        <v>0</v>
      </c>
      <c r="B1730" s="1492" t="str">
        <f t="shared" si="221"/>
        <v>Electrification and illumination of perimeter wall CSTPS, Chandapur</v>
      </c>
      <c r="C1730" s="1488">
        <f t="shared" si="221"/>
        <v>0</v>
      </c>
      <c r="D1730" s="1413" t="str">
        <f t="shared" si="221"/>
        <v>-</v>
      </c>
      <c r="E1730" s="560">
        <f t="shared" si="221"/>
        <v>12.52</v>
      </c>
      <c r="F1730" s="1508">
        <f t="shared" si="214"/>
        <v>0</v>
      </c>
      <c r="G1730" s="1508">
        <f t="shared" si="215"/>
        <v>0</v>
      </c>
      <c r="H1730" s="1508">
        <f t="shared" si="216"/>
        <v>0</v>
      </c>
      <c r="I1730" s="1480">
        <v>0</v>
      </c>
      <c r="J1730" s="1480">
        <v>0</v>
      </c>
      <c r="K1730" s="1508"/>
      <c r="L1730" s="1508"/>
      <c r="M1730" s="1509">
        <f t="shared" si="217"/>
        <v>0</v>
      </c>
      <c r="N1730" s="1508">
        <f t="shared" si="218"/>
        <v>0</v>
      </c>
    </row>
    <row r="1731" spans="1:14" ht="31" outlineLevel="1" x14ac:dyDescent="0.25">
      <c r="A1731" s="1492">
        <f t="shared" si="221"/>
        <v>0</v>
      </c>
      <c r="B1731" s="1492" t="str">
        <f t="shared" si="221"/>
        <v>Replacement of Distibution board, and switchgear at different areas of plant, colony, Dam</v>
      </c>
      <c r="C1731" s="1488">
        <f t="shared" si="221"/>
        <v>0</v>
      </c>
      <c r="D1731" s="1413" t="str">
        <f t="shared" si="221"/>
        <v>-</v>
      </c>
      <c r="E1731" s="560">
        <f t="shared" si="221"/>
        <v>12.35</v>
      </c>
      <c r="F1731" s="1508">
        <f t="shared" si="214"/>
        <v>0</v>
      </c>
      <c r="G1731" s="1508">
        <f t="shared" si="215"/>
        <v>0</v>
      </c>
      <c r="H1731" s="1508">
        <f t="shared" si="216"/>
        <v>0</v>
      </c>
      <c r="I1731" s="1480">
        <v>0</v>
      </c>
      <c r="J1731" s="1480">
        <v>0</v>
      </c>
      <c r="K1731" s="1508"/>
      <c r="L1731" s="1508"/>
      <c r="M1731" s="1509">
        <f t="shared" si="217"/>
        <v>0</v>
      </c>
      <c r="N1731" s="1508">
        <f t="shared" si="218"/>
        <v>0</v>
      </c>
    </row>
    <row r="1732" spans="1:14" ht="15.5" outlineLevel="1" x14ac:dyDescent="0.25">
      <c r="A1732" s="1492">
        <f t="shared" si="221"/>
        <v>0</v>
      </c>
      <c r="B1732" s="1492" t="str">
        <f t="shared" si="221"/>
        <v>Replacement of Energy meter</v>
      </c>
      <c r="C1732" s="1488">
        <f t="shared" si="221"/>
        <v>0</v>
      </c>
      <c r="D1732" s="1413" t="str">
        <f t="shared" si="221"/>
        <v>-</v>
      </c>
      <c r="E1732" s="560">
        <f t="shared" si="221"/>
        <v>0.81</v>
      </c>
      <c r="F1732" s="1508">
        <f t="shared" si="214"/>
        <v>0</v>
      </c>
      <c r="G1732" s="1508">
        <f t="shared" si="215"/>
        <v>0</v>
      </c>
      <c r="H1732" s="1508">
        <f t="shared" si="216"/>
        <v>0</v>
      </c>
      <c r="I1732" s="1480">
        <v>0</v>
      </c>
      <c r="J1732" s="1480">
        <v>0</v>
      </c>
      <c r="K1732" s="1508"/>
      <c r="L1732" s="1508"/>
      <c r="M1732" s="1509">
        <f t="shared" si="217"/>
        <v>0</v>
      </c>
      <c r="N1732" s="1508">
        <f t="shared" si="218"/>
        <v>0</v>
      </c>
    </row>
    <row r="1733" spans="1:14" ht="31" outlineLevel="1" x14ac:dyDescent="0.25">
      <c r="A1733" s="1486">
        <f t="shared" si="221"/>
        <v>3</v>
      </c>
      <c r="B1733" s="1491" t="str">
        <f t="shared" si="221"/>
        <v>Replacement of 400V, 220V, 50V, 26V batteries and its battery chargers at 210MW, Breakers, VFDs at compressor, Watch Tower</v>
      </c>
      <c r="C1733" s="1488">
        <f t="shared" si="221"/>
        <v>0</v>
      </c>
      <c r="D1733" s="1413" t="str">
        <f t="shared" si="221"/>
        <v>-</v>
      </c>
      <c r="E1733" s="560">
        <f t="shared" si="221"/>
        <v>29</v>
      </c>
      <c r="F1733" s="1508">
        <f t="shared" si="214"/>
        <v>0</v>
      </c>
      <c r="G1733" s="1508">
        <f t="shared" si="215"/>
        <v>0</v>
      </c>
      <c r="H1733" s="1508">
        <f t="shared" si="216"/>
        <v>0</v>
      </c>
      <c r="I1733" s="1480">
        <v>0</v>
      </c>
      <c r="J1733" s="1480">
        <v>0</v>
      </c>
      <c r="K1733" s="1508"/>
      <c r="L1733" s="1508"/>
      <c r="M1733" s="1509">
        <f t="shared" si="217"/>
        <v>0</v>
      </c>
      <c r="N1733" s="1508">
        <f t="shared" si="218"/>
        <v>0</v>
      </c>
    </row>
    <row r="1734" spans="1:14" ht="31" outlineLevel="1" x14ac:dyDescent="0.25">
      <c r="A1734" s="1492">
        <f t="shared" ref="A1734:E1749" si="222">A1064</f>
        <v>0</v>
      </c>
      <c r="B1734" s="1492" t="str">
        <f t="shared" si="222"/>
        <v>Replacement of 400V, 220V, 50V, 26V batteries and its battery chargers at 210MW, CSTPS.</v>
      </c>
      <c r="C1734" s="1488">
        <f t="shared" si="222"/>
        <v>0</v>
      </c>
      <c r="D1734" s="1413" t="str">
        <f t="shared" si="222"/>
        <v>-</v>
      </c>
      <c r="E1734" s="560">
        <f t="shared" si="222"/>
        <v>14</v>
      </c>
      <c r="F1734" s="1508">
        <f t="shared" ref="F1734:F1797" si="223">F1064+I1064</f>
        <v>0</v>
      </c>
      <c r="G1734" s="1508">
        <f t="shared" ref="G1734:G1797" si="224">G1064+M1064</f>
        <v>0</v>
      </c>
      <c r="H1734" s="1508">
        <f t="shared" si="216"/>
        <v>0</v>
      </c>
      <c r="I1734" s="1480">
        <v>0</v>
      </c>
      <c r="J1734" s="1480">
        <v>0</v>
      </c>
      <c r="K1734" s="1508"/>
      <c r="L1734" s="1508"/>
      <c r="M1734" s="1509">
        <f t="shared" si="217"/>
        <v>0</v>
      </c>
      <c r="N1734" s="1508">
        <f t="shared" si="218"/>
        <v>0</v>
      </c>
    </row>
    <row r="1735" spans="1:14" ht="15.5" outlineLevel="1" x14ac:dyDescent="0.25">
      <c r="A1735" s="1492">
        <f t="shared" si="222"/>
        <v>0</v>
      </c>
      <c r="B1735" s="1492" t="str">
        <f t="shared" si="222"/>
        <v>Retrofitting of Breakers</v>
      </c>
      <c r="C1735" s="1488">
        <f t="shared" si="222"/>
        <v>0</v>
      </c>
      <c r="D1735" s="1413" t="str">
        <f t="shared" si="222"/>
        <v>-</v>
      </c>
      <c r="E1735" s="560">
        <f t="shared" si="222"/>
        <v>6.8000000000000007</v>
      </c>
      <c r="F1735" s="1508">
        <f t="shared" si="223"/>
        <v>0</v>
      </c>
      <c r="G1735" s="1508">
        <f t="shared" si="224"/>
        <v>0</v>
      </c>
      <c r="H1735" s="1508">
        <f t="shared" si="216"/>
        <v>0</v>
      </c>
      <c r="I1735" s="1480">
        <v>0</v>
      </c>
      <c r="J1735" s="1480">
        <v>0</v>
      </c>
      <c r="K1735" s="1508"/>
      <c r="L1735" s="1508"/>
      <c r="M1735" s="1509">
        <f t="shared" si="217"/>
        <v>0</v>
      </c>
      <c r="N1735" s="1508">
        <f t="shared" si="218"/>
        <v>0</v>
      </c>
    </row>
    <row r="1736" spans="1:14" ht="31" outlineLevel="1" x14ac:dyDescent="0.25">
      <c r="A1736" s="1492">
        <f t="shared" si="222"/>
        <v>0</v>
      </c>
      <c r="B1736" s="1492" t="str">
        <f t="shared" si="222"/>
        <v>supply, installation and commissioning of VFDs at compressor and of soft starters  for clear water pump  at 210MW, CSTPS.</v>
      </c>
      <c r="C1736" s="1488">
        <f t="shared" si="222"/>
        <v>0</v>
      </c>
      <c r="D1736" s="1413" t="str">
        <f t="shared" si="222"/>
        <v>-</v>
      </c>
      <c r="E1736" s="560">
        <f t="shared" si="222"/>
        <v>1.8</v>
      </c>
      <c r="F1736" s="1508">
        <f t="shared" si="223"/>
        <v>0</v>
      </c>
      <c r="G1736" s="1508">
        <f t="shared" si="224"/>
        <v>0</v>
      </c>
      <c r="H1736" s="1508">
        <f t="shared" si="216"/>
        <v>0</v>
      </c>
      <c r="I1736" s="1480">
        <v>0</v>
      </c>
      <c r="J1736" s="1480">
        <v>0</v>
      </c>
      <c r="K1736" s="1508"/>
      <c r="L1736" s="1508"/>
      <c r="M1736" s="1509">
        <f t="shared" si="217"/>
        <v>0</v>
      </c>
      <c r="N1736" s="1508">
        <f t="shared" si="218"/>
        <v>0</v>
      </c>
    </row>
    <row r="1737" spans="1:14" ht="31" outlineLevel="1" x14ac:dyDescent="0.25">
      <c r="A1737" s="1492">
        <f t="shared" si="222"/>
        <v>0</v>
      </c>
      <c r="B1737" s="1492" t="str">
        <f t="shared" si="222"/>
        <v>Construction of Watch Tower along periphery compound wall as per IB recommendation at CSTPS, Chandrapur</v>
      </c>
      <c r="C1737" s="166">
        <f t="shared" si="222"/>
        <v>0</v>
      </c>
      <c r="D1737" s="1413" t="str">
        <f t="shared" si="222"/>
        <v>-</v>
      </c>
      <c r="E1737" s="560">
        <f t="shared" si="222"/>
        <v>6.4</v>
      </c>
      <c r="F1737" s="1508">
        <f t="shared" si="223"/>
        <v>0</v>
      </c>
      <c r="G1737" s="1508">
        <f t="shared" si="224"/>
        <v>0</v>
      </c>
      <c r="H1737" s="1508">
        <f t="shared" si="216"/>
        <v>0</v>
      </c>
      <c r="I1737" s="1480">
        <v>0</v>
      </c>
      <c r="J1737" s="1480">
        <v>0</v>
      </c>
      <c r="K1737" s="1508"/>
      <c r="L1737" s="1508"/>
      <c r="M1737" s="1509">
        <f t="shared" si="217"/>
        <v>0</v>
      </c>
      <c r="N1737" s="1508">
        <f t="shared" si="218"/>
        <v>0</v>
      </c>
    </row>
    <row r="1738" spans="1:14" ht="15.5" outlineLevel="1" x14ac:dyDescent="0.25">
      <c r="A1738" s="1504">
        <f t="shared" si="222"/>
        <v>0</v>
      </c>
      <c r="B1738" s="1504" t="str">
        <f t="shared" si="222"/>
        <v>TIC</v>
      </c>
      <c r="C1738" s="1488">
        <f t="shared" si="222"/>
        <v>0</v>
      </c>
      <c r="D1738" s="1413" t="str">
        <f t="shared" si="222"/>
        <v>-</v>
      </c>
      <c r="E1738" s="560">
        <f t="shared" si="222"/>
        <v>0</v>
      </c>
      <c r="F1738" s="1508">
        <f t="shared" si="223"/>
        <v>0</v>
      </c>
      <c r="G1738" s="1508">
        <f t="shared" si="224"/>
        <v>0</v>
      </c>
      <c r="H1738" s="1508">
        <f t="shared" si="216"/>
        <v>0</v>
      </c>
      <c r="I1738" s="1480">
        <v>0</v>
      </c>
      <c r="J1738" s="1480">
        <v>0</v>
      </c>
      <c r="K1738" s="1508"/>
      <c r="L1738" s="1508"/>
      <c r="M1738" s="1509">
        <f t="shared" si="217"/>
        <v>0</v>
      </c>
      <c r="N1738" s="1508">
        <f t="shared" si="218"/>
        <v>0</v>
      </c>
    </row>
    <row r="1739" spans="1:14" ht="62" outlineLevel="1" x14ac:dyDescent="0.25">
      <c r="A1739" s="1486">
        <f t="shared" si="222"/>
        <v>1</v>
      </c>
      <c r="B1739" s="1491" t="str">
        <f t="shared" si="222"/>
        <v xml:space="preserve">Up-gradation of complete Instrumentation System including  FSSS System , Soot Blower System, Station C &amp;I System ,Turbine protection system, Turbovisory, HP/LP and PRDS at CSTPS Unit # 3&amp;4 (210 MW) </v>
      </c>
      <c r="C1739" s="1488">
        <f t="shared" si="222"/>
        <v>0</v>
      </c>
      <c r="D1739" s="1413" t="str">
        <f t="shared" si="222"/>
        <v>-</v>
      </c>
      <c r="E1739" s="560">
        <f t="shared" si="222"/>
        <v>48.607999999999997</v>
      </c>
      <c r="F1739" s="1508">
        <f t="shared" si="223"/>
        <v>0</v>
      </c>
      <c r="G1739" s="1508">
        <f t="shared" si="224"/>
        <v>0</v>
      </c>
      <c r="H1739" s="1508">
        <f t="shared" si="216"/>
        <v>0</v>
      </c>
      <c r="I1739" s="1480">
        <v>0</v>
      </c>
      <c r="J1739" s="1480">
        <v>0</v>
      </c>
      <c r="K1739" s="1508"/>
      <c r="L1739" s="1508"/>
      <c r="M1739" s="1509">
        <f t="shared" si="217"/>
        <v>0</v>
      </c>
      <c r="N1739" s="1508">
        <f t="shared" si="218"/>
        <v>0</v>
      </c>
    </row>
    <row r="1740" spans="1:14" ht="62" outlineLevel="1" x14ac:dyDescent="0.25">
      <c r="A1740" s="1492">
        <f t="shared" si="222"/>
        <v>0</v>
      </c>
      <c r="B1740" s="1492" t="str">
        <f t="shared" si="222"/>
        <v>Up-gradation of complete Instrumentation System including  FSSS System , Soot Blower System, Station C &amp;I System ,Turbine protection system, Turbovisory, HP/LP and PRDS at CSTPS Unit # 3&amp;4 (210 MW)</v>
      </c>
      <c r="C1740" s="1488">
        <f t="shared" si="222"/>
        <v>0</v>
      </c>
      <c r="D1740" s="1413" t="str">
        <f t="shared" si="222"/>
        <v>-</v>
      </c>
      <c r="E1740" s="560">
        <f t="shared" si="222"/>
        <v>48.607999999999997</v>
      </c>
      <c r="F1740" s="1508">
        <f t="shared" si="223"/>
        <v>0</v>
      </c>
      <c r="G1740" s="1508">
        <f t="shared" si="224"/>
        <v>0</v>
      </c>
      <c r="H1740" s="1508">
        <f t="shared" si="216"/>
        <v>0</v>
      </c>
      <c r="I1740" s="1480">
        <v>0</v>
      </c>
      <c r="J1740" s="1480">
        <v>0</v>
      </c>
      <c r="K1740" s="1508"/>
      <c r="L1740" s="1508"/>
      <c r="M1740" s="1509">
        <f t="shared" si="217"/>
        <v>0</v>
      </c>
      <c r="N1740" s="1508">
        <f t="shared" si="218"/>
        <v>0</v>
      </c>
    </row>
    <row r="1741" spans="1:14" ht="62" outlineLevel="1" x14ac:dyDescent="0.25">
      <c r="A1741" s="1486">
        <f t="shared" si="222"/>
        <v>2</v>
      </c>
      <c r="B1741" s="1491" t="str">
        <f t="shared" si="222"/>
        <v>Retrofitting/Upgradation of critical control loops by multiloop programmable controllers at Unit #3 &amp; 4, Upgradation of old ACS, PLC, SCADA WTP, FBTS, WTP measuring and instrumentation &amp; other WTP improvement schemes</v>
      </c>
      <c r="C1741" s="1488">
        <f t="shared" si="222"/>
        <v>0</v>
      </c>
      <c r="D1741" s="1413" t="str">
        <f t="shared" si="222"/>
        <v>-</v>
      </c>
      <c r="E1741" s="560">
        <f t="shared" si="222"/>
        <v>25.39</v>
      </c>
      <c r="F1741" s="1508">
        <f t="shared" si="223"/>
        <v>0</v>
      </c>
      <c r="G1741" s="1508">
        <f t="shared" si="224"/>
        <v>0</v>
      </c>
      <c r="H1741" s="1508">
        <f t="shared" si="216"/>
        <v>0</v>
      </c>
      <c r="I1741" s="1480">
        <v>0</v>
      </c>
      <c r="J1741" s="1480">
        <v>0</v>
      </c>
      <c r="K1741" s="1508"/>
      <c r="L1741" s="1508"/>
      <c r="M1741" s="1509">
        <f t="shared" si="217"/>
        <v>0</v>
      </c>
      <c r="N1741" s="1508">
        <f t="shared" si="218"/>
        <v>0</v>
      </c>
    </row>
    <row r="1742" spans="1:14" ht="31" outlineLevel="1" x14ac:dyDescent="0.25">
      <c r="A1742" s="1492">
        <f t="shared" si="222"/>
        <v>0</v>
      </c>
      <c r="B1742" s="1492" t="str">
        <f t="shared" si="222"/>
        <v>Retrofitting/Upgradation of critical control loops by multiloop programmable controllers at Unit #3 &amp; 4 CSTPS,Chandrapur.</v>
      </c>
      <c r="C1742" s="1488">
        <f t="shared" si="222"/>
        <v>0</v>
      </c>
      <c r="D1742" s="1413" t="str">
        <f t="shared" si="222"/>
        <v>-</v>
      </c>
      <c r="E1742" s="560">
        <f t="shared" si="222"/>
        <v>6</v>
      </c>
      <c r="F1742" s="1508">
        <f t="shared" si="223"/>
        <v>0</v>
      </c>
      <c r="G1742" s="1508">
        <f t="shared" si="224"/>
        <v>0</v>
      </c>
      <c r="H1742" s="1508">
        <f t="shared" si="216"/>
        <v>0</v>
      </c>
      <c r="I1742" s="1480">
        <v>0</v>
      </c>
      <c r="J1742" s="1480">
        <v>0</v>
      </c>
      <c r="K1742" s="1508"/>
      <c r="L1742" s="1508"/>
      <c r="M1742" s="1509">
        <f t="shared" si="217"/>
        <v>0</v>
      </c>
      <c r="N1742" s="1508">
        <f t="shared" si="218"/>
        <v>0</v>
      </c>
    </row>
    <row r="1743" spans="1:14" ht="31" outlineLevel="1" x14ac:dyDescent="0.25">
      <c r="A1743" s="1492">
        <f t="shared" si="222"/>
        <v>0</v>
      </c>
      <c r="B1743" s="1492" t="str">
        <f t="shared" si="222"/>
        <v>Upgradation of Old control system with PLC and SCADA at WTP  Stg-I of U# 3,4, 8 and 9, CSTPS, Chandrapur.</v>
      </c>
      <c r="C1743" s="1488">
        <f t="shared" si="222"/>
        <v>0</v>
      </c>
      <c r="D1743" s="1413" t="str">
        <f t="shared" si="222"/>
        <v>-</v>
      </c>
      <c r="E1743" s="560">
        <f t="shared" si="222"/>
        <v>3.89</v>
      </c>
      <c r="F1743" s="1508">
        <f t="shared" si="223"/>
        <v>0</v>
      </c>
      <c r="G1743" s="1508">
        <f t="shared" si="224"/>
        <v>0</v>
      </c>
      <c r="H1743" s="1508">
        <f t="shared" si="216"/>
        <v>0</v>
      </c>
      <c r="I1743" s="1480">
        <v>0</v>
      </c>
      <c r="J1743" s="1480">
        <v>0</v>
      </c>
      <c r="K1743" s="1508"/>
      <c r="L1743" s="1508"/>
      <c r="M1743" s="1509">
        <f t="shared" si="217"/>
        <v>0</v>
      </c>
      <c r="N1743" s="1508">
        <f t="shared" si="218"/>
        <v>0</v>
      </c>
    </row>
    <row r="1744" spans="1:14" ht="46.5" outlineLevel="1" x14ac:dyDescent="0.25">
      <c r="A1744" s="1492">
        <f t="shared" si="222"/>
        <v>0</v>
      </c>
      <c r="B1744" s="1492" t="str">
        <f t="shared" si="222"/>
        <v xml:space="preserve">Supply &amp; commissioning of advanced Microprocessor based Fast Bus Transfer Scheme for Stage-II Unit 3&amp;4, CSTPS, Chandrapur. </v>
      </c>
      <c r="C1744" s="1488">
        <f t="shared" si="222"/>
        <v>0</v>
      </c>
      <c r="D1744" s="1413" t="str">
        <f t="shared" si="222"/>
        <v>-</v>
      </c>
      <c r="E1744" s="560">
        <f t="shared" si="222"/>
        <v>3</v>
      </c>
      <c r="F1744" s="1508">
        <f t="shared" si="223"/>
        <v>0</v>
      </c>
      <c r="G1744" s="1508">
        <f t="shared" si="224"/>
        <v>0</v>
      </c>
      <c r="H1744" s="1508">
        <f t="shared" si="216"/>
        <v>0</v>
      </c>
      <c r="I1744" s="1480">
        <v>0</v>
      </c>
      <c r="J1744" s="1480">
        <v>0</v>
      </c>
      <c r="K1744" s="1508"/>
      <c r="L1744" s="1508"/>
      <c r="M1744" s="1509">
        <f t="shared" si="217"/>
        <v>0</v>
      </c>
      <c r="N1744" s="1508">
        <f t="shared" si="218"/>
        <v>0</v>
      </c>
    </row>
    <row r="1745" spans="1:14" ht="31" outlineLevel="1" x14ac:dyDescent="0.25">
      <c r="A1745" s="1492">
        <f t="shared" si="222"/>
        <v>0</v>
      </c>
      <c r="B1745" s="1492" t="str">
        <f t="shared" si="222"/>
        <v>Upgradation of Measuring &amp; Instrumentation of  WTP  Stg-I of U# 3,4, 8 and 9, CSTPS, Chandrapur.</v>
      </c>
      <c r="C1745" s="1488">
        <f t="shared" si="222"/>
        <v>0</v>
      </c>
      <c r="D1745" s="1413" t="str">
        <f t="shared" si="222"/>
        <v>-</v>
      </c>
      <c r="E1745" s="560">
        <f t="shared" si="222"/>
        <v>3.5</v>
      </c>
      <c r="F1745" s="1508">
        <f t="shared" si="223"/>
        <v>0</v>
      </c>
      <c r="G1745" s="1508">
        <f t="shared" si="224"/>
        <v>0</v>
      </c>
      <c r="H1745" s="1508">
        <f t="shared" si="216"/>
        <v>0</v>
      </c>
      <c r="I1745" s="1480">
        <v>0</v>
      </c>
      <c r="J1745" s="1480">
        <v>0</v>
      </c>
      <c r="K1745" s="1508"/>
      <c r="L1745" s="1508"/>
      <c r="M1745" s="1509">
        <f t="shared" si="217"/>
        <v>0</v>
      </c>
      <c r="N1745" s="1508">
        <f t="shared" si="218"/>
        <v>0</v>
      </c>
    </row>
    <row r="1746" spans="1:14" ht="31" outlineLevel="1" x14ac:dyDescent="0.25">
      <c r="A1746" s="1492">
        <f t="shared" si="222"/>
        <v>0</v>
      </c>
      <c r="B1746" s="1492" t="str">
        <f t="shared" si="222"/>
        <v>Upgradation of Ash Level Monitoring System at ESP/Eco / AHP Ash Hoppers at U# 3,4 CSTPS, Chandrapur.</v>
      </c>
      <c r="C1746" s="1488">
        <f t="shared" si="222"/>
        <v>0</v>
      </c>
      <c r="D1746" s="1413" t="str">
        <f t="shared" si="222"/>
        <v>-</v>
      </c>
      <c r="E1746" s="560">
        <f t="shared" si="222"/>
        <v>3</v>
      </c>
      <c r="F1746" s="1508">
        <f t="shared" si="223"/>
        <v>0</v>
      </c>
      <c r="G1746" s="1508">
        <f t="shared" si="224"/>
        <v>0</v>
      </c>
      <c r="H1746" s="1508">
        <f t="shared" si="216"/>
        <v>0</v>
      </c>
      <c r="I1746" s="1480">
        <v>0</v>
      </c>
      <c r="J1746" s="1480">
        <v>0</v>
      </c>
      <c r="K1746" s="1508"/>
      <c r="L1746" s="1508"/>
      <c r="M1746" s="1509">
        <f t="shared" si="217"/>
        <v>0</v>
      </c>
      <c r="N1746" s="1508">
        <f t="shared" si="218"/>
        <v>0</v>
      </c>
    </row>
    <row r="1747" spans="1:14" ht="31" outlineLevel="1" x14ac:dyDescent="0.25">
      <c r="A1747" s="1492">
        <f t="shared" si="222"/>
        <v>0</v>
      </c>
      <c r="B1747" s="1492" t="str">
        <f t="shared" si="222"/>
        <v>Upgradation of Obsolete Electromechanical Protection Relays to advanced Numeric Relays Installed at WTP - I</v>
      </c>
      <c r="C1747" s="1488">
        <f t="shared" si="222"/>
        <v>0</v>
      </c>
      <c r="D1747" s="1413" t="str">
        <f t="shared" si="222"/>
        <v>-</v>
      </c>
      <c r="E1747" s="560">
        <f t="shared" si="222"/>
        <v>3</v>
      </c>
      <c r="F1747" s="1508">
        <f t="shared" si="223"/>
        <v>0</v>
      </c>
      <c r="G1747" s="1508">
        <f t="shared" si="224"/>
        <v>0</v>
      </c>
      <c r="H1747" s="1508">
        <f t="shared" si="216"/>
        <v>0</v>
      </c>
      <c r="I1747" s="1480">
        <v>0</v>
      </c>
      <c r="J1747" s="1480">
        <v>0</v>
      </c>
      <c r="K1747" s="1508"/>
      <c r="L1747" s="1508"/>
      <c r="M1747" s="1509">
        <f t="shared" si="217"/>
        <v>0</v>
      </c>
      <c r="N1747" s="1508">
        <f t="shared" si="218"/>
        <v>0</v>
      </c>
    </row>
    <row r="1748" spans="1:14" ht="31" outlineLevel="1" x14ac:dyDescent="0.25">
      <c r="A1748" s="1492">
        <f t="shared" si="222"/>
        <v>0</v>
      </c>
      <c r="B1748" s="1492" t="str">
        <f t="shared" si="222"/>
        <v>Upgardation of BPF Scoop with electrical actuators at U#3 &amp; 4 CSTPS, Chandrapur.</v>
      </c>
      <c r="C1748" s="1488">
        <f t="shared" si="222"/>
        <v>0</v>
      </c>
      <c r="D1748" s="1413" t="str">
        <f t="shared" si="222"/>
        <v>-</v>
      </c>
      <c r="E1748" s="560">
        <f t="shared" si="222"/>
        <v>3</v>
      </c>
      <c r="F1748" s="1508">
        <f t="shared" si="223"/>
        <v>0</v>
      </c>
      <c r="G1748" s="1508">
        <f t="shared" si="224"/>
        <v>0</v>
      </c>
      <c r="H1748" s="1508">
        <f t="shared" ref="H1748:H1811" si="225">F1748-G1748</f>
        <v>0</v>
      </c>
      <c r="I1748" s="1480">
        <v>0</v>
      </c>
      <c r="J1748" s="1480">
        <v>0</v>
      </c>
      <c r="K1748" s="1508"/>
      <c r="L1748" s="1508"/>
      <c r="M1748" s="1509">
        <f t="shared" ref="M1748:M1811" si="226">SUM(J1748:L1748)</f>
        <v>0</v>
      </c>
      <c r="N1748" s="1508">
        <f t="shared" ref="N1748:N1811" si="227">H1748+I1748-M1748</f>
        <v>0</v>
      </c>
    </row>
    <row r="1749" spans="1:14" ht="31" outlineLevel="1" x14ac:dyDescent="0.25">
      <c r="A1749" s="1486">
        <f t="shared" si="222"/>
        <v>3</v>
      </c>
      <c r="B1749" s="1491" t="str">
        <f t="shared" si="222"/>
        <v xml:space="preserve">Upgradation of Measuring Instruments, Final Control Elements and Control System for Unit #3/4, WTP, AHP CSTPS Chandrapur </v>
      </c>
      <c r="C1749" s="1488">
        <f t="shared" si="222"/>
        <v>0</v>
      </c>
      <c r="D1749" s="1413" t="str">
        <f t="shared" si="222"/>
        <v>-</v>
      </c>
      <c r="E1749" s="560">
        <f t="shared" si="222"/>
        <v>30</v>
      </c>
      <c r="F1749" s="1508">
        <f t="shared" si="223"/>
        <v>0</v>
      </c>
      <c r="G1749" s="1508">
        <f t="shared" si="224"/>
        <v>0</v>
      </c>
      <c r="H1749" s="1508">
        <f t="shared" si="225"/>
        <v>0</v>
      </c>
      <c r="I1749" s="1480">
        <v>0</v>
      </c>
      <c r="J1749" s="1480">
        <v>0</v>
      </c>
      <c r="K1749" s="1508"/>
      <c r="L1749" s="1508"/>
      <c r="M1749" s="1509">
        <f t="shared" si="226"/>
        <v>0</v>
      </c>
      <c r="N1749" s="1508">
        <f t="shared" si="227"/>
        <v>0</v>
      </c>
    </row>
    <row r="1750" spans="1:14" ht="31" outlineLevel="1" x14ac:dyDescent="0.25">
      <c r="A1750" s="1492">
        <f t="shared" ref="A1750:E1765" si="228">A1080</f>
        <v>0</v>
      </c>
      <c r="B1750" s="1492" t="str">
        <f t="shared" si="228"/>
        <v xml:space="preserve">Upgradation of Measuring Instruments, Final Control Elements and Control System for Unit #3/4, WTP, AHP CSTPS Chandrapur </v>
      </c>
      <c r="C1750" s="1488">
        <f t="shared" si="228"/>
        <v>0</v>
      </c>
      <c r="D1750" s="1413" t="str">
        <f t="shared" si="228"/>
        <v>-</v>
      </c>
      <c r="E1750" s="560">
        <f t="shared" si="228"/>
        <v>30</v>
      </c>
      <c r="F1750" s="1508">
        <f t="shared" si="223"/>
        <v>0</v>
      </c>
      <c r="G1750" s="1508">
        <f t="shared" si="224"/>
        <v>0</v>
      </c>
      <c r="H1750" s="1508">
        <f t="shared" si="225"/>
        <v>0</v>
      </c>
      <c r="I1750" s="1480">
        <v>0</v>
      </c>
      <c r="J1750" s="1480">
        <v>0</v>
      </c>
      <c r="K1750" s="1508"/>
      <c r="L1750" s="1508"/>
      <c r="M1750" s="1509">
        <f t="shared" si="226"/>
        <v>0</v>
      </c>
      <c r="N1750" s="1508">
        <f t="shared" si="227"/>
        <v>0</v>
      </c>
    </row>
    <row r="1751" spans="1:14" ht="31" outlineLevel="1" x14ac:dyDescent="0.25">
      <c r="A1751" s="1486">
        <f t="shared" si="228"/>
        <v>4</v>
      </c>
      <c r="B1751" s="1491" t="str">
        <f t="shared" si="228"/>
        <v>Installation Errection and commissioning of Solar System for Electrical Suppy to CSTPS Colony.</v>
      </c>
      <c r="C1751" s="1488">
        <f t="shared" si="228"/>
        <v>0</v>
      </c>
      <c r="D1751" s="1413" t="str">
        <f t="shared" si="228"/>
        <v>-</v>
      </c>
      <c r="E1751" s="560">
        <f t="shared" si="228"/>
        <v>60</v>
      </c>
      <c r="F1751" s="1508">
        <f t="shared" si="223"/>
        <v>0</v>
      </c>
      <c r="G1751" s="1508">
        <f t="shared" si="224"/>
        <v>0</v>
      </c>
      <c r="H1751" s="1508">
        <f t="shared" si="225"/>
        <v>0</v>
      </c>
      <c r="I1751" s="1480">
        <v>0</v>
      </c>
      <c r="J1751" s="1480">
        <v>0</v>
      </c>
      <c r="K1751" s="1508"/>
      <c r="L1751" s="1508"/>
      <c r="M1751" s="1509">
        <f t="shared" si="226"/>
        <v>0</v>
      </c>
      <c r="N1751" s="1508">
        <f t="shared" si="227"/>
        <v>0</v>
      </c>
    </row>
    <row r="1752" spans="1:14" ht="31" outlineLevel="1" x14ac:dyDescent="0.25">
      <c r="A1752" s="1492">
        <f t="shared" si="228"/>
        <v>0</v>
      </c>
      <c r="B1752" s="1492" t="str">
        <f t="shared" si="228"/>
        <v>Installation Errection and commissioning of Solar System for Electrical Suppy to CSTPS Colony.</v>
      </c>
      <c r="C1752" s="1488">
        <f t="shared" si="228"/>
        <v>0</v>
      </c>
      <c r="D1752" s="1413" t="str">
        <f t="shared" si="228"/>
        <v>-</v>
      </c>
      <c r="E1752" s="560">
        <f t="shared" si="228"/>
        <v>60</v>
      </c>
      <c r="F1752" s="1508">
        <f t="shared" si="223"/>
        <v>0</v>
      </c>
      <c r="G1752" s="1508">
        <f t="shared" si="224"/>
        <v>0</v>
      </c>
      <c r="H1752" s="1508">
        <f t="shared" si="225"/>
        <v>0</v>
      </c>
      <c r="I1752" s="1480">
        <v>0</v>
      </c>
      <c r="J1752" s="1480">
        <v>0</v>
      </c>
      <c r="K1752" s="1508"/>
      <c r="L1752" s="1508"/>
      <c r="M1752" s="1509">
        <f t="shared" si="226"/>
        <v>0</v>
      </c>
      <c r="N1752" s="1508">
        <f t="shared" si="227"/>
        <v>0</v>
      </c>
    </row>
    <row r="1753" spans="1:14" ht="15.5" outlineLevel="1" x14ac:dyDescent="0.25">
      <c r="A1753" s="1486">
        <f t="shared" si="228"/>
        <v>5</v>
      </c>
      <c r="B1753" s="1491" t="str">
        <f t="shared" si="228"/>
        <v>Rejuvenation of WTP-I</v>
      </c>
      <c r="C1753" s="1488">
        <f t="shared" si="228"/>
        <v>0</v>
      </c>
      <c r="D1753" s="1413" t="str">
        <f t="shared" si="228"/>
        <v>-</v>
      </c>
      <c r="E1753" s="560">
        <f t="shared" si="228"/>
        <v>26.4</v>
      </c>
      <c r="F1753" s="1508">
        <f t="shared" si="223"/>
        <v>0</v>
      </c>
      <c r="G1753" s="1508">
        <f t="shared" si="224"/>
        <v>0</v>
      </c>
      <c r="H1753" s="1508">
        <f t="shared" si="225"/>
        <v>0</v>
      </c>
      <c r="I1753" s="1480">
        <v>0</v>
      </c>
      <c r="J1753" s="1480">
        <v>0</v>
      </c>
      <c r="K1753" s="1508"/>
      <c r="L1753" s="1508"/>
      <c r="M1753" s="1509">
        <f t="shared" si="226"/>
        <v>0</v>
      </c>
      <c r="N1753" s="1508">
        <f t="shared" si="227"/>
        <v>0</v>
      </c>
    </row>
    <row r="1754" spans="1:14" ht="31" outlineLevel="1" x14ac:dyDescent="0.25">
      <c r="A1754" s="1492">
        <f t="shared" si="228"/>
        <v>0</v>
      </c>
      <c r="B1754" s="1492" t="str">
        <f t="shared" si="228"/>
        <v>Repairing rejuvenation with upgradation of rapid gravity sand filters under drain system.</v>
      </c>
      <c r="C1754" s="1488">
        <f t="shared" si="228"/>
        <v>0</v>
      </c>
      <c r="D1754" s="1413" t="str">
        <f t="shared" si="228"/>
        <v>-</v>
      </c>
      <c r="E1754" s="560">
        <f t="shared" si="228"/>
        <v>8.1999999999999993</v>
      </c>
      <c r="F1754" s="1508">
        <f t="shared" si="223"/>
        <v>0</v>
      </c>
      <c r="G1754" s="1508">
        <f t="shared" si="224"/>
        <v>0</v>
      </c>
      <c r="H1754" s="1508">
        <f t="shared" si="225"/>
        <v>0</v>
      </c>
      <c r="I1754" s="1480">
        <v>0</v>
      </c>
      <c r="J1754" s="1480">
        <v>0</v>
      </c>
      <c r="K1754" s="1508"/>
      <c r="L1754" s="1508"/>
      <c r="M1754" s="1509">
        <f t="shared" si="226"/>
        <v>0</v>
      </c>
      <c r="N1754" s="1508">
        <f t="shared" si="227"/>
        <v>0</v>
      </c>
    </row>
    <row r="1755" spans="1:14" ht="31" outlineLevel="1" x14ac:dyDescent="0.25">
      <c r="A1755" s="1492">
        <f t="shared" si="228"/>
        <v>0</v>
      </c>
      <c r="B1755" s="1492" t="str">
        <f t="shared" si="228"/>
        <v>Repairing &amp; reconditioning of NDM clarifier of 27 Mtr dia &amp; DM clarifier of 15 mtr dia.</v>
      </c>
      <c r="C1755" s="1488">
        <f t="shared" si="228"/>
        <v>0</v>
      </c>
      <c r="D1755" s="1413" t="str">
        <f t="shared" si="228"/>
        <v>-</v>
      </c>
      <c r="E1755" s="560">
        <f t="shared" si="228"/>
        <v>2.4500000000000002</v>
      </c>
      <c r="F1755" s="1508">
        <f t="shared" si="223"/>
        <v>0</v>
      </c>
      <c r="G1755" s="1508">
        <f t="shared" si="224"/>
        <v>0</v>
      </c>
      <c r="H1755" s="1508">
        <f t="shared" si="225"/>
        <v>0</v>
      </c>
      <c r="I1755" s="1480">
        <v>0</v>
      </c>
      <c r="J1755" s="1480">
        <v>0</v>
      </c>
      <c r="K1755" s="1508"/>
      <c r="L1755" s="1508"/>
      <c r="M1755" s="1509">
        <f t="shared" si="226"/>
        <v>0</v>
      </c>
      <c r="N1755" s="1508">
        <f t="shared" si="227"/>
        <v>0</v>
      </c>
    </row>
    <row r="1756" spans="1:14" ht="31" outlineLevel="1" x14ac:dyDescent="0.25">
      <c r="A1756" s="1492">
        <f t="shared" si="228"/>
        <v>0</v>
      </c>
      <c r="B1756" s="1492" t="str">
        <f t="shared" si="228"/>
        <v>Repairing &amp; reconditioning of ion exchanger vessels of DM plant stream (PF,ACF,SAC,WBA,SBA,MB &amp;Degassor)</v>
      </c>
      <c r="C1756" s="1488">
        <f t="shared" si="228"/>
        <v>0</v>
      </c>
      <c r="D1756" s="1413" t="str">
        <f t="shared" si="228"/>
        <v>-</v>
      </c>
      <c r="E1756" s="560">
        <f t="shared" si="228"/>
        <v>15.75</v>
      </c>
      <c r="F1756" s="1508">
        <f t="shared" si="223"/>
        <v>0</v>
      </c>
      <c r="G1756" s="1508">
        <f t="shared" si="224"/>
        <v>0</v>
      </c>
      <c r="H1756" s="1508">
        <f t="shared" si="225"/>
        <v>0</v>
      </c>
      <c r="I1756" s="1480">
        <v>0</v>
      </c>
      <c r="J1756" s="1480">
        <v>0</v>
      </c>
      <c r="K1756" s="1508"/>
      <c r="L1756" s="1508"/>
      <c r="M1756" s="1509">
        <f t="shared" si="226"/>
        <v>0</v>
      </c>
      <c r="N1756" s="1508">
        <f t="shared" si="227"/>
        <v>0</v>
      </c>
    </row>
    <row r="1757" spans="1:14" ht="15.5" outlineLevel="1" x14ac:dyDescent="0.25">
      <c r="A1757" s="1504">
        <f t="shared" si="228"/>
        <v>0</v>
      </c>
      <c r="B1757" s="1504" t="str">
        <f t="shared" si="228"/>
        <v>CHP-A</v>
      </c>
      <c r="C1757" s="1488">
        <f t="shared" si="228"/>
        <v>0</v>
      </c>
      <c r="D1757" s="1413" t="str">
        <f t="shared" si="228"/>
        <v>-</v>
      </c>
      <c r="E1757" s="560">
        <f t="shared" si="228"/>
        <v>0</v>
      </c>
      <c r="F1757" s="1508">
        <f t="shared" si="223"/>
        <v>0</v>
      </c>
      <c r="G1757" s="1508">
        <f t="shared" si="224"/>
        <v>0</v>
      </c>
      <c r="H1757" s="1508">
        <f t="shared" si="225"/>
        <v>0</v>
      </c>
      <c r="I1757" s="1480">
        <v>0</v>
      </c>
      <c r="J1757" s="1480">
        <v>0</v>
      </c>
      <c r="K1757" s="1508"/>
      <c r="L1757" s="1508"/>
      <c r="M1757" s="1509">
        <f t="shared" si="226"/>
        <v>0</v>
      </c>
      <c r="N1757" s="1508">
        <f t="shared" si="227"/>
        <v>0</v>
      </c>
    </row>
    <row r="1758" spans="1:14" ht="31" outlineLevel="1" x14ac:dyDescent="0.25">
      <c r="A1758" s="1486">
        <f t="shared" si="228"/>
        <v>1</v>
      </c>
      <c r="B1758" s="1491" t="str">
        <f t="shared" si="228"/>
        <v>Proc of Loco, Bulldozer, &amp; upgradation of Wagon Tippler, Stacker, Wing Tripper &amp; installation of  Dust Extraction system</v>
      </c>
      <c r="C1758" s="1488">
        <f t="shared" si="228"/>
        <v>0</v>
      </c>
      <c r="D1758" s="1413" t="str">
        <f t="shared" si="228"/>
        <v>-</v>
      </c>
      <c r="E1758" s="560">
        <f t="shared" si="228"/>
        <v>58</v>
      </c>
      <c r="F1758" s="1508">
        <f t="shared" si="223"/>
        <v>0</v>
      </c>
      <c r="G1758" s="1508">
        <f t="shared" si="224"/>
        <v>0</v>
      </c>
      <c r="H1758" s="1508">
        <f t="shared" si="225"/>
        <v>0</v>
      </c>
      <c r="I1758" s="1480">
        <v>0</v>
      </c>
      <c r="J1758" s="1480">
        <v>0</v>
      </c>
      <c r="K1758" s="1508"/>
      <c r="L1758" s="1508"/>
      <c r="M1758" s="1509">
        <f t="shared" si="226"/>
        <v>0</v>
      </c>
      <c r="N1758" s="1508">
        <f t="shared" si="227"/>
        <v>0</v>
      </c>
    </row>
    <row r="1759" spans="1:14" ht="31" outlineLevel="1" x14ac:dyDescent="0.25">
      <c r="A1759" s="1492">
        <f t="shared" si="228"/>
        <v>0</v>
      </c>
      <c r="B1759" s="1492" t="str">
        <f t="shared" si="228"/>
        <v>Procurement of 2 numbers WDG-3A Locomotives and 4 numbers Bulldozers</v>
      </c>
      <c r="C1759" s="1488">
        <f t="shared" si="228"/>
        <v>0</v>
      </c>
      <c r="D1759" s="1413" t="str">
        <f t="shared" si="228"/>
        <v>-</v>
      </c>
      <c r="E1759" s="560">
        <f t="shared" si="228"/>
        <v>38</v>
      </c>
      <c r="F1759" s="1508">
        <f t="shared" si="223"/>
        <v>0</v>
      </c>
      <c r="G1759" s="1508">
        <f t="shared" si="224"/>
        <v>0</v>
      </c>
      <c r="H1759" s="1508">
        <f t="shared" si="225"/>
        <v>0</v>
      </c>
      <c r="I1759" s="1480">
        <v>0</v>
      </c>
      <c r="J1759" s="1480">
        <v>0</v>
      </c>
      <c r="K1759" s="1508"/>
      <c r="L1759" s="1508"/>
      <c r="M1759" s="1509">
        <f t="shared" si="226"/>
        <v>0</v>
      </c>
      <c r="N1759" s="1508">
        <f t="shared" si="227"/>
        <v>0</v>
      </c>
    </row>
    <row r="1760" spans="1:14" ht="31" outlineLevel="1" x14ac:dyDescent="0.25">
      <c r="A1760" s="1492">
        <f t="shared" si="228"/>
        <v>0</v>
      </c>
      <c r="B1760" s="1492" t="str">
        <f t="shared" si="228"/>
        <v>Upgradation of Wagon Tipplers, Stacker Reclaimer Machine and Wing Tripper at CHP-A</v>
      </c>
      <c r="C1760" s="1488">
        <f t="shared" si="228"/>
        <v>0</v>
      </c>
      <c r="D1760" s="1413" t="str">
        <f t="shared" si="228"/>
        <v>-</v>
      </c>
      <c r="E1760" s="560">
        <f t="shared" si="228"/>
        <v>15</v>
      </c>
      <c r="F1760" s="1508">
        <f t="shared" si="223"/>
        <v>0</v>
      </c>
      <c r="G1760" s="1508">
        <f t="shared" si="224"/>
        <v>0</v>
      </c>
      <c r="H1760" s="1508">
        <f t="shared" si="225"/>
        <v>0</v>
      </c>
      <c r="I1760" s="1480">
        <v>0</v>
      </c>
      <c r="J1760" s="1480">
        <v>0</v>
      </c>
      <c r="K1760" s="1508"/>
      <c r="L1760" s="1508"/>
      <c r="M1760" s="1509">
        <f t="shared" si="226"/>
        <v>0</v>
      </c>
      <c r="N1760" s="1508">
        <f t="shared" si="227"/>
        <v>0</v>
      </c>
    </row>
    <row r="1761" spans="1:14" ht="31" outlineLevel="1" x14ac:dyDescent="0.25">
      <c r="A1761" s="1492">
        <f t="shared" si="228"/>
        <v>0</v>
      </c>
      <c r="B1761" s="1492" t="str">
        <f t="shared" si="228"/>
        <v>Installation of Dust Extraction system at Bunker and SCR buildings</v>
      </c>
      <c r="C1761" s="1488">
        <f t="shared" si="228"/>
        <v>0</v>
      </c>
      <c r="D1761" s="1413" t="str">
        <f t="shared" si="228"/>
        <v>-</v>
      </c>
      <c r="E1761" s="560">
        <f t="shared" si="228"/>
        <v>5</v>
      </c>
      <c r="F1761" s="1508">
        <f t="shared" si="223"/>
        <v>0</v>
      </c>
      <c r="G1761" s="1508">
        <f t="shared" si="224"/>
        <v>0</v>
      </c>
      <c r="H1761" s="1508">
        <f t="shared" si="225"/>
        <v>0</v>
      </c>
      <c r="I1761" s="1480">
        <v>0</v>
      </c>
      <c r="J1761" s="1480">
        <v>0</v>
      </c>
      <c r="K1761" s="1508"/>
      <c r="L1761" s="1508"/>
      <c r="M1761" s="1509">
        <f t="shared" si="226"/>
        <v>0</v>
      </c>
      <c r="N1761" s="1508">
        <f t="shared" si="227"/>
        <v>0</v>
      </c>
    </row>
    <row r="1762" spans="1:14" ht="77.5" outlineLevel="1" x14ac:dyDescent="0.25">
      <c r="A1762" s="1486">
        <f t="shared" si="228"/>
        <v>2</v>
      </c>
      <c r="B1762" s="1491" t="str">
        <f t="shared" si="228"/>
        <v>Upgradation of BC-9A &amp; BC-9C, Aerial Ropeway System 1 &amp; 2 &amp; BC-L1,L2 &amp; L3, Upgradation of Junction Tower-1 Hopper and Bunkering Trippers, Providing and Installation of Hopper Grills of Wagon Tippler-169 &amp; 170, Road Hopper, DT Ho[pper and DRCC Grills</v>
      </c>
      <c r="C1762" s="1488">
        <f t="shared" si="228"/>
        <v>0</v>
      </c>
      <c r="D1762" s="1413" t="str">
        <f t="shared" si="228"/>
        <v>-</v>
      </c>
      <c r="E1762" s="560">
        <f t="shared" si="228"/>
        <v>33</v>
      </c>
      <c r="F1762" s="1508">
        <f t="shared" si="223"/>
        <v>0</v>
      </c>
      <c r="G1762" s="1508">
        <f t="shared" si="224"/>
        <v>0</v>
      </c>
      <c r="H1762" s="1508">
        <f t="shared" si="225"/>
        <v>0</v>
      </c>
      <c r="I1762" s="1480">
        <v>0</v>
      </c>
      <c r="J1762" s="1480">
        <v>0</v>
      </c>
      <c r="K1762" s="1508"/>
      <c r="L1762" s="1508"/>
      <c r="M1762" s="1509">
        <f t="shared" si="226"/>
        <v>0</v>
      </c>
      <c r="N1762" s="1508">
        <f t="shared" si="227"/>
        <v>0</v>
      </c>
    </row>
    <row r="1763" spans="1:14" ht="31" outlineLevel="1" x14ac:dyDescent="0.25">
      <c r="A1763" s="1492">
        <f t="shared" si="228"/>
        <v>0</v>
      </c>
      <c r="B1763" s="1492" t="str">
        <f t="shared" si="228"/>
        <v>Upgradation of BC-9A &amp; BC-9C for converting 1000 mm to 1200 mm along with Gantry structure replacement</v>
      </c>
      <c r="C1763" s="1488">
        <f t="shared" si="228"/>
        <v>0</v>
      </c>
      <c r="D1763" s="1413" t="str">
        <f t="shared" si="228"/>
        <v>-</v>
      </c>
      <c r="E1763" s="560">
        <f t="shared" si="228"/>
        <v>12</v>
      </c>
      <c r="F1763" s="1508">
        <f t="shared" si="223"/>
        <v>0</v>
      </c>
      <c r="G1763" s="1508">
        <f t="shared" si="224"/>
        <v>0</v>
      </c>
      <c r="H1763" s="1508">
        <f t="shared" si="225"/>
        <v>0</v>
      </c>
      <c r="I1763" s="1480">
        <v>0</v>
      </c>
      <c r="J1763" s="1480">
        <v>0</v>
      </c>
      <c r="K1763" s="1508"/>
      <c r="L1763" s="1508"/>
      <c r="M1763" s="1509">
        <f t="shared" si="226"/>
        <v>0</v>
      </c>
      <c r="N1763" s="1508">
        <f t="shared" si="227"/>
        <v>0</v>
      </c>
    </row>
    <row r="1764" spans="1:14" ht="15.5" outlineLevel="1" x14ac:dyDescent="0.25">
      <c r="A1764" s="1492">
        <f t="shared" si="228"/>
        <v>0</v>
      </c>
      <c r="B1764" s="1492" t="str">
        <f t="shared" si="228"/>
        <v>Upgradation of Aerial Ropeway System 1 &amp; 2 &amp; BC-L1,L2 &amp; L3</v>
      </c>
      <c r="C1764" s="1488">
        <f t="shared" si="228"/>
        <v>0</v>
      </c>
      <c r="D1764" s="1413" t="str">
        <f t="shared" si="228"/>
        <v>-</v>
      </c>
      <c r="E1764" s="560">
        <f t="shared" si="228"/>
        <v>10</v>
      </c>
      <c r="F1764" s="1508">
        <f t="shared" si="223"/>
        <v>0</v>
      </c>
      <c r="G1764" s="1508">
        <f t="shared" si="224"/>
        <v>0</v>
      </c>
      <c r="H1764" s="1508">
        <f t="shared" si="225"/>
        <v>0</v>
      </c>
      <c r="I1764" s="1480">
        <v>0</v>
      </c>
      <c r="J1764" s="1480">
        <v>0</v>
      </c>
      <c r="K1764" s="1508"/>
      <c r="L1764" s="1508"/>
      <c r="M1764" s="1509">
        <f t="shared" si="226"/>
        <v>0</v>
      </c>
      <c r="N1764" s="1508">
        <f t="shared" si="227"/>
        <v>0</v>
      </c>
    </row>
    <row r="1765" spans="1:14" ht="31" outlineLevel="1" x14ac:dyDescent="0.25">
      <c r="A1765" s="1492">
        <f t="shared" si="228"/>
        <v>0</v>
      </c>
      <c r="B1765" s="1492" t="str">
        <f t="shared" si="228"/>
        <v>Upgradation of Junction Tower-1 Hopper and Bunkering Trippers</v>
      </c>
      <c r="C1765" s="1488">
        <f t="shared" si="228"/>
        <v>0</v>
      </c>
      <c r="D1765" s="1413" t="str">
        <f t="shared" si="228"/>
        <v>-</v>
      </c>
      <c r="E1765" s="560">
        <f t="shared" si="228"/>
        <v>5.5</v>
      </c>
      <c r="F1765" s="1508">
        <f t="shared" si="223"/>
        <v>0</v>
      </c>
      <c r="G1765" s="1508">
        <f t="shared" si="224"/>
        <v>0</v>
      </c>
      <c r="H1765" s="1508">
        <f t="shared" si="225"/>
        <v>0</v>
      </c>
      <c r="I1765" s="1480">
        <v>0</v>
      </c>
      <c r="J1765" s="1480">
        <v>0</v>
      </c>
      <c r="K1765" s="1508"/>
      <c r="L1765" s="1508"/>
      <c r="M1765" s="1509">
        <f t="shared" si="226"/>
        <v>0</v>
      </c>
      <c r="N1765" s="1508">
        <f t="shared" si="227"/>
        <v>0</v>
      </c>
    </row>
    <row r="1766" spans="1:14" ht="31" outlineLevel="1" x14ac:dyDescent="0.25">
      <c r="A1766" s="1492">
        <f t="shared" ref="A1766:E1781" si="229">A1096</f>
        <v>0</v>
      </c>
      <c r="B1766" s="1492" t="str">
        <f t="shared" si="229"/>
        <v>Providing and Installation of Hopper Grills of Wagon Tippler-169 &amp; 170, Road Hopper, DT Ho[pper and DRCC Grills</v>
      </c>
      <c r="C1766" s="1488">
        <f t="shared" si="229"/>
        <v>0</v>
      </c>
      <c r="D1766" s="1413" t="str">
        <f t="shared" si="229"/>
        <v>-</v>
      </c>
      <c r="E1766" s="560">
        <f t="shared" si="229"/>
        <v>5.5</v>
      </c>
      <c r="F1766" s="1508">
        <f t="shared" si="223"/>
        <v>0</v>
      </c>
      <c r="G1766" s="1508">
        <f t="shared" si="224"/>
        <v>0</v>
      </c>
      <c r="H1766" s="1508">
        <f t="shared" si="225"/>
        <v>0</v>
      </c>
      <c r="I1766" s="1480">
        <v>0</v>
      </c>
      <c r="J1766" s="1480">
        <v>0</v>
      </c>
      <c r="K1766" s="1508"/>
      <c r="L1766" s="1508"/>
      <c r="M1766" s="1509">
        <f t="shared" si="226"/>
        <v>0</v>
      </c>
      <c r="N1766" s="1508">
        <f t="shared" si="227"/>
        <v>0</v>
      </c>
    </row>
    <row r="1767" spans="1:14" ht="31" outlineLevel="1" x14ac:dyDescent="0.25">
      <c r="A1767" s="1486">
        <f t="shared" si="229"/>
        <v>3</v>
      </c>
      <c r="B1767" s="1491" t="str">
        <f t="shared" si="229"/>
        <v>DPR for Bulldozer, Locomotives, Tunnel conveyors, Augur machines</v>
      </c>
      <c r="C1767" s="1488">
        <f t="shared" si="229"/>
        <v>0</v>
      </c>
      <c r="D1767" s="1413" t="str">
        <f t="shared" si="229"/>
        <v>-</v>
      </c>
      <c r="E1767" s="560">
        <f t="shared" si="229"/>
        <v>32</v>
      </c>
      <c r="F1767" s="1508">
        <f t="shared" si="223"/>
        <v>0</v>
      </c>
      <c r="G1767" s="1508">
        <f t="shared" si="224"/>
        <v>0</v>
      </c>
      <c r="H1767" s="1508">
        <f t="shared" si="225"/>
        <v>0</v>
      </c>
      <c r="I1767" s="1480">
        <v>0</v>
      </c>
      <c r="J1767" s="1480">
        <v>0</v>
      </c>
      <c r="K1767" s="1508"/>
      <c r="L1767" s="1508"/>
      <c r="M1767" s="1509">
        <f t="shared" si="226"/>
        <v>0</v>
      </c>
      <c r="N1767" s="1508">
        <f t="shared" si="227"/>
        <v>0</v>
      </c>
    </row>
    <row r="1768" spans="1:14" ht="15.5" outlineLevel="1" x14ac:dyDescent="0.25">
      <c r="A1768" s="1492">
        <f t="shared" si="229"/>
        <v>0</v>
      </c>
      <c r="B1768" s="1492" t="str">
        <f t="shared" si="229"/>
        <v>Procurement of 4 Numbers Bulldozers</v>
      </c>
      <c r="C1768" s="1488">
        <f t="shared" si="229"/>
        <v>0</v>
      </c>
      <c r="D1768" s="1413" t="str">
        <f t="shared" si="229"/>
        <v>-</v>
      </c>
      <c r="E1768" s="560">
        <f t="shared" si="229"/>
        <v>12</v>
      </c>
      <c r="F1768" s="1508">
        <f t="shared" si="223"/>
        <v>0</v>
      </c>
      <c r="G1768" s="1508">
        <f t="shared" si="224"/>
        <v>0</v>
      </c>
      <c r="H1768" s="1508">
        <f t="shared" si="225"/>
        <v>0</v>
      </c>
      <c r="I1768" s="1480">
        <v>0</v>
      </c>
      <c r="J1768" s="1480">
        <v>0</v>
      </c>
      <c r="K1768" s="1508"/>
      <c r="L1768" s="1508"/>
      <c r="M1768" s="1509">
        <f t="shared" si="226"/>
        <v>0</v>
      </c>
      <c r="N1768" s="1508">
        <f t="shared" si="227"/>
        <v>0</v>
      </c>
    </row>
    <row r="1769" spans="1:14" ht="15.5" outlineLevel="1" x14ac:dyDescent="0.25">
      <c r="A1769" s="1492">
        <f t="shared" si="229"/>
        <v>0</v>
      </c>
      <c r="B1769" s="1492" t="str">
        <f t="shared" si="229"/>
        <v>Procurement of 2 Numbers 800 HP Locomotives</v>
      </c>
      <c r="C1769" s="1488">
        <f t="shared" si="229"/>
        <v>0</v>
      </c>
      <c r="D1769" s="1413" t="str">
        <f t="shared" si="229"/>
        <v>-</v>
      </c>
      <c r="E1769" s="560">
        <f t="shared" si="229"/>
        <v>9</v>
      </c>
      <c r="F1769" s="1508">
        <f t="shared" si="223"/>
        <v>0</v>
      </c>
      <c r="G1769" s="1508">
        <f t="shared" si="224"/>
        <v>0</v>
      </c>
      <c r="H1769" s="1508">
        <f t="shared" si="225"/>
        <v>0</v>
      </c>
      <c r="I1769" s="1480">
        <v>0</v>
      </c>
      <c r="J1769" s="1480">
        <v>0</v>
      </c>
      <c r="K1769" s="1508"/>
      <c r="L1769" s="1508"/>
      <c r="M1769" s="1509">
        <f t="shared" si="226"/>
        <v>0</v>
      </c>
      <c r="N1769" s="1508">
        <f t="shared" si="227"/>
        <v>0</v>
      </c>
    </row>
    <row r="1770" spans="1:14" ht="31" outlineLevel="1" x14ac:dyDescent="0.25">
      <c r="A1770" s="1492">
        <f t="shared" si="229"/>
        <v>0</v>
      </c>
      <c r="B1770" s="1492" t="str">
        <f t="shared" si="229"/>
        <v>Upgradation of Tunnel conveyors BC-1AB, BC-4AB, BC-3, BC-5AB &amp; BC-21B</v>
      </c>
      <c r="C1770" s="1488">
        <f t="shared" si="229"/>
        <v>0</v>
      </c>
      <c r="D1770" s="1413" t="str">
        <f t="shared" si="229"/>
        <v>-</v>
      </c>
      <c r="E1770" s="560">
        <f t="shared" si="229"/>
        <v>5</v>
      </c>
      <c r="F1770" s="1508">
        <f t="shared" si="223"/>
        <v>0</v>
      </c>
      <c r="G1770" s="1508">
        <f t="shared" si="224"/>
        <v>0</v>
      </c>
      <c r="H1770" s="1508">
        <f t="shared" si="225"/>
        <v>0</v>
      </c>
      <c r="I1770" s="1480">
        <v>0</v>
      </c>
      <c r="J1770" s="1480">
        <v>0</v>
      </c>
      <c r="K1770" s="1508"/>
      <c r="L1770" s="1508"/>
      <c r="M1770" s="1509">
        <f t="shared" si="226"/>
        <v>0</v>
      </c>
      <c r="N1770" s="1508">
        <f t="shared" si="227"/>
        <v>0</v>
      </c>
    </row>
    <row r="1771" spans="1:14" ht="31" outlineLevel="1" x14ac:dyDescent="0.25">
      <c r="A1771" s="1492">
        <f t="shared" si="229"/>
        <v>0</v>
      </c>
      <c r="B1771" s="1492" t="str">
        <f t="shared" si="229"/>
        <v>Procurement of 4 Numbers Mobile Coal sampling Equipments (Augur Machines)</v>
      </c>
      <c r="C1771" s="1488">
        <f t="shared" si="229"/>
        <v>0</v>
      </c>
      <c r="D1771" s="1413" t="str">
        <f t="shared" si="229"/>
        <v>-</v>
      </c>
      <c r="E1771" s="560">
        <f t="shared" si="229"/>
        <v>6</v>
      </c>
      <c r="F1771" s="1508">
        <f t="shared" si="223"/>
        <v>0</v>
      </c>
      <c r="G1771" s="1508">
        <f t="shared" si="224"/>
        <v>0</v>
      </c>
      <c r="H1771" s="1508">
        <f t="shared" si="225"/>
        <v>0</v>
      </c>
      <c r="I1771" s="1480">
        <v>0</v>
      </c>
      <c r="J1771" s="1480">
        <v>0</v>
      </c>
      <c r="K1771" s="1508"/>
      <c r="L1771" s="1508"/>
      <c r="M1771" s="1509">
        <f t="shared" si="226"/>
        <v>0</v>
      </c>
      <c r="N1771" s="1508">
        <f t="shared" si="227"/>
        <v>0</v>
      </c>
    </row>
    <row r="1772" spans="1:14" ht="15.5" outlineLevel="1" x14ac:dyDescent="0.25">
      <c r="A1772" s="1504">
        <f t="shared" si="229"/>
        <v>0</v>
      </c>
      <c r="B1772" s="1504" t="str">
        <f t="shared" si="229"/>
        <v>Boiler Maintenance -II</v>
      </c>
      <c r="C1772" s="1488">
        <f t="shared" si="229"/>
        <v>0</v>
      </c>
      <c r="D1772" s="1413" t="str">
        <f t="shared" si="229"/>
        <v>-</v>
      </c>
      <c r="E1772" s="560">
        <f t="shared" si="229"/>
        <v>0</v>
      </c>
      <c r="F1772" s="1508">
        <f t="shared" si="223"/>
        <v>0</v>
      </c>
      <c r="G1772" s="1508">
        <f t="shared" si="224"/>
        <v>0</v>
      </c>
      <c r="H1772" s="1508">
        <f t="shared" si="225"/>
        <v>0</v>
      </c>
      <c r="I1772" s="1480">
        <v>0</v>
      </c>
      <c r="J1772" s="1480">
        <v>0</v>
      </c>
      <c r="K1772" s="1508"/>
      <c r="L1772" s="1508"/>
      <c r="M1772" s="1509">
        <f t="shared" si="226"/>
        <v>0</v>
      </c>
      <c r="N1772" s="1508">
        <f t="shared" si="227"/>
        <v>0</v>
      </c>
    </row>
    <row r="1773" spans="1:14" ht="31" outlineLevel="1" x14ac:dyDescent="0.25">
      <c r="A1773" s="1486">
        <f t="shared" si="229"/>
        <v>1</v>
      </c>
      <c r="B1773" s="1491" t="str">
        <f t="shared" si="229"/>
        <v xml:space="preserve">Up  Gradation of existing volumetric belt type coal feeders to gravimetric rotary weigh coal feeder of U-5 &amp; 6 at CSTPS </v>
      </c>
      <c r="C1773" s="1488">
        <f t="shared" si="229"/>
        <v>0</v>
      </c>
      <c r="D1773" s="1413" t="str">
        <f t="shared" si="229"/>
        <v>-</v>
      </c>
      <c r="E1773" s="560">
        <f t="shared" si="229"/>
        <v>85.69</v>
      </c>
      <c r="F1773" s="1508">
        <f t="shared" si="223"/>
        <v>0</v>
      </c>
      <c r="G1773" s="1508">
        <f t="shared" si="224"/>
        <v>0</v>
      </c>
      <c r="H1773" s="1508">
        <f t="shared" si="225"/>
        <v>0</v>
      </c>
      <c r="I1773" s="1480">
        <v>0</v>
      </c>
      <c r="J1773" s="1480">
        <v>0</v>
      </c>
      <c r="K1773" s="1508"/>
      <c r="L1773" s="1508"/>
      <c r="M1773" s="1509">
        <f t="shared" si="226"/>
        <v>0</v>
      </c>
      <c r="N1773" s="1508">
        <f t="shared" si="227"/>
        <v>0</v>
      </c>
    </row>
    <row r="1774" spans="1:14" ht="31" outlineLevel="1" x14ac:dyDescent="0.25">
      <c r="A1774" s="1492">
        <f t="shared" si="229"/>
        <v>0</v>
      </c>
      <c r="B1774" s="1492" t="str">
        <f t="shared" si="229"/>
        <v xml:space="preserve">Up  Gradation of existing volumetric belt type coal feeders to gravimetric rotary weigh coal feeder of U-5 &amp; 6 at CSTPS </v>
      </c>
      <c r="C1774" s="1488">
        <f t="shared" si="229"/>
        <v>0</v>
      </c>
      <c r="D1774" s="1413" t="str">
        <f t="shared" si="229"/>
        <v>-</v>
      </c>
      <c r="E1774" s="560">
        <f t="shared" si="229"/>
        <v>85.679999999999993</v>
      </c>
      <c r="F1774" s="1508">
        <f t="shared" si="223"/>
        <v>0</v>
      </c>
      <c r="G1774" s="1508">
        <f t="shared" si="224"/>
        <v>0</v>
      </c>
      <c r="H1774" s="1508">
        <f t="shared" si="225"/>
        <v>0</v>
      </c>
      <c r="I1774" s="1480">
        <v>0</v>
      </c>
      <c r="J1774" s="1480">
        <v>0</v>
      </c>
      <c r="K1774" s="1508"/>
      <c r="L1774" s="1508"/>
      <c r="M1774" s="1509">
        <f t="shared" si="226"/>
        <v>0</v>
      </c>
      <c r="N1774" s="1508">
        <f t="shared" si="227"/>
        <v>0</v>
      </c>
    </row>
    <row r="1775" spans="1:14" ht="62" outlineLevel="1" x14ac:dyDescent="0.25">
      <c r="A1775" s="1486">
        <f t="shared" si="229"/>
        <v>2</v>
      </c>
      <c r="B1775" s="1491" t="str">
        <f t="shared" si="229"/>
        <v>DPR for the Work of Modification of existing coal bunker and commissioning of bunker chute assembly with vibrating motor to avoid bunker mouth coal choke up for Unit 5 &amp;6 at CSTPS, Chandrapur.</v>
      </c>
      <c r="C1775" s="1488">
        <f t="shared" si="229"/>
        <v>0</v>
      </c>
      <c r="D1775" s="1413" t="str">
        <f t="shared" si="229"/>
        <v>-</v>
      </c>
      <c r="E1775" s="560">
        <f t="shared" si="229"/>
        <v>32.28</v>
      </c>
      <c r="F1775" s="1508">
        <f t="shared" si="223"/>
        <v>0</v>
      </c>
      <c r="G1775" s="1508">
        <f t="shared" si="224"/>
        <v>0</v>
      </c>
      <c r="H1775" s="1508">
        <f t="shared" si="225"/>
        <v>0</v>
      </c>
      <c r="I1775" s="1480">
        <v>0</v>
      </c>
      <c r="J1775" s="1480">
        <v>0</v>
      </c>
      <c r="K1775" s="1508"/>
      <c r="L1775" s="1508"/>
      <c r="M1775" s="1509">
        <f t="shared" si="226"/>
        <v>0</v>
      </c>
      <c r="N1775" s="1508">
        <f t="shared" si="227"/>
        <v>0</v>
      </c>
    </row>
    <row r="1776" spans="1:14" ht="62" outlineLevel="1" x14ac:dyDescent="0.25">
      <c r="A1776" s="1492">
        <f t="shared" si="229"/>
        <v>0</v>
      </c>
      <c r="B1776" s="1492" t="str">
        <f t="shared" si="229"/>
        <v>DPR for the Work of Modification of existing coal bunker and commissioning of bunker chute assembly with vibrating motor to avoid bunker mouth coal choke up for Unit 5 &amp;6 at CSTPS, Chandrapur.</v>
      </c>
      <c r="C1776" s="1488">
        <f t="shared" si="229"/>
        <v>0</v>
      </c>
      <c r="D1776" s="1413" t="str">
        <f t="shared" si="229"/>
        <v>-</v>
      </c>
      <c r="E1776" s="560">
        <f t="shared" si="229"/>
        <v>32.28</v>
      </c>
      <c r="F1776" s="1508">
        <f t="shared" si="223"/>
        <v>0</v>
      </c>
      <c r="G1776" s="1508">
        <f t="shared" si="224"/>
        <v>0</v>
      </c>
      <c r="H1776" s="1508">
        <f t="shared" si="225"/>
        <v>0</v>
      </c>
      <c r="I1776" s="1480">
        <v>0</v>
      </c>
      <c r="J1776" s="1480">
        <v>0</v>
      </c>
      <c r="K1776" s="1508"/>
      <c r="L1776" s="1508"/>
      <c r="M1776" s="1509">
        <f t="shared" si="226"/>
        <v>0</v>
      </c>
      <c r="N1776" s="1508">
        <f t="shared" si="227"/>
        <v>0</v>
      </c>
    </row>
    <row r="1777" spans="1:14" ht="31" outlineLevel="1" x14ac:dyDescent="0.25">
      <c r="A1777" s="1486">
        <f t="shared" si="229"/>
        <v>3</v>
      </c>
      <c r="B1777" s="1491" t="str">
        <f t="shared" si="229"/>
        <v>DPR for  Supply &amp; Replacment of Boiler Thermal Insulation Unit 5 &amp;6, 7 at CSTPS, Chandrapur.</v>
      </c>
      <c r="C1777" s="1488">
        <f t="shared" si="229"/>
        <v>0</v>
      </c>
      <c r="D1777" s="1413" t="str">
        <f t="shared" si="229"/>
        <v>-</v>
      </c>
      <c r="E1777" s="560">
        <f t="shared" si="229"/>
        <v>30</v>
      </c>
      <c r="F1777" s="1508">
        <f t="shared" si="223"/>
        <v>0</v>
      </c>
      <c r="G1777" s="1508">
        <f t="shared" si="224"/>
        <v>0</v>
      </c>
      <c r="H1777" s="1508">
        <f t="shared" si="225"/>
        <v>0</v>
      </c>
      <c r="I1777" s="1480">
        <v>0</v>
      </c>
      <c r="J1777" s="1480">
        <v>0</v>
      </c>
      <c r="K1777" s="1508"/>
      <c r="L1777" s="1508"/>
      <c r="M1777" s="1509">
        <f t="shared" si="226"/>
        <v>0</v>
      </c>
      <c r="N1777" s="1508">
        <f t="shared" si="227"/>
        <v>0</v>
      </c>
    </row>
    <row r="1778" spans="1:14" ht="31" outlineLevel="1" x14ac:dyDescent="0.25">
      <c r="A1778" s="1492">
        <f t="shared" si="229"/>
        <v>0</v>
      </c>
      <c r="B1778" s="1492" t="str">
        <f t="shared" si="229"/>
        <v>DPR for  Supply &amp; Replacment of Boiler Thermal Insulation Unit 5 &amp;6, 7 at CSTPS, Chandrapur.</v>
      </c>
      <c r="C1778" s="1488">
        <f t="shared" si="229"/>
        <v>0</v>
      </c>
      <c r="D1778" s="1413" t="str">
        <f t="shared" si="229"/>
        <v>-</v>
      </c>
      <c r="E1778" s="560">
        <f t="shared" si="229"/>
        <v>30</v>
      </c>
      <c r="F1778" s="1508">
        <f t="shared" si="223"/>
        <v>0</v>
      </c>
      <c r="G1778" s="1508">
        <f t="shared" si="224"/>
        <v>0</v>
      </c>
      <c r="H1778" s="1508">
        <f t="shared" si="225"/>
        <v>0</v>
      </c>
      <c r="I1778" s="1480">
        <v>0</v>
      </c>
      <c r="J1778" s="1480">
        <v>0</v>
      </c>
      <c r="K1778" s="1508"/>
      <c r="L1778" s="1508"/>
      <c r="M1778" s="1509">
        <f t="shared" si="226"/>
        <v>0</v>
      </c>
      <c r="N1778" s="1508">
        <f t="shared" si="227"/>
        <v>0</v>
      </c>
    </row>
    <row r="1779" spans="1:14" ht="62" outlineLevel="1" x14ac:dyDescent="0.25">
      <c r="A1779" s="1486">
        <f t="shared" si="229"/>
        <v>4</v>
      </c>
      <c r="B1779" s="1491" t="str">
        <f t="shared" si="229"/>
        <v>Detailed Project Report for Manufacturing, supply and application of wear resistance liners for Coal Mill XRP-1043 and Procurement of Complete Gear box for Coal Mill XRP-1043, ID Fan impeller and sub assembly for Unit 5 &amp; 6 At CSTPS, Chandrapur.</v>
      </c>
      <c r="C1779" s="1488">
        <f t="shared" si="229"/>
        <v>0</v>
      </c>
      <c r="D1779" s="1413" t="str">
        <f t="shared" si="229"/>
        <v>-</v>
      </c>
      <c r="E1779" s="560">
        <f t="shared" si="229"/>
        <v>25</v>
      </c>
      <c r="F1779" s="1508">
        <f t="shared" si="223"/>
        <v>0</v>
      </c>
      <c r="G1779" s="1508">
        <f t="shared" si="224"/>
        <v>0</v>
      </c>
      <c r="H1779" s="1508">
        <f t="shared" si="225"/>
        <v>0</v>
      </c>
      <c r="I1779" s="1480">
        <v>0</v>
      </c>
      <c r="J1779" s="1480">
        <v>0</v>
      </c>
      <c r="K1779" s="1508"/>
      <c r="L1779" s="1508"/>
      <c r="M1779" s="1509">
        <f t="shared" si="226"/>
        <v>0</v>
      </c>
      <c r="N1779" s="1508">
        <f t="shared" si="227"/>
        <v>0</v>
      </c>
    </row>
    <row r="1780" spans="1:14" ht="77.5" outlineLevel="1" x14ac:dyDescent="0.25">
      <c r="A1780" s="1492">
        <f t="shared" si="229"/>
        <v>0</v>
      </c>
      <c r="B1780" s="1492" t="str">
        <f t="shared" si="229"/>
        <v>Detailed Project Report for Manufacturing, supply and application of wear resistance liners for Coal Mill XRP-1043 and Procurement of Complete Gear box for Coal Mill XRP-1043, ID Fan impeller and sub assembly for Unit 5 &amp; 6 At CSTPS, Chandrapur.</v>
      </c>
      <c r="C1780" s="1488">
        <f t="shared" si="229"/>
        <v>0</v>
      </c>
      <c r="D1780" s="1413" t="str">
        <f t="shared" si="229"/>
        <v>-</v>
      </c>
      <c r="E1780" s="560">
        <f t="shared" si="229"/>
        <v>25</v>
      </c>
      <c r="F1780" s="1508">
        <f t="shared" si="223"/>
        <v>0</v>
      </c>
      <c r="G1780" s="1508">
        <f t="shared" si="224"/>
        <v>0</v>
      </c>
      <c r="H1780" s="1508">
        <f t="shared" si="225"/>
        <v>0</v>
      </c>
      <c r="I1780" s="1480">
        <v>0</v>
      </c>
      <c r="J1780" s="1480">
        <v>0</v>
      </c>
      <c r="K1780" s="1508"/>
      <c r="L1780" s="1508"/>
      <c r="M1780" s="1509">
        <f t="shared" si="226"/>
        <v>0</v>
      </c>
      <c r="N1780" s="1508">
        <f t="shared" si="227"/>
        <v>0</v>
      </c>
    </row>
    <row r="1781" spans="1:14" ht="31" outlineLevel="1" x14ac:dyDescent="0.25">
      <c r="A1781" s="1486">
        <f t="shared" si="229"/>
        <v>5</v>
      </c>
      <c r="B1781" s="1491" t="str">
        <f t="shared" si="229"/>
        <v>DPR for Modification and Restoration of Eco. outlet to ESP inlet duct of Unit -6 (500MW) CSTPS, Chandrapur .</v>
      </c>
      <c r="C1781" s="1488">
        <f t="shared" si="229"/>
        <v>0</v>
      </c>
      <c r="D1781" s="1413" t="str">
        <f t="shared" si="229"/>
        <v>-</v>
      </c>
      <c r="E1781" s="560">
        <f t="shared" si="229"/>
        <v>25</v>
      </c>
      <c r="F1781" s="1508">
        <f t="shared" si="223"/>
        <v>0</v>
      </c>
      <c r="G1781" s="1508">
        <f t="shared" si="224"/>
        <v>0</v>
      </c>
      <c r="H1781" s="1508">
        <f t="shared" si="225"/>
        <v>0</v>
      </c>
      <c r="I1781" s="1480">
        <v>0</v>
      </c>
      <c r="J1781" s="1480">
        <v>0</v>
      </c>
      <c r="K1781" s="1508"/>
      <c r="L1781" s="1508"/>
      <c r="M1781" s="1509">
        <f t="shared" si="226"/>
        <v>0</v>
      </c>
      <c r="N1781" s="1508">
        <f t="shared" si="227"/>
        <v>0</v>
      </c>
    </row>
    <row r="1782" spans="1:14" ht="31" outlineLevel="1" x14ac:dyDescent="0.25">
      <c r="A1782" s="1492">
        <f t="shared" ref="A1782:E1797" si="230">A1112</f>
        <v>0</v>
      </c>
      <c r="B1782" s="1492" t="str">
        <f t="shared" si="230"/>
        <v>DPR for Modification and Restoration of Eco. outlet to ESP inlet duct of Unit -6 (500MW) CSTPS, Chandrapur .</v>
      </c>
      <c r="C1782" s="1488">
        <f t="shared" si="230"/>
        <v>0</v>
      </c>
      <c r="D1782" s="1413" t="str">
        <f t="shared" si="230"/>
        <v>-</v>
      </c>
      <c r="E1782" s="560">
        <f t="shared" si="230"/>
        <v>25</v>
      </c>
      <c r="F1782" s="1508">
        <f t="shared" si="223"/>
        <v>0</v>
      </c>
      <c r="G1782" s="1508">
        <f t="shared" si="224"/>
        <v>0</v>
      </c>
      <c r="H1782" s="1508">
        <f t="shared" si="225"/>
        <v>0</v>
      </c>
      <c r="I1782" s="1480">
        <v>0</v>
      </c>
      <c r="J1782" s="1480">
        <v>0</v>
      </c>
      <c r="K1782" s="1508"/>
      <c r="L1782" s="1508"/>
      <c r="M1782" s="1509">
        <f t="shared" si="226"/>
        <v>0</v>
      </c>
      <c r="N1782" s="1508">
        <f t="shared" si="227"/>
        <v>0</v>
      </c>
    </row>
    <row r="1783" spans="1:14" ht="108.5" outlineLevel="1" x14ac:dyDescent="0.25">
      <c r="A1783" s="1486">
        <f t="shared" si="230"/>
        <v>6</v>
      </c>
      <c r="B1783" s="1491" t="str">
        <f t="shared" si="230"/>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1783" s="1488">
        <f t="shared" si="230"/>
        <v>0</v>
      </c>
      <c r="D1783" s="1413" t="str">
        <f t="shared" si="230"/>
        <v>-</v>
      </c>
      <c r="E1783" s="560">
        <f t="shared" si="230"/>
        <v>40</v>
      </c>
      <c r="F1783" s="1508">
        <f t="shared" si="223"/>
        <v>0</v>
      </c>
      <c r="G1783" s="1508">
        <f t="shared" si="224"/>
        <v>0</v>
      </c>
      <c r="H1783" s="1508">
        <f t="shared" si="225"/>
        <v>0</v>
      </c>
      <c r="I1783" s="1480">
        <v>0</v>
      </c>
      <c r="J1783" s="1480">
        <v>0</v>
      </c>
      <c r="K1783" s="1508"/>
      <c r="L1783" s="1508"/>
      <c r="M1783" s="1509">
        <f t="shared" si="226"/>
        <v>0</v>
      </c>
      <c r="N1783" s="1508">
        <f t="shared" si="227"/>
        <v>0</v>
      </c>
    </row>
    <row r="1784" spans="1:14" ht="108.5" outlineLevel="1" x14ac:dyDescent="0.25">
      <c r="A1784" s="1492">
        <f t="shared" si="230"/>
        <v>0</v>
      </c>
      <c r="B1784" s="1492" t="str">
        <f t="shared" si="230"/>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1784" s="1488">
        <f t="shared" si="230"/>
        <v>0</v>
      </c>
      <c r="D1784" s="1413" t="str">
        <f t="shared" si="230"/>
        <v>-</v>
      </c>
      <c r="E1784" s="560">
        <f t="shared" si="230"/>
        <v>40</v>
      </c>
      <c r="F1784" s="1508">
        <f t="shared" si="223"/>
        <v>0</v>
      </c>
      <c r="G1784" s="1508">
        <f t="shared" si="224"/>
        <v>0</v>
      </c>
      <c r="H1784" s="1508">
        <f t="shared" si="225"/>
        <v>0</v>
      </c>
      <c r="I1784" s="1480">
        <v>0</v>
      </c>
      <c r="J1784" s="1480">
        <v>0</v>
      </c>
      <c r="K1784" s="1508"/>
      <c r="L1784" s="1508"/>
      <c r="M1784" s="1509">
        <f t="shared" si="226"/>
        <v>0</v>
      </c>
      <c r="N1784" s="1508">
        <f t="shared" si="227"/>
        <v>0</v>
      </c>
    </row>
    <row r="1785" spans="1:14" ht="46.5" outlineLevel="1" x14ac:dyDescent="0.25">
      <c r="A1785" s="1486">
        <f t="shared" si="230"/>
        <v>7</v>
      </c>
      <c r="B1785" s="1491" t="str">
        <f t="shared" si="230"/>
        <v>DPR for Supply &amp; Replacement of Divisional Panels in Boiler Unit 5,6 &amp; 7 and Economizer upper coil assembly in Unit 5 &amp; 6 CSTPS, Chandrapur.</v>
      </c>
      <c r="C1785" s="1488">
        <f t="shared" si="230"/>
        <v>0</v>
      </c>
      <c r="D1785" s="1413" t="str">
        <f t="shared" si="230"/>
        <v>-</v>
      </c>
      <c r="E1785" s="560">
        <f t="shared" si="230"/>
        <v>40</v>
      </c>
      <c r="F1785" s="1508">
        <f t="shared" si="223"/>
        <v>0</v>
      </c>
      <c r="G1785" s="1508">
        <f t="shared" si="224"/>
        <v>0</v>
      </c>
      <c r="H1785" s="1508">
        <f t="shared" si="225"/>
        <v>0</v>
      </c>
      <c r="I1785" s="1480">
        <v>0</v>
      </c>
      <c r="J1785" s="1480">
        <v>0</v>
      </c>
      <c r="K1785" s="1508"/>
      <c r="L1785" s="1508"/>
      <c r="M1785" s="1509">
        <f t="shared" si="226"/>
        <v>0</v>
      </c>
      <c r="N1785" s="1508">
        <f t="shared" si="227"/>
        <v>0</v>
      </c>
    </row>
    <row r="1786" spans="1:14" ht="46.5" outlineLevel="1" x14ac:dyDescent="0.25">
      <c r="A1786" s="1492">
        <f t="shared" si="230"/>
        <v>0</v>
      </c>
      <c r="B1786" s="1492" t="str">
        <f t="shared" si="230"/>
        <v>DPR for Supply &amp; Replacement of Divisional Panels in Boiler Unit 5,6 &amp; 7 and Economizer upper coil assembly in Unit 5 &amp; 6 CSTPS, Chandrapur.</v>
      </c>
      <c r="C1786" s="1488">
        <f t="shared" si="230"/>
        <v>0</v>
      </c>
      <c r="D1786" s="1413" t="str">
        <f t="shared" si="230"/>
        <v>-</v>
      </c>
      <c r="E1786" s="560">
        <f t="shared" si="230"/>
        <v>40</v>
      </c>
      <c r="F1786" s="1508">
        <f t="shared" si="223"/>
        <v>0</v>
      </c>
      <c r="G1786" s="1508">
        <f t="shared" si="224"/>
        <v>0</v>
      </c>
      <c r="H1786" s="1508">
        <f t="shared" si="225"/>
        <v>0</v>
      </c>
      <c r="I1786" s="1480">
        <v>0</v>
      </c>
      <c r="J1786" s="1480">
        <v>0</v>
      </c>
      <c r="K1786" s="1508"/>
      <c r="L1786" s="1508"/>
      <c r="M1786" s="1509">
        <f t="shared" si="226"/>
        <v>0</v>
      </c>
      <c r="N1786" s="1508">
        <f t="shared" si="227"/>
        <v>0</v>
      </c>
    </row>
    <row r="1787" spans="1:14" ht="46.5" outlineLevel="1" x14ac:dyDescent="0.25">
      <c r="A1787" s="1486">
        <f t="shared" si="230"/>
        <v>8</v>
      </c>
      <c r="B1787" s="1491" t="str">
        <f t="shared" si="230"/>
        <v>DPR for the Supply &amp; Replacement of Platen Superheater, Front Reheater in Unit-7 and Economizer middle &amp; Economizer lower coil assembly in Unit 5 &amp; 6 CSTPS, Chandrapur.</v>
      </c>
      <c r="C1787" s="1488">
        <f t="shared" si="230"/>
        <v>0</v>
      </c>
      <c r="D1787" s="1413" t="str">
        <f t="shared" si="230"/>
        <v>-</v>
      </c>
      <c r="E1787" s="560">
        <f t="shared" si="230"/>
        <v>52</v>
      </c>
      <c r="F1787" s="1508">
        <f t="shared" si="223"/>
        <v>0</v>
      </c>
      <c r="G1787" s="1508">
        <f t="shared" si="224"/>
        <v>0</v>
      </c>
      <c r="H1787" s="1508">
        <f t="shared" si="225"/>
        <v>0</v>
      </c>
      <c r="I1787" s="1480">
        <v>0</v>
      </c>
      <c r="J1787" s="1480">
        <v>0</v>
      </c>
      <c r="K1787" s="1508"/>
      <c r="L1787" s="1508"/>
      <c r="M1787" s="1509">
        <f t="shared" si="226"/>
        <v>0</v>
      </c>
      <c r="N1787" s="1508">
        <f t="shared" si="227"/>
        <v>0</v>
      </c>
    </row>
    <row r="1788" spans="1:14" ht="46.5" outlineLevel="1" x14ac:dyDescent="0.25">
      <c r="A1788" s="1492">
        <f t="shared" si="230"/>
        <v>0</v>
      </c>
      <c r="B1788" s="1492" t="str">
        <f t="shared" si="230"/>
        <v>DPR for the Supply &amp; Replacement of Platen Superheater, Front Reheater in Unit-7 and Economizer middle &amp; Economizer lower coil assembly in Unit 5 &amp; 6 CSTPS, Chandrapur.</v>
      </c>
      <c r="C1788" s="1488">
        <f t="shared" si="230"/>
        <v>0</v>
      </c>
      <c r="D1788" s="1413" t="str">
        <f t="shared" si="230"/>
        <v>-</v>
      </c>
      <c r="E1788" s="560">
        <f t="shared" si="230"/>
        <v>52</v>
      </c>
      <c r="F1788" s="1508">
        <f t="shared" si="223"/>
        <v>0</v>
      </c>
      <c r="G1788" s="1508">
        <f t="shared" si="224"/>
        <v>0</v>
      </c>
      <c r="H1788" s="1508">
        <f t="shared" si="225"/>
        <v>0</v>
      </c>
      <c r="I1788" s="1480">
        <v>0</v>
      </c>
      <c r="J1788" s="1480">
        <v>0</v>
      </c>
      <c r="K1788" s="1508"/>
      <c r="L1788" s="1508"/>
      <c r="M1788" s="1509">
        <f t="shared" si="226"/>
        <v>0</v>
      </c>
      <c r="N1788" s="1508">
        <f t="shared" si="227"/>
        <v>0</v>
      </c>
    </row>
    <row r="1789" spans="1:14" ht="31" outlineLevel="1" x14ac:dyDescent="0.25">
      <c r="A1789" s="1486">
        <f t="shared" si="230"/>
        <v>9</v>
      </c>
      <c r="B1789" s="1491" t="str">
        <f t="shared" si="230"/>
        <v>DPR for the Supply &amp; Replacement of Front &amp; Rear Reheater coil assemblies and LTSH terminal tube assembly in Boiler Unit 5 &amp; 6</v>
      </c>
      <c r="C1789" s="1488">
        <f t="shared" si="230"/>
        <v>0</v>
      </c>
      <c r="D1789" s="1413" t="str">
        <f t="shared" si="230"/>
        <v>-</v>
      </c>
      <c r="E1789" s="560">
        <f t="shared" si="230"/>
        <v>30</v>
      </c>
      <c r="F1789" s="1508">
        <f t="shared" si="223"/>
        <v>0</v>
      </c>
      <c r="G1789" s="1508">
        <f t="shared" si="224"/>
        <v>0</v>
      </c>
      <c r="H1789" s="1508">
        <f t="shared" si="225"/>
        <v>0</v>
      </c>
      <c r="I1789" s="1480">
        <v>0</v>
      </c>
      <c r="J1789" s="1480">
        <v>0</v>
      </c>
      <c r="K1789" s="1508"/>
      <c r="L1789" s="1508"/>
      <c r="M1789" s="1509">
        <f t="shared" si="226"/>
        <v>0</v>
      </c>
      <c r="N1789" s="1508">
        <f t="shared" si="227"/>
        <v>0</v>
      </c>
    </row>
    <row r="1790" spans="1:14" ht="46.5" outlineLevel="1" x14ac:dyDescent="0.25">
      <c r="A1790" s="1492">
        <f t="shared" si="230"/>
        <v>0</v>
      </c>
      <c r="B1790" s="1492" t="str">
        <f t="shared" si="230"/>
        <v xml:space="preserve">DPR for the Supply &amp; Replacement of Front &amp; Rear Reheater coil assemblies and LTSH terminal tube assembly in Boiler Unit 5 &amp; 6 . </v>
      </c>
      <c r="C1790" s="1488">
        <f t="shared" si="230"/>
        <v>0</v>
      </c>
      <c r="D1790" s="1413" t="str">
        <f t="shared" si="230"/>
        <v>-</v>
      </c>
      <c r="E1790" s="560">
        <f t="shared" si="230"/>
        <v>30</v>
      </c>
      <c r="F1790" s="1508">
        <f t="shared" si="223"/>
        <v>0</v>
      </c>
      <c r="G1790" s="1508">
        <f t="shared" si="224"/>
        <v>0</v>
      </c>
      <c r="H1790" s="1508">
        <f t="shared" si="225"/>
        <v>0</v>
      </c>
      <c r="I1790" s="1480">
        <v>0</v>
      </c>
      <c r="J1790" s="1480">
        <v>0</v>
      </c>
      <c r="K1790" s="1508"/>
      <c r="L1790" s="1508"/>
      <c r="M1790" s="1509">
        <f t="shared" si="226"/>
        <v>0</v>
      </c>
      <c r="N1790" s="1508">
        <f t="shared" si="227"/>
        <v>0</v>
      </c>
    </row>
    <row r="1791" spans="1:14" ht="46.5" outlineLevel="1" x14ac:dyDescent="0.25">
      <c r="A1791" s="1486">
        <f t="shared" si="230"/>
        <v>10</v>
      </c>
      <c r="B1791" s="1491" t="str">
        <f t="shared" si="230"/>
        <v>DPR For Coal Mill Performance Improvement and Life Enhancement of BHEL Make XRP-1043 Coal Mills in Unit 5 &amp; 6 At CSTPS, Chandrapur.</v>
      </c>
      <c r="C1791" s="1488">
        <f t="shared" si="230"/>
        <v>0</v>
      </c>
      <c r="D1791" s="1413" t="str">
        <f t="shared" si="230"/>
        <v>-</v>
      </c>
      <c r="E1791" s="560">
        <f t="shared" si="230"/>
        <v>52.62</v>
      </c>
      <c r="F1791" s="1508">
        <f t="shared" si="223"/>
        <v>0</v>
      </c>
      <c r="G1791" s="1508">
        <f t="shared" si="224"/>
        <v>0</v>
      </c>
      <c r="H1791" s="1508">
        <f t="shared" si="225"/>
        <v>0</v>
      </c>
      <c r="I1791" s="1480">
        <v>0</v>
      </c>
      <c r="J1791" s="1480">
        <v>0</v>
      </c>
      <c r="K1791" s="1508"/>
      <c r="L1791" s="1508"/>
      <c r="M1791" s="1509">
        <f t="shared" si="226"/>
        <v>0</v>
      </c>
      <c r="N1791" s="1508">
        <f t="shared" si="227"/>
        <v>0</v>
      </c>
    </row>
    <row r="1792" spans="1:14" ht="46.5" outlineLevel="1" x14ac:dyDescent="0.25">
      <c r="A1792" s="1492">
        <f t="shared" si="230"/>
        <v>0</v>
      </c>
      <c r="B1792" s="1492" t="str">
        <f t="shared" si="230"/>
        <v>DPR For Coal Mill Performance Improvement and Life Enhancement of BHEL Make XRP-1043 Coal Mills in Unit 5 &amp; 6 At CSTPS, Chandrapur.</v>
      </c>
      <c r="C1792" s="1488">
        <f t="shared" si="230"/>
        <v>0</v>
      </c>
      <c r="D1792" s="1413" t="str">
        <f t="shared" si="230"/>
        <v>-</v>
      </c>
      <c r="E1792" s="560">
        <f t="shared" si="230"/>
        <v>52.62</v>
      </c>
      <c r="F1792" s="1508">
        <f t="shared" si="223"/>
        <v>0</v>
      </c>
      <c r="G1792" s="1508">
        <f t="shared" si="224"/>
        <v>0</v>
      </c>
      <c r="H1792" s="1508">
        <f t="shared" si="225"/>
        <v>0</v>
      </c>
      <c r="I1792" s="1480">
        <v>0</v>
      </c>
      <c r="J1792" s="1480">
        <v>0</v>
      </c>
      <c r="K1792" s="1508"/>
      <c r="L1792" s="1508"/>
      <c r="M1792" s="1509">
        <f t="shared" si="226"/>
        <v>0</v>
      </c>
      <c r="N1792" s="1508">
        <f t="shared" si="227"/>
        <v>0</v>
      </c>
    </row>
    <row r="1793" spans="1:14" ht="15.5" outlineLevel="1" x14ac:dyDescent="0.25">
      <c r="A1793" s="1504">
        <f t="shared" si="230"/>
        <v>0</v>
      </c>
      <c r="B1793" s="1504" t="str">
        <f t="shared" si="230"/>
        <v>Turbine Maintenance-II</v>
      </c>
      <c r="C1793" s="1488">
        <f t="shared" si="230"/>
        <v>0</v>
      </c>
      <c r="D1793" s="1413" t="str">
        <f t="shared" si="230"/>
        <v>-</v>
      </c>
      <c r="E1793" s="560">
        <f t="shared" si="230"/>
        <v>0</v>
      </c>
      <c r="F1793" s="1508">
        <f t="shared" si="223"/>
        <v>0</v>
      </c>
      <c r="G1793" s="1508">
        <f t="shared" si="224"/>
        <v>0</v>
      </c>
      <c r="H1793" s="1508">
        <f t="shared" si="225"/>
        <v>0</v>
      </c>
      <c r="I1793" s="1480">
        <v>0</v>
      </c>
      <c r="J1793" s="1480">
        <v>0</v>
      </c>
      <c r="K1793" s="1508"/>
      <c r="L1793" s="1508"/>
      <c r="M1793" s="1509">
        <f t="shared" si="226"/>
        <v>0</v>
      </c>
      <c r="N1793" s="1508">
        <f t="shared" si="227"/>
        <v>0</v>
      </c>
    </row>
    <row r="1794" spans="1:14" ht="46.5" outlineLevel="1" x14ac:dyDescent="0.25">
      <c r="A1794" s="1486">
        <f t="shared" si="230"/>
        <v>1</v>
      </c>
      <c r="B1794" s="1491" t="str">
        <f t="shared" si="230"/>
        <v>Post facto DPR for "Urgent restoration and Life Enhancement of Unit#5 500 MW BHEL make Turbo Generator for prolonged efficient operation at Stage-III CSTPS Chandrapur"</v>
      </c>
      <c r="C1794" s="166">
        <f t="shared" si="230"/>
        <v>0</v>
      </c>
      <c r="D1794" s="1413" t="str">
        <f t="shared" si="230"/>
        <v>-</v>
      </c>
      <c r="E1794" s="560">
        <f t="shared" si="230"/>
        <v>25.42</v>
      </c>
      <c r="F1794" s="1508">
        <f t="shared" si="223"/>
        <v>0</v>
      </c>
      <c r="G1794" s="1508">
        <f t="shared" si="224"/>
        <v>0</v>
      </c>
      <c r="H1794" s="1508">
        <f t="shared" si="225"/>
        <v>0</v>
      </c>
      <c r="I1794" s="1480">
        <v>0</v>
      </c>
      <c r="J1794" s="1480">
        <v>0</v>
      </c>
      <c r="K1794" s="1508"/>
      <c r="L1794" s="1508"/>
      <c r="M1794" s="1509">
        <f t="shared" si="226"/>
        <v>0</v>
      </c>
      <c r="N1794" s="1508">
        <f t="shared" si="227"/>
        <v>0</v>
      </c>
    </row>
    <row r="1795" spans="1:14" ht="46.5" outlineLevel="1" x14ac:dyDescent="0.25">
      <c r="A1795" s="1492">
        <f t="shared" si="230"/>
        <v>0</v>
      </c>
      <c r="B1795" s="1492" t="str">
        <f t="shared" si="230"/>
        <v>Post facto DPR for "Urgent restoration and Life Enhancement of Unit#5 500 MW BHEL make Turbo Generator for prolonged efficient operation at Stage-III CSTPS Chandrapur"</v>
      </c>
      <c r="C1795" s="166">
        <f t="shared" si="230"/>
        <v>0</v>
      </c>
      <c r="D1795" s="1413" t="str">
        <f t="shared" si="230"/>
        <v>-</v>
      </c>
      <c r="E1795" s="560">
        <f t="shared" si="230"/>
        <v>25.42</v>
      </c>
      <c r="F1795" s="1508">
        <f t="shared" si="223"/>
        <v>0</v>
      </c>
      <c r="G1795" s="1508">
        <f t="shared" si="224"/>
        <v>0</v>
      </c>
      <c r="H1795" s="1508">
        <f t="shared" si="225"/>
        <v>0</v>
      </c>
      <c r="I1795" s="1480">
        <v>25.42</v>
      </c>
      <c r="J1795" s="1480">
        <v>25.42</v>
      </c>
      <c r="K1795" s="1508"/>
      <c r="L1795" s="1508"/>
      <c r="M1795" s="1509">
        <f t="shared" si="226"/>
        <v>25.42</v>
      </c>
      <c r="N1795" s="1508">
        <f t="shared" si="227"/>
        <v>0</v>
      </c>
    </row>
    <row r="1796" spans="1:14" ht="31" outlineLevel="1" x14ac:dyDescent="0.25">
      <c r="A1796" s="1486">
        <f t="shared" si="230"/>
        <v>2</v>
      </c>
      <c r="B1796" s="1491" t="str">
        <f t="shared" si="230"/>
        <v>Upgradation and modernization scheme for Air Washer system installed in U-5 &amp; 6, CSTPS, Chandrapur</v>
      </c>
      <c r="C1796" s="1488">
        <f t="shared" si="230"/>
        <v>0</v>
      </c>
      <c r="D1796" s="1413" t="str">
        <f t="shared" si="230"/>
        <v>-</v>
      </c>
      <c r="E1796" s="560">
        <f t="shared" si="230"/>
        <v>25</v>
      </c>
      <c r="F1796" s="1508">
        <f t="shared" si="223"/>
        <v>0</v>
      </c>
      <c r="G1796" s="1508">
        <f t="shared" si="224"/>
        <v>0</v>
      </c>
      <c r="H1796" s="1508">
        <f t="shared" si="225"/>
        <v>0</v>
      </c>
      <c r="I1796" s="1480">
        <v>0</v>
      </c>
      <c r="J1796" s="1480">
        <v>0</v>
      </c>
      <c r="K1796" s="1508"/>
      <c r="L1796" s="1508"/>
      <c r="M1796" s="1509">
        <f t="shared" si="226"/>
        <v>0</v>
      </c>
      <c r="N1796" s="1508">
        <f t="shared" si="227"/>
        <v>0</v>
      </c>
    </row>
    <row r="1797" spans="1:14" ht="46.5" outlineLevel="1" x14ac:dyDescent="0.25">
      <c r="A1797" s="1492">
        <f t="shared" si="230"/>
        <v>0</v>
      </c>
      <c r="B1797" s="1492" t="str">
        <f t="shared" si="230"/>
        <v>Design, Supply, Installation, Testing &amp; commissioning of Energy Efficient Air Washer System for Unit -5 &amp; 6, 500MW, CSTPS, Chandrapur</v>
      </c>
      <c r="C1797" s="1488">
        <f t="shared" si="230"/>
        <v>0</v>
      </c>
      <c r="D1797" s="1413" t="str">
        <f t="shared" si="230"/>
        <v>-</v>
      </c>
      <c r="E1797" s="560">
        <f t="shared" si="230"/>
        <v>25</v>
      </c>
      <c r="F1797" s="1508">
        <f t="shared" si="223"/>
        <v>0</v>
      </c>
      <c r="G1797" s="1508">
        <f t="shared" si="224"/>
        <v>0</v>
      </c>
      <c r="H1797" s="1508">
        <f t="shared" si="225"/>
        <v>0</v>
      </c>
      <c r="I1797" s="1480">
        <v>0</v>
      </c>
      <c r="J1797" s="1480">
        <v>0</v>
      </c>
      <c r="K1797" s="1508"/>
      <c r="L1797" s="1508"/>
      <c r="M1797" s="1509">
        <f t="shared" si="226"/>
        <v>0</v>
      </c>
      <c r="N1797" s="1508">
        <f t="shared" si="227"/>
        <v>0</v>
      </c>
    </row>
    <row r="1798" spans="1:14" ht="31" outlineLevel="1" x14ac:dyDescent="0.25">
      <c r="A1798" s="1486">
        <f t="shared" ref="A1798:E1813" si="231">A1128</f>
        <v>3</v>
      </c>
      <c r="B1798" s="1491" t="str">
        <f t="shared" si="231"/>
        <v>Schemes for Improvement in availability &amp; performance of feed system for U-5, 6 &amp; 7, CSTPS, Chandrapur</v>
      </c>
      <c r="C1798" s="1488">
        <f t="shared" si="231"/>
        <v>0</v>
      </c>
      <c r="D1798" s="1413" t="str">
        <f t="shared" si="231"/>
        <v>-</v>
      </c>
      <c r="E1798" s="560">
        <f t="shared" si="231"/>
        <v>44.25</v>
      </c>
      <c r="F1798" s="1508">
        <f t="shared" ref="F1798:F1861" si="232">F1128+I1128</f>
        <v>0</v>
      </c>
      <c r="G1798" s="1508">
        <f t="shared" ref="G1798:G1861" si="233">G1128+M1128</f>
        <v>0</v>
      </c>
      <c r="H1798" s="1508">
        <f t="shared" si="225"/>
        <v>0</v>
      </c>
      <c r="I1798" s="1480">
        <v>0</v>
      </c>
      <c r="J1798" s="1480">
        <v>0</v>
      </c>
      <c r="K1798" s="1508"/>
      <c r="L1798" s="1508"/>
      <c r="M1798" s="1509">
        <f t="shared" si="226"/>
        <v>0</v>
      </c>
      <c r="N1798" s="1508">
        <f t="shared" si="227"/>
        <v>0</v>
      </c>
    </row>
    <row r="1799" spans="1:14" ht="31" outlineLevel="1" x14ac:dyDescent="0.25">
      <c r="A1799" s="1492">
        <f t="shared" si="231"/>
        <v>0</v>
      </c>
      <c r="B1799" s="1492" t="str">
        <f t="shared" si="231"/>
        <v>Procurement of BFP Booster Pump assembly for Unit-5, 6 &amp; 7 CSTPS Chandrapur</v>
      </c>
      <c r="C1799" s="1488">
        <f t="shared" si="231"/>
        <v>0</v>
      </c>
      <c r="D1799" s="1413" t="str">
        <f t="shared" si="231"/>
        <v>-</v>
      </c>
      <c r="E1799" s="560">
        <f t="shared" si="231"/>
        <v>7.2</v>
      </c>
      <c r="F1799" s="1508">
        <f t="shared" si="232"/>
        <v>0</v>
      </c>
      <c r="G1799" s="1508">
        <f t="shared" si="233"/>
        <v>0</v>
      </c>
      <c r="H1799" s="1508">
        <f t="shared" si="225"/>
        <v>0</v>
      </c>
      <c r="I1799" s="1480">
        <v>0</v>
      </c>
      <c r="J1799" s="1480">
        <v>0</v>
      </c>
      <c r="K1799" s="1508"/>
      <c r="L1799" s="1508"/>
      <c r="M1799" s="1509">
        <f t="shared" si="226"/>
        <v>0</v>
      </c>
      <c r="N1799" s="1508">
        <f t="shared" si="227"/>
        <v>0</v>
      </c>
    </row>
    <row r="1800" spans="1:14" ht="31" outlineLevel="1" x14ac:dyDescent="0.25">
      <c r="A1800" s="1492">
        <f t="shared" si="231"/>
        <v>0</v>
      </c>
      <c r="B1800" s="1492" t="str">
        <f t="shared" si="231"/>
        <v>Procurement of Boiler Feed Pump catridge with CI sealing for Unit- 5 &amp; 6 CSTPS Chandrapur</v>
      </c>
      <c r="C1800" s="1488">
        <f t="shared" si="231"/>
        <v>0</v>
      </c>
      <c r="D1800" s="1413" t="str">
        <f t="shared" si="231"/>
        <v>-</v>
      </c>
      <c r="E1800" s="560">
        <f t="shared" si="231"/>
        <v>11.2</v>
      </c>
      <c r="F1800" s="1508">
        <f t="shared" si="232"/>
        <v>0</v>
      </c>
      <c r="G1800" s="1508">
        <f t="shared" si="233"/>
        <v>0</v>
      </c>
      <c r="H1800" s="1508">
        <f t="shared" si="225"/>
        <v>0</v>
      </c>
      <c r="I1800" s="1480">
        <v>0</v>
      </c>
      <c r="J1800" s="1480">
        <v>0</v>
      </c>
      <c r="K1800" s="1508"/>
      <c r="L1800" s="1508"/>
      <c r="M1800" s="1509">
        <f t="shared" si="226"/>
        <v>0</v>
      </c>
      <c r="N1800" s="1508">
        <f t="shared" si="227"/>
        <v>0</v>
      </c>
    </row>
    <row r="1801" spans="1:14" ht="31" outlineLevel="1" x14ac:dyDescent="0.25">
      <c r="A1801" s="1492">
        <f t="shared" si="231"/>
        <v>0</v>
      </c>
      <c r="B1801" s="1492" t="str">
        <f t="shared" si="231"/>
        <v>Procurement of Modulating type Boiler Feed Pump Recirculation valve  assembly for 500 MW, U-5, 6 &amp; 7</v>
      </c>
      <c r="C1801" s="1488">
        <f t="shared" si="231"/>
        <v>0</v>
      </c>
      <c r="D1801" s="1413" t="str">
        <f t="shared" si="231"/>
        <v>-</v>
      </c>
      <c r="E1801" s="560">
        <f t="shared" si="231"/>
        <v>15.85</v>
      </c>
      <c r="F1801" s="1508">
        <f t="shared" si="232"/>
        <v>0</v>
      </c>
      <c r="G1801" s="1508">
        <f t="shared" si="233"/>
        <v>0</v>
      </c>
      <c r="H1801" s="1508">
        <f t="shared" si="225"/>
        <v>0</v>
      </c>
      <c r="I1801" s="1480">
        <v>0</v>
      </c>
      <c r="J1801" s="1480">
        <v>0</v>
      </c>
      <c r="K1801" s="1508"/>
      <c r="L1801" s="1508"/>
      <c r="M1801" s="1509">
        <f t="shared" si="226"/>
        <v>0</v>
      </c>
      <c r="N1801" s="1508">
        <f t="shared" si="227"/>
        <v>0</v>
      </c>
    </row>
    <row r="1802" spans="1:14" ht="31" outlineLevel="1" x14ac:dyDescent="0.25">
      <c r="A1802" s="1492">
        <f t="shared" si="231"/>
        <v>0</v>
      </c>
      <c r="B1802" s="1492" t="str">
        <f t="shared" si="231"/>
        <v>Procurement of Fully bladed dynamically balanced Rotor (along with both side coupling hub) for TDBFP Turbine</v>
      </c>
      <c r="C1802" s="1488">
        <f t="shared" si="231"/>
        <v>0</v>
      </c>
      <c r="D1802" s="1413" t="str">
        <f t="shared" si="231"/>
        <v>-</v>
      </c>
      <c r="E1802" s="560">
        <f t="shared" si="231"/>
        <v>8.5</v>
      </c>
      <c r="F1802" s="1508">
        <f t="shared" si="232"/>
        <v>0</v>
      </c>
      <c r="G1802" s="1508">
        <f t="shared" si="233"/>
        <v>0</v>
      </c>
      <c r="H1802" s="1508">
        <f t="shared" si="225"/>
        <v>0</v>
      </c>
      <c r="I1802" s="1480">
        <v>0</v>
      </c>
      <c r="J1802" s="1480">
        <v>0</v>
      </c>
      <c r="K1802" s="1508"/>
      <c r="L1802" s="1508"/>
      <c r="M1802" s="1509">
        <f t="shared" si="226"/>
        <v>0</v>
      </c>
      <c r="N1802" s="1508">
        <f t="shared" si="227"/>
        <v>0</v>
      </c>
    </row>
    <row r="1803" spans="1:14" ht="31" outlineLevel="1" x14ac:dyDescent="0.25">
      <c r="A1803" s="1492">
        <f t="shared" si="231"/>
        <v>0</v>
      </c>
      <c r="B1803" s="1492" t="str">
        <f t="shared" si="231"/>
        <v>Life enhancement and efficiency improvement of 500MW U-5 &amp; 6 TDBFP Lub System</v>
      </c>
      <c r="C1803" s="1488">
        <f t="shared" si="231"/>
        <v>0</v>
      </c>
      <c r="D1803" s="1413" t="str">
        <f t="shared" si="231"/>
        <v>-</v>
      </c>
      <c r="E1803" s="560">
        <f t="shared" si="231"/>
        <v>1.5</v>
      </c>
      <c r="F1803" s="1508">
        <f t="shared" si="232"/>
        <v>0</v>
      </c>
      <c r="G1803" s="1508">
        <f t="shared" si="233"/>
        <v>0</v>
      </c>
      <c r="H1803" s="1508">
        <f t="shared" si="225"/>
        <v>0</v>
      </c>
      <c r="I1803" s="1480">
        <v>0</v>
      </c>
      <c r="J1803" s="1480">
        <v>0</v>
      </c>
      <c r="K1803" s="1508"/>
      <c r="L1803" s="1508"/>
      <c r="M1803" s="1509">
        <f t="shared" si="226"/>
        <v>0</v>
      </c>
      <c r="N1803" s="1508">
        <f t="shared" si="227"/>
        <v>0</v>
      </c>
    </row>
    <row r="1804" spans="1:14" ht="31" outlineLevel="1" x14ac:dyDescent="0.25">
      <c r="A1804" s="1486">
        <f t="shared" si="231"/>
        <v>4</v>
      </c>
      <c r="B1804" s="1491" t="str">
        <f t="shared" si="231"/>
        <v xml:space="preserve">Life enhancement and Reliability improvement schemes of 500MW Main Turbine Assests </v>
      </c>
      <c r="C1804" s="1488">
        <f t="shared" si="231"/>
        <v>0</v>
      </c>
      <c r="D1804" s="1413" t="str">
        <f t="shared" si="231"/>
        <v>-</v>
      </c>
      <c r="E1804" s="560">
        <f t="shared" si="231"/>
        <v>36.81</v>
      </c>
      <c r="F1804" s="1508">
        <f t="shared" si="232"/>
        <v>0</v>
      </c>
      <c r="G1804" s="1508">
        <f t="shared" si="233"/>
        <v>0</v>
      </c>
      <c r="H1804" s="1508">
        <f t="shared" si="225"/>
        <v>0</v>
      </c>
      <c r="I1804" s="1480">
        <v>0</v>
      </c>
      <c r="J1804" s="1480">
        <v>0</v>
      </c>
      <c r="K1804" s="1508"/>
      <c r="L1804" s="1508"/>
      <c r="M1804" s="1509">
        <f t="shared" si="226"/>
        <v>0</v>
      </c>
      <c r="N1804" s="1508">
        <f t="shared" si="227"/>
        <v>0</v>
      </c>
    </row>
    <row r="1805" spans="1:14" ht="46.5" outlineLevel="1" x14ac:dyDescent="0.25">
      <c r="A1805" s="1492">
        <f t="shared" si="231"/>
        <v>0</v>
      </c>
      <c r="B1805" s="1492" t="str">
        <f t="shared" si="231"/>
        <v>Reliability improvement of Low pressure Turbine by maintaining one set of LP free standing blades as insurance spare</v>
      </c>
      <c r="C1805" s="1488">
        <f t="shared" si="231"/>
        <v>0</v>
      </c>
      <c r="D1805" s="1413" t="str">
        <f t="shared" si="231"/>
        <v>-</v>
      </c>
      <c r="E1805" s="560">
        <f t="shared" si="231"/>
        <v>24</v>
      </c>
      <c r="F1805" s="1508">
        <f t="shared" si="232"/>
        <v>0</v>
      </c>
      <c r="G1805" s="1508">
        <f t="shared" si="233"/>
        <v>0</v>
      </c>
      <c r="H1805" s="1508">
        <f t="shared" si="225"/>
        <v>0</v>
      </c>
      <c r="I1805" s="1480">
        <v>0</v>
      </c>
      <c r="J1805" s="1480">
        <v>0</v>
      </c>
      <c r="K1805" s="1508"/>
      <c r="L1805" s="1508"/>
      <c r="M1805" s="1509">
        <f t="shared" si="226"/>
        <v>0</v>
      </c>
      <c r="N1805" s="1508">
        <f t="shared" si="227"/>
        <v>0</v>
      </c>
    </row>
    <row r="1806" spans="1:14" ht="31" outlineLevel="1" x14ac:dyDescent="0.25">
      <c r="A1806" s="1492">
        <f t="shared" si="231"/>
        <v>0</v>
      </c>
      <c r="B1806" s="1492" t="str">
        <f t="shared" si="231"/>
        <v>Performance and efficiency improvement of 500MW U-5 &amp; 6 High Pressure Turbine module</v>
      </c>
      <c r="C1806" s="1488">
        <f t="shared" si="231"/>
        <v>0</v>
      </c>
      <c r="D1806" s="1413" t="str">
        <f t="shared" si="231"/>
        <v>-</v>
      </c>
      <c r="E1806" s="560">
        <f t="shared" si="231"/>
        <v>9.81</v>
      </c>
      <c r="F1806" s="1508">
        <f t="shared" si="232"/>
        <v>0</v>
      </c>
      <c r="G1806" s="1508">
        <f t="shared" si="233"/>
        <v>0</v>
      </c>
      <c r="H1806" s="1508">
        <f t="shared" si="225"/>
        <v>0</v>
      </c>
      <c r="I1806" s="1480">
        <v>0</v>
      </c>
      <c r="J1806" s="1480">
        <v>0</v>
      </c>
      <c r="K1806" s="1508"/>
      <c r="L1806" s="1508"/>
      <c r="M1806" s="1509">
        <f t="shared" si="226"/>
        <v>0</v>
      </c>
      <c r="N1806" s="1508">
        <f t="shared" si="227"/>
        <v>0</v>
      </c>
    </row>
    <row r="1807" spans="1:14" ht="31" outlineLevel="1" x14ac:dyDescent="0.25">
      <c r="A1807" s="1492">
        <f t="shared" si="231"/>
        <v>0</v>
      </c>
      <c r="B1807" s="1492" t="str">
        <f t="shared" si="231"/>
        <v xml:space="preserve"> Life enhancement and efficiency improvement of 500MW U-5 &amp; 6 Main TG Lub System</v>
      </c>
      <c r="C1807" s="1488">
        <f t="shared" si="231"/>
        <v>0</v>
      </c>
      <c r="D1807" s="1413" t="str">
        <f t="shared" si="231"/>
        <v>-</v>
      </c>
      <c r="E1807" s="560">
        <f t="shared" si="231"/>
        <v>3</v>
      </c>
      <c r="F1807" s="1508">
        <f t="shared" si="232"/>
        <v>0</v>
      </c>
      <c r="G1807" s="1508">
        <f t="shared" si="233"/>
        <v>0</v>
      </c>
      <c r="H1807" s="1508">
        <f t="shared" si="225"/>
        <v>0</v>
      </c>
      <c r="I1807" s="1480">
        <v>0</v>
      </c>
      <c r="J1807" s="1480">
        <v>0</v>
      </c>
      <c r="K1807" s="1508"/>
      <c r="L1807" s="1508"/>
      <c r="M1807" s="1509">
        <f t="shared" si="226"/>
        <v>0</v>
      </c>
      <c r="N1807" s="1508">
        <f t="shared" si="227"/>
        <v>0</v>
      </c>
    </row>
    <row r="1808" spans="1:14" ht="15.5" outlineLevel="1" x14ac:dyDescent="0.25">
      <c r="A1808" s="1486">
        <f t="shared" si="231"/>
        <v>5</v>
      </c>
      <c r="B1808" s="1491" t="str">
        <f t="shared" si="231"/>
        <v xml:space="preserve"> Reliability improvement of Main Turbine </v>
      </c>
      <c r="C1808" s="1488">
        <f t="shared" si="231"/>
        <v>0</v>
      </c>
      <c r="D1808" s="1413" t="str">
        <f t="shared" si="231"/>
        <v>-</v>
      </c>
      <c r="E1808" s="560">
        <f t="shared" si="231"/>
        <v>45</v>
      </c>
      <c r="F1808" s="1508">
        <f t="shared" si="232"/>
        <v>0</v>
      </c>
      <c r="G1808" s="1508">
        <f t="shared" si="233"/>
        <v>0</v>
      </c>
      <c r="H1808" s="1508">
        <f t="shared" si="225"/>
        <v>0</v>
      </c>
      <c r="I1808" s="1480">
        <v>0</v>
      </c>
      <c r="J1808" s="1480">
        <v>0</v>
      </c>
      <c r="K1808" s="1508"/>
      <c r="L1808" s="1508"/>
      <c r="M1808" s="1509">
        <f t="shared" si="226"/>
        <v>0</v>
      </c>
      <c r="N1808" s="1508">
        <f t="shared" si="227"/>
        <v>0</v>
      </c>
    </row>
    <row r="1809" spans="1:14" ht="31" outlineLevel="1" x14ac:dyDescent="0.25">
      <c r="A1809" s="1492">
        <f t="shared" si="231"/>
        <v>0</v>
      </c>
      <c r="B1809" s="1492" t="str">
        <f t="shared" si="231"/>
        <v>Brief Scope of Work; Procurement of critical spares for Main TG U-5, 6 &amp; 7</v>
      </c>
      <c r="C1809" s="1488">
        <f t="shared" si="231"/>
        <v>0</v>
      </c>
      <c r="D1809" s="1413" t="str">
        <f t="shared" si="231"/>
        <v>-</v>
      </c>
      <c r="E1809" s="560">
        <f t="shared" si="231"/>
        <v>10</v>
      </c>
      <c r="F1809" s="1508">
        <f t="shared" si="232"/>
        <v>0</v>
      </c>
      <c r="G1809" s="1508">
        <f t="shared" si="233"/>
        <v>0</v>
      </c>
      <c r="H1809" s="1508">
        <f t="shared" si="225"/>
        <v>0</v>
      </c>
      <c r="I1809" s="1480">
        <v>0</v>
      </c>
      <c r="J1809" s="1480">
        <v>0</v>
      </c>
      <c r="K1809" s="1508"/>
      <c r="L1809" s="1508"/>
      <c r="M1809" s="1509">
        <f t="shared" si="226"/>
        <v>0</v>
      </c>
      <c r="N1809" s="1508">
        <f t="shared" si="227"/>
        <v>0</v>
      </c>
    </row>
    <row r="1810" spans="1:14" ht="46.5" outlineLevel="1" x14ac:dyDescent="0.25">
      <c r="A1810" s="1492">
        <f t="shared" si="231"/>
        <v>0</v>
      </c>
      <c r="B1810" s="1492" t="str">
        <f t="shared" si="231"/>
        <v xml:space="preserve">Procurement of HP turbine Module along with breach nuts and pipe spool pieces (Type:H30-100-2) for Unit-7, CSTPS, Chandrapur </v>
      </c>
      <c r="C1810" s="1488">
        <f t="shared" si="231"/>
        <v>0</v>
      </c>
      <c r="D1810" s="1413" t="str">
        <f t="shared" si="231"/>
        <v>-</v>
      </c>
      <c r="E1810" s="560">
        <f t="shared" si="231"/>
        <v>35</v>
      </c>
      <c r="F1810" s="1508">
        <f t="shared" si="232"/>
        <v>0</v>
      </c>
      <c r="G1810" s="1508">
        <f t="shared" si="233"/>
        <v>0</v>
      </c>
      <c r="H1810" s="1508">
        <f t="shared" si="225"/>
        <v>0</v>
      </c>
      <c r="I1810" s="1480">
        <v>0</v>
      </c>
      <c r="J1810" s="1480">
        <v>0</v>
      </c>
      <c r="K1810" s="1508"/>
      <c r="L1810" s="1508"/>
      <c r="M1810" s="1509">
        <f t="shared" si="226"/>
        <v>0</v>
      </c>
      <c r="N1810" s="1508">
        <f t="shared" si="227"/>
        <v>0</v>
      </c>
    </row>
    <row r="1811" spans="1:14" ht="31" outlineLevel="1" x14ac:dyDescent="0.25">
      <c r="A1811" s="1486">
        <f t="shared" si="231"/>
        <v>6</v>
      </c>
      <c r="B1811" s="1491" t="str">
        <f t="shared" si="231"/>
        <v xml:space="preserve">Reliability improvement of IP Turbine for 500 MW Main TG U-5 &amp; 6 </v>
      </c>
      <c r="C1811" s="1488">
        <f t="shared" si="231"/>
        <v>0</v>
      </c>
      <c r="D1811" s="1413" t="str">
        <f t="shared" si="231"/>
        <v>-</v>
      </c>
      <c r="E1811" s="560">
        <f t="shared" si="231"/>
        <v>35</v>
      </c>
      <c r="F1811" s="1508">
        <f t="shared" si="232"/>
        <v>0</v>
      </c>
      <c r="G1811" s="1508">
        <f t="shared" si="233"/>
        <v>0</v>
      </c>
      <c r="H1811" s="1508">
        <f t="shared" si="225"/>
        <v>0</v>
      </c>
      <c r="I1811" s="1480">
        <v>0</v>
      </c>
      <c r="J1811" s="1480">
        <v>0</v>
      </c>
      <c r="K1811" s="1508"/>
      <c r="L1811" s="1508"/>
      <c r="M1811" s="1509">
        <f t="shared" si="226"/>
        <v>0</v>
      </c>
      <c r="N1811" s="1508">
        <f t="shared" si="227"/>
        <v>0</v>
      </c>
    </row>
    <row r="1812" spans="1:14" ht="46.5" outlineLevel="1" x14ac:dyDescent="0.25">
      <c r="A1812" s="1492">
        <f t="shared" si="231"/>
        <v>0</v>
      </c>
      <c r="B1812" s="1492" t="str">
        <f t="shared" si="231"/>
        <v>Procurement of Fully Bladed &amp; Dynamically Balanced IP Rotor (M 30-50) for 500MW Unit-5 &amp; 6, CSTPS, Chandrapur under Capital Nature items.</v>
      </c>
      <c r="C1812" s="1488">
        <f t="shared" si="231"/>
        <v>0</v>
      </c>
      <c r="D1812" s="1413" t="str">
        <f t="shared" si="231"/>
        <v>-</v>
      </c>
      <c r="E1812" s="560">
        <f t="shared" si="231"/>
        <v>35</v>
      </c>
      <c r="F1812" s="1508">
        <f t="shared" si="232"/>
        <v>0</v>
      </c>
      <c r="G1812" s="1508">
        <f t="shared" si="233"/>
        <v>0</v>
      </c>
      <c r="H1812" s="1508">
        <f t="shared" ref="H1812:H1875" si="234">F1812-G1812</f>
        <v>0</v>
      </c>
      <c r="I1812" s="1480">
        <v>0</v>
      </c>
      <c r="J1812" s="1480">
        <v>0</v>
      </c>
      <c r="K1812" s="1508"/>
      <c r="L1812" s="1508"/>
      <c r="M1812" s="1509">
        <f t="shared" ref="M1812:M1875" si="235">SUM(J1812:L1812)</f>
        <v>0</v>
      </c>
      <c r="N1812" s="1508">
        <f t="shared" ref="N1812:N1875" si="236">H1812+I1812-M1812</f>
        <v>0</v>
      </c>
    </row>
    <row r="1813" spans="1:14" ht="15.5" outlineLevel="1" x14ac:dyDescent="0.25">
      <c r="A1813" s="1486">
        <f t="shared" si="231"/>
        <v>7</v>
      </c>
      <c r="B1813" s="1491" t="str">
        <f t="shared" si="231"/>
        <v>Energy saving in Air compressors</v>
      </c>
      <c r="C1813" s="1488">
        <f t="shared" si="231"/>
        <v>0</v>
      </c>
      <c r="D1813" s="1413" t="str">
        <f t="shared" si="231"/>
        <v>-</v>
      </c>
      <c r="E1813" s="560">
        <f t="shared" si="231"/>
        <v>30</v>
      </c>
      <c r="F1813" s="1508">
        <f t="shared" si="232"/>
        <v>0</v>
      </c>
      <c r="G1813" s="1508">
        <f t="shared" si="233"/>
        <v>0</v>
      </c>
      <c r="H1813" s="1508">
        <f t="shared" si="234"/>
        <v>0</v>
      </c>
      <c r="I1813" s="1480">
        <v>0</v>
      </c>
      <c r="J1813" s="1480">
        <v>0</v>
      </c>
      <c r="K1813" s="1508"/>
      <c r="L1813" s="1508"/>
      <c r="M1813" s="1509">
        <f t="shared" si="235"/>
        <v>0</v>
      </c>
      <c r="N1813" s="1508">
        <f t="shared" si="236"/>
        <v>0</v>
      </c>
    </row>
    <row r="1814" spans="1:14" ht="31" outlineLevel="1" x14ac:dyDescent="0.25">
      <c r="A1814" s="1492">
        <f t="shared" ref="A1814:E1829" si="237">A1144</f>
        <v>0</v>
      </c>
      <c r="B1814" s="1492" t="str">
        <f t="shared" si="237"/>
        <v>Air Compressor Unit-7 to be replaced in a phased manner with energy efficient compressor</v>
      </c>
      <c r="C1814" s="1488">
        <f t="shared" si="237"/>
        <v>0</v>
      </c>
      <c r="D1814" s="1413" t="str">
        <f t="shared" si="237"/>
        <v>-</v>
      </c>
      <c r="E1814" s="560">
        <f t="shared" si="237"/>
        <v>30</v>
      </c>
      <c r="F1814" s="1508">
        <f t="shared" si="232"/>
        <v>0</v>
      </c>
      <c r="G1814" s="1508">
        <f t="shared" si="233"/>
        <v>0</v>
      </c>
      <c r="H1814" s="1508">
        <f t="shared" si="234"/>
        <v>0</v>
      </c>
      <c r="I1814" s="1480">
        <v>0</v>
      </c>
      <c r="J1814" s="1480">
        <v>0</v>
      </c>
      <c r="K1814" s="1508"/>
      <c r="L1814" s="1508"/>
      <c r="M1814" s="1509">
        <f t="shared" si="235"/>
        <v>0</v>
      </c>
      <c r="N1814" s="1508">
        <f t="shared" si="236"/>
        <v>0</v>
      </c>
    </row>
    <row r="1815" spans="1:14" ht="15.5" outlineLevel="1" x14ac:dyDescent="0.25">
      <c r="A1815" s="1486">
        <f t="shared" si="237"/>
        <v>8</v>
      </c>
      <c r="B1815" s="1491" t="str">
        <f t="shared" si="237"/>
        <v>Efficiency Upgrade of AC Plant of Unit-5 &amp; 6</v>
      </c>
      <c r="C1815" s="1488">
        <f t="shared" si="237"/>
        <v>0</v>
      </c>
      <c r="D1815" s="1413" t="str">
        <f t="shared" si="237"/>
        <v>-</v>
      </c>
      <c r="E1815" s="560">
        <f t="shared" si="237"/>
        <v>50</v>
      </c>
      <c r="F1815" s="1508">
        <f t="shared" si="232"/>
        <v>0</v>
      </c>
      <c r="G1815" s="1508">
        <f t="shared" si="233"/>
        <v>0</v>
      </c>
      <c r="H1815" s="1508">
        <f t="shared" si="234"/>
        <v>0</v>
      </c>
      <c r="I1815" s="1480">
        <v>0</v>
      </c>
      <c r="J1815" s="1480">
        <v>0</v>
      </c>
      <c r="K1815" s="1508"/>
      <c r="L1815" s="1508"/>
      <c r="M1815" s="1509">
        <f t="shared" si="235"/>
        <v>0</v>
      </c>
      <c r="N1815" s="1508">
        <f t="shared" si="236"/>
        <v>0</v>
      </c>
    </row>
    <row r="1816" spans="1:14" ht="46.5" outlineLevel="1" x14ac:dyDescent="0.25">
      <c r="A1816" s="1492">
        <f t="shared" si="237"/>
        <v>0</v>
      </c>
      <c r="B1816" s="1492" t="str">
        <f t="shared" si="237"/>
        <v>Design, Manufacture, Supply, Erection &amp; Commissioning,environment friendly, Efficiency Upgrade of AC Plant of Unit-5 &amp; 6</v>
      </c>
      <c r="C1816" s="1488">
        <f t="shared" si="237"/>
        <v>0</v>
      </c>
      <c r="D1816" s="1413" t="str">
        <f t="shared" si="237"/>
        <v>-</v>
      </c>
      <c r="E1816" s="560">
        <f t="shared" si="237"/>
        <v>50</v>
      </c>
      <c r="F1816" s="1508">
        <f t="shared" si="232"/>
        <v>0</v>
      </c>
      <c r="G1816" s="1508">
        <f t="shared" si="233"/>
        <v>0</v>
      </c>
      <c r="H1816" s="1508">
        <f t="shared" si="234"/>
        <v>0</v>
      </c>
      <c r="I1816" s="1480">
        <v>0</v>
      </c>
      <c r="J1816" s="1480">
        <v>0</v>
      </c>
      <c r="K1816" s="1508"/>
      <c r="L1816" s="1508"/>
      <c r="M1816" s="1509">
        <f t="shared" si="235"/>
        <v>0</v>
      </c>
      <c r="N1816" s="1508">
        <f t="shared" si="236"/>
        <v>0</v>
      </c>
    </row>
    <row r="1817" spans="1:14" ht="15.5" outlineLevel="1" x14ac:dyDescent="0.25">
      <c r="A1817" s="1504">
        <f t="shared" si="237"/>
        <v>0</v>
      </c>
      <c r="B1817" s="1504" t="str">
        <f t="shared" si="237"/>
        <v>Electrical Maintenance-II</v>
      </c>
      <c r="C1817" s="1488">
        <f t="shared" si="237"/>
        <v>0</v>
      </c>
      <c r="D1817" s="1413" t="str">
        <f t="shared" si="237"/>
        <v>-</v>
      </c>
      <c r="E1817" s="560">
        <f t="shared" si="237"/>
        <v>0</v>
      </c>
      <c r="F1817" s="1508">
        <f t="shared" si="232"/>
        <v>0</v>
      </c>
      <c r="G1817" s="1508">
        <f t="shared" si="233"/>
        <v>0</v>
      </c>
      <c r="H1817" s="1508">
        <f t="shared" si="234"/>
        <v>0</v>
      </c>
      <c r="I1817" s="1480">
        <v>0</v>
      </c>
      <c r="J1817" s="1480">
        <v>0</v>
      </c>
      <c r="K1817" s="1508"/>
      <c r="L1817" s="1508"/>
      <c r="M1817" s="1509">
        <f t="shared" si="235"/>
        <v>0</v>
      </c>
      <c r="N1817" s="1508">
        <f t="shared" si="236"/>
        <v>0</v>
      </c>
    </row>
    <row r="1818" spans="1:14" ht="139.5" outlineLevel="1" x14ac:dyDescent="0.25">
      <c r="A1818" s="1486">
        <f t="shared" si="237"/>
        <v>1</v>
      </c>
      <c r="B1818" s="1491" t="str">
        <f t="shared" si="237"/>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1818" s="1488">
        <f t="shared" si="237"/>
        <v>0</v>
      </c>
      <c r="D1818" s="1413" t="str">
        <f t="shared" si="237"/>
        <v>-</v>
      </c>
      <c r="E1818" s="560">
        <f t="shared" si="237"/>
        <v>25.07</v>
      </c>
      <c r="F1818" s="1508">
        <f t="shared" si="232"/>
        <v>0</v>
      </c>
      <c r="G1818" s="1508">
        <f t="shared" si="233"/>
        <v>0</v>
      </c>
      <c r="H1818" s="1508">
        <f t="shared" si="234"/>
        <v>0</v>
      </c>
      <c r="I1818" s="1480">
        <v>0</v>
      </c>
      <c r="J1818" s="1480">
        <v>0</v>
      </c>
      <c r="K1818" s="1508"/>
      <c r="L1818" s="1508"/>
      <c r="M1818" s="1509">
        <f t="shared" si="235"/>
        <v>0</v>
      </c>
      <c r="N1818" s="1508">
        <f t="shared" si="236"/>
        <v>0</v>
      </c>
    </row>
    <row r="1819" spans="1:14" ht="77.5" outlineLevel="1" x14ac:dyDescent="0.25">
      <c r="A1819" s="1492">
        <f t="shared" si="237"/>
        <v>0</v>
      </c>
      <c r="B1819" s="1492" t="str">
        <f t="shared" si="237"/>
        <v>Supply, Installation, Testing, Commissioning for complete solution and comprehensive protection and monitoring package along with retrofit of allied accessories for Generator Transformers for 3 X 500 MW Unit#5,6&amp;7 500MW Stage-III CSTPS Chandrapur.</v>
      </c>
      <c r="C1819" s="1488">
        <f t="shared" si="237"/>
        <v>0</v>
      </c>
      <c r="D1819" s="1413" t="str">
        <f t="shared" si="237"/>
        <v>-</v>
      </c>
      <c r="E1819" s="560">
        <f t="shared" si="237"/>
        <v>15.07</v>
      </c>
      <c r="F1819" s="1508">
        <f t="shared" si="232"/>
        <v>0</v>
      </c>
      <c r="G1819" s="1508">
        <f t="shared" si="233"/>
        <v>0</v>
      </c>
      <c r="H1819" s="1508">
        <f t="shared" si="234"/>
        <v>0</v>
      </c>
      <c r="I1819" s="1480">
        <v>0</v>
      </c>
      <c r="J1819" s="1480">
        <v>0</v>
      </c>
      <c r="K1819" s="1508"/>
      <c r="L1819" s="1508"/>
      <c r="M1819" s="1509">
        <f t="shared" si="235"/>
        <v>0</v>
      </c>
      <c r="N1819" s="1508">
        <f t="shared" si="236"/>
        <v>0</v>
      </c>
    </row>
    <row r="1820" spans="1:14" ht="108.5" outlineLevel="1" x14ac:dyDescent="0.25">
      <c r="A1820" s="1492">
        <f t="shared" si="237"/>
        <v>0</v>
      </c>
      <c r="B1820" s="1492" t="str">
        <f t="shared" si="237"/>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1820" s="1488">
        <f t="shared" si="237"/>
        <v>0</v>
      </c>
      <c r="D1820" s="1413" t="str">
        <f t="shared" si="237"/>
        <v>-</v>
      </c>
      <c r="E1820" s="560">
        <f t="shared" si="237"/>
        <v>10</v>
      </c>
      <c r="F1820" s="1508">
        <f t="shared" si="232"/>
        <v>0</v>
      </c>
      <c r="G1820" s="1508">
        <f t="shared" si="233"/>
        <v>0</v>
      </c>
      <c r="H1820" s="1508">
        <f t="shared" si="234"/>
        <v>0</v>
      </c>
      <c r="I1820" s="1480">
        <v>0</v>
      </c>
      <c r="J1820" s="1480">
        <v>0</v>
      </c>
      <c r="K1820" s="1508"/>
      <c r="L1820" s="1508"/>
      <c r="M1820" s="1509">
        <f t="shared" si="235"/>
        <v>0</v>
      </c>
      <c r="N1820" s="1508">
        <f t="shared" si="236"/>
        <v>0</v>
      </c>
    </row>
    <row r="1821" spans="1:14" ht="31" outlineLevel="1" x14ac:dyDescent="0.25">
      <c r="A1821" s="1486">
        <f t="shared" si="237"/>
        <v>2</v>
      </c>
      <c r="B1821" s="1491" t="str">
        <f t="shared" si="237"/>
        <v>DPR for Life enhancement and Energy efficiency of Critical HT Auxiliaries of Unit#3 to 7, CSTPS, Chandrapur</v>
      </c>
      <c r="C1821" s="1488">
        <f t="shared" si="237"/>
        <v>0</v>
      </c>
      <c r="D1821" s="1413" t="str">
        <f t="shared" si="237"/>
        <v>-</v>
      </c>
      <c r="E1821" s="560">
        <f t="shared" si="237"/>
        <v>44.31</v>
      </c>
      <c r="F1821" s="1508">
        <f t="shared" si="232"/>
        <v>0</v>
      </c>
      <c r="G1821" s="1508">
        <f t="shared" si="233"/>
        <v>0</v>
      </c>
      <c r="H1821" s="1508">
        <f t="shared" si="234"/>
        <v>0</v>
      </c>
      <c r="I1821" s="1480">
        <v>0</v>
      </c>
      <c r="J1821" s="1480">
        <v>0</v>
      </c>
      <c r="K1821" s="1508"/>
      <c r="L1821" s="1508"/>
      <c r="M1821" s="1509">
        <f t="shared" si="235"/>
        <v>0</v>
      </c>
      <c r="N1821" s="1508">
        <f t="shared" si="236"/>
        <v>0</v>
      </c>
    </row>
    <row r="1822" spans="1:14" ht="31" outlineLevel="1" x14ac:dyDescent="0.25">
      <c r="A1822" s="1492">
        <f t="shared" si="237"/>
        <v>0</v>
      </c>
      <c r="B1822" s="1492" t="str">
        <f t="shared" si="237"/>
        <v>Life enhancement and Energy efficiency of Critical HT Auxiliaries of Unit#3 to 7, CSTPS, Chandrapur</v>
      </c>
      <c r="C1822" s="1488">
        <f t="shared" si="237"/>
        <v>0</v>
      </c>
      <c r="D1822" s="1413" t="str">
        <f t="shared" si="237"/>
        <v>-</v>
      </c>
      <c r="E1822" s="560">
        <f t="shared" si="237"/>
        <v>44.31</v>
      </c>
      <c r="F1822" s="1508">
        <f t="shared" si="232"/>
        <v>0</v>
      </c>
      <c r="G1822" s="1508">
        <f t="shared" si="233"/>
        <v>0</v>
      </c>
      <c r="H1822" s="1508">
        <f t="shared" si="234"/>
        <v>0</v>
      </c>
      <c r="I1822" s="1480">
        <v>0</v>
      </c>
      <c r="J1822" s="1480">
        <v>0</v>
      </c>
      <c r="K1822" s="1508"/>
      <c r="L1822" s="1508"/>
      <c r="M1822" s="1509">
        <f t="shared" si="235"/>
        <v>0</v>
      </c>
      <c r="N1822" s="1508">
        <f t="shared" si="236"/>
        <v>0</v>
      </c>
    </row>
    <row r="1823" spans="1:14" ht="31" outlineLevel="1" x14ac:dyDescent="0.25">
      <c r="A1823" s="1486">
        <f t="shared" si="237"/>
        <v>3</v>
      </c>
      <c r="B1823" s="1491" t="str">
        <f t="shared" si="237"/>
        <v>DPR for “Supply &amp; Installation of energy saving plates for Energy Conservation  at 3X500MW, CSTPS, Chandrapur.”</v>
      </c>
      <c r="C1823" s="1488">
        <f t="shared" si="237"/>
        <v>0</v>
      </c>
      <c r="D1823" s="1413" t="str">
        <f t="shared" si="237"/>
        <v>-</v>
      </c>
      <c r="E1823" s="560">
        <f t="shared" si="237"/>
        <v>25</v>
      </c>
      <c r="F1823" s="1508">
        <f t="shared" si="232"/>
        <v>0</v>
      </c>
      <c r="G1823" s="1508">
        <f t="shared" si="233"/>
        <v>0</v>
      </c>
      <c r="H1823" s="1508">
        <f t="shared" si="234"/>
        <v>0</v>
      </c>
      <c r="I1823" s="1480">
        <v>0</v>
      </c>
      <c r="J1823" s="1480">
        <v>0</v>
      </c>
      <c r="K1823" s="1508"/>
      <c r="L1823" s="1508"/>
      <c r="M1823" s="1509">
        <f t="shared" si="235"/>
        <v>0</v>
      </c>
      <c r="N1823" s="1508">
        <f t="shared" si="236"/>
        <v>0</v>
      </c>
    </row>
    <row r="1824" spans="1:14" ht="31" outlineLevel="1" x14ac:dyDescent="0.25">
      <c r="A1824" s="1492">
        <f t="shared" si="237"/>
        <v>0</v>
      </c>
      <c r="B1824" s="1492" t="str">
        <f t="shared" si="237"/>
        <v>Supply &amp; Installation of energy saving plates for Energy Conservation  at 3X500MW, CSTPS, Chandrapur.</v>
      </c>
      <c r="C1824" s="1488">
        <f t="shared" si="237"/>
        <v>0</v>
      </c>
      <c r="D1824" s="1413" t="str">
        <f t="shared" si="237"/>
        <v>-</v>
      </c>
      <c r="E1824" s="560">
        <f t="shared" si="237"/>
        <v>25</v>
      </c>
      <c r="F1824" s="1508">
        <f t="shared" si="232"/>
        <v>0</v>
      </c>
      <c r="G1824" s="1508">
        <f t="shared" si="233"/>
        <v>0</v>
      </c>
      <c r="H1824" s="1508">
        <f t="shared" si="234"/>
        <v>0</v>
      </c>
      <c r="I1824" s="1480">
        <v>0</v>
      </c>
      <c r="J1824" s="1480">
        <v>0</v>
      </c>
      <c r="K1824" s="1508"/>
      <c r="L1824" s="1508"/>
      <c r="M1824" s="1509">
        <f t="shared" si="235"/>
        <v>0</v>
      </c>
      <c r="N1824" s="1508">
        <f t="shared" si="236"/>
        <v>0</v>
      </c>
    </row>
    <row r="1825" spans="1:14" ht="108.5" outlineLevel="1" x14ac:dyDescent="0.25">
      <c r="A1825" s="1486">
        <f t="shared" si="237"/>
        <v>4</v>
      </c>
      <c r="B1825" s="1491" t="str">
        <f t="shared" si="237"/>
        <v>DPR for "Complete renovation of Chimney elevator ) of Unit-5,6,7" &amp;
Complete revamping of chimney aviation obstruction lights (AOL) &amp; other associated spares installed at unit#5,6&amp;7 CSTPS Chandrapur. &amp;
DPR for “Provision of 11KV supply to Aundha pump house from Unit 5,6&amp;7.”</v>
      </c>
      <c r="C1825" s="1488">
        <f t="shared" si="237"/>
        <v>0</v>
      </c>
      <c r="D1825" s="1413" t="str">
        <f t="shared" si="237"/>
        <v>-</v>
      </c>
      <c r="E1825" s="560">
        <f t="shared" si="237"/>
        <v>38</v>
      </c>
      <c r="F1825" s="1508">
        <f t="shared" si="232"/>
        <v>0</v>
      </c>
      <c r="G1825" s="1508">
        <f t="shared" si="233"/>
        <v>0</v>
      </c>
      <c r="H1825" s="1508">
        <f t="shared" si="234"/>
        <v>0</v>
      </c>
      <c r="I1825" s="1480">
        <v>0</v>
      </c>
      <c r="J1825" s="1480">
        <v>0</v>
      </c>
      <c r="K1825" s="1508"/>
      <c r="L1825" s="1508"/>
      <c r="M1825" s="1509">
        <f t="shared" si="235"/>
        <v>0</v>
      </c>
      <c r="N1825" s="1508">
        <f t="shared" si="236"/>
        <v>0</v>
      </c>
    </row>
    <row r="1826" spans="1:14" ht="46.5" outlineLevel="1" x14ac:dyDescent="0.25">
      <c r="A1826" s="1492">
        <f t="shared" si="237"/>
        <v>0</v>
      </c>
      <c r="B1826" s="1492" t="str">
        <f t="shared" si="237"/>
        <v xml:space="preserve">Complete renovation of Chimney elevator of Unit-5,6,7
</v>
      </c>
      <c r="C1826" s="1488">
        <f t="shared" si="237"/>
        <v>0</v>
      </c>
      <c r="D1826" s="1413" t="str">
        <f t="shared" si="237"/>
        <v>-</v>
      </c>
      <c r="E1826" s="560">
        <f t="shared" si="237"/>
        <v>10</v>
      </c>
      <c r="F1826" s="1508">
        <f t="shared" si="232"/>
        <v>0</v>
      </c>
      <c r="G1826" s="1508">
        <f t="shared" si="233"/>
        <v>0</v>
      </c>
      <c r="H1826" s="1508">
        <f t="shared" si="234"/>
        <v>0</v>
      </c>
      <c r="I1826" s="1480">
        <v>0</v>
      </c>
      <c r="J1826" s="1480">
        <v>0</v>
      </c>
      <c r="K1826" s="1508"/>
      <c r="L1826" s="1508"/>
      <c r="M1826" s="1509">
        <f t="shared" si="235"/>
        <v>0</v>
      </c>
      <c r="N1826" s="1508">
        <f t="shared" si="236"/>
        <v>0</v>
      </c>
    </row>
    <row r="1827" spans="1:14" ht="46.5" outlineLevel="1" x14ac:dyDescent="0.25">
      <c r="A1827" s="1492">
        <f t="shared" si="237"/>
        <v>0</v>
      </c>
      <c r="B1827" s="1492" t="str">
        <f t="shared" si="237"/>
        <v>Complete revamping of chimney aviation obstruction lights (AOL) &amp; other associated spares installed at unit#5,6&amp;7 CSTPS Chandrapur.</v>
      </c>
      <c r="C1827" s="1488">
        <f t="shared" si="237"/>
        <v>0</v>
      </c>
      <c r="D1827" s="1413" t="str">
        <f t="shared" si="237"/>
        <v>-</v>
      </c>
      <c r="E1827" s="560">
        <f t="shared" si="237"/>
        <v>3</v>
      </c>
      <c r="F1827" s="1508">
        <f t="shared" si="232"/>
        <v>0</v>
      </c>
      <c r="G1827" s="1508">
        <f t="shared" si="233"/>
        <v>0</v>
      </c>
      <c r="H1827" s="1508">
        <f t="shared" si="234"/>
        <v>0</v>
      </c>
      <c r="I1827" s="1480">
        <v>0</v>
      </c>
      <c r="J1827" s="1480">
        <v>0</v>
      </c>
      <c r="K1827" s="1508"/>
      <c r="L1827" s="1508"/>
      <c r="M1827" s="1509">
        <f t="shared" si="235"/>
        <v>0</v>
      </c>
      <c r="N1827" s="1508">
        <f t="shared" si="236"/>
        <v>0</v>
      </c>
    </row>
    <row r="1828" spans="1:14" ht="31" outlineLevel="1" x14ac:dyDescent="0.25">
      <c r="A1828" s="1492">
        <f t="shared" si="237"/>
        <v>0</v>
      </c>
      <c r="B1828" s="1492" t="str">
        <f t="shared" si="237"/>
        <v>Provision of 11KV supply to Aundha pump house from U 5,6&amp;7 Station boards.</v>
      </c>
      <c r="C1828" s="1488">
        <f t="shared" si="237"/>
        <v>0</v>
      </c>
      <c r="D1828" s="1413" t="str">
        <f t="shared" si="237"/>
        <v>-</v>
      </c>
      <c r="E1828" s="560">
        <f t="shared" si="237"/>
        <v>25</v>
      </c>
      <c r="F1828" s="1508">
        <f t="shared" si="232"/>
        <v>0</v>
      </c>
      <c r="G1828" s="1508">
        <f t="shared" si="233"/>
        <v>0</v>
      </c>
      <c r="H1828" s="1508">
        <f t="shared" si="234"/>
        <v>0</v>
      </c>
      <c r="I1828" s="1480">
        <v>0</v>
      </c>
      <c r="J1828" s="1480">
        <v>0</v>
      </c>
      <c r="K1828" s="1508"/>
      <c r="L1828" s="1508"/>
      <c r="M1828" s="1509">
        <f t="shared" si="235"/>
        <v>0</v>
      </c>
      <c r="N1828" s="1508">
        <f t="shared" si="236"/>
        <v>0</v>
      </c>
    </row>
    <row r="1829" spans="1:14" ht="62" outlineLevel="1" x14ac:dyDescent="0.25">
      <c r="A1829" s="1486">
        <f t="shared" si="237"/>
        <v>5</v>
      </c>
      <c r="B1829" s="1491" t="str">
        <f t="shared" si="237"/>
        <v xml:space="preserve">DPR for Energy saving by installation of VFD for CEP motors at Unit#5 to 9, CSTPS, Chandrapur.
</v>
      </c>
      <c r="C1829" s="1488">
        <f t="shared" si="237"/>
        <v>0</v>
      </c>
      <c r="D1829" s="1413" t="str">
        <f t="shared" si="237"/>
        <v>-</v>
      </c>
      <c r="E1829" s="560">
        <f t="shared" si="237"/>
        <v>26</v>
      </c>
      <c r="F1829" s="1508">
        <f t="shared" si="232"/>
        <v>0</v>
      </c>
      <c r="G1829" s="1508">
        <f t="shared" si="233"/>
        <v>0</v>
      </c>
      <c r="H1829" s="1508">
        <f t="shared" si="234"/>
        <v>0</v>
      </c>
      <c r="I1829" s="1480">
        <v>0</v>
      </c>
      <c r="J1829" s="1480">
        <v>0</v>
      </c>
      <c r="K1829" s="1508"/>
      <c r="L1829" s="1508"/>
      <c r="M1829" s="1509">
        <f t="shared" si="235"/>
        <v>0</v>
      </c>
      <c r="N1829" s="1508">
        <f t="shared" si="236"/>
        <v>0</v>
      </c>
    </row>
    <row r="1830" spans="1:14" ht="62" outlineLevel="1" x14ac:dyDescent="0.25">
      <c r="A1830" s="1492">
        <f t="shared" ref="A1830:E1845" si="238">A1160</f>
        <v>0</v>
      </c>
      <c r="B1830" s="1492" t="str">
        <f t="shared" si="238"/>
        <v xml:space="preserve">Energy saving by installation of VFD for CEP motors at Unit#5 to 9, CSTPS, Chandrapur.
</v>
      </c>
      <c r="C1830" s="1488">
        <f t="shared" si="238"/>
        <v>0</v>
      </c>
      <c r="D1830" s="1413" t="str">
        <f t="shared" si="238"/>
        <v>-</v>
      </c>
      <c r="E1830" s="560">
        <f t="shared" si="238"/>
        <v>26</v>
      </c>
      <c r="F1830" s="1508">
        <f t="shared" si="232"/>
        <v>0</v>
      </c>
      <c r="G1830" s="1508">
        <f t="shared" si="233"/>
        <v>0</v>
      </c>
      <c r="H1830" s="1508">
        <f t="shared" si="234"/>
        <v>0</v>
      </c>
      <c r="I1830" s="1480">
        <v>0</v>
      </c>
      <c r="J1830" s="1480">
        <v>0</v>
      </c>
      <c r="K1830" s="1508"/>
      <c r="L1830" s="1508"/>
      <c r="M1830" s="1509">
        <f t="shared" si="235"/>
        <v>0</v>
      </c>
      <c r="N1830" s="1508">
        <f t="shared" si="236"/>
        <v>0</v>
      </c>
    </row>
    <row r="1831" spans="1:14" ht="31" outlineLevel="1" x14ac:dyDescent="0.25">
      <c r="A1831" s="1486">
        <f t="shared" si="238"/>
        <v>6</v>
      </c>
      <c r="B1831" s="1491" t="str">
        <f t="shared" si="238"/>
        <v>DPR for Energy saving by installation of VFD for PA Fan &amp; ID Fan  motors at Unit#5 to 9, CSTPS, Chandrapur.</v>
      </c>
      <c r="C1831" s="1488">
        <f t="shared" si="238"/>
        <v>0</v>
      </c>
      <c r="D1831" s="1413" t="str">
        <f t="shared" si="238"/>
        <v>-</v>
      </c>
      <c r="E1831" s="560">
        <f t="shared" si="238"/>
        <v>25</v>
      </c>
      <c r="F1831" s="1508">
        <f t="shared" si="232"/>
        <v>0</v>
      </c>
      <c r="G1831" s="1508">
        <f t="shared" si="233"/>
        <v>0</v>
      </c>
      <c r="H1831" s="1508">
        <f t="shared" si="234"/>
        <v>0</v>
      </c>
      <c r="I1831" s="1480">
        <v>0</v>
      </c>
      <c r="J1831" s="1480">
        <v>0</v>
      </c>
      <c r="K1831" s="1508"/>
      <c r="L1831" s="1508"/>
      <c r="M1831" s="1509">
        <f t="shared" si="235"/>
        <v>0</v>
      </c>
      <c r="N1831" s="1508">
        <f t="shared" si="236"/>
        <v>0</v>
      </c>
    </row>
    <row r="1832" spans="1:14" ht="31" outlineLevel="1" x14ac:dyDescent="0.25">
      <c r="A1832" s="1492">
        <f t="shared" si="238"/>
        <v>0</v>
      </c>
      <c r="B1832" s="1492" t="str">
        <f t="shared" si="238"/>
        <v>Energy saving by installation of VFD for PA Fan &amp; ID Fan  motors at Unit#5 to 9, CSTPS, Chandrapur.</v>
      </c>
      <c r="C1832" s="1488">
        <f t="shared" si="238"/>
        <v>0</v>
      </c>
      <c r="D1832" s="1413" t="str">
        <f t="shared" si="238"/>
        <v>-</v>
      </c>
      <c r="E1832" s="560">
        <f t="shared" si="238"/>
        <v>25</v>
      </c>
      <c r="F1832" s="1508">
        <f t="shared" si="232"/>
        <v>0</v>
      </c>
      <c r="G1832" s="1508">
        <f t="shared" si="233"/>
        <v>0</v>
      </c>
      <c r="H1832" s="1508">
        <f t="shared" si="234"/>
        <v>0</v>
      </c>
      <c r="I1832" s="1480">
        <v>0</v>
      </c>
      <c r="J1832" s="1480">
        <v>0</v>
      </c>
      <c r="K1832" s="1508"/>
      <c r="L1832" s="1508"/>
      <c r="M1832" s="1509">
        <f t="shared" si="235"/>
        <v>0</v>
      </c>
      <c r="N1832" s="1508">
        <f t="shared" si="236"/>
        <v>0</v>
      </c>
    </row>
    <row r="1833" spans="1:14" ht="31" outlineLevel="1" x14ac:dyDescent="0.25">
      <c r="A1833" s="1486">
        <f t="shared" si="238"/>
        <v>7</v>
      </c>
      <c r="B1833" s="1491" t="str">
        <f t="shared" si="238"/>
        <v>DPR for refurbishment of Critical HT &amp; LT board installed at Unit#5,6,&amp;7, CSTPS Chandrapur.</v>
      </c>
      <c r="C1833" s="1488">
        <f t="shared" si="238"/>
        <v>0</v>
      </c>
      <c r="D1833" s="1413" t="str">
        <f t="shared" si="238"/>
        <v>-</v>
      </c>
      <c r="E1833" s="560">
        <f t="shared" si="238"/>
        <v>25</v>
      </c>
      <c r="F1833" s="1508">
        <f t="shared" si="232"/>
        <v>0</v>
      </c>
      <c r="G1833" s="1508">
        <f t="shared" si="233"/>
        <v>0</v>
      </c>
      <c r="H1833" s="1508">
        <f t="shared" si="234"/>
        <v>0</v>
      </c>
      <c r="I1833" s="1480">
        <v>0</v>
      </c>
      <c r="J1833" s="1480">
        <v>0</v>
      </c>
      <c r="K1833" s="1508"/>
      <c r="L1833" s="1508"/>
      <c r="M1833" s="1509">
        <f t="shared" si="235"/>
        <v>0</v>
      </c>
      <c r="N1833" s="1508">
        <f t="shared" si="236"/>
        <v>0</v>
      </c>
    </row>
    <row r="1834" spans="1:14" ht="31" outlineLevel="1" x14ac:dyDescent="0.25">
      <c r="A1834" s="1492">
        <f t="shared" si="238"/>
        <v>0</v>
      </c>
      <c r="B1834" s="1492" t="str">
        <f t="shared" si="238"/>
        <v xml:space="preserve"> Refurbishment of Critical HT &amp; LT board installed at Unit#5,6,&amp;7, CSTPS Chandrapur.</v>
      </c>
      <c r="C1834" s="1488">
        <f t="shared" si="238"/>
        <v>0</v>
      </c>
      <c r="D1834" s="1413" t="str">
        <f t="shared" si="238"/>
        <v>-</v>
      </c>
      <c r="E1834" s="560">
        <f t="shared" si="238"/>
        <v>25</v>
      </c>
      <c r="F1834" s="1508">
        <f t="shared" si="232"/>
        <v>0</v>
      </c>
      <c r="G1834" s="1508">
        <f t="shared" si="233"/>
        <v>0</v>
      </c>
      <c r="H1834" s="1508">
        <f t="shared" si="234"/>
        <v>0</v>
      </c>
      <c r="I1834" s="1480">
        <v>0</v>
      </c>
      <c r="J1834" s="1480">
        <v>0</v>
      </c>
      <c r="K1834" s="1508"/>
      <c r="L1834" s="1508"/>
      <c r="M1834" s="1509">
        <f t="shared" si="235"/>
        <v>0</v>
      </c>
      <c r="N1834" s="1508">
        <f t="shared" si="236"/>
        <v>0</v>
      </c>
    </row>
    <row r="1835" spans="1:14" ht="31" outlineLevel="1" x14ac:dyDescent="0.25">
      <c r="A1835" s="1486">
        <f t="shared" si="238"/>
        <v>8</v>
      </c>
      <c r="B1835" s="1491" t="str">
        <f t="shared" si="238"/>
        <v>Refurbishment of LV bus duct Bus duct of UAT, SAT, station transformer installed at Unit#5,6,&amp;7, CSTPS Chandrapur.</v>
      </c>
      <c r="C1835" s="1488">
        <f t="shared" si="238"/>
        <v>0</v>
      </c>
      <c r="D1835" s="1413" t="str">
        <f t="shared" si="238"/>
        <v>-</v>
      </c>
      <c r="E1835" s="560">
        <f t="shared" si="238"/>
        <v>30</v>
      </c>
      <c r="F1835" s="1508">
        <f t="shared" si="232"/>
        <v>0</v>
      </c>
      <c r="G1835" s="1508">
        <f t="shared" si="233"/>
        <v>0</v>
      </c>
      <c r="H1835" s="1508">
        <f t="shared" si="234"/>
        <v>0</v>
      </c>
      <c r="I1835" s="1480">
        <v>0</v>
      </c>
      <c r="J1835" s="1480">
        <v>0</v>
      </c>
      <c r="K1835" s="1508"/>
      <c r="L1835" s="1508"/>
      <c r="M1835" s="1509">
        <f t="shared" si="235"/>
        <v>0</v>
      </c>
      <c r="N1835" s="1508">
        <f t="shared" si="236"/>
        <v>0</v>
      </c>
    </row>
    <row r="1836" spans="1:14" ht="31" outlineLevel="1" x14ac:dyDescent="0.25">
      <c r="A1836" s="1492">
        <f t="shared" si="238"/>
        <v>0</v>
      </c>
      <c r="B1836" s="1492" t="str">
        <f t="shared" si="238"/>
        <v>Refurbishment of LV bus duct Bus duct of UAT, SAT, station transformer installed at Unit#5,6,&amp;7, CSTPS Chandrapur.</v>
      </c>
      <c r="C1836" s="1488">
        <f t="shared" si="238"/>
        <v>0</v>
      </c>
      <c r="D1836" s="1413" t="str">
        <f t="shared" si="238"/>
        <v>-</v>
      </c>
      <c r="E1836" s="560">
        <f t="shared" si="238"/>
        <v>30</v>
      </c>
      <c r="F1836" s="1508">
        <f t="shared" si="232"/>
        <v>0</v>
      </c>
      <c r="G1836" s="1508">
        <f t="shared" si="233"/>
        <v>0</v>
      </c>
      <c r="H1836" s="1508">
        <f t="shared" si="234"/>
        <v>0</v>
      </c>
      <c r="I1836" s="1480">
        <v>0</v>
      </c>
      <c r="J1836" s="1480">
        <v>0</v>
      </c>
      <c r="K1836" s="1508"/>
      <c r="L1836" s="1508"/>
      <c r="M1836" s="1509">
        <f t="shared" si="235"/>
        <v>0</v>
      </c>
      <c r="N1836" s="1508">
        <f t="shared" si="236"/>
        <v>0</v>
      </c>
    </row>
    <row r="1837" spans="1:14" ht="15.5" outlineLevel="1" x14ac:dyDescent="0.25">
      <c r="A1837" s="1504">
        <f t="shared" si="238"/>
        <v>0</v>
      </c>
      <c r="B1837" s="1504" t="str">
        <f t="shared" si="238"/>
        <v>Instrumentation &amp; Control-II</v>
      </c>
      <c r="C1837" s="1488">
        <f t="shared" si="238"/>
        <v>0</v>
      </c>
      <c r="D1837" s="1413" t="str">
        <f t="shared" si="238"/>
        <v>-</v>
      </c>
      <c r="E1837" s="560">
        <f t="shared" si="238"/>
        <v>0</v>
      </c>
      <c r="F1837" s="1508">
        <f t="shared" si="232"/>
        <v>0</v>
      </c>
      <c r="G1837" s="1508">
        <f t="shared" si="233"/>
        <v>0</v>
      </c>
      <c r="H1837" s="1508">
        <f t="shared" si="234"/>
        <v>0</v>
      </c>
      <c r="I1837" s="1480">
        <v>0</v>
      </c>
      <c r="J1837" s="1480">
        <v>0</v>
      </c>
      <c r="K1837" s="1508"/>
      <c r="L1837" s="1508"/>
      <c r="M1837" s="1509">
        <f t="shared" si="235"/>
        <v>0</v>
      </c>
      <c r="N1837" s="1508">
        <f t="shared" si="236"/>
        <v>0</v>
      </c>
    </row>
    <row r="1838" spans="1:14" ht="31" outlineLevel="1" x14ac:dyDescent="0.25">
      <c r="A1838" s="1486">
        <f t="shared" si="238"/>
        <v>1</v>
      </c>
      <c r="B1838" s="1491" t="str">
        <f t="shared" si="238"/>
        <v>Complete Supply ,Erection and Commissioning DDCMIS system of Unit 7 at CSTPS</v>
      </c>
      <c r="C1838" s="1488">
        <f t="shared" si="238"/>
        <v>0</v>
      </c>
      <c r="D1838" s="1413" t="str">
        <f t="shared" si="238"/>
        <v>-</v>
      </c>
      <c r="E1838" s="560">
        <f t="shared" si="238"/>
        <v>30</v>
      </c>
      <c r="F1838" s="1508">
        <f t="shared" si="232"/>
        <v>0</v>
      </c>
      <c r="G1838" s="1508">
        <f t="shared" si="233"/>
        <v>0</v>
      </c>
      <c r="H1838" s="1508">
        <f t="shared" si="234"/>
        <v>0</v>
      </c>
      <c r="I1838" s="1480">
        <v>0</v>
      </c>
      <c r="J1838" s="1480">
        <v>0</v>
      </c>
      <c r="K1838" s="1508"/>
      <c r="L1838" s="1508"/>
      <c r="M1838" s="1509">
        <f t="shared" si="235"/>
        <v>0</v>
      </c>
      <c r="N1838" s="1508">
        <f t="shared" si="236"/>
        <v>0</v>
      </c>
    </row>
    <row r="1839" spans="1:14" ht="31" outlineLevel="1" x14ac:dyDescent="0.25">
      <c r="A1839" s="1492">
        <f t="shared" si="238"/>
        <v>0</v>
      </c>
      <c r="B1839" s="1492" t="str">
        <f t="shared" si="238"/>
        <v>Complete Supply ,Erection and Commissioning DDCMIS system of Unit 7  at CSTPS</v>
      </c>
      <c r="C1839" s="1488">
        <f t="shared" si="238"/>
        <v>0</v>
      </c>
      <c r="D1839" s="1413" t="str">
        <f t="shared" si="238"/>
        <v>-</v>
      </c>
      <c r="E1839" s="560">
        <f t="shared" si="238"/>
        <v>30</v>
      </c>
      <c r="F1839" s="1508">
        <f t="shared" si="232"/>
        <v>0</v>
      </c>
      <c r="G1839" s="1508">
        <f t="shared" si="233"/>
        <v>0</v>
      </c>
      <c r="H1839" s="1508">
        <f t="shared" si="234"/>
        <v>0</v>
      </c>
      <c r="I1839" s="1480">
        <v>0</v>
      </c>
      <c r="J1839" s="1480">
        <v>0</v>
      </c>
      <c r="K1839" s="1508"/>
      <c r="L1839" s="1508"/>
      <c r="M1839" s="1509">
        <f t="shared" si="235"/>
        <v>0</v>
      </c>
      <c r="N1839" s="1508">
        <f t="shared" si="236"/>
        <v>0</v>
      </c>
    </row>
    <row r="1840" spans="1:14" ht="31" outlineLevel="1" x14ac:dyDescent="0.25">
      <c r="A1840" s="1486">
        <f t="shared" si="238"/>
        <v>2</v>
      </c>
      <c r="B1840" s="1491" t="str">
        <f t="shared" si="238"/>
        <v>Implementation of Flexible Operation Solutions for Unit5,6 &amp;7, CSTPS, Chandrapur</v>
      </c>
      <c r="C1840" s="1488">
        <f t="shared" si="238"/>
        <v>0</v>
      </c>
      <c r="D1840" s="1413" t="str">
        <f t="shared" si="238"/>
        <v>-</v>
      </c>
      <c r="E1840" s="560">
        <f t="shared" si="238"/>
        <v>40</v>
      </c>
      <c r="F1840" s="1508">
        <f t="shared" si="232"/>
        <v>0</v>
      </c>
      <c r="G1840" s="1508">
        <f t="shared" si="233"/>
        <v>0</v>
      </c>
      <c r="H1840" s="1508">
        <f t="shared" si="234"/>
        <v>0</v>
      </c>
      <c r="I1840" s="1480">
        <v>0</v>
      </c>
      <c r="J1840" s="1480">
        <v>0</v>
      </c>
      <c r="K1840" s="1508"/>
      <c r="L1840" s="1508"/>
      <c r="M1840" s="1509">
        <f t="shared" si="235"/>
        <v>0</v>
      </c>
      <c r="N1840" s="1508">
        <f t="shared" si="236"/>
        <v>0</v>
      </c>
    </row>
    <row r="1841" spans="1:14" ht="31" outlineLevel="1" x14ac:dyDescent="0.25">
      <c r="A1841" s="1492">
        <f t="shared" si="238"/>
        <v>0</v>
      </c>
      <c r="B1841" s="1492" t="str">
        <f t="shared" si="238"/>
        <v>Implementation of Flexible Operation Solutions for Unit5,6 &amp;7, CSTPS, Chandrapur</v>
      </c>
      <c r="C1841" s="1488">
        <f t="shared" si="238"/>
        <v>0</v>
      </c>
      <c r="D1841" s="1413" t="str">
        <f t="shared" si="238"/>
        <v>-</v>
      </c>
      <c r="E1841" s="560">
        <f t="shared" si="238"/>
        <v>40</v>
      </c>
      <c r="F1841" s="1508">
        <f t="shared" si="232"/>
        <v>0</v>
      </c>
      <c r="G1841" s="1508">
        <f t="shared" si="233"/>
        <v>0</v>
      </c>
      <c r="H1841" s="1508">
        <f t="shared" si="234"/>
        <v>0</v>
      </c>
      <c r="I1841" s="1480">
        <v>0</v>
      </c>
      <c r="J1841" s="1480">
        <v>0</v>
      </c>
      <c r="K1841" s="1508"/>
      <c r="L1841" s="1508"/>
      <c r="M1841" s="1509">
        <f t="shared" si="235"/>
        <v>0</v>
      </c>
      <c r="N1841" s="1508">
        <f t="shared" si="236"/>
        <v>0</v>
      </c>
    </row>
    <row r="1842" spans="1:14" ht="46.5" outlineLevel="1" x14ac:dyDescent="0.25">
      <c r="A1842" s="1486">
        <f t="shared" si="238"/>
        <v>3</v>
      </c>
      <c r="B1842" s="1491" t="str">
        <f t="shared" si="238"/>
        <v>Supply of sub-assy for ID Fan VFD System&amp;  Energy Management System (EMS) at Stage-III, CSTPS, &amp; Procurement of numerical motor/feeder protection relay</v>
      </c>
      <c r="C1842" s="1488">
        <f t="shared" si="238"/>
        <v>0</v>
      </c>
      <c r="D1842" s="1413" t="str">
        <f t="shared" si="238"/>
        <v>-</v>
      </c>
      <c r="E1842" s="560">
        <f t="shared" si="238"/>
        <v>26.1</v>
      </c>
      <c r="F1842" s="1508">
        <f t="shared" si="232"/>
        <v>0</v>
      </c>
      <c r="G1842" s="1508">
        <f t="shared" si="233"/>
        <v>0</v>
      </c>
      <c r="H1842" s="1508">
        <f t="shared" si="234"/>
        <v>0</v>
      </c>
      <c r="I1842" s="1480">
        <v>0</v>
      </c>
      <c r="J1842" s="1480">
        <v>0</v>
      </c>
      <c r="K1842" s="1508"/>
      <c r="L1842" s="1508"/>
      <c r="M1842" s="1509">
        <f t="shared" si="235"/>
        <v>0</v>
      </c>
      <c r="N1842" s="1508">
        <f t="shared" si="236"/>
        <v>0</v>
      </c>
    </row>
    <row r="1843" spans="1:14" ht="15.5" outlineLevel="1" x14ac:dyDescent="0.25">
      <c r="A1843" s="1492">
        <f t="shared" si="238"/>
        <v>0</v>
      </c>
      <c r="B1843" s="1492" t="str">
        <f t="shared" si="238"/>
        <v>Supply of sub-assy for ID Fan VFD System</v>
      </c>
      <c r="C1843" s="1488">
        <f t="shared" si="238"/>
        <v>0</v>
      </c>
      <c r="D1843" s="1413" t="str">
        <f t="shared" si="238"/>
        <v>-</v>
      </c>
      <c r="E1843" s="560">
        <f t="shared" si="238"/>
        <v>4.5</v>
      </c>
      <c r="F1843" s="1508">
        <f t="shared" si="232"/>
        <v>0</v>
      </c>
      <c r="G1843" s="1508">
        <f t="shared" si="233"/>
        <v>0</v>
      </c>
      <c r="H1843" s="1508">
        <f t="shared" si="234"/>
        <v>0</v>
      </c>
      <c r="I1843" s="1480">
        <v>0</v>
      </c>
      <c r="J1843" s="1480">
        <v>0</v>
      </c>
      <c r="K1843" s="1508"/>
      <c r="L1843" s="1508"/>
      <c r="M1843" s="1509">
        <f t="shared" si="235"/>
        <v>0</v>
      </c>
      <c r="N1843" s="1508">
        <f t="shared" si="236"/>
        <v>0</v>
      </c>
    </row>
    <row r="1844" spans="1:14" ht="31" outlineLevel="1" x14ac:dyDescent="0.25">
      <c r="A1844" s="1492">
        <f t="shared" si="238"/>
        <v>0</v>
      </c>
      <c r="B1844" s="1492" t="str">
        <f t="shared" si="238"/>
        <v>Energy Management System (EMS) at Stage-III, CSTPS, Chandrapur.</v>
      </c>
      <c r="C1844" s="1488">
        <f t="shared" si="238"/>
        <v>0</v>
      </c>
      <c r="D1844" s="1413" t="str">
        <f t="shared" si="238"/>
        <v>-</v>
      </c>
      <c r="E1844" s="560">
        <f t="shared" si="238"/>
        <v>5.5</v>
      </c>
      <c r="F1844" s="1508">
        <f t="shared" si="232"/>
        <v>0</v>
      </c>
      <c r="G1844" s="1508">
        <f t="shared" si="233"/>
        <v>0</v>
      </c>
      <c r="H1844" s="1508">
        <f t="shared" si="234"/>
        <v>0</v>
      </c>
      <c r="I1844" s="1480">
        <v>0</v>
      </c>
      <c r="J1844" s="1480">
        <v>0</v>
      </c>
      <c r="K1844" s="1508"/>
      <c r="L1844" s="1508"/>
      <c r="M1844" s="1509">
        <f t="shared" si="235"/>
        <v>0</v>
      </c>
      <c r="N1844" s="1508">
        <f t="shared" si="236"/>
        <v>0</v>
      </c>
    </row>
    <row r="1845" spans="1:14" ht="15.5" outlineLevel="1" x14ac:dyDescent="0.25">
      <c r="A1845" s="1492">
        <f t="shared" si="238"/>
        <v>0</v>
      </c>
      <c r="B1845" s="1492" t="str">
        <f t="shared" si="238"/>
        <v>Procurement of numerical motor/feeder protection relays</v>
      </c>
      <c r="C1845" s="1488">
        <f t="shared" si="238"/>
        <v>0</v>
      </c>
      <c r="D1845" s="1413" t="str">
        <f t="shared" si="238"/>
        <v>-</v>
      </c>
      <c r="E1845" s="560">
        <f t="shared" si="238"/>
        <v>8.1</v>
      </c>
      <c r="F1845" s="1508">
        <f t="shared" si="232"/>
        <v>0</v>
      </c>
      <c r="G1845" s="1508">
        <f t="shared" si="233"/>
        <v>0</v>
      </c>
      <c r="H1845" s="1508">
        <f t="shared" si="234"/>
        <v>0</v>
      </c>
      <c r="I1845" s="1480">
        <v>0</v>
      </c>
      <c r="J1845" s="1480">
        <v>0</v>
      </c>
      <c r="K1845" s="1508"/>
      <c r="L1845" s="1508"/>
      <c r="M1845" s="1509">
        <f t="shared" si="235"/>
        <v>0</v>
      </c>
      <c r="N1845" s="1508">
        <f t="shared" si="236"/>
        <v>0</v>
      </c>
    </row>
    <row r="1846" spans="1:14" ht="46.5" outlineLevel="1" x14ac:dyDescent="0.25">
      <c r="A1846" s="1492">
        <f t="shared" ref="A1846:E1861" si="239">A1176</f>
        <v>0</v>
      </c>
      <c r="B1846" s="1492" t="str">
        <f t="shared" si="239"/>
        <v>Procurement of portable multi function test kit, Microprocessot based CB TIM, CRM &amp; MVDT, CBO analyser, Vacuum cleaner bottle HV tester</v>
      </c>
      <c r="C1846" s="1488">
        <f t="shared" si="239"/>
        <v>0</v>
      </c>
      <c r="D1846" s="1413" t="str">
        <f t="shared" si="239"/>
        <v>-</v>
      </c>
      <c r="E1846" s="560">
        <f t="shared" si="239"/>
        <v>2</v>
      </c>
      <c r="F1846" s="1508">
        <f t="shared" si="232"/>
        <v>0</v>
      </c>
      <c r="G1846" s="1508">
        <f t="shared" si="233"/>
        <v>0</v>
      </c>
      <c r="H1846" s="1508">
        <f t="shared" si="234"/>
        <v>0</v>
      </c>
      <c r="I1846" s="1480">
        <v>0</v>
      </c>
      <c r="J1846" s="1480">
        <v>0</v>
      </c>
      <c r="K1846" s="1508"/>
      <c r="L1846" s="1508"/>
      <c r="M1846" s="1509">
        <f t="shared" si="235"/>
        <v>0</v>
      </c>
      <c r="N1846" s="1508">
        <f t="shared" si="236"/>
        <v>0</v>
      </c>
    </row>
    <row r="1847" spans="1:14" ht="31" outlineLevel="1" x14ac:dyDescent="0.25">
      <c r="A1847" s="1492">
        <f t="shared" si="239"/>
        <v>0</v>
      </c>
      <c r="B1847" s="1492" t="str">
        <f t="shared" si="239"/>
        <v xml:space="preserve">Replacement of various motorised control actuators at Unit 5, 6  CSTPS,Chandrapur.                              </v>
      </c>
      <c r="C1847" s="1488">
        <f t="shared" si="239"/>
        <v>0</v>
      </c>
      <c r="D1847" s="1413" t="str">
        <f t="shared" si="239"/>
        <v>-</v>
      </c>
      <c r="E1847" s="560">
        <f t="shared" si="239"/>
        <v>6</v>
      </c>
      <c r="F1847" s="1508">
        <f t="shared" si="232"/>
        <v>0</v>
      </c>
      <c r="G1847" s="1508">
        <f t="shared" si="233"/>
        <v>0</v>
      </c>
      <c r="H1847" s="1508">
        <f t="shared" si="234"/>
        <v>0</v>
      </c>
      <c r="I1847" s="1480">
        <v>0</v>
      </c>
      <c r="J1847" s="1480">
        <v>0</v>
      </c>
      <c r="K1847" s="1508"/>
      <c r="L1847" s="1508"/>
      <c r="M1847" s="1509">
        <f t="shared" si="235"/>
        <v>0</v>
      </c>
      <c r="N1847" s="1508">
        <f t="shared" si="236"/>
        <v>0</v>
      </c>
    </row>
    <row r="1848" spans="1:14" ht="62" outlineLevel="1" x14ac:dyDescent="0.25">
      <c r="A1848" s="1486">
        <f t="shared" si="239"/>
        <v>4</v>
      </c>
      <c r="B1848" s="1491" t="str">
        <f t="shared" si="239"/>
        <v>Supply and commissioning of Energy Optimization &amp; Real Time Analysis system software for Auxiliary Power management of power network &amp; Pump performance monitoring system for water pumping stations for Unit#5,6&amp;7, CSTPS, Chandrapur</v>
      </c>
      <c r="C1848" s="1488">
        <f t="shared" si="239"/>
        <v>0</v>
      </c>
      <c r="D1848" s="1413" t="str">
        <f t="shared" si="239"/>
        <v>-</v>
      </c>
      <c r="E1848" s="560">
        <f t="shared" si="239"/>
        <v>26</v>
      </c>
      <c r="F1848" s="1508">
        <f t="shared" si="232"/>
        <v>0</v>
      </c>
      <c r="G1848" s="1508">
        <f t="shared" si="233"/>
        <v>0</v>
      </c>
      <c r="H1848" s="1508">
        <f t="shared" si="234"/>
        <v>0</v>
      </c>
      <c r="I1848" s="1480">
        <v>0</v>
      </c>
      <c r="J1848" s="1480">
        <v>0</v>
      </c>
      <c r="K1848" s="1508"/>
      <c r="L1848" s="1508"/>
      <c r="M1848" s="1509">
        <f t="shared" si="235"/>
        <v>0</v>
      </c>
      <c r="N1848" s="1508">
        <f t="shared" si="236"/>
        <v>0</v>
      </c>
    </row>
    <row r="1849" spans="1:14" ht="46.5" outlineLevel="1" x14ac:dyDescent="0.25">
      <c r="A1849" s="1492">
        <f t="shared" si="239"/>
        <v>0</v>
      </c>
      <c r="B1849" s="1492" t="str">
        <f t="shared" si="239"/>
        <v>Supply and commissioning of Energy Optimization &amp; Real Time Analysis system software for Auxiliary Power management of power network</v>
      </c>
      <c r="C1849" s="1488">
        <f t="shared" si="239"/>
        <v>0</v>
      </c>
      <c r="D1849" s="1413" t="str">
        <f t="shared" si="239"/>
        <v>-</v>
      </c>
      <c r="E1849" s="560">
        <f t="shared" si="239"/>
        <v>9</v>
      </c>
      <c r="F1849" s="1508">
        <f t="shared" si="232"/>
        <v>0</v>
      </c>
      <c r="G1849" s="1508">
        <f t="shared" si="233"/>
        <v>0</v>
      </c>
      <c r="H1849" s="1508">
        <f t="shared" si="234"/>
        <v>0</v>
      </c>
      <c r="I1849" s="1480">
        <v>0</v>
      </c>
      <c r="J1849" s="1480">
        <v>0</v>
      </c>
      <c r="K1849" s="1508"/>
      <c r="L1849" s="1508"/>
      <c r="M1849" s="1509">
        <f t="shared" si="235"/>
        <v>0</v>
      </c>
      <c r="N1849" s="1508">
        <f t="shared" si="236"/>
        <v>0</v>
      </c>
    </row>
    <row r="1850" spans="1:14" ht="46.5" outlineLevel="1" x14ac:dyDescent="0.25">
      <c r="A1850" s="1492">
        <f t="shared" si="239"/>
        <v>0</v>
      </c>
      <c r="B1850" s="1492" t="str">
        <f t="shared" si="239"/>
        <v>Supply and installation of advanced Microprocessor based Pump performance monitoring system for water pumping stations for Unit#5,6&amp;7, CSTPS, Chandrapur</v>
      </c>
      <c r="C1850" s="1488">
        <f t="shared" si="239"/>
        <v>0</v>
      </c>
      <c r="D1850" s="1413" t="str">
        <f t="shared" si="239"/>
        <v>-</v>
      </c>
      <c r="E1850" s="560">
        <f t="shared" si="239"/>
        <v>7</v>
      </c>
      <c r="F1850" s="1508">
        <f t="shared" si="232"/>
        <v>0</v>
      </c>
      <c r="G1850" s="1508">
        <f t="shared" si="233"/>
        <v>0</v>
      </c>
      <c r="H1850" s="1508">
        <f t="shared" si="234"/>
        <v>0</v>
      </c>
      <c r="I1850" s="1480">
        <v>0</v>
      </c>
      <c r="J1850" s="1480">
        <v>0</v>
      </c>
      <c r="K1850" s="1508"/>
      <c r="L1850" s="1508"/>
      <c r="M1850" s="1509">
        <f t="shared" si="235"/>
        <v>0</v>
      </c>
      <c r="N1850" s="1508">
        <f t="shared" si="236"/>
        <v>0</v>
      </c>
    </row>
    <row r="1851" spans="1:14" ht="31" outlineLevel="1" x14ac:dyDescent="0.25">
      <c r="A1851" s="1492">
        <f t="shared" si="239"/>
        <v>0</v>
      </c>
      <c r="B1851" s="1492" t="str">
        <f t="shared" si="239"/>
        <v>Upgradation of Online Connectivity and Environmental Monitoring (OCEMS) System at Unit-5,6&amp;7</v>
      </c>
      <c r="C1851" s="1488">
        <f t="shared" si="239"/>
        <v>0</v>
      </c>
      <c r="D1851" s="1413" t="str">
        <f t="shared" si="239"/>
        <v>-</v>
      </c>
      <c r="E1851" s="560">
        <f t="shared" si="239"/>
        <v>4</v>
      </c>
      <c r="F1851" s="1508">
        <f t="shared" si="232"/>
        <v>0</v>
      </c>
      <c r="G1851" s="1508">
        <f t="shared" si="233"/>
        <v>0</v>
      </c>
      <c r="H1851" s="1508">
        <f t="shared" si="234"/>
        <v>0</v>
      </c>
      <c r="I1851" s="1480">
        <v>0</v>
      </c>
      <c r="J1851" s="1480">
        <v>0</v>
      </c>
      <c r="K1851" s="1508"/>
      <c r="L1851" s="1508"/>
      <c r="M1851" s="1509">
        <f t="shared" si="235"/>
        <v>0</v>
      </c>
      <c r="N1851" s="1508">
        <f t="shared" si="236"/>
        <v>0</v>
      </c>
    </row>
    <row r="1852" spans="1:14" ht="15.5" outlineLevel="1" x14ac:dyDescent="0.25">
      <c r="A1852" s="1492">
        <f t="shared" si="239"/>
        <v>0</v>
      </c>
      <c r="B1852" s="1492" t="str">
        <f t="shared" si="239"/>
        <v xml:space="preserve">Procurement of I&amp;C Testing Labouratory Instruments </v>
      </c>
      <c r="C1852" s="1488">
        <f t="shared" si="239"/>
        <v>0</v>
      </c>
      <c r="D1852" s="1413" t="str">
        <f t="shared" si="239"/>
        <v>-</v>
      </c>
      <c r="E1852" s="560">
        <f t="shared" si="239"/>
        <v>2</v>
      </c>
      <c r="F1852" s="1508">
        <f t="shared" si="232"/>
        <v>0</v>
      </c>
      <c r="G1852" s="1508">
        <f t="shared" si="233"/>
        <v>0</v>
      </c>
      <c r="H1852" s="1508">
        <f t="shared" si="234"/>
        <v>0</v>
      </c>
      <c r="I1852" s="1480">
        <v>0</v>
      </c>
      <c r="J1852" s="1480">
        <v>0</v>
      </c>
      <c r="K1852" s="1508"/>
      <c r="L1852" s="1508"/>
      <c r="M1852" s="1509">
        <f t="shared" si="235"/>
        <v>0</v>
      </c>
      <c r="N1852" s="1508">
        <f t="shared" si="236"/>
        <v>0</v>
      </c>
    </row>
    <row r="1853" spans="1:14" ht="31" outlineLevel="1" x14ac:dyDescent="0.25">
      <c r="A1853" s="1492">
        <f t="shared" si="239"/>
        <v>0</v>
      </c>
      <c r="B1853" s="1492" t="str">
        <f t="shared" si="239"/>
        <v xml:space="preserve">Upgradation of various motorised control actuators at Unit-7,  CSTPS,Chandrapur.                              </v>
      </c>
      <c r="C1853" s="1488">
        <f t="shared" si="239"/>
        <v>0</v>
      </c>
      <c r="D1853" s="1413" t="str">
        <f t="shared" si="239"/>
        <v>-</v>
      </c>
      <c r="E1853" s="560">
        <f t="shared" si="239"/>
        <v>4</v>
      </c>
      <c r="F1853" s="1508">
        <f t="shared" si="232"/>
        <v>0</v>
      </c>
      <c r="G1853" s="1508">
        <f t="shared" si="233"/>
        <v>0</v>
      </c>
      <c r="H1853" s="1508">
        <f t="shared" si="234"/>
        <v>0</v>
      </c>
      <c r="I1853" s="1480">
        <v>0</v>
      </c>
      <c r="J1853" s="1480">
        <v>0</v>
      </c>
      <c r="K1853" s="1508"/>
      <c r="L1853" s="1508"/>
      <c r="M1853" s="1509">
        <f t="shared" si="235"/>
        <v>0</v>
      </c>
      <c r="N1853" s="1508">
        <f t="shared" si="236"/>
        <v>0</v>
      </c>
    </row>
    <row r="1854" spans="1:14" ht="15.5" outlineLevel="1" x14ac:dyDescent="0.25">
      <c r="A1854" s="1504">
        <f t="shared" si="239"/>
        <v>0</v>
      </c>
      <c r="B1854" s="1504" t="str">
        <f t="shared" si="239"/>
        <v>ODP-II</v>
      </c>
      <c r="C1854" s="1488">
        <f t="shared" si="239"/>
        <v>0</v>
      </c>
      <c r="D1854" s="1413" t="str">
        <f t="shared" si="239"/>
        <v>-</v>
      </c>
      <c r="E1854" s="560">
        <f t="shared" si="239"/>
        <v>0</v>
      </c>
      <c r="F1854" s="1508">
        <f t="shared" si="232"/>
        <v>0</v>
      </c>
      <c r="G1854" s="1508">
        <f t="shared" si="233"/>
        <v>0</v>
      </c>
      <c r="H1854" s="1508">
        <f t="shared" si="234"/>
        <v>0</v>
      </c>
      <c r="I1854" s="1480">
        <v>0</v>
      </c>
      <c r="J1854" s="1480">
        <v>0</v>
      </c>
      <c r="K1854" s="1508"/>
      <c r="L1854" s="1508"/>
      <c r="M1854" s="1509">
        <f t="shared" si="235"/>
        <v>0</v>
      </c>
      <c r="N1854" s="1508">
        <f t="shared" si="236"/>
        <v>0</v>
      </c>
    </row>
    <row r="1855" spans="1:14" ht="31" outlineLevel="1" x14ac:dyDescent="0.25">
      <c r="A1855" s="1486">
        <f t="shared" si="239"/>
        <v>1</v>
      </c>
      <c r="B1855" s="1491" t="str">
        <f t="shared" si="239"/>
        <v>Complete reconditioning of Condensate cooling water system, Ash raw water system &amp; fire fightning system of U-5,6 &amp; 7</v>
      </c>
      <c r="C1855" s="1488">
        <f t="shared" si="239"/>
        <v>0</v>
      </c>
      <c r="D1855" s="1413" t="str">
        <f t="shared" si="239"/>
        <v>-</v>
      </c>
      <c r="E1855" s="560">
        <f t="shared" si="239"/>
        <v>92</v>
      </c>
      <c r="F1855" s="1508">
        <f t="shared" si="232"/>
        <v>0</v>
      </c>
      <c r="G1855" s="1508">
        <f t="shared" si="233"/>
        <v>0</v>
      </c>
      <c r="H1855" s="1508">
        <f t="shared" si="234"/>
        <v>0</v>
      </c>
      <c r="I1855" s="1480">
        <v>0</v>
      </c>
      <c r="J1855" s="1480">
        <v>0</v>
      </c>
      <c r="K1855" s="1508"/>
      <c r="L1855" s="1508"/>
      <c r="M1855" s="1509">
        <f t="shared" si="235"/>
        <v>0</v>
      </c>
      <c r="N1855" s="1508">
        <f t="shared" si="236"/>
        <v>0</v>
      </c>
    </row>
    <row r="1856" spans="1:14" ht="15.5" outlineLevel="1" x14ac:dyDescent="0.25">
      <c r="A1856" s="1492">
        <f t="shared" si="239"/>
        <v>0</v>
      </c>
      <c r="B1856" s="1492" t="str">
        <f t="shared" si="239"/>
        <v xml:space="preserve"> Complete reconditioning of cooling tower 5A &amp; 5B of Unit -5. </v>
      </c>
      <c r="C1856" s="1488">
        <f t="shared" si="239"/>
        <v>0</v>
      </c>
      <c r="D1856" s="1413" t="str">
        <f t="shared" si="239"/>
        <v>-</v>
      </c>
      <c r="E1856" s="560">
        <f t="shared" si="239"/>
        <v>45</v>
      </c>
      <c r="F1856" s="1508">
        <f t="shared" si="232"/>
        <v>0</v>
      </c>
      <c r="G1856" s="1508">
        <f t="shared" si="233"/>
        <v>0</v>
      </c>
      <c r="H1856" s="1508">
        <f t="shared" si="234"/>
        <v>0</v>
      </c>
      <c r="I1856" s="1480">
        <v>0</v>
      </c>
      <c r="J1856" s="1480">
        <v>0</v>
      </c>
      <c r="K1856" s="1508"/>
      <c r="L1856" s="1508"/>
      <c r="M1856" s="1509">
        <f t="shared" si="235"/>
        <v>0</v>
      </c>
      <c r="N1856" s="1508">
        <f t="shared" si="236"/>
        <v>0</v>
      </c>
    </row>
    <row r="1857" spans="1:14" ht="46.5" outlineLevel="1" x14ac:dyDescent="0.25">
      <c r="A1857" s="1492">
        <f t="shared" si="239"/>
        <v>0</v>
      </c>
      <c r="B1857" s="1492" t="str">
        <f t="shared" si="239"/>
        <v>Revamping of induced draft Cooling tower - 6A &amp; 6B internals with supply &amp; replacement to improve the performance of Cooling tower of Unit -6 (500MW), CSTPS, Chandrapur</v>
      </c>
      <c r="C1857" s="1488">
        <f t="shared" si="239"/>
        <v>0</v>
      </c>
      <c r="D1857" s="1413" t="str">
        <f t="shared" si="239"/>
        <v>-</v>
      </c>
      <c r="E1857" s="560">
        <f t="shared" si="239"/>
        <v>47</v>
      </c>
      <c r="F1857" s="1508">
        <f t="shared" si="232"/>
        <v>0</v>
      </c>
      <c r="G1857" s="1508">
        <f t="shared" si="233"/>
        <v>0</v>
      </c>
      <c r="H1857" s="1508">
        <f t="shared" si="234"/>
        <v>0</v>
      </c>
      <c r="I1857" s="1480">
        <v>0</v>
      </c>
      <c r="J1857" s="1480">
        <v>0</v>
      </c>
      <c r="K1857" s="1508"/>
      <c r="L1857" s="1508"/>
      <c r="M1857" s="1509">
        <f t="shared" si="235"/>
        <v>0</v>
      </c>
      <c r="N1857" s="1508">
        <f t="shared" si="236"/>
        <v>0</v>
      </c>
    </row>
    <row r="1858" spans="1:14" ht="31" outlineLevel="1" x14ac:dyDescent="0.25">
      <c r="A1858" s="1486">
        <f t="shared" si="239"/>
        <v>2</v>
      </c>
      <c r="B1858" s="1491" t="str">
        <f t="shared" si="239"/>
        <v>Replacement of  Complete pump assembly of CCW pump, ACW pump and other schemes</v>
      </c>
      <c r="C1858" s="1488">
        <f t="shared" si="239"/>
        <v>0</v>
      </c>
      <c r="D1858" s="1413" t="str">
        <f t="shared" si="239"/>
        <v>-</v>
      </c>
      <c r="E1858" s="560">
        <f t="shared" si="239"/>
        <v>121</v>
      </c>
      <c r="F1858" s="1508">
        <f t="shared" si="232"/>
        <v>0</v>
      </c>
      <c r="G1858" s="1508">
        <f t="shared" si="233"/>
        <v>0</v>
      </c>
      <c r="H1858" s="1508">
        <f t="shared" si="234"/>
        <v>0</v>
      </c>
      <c r="I1858" s="1480">
        <v>0</v>
      </c>
      <c r="J1858" s="1480">
        <v>0</v>
      </c>
      <c r="K1858" s="1508"/>
      <c r="L1858" s="1508"/>
      <c r="M1858" s="1509">
        <f t="shared" si="235"/>
        <v>0</v>
      </c>
      <c r="N1858" s="1508">
        <f t="shared" si="236"/>
        <v>0</v>
      </c>
    </row>
    <row r="1859" spans="1:14" ht="31" outlineLevel="1" x14ac:dyDescent="0.25">
      <c r="A1859" s="1492">
        <f t="shared" si="239"/>
        <v>0</v>
      </c>
      <c r="B1859" s="1492" t="str">
        <f t="shared" si="239"/>
        <v>Replacement of  Complete pump assembly of CCW pump installed at U-5,6,7.</v>
      </c>
      <c r="C1859" s="1488">
        <f t="shared" si="239"/>
        <v>0</v>
      </c>
      <c r="D1859" s="1413" t="str">
        <f t="shared" si="239"/>
        <v>-</v>
      </c>
      <c r="E1859" s="560">
        <f t="shared" si="239"/>
        <v>100</v>
      </c>
      <c r="F1859" s="1508">
        <f t="shared" si="232"/>
        <v>0</v>
      </c>
      <c r="G1859" s="1508">
        <f t="shared" si="233"/>
        <v>0</v>
      </c>
      <c r="H1859" s="1508">
        <f t="shared" si="234"/>
        <v>0</v>
      </c>
      <c r="I1859" s="1480">
        <v>0</v>
      </c>
      <c r="J1859" s="1480">
        <v>0</v>
      </c>
      <c r="K1859" s="1508"/>
      <c r="L1859" s="1508"/>
      <c r="M1859" s="1509">
        <f t="shared" si="235"/>
        <v>0</v>
      </c>
      <c r="N1859" s="1508">
        <f t="shared" si="236"/>
        <v>0</v>
      </c>
    </row>
    <row r="1860" spans="1:14" ht="31" outlineLevel="1" x14ac:dyDescent="0.25">
      <c r="A1860" s="1492">
        <f t="shared" si="239"/>
        <v>0</v>
      </c>
      <c r="B1860" s="1492" t="str">
        <f t="shared" si="239"/>
        <v xml:space="preserve"> Replacement of  Complete pump assembly of ACW  pump installed at U-5,6,7.</v>
      </c>
      <c r="C1860" s="1488">
        <f t="shared" si="239"/>
        <v>0</v>
      </c>
      <c r="D1860" s="1413" t="str">
        <f t="shared" si="239"/>
        <v>-</v>
      </c>
      <c r="E1860" s="560">
        <f t="shared" si="239"/>
        <v>11</v>
      </c>
      <c r="F1860" s="1508">
        <f t="shared" si="232"/>
        <v>0</v>
      </c>
      <c r="G1860" s="1508">
        <f t="shared" si="233"/>
        <v>0</v>
      </c>
      <c r="H1860" s="1508">
        <f t="shared" si="234"/>
        <v>0</v>
      </c>
      <c r="I1860" s="1480">
        <v>0</v>
      </c>
      <c r="J1860" s="1480">
        <v>0</v>
      </c>
      <c r="K1860" s="1508"/>
      <c r="L1860" s="1508"/>
      <c r="M1860" s="1509">
        <f t="shared" si="235"/>
        <v>0</v>
      </c>
      <c r="N1860" s="1508">
        <f t="shared" si="236"/>
        <v>0</v>
      </c>
    </row>
    <row r="1861" spans="1:14" ht="31" outlineLevel="1" x14ac:dyDescent="0.25">
      <c r="A1861" s="1492">
        <f t="shared" si="239"/>
        <v>0</v>
      </c>
      <c r="B1861" s="1492" t="str">
        <f t="shared" si="239"/>
        <v xml:space="preserve"> Complete reconditioning of Ash Raw water system &amp; DM/NDM system of U- 7. </v>
      </c>
      <c r="C1861" s="1488">
        <f t="shared" si="239"/>
        <v>0</v>
      </c>
      <c r="D1861" s="1413" t="str">
        <f t="shared" si="239"/>
        <v>-</v>
      </c>
      <c r="E1861" s="560">
        <f t="shared" si="239"/>
        <v>8</v>
      </c>
      <c r="F1861" s="1508">
        <f t="shared" si="232"/>
        <v>0</v>
      </c>
      <c r="G1861" s="1508">
        <f t="shared" si="233"/>
        <v>0</v>
      </c>
      <c r="H1861" s="1508">
        <f t="shared" si="234"/>
        <v>0</v>
      </c>
      <c r="I1861" s="1480">
        <v>0</v>
      </c>
      <c r="J1861" s="1480">
        <v>0</v>
      </c>
      <c r="K1861" s="1508"/>
      <c r="L1861" s="1508"/>
      <c r="M1861" s="1509">
        <f t="shared" si="235"/>
        <v>0</v>
      </c>
      <c r="N1861" s="1508">
        <f t="shared" si="236"/>
        <v>0</v>
      </c>
    </row>
    <row r="1862" spans="1:14" ht="31" outlineLevel="1" x14ac:dyDescent="0.25">
      <c r="A1862" s="1492">
        <f t="shared" ref="A1862:E1877" si="240">A1192</f>
        <v>0</v>
      </c>
      <c r="B1862" s="1492" t="str">
        <f t="shared" si="240"/>
        <v xml:space="preserve">Complete reconditioning of Fire fightning system of Stage -I, II, III. </v>
      </c>
      <c r="C1862" s="1488">
        <f t="shared" si="240"/>
        <v>0</v>
      </c>
      <c r="D1862" s="1413" t="str">
        <f t="shared" si="240"/>
        <v>-</v>
      </c>
      <c r="E1862" s="560">
        <f t="shared" si="240"/>
        <v>2</v>
      </c>
      <c r="F1862" s="1508">
        <f t="shared" ref="F1862:F1925" si="241">F1192+I1192</f>
        <v>0</v>
      </c>
      <c r="G1862" s="1508">
        <f t="shared" ref="G1862:G1925" si="242">G1192+M1192</f>
        <v>0</v>
      </c>
      <c r="H1862" s="1508">
        <f t="shared" si="234"/>
        <v>0</v>
      </c>
      <c r="I1862" s="1480">
        <v>0</v>
      </c>
      <c r="J1862" s="1480">
        <v>0</v>
      </c>
      <c r="K1862" s="1508"/>
      <c r="L1862" s="1508"/>
      <c r="M1862" s="1509">
        <f t="shared" si="235"/>
        <v>0</v>
      </c>
      <c r="N1862" s="1508">
        <f t="shared" si="236"/>
        <v>0</v>
      </c>
    </row>
    <row r="1863" spans="1:14" ht="77.5" outlineLevel="1" x14ac:dyDescent="0.25">
      <c r="A1863" s="1486">
        <f t="shared" si="240"/>
        <v>3</v>
      </c>
      <c r="B1863" s="1491" t="str">
        <f t="shared" si="240"/>
        <v xml:space="preserve">Upgradation of existing DM water system along with supply, erection &amp; Commissioning of PLC panel, Instrumentation, CPVC Pipes &amp; fittings, installed at WTP–500MW, CSTPS, Chandrapur.
</v>
      </c>
      <c r="C1863" s="1488">
        <f t="shared" si="240"/>
        <v>0</v>
      </c>
      <c r="D1863" s="1413" t="str">
        <f t="shared" si="240"/>
        <v>-</v>
      </c>
      <c r="E1863" s="560">
        <f t="shared" si="240"/>
        <v>56</v>
      </c>
      <c r="F1863" s="1508">
        <f t="shared" si="241"/>
        <v>0</v>
      </c>
      <c r="G1863" s="1508">
        <f t="shared" si="242"/>
        <v>0</v>
      </c>
      <c r="H1863" s="1508">
        <f t="shared" si="234"/>
        <v>0</v>
      </c>
      <c r="I1863" s="1480">
        <v>0</v>
      </c>
      <c r="J1863" s="1480">
        <v>0</v>
      </c>
      <c r="K1863" s="1508"/>
      <c r="L1863" s="1508"/>
      <c r="M1863" s="1509">
        <f t="shared" si="235"/>
        <v>0</v>
      </c>
      <c r="N1863" s="1508">
        <f t="shared" si="236"/>
        <v>0</v>
      </c>
    </row>
    <row r="1864" spans="1:14" ht="77.5" outlineLevel="1" x14ac:dyDescent="0.25">
      <c r="A1864" s="1492">
        <f t="shared" si="240"/>
        <v>0</v>
      </c>
      <c r="B1864" s="1492" t="str">
        <f t="shared" si="240"/>
        <v xml:space="preserve">Upgradation of existing DM water system along with supply, erection &amp; Commissioning of PLC panel, Instrumentation, CPVC Pipes &amp; fittings, installed at WTP–500MW, CSTPS, Chandrapur.
</v>
      </c>
      <c r="C1864" s="1488">
        <f t="shared" si="240"/>
        <v>0</v>
      </c>
      <c r="D1864" s="1413" t="str">
        <f t="shared" si="240"/>
        <v>-</v>
      </c>
      <c r="E1864" s="560">
        <f t="shared" si="240"/>
        <v>56</v>
      </c>
      <c r="F1864" s="1508">
        <f t="shared" si="241"/>
        <v>0</v>
      </c>
      <c r="G1864" s="1508">
        <f t="shared" si="242"/>
        <v>0</v>
      </c>
      <c r="H1864" s="1508">
        <f t="shared" si="234"/>
        <v>0</v>
      </c>
      <c r="I1864" s="1480">
        <v>0</v>
      </c>
      <c r="J1864" s="1480">
        <v>0</v>
      </c>
      <c r="K1864" s="1508"/>
      <c r="L1864" s="1508"/>
      <c r="M1864" s="1509">
        <f t="shared" si="235"/>
        <v>0</v>
      </c>
      <c r="N1864" s="1508">
        <f t="shared" si="236"/>
        <v>0</v>
      </c>
    </row>
    <row r="1865" spans="1:14" ht="31" outlineLevel="1" x14ac:dyDescent="0.25">
      <c r="A1865" s="1486">
        <f t="shared" si="240"/>
        <v>4</v>
      </c>
      <c r="B1865" s="1491" t="str">
        <f t="shared" si="240"/>
        <v>Various work for renovation &amp; improvement of ash disposal pipeline system of Unit # 5 &amp; 6 at  CSTPS, Chandrapur.</v>
      </c>
      <c r="C1865" s="1488">
        <f t="shared" si="240"/>
        <v>0</v>
      </c>
      <c r="D1865" s="1413" t="str">
        <f t="shared" si="240"/>
        <v>-</v>
      </c>
      <c r="E1865" s="560">
        <f t="shared" si="240"/>
        <v>58.37</v>
      </c>
      <c r="F1865" s="1508">
        <f t="shared" si="241"/>
        <v>0</v>
      </c>
      <c r="G1865" s="1508">
        <f t="shared" si="242"/>
        <v>0</v>
      </c>
      <c r="H1865" s="1508">
        <f t="shared" si="234"/>
        <v>0</v>
      </c>
      <c r="I1865" s="1480">
        <v>0</v>
      </c>
      <c r="J1865" s="1480">
        <v>0</v>
      </c>
      <c r="K1865" s="1508"/>
      <c r="L1865" s="1508"/>
      <c r="M1865" s="1509">
        <f t="shared" si="235"/>
        <v>0</v>
      </c>
      <c r="N1865" s="1508">
        <f t="shared" si="236"/>
        <v>0</v>
      </c>
    </row>
    <row r="1866" spans="1:14" ht="31" outlineLevel="1" x14ac:dyDescent="0.25">
      <c r="A1866" s="1492">
        <f t="shared" si="240"/>
        <v>0</v>
      </c>
      <c r="B1866" s="1492" t="str">
        <f t="shared" si="240"/>
        <v>Supply, Erection &amp; commissioning of third 400 NB ash slurry disposal pipeline for Unit #5 at CSTPS, Chandrapur</v>
      </c>
      <c r="C1866" s="1488">
        <f t="shared" si="240"/>
        <v>0</v>
      </c>
      <c r="D1866" s="1413" t="str">
        <f t="shared" si="240"/>
        <v>-</v>
      </c>
      <c r="E1866" s="560">
        <f t="shared" si="240"/>
        <v>20.190000000000001</v>
      </c>
      <c r="F1866" s="1508">
        <f t="shared" si="241"/>
        <v>0</v>
      </c>
      <c r="G1866" s="1508">
        <f t="shared" si="242"/>
        <v>0</v>
      </c>
      <c r="H1866" s="1508">
        <f t="shared" si="234"/>
        <v>0</v>
      </c>
      <c r="I1866" s="1480">
        <v>0</v>
      </c>
      <c r="J1866" s="1480">
        <v>0</v>
      </c>
      <c r="K1866" s="1508"/>
      <c r="L1866" s="1508"/>
      <c r="M1866" s="1509">
        <f t="shared" si="235"/>
        <v>0</v>
      </c>
      <c r="N1866" s="1508">
        <f t="shared" si="236"/>
        <v>0</v>
      </c>
    </row>
    <row r="1867" spans="1:14" ht="46.5" outlineLevel="1" x14ac:dyDescent="0.25">
      <c r="A1867" s="1492">
        <f t="shared" si="240"/>
        <v>0</v>
      </c>
      <c r="B1867" s="1492" t="str">
        <f t="shared" si="240"/>
        <v>Supply, Erection, Replacement of 400 NB MSERW pipes of existing Ash disposal pipelines of Unit # 5 &amp; 6 in ‘B’ &amp; ‘C’ zone at CSTPS, Chandrapur.</v>
      </c>
      <c r="C1867" s="1488">
        <f t="shared" si="240"/>
        <v>0</v>
      </c>
      <c r="D1867" s="1413" t="str">
        <f t="shared" si="240"/>
        <v>-</v>
      </c>
      <c r="E1867" s="560">
        <f t="shared" si="240"/>
        <v>38.18</v>
      </c>
      <c r="F1867" s="1508">
        <f t="shared" si="241"/>
        <v>0</v>
      </c>
      <c r="G1867" s="1508">
        <f t="shared" si="242"/>
        <v>0</v>
      </c>
      <c r="H1867" s="1508">
        <f t="shared" si="234"/>
        <v>0</v>
      </c>
      <c r="I1867" s="1480">
        <v>0</v>
      </c>
      <c r="J1867" s="1480">
        <v>0</v>
      </c>
      <c r="K1867" s="1508"/>
      <c r="L1867" s="1508"/>
      <c r="M1867" s="1509">
        <f t="shared" si="235"/>
        <v>0</v>
      </c>
      <c r="N1867" s="1508">
        <f t="shared" si="236"/>
        <v>0</v>
      </c>
    </row>
    <row r="1868" spans="1:14" ht="46.5" outlineLevel="1" x14ac:dyDescent="0.25">
      <c r="A1868" s="1486">
        <f t="shared" si="240"/>
        <v>5</v>
      </c>
      <c r="B1868" s="1491" t="str">
        <f t="shared" si="240"/>
        <v>Design, engineering, supply, installation and commissioning of disposal of bottom ash in under ground mines at Chandrapur area WCL at CSTPS, Chandrapur</v>
      </c>
      <c r="C1868" s="1488">
        <f t="shared" si="240"/>
        <v>0</v>
      </c>
      <c r="D1868" s="1413" t="str">
        <f t="shared" si="240"/>
        <v>-</v>
      </c>
      <c r="E1868" s="560">
        <f t="shared" si="240"/>
        <v>27.55</v>
      </c>
      <c r="F1868" s="1508">
        <f t="shared" si="241"/>
        <v>0</v>
      </c>
      <c r="G1868" s="1508">
        <f t="shared" si="242"/>
        <v>0</v>
      </c>
      <c r="H1868" s="1508">
        <f t="shared" si="234"/>
        <v>0</v>
      </c>
      <c r="I1868" s="1480">
        <v>0</v>
      </c>
      <c r="J1868" s="1480">
        <v>0</v>
      </c>
      <c r="K1868" s="1508"/>
      <c r="L1868" s="1508"/>
      <c r="M1868" s="1509">
        <f t="shared" si="235"/>
        <v>0</v>
      </c>
      <c r="N1868" s="1508">
        <f t="shared" si="236"/>
        <v>0</v>
      </c>
    </row>
    <row r="1869" spans="1:14" ht="46.5" outlineLevel="1" x14ac:dyDescent="0.25">
      <c r="A1869" s="1492">
        <f t="shared" si="240"/>
        <v>0</v>
      </c>
      <c r="B1869" s="1492" t="str">
        <f t="shared" si="240"/>
        <v>Design, engineering, supply, installation and commissioning of disposal of bottom ash in under ground mines at Chandrapur area WCL at CSTPS, Chandrapur</v>
      </c>
      <c r="C1869" s="1488">
        <f t="shared" si="240"/>
        <v>0</v>
      </c>
      <c r="D1869" s="1413" t="str">
        <f t="shared" si="240"/>
        <v>-</v>
      </c>
      <c r="E1869" s="560">
        <f t="shared" si="240"/>
        <v>27.55</v>
      </c>
      <c r="F1869" s="1508">
        <f t="shared" si="241"/>
        <v>0</v>
      </c>
      <c r="G1869" s="1508">
        <f t="shared" si="242"/>
        <v>0</v>
      </c>
      <c r="H1869" s="1508">
        <f t="shared" si="234"/>
        <v>0</v>
      </c>
      <c r="I1869" s="1480">
        <v>0</v>
      </c>
      <c r="J1869" s="1480">
        <v>0</v>
      </c>
      <c r="K1869" s="1508"/>
      <c r="L1869" s="1508"/>
      <c r="M1869" s="1509">
        <f t="shared" si="235"/>
        <v>0</v>
      </c>
      <c r="N1869" s="1508">
        <f t="shared" si="236"/>
        <v>0</v>
      </c>
    </row>
    <row r="1870" spans="1:14" ht="31" outlineLevel="1" x14ac:dyDescent="0.25">
      <c r="A1870" s="1486">
        <f t="shared" si="240"/>
        <v>6</v>
      </c>
      <c r="B1870" s="1491" t="str">
        <f t="shared" si="240"/>
        <v>Supply and replacement of 400 NB MSERW pipe lines of ash disposal system in Ash Handling Plant at CSTPS, Chandrapur.</v>
      </c>
      <c r="C1870" s="1488">
        <f t="shared" si="240"/>
        <v>0</v>
      </c>
      <c r="D1870" s="1413" t="str">
        <f t="shared" si="240"/>
        <v>-</v>
      </c>
      <c r="E1870" s="560">
        <f t="shared" si="240"/>
        <v>81.06</v>
      </c>
      <c r="F1870" s="1508">
        <f t="shared" si="241"/>
        <v>0</v>
      </c>
      <c r="G1870" s="1508">
        <f t="shared" si="242"/>
        <v>0</v>
      </c>
      <c r="H1870" s="1508">
        <f t="shared" si="234"/>
        <v>0</v>
      </c>
      <c r="I1870" s="1480">
        <v>0</v>
      </c>
      <c r="J1870" s="1480">
        <v>0</v>
      </c>
      <c r="K1870" s="1508"/>
      <c r="L1870" s="1508"/>
      <c r="M1870" s="1509">
        <f t="shared" si="235"/>
        <v>0</v>
      </c>
      <c r="N1870" s="1508">
        <f t="shared" si="236"/>
        <v>0</v>
      </c>
    </row>
    <row r="1871" spans="1:14" ht="46.5" outlineLevel="1" x14ac:dyDescent="0.25">
      <c r="A1871" s="1492">
        <f t="shared" si="240"/>
        <v>0</v>
      </c>
      <c r="B1871" s="1492" t="str">
        <f t="shared" si="240"/>
        <v>Procurement and replacement of 400 NB MSERW pipe lines of ash disposal system in Ash Handling Plant at CSTPS, Chandrapur.</v>
      </c>
      <c r="C1871" s="1488">
        <f t="shared" si="240"/>
        <v>0</v>
      </c>
      <c r="D1871" s="1413" t="str">
        <f t="shared" si="240"/>
        <v>-</v>
      </c>
      <c r="E1871" s="560">
        <f t="shared" si="240"/>
        <v>81.06</v>
      </c>
      <c r="F1871" s="1508">
        <f t="shared" si="241"/>
        <v>0</v>
      </c>
      <c r="G1871" s="1508">
        <f t="shared" si="242"/>
        <v>0</v>
      </c>
      <c r="H1871" s="1508">
        <f t="shared" si="234"/>
        <v>0</v>
      </c>
      <c r="I1871" s="1480">
        <v>0</v>
      </c>
      <c r="J1871" s="1480">
        <v>0</v>
      </c>
      <c r="K1871" s="1508"/>
      <c r="L1871" s="1508"/>
      <c r="M1871" s="1509">
        <f t="shared" si="235"/>
        <v>0</v>
      </c>
      <c r="N1871" s="1508">
        <f t="shared" si="236"/>
        <v>0</v>
      </c>
    </row>
    <row r="1872" spans="1:14" ht="15.5" outlineLevel="1" x14ac:dyDescent="0.25">
      <c r="A1872" s="1504">
        <f t="shared" si="240"/>
        <v>0</v>
      </c>
      <c r="B1872" s="1504" t="str">
        <f t="shared" si="240"/>
        <v>WTP-II</v>
      </c>
      <c r="C1872" s="1488">
        <f t="shared" si="240"/>
        <v>0</v>
      </c>
      <c r="D1872" s="1413" t="str">
        <f t="shared" si="240"/>
        <v>-</v>
      </c>
      <c r="E1872" s="560">
        <f t="shared" si="240"/>
        <v>0</v>
      </c>
      <c r="F1872" s="1508">
        <f t="shared" si="241"/>
        <v>0</v>
      </c>
      <c r="G1872" s="1508">
        <f t="shared" si="242"/>
        <v>0</v>
      </c>
      <c r="H1872" s="1508">
        <f t="shared" si="234"/>
        <v>0</v>
      </c>
      <c r="I1872" s="1480">
        <v>0</v>
      </c>
      <c r="J1872" s="1480">
        <v>0</v>
      </c>
      <c r="K1872" s="1508"/>
      <c r="L1872" s="1508"/>
      <c r="M1872" s="1509">
        <f t="shared" si="235"/>
        <v>0</v>
      </c>
      <c r="N1872" s="1508">
        <f t="shared" si="236"/>
        <v>0</v>
      </c>
    </row>
    <row r="1873" spans="1:14" ht="31" outlineLevel="1" x14ac:dyDescent="0.25">
      <c r="A1873" s="1486">
        <f t="shared" si="240"/>
        <v>1</v>
      </c>
      <c r="B1873" s="1491" t="str">
        <f t="shared" si="240"/>
        <v xml:space="preserve">SWAS system &amp; STREAM FILTRATION FOR COOLING WATER SYSTEM </v>
      </c>
      <c r="C1873" s="1488">
        <f t="shared" si="240"/>
        <v>0</v>
      </c>
      <c r="D1873" s="1413" t="str">
        <f t="shared" si="240"/>
        <v>-</v>
      </c>
      <c r="E1873" s="560">
        <f t="shared" si="240"/>
        <v>95.65</v>
      </c>
      <c r="F1873" s="1508">
        <f t="shared" si="241"/>
        <v>0</v>
      </c>
      <c r="G1873" s="1508">
        <f t="shared" si="242"/>
        <v>0</v>
      </c>
      <c r="H1873" s="1508">
        <f t="shared" si="234"/>
        <v>0</v>
      </c>
      <c r="I1873" s="1480">
        <v>0</v>
      </c>
      <c r="J1873" s="1480">
        <v>0</v>
      </c>
      <c r="K1873" s="1508"/>
      <c r="L1873" s="1508"/>
      <c r="M1873" s="1509">
        <f t="shared" si="235"/>
        <v>0</v>
      </c>
      <c r="N1873" s="1508">
        <f t="shared" si="236"/>
        <v>0</v>
      </c>
    </row>
    <row r="1874" spans="1:14" ht="31" outlineLevel="1" x14ac:dyDescent="0.25">
      <c r="A1874" s="1492">
        <f t="shared" si="240"/>
        <v>0</v>
      </c>
      <c r="B1874" s="1492" t="str">
        <f t="shared" si="240"/>
        <v>Revamping of SWAS system at 3 x 500 MW at WTP-II of CSTPS, Chandrapur</v>
      </c>
      <c r="C1874" s="1488">
        <f t="shared" si="240"/>
        <v>0</v>
      </c>
      <c r="D1874" s="1413" t="str">
        <f t="shared" si="240"/>
        <v>-</v>
      </c>
      <c r="E1874" s="560">
        <f t="shared" si="240"/>
        <v>16</v>
      </c>
      <c r="F1874" s="1508">
        <f t="shared" si="241"/>
        <v>0</v>
      </c>
      <c r="G1874" s="1508">
        <f t="shared" si="242"/>
        <v>0</v>
      </c>
      <c r="H1874" s="1508">
        <f t="shared" si="234"/>
        <v>0</v>
      </c>
      <c r="I1874" s="1480">
        <v>0</v>
      </c>
      <c r="J1874" s="1480">
        <v>0</v>
      </c>
      <c r="K1874" s="1508"/>
      <c r="L1874" s="1508"/>
      <c r="M1874" s="1509">
        <f t="shared" si="235"/>
        <v>0</v>
      </c>
      <c r="N1874" s="1508">
        <f t="shared" si="236"/>
        <v>0</v>
      </c>
    </row>
    <row r="1875" spans="1:14" ht="31" outlineLevel="1" x14ac:dyDescent="0.25">
      <c r="A1875" s="1492">
        <f t="shared" si="240"/>
        <v>0</v>
      </c>
      <c r="B1875" s="1492" t="str">
        <f t="shared" si="240"/>
        <v>STREAM FILTRATION FOR COOLING WATER SYSTEM OF UNIT 5,6,7,8 and 9 OF CSTPS CHANDRAPUR</v>
      </c>
      <c r="C1875" s="1488">
        <f t="shared" si="240"/>
        <v>0</v>
      </c>
      <c r="D1875" s="1413" t="str">
        <f t="shared" si="240"/>
        <v>-</v>
      </c>
      <c r="E1875" s="560">
        <f t="shared" si="240"/>
        <v>85.529939999999996</v>
      </c>
      <c r="F1875" s="1508">
        <f t="shared" si="241"/>
        <v>0</v>
      </c>
      <c r="G1875" s="1508">
        <f t="shared" si="242"/>
        <v>0</v>
      </c>
      <c r="H1875" s="1508">
        <f t="shared" si="234"/>
        <v>0</v>
      </c>
      <c r="I1875" s="1480">
        <v>0</v>
      </c>
      <c r="J1875" s="1480">
        <v>0</v>
      </c>
      <c r="K1875" s="1508"/>
      <c r="L1875" s="1508"/>
      <c r="M1875" s="1509">
        <f t="shared" si="235"/>
        <v>0</v>
      </c>
      <c r="N1875" s="1508">
        <f t="shared" si="236"/>
        <v>0</v>
      </c>
    </row>
    <row r="1876" spans="1:14" ht="15.5" outlineLevel="1" x14ac:dyDescent="0.25">
      <c r="A1876" s="1504">
        <f t="shared" si="240"/>
        <v>0</v>
      </c>
      <c r="B1876" s="1504" t="str">
        <f t="shared" si="240"/>
        <v>CHP-B</v>
      </c>
      <c r="C1876" s="1488">
        <f t="shared" si="240"/>
        <v>0</v>
      </c>
      <c r="D1876" s="1413" t="str">
        <f t="shared" si="240"/>
        <v>-</v>
      </c>
      <c r="E1876" s="560">
        <f t="shared" si="240"/>
        <v>0</v>
      </c>
      <c r="F1876" s="1508">
        <f t="shared" si="241"/>
        <v>0</v>
      </c>
      <c r="G1876" s="1508">
        <f t="shared" si="242"/>
        <v>0</v>
      </c>
      <c r="H1876" s="1508">
        <f t="shared" ref="H1876:H1939" si="243">F1876-G1876</f>
        <v>0</v>
      </c>
      <c r="I1876" s="1480">
        <v>0</v>
      </c>
      <c r="J1876" s="1480">
        <v>0</v>
      </c>
      <c r="K1876" s="1508"/>
      <c r="L1876" s="1508"/>
      <c r="M1876" s="1509">
        <f t="shared" ref="M1876:M1939" si="244">SUM(J1876:L1876)</f>
        <v>0</v>
      </c>
      <c r="N1876" s="1508">
        <f t="shared" ref="N1876:N1939" si="245">H1876+I1876-M1876</f>
        <v>0</v>
      </c>
    </row>
    <row r="1877" spans="1:14" ht="46.5" outlineLevel="1" x14ac:dyDescent="0.25">
      <c r="A1877" s="1486">
        <f t="shared" si="240"/>
        <v>1</v>
      </c>
      <c r="B1877" s="1491" t="str">
        <f t="shared" si="240"/>
        <v xml:space="preserve">Renovation of Bunker Hopper of Unit 5&amp;6 along with coal flow system &amp;  Design, Engineering, Manufacturing, Fabrication, Erection and commissioning of Modified Wobbler Feeder at CHPC </v>
      </c>
      <c r="C1877" s="1488">
        <f t="shared" si="240"/>
        <v>0</v>
      </c>
      <c r="D1877" s="1413" t="str">
        <f t="shared" si="240"/>
        <v>-</v>
      </c>
      <c r="E1877" s="560">
        <f t="shared" si="240"/>
        <v>38</v>
      </c>
      <c r="F1877" s="1508">
        <f t="shared" si="241"/>
        <v>0</v>
      </c>
      <c r="G1877" s="1508">
        <f t="shared" si="242"/>
        <v>0</v>
      </c>
      <c r="H1877" s="1508">
        <f t="shared" si="243"/>
        <v>0</v>
      </c>
      <c r="I1877" s="1480">
        <v>0</v>
      </c>
      <c r="J1877" s="1480">
        <v>0</v>
      </c>
      <c r="K1877" s="1508"/>
      <c r="L1877" s="1508"/>
      <c r="M1877" s="1509">
        <f t="shared" si="244"/>
        <v>0</v>
      </c>
      <c r="N1877" s="1508">
        <f t="shared" si="245"/>
        <v>0</v>
      </c>
    </row>
    <row r="1878" spans="1:14" ht="46.5" outlineLevel="1" x14ac:dyDescent="0.25">
      <c r="A1878" s="1492">
        <f t="shared" ref="A1878:E1893" si="246">A1208</f>
        <v>0</v>
      </c>
      <c r="B1878" s="1492" t="str">
        <f t="shared" si="246"/>
        <v>Scheme-1 Work of Modification,Upgradation &amp; renovation of Bunker Hopper of Unit 5&amp;6 along with coal flow system at CSTPS Chandrapur</v>
      </c>
      <c r="C1878" s="1488">
        <f t="shared" si="246"/>
        <v>0</v>
      </c>
      <c r="D1878" s="1413" t="str">
        <f t="shared" si="246"/>
        <v>-</v>
      </c>
      <c r="E1878" s="560">
        <f t="shared" si="246"/>
        <v>16</v>
      </c>
      <c r="F1878" s="1508">
        <f t="shared" si="241"/>
        <v>0</v>
      </c>
      <c r="G1878" s="1508">
        <f t="shared" si="242"/>
        <v>0</v>
      </c>
      <c r="H1878" s="1508">
        <f t="shared" si="243"/>
        <v>0</v>
      </c>
      <c r="I1878" s="1480">
        <v>0</v>
      </c>
      <c r="J1878" s="1480">
        <v>0</v>
      </c>
      <c r="K1878" s="1508"/>
      <c r="L1878" s="1508"/>
      <c r="M1878" s="1509">
        <f t="shared" si="244"/>
        <v>0</v>
      </c>
      <c r="N1878" s="1508">
        <f t="shared" si="245"/>
        <v>0</v>
      </c>
    </row>
    <row r="1879" spans="1:14" ht="31" outlineLevel="1" x14ac:dyDescent="0.25">
      <c r="A1879" s="1492">
        <f t="shared" si="246"/>
        <v>0</v>
      </c>
      <c r="B1879" s="1492" t="str">
        <f t="shared" si="246"/>
        <v>Scheme-2 :- Renovation &amp; up gradation of conveyor gantries &amp; Travelling Tripper of CHPB.</v>
      </c>
      <c r="C1879" s="1488">
        <f t="shared" si="246"/>
        <v>0</v>
      </c>
      <c r="D1879" s="1413" t="str">
        <f t="shared" si="246"/>
        <v>-</v>
      </c>
      <c r="E1879" s="560">
        <f t="shared" si="246"/>
        <v>7</v>
      </c>
      <c r="F1879" s="1508">
        <f t="shared" si="241"/>
        <v>0</v>
      </c>
      <c r="G1879" s="1508">
        <f t="shared" si="242"/>
        <v>0</v>
      </c>
      <c r="H1879" s="1508">
        <f t="shared" si="243"/>
        <v>0</v>
      </c>
      <c r="I1879" s="1480">
        <v>0</v>
      </c>
      <c r="J1879" s="1480">
        <v>0</v>
      </c>
      <c r="K1879" s="1508"/>
      <c r="L1879" s="1508"/>
      <c r="M1879" s="1509">
        <f t="shared" si="244"/>
        <v>0</v>
      </c>
      <c r="N1879" s="1508">
        <f t="shared" si="245"/>
        <v>0</v>
      </c>
    </row>
    <row r="1880" spans="1:14" ht="46.5" outlineLevel="1" x14ac:dyDescent="0.25">
      <c r="A1880" s="1492">
        <f t="shared" si="246"/>
        <v>0</v>
      </c>
      <c r="B1880" s="1492" t="str">
        <f t="shared" si="246"/>
        <v>Scheme-3 :- Design, Engineering, Manufacturing, Fabrication, Erection and commissioning of Modified Wobbler Feeder at CHPC of Unit 6&amp;7 of CSTPS Chandrapur</v>
      </c>
      <c r="C1880" s="1488">
        <f t="shared" si="246"/>
        <v>0</v>
      </c>
      <c r="D1880" s="1413" t="str">
        <f t="shared" si="246"/>
        <v>-</v>
      </c>
      <c r="E1880" s="560">
        <f t="shared" si="246"/>
        <v>5</v>
      </c>
      <c r="F1880" s="1508">
        <f t="shared" si="241"/>
        <v>0</v>
      </c>
      <c r="G1880" s="1508">
        <f t="shared" si="242"/>
        <v>0</v>
      </c>
      <c r="H1880" s="1508">
        <f t="shared" si="243"/>
        <v>0</v>
      </c>
      <c r="I1880" s="1480">
        <v>0</v>
      </c>
      <c r="J1880" s="1480">
        <v>0</v>
      </c>
      <c r="K1880" s="1508"/>
      <c r="L1880" s="1508"/>
      <c r="M1880" s="1509">
        <f t="shared" si="244"/>
        <v>0</v>
      </c>
      <c r="N1880" s="1508">
        <f t="shared" si="245"/>
        <v>0</v>
      </c>
    </row>
    <row r="1881" spans="1:14" ht="31" outlineLevel="1" x14ac:dyDescent="0.25">
      <c r="A1881" s="1486">
        <f t="shared" si="246"/>
        <v>2</v>
      </c>
      <c r="B1881" s="1491" t="str">
        <f t="shared" si="246"/>
        <v xml:space="preserve">installation &amp; commissioning of various LV and MV drives at CHPA &amp; Automation of Control Room of CHPA/B </v>
      </c>
      <c r="C1881" s="1488">
        <f t="shared" si="246"/>
        <v>0</v>
      </c>
      <c r="D1881" s="1413" t="str">
        <f t="shared" si="246"/>
        <v>-</v>
      </c>
      <c r="E1881" s="560">
        <f t="shared" si="246"/>
        <v>75</v>
      </c>
      <c r="F1881" s="1508">
        <f t="shared" si="241"/>
        <v>0</v>
      </c>
      <c r="G1881" s="1508">
        <f t="shared" si="242"/>
        <v>0</v>
      </c>
      <c r="H1881" s="1508">
        <f t="shared" si="243"/>
        <v>0</v>
      </c>
      <c r="I1881" s="1480">
        <v>0</v>
      </c>
      <c r="J1881" s="1480">
        <v>0</v>
      </c>
      <c r="K1881" s="1508"/>
      <c r="L1881" s="1508"/>
      <c r="M1881" s="1509">
        <f t="shared" si="244"/>
        <v>0</v>
      </c>
      <c r="N1881" s="1508">
        <f t="shared" si="245"/>
        <v>0</v>
      </c>
    </row>
    <row r="1882" spans="1:14" ht="31" outlineLevel="1" x14ac:dyDescent="0.25">
      <c r="A1882" s="1492">
        <f t="shared" si="246"/>
        <v>0</v>
      </c>
      <c r="B1882" s="1492" t="str">
        <f t="shared" si="246"/>
        <v>Scheme-1 Design, Engineering, supply, installation &amp; commissioning of various LV and MV drives at CHPA</v>
      </c>
      <c r="C1882" s="1488">
        <f t="shared" si="246"/>
        <v>0</v>
      </c>
      <c r="D1882" s="1413" t="str">
        <f t="shared" si="246"/>
        <v>-</v>
      </c>
      <c r="E1882" s="560">
        <f t="shared" si="246"/>
        <v>39</v>
      </c>
      <c r="F1882" s="1508">
        <f t="shared" si="241"/>
        <v>0</v>
      </c>
      <c r="G1882" s="1508">
        <f t="shared" si="242"/>
        <v>0</v>
      </c>
      <c r="H1882" s="1508">
        <f t="shared" si="243"/>
        <v>0</v>
      </c>
      <c r="I1882" s="1480">
        <v>0</v>
      </c>
      <c r="J1882" s="1480">
        <v>0</v>
      </c>
      <c r="K1882" s="1508"/>
      <c r="L1882" s="1508"/>
      <c r="M1882" s="1509">
        <f t="shared" si="244"/>
        <v>0</v>
      </c>
      <c r="N1882" s="1508">
        <f t="shared" si="245"/>
        <v>0</v>
      </c>
    </row>
    <row r="1883" spans="1:14" ht="15.5" outlineLevel="1" x14ac:dyDescent="0.25">
      <c r="A1883" s="1492">
        <f t="shared" si="246"/>
        <v>0</v>
      </c>
      <c r="B1883" s="1492" t="str">
        <f t="shared" si="246"/>
        <v xml:space="preserve">Scheme-2 Automation of Control Room of CHPA/B </v>
      </c>
      <c r="C1883" s="1488">
        <f t="shared" si="246"/>
        <v>0</v>
      </c>
      <c r="D1883" s="1413" t="str">
        <f t="shared" si="246"/>
        <v>-</v>
      </c>
      <c r="E1883" s="560">
        <f t="shared" si="246"/>
        <v>15</v>
      </c>
      <c r="F1883" s="1508">
        <f t="shared" si="241"/>
        <v>0</v>
      </c>
      <c r="G1883" s="1508">
        <f t="shared" si="242"/>
        <v>0</v>
      </c>
      <c r="H1883" s="1508">
        <f t="shared" si="243"/>
        <v>0</v>
      </c>
      <c r="I1883" s="1480">
        <v>0</v>
      </c>
      <c r="J1883" s="1480">
        <v>0</v>
      </c>
      <c r="K1883" s="1508"/>
      <c r="L1883" s="1508"/>
      <c r="M1883" s="1509">
        <f t="shared" si="244"/>
        <v>0</v>
      </c>
      <c r="N1883" s="1508">
        <f t="shared" si="245"/>
        <v>0</v>
      </c>
    </row>
    <row r="1884" spans="1:14" ht="31" outlineLevel="1" x14ac:dyDescent="0.25">
      <c r="A1884" s="1492">
        <f t="shared" si="246"/>
        <v>0</v>
      </c>
      <c r="B1884" s="1492" t="str">
        <f t="shared" si="246"/>
        <v>Scheme-3 Design, Engineering, supply, installation &amp; commissioning of various MV VFD for Crusher 1,2,3&amp;4 at CHPB</v>
      </c>
      <c r="C1884" s="1488">
        <f t="shared" si="246"/>
        <v>0</v>
      </c>
      <c r="D1884" s="1413" t="str">
        <f t="shared" si="246"/>
        <v>-</v>
      </c>
      <c r="E1884" s="560">
        <f t="shared" si="246"/>
        <v>11</v>
      </c>
      <c r="F1884" s="1508">
        <f t="shared" si="241"/>
        <v>0</v>
      </c>
      <c r="G1884" s="1508">
        <f t="shared" si="242"/>
        <v>0</v>
      </c>
      <c r="H1884" s="1508">
        <f t="shared" si="243"/>
        <v>0</v>
      </c>
      <c r="I1884" s="1480">
        <v>0</v>
      </c>
      <c r="J1884" s="1480">
        <v>0</v>
      </c>
      <c r="K1884" s="1508"/>
      <c r="L1884" s="1508"/>
      <c r="M1884" s="1509">
        <f t="shared" si="244"/>
        <v>0</v>
      </c>
      <c r="N1884" s="1508">
        <f t="shared" si="245"/>
        <v>0</v>
      </c>
    </row>
    <row r="1885" spans="1:14" ht="31" outlineLevel="1" x14ac:dyDescent="0.25">
      <c r="A1885" s="1492">
        <f t="shared" si="246"/>
        <v>0</v>
      </c>
      <c r="B1885" s="1492" t="str">
        <f t="shared" si="246"/>
        <v>Scheme-4:- Renovation modernization of 11 KV PMCC Board at Sub-Station-2 of CHPB</v>
      </c>
      <c r="C1885" s="1488">
        <f t="shared" si="246"/>
        <v>0</v>
      </c>
      <c r="D1885" s="1413" t="str">
        <f t="shared" si="246"/>
        <v>-</v>
      </c>
      <c r="E1885" s="560">
        <f t="shared" si="246"/>
        <v>10</v>
      </c>
      <c r="F1885" s="1508">
        <f t="shared" si="241"/>
        <v>0</v>
      </c>
      <c r="G1885" s="1508">
        <f t="shared" si="242"/>
        <v>0</v>
      </c>
      <c r="H1885" s="1508">
        <f t="shared" si="243"/>
        <v>0</v>
      </c>
      <c r="I1885" s="1480">
        <v>0</v>
      </c>
      <c r="J1885" s="1480">
        <v>0</v>
      </c>
      <c r="K1885" s="1508"/>
      <c r="L1885" s="1508"/>
      <c r="M1885" s="1509">
        <f t="shared" si="244"/>
        <v>0</v>
      </c>
      <c r="N1885" s="1508">
        <f t="shared" si="245"/>
        <v>0</v>
      </c>
    </row>
    <row r="1886" spans="1:14" ht="46.5" outlineLevel="1" x14ac:dyDescent="0.25">
      <c r="A1886" s="1486">
        <f t="shared" si="246"/>
        <v>3</v>
      </c>
      <c r="B1886" s="1491" t="str">
        <f t="shared" si="246"/>
        <v>Renovation &amp; Upgrdation of Bunker lift &amp; Desgin, Engineering, supply, installation &amp; commissioning of Energy chain system at various locations of CHPB &amp; CHPC</v>
      </c>
      <c r="C1886" s="1488">
        <f t="shared" si="246"/>
        <v>0</v>
      </c>
      <c r="D1886" s="1413" t="str">
        <f t="shared" si="246"/>
        <v>-</v>
      </c>
      <c r="E1886" s="560">
        <f t="shared" si="246"/>
        <v>29</v>
      </c>
      <c r="F1886" s="1508">
        <f t="shared" si="241"/>
        <v>0</v>
      </c>
      <c r="G1886" s="1508">
        <f t="shared" si="242"/>
        <v>0</v>
      </c>
      <c r="H1886" s="1508">
        <f t="shared" si="243"/>
        <v>0</v>
      </c>
      <c r="I1886" s="1480">
        <v>0</v>
      </c>
      <c r="J1886" s="1480">
        <v>0</v>
      </c>
      <c r="K1886" s="1508"/>
      <c r="L1886" s="1508"/>
      <c r="M1886" s="1509">
        <f t="shared" si="244"/>
        <v>0</v>
      </c>
      <c r="N1886" s="1508">
        <f t="shared" si="245"/>
        <v>0</v>
      </c>
    </row>
    <row r="1887" spans="1:14" ht="31" outlineLevel="1" x14ac:dyDescent="0.25">
      <c r="A1887" s="1492">
        <f t="shared" si="246"/>
        <v>0</v>
      </c>
      <c r="B1887" s="1492" t="str">
        <f t="shared" si="246"/>
        <v>Scheme-1: Renovation &amp; Upgrdation of Bunker lift of Unit 5,6&amp;7 of CHPB</v>
      </c>
      <c r="C1887" s="1488">
        <f t="shared" si="246"/>
        <v>0</v>
      </c>
      <c r="D1887" s="1413" t="str">
        <f t="shared" si="246"/>
        <v>-</v>
      </c>
      <c r="E1887" s="560">
        <f t="shared" si="246"/>
        <v>9</v>
      </c>
      <c r="F1887" s="1508">
        <f t="shared" si="241"/>
        <v>0</v>
      </c>
      <c r="G1887" s="1508">
        <f t="shared" si="242"/>
        <v>0</v>
      </c>
      <c r="H1887" s="1508">
        <f t="shared" si="243"/>
        <v>0</v>
      </c>
      <c r="I1887" s="1480">
        <v>0</v>
      </c>
      <c r="J1887" s="1480">
        <v>0</v>
      </c>
      <c r="K1887" s="1508"/>
      <c r="L1887" s="1508"/>
      <c r="M1887" s="1509">
        <f t="shared" si="244"/>
        <v>0</v>
      </c>
      <c r="N1887" s="1508">
        <f t="shared" si="245"/>
        <v>0</v>
      </c>
    </row>
    <row r="1888" spans="1:14" ht="46.5" outlineLevel="1" x14ac:dyDescent="0.25">
      <c r="A1888" s="1492">
        <f t="shared" si="246"/>
        <v>0</v>
      </c>
      <c r="B1888" s="1492" t="str">
        <f t="shared" si="246"/>
        <v>Scheme-2:- Desgin, Engineering, supply, installation &amp; commissioning of Energy chain system at various locations of CHPB &amp; CHPC</v>
      </c>
      <c r="C1888" s="1488">
        <f t="shared" si="246"/>
        <v>0</v>
      </c>
      <c r="D1888" s="1413" t="str">
        <f t="shared" si="246"/>
        <v>-</v>
      </c>
      <c r="E1888" s="560">
        <f t="shared" si="246"/>
        <v>20</v>
      </c>
      <c r="F1888" s="1508">
        <f t="shared" si="241"/>
        <v>0</v>
      </c>
      <c r="G1888" s="1508">
        <f t="shared" si="242"/>
        <v>0</v>
      </c>
      <c r="H1888" s="1508">
        <f t="shared" si="243"/>
        <v>0</v>
      </c>
      <c r="I1888" s="1480">
        <v>0</v>
      </c>
      <c r="J1888" s="1480">
        <v>0</v>
      </c>
      <c r="K1888" s="1508"/>
      <c r="L1888" s="1508"/>
      <c r="M1888" s="1509">
        <f t="shared" si="244"/>
        <v>0</v>
      </c>
      <c r="N1888" s="1508">
        <f t="shared" si="245"/>
        <v>0</v>
      </c>
    </row>
    <row r="1889" spans="1:14" ht="31" outlineLevel="1" x14ac:dyDescent="0.25">
      <c r="A1889" s="1486">
        <f t="shared" si="246"/>
        <v>4</v>
      </c>
      <c r="B1889" s="1491" t="str">
        <f t="shared" si="246"/>
        <v xml:space="preserve">Upgradation of old ropeway, BC-108 A/B, installation of coal pile thermal monitoring system for stack pile of CHPA/B. </v>
      </c>
      <c r="C1889" s="1488">
        <f t="shared" si="246"/>
        <v>0</v>
      </c>
      <c r="D1889" s="1413" t="str">
        <f t="shared" si="246"/>
        <v>-</v>
      </c>
      <c r="E1889" s="560">
        <f t="shared" si="246"/>
        <v>29</v>
      </c>
      <c r="F1889" s="1508">
        <f t="shared" si="241"/>
        <v>0</v>
      </c>
      <c r="G1889" s="1508">
        <f t="shared" si="242"/>
        <v>0</v>
      </c>
      <c r="H1889" s="1508">
        <f t="shared" si="243"/>
        <v>0</v>
      </c>
      <c r="I1889" s="1480">
        <v>0</v>
      </c>
      <c r="J1889" s="1480">
        <v>0</v>
      </c>
      <c r="K1889" s="1508"/>
      <c r="L1889" s="1508"/>
      <c r="M1889" s="1509">
        <f t="shared" si="244"/>
        <v>0</v>
      </c>
      <c r="N1889" s="1508">
        <f t="shared" si="245"/>
        <v>0</v>
      </c>
    </row>
    <row r="1890" spans="1:14" ht="31" outlineLevel="1" x14ac:dyDescent="0.25">
      <c r="A1890" s="1492">
        <f t="shared" si="246"/>
        <v>0</v>
      </c>
      <c r="B1890" s="1492" t="str">
        <f t="shared" si="246"/>
        <v>Scheme-1 Work of Renovation &amp; upgradation of Ventilation system of CHPA&amp;CHPB.</v>
      </c>
      <c r="C1890" s="1488">
        <f t="shared" si="246"/>
        <v>0</v>
      </c>
      <c r="D1890" s="1413" t="str">
        <f t="shared" si="246"/>
        <v>-</v>
      </c>
      <c r="E1890" s="560">
        <f t="shared" si="246"/>
        <v>8</v>
      </c>
      <c r="F1890" s="1508">
        <f t="shared" si="241"/>
        <v>0</v>
      </c>
      <c r="G1890" s="1508">
        <f t="shared" si="242"/>
        <v>0</v>
      </c>
      <c r="H1890" s="1508">
        <f t="shared" si="243"/>
        <v>0</v>
      </c>
      <c r="I1890" s="1480">
        <v>0</v>
      </c>
      <c r="J1890" s="1480">
        <v>0</v>
      </c>
      <c r="K1890" s="1508"/>
      <c r="L1890" s="1508"/>
      <c r="M1890" s="1509">
        <f t="shared" si="244"/>
        <v>0</v>
      </c>
      <c r="N1890" s="1508">
        <f t="shared" si="245"/>
        <v>0</v>
      </c>
    </row>
    <row r="1891" spans="1:14" ht="46.5" outlineLevel="1" x14ac:dyDescent="0.25">
      <c r="A1891" s="1492">
        <f t="shared" si="246"/>
        <v>0</v>
      </c>
      <c r="B1891" s="1492" t="str">
        <f t="shared" si="246"/>
        <v>Scheme-2: Design, Engineering, Supply, fabrication, Erection, installation &amp; commissioning of modified take up arrangement for BC 108A/B of CHPB.</v>
      </c>
      <c r="C1891" s="1488">
        <f t="shared" si="246"/>
        <v>0</v>
      </c>
      <c r="D1891" s="1413" t="str">
        <f t="shared" si="246"/>
        <v>-</v>
      </c>
      <c r="E1891" s="560">
        <f t="shared" si="246"/>
        <v>4</v>
      </c>
      <c r="F1891" s="1508">
        <f t="shared" si="241"/>
        <v>0</v>
      </c>
      <c r="G1891" s="1508">
        <f t="shared" si="242"/>
        <v>0</v>
      </c>
      <c r="H1891" s="1508">
        <f t="shared" si="243"/>
        <v>0</v>
      </c>
      <c r="I1891" s="1480">
        <v>0</v>
      </c>
      <c r="J1891" s="1480">
        <v>0</v>
      </c>
      <c r="K1891" s="1508"/>
      <c r="L1891" s="1508"/>
      <c r="M1891" s="1509">
        <f t="shared" si="244"/>
        <v>0</v>
      </c>
      <c r="N1891" s="1508">
        <f t="shared" si="245"/>
        <v>0</v>
      </c>
    </row>
    <row r="1892" spans="1:14" ht="31" outlineLevel="1" x14ac:dyDescent="0.25">
      <c r="A1892" s="1492">
        <f t="shared" si="246"/>
        <v>0</v>
      </c>
      <c r="B1892" s="1492" t="str">
        <f t="shared" si="246"/>
        <v>Scheme-3: Design, Engineering, supply &amp; installation of coal pile thermal monitoring system for stack pile of CHPA/B.</v>
      </c>
      <c r="C1892" s="1488">
        <f t="shared" si="246"/>
        <v>0</v>
      </c>
      <c r="D1892" s="1413" t="str">
        <f t="shared" si="246"/>
        <v>-</v>
      </c>
      <c r="E1892" s="560">
        <f t="shared" si="246"/>
        <v>8</v>
      </c>
      <c r="F1892" s="1508">
        <f t="shared" si="241"/>
        <v>0</v>
      </c>
      <c r="G1892" s="1508">
        <f t="shared" si="242"/>
        <v>0</v>
      </c>
      <c r="H1892" s="1508">
        <f t="shared" si="243"/>
        <v>0</v>
      </c>
      <c r="I1892" s="1480">
        <v>0</v>
      </c>
      <c r="J1892" s="1480">
        <v>0</v>
      </c>
      <c r="K1892" s="1508"/>
      <c r="L1892" s="1508"/>
      <c r="M1892" s="1509">
        <f t="shared" si="244"/>
        <v>0</v>
      </c>
      <c r="N1892" s="1508">
        <f t="shared" si="245"/>
        <v>0</v>
      </c>
    </row>
    <row r="1893" spans="1:14" ht="31" outlineLevel="1" x14ac:dyDescent="0.25">
      <c r="A1893" s="1492">
        <f t="shared" si="246"/>
        <v>0</v>
      </c>
      <c r="B1893" s="1492" t="str">
        <f t="shared" si="246"/>
        <v>Scheme-3: Design, Engineering, supply &amp; installation of Belt Tear Detector system for belt conveyor system of CHPB.</v>
      </c>
      <c r="C1893" s="1488">
        <f t="shared" si="246"/>
        <v>0</v>
      </c>
      <c r="D1893" s="1413" t="str">
        <f t="shared" si="246"/>
        <v>-</v>
      </c>
      <c r="E1893" s="560">
        <f t="shared" si="246"/>
        <v>4</v>
      </c>
      <c r="F1893" s="1508">
        <f t="shared" si="241"/>
        <v>0</v>
      </c>
      <c r="G1893" s="1508">
        <f t="shared" si="242"/>
        <v>0</v>
      </c>
      <c r="H1893" s="1508">
        <f t="shared" si="243"/>
        <v>0</v>
      </c>
      <c r="I1893" s="1480">
        <v>0</v>
      </c>
      <c r="J1893" s="1480">
        <v>0</v>
      </c>
      <c r="K1893" s="1508"/>
      <c r="L1893" s="1508"/>
      <c r="M1893" s="1509">
        <f t="shared" si="244"/>
        <v>0</v>
      </c>
      <c r="N1893" s="1508">
        <f t="shared" si="245"/>
        <v>0</v>
      </c>
    </row>
    <row r="1894" spans="1:14" ht="31" outlineLevel="1" x14ac:dyDescent="0.25">
      <c r="A1894" s="1492">
        <f t="shared" ref="A1894:E1909" si="247">A1224</f>
        <v>0</v>
      </c>
      <c r="B1894" s="1492" t="str">
        <f t="shared" si="247"/>
        <v>Scheme-4: Capacity Enhancement of Belt Conveyor Drives of CHPB by upgrdation of conveyor drvie system.</v>
      </c>
      <c r="C1894" s="1488">
        <f t="shared" si="247"/>
        <v>0</v>
      </c>
      <c r="D1894" s="1413" t="str">
        <f t="shared" si="247"/>
        <v>-</v>
      </c>
      <c r="E1894" s="560">
        <f t="shared" si="247"/>
        <v>5</v>
      </c>
      <c r="F1894" s="1508">
        <f t="shared" si="241"/>
        <v>0</v>
      </c>
      <c r="G1894" s="1508">
        <f t="shared" si="242"/>
        <v>0</v>
      </c>
      <c r="H1894" s="1508">
        <f t="shared" si="243"/>
        <v>0</v>
      </c>
      <c r="I1894" s="1480">
        <v>0</v>
      </c>
      <c r="J1894" s="1480">
        <v>0</v>
      </c>
      <c r="K1894" s="1508"/>
      <c r="L1894" s="1508"/>
      <c r="M1894" s="1509">
        <f t="shared" si="244"/>
        <v>0</v>
      </c>
      <c r="N1894" s="1508">
        <f t="shared" si="245"/>
        <v>0</v>
      </c>
    </row>
    <row r="1895" spans="1:14" ht="15.5" outlineLevel="1" x14ac:dyDescent="0.25">
      <c r="A1895" s="1486">
        <f t="shared" si="247"/>
        <v>5</v>
      </c>
      <c r="B1895" s="1491" t="str">
        <f t="shared" si="247"/>
        <v>Modification &amp; upgradation in Railway Track network of CSTPS</v>
      </c>
      <c r="C1895" s="1488">
        <f t="shared" si="247"/>
        <v>0</v>
      </c>
      <c r="D1895" s="1413" t="str">
        <f t="shared" si="247"/>
        <v>-</v>
      </c>
      <c r="E1895" s="560">
        <f t="shared" si="247"/>
        <v>29</v>
      </c>
      <c r="F1895" s="1508">
        <f t="shared" si="241"/>
        <v>0</v>
      </c>
      <c r="G1895" s="1508">
        <f t="shared" si="242"/>
        <v>0</v>
      </c>
      <c r="H1895" s="1508">
        <f t="shared" si="243"/>
        <v>0</v>
      </c>
      <c r="I1895" s="1480">
        <v>0</v>
      </c>
      <c r="J1895" s="1480">
        <v>0</v>
      </c>
      <c r="K1895" s="1508"/>
      <c r="L1895" s="1508"/>
      <c r="M1895" s="1509">
        <f t="shared" si="244"/>
        <v>0</v>
      </c>
      <c r="N1895" s="1508">
        <f t="shared" si="245"/>
        <v>0</v>
      </c>
    </row>
    <row r="1896" spans="1:14" ht="62" outlineLevel="1" x14ac:dyDescent="0.25">
      <c r="A1896" s="1492">
        <f t="shared" si="247"/>
        <v>0</v>
      </c>
      <c r="B1896" s="1492" t="str">
        <f t="shared" si="247"/>
        <v xml:space="preserve">Scheme-1: Work of Modification &amp; upgradation in Railway Track network of CSTPS by Provision of additional take off &amp; cutoff point for CHPD and empty formation at WT outhaul in CSTPS Railway Siding. </v>
      </c>
      <c r="C1896" s="1488">
        <f t="shared" si="247"/>
        <v>0</v>
      </c>
      <c r="D1896" s="1413" t="str">
        <f t="shared" si="247"/>
        <v>-</v>
      </c>
      <c r="E1896" s="560">
        <f t="shared" si="247"/>
        <v>14</v>
      </c>
      <c r="F1896" s="1508">
        <f t="shared" si="241"/>
        <v>0</v>
      </c>
      <c r="G1896" s="1508">
        <f t="shared" si="242"/>
        <v>0</v>
      </c>
      <c r="H1896" s="1508">
        <f t="shared" si="243"/>
        <v>0</v>
      </c>
      <c r="I1896" s="1480">
        <v>0</v>
      </c>
      <c r="J1896" s="1480">
        <v>0</v>
      </c>
      <c r="K1896" s="1508"/>
      <c r="L1896" s="1508"/>
      <c r="M1896" s="1509">
        <f t="shared" si="244"/>
        <v>0</v>
      </c>
      <c r="N1896" s="1508">
        <f t="shared" si="245"/>
        <v>0</v>
      </c>
    </row>
    <row r="1897" spans="1:14" ht="46.5" outlineLevel="1" x14ac:dyDescent="0.25">
      <c r="A1897" s="1492">
        <f t="shared" si="247"/>
        <v>0</v>
      </c>
      <c r="B1897" s="1492" t="str">
        <f t="shared" si="247"/>
        <v>Scheme-1: Work of Modification &amp; upgradation in Railway Track network of CSTPS by Complete Track Renewal of old BG rail with other allied works in CSTPS Railway Siding.</v>
      </c>
      <c r="C1897" s="1488">
        <f t="shared" si="247"/>
        <v>0</v>
      </c>
      <c r="D1897" s="1413" t="str">
        <f t="shared" si="247"/>
        <v>-</v>
      </c>
      <c r="E1897" s="560">
        <f t="shared" si="247"/>
        <v>15</v>
      </c>
      <c r="F1897" s="1508">
        <f t="shared" si="241"/>
        <v>0</v>
      </c>
      <c r="G1897" s="1508">
        <f t="shared" si="242"/>
        <v>0</v>
      </c>
      <c r="H1897" s="1508">
        <f t="shared" si="243"/>
        <v>0</v>
      </c>
      <c r="I1897" s="1480">
        <v>0</v>
      </c>
      <c r="J1897" s="1480">
        <v>0</v>
      </c>
      <c r="K1897" s="1508"/>
      <c r="L1897" s="1508"/>
      <c r="M1897" s="1509">
        <f t="shared" si="244"/>
        <v>0</v>
      </c>
      <c r="N1897" s="1508">
        <f t="shared" si="245"/>
        <v>0</v>
      </c>
    </row>
    <row r="1898" spans="1:14" ht="46.5" outlineLevel="1" x14ac:dyDescent="0.25">
      <c r="A1898" s="1486">
        <f t="shared" si="247"/>
        <v>6</v>
      </c>
      <c r="B1898" s="1491" t="str">
        <f t="shared" si="247"/>
        <v>extension of Pipe Conveyor System from Padmapur Loading Station to Coal Handling Plant-C of Unit 5,6&amp;7 at CSTPS Chandrapur.</v>
      </c>
      <c r="C1898" s="1488">
        <f t="shared" si="247"/>
        <v>0</v>
      </c>
      <c r="D1898" s="1413" t="str">
        <f t="shared" si="247"/>
        <v>-</v>
      </c>
      <c r="E1898" s="560">
        <f t="shared" si="247"/>
        <v>100</v>
      </c>
      <c r="F1898" s="1508">
        <f t="shared" si="241"/>
        <v>0</v>
      </c>
      <c r="G1898" s="1508">
        <f t="shared" si="242"/>
        <v>0</v>
      </c>
      <c r="H1898" s="1508">
        <f t="shared" si="243"/>
        <v>0</v>
      </c>
      <c r="I1898" s="1480">
        <v>0</v>
      </c>
      <c r="J1898" s="1480">
        <v>0</v>
      </c>
      <c r="K1898" s="1508"/>
      <c r="L1898" s="1508"/>
      <c r="M1898" s="1509">
        <f t="shared" si="244"/>
        <v>0</v>
      </c>
      <c r="N1898" s="1508">
        <f t="shared" si="245"/>
        <v>0</v>
      </c>
    </row>
    <row r="1899" spans="1:14" ht="46.5" outlineLevel="1" x14ac:dyDescent="0.25">
      <c r="A1899" s="1492">
        <f t="shared" si="247"/>
        <v>0</v>
      </c>
      <c r="B1899" s="1492" t="str">
        <f t="shared" si="247"/>
        <v>Scheme-1: Augmentation of extension of Pipe Conveyor System from Padmapur Loading Station to Coal Handling Plant-C of Unit 5,6&amp;7 at CSTPS Chandrapur.</v>
      </c>
      <c r="C1899" s="1488">
        <f t="shared" si="247"/>
        <v>0</v>
      </c>
      <c r="D1899" s="1413" t="str">
        <f t="shared" si="247"/>
        <v>-</v>
      </c>
      <c r="E1899" s="560">
        <f t="shared" si="247"/>
        <v>100</v>
      </c>
      <c r="F1899" s="1508">
        <f t="shared" si="241"/>
        <v>0</v>
      </c>
      <c r="G1899" s="1508">
        <f t="shared" si="242"/>
        <v>0</v>
      </c>
      <c r="H1899" s="1508">
        <f t="shared" si="243"/>
        <v>0</v>
      </c>
      <c r="I1899" s="1480">
        <v>0</v>
      </c>
      <c r="J1899" s="1480">
        <v>0</v>
      </c>
      <c r="K1899" s="1508"/>
      <c r="L1899" s="1508"/>
      <c r="M1899" s="1509">
        <f t="shared" si="244"/>
        <v>0</v>
      </c>
      <c r="N1899" s="1508">
        <f t="shared" si="245"/>
        <v>0</v>
      </c>
    </row>
    <row r="1900" spans="1:14" ht="15.5" outlineLevel="1" x14ac:dyDescent="0.25">
      <c r="A1900" s="1504">
        <f t="shared" si="247"/>
        <v>0</v>
      </c>
      <c r="B1900" s="1504" t="str">
        <f t="shared" si="247"/>
        <v>CHP-C</v>
      </c>
      <c r="C1900" s="1488">
        <f t="shared" si="247"/>
        <v>0</v>
      </c>
      <c r="D1900" s="1413" t="str">
        <f t="shared" si="247"/>
        <v>-</v>
      </c>
      <c r="E1900" s="560">
        <f t="shared" si="247"/>
        <v>0</v>
      </c>
      <c r="F1900" s="1508">
        <f t="shared" si="241"/>
        <v>0</v>
      </c>
      <c r="G1900" s="1508">
        <f t="shared" si="242"/>
        <v>0</v>
      </c>
      <c r="H1900" s="1508">
        <f t="shared" si="243"/>
        <v>0</v>
      </c>
      <c r="I1900" s="1480">
        <v>0</v>
      </c>
      <c r="J1900" s="1480">
        <v>0</v>
      </c>
      <c r="K1900" s="1508"/>
      <c r="L1900" s="1508"/>
      <c r="M1900" s="1509">
        <f t="shared" si="244"/>
        <v>0</v>
      </c>
      <c r="N1900" s="1508">
        <f t="shared" si="245"/>
        <v>0</v>
      </c>
    </row>
    <row r="1901" spans="1:14" ht="31" outlineLevel="1" x14ac:dyDescent="0.25">
      <c r="A1901" s="1486">
        <f t="shared" si="247"/>
        <v>1</v>
      </c>
      <c r="B1901" s="1491" t="str">
        <f t="shared" si="247"/>
        <v>Design, Engineering, supply, Erection and commissioning of new fire fighting system at Pipe conveyor of CSTPS, Chandrapur</v>
      </c>
      <c r="C1901" s="1488">
        <f t="shared" si="247"/>
        <v>0</v>
      </c>
      <c r="D1901" s="1413" t="str">
        <f t="shared" si="247"/>
        <v>-</v>
      </c>
      <c r="E1901" s="560">
        <f t="shared" si="247"/>
        <v>25</v>
      </c>
      <c r="F1901" s="1508">
        <f t="shared" si="241"/>
        <v>0</v>
      </c>
      <c r="G1901" s="1508">
        <f t="shared" si="242"/>
        <v>0</v>
      </c>
      <c r="H1901" s="1508">
        <f t="shared" si="243"/>
        <v>0</v>
      </c>
      <c r="I1901" s="1480">
        <v>0</v>
      </c>
      <c r="J1901" s="1480">
        <v>0</v>
      </c>
      <c r="K1901" s="1508"/>
      <c r="L1901" s="1508"/>
      <c r="M1901" s="1509">
        <f t="shared" si="244"/>
        <v>0</v>
      </c>
      <c r="N1901" s="1508">
        <f t="shared" si="245"/>
        <v>0</v>
      </c>
    </row>
    <row r="1902" spans="1:14" ht="31" outlineLevel="1" x14ac:dyDescent="0.25">
      <c r="A1902" s="1492">
        <f t="shared" si="247"/>
        <v>0</v>
      </c>
      <c r="B1902" s="1492" t="str">
        <f t="shared" si="247"/>
        <v>Design, Engineering, supply, Erection and commissioning of new fire fighting system at Pipe conveyor of CSTPS, Chandrapur</v>
      </c>
      <c r="C1902" s="1488">
        <f t="shared" si="247"/>
        <v>0</v>
      </c>
      <c r="D1902" s="1413" t="str">
        <f t="shared" si="247"/>
        <v>-</v>
      </c>
      <c r="E1902" s="560">
        <f t="shared" si="247"/>
        <v>25</v>
      </c>
      <c r="F1902" s="1508">
        <f t="shared" si="241"/>
        <v>0</v>
      </c>
      <c r="G1902" s="1508">
        <f t="shared" si="242"/>
        <v>0</v>
      </c>
      <c r="H1902" s="1508">
        <f t="shared" si="243"/>
        <v>0</v>
      </c>
      <c r="I1902" s="1480">
        <v>0</v>
      </c>
      <c r="J1902" s="1480">
        <v>0</v>
      </c>
      <c r="K1902" s="1508"/>
      <c r="L1902" s="1508"/>
      <c r="M1902" s="1509">
        <f t="shared" si="244"/>
        <v>0</v>
      </c>
      <c r="N1902" s="1508">
        <f t="shared" si="245"/>
        <v>0</v>
      </c>
    </row>
    <row r="1903" spans="1:14" ht="31" outlineLevel="1" x14ac:dyDescent="0.25">
      <c r="A1903" s="1486">
        <f t="shared" si="247"/>
        <v>2</v>
      </c>
      <c r="B1903" s="1491" t="str">
        <f t="shared" si="247"/>
        <v>Reliability &amp; availability improvement of coal transportation by Procurement of UTS (BOBR) Wagons for CHP</v>
      </c>
      <c r="C1903" s="1488">
        <f t="shared" si="247"/>
        <v>0</v>
      </c>
      <c r="D1903" s="1413" t="str">
        <f t="shared" si="247"/>
        <v>-</v>
      </c>
      <c r="E1903" s="560">
        <f t="shared" si="247"/>
        <v>15</v>
      </c>
      <c r="F1903" s="1508">
        <f t="shared" si="241"/>
        <v>0</v>
      </c>
      <c r="G1903" s="1508">
        <f t="shared" si="242"/>
        <v>0</v>
      </c>
      <c r="H1903" s="1508">
        <f t="shared" si="243"/>
        <v>0</v>
      </c>
      <c r="I1903" s="1480">
        <v>0</v>
      </c>
      <c r="J1903" s="1480">
        <v>0</v>
      </c>
      <c r="K1903" s="1508"/>
      <c r="L1903" s="1508"/>
      <c r="M1903" s="1509">
        <f t="shared" si="244"/>
        <v>0</v>
      </c>
      <c r="N1903" s="1508">
        <f t="shared" si="245"/>
        <v>0</v>
      </c>
    </row>
    <row r="1904" spans="1:14" ht="31" outlineLevel="1" x14ac:dyDescent="0.25">
      <c r="A1904" s="1492">
        <f t="shared" si="247"/>
        <v>0</v>
      </c>
      <c r="B1904" s="1492" t="str">
        <f t="shared" si="247"/>
        <v>Reliability &amp; availability improvement of coal transportation by Procurement of UTS (BOBR) Wagons for CHP</v>
      </c>
      <c r="C1904" s="1488">
        <f t="shared" si="247"/>
        <v>0</v>
      </c>
      <c r="D1904" s="1413" t="str">
        <f t="shared" si="247"/>
        <v>-</v>
      </c>
      <c r="E1904" s="560">
        <f t="shared" si="247"/>
        <v>15</v>
      </c>
      <c r="F1904" s="1508">
        <f t="shared" si="241"/>
        <v>0</v>
      </c>
      <c r="G1904" s="1508">
        <f t="shared" si="242"/>
        <v>0</v>
      </c>
      <c r="H1904" s="1508">
        <f t="shared" si="243"/>
        <v>0</v>
      </c>
      <c r="I1904" s="1480">
        <v>0</v>
      </c>
      <c r="J1904" s="1480">
        <v>0</v>
      </c>
      <c r="K1904" s="1508"/>
      <c r="L1904" s="1508"/>
      <c r="M1904" s="1509">
        <f t="shared" si="244"/>
        <v>0</v>
      </c>
      <c r="N1904" s="1508">
        <f t="shared" si="245"/>
        <v>0</v>
      </c>
    </row>
    <row r="1905" spans="1:14" ht="31" outlineLevel="1" x14ac:dyDescent="0.25">
      <c r="A1905" s="1486">
        <f t="shared" si="247"/>
        <v>3</v>
      </c>
      <c r="B1905" s="1491" t="str">
        <f t="shared" si="247"/>
        <v>Reliability &amp; availability improvement by replacement of set of internals for Paddle feeders</v>
      </c>
      <c r="C1905" s="1488">
        <f t="shared" si="247"/>
        <v>0</v>
      </c>
      <c r="D1905" s="1413" t="str">
        <f t="shared" si="247"/>
        <v>-</v>
      </c>
      <c r="E1905" s="560">
        <f t="shared" si="247"/>
        <v>6</v>
      </c>
      <c r="F1905" s="1508">
        <f t="shared" si="241"/>
        <v>0</v>
      </c>
      <c r="G1905" s="1508">
        <f t="shared" si="242"/>
        <v>0</v>
      </c>
      <c r="H1905" s="1508">
        <f t="shared" si="243"/>
        <v>0</v>
      </c>
      <c r="I1905" s="1480">
        <v>0</v>
      </c>
      <c r="J1905" s="1480">
        <v>0</v>
      </c>
      <c r="K1905" s="1508"/>
      <c r="L1905" s="1508"/>
      <c r="M1905" s="1509">
        <f t="shared" si="244"/>
        <v>0</v>
      </c>
      <c r="N1905" s="1508">
        <f t="shared" si="245"/>
        <v>0</v>
      </c>
    </row>
    <row r="1906" spans="1:14" ht="31" outlineLevel="1" x14ac:dyDescent="0.25">
      <c r="A1906" s="1492">
        <f t="shared" si="247"/>
        <v>0</v>
      </c>
      <c r="B1906" s="1492" t="str">
        <f t="shared" si="247"/>
        <v>Reliability &amp; availability improvement by replacement of set of internals for Paddle feeders</v>
      </c>
      <c r="C1906" s="1488">
        <f t="shared" si="247"/>
        <v>0</v>
      </c>
      <c r="D1906" s="1413" t="str">
        <f t="shared" si="247"/>
        <v>-</v>
      </c>
      <c r="E1906" s="560">
        <f t="shared" si="247"/>
        <v>6</v>
      </c>
      <c r="F1906" s="1508">
        <f t="shared" si="241"/>
        <v>0</v>
      </c>
      <c r="G1906" s="1508">
        <f t="shared" si="242"/>
        <v>0</v>
      </c>
      <c r="H1906" s="1508">
        <f t="shared" si="243"/>
        <v>0</v>
      </c>
      <c r="I1906" s="1480">
        <v>0</v>
      </c>
      <c r="J1906" s="1480">
        <v>0</v>
      </c>
      <c r="K1906" s="1508"/>
      <c r="L1906" s="1508"/>
      <c r="M1906" s="1509">
        <f t="shared" si="244"/>
        <v>0</v>
      </c>
      <c r="N1906" s="1508">
        <f t="shared" si="245"/>
        <v>0</v>
      </c>
    </row>
    <row r="1907" spans="1:14" ht="31" outlineLevel="1" x14ac:dyDescent="0.25">
      <c r="A1907" s="1486">
        <f t="shared" si="247"/>
        <v>4</v>
      </c>
      <c r="B1907" s="1491" t="str">
        <f t="shared" si="247"/>
        <v>Reliability &amp; availability improvement by replacement of transfer chutes at CHP-C</v>
      </c>
      <c r="C1907" s="1488">
        <f t="shared" si="247"/>
        <v>0</v>
      </c>
      <c r="D1907" s="1413" t="str">
        <f t="shared" si="247"/>
        <v>-</v>
      </c>
      <c r="E1907" s="560">
        <f t="shared" si="247"/>
        <v>10</v>
      </c>
      <c r="F1907" s="1508">
        <f t="shared" si="241"/>
        <v>0</v>
      </c>
      <c r="G1907" s="1508">
        <f t="shared" si="242"/>
        <v>0</v>
      </c>
      <c r="H1907" s="1508">
        <f t="shared" si="243"/>
        <v>0</v>
      </c>
      <c r="I1907" s="1480">
        <v>0</v>
      </c>
      <c r="J1907" s="1480">
        <v>0</v>
      </c>
      <c r="K1907" s="1508"/>
      <c r="L1907" s="1508"/>
      <c r="M1907" s="1509">
        <f t="shared" si="244"/>
        <v>0</v>
      </c>
      <c r="N1907" s="1508">
        <f t="shared" si="245"/>
        <v>0</v>
      </c>
    </row>
    <row r="1908" spans="1:14" ht="31" outlineLevel="1" x14ac:dyDescent="0.25">
      <c r="A1908" s="1492">
        <f t="shared" si="247"/>
        <v>0</v>
      </c>
      <c r="B1908" s="1492" t="str">
        <f t="shared" si="247"/>
        <v>Reliability &amp; availability improvement by replacement of transfer chutes at CHP-C</v>
      </c>
      <c r="C1908" s="1488">
        <f t="shared" si="247"/>
        <v>0</v>
      </c>
      <c r="D1908" s="1413" t="str">
        <f t="shared" si="247"/>
        <v>-</v>
      </c>
      <c r="E1908" s="560">
        <f t="shared" si="247"/>
        <v>10</v>
      </c>
      <c r="F1908" s="1508">
        <f t="shared" si="241"/>
        <v>0</v>
      </c>
      <c r="G1908" s="1508">
        <f t="shared" si="242"/>
        <v>0</v>
      </c>
      <c r="H1908" s="1508">
        <f t="shared" si="243"/>
        <v>0</v>
      </c>
      <c r="I1908" s="1480">
        <v>0</v>
      </c>
      <c r="J1908" s="1480">
        <v>0</v>
      </c>
      <c r="K1908" s="1508"/>
      <c r="L1908" s="1508"/>
      <c r="M1908" s="1509">
        <f t="shared" si="244"/>
        <v>0</v>
      </c>
      <c r="N1908" s="1508">
        <f t="shared" si="245"/>
        <v>0</v>
      </c>
    </row>
    <row r="1909" spans="1:14" ht="15.5" outlineLevel="1" x14ac:dyDescent="0.25">
      <c r="A1909" s="1504">
        <f t="shared" si="247"/>
        <v>0</v>
      </c>
      <c r="B1909" s="1504" t="str">
        <f t="shared" si="247"/>
        <v>Civil U#3  to U#7</v>
      </c>
      <c r="C1909" s="1488">
        <f t="shared" si="247"/>
        <v>0</v>
      </c>
      <c r="D1909" s="1413" t="str">
        <f t="shared" si="247"/>
        <v>-</v>
      </c>
      <c r="E1909" s="560">
        <f t="shared" si="247"/>
        <v>0</v>
      </c>
      <c r="F1909" s="1508">
        <f t="shared" si="241"/>
        <v>0</v>
      </c>
      <c r="G1909" s="1508">
        <f t="shared" si="242"/>
        <v>0</v>
      </c>
      <c r="H1909" s="1508">
        <f t="shared" si="243"/>
        <v>0</v>
      </c>
      <c r="I1909" s="1480">
        <v>0</v>
      </c>
      <c r="J1909" s="1480">
        <v>0</v>
      </c>
      <c r="K1909" s="1508"/>
      <c r="L1909" s="1508"/>
      <c r="M1909" s="1509">
        <f t="shared" si="244"/>
        <v>0</v>
      </c>
      <c r="N1909" s="1508">
        <f t="shared" si="245"/>
        <v>0</v>
      </c>
    </row>
    <row r="1910" spans="1:14" ht="31" outlineLevel="1" x14ac:dyDescent="0.25">
      <c r="A1910" s="1486">
        <f t="shared" ref="A1910:E1925" si="248">A1240</f>
        <v>1</v>
      </c>
      <c r="B1910" s="1491" t="str">
        <f t="shared" si="248"/>
        <v xml:space="preserve">Provision for Scientific storage of coal reject and leachate collection system at CSTPS, Chandrapur </v>
      </c>
      <c r="C1910" s="1488">
        <f t="shared" si="248"/>
        <v>0</v>
      </c>
      <c r="D1910" s="1413" t="str">
        <f t="shared" si="248"/>
        <v>-</v>
      </c>
      <c r="E1910" s="560">
        <f t="shared" si="248"/>
        <v>37.57</v>
      </c>
      <c r="F1910" s="1508">
        <f t="shared" si="241"/>
        <v>0</v>
      </c>
      <c r="G1910" s="1508">
        <f t="shared" si="242"/>
        <v>0</v>
      </c>
      <c r="H1910" s="1508">
        <f t="shared" si="243"/>
        <v>0</v>
      </c>
      <c r="I1910" s="1480">
        <v>0</v>
      </c>
      <c r="J1910" s="1480">
        <v>0</v>
      </c>
      <c r="K1910" s="1508"/>
      <c r="L1910" s="1508"/>
      <c r="M1910" s="1509">
        <f t="shared" si="244"/>
        <v>0</v>
      </c>
      <c r="N1910" s="1508">
        <f t="shared" si="245"/>
        <v>0</v>
      </c>
    </row>
    <row r="1911" spans="1:14" ht="31" outlineLevel="1" x14ac:dyDescent="0.25">
      <c r="A1911" s="1492">
        <f t="shared" si="248"/>
        <v>0</v>
      </c>
      <c r="B1911" s="1492" t="str">
        <f t="shared" si="248"/>
        <v>Provision for Scientific storage of coal reject and leachate collection system at CSTPS, Chandrapur</v>
      </c>
      <c r="C1911" s="1488">
        <f t="shared" si="248"/>
        <v>0</v>
      </c>
      <c r="D1911" s="1413" t="str">
        <f t="shared" si="248"/>
        <v>-</v>
      </c>
      <c r="E1911" s="560">
        <f t="shared" si="248"/>
        <v>37.57</v>
      </c>
      <c r="F1911" s="1508">
        <f t="shared" si="241"/>
        <v>0</v>
      </c>
      <c r="G1911" s="1508">
        <f t="shared" si="242"/>
        <v>0</v>
      </c>
      <c r="H1911" s="1508">
        <f t="shared" si="243"/>
        <v>0</v>
      </c>
      <c r="I1911" s="1480">
        <v>0</v>
      </c>
      <c r="J1911" s="1480">
        <v>0</v>
      </c>
      <c r="K1911" s="1508"/>
      <c r="L1911" s="1508"/>
      <c r="M1911" s="1509">
        <f t="shared" si="244"/>
        <v>0</v>
      </c>
      <c r="N1911" s="1508">
        <f t="shared" si="245"/>
        <v>0</v>
      </c>
    </row>
    <row r="1912" spans="1:14" ht="31" outlineLevel="1" x14ac:dyDescent="0.25">
      <c r="A1912" s="1486">
        <f t="shared" si="248"/>
        <v>2</v>
      </c>
      <c r="B1912" s="1491" t="str">
        <f t="shared" si="248"/>
        <v xml:space="preserve">Infrastructure  development scheme for improvement of CHP at CSTPS, Chandrapur </v>
      </c>
      <c r="C1912" s="1488">
        <f t="shared" si="248"/>
        <v>0</v>
      </c>
      <c r="D1912" s="1413" t="str">
        <f t="shared" si="248"/>
        <v>-</v>
      </c>
      <c r="E1912" s="560">
        <f t="shared" si="248"/>
        <v>47.15</v>
      </c>
      <c r="F1912" s="1508">
        <f t="shared" si="241"/>
        <v>0</v>
      </c>
      <c r="G1912" s="1508">
        <f t="shared" si="242"/>
        <v>0</v>
      </c>
      <c r="H1912" s="1508">
        <f t="shared" si="243"/>
        <v>0</v>
      </c>
      <c r="I1912" s="1480">
        <v>0</v>
      </c>
      <c r="J1912" s="1480">
        <v>0</v>
      </c>
      <c r="K1912" s="1508"/>
      <c r="L1912" s="1508"/>
      <c r="M1912" s="1509">
        <f t="shared" si="244"/>
        <v>0</v>
      </c>
      <c r="N1912" s="1508">
        <f t="shared" si="245"/>
        <v>0</v>
      </c>
    </row>
    <row r="1913" spans="1:14" ht="46.5" outlineLevel="1" x14ac:dyDescent="0.25">
      <c r="A1913" s="1492">
        <f t="shared" si="248"/>
        <v>0</v>
      </c>
      <c r="B1913" s="1492" t="str">
        <f t="shared" si="248"/>
        <v xml:space="preserve">Construction of RCC platform facility for Coal storage &amp; transportation in CHP-B STACKER I &amp; II area (500MW) at CSTPS, Chandrapur </v>
      </c>
      <c r="C1913" s="1488">
        <f t="shared" si="248"/>
        <v>0</v>
      </c>
      <c r="D1913" s="1413" t="str">
        <f t="shared" si="248"/>
        <v>-</v>
      </c>
      <c r="E1913" s="560">
        <f t="shared" si="248"/>
        <v>47.15</v>
      </c>
      <c r="F1913" s="1508">
        <f t="shared" si="241"/>
        <v>0</v>
      </c>
      <c r="G1913" s="1508">
        <f t="shared" si="242"/>
        <v>0</v>
      </c>
      <c r="H1913" s="1508">
        <f t="shared" si="243"/>
        <v>0</v>
      </c>
      <c r="I1913" s="1480">
        <v>0</v>
      </c>
      <c r="J1913" s="1480">
        <v>0</v>
      </c>
      <c r="K1913" s="1508"/>
      <c r="L1913" s="1508"/>
      <c r="M1913" s="1509">
        <f t="shared" si="244"/>
        <v>0</v>
      </c>
      <c r="N1913" s="1508">
        <f t="shared" si="245"/>
        <v>0</v>
      </c>
    </row>
    <row r="1914" spans="1:14" ht="31" outlineLevel="1" x14ac:dyDescent="0.25">
      <c r="A1914" s="1486">
        <f t="shared" si="248"/>
        <v>3</v>
      </c>
      <c r="B1914" s="1491" t="str">
        <f t="shared" si="248"/>
        <v>Contruction of cement concrete roads in CHP area at CSTPS, Chandrapur</v>
      </c>
      <c r="C1914" s="1488">
        <f t="shared" si="248"/>
        <v>0</v>
      </c>
      <c r="D1914" s="1413" t="str">
        <f t="shared" si="248"/>
        <v>-</v>
      </c>
      <c r="E1914" s="560">
        <f t="shared" si="248"/>
        <v>27.05</v>
      </c>
      <c r="F1914" s="1508">
        <f t="shared" si="241"/>
        <v>0</v>
      </c>
      <c r="G1914" s="1508">
        <f t="shared" si="242"/>
        <v>0</v>
      </c>
      <c r="H1914" s="1508">
        <f t="shared" si="243"/>
        <v>0</v>
      </c>
      <c r="I1914" s="1480">
        <v>0</v>
      </c>
      <c r="J1914" s="1480">
        <v>0</v>
      </c>
      <c r="K1914" s="1508"/>
      <c r="L1914" s="1508"/>
      <c r="M1914" s="1509">
        <f t="shared" si="244"/>
        <v>0</v>
      </c>
      <c r="N1914" s="1508">
        <f t="shared" si="245"/>
        <v>0</v>
      </c>
    </row>
    <row r="1915" spans="1:14" ht="31" outlineLevel="1" x14ac:dyDescent="0.25">
      <c r="A1915" s="1492">
        <f t="shared" si="248"/>
        <v>0</v>
      </c>
      <c r="B1915" s="1492" t="str">
        <f t="shared" si="248"/>
        <v>Contruction of cement concrete roads in CHP area at CSTPS, Chandrapur</v>
      </c>
      <c r="C1915" s="1488">
        <f t="shared" si="248"/>
        <v>0</v>
      </c>
      <c r="D1915" s="1413" t="str">
        <f t="shared" si="248"/>
        <v>-</v>
      </c>
      <c r="E1915" s="560">
        <f t="shared" si="248"/>
        <v>27.05</v>
      </c>
      <c r="F1915" s="1508">
        <f t="shared" si="241"/>
        <v>0</v>
      </c>
      <c r="G1915" s="1508">
        <f t="shared" si="242"/>
        <v>0</v>
      </c>
      <c r="H1915" s="1508">
        <f t="shared" si="243"/>
        <v>0</v>
      </c>
      <c r="I1915" s="1480">
        <v>0</v>
      </c>
      <c r="J1915" s="1480">
        <v>0</v>
      </c>
      <c r="K1915" s="1508"/>
      <c r="L1915" s="1508"/>
      <c r="M1915" s="1509">
        <f t="shared" si="244"/>
        <v>0</v>
      </c>
      <c r="N1915" s="1508">
        <f t="shared" si="245"/>
        <v>0</v>
      </c>
    </row>
    <row r="1916" spans="1:14" ht="31" outlineLevel="1" x14ac:dyDescent="0.25">
      <c r="A1916" s="1486">
        <f t="shared" si="248"/>
        <v>4</v>
      </c>
      <c r="B1916" s="1491" t="str">
        <f t="shared" si="248"/>
        <v>Arresting Leakages by  water proofing treatment in main Plant &amp; ancillary buildings  at CSTPS, Chandrapur.</v>
      </c>
      <c r="C1916" s="1488">
        <f t="shared" si="248"/>
        <v>0</v>
      </c>
      <c r="D1916" s="1413" t="str">
        <f t="shared" si="248"/>
        <v>-</v>
      </c>
      <c r="E1916" s="560">
        <f t="shared" si="248"/>
        <v>30</v>
      </c>
      <c r="F1916" s="1508">
        <f t="shared" si="241"/>
        <v>0</v>
      </c>
      <c r="G1916" s="1508">
        <f t="shared" si="242"/>
        <v>0</v>
      </c>
      <c r="H1916" s="1508">
        <f t="shared" si="243"/>
        <v>0</v>
      </c>
      <c r="I1916" s="1480">
        <v>0</v>
      </c>
      <c r="J1916" s="1480">
        <v>0</v>
      </c>
      <c r="K1916" s="1508"/>
      <c r="L1916" s="1508"/>
      <c r="M1916" s="1509">
        <f t="shared" si="244"/>
        <v>0</v>
      </c>
      <c r="N1916" s="1508">
        <f t="shared" si="245"/>
        <v>0</v>
      </c>
    </row>
    <row r="1917" spans="1:14" ht="62" outlineLevel="1" x14ac:dyDescent="0.25">
      <c r="A1917" s="1492">
        <f t="shared" si="248"/>
        <v>0</v>
      </c>
      <c r="B1917" s="1492" t="str">
        <f t="shared" si="248"/>
        <v xml:space="preserve">A)- water proofing treatment in Control room of WTP-I area.
(B)- water proofing treatment inControl room of WTP-II area.
(C)-  water proofing treatment in Control room of CT Fan area 
(D)- water proofing treatment in   Main Plant area. </v>
      </c>
      <c r="C1917" s="1488">
        <f t="shared" si="248"/>
        <v>0</v>
      </c>
      <c r="D1917" s="1413" t="str">
        <f t="shared" si="248"/>
        <v>-</v>
      </c>
      <c r="E1917" s="560">
        <f t="shared" si="248"/>
        <v>30</v>
      </c>
      <c r="F1917" s="1508">
        <f t="shared" si="241"/>
        <v>0</v>
      </c>
      <c r="G1917" s="1508">
        <f t="shared" si="242"/>
        <v>0</v>
      </c>
      <c r="H1917" s="1508">
        <f t="shared" si="243"/>
        <v>0</v>
      </c>
      <c r="I1917" s="1480">
        <v>0</v>
      </c>
      <c r="J1917" s="1480">
        <v>0</v>
      </c>
      <c r="K1917" s="1508"/>
      <c r="L1917" s="1508"/>
      <c r="M1917" s="1509">
        <f t="shared" si="244"/>
        <v>0</v>
      </c>
      <c r="N1917" s="1508">
        <f t="shared" si="245"/>
        <v>0</v>
      </c>
    </row>
    <row r="1918" spans="1:14" ht="15.5" outlineLevel="1" x14ac:dyDescent="0.25">
      <c r="A1918" s="1486">
        <f t="shared" si="248"/>
        <v>5</v>
      </c>
      <c r="B1918" s="1491" t="str">
        <f t="shared" si="248"/>
        <v>Structural strengthening of Unit 3&amp; 4 at CSTPS, Chandrapur</v>
      </c>
      <c r="C1918" s="1488">
        <f t="shared" si="248"/>
        <v>0</v>
      </c>
      <c r="D1918" s="1413" t="str">
        <f t="shared" si="248"/>
        <v>-</v>
      </c>
      <c r="E1918" s="560">
        <f t="shared" si="248"/>
        <v>40</v>
      </c>
      <c r="F1918" s="1508">
        <f t="shared" si="241"/>
        <v>0</v>
      </c>
      <c r="G1918" s="1508">
        <f t="shared" si="242"/>
        <v>0</v>
      </c>
      <c r="H1918" s="1508">
        <f t="shared" si="243"/>
        <v>0</v>
      </c>
      <c r="I1918" s="1480">
        <v>0</v>
      </c>
      <c r="J1918" s="1480">
        <v>0</v>
      </c>
      <c r="K1918" s="1508"/>
      <c r="L1918" s="1508"/>
      <c r="M1918" s="1509">
        <f t="shared" si="244"/>
        <v>0</v>
      </c>
      <c r="N1918" s="1508">
        <f t="shared" si="245"/>
        <v>0</v>
      </c>
    </row>
    <row r="1919" spans="1:14" ht="15.5" outlineLevel="1" x14ac:dyDescent="0.25">
      <c r="A1919" s="1492">
        <f t="shared" si="248"/>
        <v>0</v>
      </c>
      <c r="B1919" s="1492" t="str">
        <f t="shared" si="248"/>
        <v>Structural strengthening of Unit 3&amp; 4 at CSTPS, Chandrapur</v>
      </c>
      <c r="C1919" s="1488">
        <f t="shared" si="248"/>
        <v>0</v>
      </c>
      <c r="D1919" s="1413" t="str">
        <f t="shared" si="248"/>
        <v>-</v>
      </c>
      <c r="E1919" s="560">
        <f t="shared" si="248"/>
        <v>30</v>
      </c>
      <c r="F1919" s="1508">
        <f t="shared" si="241"/>
        <v>0</v>
      </c>
      <c r="G1919" s="1508">
        <f t="shared" si="242"/>
        <v>0</v>
      </c>
      <c r="H1919" s="1508">
        <f t="shared" si="243"/>
        <v>0</v>
      </c>
      <c r="I1919" s="1480">
        <v>0</v>
      </c>
      <c r="J1919" s="1480">
        <v>0</v>
      </c>
      <c r="K1919" s="1508"/>
      <c r="L1919" s="1508"/>
      <c r="M1919" s="1509">
        <f t="shared" si="244"/>
        <v>0</v>
      </c>
      <c r="N1919" s="1508">
        <f t="shared" si="245"/>
        <v>0</v>
      </c>
    </row>
    <row r="1920" spans="1:14" ht="15.5" outlineLevel="1" x14ac:dyDescent="0.25">
      <c r="A1920" s="1492">
        <f t="shared" si="248"/>
        <v>0</v>
      </c>
      <c r="B1920" s="1492" t="str">
        <f t="shared" si="248"/>
        <v>Structural strengthening of CHP-A buildings</v>
      </c>
      <c r="C1920" s="1488">
        <f t="shared" si="248"/>
        <v>0</v>
      </c>
      <c r="D1920" s="1413" t="str">
        <f t="shared" si="248"/>
        <v>-</v>
      </c>
      <c r="E1920" s="560">
        <f t="shared" si="248"/>
        <v>10</v>
      </c>
      <c r="F1920" s="1508">
        <f t="shared" si="241"/>
        <v>0</v>
      </c>
      <c r="G1920" s="1508">
        <f t="shared" si="242"/>
        <v>0</v>
      </c>
      <c r="H1920" s="1508">
        <f t="shared" si="243"/>
        <v>0</v>
      </c>
      <c r="I1920" s="1480">
        <v>0</v>
      </c>
      <c r="J1920" s="1480">
        <v>0</v>
      </c>
      <c r="K1920" s="1508"/>
      <c r="L1920" s="1508"/>
      <c r="M1920" s="1509">
        <f t="shared" si="244"/>
        <v>0</v>
      </c>
      <c r="N1920" s="1508">
        <f t="shared" si="245"/>
        <v>0</v>
      </c>
    </row>
    <row r="1921" spans="1:14" ht="31" outlineLevel="1" x14ac:dyDescent="0.25">
      <c r="A1921" s="1486">
        <f t="shared" si="248"/>
        <v>6</v>
      </c>
      <c r="B1921" s="1491" t="str">
        <f t="shared" si="248"/>
        <v>Infrastructure Deveolpment of CSTPS colony at CSTPS Chandrapur .</v>
      </c>
      <c r="C1921" s="1488">
        <f t="shared" si="248"/>
        <v>0</v>
      </c>
      <c r="D1921" s="1413" t="str">
        <f t="shared" si="248"/>
        <v>-</v>
      </c>
      <c r="E1921" s="560">
        <f t="shared" si="248"/>
        <v>67.900000000000006</v>
      </c>
      <c r="F1921" s="1508">
        <f t="shared" si="241"/>
        <v>0</v>
      </c>
      <c r="G1921" s="1508">
        <f t="shared" si="242"/>
        <v>0</v>
      </c>
      <c r="H1921" s="1508">
        <f t="shared" si="243"/>
        <v>0</v>
      </c>
      <c r="I1921" s="1480">
        <v>0</v>
      </c>
      <c r="J1921" s="1480">
        <v>0</v>
      </c>
      <c r="K1921" s="1508"/>
      <c r="L1921" s="1508"/>
      <c r="M1921" s="1509">
        <f t="shared" si="244"/>
        <v>0</v>
      </c>
      <c r="N1921" s="1508">
        <f t="shared" si="245"/>
        <v>0</v>
      </c>
    </row>
    <row r="1922" spans="1:14" ht="31" outlineLevel="1" x14ac:dyDescent="0.25">
      <c r="A1922" s="1492">
        <f t="shared" si="248"/>
        <v>0</v>
      </c>
      <c r="B1922" s="1492" t="str">
        <f t="shared" si="248"/>
        <v>i- Construction of new ESR (Elevated Storage Reservoir) at CSTPS Chandrapur</v>
      </c>
      <c r="C1922" s="1488">
        <f t="shared" si="248"/>
        <v>0</v>
      </c>
      <c r="D1922" s="1413" t="str">
        <f t="shared" si="248"/>
        <v>-</v>
      </c>
      <c r="E1922" s="560">
        <f t="shared" si="248"/>
        <v>3.78</v>
      </c>
      <c r="F1922" s="1508">
        <f t="shared" si="241"/>
        <v>0</v>
      </c>
      <c r="G1922" s="1508">
        <f t="shared" si="242"/>
        <v>0</v>
      </c>
      <c r="H1922" s="1508">
        <f t="shared" si="243"/>
        <v>0</v>
      </c>
      <c r="I1922" s="1480">
        <v>0</v>
      </c>
      <c r="J1922" s="1480">
        <v>0</v>
      </c>
      <c r="K1922" s="1508"/>
      <c r="L1922" s="1508"/>
      <c r="M1922" s="1509">
        <f t="shared" si="244"/>
        <v>0</v>
      </c>
      <c r="N1922" s="1508">
        <f t="shared" si="245"/>
        <v>0</v>
      </c>
    </row>
    <row r="1923" spans="1:14" ht="31" outlineLevel="1" x14ac:dyDescent="0.25">
      <c r="A1923" s="1492">
        <f t="shared" si="248"/>
        <v>0</v>
      </c>
      <c r="B1923" s="1492" t="str">
        <f t="shared" si="248"/>
        <v>ii- Providing &amp; Rerouting of existing water supply pipe line at CSTPS Chandrapur</v>
      </c>
      <c r="C1923" s="1488">
        <f t="shared" si="248"/>
        <v>0</v>
      </c>
      <c r="D1923" s="1413" t="str">
        <f t="shared" si="248"/>
        <v>-</v>
      </c>
      <c r="E1923" s="560">
        <f t="shared" si="248"/>
        <v>4.05</v>
      </c>
      <c r="F1923" s="1508">
        <f t="shared" si="241"/>
        <v>0</v>
      </c>
      <c r="G1923" s="1508">
        <f t="shared" si="242"/>
        <v>0</v>
      </c>
      <c r="H1923" s="1508">
        <f t="shared" si="243"/>
        <v>0</v>
      </c>
      <c r="I1923" s="1480">
        <v>0</v>
      </c>
      <c r="J1923" s="1480">
        <v>0</v>
      </c>
      <c r="K1923" s="1508"/>
      <c r="L1923" s="1508"/>
      <c r="M1923" s="1509">
        <f t="shared" si="244"/>
        <v>0</v>
      </c>
      <c r="N1923" s="1508">
        <f t="shared" si="245"/>
        <v>0</v>
      </c>
    </row>
    <row r="1924" spans="1:14" ht="31" outlineLevel="1" x14ac:dyDescent="0.25">
      <c r="A1924" s="1492">
        <f t="shared" si="248"/>
        <v>0</v>
      </c>
      <c r="B1924" s="1492" t="str">
        <f t="shared" si="248"/>
        <v>iii- Providing &amp; Rerouting of esiting sewer line at CSTPS colony Chandrapur</v>
      </c>
      <c r="C1924" s="1488">
        <f t="shared" si="248"/>
        <v>0</v>
      </c>
      <c r="D1924" s="1413" t="str">
        <f t="shared" si="248"/>
        <v>-</v>
      </c>
      <c r="E1924" s="560">
        <f t="shared" si="248"/>
        <v>7.01</v>
      </c>
      <c r="F1924" s="1508">
        <f t="shared" si="241"/>
        <v>0</v>
      </c>
      <c r="G1924" s="1508">
        <f t="shared" si="242"/>
        <v>0</v>
      </c>
      <c r="H1924" s="1508">
        <f t="shared" si="243"/>
        <v>0</v>
      </c>
      <c r="I1924" s="1480">
        <v>0</v>
      </c>
      <c r="J1924" s="1480">
        <v>0</v>
      </c>
      <c r="K1924" s="1508"/>
      <c r="L1924" s="1508"/>
      <c r="M1924" s="1509">
        <f t="shared" si="244"/>
        <v>0</v>
      </c>
      <c r="N1924" s="1508">
        <f t="shared" si="245"/>
        <v>0</v>
      </c>
    </row>
    <row r="1925" spans="1:14" ht="31" outlineLevel="1" x14ac:dyDescent="0.25">
      <c r="A1925" s="1492">
        <f t="shared" si="248"/>
        <v>0</v>
      </c>
      <c r="B1925" s="1492" t="str">
        <f t="shared" si="248"/>
        <v>iv- Providing water proofing treatment to terrace slab of residential building aaat CSTPS colony Chandrapur</v>
      </c>
      <c r="C1925" s="1488">
        <f t="shared" si="248"/>
        <v>0</v>
      </c>
      <c r="D1925" s="1413" t="str">
        <f t="shared" si="248"/>
        <v>-</v>
      </c>
      <c r="E1925" s="560">
        <f t="shared" si="248"/>
        <v>6.34</v>
      </c>
      <c r="F1925" s="1508">
        <f t="shared" si="241"/>
        <v>0</v>
      </c>
      <c r="G1925" s="1508">
        <f t="shared" si="242"/>
        <v>0</v>
      </c>
      <c r="H1925" s="1508">
        <f t="shared" si="243"/>
        <v>0</v>
      </c>
      <c r="I1925" s="1480">
        <v>0</v>
      </c>
      <c r="J1925" s="1480">
        <v>0</v>
      </c>
      <c r="K1925" s="1508"/>
      <c r="L1925" s="1508"/>
      <c r="M1925" s="1509">
        <f t="shared" si="244"/>
        <v>0</v>
      </c>
      <c r="N1925" s="1508">
        <f t="shared" si="245"/>
        <v>0</v>
      </c>
    </row>
    <row r="1926" spans="1:14" ht="31" outlineLevel="1" x14ac:dyDescent="0.25">
      <c r="A1926" s="1492">
        <f t="shared" ref="A1926:E1941" si="249">A1256</f>
        <v>0</v>
      </c>
      <c r="B1926" s="1492" t="str">
        <f t="shared" si="249"/>
        <v>v- Construction of storm water drain along major and internal road of CSTPS colony at Chnadrapur</v>
      </c>
      <c r="C1926" s="1488">
        <f t="shared" si="249"/>
        <v>0</v>
      </c>
      <c r="D1926" s="1413" t="str">
        <f t="shared" si="249"/>
        <v>-</v>
      </c>
      <c r="E1926" s="560">
        <f t="shared" si="249"/>
        <v>16.86</v>
      </c>
      <c r="F1926" s="1508">
        <f t="shared" ref="F1926:F1989" si="250">F1256+I1256</f>
        <v>0</v>
      </c>
      <c r="G1926" s="1508">
        <f t="shared" ref="G1926:G1989" si="251">G1256+M1256</f>
        <v>0</v>
      </c>
      <c r="H1926" s="1508">
        <f t="shared" si="243"/>
        <v>0</v>
      </c>
      <c r="I1926" s="1480">
        <v>0</v>
      </c>
      <c r="J1926" s="1480">
        <v>0</v>
      </c>
      <c r="K1926" s="1508"/>
      <c r="L1926" s="1508"/>
      <c r="M1926" s="1509">
        <f t="shared" si="244"/>
        <v>0</v>
      </c>
      <c r="N1926" s="1508">
        <f t="shared" si="245"/>
        <v>0</v>
      </c>
    </row>
    <row r="1927" spans="1:14" ht="31" outlineLevel="1" x14ac:dyDescent="0.25">
      <c r="A1927" s="1492">
        <f t="shared" si="249"/>
        <v>0</v>
      </c>
      <c r="B1927" s="1492" t="str">
        <f t="shared" si="249"/>
        <v>vi-Improvement of existing major and internal Bitumen   road of CSTPS colony  by Bituminous treatment  at  CSTPS Chandrapur</v>
      </c>
      <c r="C1927" s="1488">
        <f t="shared" si="249"/>
        <v>0</v>
      </c>
      <c r="D1927" s="1413" t="str">
        <f t="shared" si="249"/>
        <v>-</v>
      </c>
      <c r="E1927" s="560">
        <f t="shared" si="249"/>
        <v>29.81</v>
      </c>
      <c r="F1927" s="1508">
        <f t="shared" si="250"/>
        <v>0</v>
      </c>
      <c r="G1927" s="1508">
        <f t="shared" si="251"/>
        <v>0</v>
      </c>
      <c r="H1927" s="1508">
        <f t="shared" si="243"/>
        <v>0</v>
      </c>
      <c r="I1927" s="1480">
        <v>0</v>
      </c>
      <c r="J1927" s="1480">
        <v>0</v>
      </c>
      <c r="K1927" s="1508"/>
      <c r="L1927" s="1508"/>
      <c r="M1927" s="1509">
        <f t="shared" si="244"/>
        <v>0</v>
      </c>
      <c r="N1927" s="1508">
        <f t="shared" si="245"/>
        <v>0</v>
      </c>
    </row>
    <row r="1928" spans="1:14" ht="31" outlineLevel="1" x14ac:dyDescent="0.25">
      <c r="A1928" s="1486">
        <f t="shared" si="249"/>
        <v>7</v>
      </c>
      <c r="B1928" s="1491" t="str">
        <f t="shared" si="249"/>
        <v>Renovation of residential buildings , Public building , Road and other allied civil works in CSTPS colony at Chandrapur</v>
      </c>
      <c r="C1928" s="1488">
        <f t="shared" si="249"/>
        <v>0</v>
      </c>
      <c r="D1928" s="1413" t="str">
        <f t="shared" si="249"/>
        <v>-</v>
      </c>
      <c r="E1928" s="560">
        <f t="shared" si="249"/>
        <v>209</v>
      </c>
      <c r="F1928" s="1508">
        <f t="shared" si="250"/>
        <v>0</v>
      </c>
      <c r="G1928" s="1508">
        <f t="shared" si="251"/>
        <v>0</v>
      </c>
      <c r="H1928" s="1508">
        <f t="shared" si="243"/>
        <v>0</v>
      </c>
      <c r="I1928" s="1480">
        <v>0</v>
      </c>
      <c r="J1928" s="1480">
        <v>0</v>
      </c>
      <c r="K1928" s="1508"/>
      <c r="L1928" s="1508"/>
      <c r="M1928" s="1509">
        <f t="shared" si="244"/>
        <v>0</v>
      </c>
      <c r="N1928" s="1508">
        <f t="shared" si="245"/>
        <v>0</v>
      </c>
    </row>
    <row r="1929" spans="1:14" ht="31" outlineLevel="1" x14ac:dyDescent="0.25">
      <c r="A1929" s="1492">
        <f t="shared" si="249"/>
        <v>0</v>
      </c>
      <c r="B1929" s="1492" t="str">
        <f t="shared" si="249"/>
        <v>i- Renovation and Beautification of residential building ( Type A, B, C, D, E and F)  Phase -II at CSTPS Chnadrapur</v>
      </c>
      <c r="C1929" s="1488">
        <f t="shared" si="249"/>
        <v>0</v>
      </c>
      <c r="D1929" s="1413" t="str">
        <f t="shared" si="249"/>
        <v>-</v>
      </c>
      <c r="E1929" s="560">
        <f t="shared" si="249"/>
        <v>132</v>
      </c>
      <c r="F1929" s="1508">
        <f t="shared" si="250"/>
        <v>0</v>
      </c>
      <c r="G1929" s="1508">
        <f t="shared" si="251"/>
        <v>0</v>
      </c>
      <c r="H1929" s="1508">
        <f t="shared" si="243"/>
        <v>0</v>
      </c>
      <c r="I1929" s="1480">
        <v>0</v>
      </c>
      <c r="J1929" s="1480">
        <v>0</v>
      </c>
      <c r="K1929" s="1508"/>
      <c r="L1929" s="1508"/>
      <c r="M1929" s="1509">
        <f t="shared" si="244"/>
        <v>0</v>
      </c>
      <c r="N1929" s="1508">
        <f t="shared" si="245"/>
        <v>0</v>
      </c>
    </row>
    <row r="1930" spans="1:14" ht="15.5" outlineLevel="1" x14ac:dyDescent="0.25">
      <c r="A1930" s="1492">
        <f t="shared" si="249"/>
        <v>0</v>
      </c>
      <c r="B1930" s="1492" t="str">
        <f t="shared" si="249"/>
        <v>ii-Renovation of old and new market at CSTPS Chandrapur</v>
      </c>
      <c r="C1930" s="1488">
        <f t="shared" si="249"/>
        <v>0</v>
      </c>
      <c r="D1930" s="1413" t="str">
        <f t="shared" si="249"/>
        <v>-</v>
      </c>
      <c r="E1930" s="560">
        <f t="shared" si="249"/>
        <v>2</v>
      </c>
      <c r="F1930" s="1508">
        <f t="shared" si="250"/>
        <v>0</v>
      </c>
      <c r="G1930" s="1508">
        <f t="shared" si="251"/>
        <v>0</v>
      </c>
      <c r="H1930" s="1508">
        <f t="shared" si="243"/>
        <v>0</v>
      </c>
      <c r="I1930" s="1480">
        <v>0</v>
      </c>
      <c r="J1930" s="1480">
        <v>0</v>
      </c>
      <c r="K1930" s="1508"/>
      <c r="L1930" s="1508"/>
      <c r="M1930" s="1509">
        <f t="shared" si="244"/>
        <v>0</v>
      </c>
      <c r="N1930" s="1508">
        <f t="shared" si="245"/>
        <v>0</v>
      </c>
    </row>
    <row r="1931" spans="1:14" ht="31" outlineLevel="1" x14ac:dyDescent="0.25">
      <c r="A1931" s="1492">
        <f t="shared" si="249"/>
        <v>0</v>
      </c>
      <c r="B1931" s="1492" t="str">
        <f t="shared" si="249"/>
        <v>iii-Improvement of exsiting Main road by Cement Concrte road  in colony at CSTPS Chandrapur</v>
      </c>
      <c r="C1931" s="1488">
        <f t="shared" si="249"/>
        <v>0</v>
      </c>
      <c r="D1931" s="1413" t="str">
        <f t="shared" si="249"/>
        <v>-</v>
      </c>
      <c r="E1931" s="560">
        <f t="shared" si="249"/>
        <v>55</v>
      </c>
      <c r="F1931" s="1508">
        <f t="shared" si="250"/>
        <v>0</v>
      </c>
      <c r="G1931" s="1508">
        <f t="shared" si="251"/>
        <v>0</v>
      </c>
      <c r="H1931" s="1508">
        <f t="shared" si="243"/>
        <v>0</v>
      </c>
      <c r="I1931" s="1480">
        <v>0</v>
      </c>
      <c r="J1931" s="1480">
        <v>0</v>
      </c>
      <c r="K1931" s="1508"/>
      <c r="L1931" s="1508"/>
      <c r="M1931" s="1509">
        <f t="shared" si="244"/>
        <v>0</v>
      </c>
      <c r="N1931" s="1508">
        <f t="shared" si="245"/>
        <v>0</v>
      </c>
    </row>
    <row r="1932" spans="1:14" ht="31" outlineLevel="1" x14ac:dyDescent="0.25">
      <c r="A1932" s="1492">
        <f t="shared" si="249"/>
        <v>0</v>
      </c>
      <c r="B1932" s="1492" t="str">
        <f t="shared" si="249"/>
        <v>iv-Renovation of Civil and Electrical Maint office building at CSTPS Chandrapur.</v>
      </c>
      <c r="C1932" s="1488">
        <f t="shared" si="249"/>
        <v>0</v>
      </c>
      <c r="D1932" s="1413" t="str">
        <f t="shared" si="249"/>
        <v>-</v>
      </c>
      <c r="E1932" s="560">
        <f t="shared" si="249"/>
        <v>1.5</v>
      </c>
      <c r="F1932" s="1508">
        <f t="shared" si="250"/>
        <v>0</v>
      </c>
      <c r="G1932" s="1508">
        <f t="shared" si="251"/>
        <v>0</v>
      </c>
      <c r="H1932" s="1508">
        <f t="shared" si="243"/>
        <v>0</v>
      </c>
      <c r="I1932" s="1480">
        <v>0</v>
      </c>
      <c r="J1932" s="1480">
        <v>0</v>
      </c>
      <c r="K1932" s="1508"/>
      <c r="L1932" s="1508"/>
      <c r="M1932" s="1509">
        <f t="shared" si="244"/>
        <v>0</v>
      </c>
      <c r="N1932" s="1508">
        <f t="shared" si="245"/>
        <v>0</v>
      </c>
    </row>
    <row r="1933" spans="1:14" ht="31" outlineLevel="1" x14ac:dyDescent="0.25">
      <c r="A1933" s="1492">
        <f t="shared" si="249"/>
        <v>0</v>
      </c>
      <c r="B1933" s="1492" t="str">
        <f t="shared" si="249"/>
        <v xml:space="preserve">v- Renoavtion of Post office building and Bank Building at CSTPS Chandrapur </v>
      </c>
      <c r="C1933" s="1488">
        <f t="shared" si="249"/>
        <v>0</v>
      </c>
      <c r="D1933" s="1413" t="str">
        <f t="shared" si="249"/>
        <v>-</v>
      </c>
      <c r="E1933" s="560">
        <f t="shared" si="249"/>
        <v>1.5</v>
      </c>
      <c r="F1933" s="1508">
        <f t="shared" si="250"/>
        <v>0</v>
      </c>
      <c r="G1933" s="1508">
        <f t="shared" si="251"/>
        <v>0</v>
      </c>
      <c r="H1933" s="1508">
        <f t="shared" si="243"/>
        <v>0</v>
      </c>
      <c r="I1933" s="1480">
        <v>0</v>
      </c>
      <c r="J1933" s="1480">
        <v>0</v>
      </c>
      <c r="K1933" s="1508"/>
      <c r="L1933" s="1508"/>
      <c r="M1933" s="1509">
        <f t="shared" si="244"/>
        <v>0</v>
      </c>
      <c r="N1933" s="1508">
        <f t="shared" si="245"/>
        <v>0</v>
      </c>
    </row>
    <row r="1934" spans="1:14" ht="15.5" outlineLevel="1" x14ac:dyDescent="0.25">
      <c r="A1934" s="1492">
        <f t="shared" si="249"/>
        <v>0</v>
      </c>
      <c r="B1934" s="1492" t="str">
        <f t="shared" si="249"/>
        <v>vi- Renovation fo Erai Dam guest House at CSTPS Chandrapur</v>
      </c>
      <c r="C1934" s="1488">
        <f t="shared" si="249"/>
        <v>0</v>
      </c>
      <c r="D1934" s="1413" t="str">
        <f t="shared" si="249"/>
        <v>-</v>
      </c>
      <c r="E1934" s="560">
        <f t="shared" si="249"/>
        <v>2</v>
      </c>
      <c r="F1934" s="1508">
        <f t="shared" si="250"/>
        <v>0</v>
      </c>
      <c r="G1934" s="1508">
        <f t="shared" si="251"/>
        <v>0</v>
      </c>
      <c r="H1934" s="1508">
        <f t="shared" si="243"/>
        <v>0</v>
      </c>
      <c r="I1934" s="1480">
        <v>0</v>
      </c>
      <c r="J1934" s="1480">
        <v>0</v>
      </c>
      <c r="K1934" s="1508"/>
      <c r="L1934" s="1508"/>
      <c r="M1934" s="1509">
        <f t="shared" si="244"/>
        <v>0</v>
      </c>
      <c r="N1934" s="1508">
        <f t="shared" si="245"/>
        <v>0</v>
      </c>
    </row>
    <row r="1935" spans="1:14" ht="31" outlineLevel="1" x14ac:dyDescent="0.25">
      <c r="A1935" s="1492">
        <f t="shared" si="249"/>
        <v>0</v>
      </c>
      <c r="B1935" s="1492" t="str">
        <f t="shared" si="249"/>
        <v>vii- Improvement of Erai dam approch road by Bituminous treatment at CSTPS Chnadrapur</v>
      </c>
      <c r="C1935" s="1488">
        <f t="shared" si="249"/>
        <v>0</v>
      </c>
      <c r="D1935" s="1413" t="str">
        <f t="shared" si="249"/>
        <v>-</v>
      </c>
      <c r="E1935" s="560">
        <f t="shared" si="249"/>
        <v>15</v>
      </c>
      <c r="F1935" s="1508">
        <f t="shared" si="250"/>
        <v>0</v>
      </c>
      <c r="G1935" s="1508">
        <f t="shared" si="251"/>
        <v>0</v>
      </c>
      <c r="H1935" s="1508">
        <f t="shared" si="243"/>
        <v>0</v>
      </c>
      <c r="I1935" s="1480">
        <v>0</v>
      </c>
      <c r="J1935" s="1480">
        <v>0</v>
      </c>
      <c r="K1935" s="1508"/>
      <c r="L1935" s="1508"/>
      <c r="M1935" s="1509">
        <f t="shared" si="244"/>
        <v>0</v>
      </c>
      <c r="N1935" s="1508">
        <f t="shared" si="245"/>
        <v>0</v>
      </c>
    </row>
    <row r="1936" spans="1:14" ht="46.5" outlineLevel="1" x14ac:dyDescent="0.25">
      <c r="A1936" s="1486">
        <f t="shared" si="249"/>
        <v>8</v>
      </c>
      <c r="B1936" s="1491" t="str">
        <f t="shared" si="249"/>
        <v>Construction of new residential building ,Hospital Building ,Chemmary Building,security office building  and allied civil work infrastructure in colony at CSTPS Chandrapur</v>
      </c>
      <c r="C1936" s="1488">
        <f t="shared" si="249"/>
        <v>0</v>
      </c>
      <c r="D1936" s="1413" t="str">
        <f t="shared" si="249"/>
        <v>-</v>
      </c>
      <c r="E1936" s="560">
        <f t="shared" si="249"/>
        <v>76.25</v>
      </c>
      <c r="F1936" s="1508">
        <f t="shared" si="250"/>
        <v>0</v>
      </c>
      <c r="G1936" s="1508">
        <f t="shared" si="251"/>
        <v>0</v>
      </c>
      <c r="H1936" s="1508">
        <f t="shared" si="243"/>
        <v>0</v>
      </c>
      <c r="I1936" s="1480">
        <v>0</v>
      </c>
      <c r="J1936" s="1480">
        <v>0</v>
      </c>
      <c r="K1936" s="1508"/>
      <c r="L1936" s="1508"/>
      <c r="M1936" s="1509">
        <f t="shared" si="244"/>
        <v>0</v>
      </c>
      <c r="N1936" s="1508">
        <f t="shared" si="245"/>
        <v>0</v>
      </c>
    </row>
    <row r="1937" spans="1:14" ht="31" outlineLevel="1" x14ac:dyDescent="0.25">
      <c r="A1937" s="1492">
        <f t="shared" si="249"/>
        <v>0</v>
      </c>
      <c r="B1937" s="1492" t="str">
        <f t="shared" si="249"/>
        <v>i- Construction of new residential staff quarter of A, B ,C D and E type  building in colony at CSTPS Chandrapur</v>
      </c>
      <c r="C1937" s="1488">
        <f t="shared" si="249"/>
        <v>0</v>
      </c>
      <c r="D1937" s="1413" t="str">
        <f t="shared" si="249"/>
        <v>-</v>
      </c>
      <c r="E1937" s="560">
        <f t="shared" si="249"/>
        <v>60</v>
      </c>
      <c r="F1937" s="1508">
        <f t="shared" si="250"/>
        <v>0</v>
      </c>
      <c r="G1937" s="1508">
        <f t="shared" si="251"/>
        <v>0</v>
      </c>
      <c r="H1937" s="1508">
        <f t="shared" si="243"/>
        <v>0</v>
      </c>
      <c r="I1937" s="1480">
        <v>0</v>
      </c>
      <c r="J1937" s="1480">
        <v>0</v>
      </c>
      <c r="K1937" s="1508"/>
      <c r="L1937" s="1508"/>
      <c r="M1937" s="1509">
        <f t="shared" si="244"/>
        <v>0</v>
      </c>
      <c r="N1937" s="1508">
        <f t="shared" si="245"/>
        <v>0</v>
      </c>
    </row>
    <row r="1938" spans="1:14" ht="15.5" outlineLevel="1" x14ac:dyDescent="0.25">
      <c r="A1938" s="1492">
        <f t="shared" si="249"/>
        <v>0</v>
      </c>
      <c r="B1938" s="1492" t="str">
        <f t="shared" si="249"/>
        <v>ii-Construction of New Hospital Building at CSTSP Chandrapur</v>
      </c>
      <c r="C1938" s="1488">
        <f t="shared" si="249"/>
        <v>0</v>
      </c>
      <c r="D1938" s="1413" t="str">
        <f t="shared" si="249"/>
        <v>-</v>
      </c>
      <c r="E1938" s="560">
        <f t="shared" si="249"/>
        <v>2</v>
      </c>
      <c r="F1938" s="1508">
        <f t="shared" si="250"/>
        <v>0</v>
      </c>
      <c r="G1938" s="1508">
        <f t="shared" si="251"/>
        <v>0</v>
      </c>
      <c r="H1938" s="1508">
        <f t="shared" si="243"/>
        <v>0</v>
      </c>
      <c r="I1938" s="1480">
        <v>0</v>
      </c>
      <c r="J1938" s="1480">
        <v>0</v>
      </c>
      <c r="K1938" s="1508"/>
      <c r="L1938" s="1508"/>
      <c r="M1938" s="1509">
        <f t="shared" si="244"/>
        <v>0</v>
      </c>
      <c r="N1938" s="1508">
        <f t="shared" si="245"/>
        <v>0</v>
      </c>
    </row>
    <row r="1939" spans="1:14" ht="31" outlineLevel="1" x14ac:dyDescent="0.25">
      <c r="A1939" s="1492">
        <f t="shared" si="249"/>
        <v>0</v>
      </c>
      <c r="B1939" s="1492" t="str">
        <f t="shared" si="249"/>
        <v>iii-Construction of new Chummary Building at CSTPS Chandrapur</v>
      </c>
      <c r="C1939" s="1488">
        <f t="shared" si="249"/>
        <v>0</v>
      </c>
      <c r="D1939" s="1413" t="str">
        <f t="shared" si="249"/>
        <v>-</v>
      </c>
      <c r="E1939" s="560">
        <f t="shared" si="249"/>
        <v>7.5</v>
      </c>
      <c r="F1939" s="1508">
        <f t="shared" si="250"/>
        <v>0</v>
      </c>
      <c r="G1939" s="1508">
        <f t="shared" si="251"/>
        <v>0</v>
      </c>
      <c r="H1939" s="1508">
        <f t="shared" si="243"/>
        <v>0</v>
      </c>
      <c r="I1939" s="1480">
        <v>0</v>
      </c>
      <c r="J1939" s="1480">
        <v>0</v>
      </c>
      <c r="K1939" s="1508"/>
      <c r="L1939" s="1508"/>
      <c r="M1939" s="1509">
        <f t="shared" si="244"/>
        <v>0</v>
      </c>
      <c r="N1939" s="1508">
        <f t="shared" si="245"/>
        <v>0</v>
      </c>
    </row>
    <row r="1940" spans="1:14" ht="31" outlineLevel="1" x14ac:dyDescent="0.25">
      <c r="A1940" s="1492">
        <f t="shared" si="249"/>
        <v>0</v>
      </c>
      <c r="B1940" s="1492" t="str">
        <f t="shared" si="249"/>
        <v>iv-Construction of new security office and check post at various location in colony at CSTPS Chandrapur</v>
      </c>
      <c r="C1940" s="1488">
        <f t="shared" si="249"/>
        <v>0</v>
      </c>
      <c r="D1940" s="1413" t="str">
        <f t="shared" si="249"/>
        <v>-</v>
      </c>
      <c r="E1940" s="560">
        <f t="shared" si="249"/>
        <v>0.75</v>
      </c>
      <c r="F1940" s="1508">
        <f t="shared" si="250"/>
        <v>0</v>
      </c>
      <c r="G1940" s="1508">
        <f t="shared" si="251"/>
        <v>0</v>
      </c>
      <c r="H1940" s="1508">
        <f t="shared" ref="H1940:H2003" si="252">F1940-G1940</f>
        <v>0</v>
      </c>
      <c r="I1940" s="1480">
        <v>0</v>
      </c>
      <c r="J1940" s="1480">
        <v>0</v>
      </c>
      <c r="K1940" s="1508"/>
      <c r="L1940" s="1508"/>
      <c r="M1940" s="1509">
        <f t="shared" ref="M1940:M2003" si="253">SUM(J1940:L1940)</f>
        <v>0</v>
      </c>
      <c r="N1940" s="1508">
        <f t="shared" ref="N1940:N2003" si="254">H1940+I1940-M1940</f>
        <v>0</v>
      </c>
    </row>
    <row r="1941" spans="1:14" ht="31" outlineLevel="1" x14ac:dyDescent="0.25">
      <c r="A1941" s="1492">
        <f t="shared" si="249"/>
        <v>0</v>
      </c>
      <c r="B1941" s="1492" t="str">
        <f t="shared" si="249"/>
        <v>v-Construction of swimming pool in colony at CSTPS Chandrapur</v>
      </c>
      <c r="C1941" s="1488">
        <f t="shared" si="249"/>
        <v>0</v>
      </c>
      <c r="D1941" s="1413" t="str">
        <f t="shared" si="249"/>
        <v>-</v>
      </c>
      <c r="E1941" s="560">
        <f t="shared" si="249"/>
        <v>2</v>
      </c>
      <c r="F1941" s="1508">
        <f t="shared" si="250"/>
        <v>0</v>
      </c>
      <c r="G1941" s="1508">
        <f t="shared" si="251"/>
        <v>0</v>
      </c>
      <c r="H1941" s="1508">
        <f t="shared" si="252"/>
        <v>0</v>
      </c>
      <c r="I1941" s="1480">
        <v>0</v>
      </c>
      <c r="J1941" s="1480">
        <v>0</v>
      </c>
      <c r="K1941" s="1508"/>
      <c r="L1941" s="1508"/>
      <c r="M1941" s="1509">
        <f t="shared" si="253"/>
        <v>0</v>
      </c>
      <c r="N1941" s="1508">
        <f t="shared" si="254"/>
        <v>0</v>
      </c>
    </row>
    <row r="1942" spans="1:14" ht="46.5" outlineLevel="1" x14ac:dyDescent="0.25">
      <c r="A1942" s="1492">
        <f t="shared" ref="A1942:E1957" si="255">A1272</f>
        <v>0</v>
      </c>
      <c r="B1942" s="1492" t="str">
        <f t="shared" si="255"/>
        <v>vii-Providing new drinking water supply DI- pipe line  300 mm dia .for domestic water supply to rsidential colony at CSTPS Chandrapur.</v>
      </c>
      <c r="C1942" s="1488">
        <f t="shared" si="255"/>
        <v>0</v>
      </c>
      <c r="D1942" s="1413" t="str">
        <f t="shared" si="255"/>
        <v>-</v>
      </c>
      <c r="E1942" s="560">
        <f t="shared" si="255"/>
        <v>2</v>
      </c>
      <c r="F1942" s="1508">
        <f t="shared" si="250"/>
        <v>0</v>
      </c>
      <c r="G1942" s="1508">
        <f t="shared" si="251"/>
        <v>0</v>
      </c>
      <c r="H1942" s="1508">
        <f t="shared" si="252"/>
        <v>0</v>
      </c>
      <c r="I1942" s="1480">
        <v>0</v>
      </c>
      <c r="J1942" s="1480">
        <v>0</v>
      </c>
      <c r="K1942" s="1508"/>
      <c r="L1942" s="1508"/>
      <c r="M1942" s="1509">
        <f t="shared" si="253"/>
        <v>0</v>
      </c>
      <c r="N1942" s="1508">
        <f t="shared" si="254"/>
        <v>0</v>
      </c>
    </row>
    <row r="1943" spans="1:14" ht="31" outlineLevel="1" x14ac:dyDescent="0.25">
      <c r="A1943" s="1492">
        <f t="shared" si="255"/>
        <v>0</v>
      </c>
      <c r="B1943" s="1492" t="str">
        <f t="shared" si="255"/>
        <v>viii-Rain water Harvesting system to residential building at CSTPS Chandrapur.</v>
      </c>
      <c r="C1943" s="1488">
        <f t="shared" si="255"/>
        <v>0</v>
      </c>
      <c r="D1943" s="1413" t="str">
        <f t="shared" si="255"/>
        <v>-</v>
      </c>
      <c r="E1943" s="560">
        <f t="shared" si="255"/>
        <v>2</v>
      </c>
      <c r="F1943" s="1508">
        <f t="shared" si="250"/>
        <v>0</v>
      </c>
      <c r="G1943" s="1508">
        <f t="shared" si="251"/>
        <v>0</v>
      </c>
      <c r="H1943" s="1508">
        <f t="shared" si="252"/>
        <v>0</v>
      </c>
      <c r="I1943" s="1480">
        <v>0</v>
      </c>
      <c r="J1943" s="1480">
        <v>0</v>
      </c>
      <c r="K1943" s="1508"/>
      <c r="L1943" s="1508"/>
      <c r="M1943" s="1509">
        <f t="shared" si="253"/>
        <v>0</v>
      </c>
      <c r="N1943" s="1508">
        <f t="shared" si="254"/>
        <v>0</v>
      </c>
    </row>
    <row r="1944" spans="1:14" ht="15.5" outlineLevel="1" x14ac:dyDescent="0.25">
      <c r="A1944" s="1486">
        <f t="shared" si="255"/>
        <v>9</v>
      </c>
      <c r="B1944" s="1491" t="str">
        <f t="shared" si="255"/>
        <v>Renovation of public utility building of CSTPS, Chandrapur</v>
      </c>
      <c r="C1944" s="1488">
        <f t="shared" si="255"/>
        <v>0</v>
      </c>
      <c r="D1944" s="1413" t="str">
        <f t="shared" si="255"/>
        <v>-</v>
      </c>
      <c r="E1944" s="560">
        <f t="shared" si="255"/>
        <v>29.950000000000003</v>
      </c>
      <c r="F1944" s="1508">
        <f t="shared" si="250"/>
        <v>0</v>
      </c>
      <c r="G1944" s="1508">
        <f t="shared" si="251"/>
        <v>0</v>
      </c>
      <c r="H1944" s="1508">
        <f t="shared" si="252"/>
        <v>0</v>
      </c>
      <c r="I1944" s="1480">
        <v>0</v>
      </c>
      <c r="J1944" s="1480">
        <v>0</v>
      </c>
      <c r="K1944" s="1508"/>
      <c r="L1944" s="1508"/>
      <c r="M1944" s="1509">
        <f t="shared" si="253"/>
        <v>0</v>
      </c>
      <c r="N1944" s="1508">
        <f t="shared" si="254"/>
        <v>0</v>
      </c>
    </row>
    <row r="1945" spans="1:14" ht="15.5" outlineLevel="1" x14ac:dyDescent="0.25">
      <c r="A1945" s="1492">
        <f t="shared" si="255"/>
        <v>0</v>
      </c>
      <c r="B1945" s="1492" t="str">
        <f t="shared" si="255"/>
        <v>Renovation and interior decoration of Hirai guest house</v>
      </c>
      <c r="C1945" s="1488">
        <f t="shared" si="255"/>
        <v>0</v>
      </c>
      <c r="D1945" s="1413" t="str">
        <f t="shared" si="255"/>
        <v>-</v>
      </c>
      <c r="E1945" s="560">
        <f t="shared" si="255"/>
        <v>7.51</v>
      </c>
      <c r="F1945" s="1508">
        <f t="shared" si="250"/>
        <v>0</v>
      </c>
      <c r="G1945" s="1508">
        <f t="shared" si="251"/>
        <v>0</v>
      </c>
      <c r="H1945" s="1508">
        <f t="shared" si="252"/>
        <v>0</v>
      </c>
      <c r="I1945" s="1480">
        <v>0</v>
      </c>
      <c r="J1945" s="1480">
        <v>0</v>
      </c>
      <c r="K1945" s="1508"/>
      <c r="L1945" s="1508"/>
      <c r="M1945" s="1509">
        <f t="shared" si="253"/>
        <v>0</v>
      </c>
      <c r="N1945" s="1508">
        <f t="shared" si="254"/>
        <v>0</v>
      </c>
    </row>
    <row r="1946" spans="1:14" ht="31" outlineLevel="1" x14ac:dyDescent="0.25">
      <c r="A1946" s="1492">
        <f t="shared" si="255"/>
        <v>0</v>
      </c>
      <c r="B1946" s="1492" t="str">
        <f t="shared" si="255"/>
        <v>Renovation and interior decoration of existing chummery guest house</v>
      </c>
      <c r="C1946" s="1488">
        <f t="shared" si="255"/>
        <v>0</v>
      </c>
      <c r="D1946" s="1413" t="str">
        <f t="shared" si="255"/>
        <v>-</v>
      </c>
      <c r="E1946" s="560">
        <f t="shared" si="255"/>
        <v>12.22</v>
      </c>
      <c r="F1946" s="1508">
        <f t="shared" si="250"/>
        <v>0</v>
      </c>
      <c r="G1946" s="1508">
        <f t="shared" si="251"/>
        <v>0</v>
      </c>
      <c r="H1946" s="1508">
        <f t="shared" si="252"/>
        <v>0</v>
      </c>
      <c r="I1946" s="1480">
        <v>0</v>
      </c>
      <c r="J1946" s="1480">
        <v>0</v>
      </c>
      <c r="K1946" s="1508"/>
      <c r="L1946" s="1508"/>
      <c r="M1946" s="1509">
        <f t="shared" si="253"/>
        <v>0</v>
      </c>
      <c r="N1946" s="1508">
        <f t="shared" si="254"/>
        <v>0</v>
      </c>
    </row>
    <row r="1947" spans="1:14" ht="31" outlineLevel="1" x14ac:dyDescent="0.25">
      <c r="A1947" s="1492">
        <f t="shared" si="255"/>
        <v>0</v>
      </c>
      <c r="B1947" s="1492" t="str">
        <f t="shared" si="255"/>
        <v>Renovation and interior decoration of existing Erai dam guest house</v>
      </c>
      <c r="C1947" s="1488">
        <f t="shared" si="255"/>
        <v>0</v>
      </c>
      <c r="D1947" s="1413" t="str">
        <f t="shared" si="255"/>
        <v>-</v>
      </c>
      <c r="E1947" s="560">
        <f t="shared" si="255"/>
        <v>6.65</v>
      </c>
      <c r="F1947" s="1508">
        <f t="shared" si="250"/>
        <v>0</v>
      </c>
      <c r="G1947" s="1508">
        <f t="shared" si="251"/>
        <v>0</v>
      </c>
      <c r="H1947" s="1508">
        <f t="shared" si="252"/>
        <v>0</v>
      </c>
      <c r="I1947" s="1480">
        <v>0</v>
      </c>
      <c r="J1947" s="1480">
        <v>0</v>
      </c>
      <c r="K1947" s="1508"/>
      <c r="L1947" s="1508"/>
      <c r="M1947" s="1509">
        <f t="shared" si="253"/>
        <v>0</v>
      </c>
      <c r="N1947" s="1508">
        <f t="shared" si="254"/>
        <v>0</v>
      </c>
    </row>
    <row r="1948" spans="1:14" ht="46.5" outlineLevel="1" x14ac:dyDescent="0.25">
      <c r="A1948" s="1492">
        <f t="shared" si="255"/>
        <v>0</v>
      </c>
      <c r="B1948" s="1492" t="str">
        <f t="shared" si="255"/>
        <v xml:space="preserve">Work of interior decoration by proding stop cabin arrangement and other internal architechture decorative work for RP section of admin building </v>
      </c>
      <c r="C1948" s="1488">
        <f t="shared" si="255"/>
        <v>0</v>
      </c>
      <c r="D1948" s="1413" t="str">
        <f t="shared" si="255"/>
        <v>-</v>
      </c>
      <c r="E1948" s="560">
        <f t="shared" si="255"/>
        <v>3.57</v>
      </c>
      <c r="F1948" s="1508">
        <f t="shared" si="250"/>
        <v>0</v>
      </c>
      <c r="G1948" s="1508">
        <f t="shared" si="251"/>
        <v>0</v>
      </c>
      <c r="H1948" s="1508">
        <f t="shared" si="252"/>
        <v>0</v>
      </c>
      <c r="I1948" s="1480">
        <v>0</v>
      </c>
      <c r="J1948" s="1480">
        <v>0</v>
      </c>
      <c r="K1948" s="1508"/>
      <c r="L1948" s="1508"/>
      <c r="M1948" s="1509">
        <f t="shared" si="253"/>
        <v>0</v>
      </c>
      <c r="N1948" s="1508">
        <f t="shared" si="254"/>
        <v>0</v>
      </c>
    </row>
    <row r="1949" spans="1:14" ht="15.5" outlineLevel="1" x14ac:dyDescent="0.25">
      <c r="A1949" s="1486">
        <f t="shared" si="255"/>
        <v>10</v>
      </c>
      <c r="B1949" s="1491" t="str">
        <f t="shared" si="255"/>
        <v>R&amp;M/LE for Identified Thermal units of MSPGCL</v>
      </c>
      <c r="C1949" s="1488">
        <f t="shared" si="255"/>
        <v>0</v>
      </c>
      <c r="D1949" s="1413" t="str">
        <f t="shared" si="255"/>
        <v>-</v>
      </c>
      <c r="E1949" s="560">
        <f t="shared" si="255"/>
        <v>400</v>
      </c>
      <c r="F1949" s="1508">
        <f t="shared" si="250"/>
        <v>0</v>
      </c>
      <c r="G1949" s="1508">
        <f t="shared" si="251"/>
        <v>0</v>
      </c>
      <c r="H1949" s="1508">
        <f t="shared" si="252"/>
        <v>0</v>
      </c>
      <c r="I1949" s="1480">
        <v>0</v>
      </c>
      <c r="J1949" s="1480">
        <v>0</v>
      </c>
      <c r="K1949" s="1508"/>
      <c r="L1949" s="1508"/>
      <c r="M1949" s="1509">
        <f t="shared" si="253"/>
        <v>0</v>
      </c>
      <c r="N1949" s="1508">
        <f t="shared" si="254"/>
        <v>0</v>
      </c>
    </row>
    <row r="1950" spans="1:14" ht="15.5" outlineLevel="1" x14ac:dyDescent="0.25">
      <c r="A1950" s="1492">
        <f t="shared" si="255"/>
        <v>0</v>
      </c>
      <c r="B1950" s="1492" t="str">
        <f t="shared" si="255"/>
        <v>R&amp;M/LE for Identified Thermal units of MSPGCL, CSTPS U-3</v>
      </c>
      <c r="C1950" s="1488">
        <f t="shared" si="255"/>
        <v>0</v>
      </c>
      <c r="D1950" s="1413" t="str">
        <f t="shared" si="255"/>
        <v>-</v>
      </c>
      <c r="E1950" s="560">
        <f t="shared" si="255"/>
        <v>293</v>
      </c>
      <c r="F1950" s="1508">
        <f t="shared" si="250"/>
        <v>0</v>
      </c>
      <c r="G1950" s="1508">
        <f t="shared" si="251"/>
        <v>0</v>
      </c>
      <c r="H1950" s="1508">
        <f t="shared" si="252"/>
        <v>0</v>
      </c>
      <c r="I1950" s="1480">
        <v>0</v>
      </c>
      <c r="J1950" s="1480">
        <v>0</v>
      </c>
      <c r="K1950" s="1508"/>
      <c r="L1950" s="1508"/>
      <c r="M1950" s="1509">
        <f t="shared" si="253"/>
        <v>0</v>
      </c>
      <c r="N1950" s="1508">
        <f t="shared" si="254"/>
        <v>0</v>
      </c>
    </row>
    <row r="1951" spans="1:14" ht="15.5" outlineLevel="1" x14ac:dyDescent="0.25">
      <c r="A1951" s="1492">
        <f t="shared" si="255"/>
        <v>0</v>
      </c>
      <c r="B1951" s="1492" t="str">
        <f t="shared" si="255"/>
        <v>R&amp;M/LE for Identified Thermal units of MSPGCL, CSTPS U-4</v>
      </c>
      <c r="C1951" s="1488">
        <f t="shared" si="255"/>
        <v>0</v>
      </c>
      <c r="D1951" s="1413" t="str">
        <f t="shared" si="255"/>
        <v>-</v>
      </c>
      <c r="E1951" s="560">
        <f t="shared" si="255"/>
        <v>300</v>
      </c>
      <c r="F1951" s="1508">
        <f t="shared" si="250"/>
        <v>0</v>
      </c>
      <c r="G1951" s="1508">
        <f t="shared" si="251"/>
        <v>0</v>
      </c>
      <c r="H1951" s="1508">
        <f t="shared" si="252"/>
        <v>0</v>
      </c>
      <c r="I1951" s="1480">
        <v>0</v>
      </c>
      <c r="J1951" s="1480">
        <v>0</v>
      </c>
      <c r="K1951" s="1508"/>
      <c r="L1951" s="1508"/>
      <c r="M1951" s="1509">
        <f t="shared" si="253"/>
        <v>0</v>
      </c>
      <c r="N1951" s="1508">
        <f t="shared" si="254"/>
        <v>0</v>
      </c>
    </row>
    <row r="1952" spans="1:14" ht="15.5" outlineLevel="1" x14ac:dyDescent="0.25">
      <c r="A1952" s="1486">
        <f t="shared" si="255"/>
        <v>11</v>
      </c>
      <c r="B1952" s="1491" t="str">
        <f t="shared" si="255"/>
        <v xml:space="preserve">CHP Improvement Schemes </v>
      </c>
      <c r="C1952" s="1488">
        <f t="shared" si="255"/>
        <v>0</v>
      </c>
      <c r="D1952" s="1413" t="str">
        <f t="shared" si="255"/>
        <v>-</v>
      </c>
      <c r="E1952" s="560">
        <f t="shared" si="255"/>
        <v>100</v>
      </c>
      <c r="F1952" s="1508">
        <f t="shared" si="250"/>
        <v>0</v>
      </c>
      <c r="G1952" s="1508">
        <f t="shared" si="251"/>
        <v>0</v>
      </c>
      <c r="H1952" s="1508">
        <f t="shared" si="252"/>
        <v>0</v>
      </c>
      <c r="I1952" s="1480">
        <v>0</v>
      </c>
      <c r="J1952" s="1480">
        <v>0</v>
      </c>
      <c r="K1952" s="1508"/>
      <c r="L1952" s="1508"/>
      <c r="M1952" s="1509">
        <f t="shared" si="253"/>
        <v>0</v>
      </c>
      <c r="N1952" s="1508">
        <f t="shared" si="254"/>
        <v>0</v>
      </c>
    </row>
    <row r="1953" spans="1:14" ht="15.5" outlineLevel="1" x14ac:dyDescent="0.25">
      <c r="A1953" s="1492">
        <f t="shared" si="255"/>
        <v>0</v>
      </c>
      <c r="B1953" s="1492" t="str">
        <f t="shared" si="255"/>
        <v>CHP Improvement Schemes at CHP-A, B, C</v>
      </c>
      <c r="C1953" s="1488">
        <f t="shared" si="255"/>
        <v>0</v>
      </c>
      <c r="D1953" s="1413" t="str">
        <f t="shared" si="255"/>
        <v>-</v>
      </c>
      <c r="E1953" s="560">
        <f t="shared" si="255"/>
        <v>100</v>
      </c>
      <c r="F1953" s="1508">
        <f t="shared" si="250"/>
        <v>0</v>
      </c>
      <c r="G1953" s="1508">
        <f t="shared" si="251"/>
        <v>0</v>
      </c>
      <c r="H1953" s="1508">
        <f t="shared" si="252"/>
        <v>0</v>
      </c>
      <c r="I1953" s="1480">
        <v>0</v>
      </c>
      <c r="J1953" s="1480">
        <v>0</v>
      </c>
      <c r="K1953" s="1508"/>
      <c r="L1953" s="1508"/>
      <c r="M1953" s="1509">
        <f t="shared" si="253"/>
        <v>0</v>
      </c>
      <c r="N1953" s="1508">
        <f t="shared" si="254"/>
        <v>0</v>
      </c>
    </row>
    <row r="1954" spans="1:14" ht="15.5" outlineLevel="1" x14ac:dyDescent="0.25">
      <c r="A1954" s="1486">
        <f t="shared" si="255"/>
        <v>12</v>
      </c>
      <c r="B1954" s="1491" t="str">
        <f t="shared" si="255"/>
        <v>Developlment &amp; Upgradation of SAP for MSPGCL</v>
      </c>
      <c r="C1954" s="1488">
        <f t="shared" si="255"/>
        <v>0</v>
      </c>
      <c r="D1954" s="1413" t="str">
        <f t="shared" si="255"/>
        <v>-</v>
      </c>
      <c r="E1954" s="560">
        <f t="shared" si="255"/>
        <v>200</v>
      </c>
      <c r="F1954" s="1508">
        <f t="shared" si="250"/>
        <v>0</v>
      </c>
      <c r="G1954" s="1508">
        <f t="shared" si="251"/>
        <v>0</v>
      </c>
      <c r="H1954" s="1508">
        <f t="shared" si="252"/>
        <v>0</v>
      </c>
      <c r="I1954" s="1480">
        <v>0</v>
      </c>
      <c r="J1954" s="1480">
        <v>0</v>
      </c>
      <c r="K1954" s="1508"/>
      <c r="L1954" s="1508"/>
      <c r="M1954" s="1509">
        <f t="shared" si="253"/>
        <v>0</v>
      </c>
      <c r="N1954" s="1508">
        <f t="shared" si="254"/>
        <v>0</v>
      </c>
    </row>
    <row r="1955" spans="1:14" ht="15.5" outlineLevel="1" x14ac:dyDescent="0.25">
      <c r="A1955" s="1492">
        <f t="shared" si="255"/>
        <v>0</v>
      </c>
      <c r="B1955" s="1492" t="str">
        <f t="shared" si="255"/>
        <v>Developlment &amp; Upgradation of SAP for MSPGCL</v>
      </c>
      <c r="C1955" s="1488">
        <f t="shared" si="255"/>
        <v>0</v>
      </c>
      <c r="D1955" s="1413" t="str">
        <f t="shared" si="255"/>
        <v>-</v>
      </c>
      <c r="E1955" s="560">
        <f t="shared" si="255"/>
        <v>200</v>
      </c>
      <c r="F1955" s="1508">
        <f t="shared" si="250"/>
        <v>0</v>
      </c>
      <c r="G1955" s="1508">
        <f t="shared" si="251"/>
        <v>0</v>
      </c>
      <c r="H1955" s="1508">
        <f t="shared" si="252"/>
        <v>0</v>
      </c>
      <c r="I1955" s="1480">
        <v>0</v>
      </c>
      <c r="J1955" s="1480">
        <v>0</v>
      </c>
      <c r="K1955" s="1508"/>
      <c r="L1955" s="1508"/>
      <c r="M1955" s="1509">
        <f t="shared" si="253"/>
        <v>0</v>
      </c>
      <c r="N1955" s="1508">
        <f t="shared" si="254"/>
        <v>0</v>
      </c>
    </row>
    <row r="1956" spans="1:14" ht="62" outlineLevel="1" x14ac:dyDescent="0.25">
      <c r="A1956" s="1486">
        <f t="shared" si="255"/>
        <v>13</v>
      </c>
      <c r="B1956" s="1491" t="str">
        <f t="shared" si="255"/>
        <v>Design, supply, installation and commissioning of Smart Energy Efficienient Illumination System for safety precautions and proving suitable working conditions  at stg-II &amp; III, CSTPS, Chandrapur</v>
      </c>
      <c r="C1956" s="1488">
        <f t="shared" si="255"/>
        <v>0</v>
      </c>
      <c r="D1956" s="1413" t="str">
        <f t="shared" si="255"/>
        <v>-</v>
      </c>
      <c r="E1956" s="560">
        <f t="shared" si="255"/>
        <v>42</v>
      </c>
      <c r="F1956" s="1508">
        <f t="shared" si="250"/>
        <v>0</v>
      </c>
      <c r="G1956" s="1508">
        <f t="shared" si="251"/>
        <v>0</v>
      </c>
      <c r="H1956" s="1508">
        <f t="shared" si="252"/>
        <v>0</v>
      </c>
      <c r="I1956" s="1480">
        <v>0</v>
      </c>
      <c r="J1956" s="1480">
        <v>0</v>
      </c>
      <c r="K1956" s="1508"/>
      <c r="L1956" s="1508"/>
      <c r="M1956" s="1509">
        <f t="shared" si="253"/>
        <v>0</v>
      </c>
      <c r="N1956" s="1508">
        <f t="shared" si="254"/>
        <v>0</v>
      </c>
    </row>
    <row r="1957" spans="1:14" ht="62" outlineLevel="1" x14ac:dyDescent="0.25">
      <c r="A1957" s="1492">
        <f t="shared" si="255"/>
        <v>0</v>
      </c>
      <c r="B1957" s="1492" t="str">
        <f t="shared" si="255"/>
        <v>Design, supply, installation and commissioning of Smart Energy Efficienient Illumination System for safety precautions and proving suitable working conditions  at stg-II &amp; III, CSTPS, Chandrapur</v>
      </c>
      <c r="C1957" s="1488">
        <f t="shared" si="255"/>
        <v>0</v>
      </c>
      <c r="D1957" s="1413" t="str">
        <f t="shared" si="255"/>
        <v>-</v>
      </c>
      <c r="E1957" s="560">
        <f t="shared" si="255"/>
        <v>42</v>
      </c>
      <c r="F1957" s="1508">
        <f t="shared" si="250"/>
        <v>0</v>
      </c>
      <c r="G1957" s="1508">
        <f t="shared" si="251"/>
        <v>0</v>
      </c>
      <c r="H1957" s="1508">
        <f t="shared" si="252"/>
        <v>0</v>
      </c>
      <c r="I1957" s="1480">
        <v>0</v>
      </c>
      <c r="J1957" s="1480">
        <v>0</v>
      </c>
      <c r="K1957" s="1508"/>
      <c r="L1957" s="1508"/>
      <c r="M1957" s="1509">
        <f t="shared" si="253"/>
        <v>0</v>
      </c>
      <c r="N1957" s="1508">
        <f t="shared" si="254"/>
        <v>0</v>
      </c>
    </row>
    <row r="1958" spans="1:14" ht="15.5" outlineLevel="1" x14ac:dyDescent="0.25">
      <c r="A1958" s="1486">
        <f t="shared" ref="A1958:E1973" si="256">A1288</f>
        <v>14</v>
      </c>
      <c r="B1958" s="1491" t="str">
        <f t="shared" si="256"/>
        <v>Implementation of Flexible Operation Solutions  (U-3,4)</v>
      </c>
      <c r="C1958" s="1488">
        <f t="shared" si="256"/>
        <v>0</v>
      </c>
      <c r="D1958" s="1413" t="str">
        <f t="shared" si="256"/>
        <v>-</v>
      </c>
      <c r="E1958" s="560">
        <f t="shared" si="256"/>
        <v>25</v>
      </c>
      <c r="F1958" s="1508">
        <f t="shared" si="250"/>
        <v>0</v>
      </c>
      <c r="G1958" s="1508">
        <f t="shared" si="251"/>
        <v>0</v>
      </c>
      <c r="H1958" s="1508">
        <f t="shared" si="252"/>
        <v>0</v>
      </c>
      <c r="I1958" s="1480">
        <v>0</v>
      </c>
      <c r="J1958" s="1480">
        <v>0</v>
      </c>
      <c r="K1958" s="1508"/>
      <c r="L1958" s="1508"/>
      <c r="M1958" s="1509">
        <f t="shared" si="253"/>
        <v>0</v>
      </c>
      <c r="N1958" s="1508">
        <f t="shared" si="254"/>
        <v>0</v>
      </c>
    </row>
    <row r="1959" spans="1:14" ht="15.5" outlineLevel="1" x14ac:dyDescent="0.25">
      <c r="A1959" s="1492">
        <f t="shared" si="256"/>
        <v>0</v>
      </c>
      <c r="B1959" s="1492" t="str">
        <f t="shared" si="256"/>
        <v>Implementation of Flexible Operation Solutions (U-3,4)</v>
      </c>
      <c r="C1959" s="1488">
        <f t="shared" si="256"/>
        <v>0</v>
      </c>
      <c r="D1959" s="1413" t="str">
        <f t="shared" si="256"/>
        <v>-</v>
      </c>
      <c r="E1959" s="560">
        <f t="shared" si="256"/>
        <v>25</v>
      </c>
      <c r="F1959" s="1508">
        <f t="shared" si="250"/>
        <v>0</v>
      </c>
      <c r="G1959" s="1508">
        <f t="shared" si="251"/>
        <v>0</v>
      </c>
      <c r="H1959" s="1508">
        <f t="shared" si="252"/>
        <v>0</v>
      </c>
      <c r="I1959" s="1480">
        <v>0</v>
      </c>
      <c r="J1959" s="1480">
        <v>0</v>
      </c>
      <c r="K1959" s="1508"/>
      <c r="L1959" s="1508"/>
      <c r="M1959" s="1509">
        <f t="shared" si="253"/>
        <v>0</v>
      </c>
      <c r="N1959" s="1508">
        <f t="shared" si="254"/>
        <v>0</v>
      </c>
    </row>
    <row r="1960" spans="1:14" ht="15.5" outlineLevel="1" x14ac:dyDescent="0.25">
      <c r="A1960" s="1486">
        <f t="shared" si="256"/>
        <v>15</v>
      </c>
      <c r="B1960" s="1491" t="str">
        <f t="shared" si="256"/>
        <v>DPR for ash utilisation cell- infrastructure development</v>
      </c>
      <c r="C1960" s="1488">
        <f t="shared" si="256"/>
        <v>0</v>
      </c>
      <c r="D1960" s="1413" t="str">
        <f t="shared" si="256"/>
        <v>-</v>
      </c>
      <c r="E1960" s="560">
        <f t="shared" si="256"/>
        <v>278.5</v>
      </c>
      <c r="F1960" s="1508">
        <f t="shared" si="250"/>
        <v>0</v>
      </c>
      <c r="G1960" s="1508">
        <f t="shared" si="251"/>
        <v>0</v>
      </c>
      <c r="H1960" s="1508">
        <f t="shared" si="252"/>
        <v>0</v>
      </c>
      <c r="I1960" s="1480">
        <v>0</v>
      </c>
      <c r="J1960" s="1480">
        <v>0</v>
      </c>
      <c r="K1960" s="1508"/>
      <c r="L1960" s="1508"/>
      <c r="M1960" s="1509">
        <f t="shared" si="253"/>
        <v>0</v>
      </c>
      <c r="N1960" s="1508">
        <f t="shared" si="254"/>
        <v>0</v>
      </c>
    </row>
    <row r="1961" spans="1:14" ht="31" outlineLevel="1" x14ac:dyDescent="0.25">
      <c r="A1961" s="1492">
        <f t="shared" si="256"/>
        <v>0</v>
      </c>
      <c r="B1961" s="1492" t="str">
        <f t="shared" si="256"/>
        <v>DPR for development of infrastructure for loading and dispatch of fly ash through Railway Wagons, CSTPS, Chandrapur</v>
      </c>
      <c r="C1961" s="1488">
        <f t="shared" si="256"/>
        <v>0</v>
      </c>
      <c r="D1961" s="1413" t="str">
        <f t="shared" si="256"/>
        <v>-</v>
      </c>
      <c r="E1961" s="560">
        <f t="shared" si="256"/>
        <v>268</v>
      </c>
      <c r="F1961" s="1508">
        <f t="shared" si="250"/>
        <v>0</v>
      </c>
      <c r="G1961" s="1508">
        <f t="shared" si="251"/>
        <v>0</v>
      </c>
      <c r="H1961" s="1508">
        <f t="shared" si="252"/>
        <v>0</v>
      </c>
      <c r="I1961" s="1480">
        <v>0</v>
      </c>
      <c r="J1961" s="1480">
        <v>0</v>
      </c>
      <c r="K1961" s="1508"/>
      <c r="L1961" s="1508"/>
      <c r="M1961" s="1509">
        <f t="shared" si="253"/>
        <v>0</v>
      </c>
      <c r="N1961" s="1508">
        <f t="shared" si="254"/>
        <v>0</v>
      </c>
    </row>
    <row r="1962" spans="1:14" ht="31" outlineLevel="1" x14ac:dyDescent="0.25">
      <c r="A1962" s="1492">
        <f t="shared" si="256"/>
        <v>0</v>
      </c>
      <c r="B1962" s="1492" t="str">
        <f t="shared" si="256"/>
        <v>Disposal of bottom ash for stowing of u/g mines of Chandrapur Area by installing direct pipeline from CSTPS to WCL</v>
      </c>
      <c r="C1962" s="1488">
        <f t="shared" si="256"/>
        <v>0</v>
      </c>
      <c r="D1962" s="1413" t="str">
        <f t="shared" si="256"/>
        <v>-</v>
      </c>
      <c r="E1962" s="560">
        <f t="shared" si="256"/>
        <v>10</v>
      </c>
      <c r="F1962" s="1508">
        <f t="shared" si="250"/>
        <v>0</v>
      </c>
      <c r="G1962" s="1508">
        <f t="shared" si="251"/>
        <v>0</v>
      </c>
      <c r="H1962" s="1508">
        <f t="shared" si="252"/>
        <v>0</v>
      </c>
      <c r="I1962" s="1480">
        <v>0</v>
      </c>
      <c r="J1962" s="1480">
        <v>0</v>
      </c>
      <c r="K1962" s="1508"/>
      <c r="L1962" s="1508"/>
      <c r="M1962" s="1509">
        <f t="shared" si="253"/>
        <v>0</v>
      </c>
      <c r="N1962" s="1508">
        <f t="shared" si="254"/>
        <v>0</v>
      </c>
    </row>
    <row r="1963" spans="1:14" ht="46.5" outlineLevel="1" x14ac:dyDescent="0.25">
      <c r="A1963" s="1492">
        <f t="shared" si="256"/>
        <v>0</v>
      </c>
      <c r="B1963" s="1492" t="str">
        <f t="shared" si="256"/>
        <v>Design, supply, installation, testing and commissioning of 100 MT 16X3 Mtr. electronic weigh bridge system, for weighment and dispatch of Pond Ash from Ash bund, CSTPS, Chandrapur</v>
      </c>
      <c r="C1963" s="1488">
        <f t="shared" si="256"/>
        <v>0</v>
      </c>
      <c r="D1963" s="1413" t="str">
        <f t="shared" si="256"/>
        <v>-</v>
      </c>
      <c r="E1963" s="560">
        <f t="shared" si="256"/>
        <v>0.5</v>
      </c>
      <c r="F1963" s="1508">
        <f t="shared" si="250"/>
        <v>0</v>
      </c>
      <c r="G1963" s="1508">
        <f t="shared" si="251"/>
        <v>0</v>
      </c>
      <c r="H1963" s="1508">
        <f t="shared" si="252"/>
        <v>0</v>
      </c>
      <c r="I1963" s="1480">
        <v>0</v>
      </c>
      <c r="J1963" s="1480">
        <v>0</v>
      </c>
      <c r="K1963" s="1508"/>
      <c r="L1963" s="1508"/>
      <c r="M1963" s="1509">
        <f t="shared" si="253"/>
        <v>0</v>
      </c>
      <c r="N1963" s="1508">
        <f t="shared" si="254"/>
        <v>0</v>
      </c>
    </row>
    <row r="1964" spans="1:14" ht="15.5" outlineLevel="1" x14ac:dyDescent="0.25">
      <c r="A1964" s="1486">
        <f t="shared" si="256"/>
        <v>16</v>
      </c>
      <c r="B1964" s="1491" t="str">
        <f t="shared" si="256"/>
        <v>Up-gradation Schemes for CAAQM Stations &amp; NABL Laboratory</v>
      </c>
      <c r="C1964" s="1488">
        <f t="shared" si="256"/>
        <v>0</v>
      </c>
      <c r="D1964" s="1413" t="str">
        <f t="shared" si="256"/>
        <v>-</v>
      </c>
      <c r="E1964" s="560">
        <f t="shared" si="256"/>
        <v>25</v>
      </c>
      <c r="F1964" s="1508">
        <f t="shared" si="250"/>
        <v>0</v>
      </c>
      <c r="G1964" s="1508">
        <f t="shared" si="251"/>
        <v>0</v>
      </c>
      <c r="H1964" s="1508">
        <f t="shared" si="252"/>
        <v>0</v>
      </c>
      <c r="I1964" s="1480">
        <v>0</v>
      </c>
      <c r="J1964" s="1480">
        <v>0</v>
      </c>
      <c r="K1964" s="1508"/>
      <c r="L1964" s="1508"/>
      <c r="M1964" s="1509">
        <f t="shared" si="253"/>
        <v>0</v>
      </c>
      <c r="N1964" s="1508">
        <f t="shared" si="254"/>
        <v>0</v>
      </c>
    </row>
    <row r="1965" spans="1:14" ht="15.5" outlineLevel="1" x14ac:dyDescent="0.25">
      <c r="A1965" s="1492">
        <f t="shared" si="256"/>
        <v>0</v>
      </c>
      <c r="B1965" s="1492" t="str">
        <f t="shared" si="256"/>
        <v>Up-gradation Schemes for CAAQM Stations &amp; NABL Laboratory</v>
      </c>
      <c r="C1965" s="1488">
        <f t="shared" si="256"/>
        <v>0</v>
      </c>
      <c r="D1965" s="1413" t="str">
        <f t="shared" si="256"/>
        <v>-</v>
      </c>
      <c r="E1965" s="560">
        <f t="shared" si="256"/>
        <v>25</v>
      </c>
      <c r="F1965" s="1508">
        <f t="shared" si="250"/>
        <v>0</v>
      </c>
      <c r="G1965" s="1508">
        <f t="shared" si="251"/>
        <v>0</v>
      </c>
      <c r="H1965" s="1508">
        <f t="shared" si="252"/>
        <v>0</v>
      </c>
      <c r="I1965" s="1480">
        <v>0</v>
      </c>
      <c r="J1965" s="1480">
        <v>0</v>
      </c>
      <c r="K1965" s="1508"/>
      <c r="L1965" s="1508"/>
      <c r="M1965" s="1509">
        <f t="shared" si="253"/>
        <v>0</v>
      </c>
      <c r="N1965" s="1508">
        <f t="shared" si="254"/>
        <v>0</v>
      </c>
    </row>
    <row r="1966" spans="1:14" ht="62" outlineLevel="1" x14ac:dyDescent="0.25">
      <c r="A1966" s="1486">
        <f t="shared" si="256"/>
        <v>17</v>
      </c>
      <c r="B1966" s="1491" t="str">
        <f t="shared" si="256"/>
        <v>Comprehensive Strategies for Environmental Sustainability at CSTPS: Implementing Zero Discharge Policies and Pollution Control Measures for Effective Water Body Management and Hazard Prevention</v>
      </c>
      <c r="C1966" s="1488">
        <f t="shared" si="256"/>
        <v>0</v>
      </c>
      <c r="D1966" s="1413" t="str">
        <f t="shared" si="256"/>
        <v>-</v>
      </c>
      <c r="E1966" s="560">
        <f t="shared" si="256"/>
        <v>27.6</v>
      </c>
      <c r="F1966" s="1508">
        <f t="shared" si="250"/>
        <v>0</v>
      </c>
      <c r="G1966" s="1508">
        <f t="shared" si="251"/>
        <v>0</v>
      </c>
      <c r="H1966" s="1508">
        <f t="shared" si="252"/>
        <v>0</v>
      </c>
      <c r="I1966" s="1480">
        <v>0</v>
      </c>
      <c r="J1966" s="1480">
        <v>0</v>
      </c>
      <c r="K1966" s="1508"/>
      <c r="L1966" s="1508"/>
      <c r="M1966" s="1509">
        <f t="shared" si="253"/>
        <v>0</v>
      </c>
      <c r="N1966" s="1508">
        <f t="shared" si="254"/>
        <v>0</v>
      </c>
    </row>
    <row r="1967" spans="1:14" ht="62" outlineLevel="1" x14ac:dyDescent="0.25">
      <c r="A1967" s="1492">
        <f t="shared" si="256"/>
        <v>0</v>
      </c>
      <c r="B1967" s="1492" t="str">
        <f t="shared" si="256"/>
        <v>Upgrading Settling tank near the Coal Reject Area: Installation of Settling Tank Liners and Enhanced Upgraded Pump House Systems to Prevent Acidic Water Seepage into the Ranvendli Nallah which connected to the ERAI River.</v>
      </c>
      <c r="C1967" s="1488">
        <f t="shared" si="256"/>
        <v>0</v>
      </c>
      <c r="D1967" s="1413" t="str">
        <f t="shared" si="256"/>
        <v>-</v>
      </c>
      <c r="E1967" s="560">
        <f t="shared" si="256"/>
        <v>8.9</v>
      </c>
      <c r="F1967" s="1508">
        <f t="shared" si="250"/>
        <v>0</v>
      </c>
      <c r="G1967" s="1508">
        <f t="shared" si="251"/>
        <v>0</v>
      </c>
      <c r="H1967" s="1508">
        <f t="shared" si="252"/>
        <v>0</v>
      </c>
      <c r="I1967" s="1480">
        <v>0</v>
      </c>
      <c r="J1967" s="1480">
        <v>0</v>
      </c>
      <c r="K1967" s="1508"/>
      <c r="L1967" s="1508"/>
      <c r="M1967" s="1509">
        <f t="shared" si="253"/>
        <v>0</v>
      </c>
      <c r="N1967" s="1508">
        <f t="shared" si="254"/>
        <v>0</v>
      </c>
    </row>
    <row r="1968" spans="1:14" ht="46.5" outlineLevel="1" x14ac:dyDescent="0.25">
      <c r="A1968" s="1492">
        <f t="shared" si="256"/>
        <v>0</v>
      </c>
      <c r="B1968" s="1492" t="str">
        <f t="shared" si="256"/>
        <v>Implementation of Zero Water Discharge Solutions: Design, Construction, and Commissioning of New Pump Houses for ETP 1 and ETP 2 to Enhance Capacity for Effective Water Recovery</v>
      </c>
      <c r="C1968" s="1488">
        <f t="shared" si="256"/>
        <v>0</v>
      </c>
      <c r="D1968" s="1413" t="str">
        <f t="shared" si="256"/>
        <v>-</v>
      </c>
      <c r="E1968" s="560">
        <f t="shared" si="256"/>
        <v>10.82</v>
      </c>
      <c r="F1968" s="1508">
        <f t="shared" si="250"/>
        <v>0</v>
      </c>
      <c r="G1968" s="1508">
        <f t="shared" si="251"/>
        <v>0</v>
      </c>
      <c r="H1968" s="1508">
        <f t="shared" si="252"/>
        <v>0</v>
      </c>
      <c r="I1968" s="1480">
        <v>0</v>
      </c>
      <c r="J1968" s="1480">
        <v>0</v>
      </c>
      <c r="K1968" s="1508"/>
      <c r="L1968" s="1508"/>
      <c r="M1968" s="1509">
        <f t="shared" si="253"/>
        <v>0</v>
      </c>
      <c r="N1968" s="1508">
        <f t="shared" si="254"/>
        <v>0</v>
      </c>
    </row>
    <row r="1969" spans="1:14" ht="62" outlineLevel="1" x14ac:dyDescent="0.25">
      <c r="A1969" s="1492">
        <f t="shared" si="256"/>
        <v>0</v>
      </c>
      <c r="B1969" s="1492" t="str">
        <f t="shared" si="256"/>
        <v>Underground Ash Disposal Pipeline Management: Design, Construction, and Installation of Filter Beds Along Ash Disposal Pipelines for Improved Environmental Protection of Water Bodies from Ingress into the Erai River</v>
      </c>
      <c r="C1969" s="1488">
        <f t="shared" si="256"/>
        <v>0</v>
      </c>
      <c r="D1969" s="1413" t="str">
        <f t="shared" si="256"/>
        <v>-</v>
      </c>
      <c r="E1969" s="560">
        <f t="shared" si="256"/>
        <v>7.88</v>
      </c>
      <c r="F1969" s="1508">
        <f t="shared" si="250"/>
        <v>0</v>
      </c>
      <c r="G1969" s="1508">
        <f t="shared" si="251"/>
        <v>0</v>
      </c>
      <c r="H1969" s="1508">
        <f t="shared" si="252"/>
        <v>0</v>
      </c>
      <c r="I1969" s="1480">
        <v>0</v>
      </c>
      <c r="J1969" s="1480">
        <v>0</v>
      </c>
      <c r="K1969" s="1508"/>
      <c r="L1969" s="1508"/>
      <c r="M1969" s="1509">
        <f t="shared" si="253"/>
        <v>0</v>
      </c>
      <c r="N1969" s="1508">
        <f t="shared" si="254"/>
        <v>0</v>
      </c>
    </row>
    <row r="1970" spans="1:14" ht="15.5" outlineLevel="1" x14ac:dyDescent="0.25">
      <c r="A1970" s="1486">
        <f t="shared" si="256"/>
        <v>18</v>
      </c>
      <c r="B1970" s="1491" t="str">
        <f t="shared" si="256"/>
        <v>Ash bund peripheral road</v>
      </c>
      <c r="C1970" s="1488">
        <f t="shared" si="256"/>
        <v>0</v>
      </c>
      <c r="D1970" s="1413" t="str">
        <f t="shared" si="256"/>
        <v>-</v>
      </c>
      <c r="E1970" s="560">
        <f t="shared" si="256"/>
        <v>120</v>
      </c>
      <c r="F1970" s="1508">
        <f t="shared" si="250"/>
        <v>0</v>
      </c>
      <c r="G1970" s="1508">
        <f t="shared" si="251"/>
        <v>0</v>
      </c>
      <c r="H1970" s="1508">
        <f t="shared" si="252"/>
        <v>0</v>
      </c>
      <c r="I1970" s="1480">
        <v>0</v>
      </c>
      <c r="J1970" s="1480">
        <v>0</v>
      </c>
      <c r="K1970" s="1508"/>
      <c r="L1970" s="1508"/>
      <c r="M1970" s="1509">
        <f t="shared" si="253"/>
        <v>0</v>
      </c>
      <c r="N1970" s="1508">
        <f t="shared" si="254"/>
        <v>0</v>
      </c>
    </row>
    <row r="1971" spans="1:14" ht="15.5" outlineLevel="1" x14ac:dyDescent="0.25">
      <c r="A1971" s="1492">
        <f t="shared" si="256"/>
        <v>0</v>
      </c>
      <c r="B1971" s="1492" t="str">
        <f t="shared" si="256"/>
        <v>Ash bund peripheral road</v>
      </c>
      <c r="C1971" s="1488">
        <f t="shared" si="256"/>
        <v>0</v>
      </c>
      <c r="D1971" s="1413" t="str">
        <f t="shared" si="256"/>
        <v>-</v>
      </c>
      <c r="E1971" s="560">
        <f t="shared" si="256"/>
        <v>120</v>
      </c>
      <c r="F1971" s="1508">
        <f t="shared" si="250"/>
        <v>0</v>
      </c>
      <c r="G1971" s="1508">
        <f t="shared" si="251"/>
        <v>0</v>
      </c>
      <c r="H1971" s="1508">
        <f t="shared" si="252"/>
        <v>0</v>
      </c>
      <c r="I1971" s="1480">
        <v>0</v>
      </c>
      <c r="J1971" s="1480">
        <v>0</v>
      </c>
      <c r="K1971" s="1508"/>
      <c r="L1971" s="1508"/>
      <c r="M1971" s="1509">
        <f t="shared" si="253"/>
        <v>0</v>
      </c>
      <c r="N1971" s="1508">
        <f t="shared" si="254"/>
        <v>0</v>
      </c>
    </row>
    <row r="1972" spans="1:14" ht="15.5" outlineLevel="1" x14ac:dyDescent="0.25">
      <c r="A1972" s="1486">
        <f t="shared" si="256"/>
        <v>19</v>
      </c>
      <c r="B1972" s="1491" t="str">
        <f t="shared" si="256"/>
        <v>Construction of peripheral nallah</v>
      </c>
      <c r="C1972" s="1488">
        <f t="shared" si="256"/>
        <v>0</v>
      </c>
      <c r="D1972" s="1413" t="str">
        <f t="shared" si="256"/>
        <v>-</v>
      </c>
      <c r="E1972" s="560">
        <f t="shared" si="256"/>
        <v>100</v>
      </c>
      <c r="F1972" s="1508">
        <f t="shared" si="250"/>
        <v>0</v>
      </c>
      <c r="G1972" s="1508">
        <f t="shared" si="251"/>
        <v>0</v>
      </c>
      <c r="H1972" s="1508">
        <f t="shared" si="252"/>
        <v>0</v>
      </c>
      <c r="I1972" s="1480">
        <v>0</v>
      </c>
      <c r="J1972" s="1480">
        <v>0</v>
      </c>
      <c r="K1972" s="1508"/>
      <c r="L1972" s="1508"/>
      <c r="M1972" s="1509">
        <f t="shared" si="253"/>
        <v>0</v>
      </c>
      <c r="N1972" s="1508">
        <f t="shared" si="254"/>
        <v>0</v>
      </c>
    </row>
    <row r="1973" spans="1:14" ht="15.5" outlineLevel="1" x14ac:dyDescent="0.25">
      <c r="A1973" s="1492">
        <f t="shared" si="256"/>
        <v>0</v>
      </c>
      <c r="B1973" s="1492" t="str">
        <f t="shared" si="256"/>
        <v>Construction of peripheral nallah</v>
      </c>
      <c r="C1973" s="1488">
        <f t="shared" si="256"/>
        <v>0</v>
      </c>
      <c r="D1973" s="1413" t="str">
        <f t="shared" si="256"/>
        <v>-</v>
      </c>
      <c r="E1973" s="560">
        <f t="shared" si="256"/>
        <v>100</v>
      </c>
      <c r="F1973" s="1508">
        <f t="shared" si="250"/>
        <v>0</v>
      </c>
      <c r="G1973" s="1508">
        <f t="shared" si="251"/>
        <v>0</v>
      </c>
      <c r="H1973" s="1508">
        <f t="shared" si="252"/>
        <v>0</v>
      </c>
      <c r="I1973" s="1480">
        <v>0</v>
      </c>
      <c r="J1973" s="1480">
        <v>0</v>
      </c>
      <c r="K1973" s="1508"/>
      <c r="L1973" s="1508"/>
      <c r="M1973" s="1509">
        <f t="shared" si="253"/>
        <v>0</v>
      </c>
      <c r="N1973" s="1508">
        <f t="shared" si="254"/>
        <v>0</v>
      </c>
    </row>
    <row r="1974" spans="1:14" ht="15.5" outlineLevel="1" x14ac:dyDescent="0.25">
      <c r="A1974" s="1486">
        <f t="shared" ref="A1974:E1989" si="257">A1304</f>
        <v>20</v>
      </c>
      <c r="B1974" s="1491" t="str">
        <f t="shared" si="257"/>
        <v>Construction of concrete Roads with drains at colony</v>
      </c>
      <c r="C1974" s="1488">
        <f t="shared" si="257"/>
        <v>0</v>
      </c>
      <c r="D1974" s="1413" t="str">
        <f t="shared" si="257"/>
        <v>-</v>
      </c>
      <c r="E1974" s="560">
        <f t="shared" si="257"/>
        <v>110</v>
      </c>
      <c r="F1974" s="1508">
        <f t="shared" si="250"/>
        <v>0</v>
      </c>
      <c r="G1974" s="1508">
        <f t="shared" si="251"/>
        <v>0</v>
      </c>
      <c r="H1974" s="1508">
        <f t="shared" si="252"/>
        <v>0</v>
      </c>
      <c r="I1974" s="1480">
        <v>0</v>
      </c>
      <c r="J1974" s="1480">
        <v>0</v>
      </c>
      <c r="K1974" s="1508"/>
      <c r="L1974" s="1508"/>
      <c r="M1974" s="1509">
        <f t="shared" si="253"/>
        <v>0</v>
      </c>
      <c r="N1974" s="1508">
        <f t="shared" si="254"/>
        <v>0</v>
      </c>
    </row>
    <row r="1975" spans="1:14" ht="15.5" outlineLevel="1" x14ac:dyDescent="0.25">
      <c r="A1975" s="1492">
        <f t="shared" si="257"/>
        <v>0</v>
      </c>
      <c r="B1975" s="1492" t="str">
        <f t="shared" si="257"/>
        <v>Construction of concrete Roads with drains at colony</v>
      </c>
      <c r="C1975" s="1488">
        <f t="shared" si="257"/>
        <v>0</v>
      </c>
      <c r="D1975" s="1413" t="str">
        <f t="shared" si="257"/>
        <v>-</v>
      </c>
      <c r="E1975" s="560">
        <f t="shared" si="257"/>
        <v>110</v>
      </c>
      <c r="F1975" s="1508">
        <f t="shared" si="250"/>
        <v>0</v>
      </c>
      <c r="G1975" s="1508">
        <f t="shared" si="251"/>
        <v>0</v>
      </c>
      <c r="H1975" s="1508">
        <f t="shared" si="252"/>
        <v>0</v>
      </c>
      <c r="I1975" s="1480">
        <v>0</v>
      </c>
      <c r="J1975" s="1480">
        <v>0</v>
      </c>
      <c r="K1975" s="1508"/>
      <c r="L1975" s="1508"/>
      <c r="M1975" s="1509">
        <f t="shared" si="253"/>
        <v>0</v>
      </c>
      <c r="N1975" s="1508">
        <f t="shared" si="254"/>
        <v>0</v>
      </c>
    </row>
    <row r="1976" spans="1:14" ht="15.5" outlineLevel="1" x14ac:dyDescent="0.25">
      <c r="A1976" s="1486">
        <f t="shared" si="257"/>
        <v>21</v>
      </c>
      <c r="B1976" s="1491" t="str">
        <f t="shared" si="257"/>
        <v>Fugitive emisson reduction techniques</v>
      </c>
      <c r="C1976" s="1488">
        <f t="shared" si="257"/>
        <v>0</v>
      </c>
      <c r="D1976" s="1413" t="str">
        <f t="shared" si="257"/>
        <v>-</v>
      </c>
      <c r="E1976" s="560">
        <f t="shared" si="257"/>
        <v>50</v>
      </c>
      <c r="F1976" s="1508">
        <f t="shared" si="250"/>
        <v>0</v>
      </c>
      <c r="G1976" s="1508">
        <f t="shared" si="251"/>
        <v>0</v>
      </c>
      <c r="H1976" s="1508">
        <f t="shared" si="252"/>
        <v>0</v>
      </c>
      <c r="I1976" s="1480">
        <v>0</v>
      </c>
      <c r="J1976" s="1480">
        <v>0</v>
      </c>
      <c r="K1976" s="1508"/>
      <c r="L1976" s="1508"/>
      <c r="M1976" s="1509">
        <f t="shared" si="253"/>
        <v>0</v>
      </c>
      <c r="N1976" s="1508">
        <f t="shared" si="254"/>
        <v>0</v>
      </c>
    </row>
    <row r="1977" spans="1:14" ht="15.5" outlineLevel="1" x14ac:dyDescent="0.25">
      <c r="A1977" s="1492">
        <f t="shared" si="257"/>
        <v>0</v>
      </c>
      <c r="B1977" s="1492" t="str">
        <f t="shared" si="257"/>
        <v>Fugitive emisson reduction schemes</v>
      </c>
      <c r="C1977" s="1488">
        <f t="shared" si="257"/>
        <v>0</v>
      </c>
      <c r="D1977" s="1413" t="str">
        <f t="shared" si="257"/>
        <v>-</v>
      </c>
      <c r="E1977" s="560">
        <f t="shared" si="257"/>
        <v>50</v>
      </c>
      <c r="F1977" s="1508">
        <f t="shared" si="250"/>
        <v>0</v>
      </c>
      <c r="G1977" s="1508">
        <f t="shared" si="251"/>
        <v>0</v>
      </c>
      <c r="H1977" s="1508">
        <f t="shared" si="252"/>
        <v>0</v>
      </c>
      <c r="I1977" s="1480">
        <v>0</v>
      </c>
      <c r="J1977" s="1480">
        <v>0</v>
      </c>
      <c r="K1977" s="1508"/>
      <c r="L1977" s="1508"/>
      <c r="M1977" s="1509">
        <f t="shared" si="253"/>
        <v>0</v>
      </c>
      <c r="N1977" s="1508">
        <f t="shared" si="254"/>
        <v>0</v>
      </c>
    </row>
    <row r="1978" spans="1:14" ht="15.5" outlineLevel="1" x14ac:dyDescent="0.25">
      <c r="A1978" s="1453">
        <f t="shared" si="257"/>
        <v>0</v>
      </c>
      <c r="B1978" s="96">
        <f t="shared" si="257"/>
        <v>0</v>
      </c>
      <c r="C1978" s="1453">
        <f t="shared" si="257"/>
        <v>0</v>
      </c>
      <c r="D1978" s="1503" t="str">
        <f t="shared" si="257"/>
        <v>-</v>
      </c>
      <c r="E1978" s="560">
        <f t="shared" si="257"/>
        <v>0</v>
      </c>
      <c r="F1978" s="1508">
        <f t="shared" si="250"/>
        <v>0</v>
      </c>
      <c r="G1978" s="1508">
        <f t="shared" si="251"/>
        <v>0</v>
      </c>
      <c r="H1978" s="1508">
        <f t="shared" si="252"/>
        <v>0</v>
      </c>
      <c r="I1978" s="1480">
        <v>0</v>
      </c>
      <c r="J1978" s="1480">
        <v>0</v>
      </c>
      <c r="K1978" s="1508"/>
      <c r="L1978" s="1508"/>
      <c r="M1978" s="1509">
        <f t="shared" si="253"/>
        <v>0</v>
      </c>
      <c r="N1978" s="1508">
        <f t="shared" si="254"/>
        <v>0</v>
      </c>
    </row>
    <row r="1979" spans="1:14" ht="15.5" outlineLevel="1" x14ac:dyDescent="0.25">
      <c r="A1979" s="1488">
        <f t="shared" si="257"/>
        <v>0</v>
      </c>
      <c r="B1979" s="1492">
        <f t="shared" si="257"/>
        <v>0</v>
      </c>
      <c r="C1979" s="1488">
        <f t="shared" si="257"/>
        <v>0</v>
      </c>
      <c r="D1979" s="1413" t="str">
        <f t="shared" si="257"/>
        <v>-</v>
      </c>
      <c r="E1979" s="560">
        <f t="shared" si="257"/>
        <v>0</v>
      </c>
      <c r="F1979" s="1508">
        <f t="shared" si="250"/>
        <v>0</v>
      </c>
      <c r="G1979" s="1508">
        <f t="shared" si="251"/>
        <v>0</v>
      </c>
      <c r="H1979" s="1508">
        <f t="shared" si="252"/>
        <v>0</v>
      </c>
      <c r="I1979" s="1480">
        <v>0</v>
      </c>
      <c r="J1979" s="1480">
        <v>0</v>
      </c>
      <c r="K1979" s="1508"/>
      <c r="L1979" s="1508"/>
      <c r="M1979" s="1509">
        <f t="shared" si="253"/>
        <v>0</v>
      </c>
      <c r="N1979" s="1508">
        <f t="shared" si="254"/>
        <v>0</v>
      </c>
    </row>
    <row r="1980" spans="1:14" ht="15.5" outlineLevel="1" x14ac:dyDescent="0.25">
      <c r="A1980" s="1505">
        <f t="shared" si="257"/>
        <v>0</v>
      </c>
      <c r="B1980" s="1492">
        <f t="shared" si="257"/>
        <v>0</v>
      </c>
      <c r="C1980" s="1505">
        <f t="shared" si="257"/>
        <v>0</v>
      </c>
      <c r="D1980" s="1503" t="str">
        <f t="shared" si="257"/>
        <v>-</v>
      </c>
      <c r="E1980" s="560">
        <f t="shared" si="257"/>
        <v>0</v>
      </c>
      <c r="F1980" s="1508">
        <f t="shared" si="250"/>
        <v>0</v>
      </c>
      <c r="G1980" s="1508">
        <f t="shared" si="251"/>
        <v>0</v>
      </c>
      <c r="H1980" s="1508">
        <f t="shared" si="252"/>
        <v>0</v>
      </c>
      <c r="I1980" s="1480">
        <v>0</v>
      </c>
      <c r="J1980" s="1480">
        <v>0</v>
      </c>
      <c r="K1980" s="1508"/>
      <c r="L1980" s="1508"/>
      <c r="M1980" s="1509">
        <f t="shared" si="253"/>
        <v>0</v>
      </c>
      <c r="N1980" s="1508">
        <f t="shared" si="254"/>
        <v>0</v>
      </c>
    </row>
    <row r="1981" spans="1:14" ht="15.5" outlineLevel="1" x14ac:dyDescent="0.25">
      <c r="A1981" s="1453">
        <f t="shared" si="257"/>
        <v>0</v>
      </c>
      <c r="B1981" s="1389" t="str">
        <f t="shared" si="257"/>
        <v>B) Non-DPR Schemes</v>
      </c>
      <c r="C1981" s="1453">
        <f t="shared" si="257"/>
        <v>0</v>
      </c>
      <c r="D1981" s="1503" t="str">
        <f t="shared" si="257"/>
        <v>-</v>
      </c>
      <c r="E1981" s="560">
        <f t="shared" si="257"/>
        <v>0</v>
      </c>
      <c r="F1981" s="1508">
        <f t="shared" si="250"/>
        <v>0</v>
      </c>
      <c r="G1981" s="1508">
        <f t="shared" si="251"/>
        <v>0</v>
      </c>
      <c r="H1981" s="1508">
        <f t="shared" si="252"/>
        <v>0</v>
      </c>
      <c r="I1981" s="1480">
        <v>0</v>
      </c>
      <c r="J1981" s="1480">
        <v>0</v>
      </c>
      <c r="K1981" s="1508"/>
      <c r="L1981" s="1508"/>
      <c r="M1981" s="1509">
        <f t="shared" si="253"/>
        <v>0</v>
      </c>
      <c r="N1981" s="1508">
        <f t="shared" si="254"/>
        <v>0</v>
      </c>
    </row>
    <row r="1982" spans="1:14" ht="15.5" outlineLevel="1" x14ac:dyDescent="0.25">
      <c r="A1982" s="1488">
        <f t="shared" si="257"/>
        <v>1</v>
      </c>
      <c r="B1982" s="1492" t="str">
        <f t="shared" si="257"/>
        <v>GENERAL ASSET</v>
      </c>
      <c r="C1982" s="1488">
        <f t="shared" si="257"/>
        <v>0</v>
      </c>
      <c r="D1982" s="1413" t="str">
        <f t="shared" si="257"/>
        <v>-</v>
      </c>
      <c r="E1982" s="560">
        <f t="shared" si="257"/>
        <v>20</v>
      </c>
      <c r="F1982" s="1508">
        <f t="shared" si="250"/>
        <v>5.3761807089999998</v>
      </c>
      <c r="G1982" s="1508">
        <f t="shared" si="251"/>
        <v>5.3761807089999998</v>
      </c>
      <c r="H1982" s="1508">
        <f t="shared" si="252"/>
        <v>0</v>
      </c>
      <c r="I1982" s="1480">
        <v>1.5</v>
      </c>
      <c r="J1982" s="1480">
        <v>1.5</v>
      </c>
      <c r="K1982" s="1508"/>
      <c r="L1982" s="1508"/>
      <c r="M1982" s="1509">
        <f t="shared" si="253"/>
        <v>1.5</v>
      </c>
      <c r="N1982" s="1508">
        <f t="shared" si="254"/>
        <v>0</v>
      </c>
    </row>
    <row r="1983" spans="1:14" ht="15.5" outlineLevel="1" x14ac:dyDescent="0.25">
      <c r="A1983" s="1488">
        <f t="shared" si="257"/>
        <v>2</v>
      </c>
      <c r="B1983" s="1492" t="str">
        <f t="shared" si="257"/>
        <v>M/S GEO-MILLER arbitration amount</v>
      </c>
      <c r="C1983" s="1488">
        <f t="shared" si="257"/>
        <v>0</v>
      </c>
      <c r="D1983" s="1413" t="str">
        <f t="shared" si="257"/>
        <v>-</v>
      </c>
      <c r="E1983" s="560">
        <f t="shared" si="257"/>
        <v>1.3764700000000001</v>
      </c>
      <c r="F1983" s="1508">
        <f t="shared" si="250"/>
        <v>0.68823500000000004</v>
      </c>
      <c r="G1983" s="1508">
        <f t="shared" si="251"/>
        <v>0.68823500000000004</v>
      </c>
      <c r="H1983" s="1508">
        <f t="shared" si="252"/>
        <v>0</v>
      </c>
      <c r="I1983" s="1480">
        <v>0</v>
      </c>
      <c r="J1983" s="1480">
        <v>0</v>
      </c>
      <c r="K1983" s="1508"/>
      <c r="L1983" s="1508"/>
      <c r="M1983" s="1509">
        <f t="shared" si="253"/>
        <v>0</v>
      </c>
      <c r="N1983" s="1508">
        <f t="shared" si="254"/>
        <v>0</v>
      </c>
    </row>
    <row r="1984" spans="1:14" ht="15.5" outlineLevel="1" x14ac:dyDescent="0.25">
      <c r="A1984" s="1488">
        <f t="shared" si="257"/>
        <v>3</v>
      </c>
      <c r="B1984" s="1492" t="str">
        <f t="shared" si="257"/>
        <v xml:space="preserve"> CM Reject Handling Sys Macawber Breakey</v>
      </c>
      <c r="C1984" s="1488">
        <f t="shared" si="257"/>
        <v>0</v>
      </c>
      <c r="D1984" s="1413" t="str">
        <f t="shared" si="257"/>
        <v>-</v>
      </c>
      <c r="E1984" s="560">
        <f t="shared" si="257"/>
        <v>3.1821571</v>
      </c>
      <c r="F1984" s="1508">
        <f t="shared" si="250"/>
        <v>0</v>
      </c>
      <c r="G1984" s="1508">
        <f t="shared" si="251"/>
        <v>0</v>
      </c>
      <c r="H1984" s="1508">
        <f t="shared" si="252"/>
        <v>0</v>
      </c>
      <c r="I1984" s="1480">
        <v>0</v>
      </c>
      <c r="J1984" s="1480">
        <v>0</v>
      </c>
      <c r="K1984" s="1508"/>
      <c r="L1984" s="1508"/>
      <c r="M1984" s="1509">
        <f t="shared" si="253"/>
        <v>0</v>
      </c>
      <c r="N1984" s="1508">
        <f t="shared" si="254"/>
        <v>0</v>
      </c>
    </row>
    <row r="1985" spans="1:14" ht="62" outlineLevel="1" x14ac:dyDescent="0.25">
      <c r="A1985" s="1488">
        <f t="shared" si="257"/>
        <v>4</v>
      </c>
      <c r="B1985" s="1492" t="str">
        <f t="shared" si="257"/>
        <v xml:space="preserve">Work of Design, Engineering, manufacturing, supply, erection &amp;  commissioning of interconnection conveyor belt Elecon stack yard of CHPA of U-3 &amp; U-4 to Belt Conveyor 105-A/B at CHP-B of Unit 5, 6 &amp; 7 at CSTPS Chandrapur ((Non-DPR) </v>
      </c>
      <c r="C1985" s="1488">
        <f t="shared" si="257"/>
        <v>0</v>
      </c>
      <c r="D1985" s="1413" t="str">
        <f t="shared" si="257"/>
        <v>-</v>
      </c>
      <c r="E1985" s="560">
        <f t="shared" si="257"/>
        <v>4.8622366000000001</v>
      </c>
      <c r="F1985" s="1508">
        <f t="shared" si="250"/>
        <v>4.8622366000000001</v>
      </c>
      <c r="G1985" s="1508">
        <f t="shared" si="251"/>
        <v>4.8622366000000001</v>
      </c>
      <c r="H1985" s="1508">
        <f t="shared" si="252"/>
        <v>0</v>
      </c>
      <c r="I1985" s="1480">
        <v>0</v>
      </c>
      <c r="J1985" s="1480">
        <v>0</v>
      </c>
      <c r="K1985" s="1508"/>
      <c r="L1985" s="1508"/>
      <c r="M1985" s="1509">
        <f t="shared" si="253"/>
        <v>0</v>
      </c>
      <c r="N1985" s="1508">
        <f t="shared" si="254"/>
        <v>0</v>
      </c>
    </row>
    <row r="1986" spans="1:14" ht="46.5" outlineLevel="1" x14ac:dyDescent="0.25">
      <c r="A1986" s="1488">
        <f t="shared" si="257"/>
        <v>5</v>
      </c>
      <c r="B1986" s="1492" t="str">
        <f t="shared" si="257"/>
        <v>Non Dpr The Work of Upgradation/Renovation of Track Hopper Unloading Conveyor system with allied works in CHPB of Unit-5, 6&amp;7 at CSTPS Chandrapur</v>
      </c>
      <c r="C1986" s="1488">
        <f t="shared" si="257"/>
        <v>0</v>
      </c>
      <c r="D1986" s="1413" t="str">
        <f t="shared" si="257"/>
        <v>-</v>
      </c>
      <c r="E1986" s="560">
        <f t="shared" si="257"/>
        <v>4.7420485000000001</v>
      </c>
      <c r="F1986" s="1508">
        <f t="shared" si="250"/>
        <v>4.7420485000000001</v>
      </c>
      <c r="G1986" s="1508">
        <f t="shared" si="251"/>
        <v>4.7420485000000001</v>
      </c>
      <c r="H1986" s="1508">
        <f t="shared" si="252"/>
        <v>0</v>
      </c>
      <c r="I1986" s="1480">
        <v>0</v>
      </c>
      <c r="J1986" s="1480">
        <v>0</v>
      </c>
      <c r="K1986" s="1508"/>
      <c r="L1986" s="1508"/>
      <c r="M1986" s="1509">
        <f t="shared" si="253"/>
        <v>0</v>
      </c>
      <c r="N1986" s="1508">
        <f t="shared" si="254"/>
        <v>0</v>
      </c>
    </row>
    <row r="1987" spans="1:14" ht="46.5" outlineLevel="1" x14ac:dyDescent="0.25">
      <c r="A1987" s="1488">
        <f t="shared" si="257"/>
        <v>6</v>
      </c>
      <c r="B1987" s="1492" t="str">
        <f t="shared" si="257"/>
        <v>Non DPR scheme for “The Work of Upgradation of Belt Conveyor 107A/B by replacement of conveyor deck structure with allied works in CHPB of Unit-5, 6&amp;7 at CSTPS Chandrapur</v>
      </c>
      <c r="C1987" s="1488">
        <f t="shared" si="257"/>
        <v>0</v>
      </c>
      <c r="D1987" s="1413" t="str">
        <f t="shared" si="257"/>
        <v>-</v>
      </c>
      <c r="E1987" s="560">
        <f t="shared" si="257"/>
        <v>4.51</v>
      </c>
      <c r="F1987" s="1508">
        <f t="shared" si="250"/>
        <v>4.5085439999999997</v>
      </c>
      <c r="G1987" s="1508">
        <f t="shared" si="251"/>
        <v>4.5085439999999997</v>
      </c>
      <c r="H1987" s="1508">
        <f t="shared" si="252"/>
        <v>0</v>
      </c>
      <c r="I1987" s="1480">
        <v>0</v>
      </c>
      <c r="J1987" s="1480">
        <v>0</v>
      </c>
      <c r="K1987" s="1508"/>
      <c r="L1987" s="1508"/>
      <c r="M1987" s="1509">
        <f t="shared" si="253"/>
        <v>0</v>
      </c>
      <c r="N1987" s="1508">
        <f t="shared" si="254"/>
        <v>0</v>
      </c>
    </row>
    <row r="1988" spans="1:14" ht="46.5" outlineLevel="1" x14ac:dyDescent="0.25">
      <c r="A1988" s="1488">
        <f t="shared" si="257"/>
        <v>7</v>
      </c>
      <c r="B1988" s="1492" t="str">
        <f t="shared" si="257"/>
        <v>Non-DPR: Supply, installation &amp; commissioning of oil cooled over band magnetic separators for various conveyor belts of CHP-B &amp; CHP-C, CSTPS, Chandrapur</v>
      </c>
      <c r="C1988" s="1488">
        <f t="shared" si="257"/>
        <v>0</v>
      </c>
      <c r="D1988" s="1413" t="str">
        <f t="shared" si="257"/>
        <v>-</v>
      </c>
      <c r="E1988" s="560">
        <f t="shared" si="257"/>
        <v>3.45</v>
      </c>
      <c r="F1988" s="1508">
        <f t="shared" si="250"/>
        <v>3.4450571999999999</v>
      </c>
      <c r="G1988" s="1508">
        <f t="shared" si="251"/>
        <v>3.4450571999999999</v>
      </c>
      <c r="H1988" s="1508">
        <f t="shared" si="252"/>
        <v>0</v>
      </c>
      <c r="I1988" s="1480">
        <v>0</v>
      </c>
      <c r="J1988" s="1480">
        <v>0</v>
      </c>
      <c r="K1988" s="1508"/>
      <c r="L1988" s="1508"/>
      <c r="M1988" s="1509">
        <f t="shared" si="253"/>
        <v>0</v>
      </c>
      <c r="N1988" s="1508">
        <f t="shared" si="254"/>
        <v>0</v>
      </c>
    </row>
    <row r="1989" spans="1:14" ht="62" outlineLevel="1" x14ac:dyDescent="0.25">
      <c r="A1989" s="1488">
        <f t="shared" si="257"/>
        <v>8</v>
      </c>
      <c r="B1989" s="1492" t="str">
        <f t="shared" si="257"/>
        <v>Various preventive works to avoid Tiger movement and animals in CSTPS colony premises Up-gradation od existing periphery compound wall by avoiding barbed wire and concertina fencing and allied works in the colony at CSTPS, Chandrapur</v>
      </c>
      <c r="C1989" s="1488">
        <f t="shared" si="257"/>
        <v>0</v>
      </c>
      <c r="D1989" s="1413" t="str">
        <f t="shared" si="257"/>
        <v>-</v>
      </c>
      <c r="E1989" s="560">
        <f t="shared" si="257"/>
        <v>6.41</v>
      </c>
      <c r="F1989" s="1508">
        <f t="shared" si="250"/>
        <v>1.9309225520000002</v>
      </c>
      <c r="G1989" s="1508">
        <f t="shared" si="251"/>
        <v>0</v>
      </c>
      <c r="H1989" s="1508">
        <f t="shared" si="252"/>
        <v>1.9309225520000002</v>
      </c>
      <c r="I1989" s="1480">
        <v>1.6810774479999995</v>
      </c>
      <c r="J1989" s="1480">
        <v>3.6119999999999997</v>
      </c>
      <c r="K1989" s="1508"/>
      <c r="L1989" s="1508"/>
      <c r="M1989" s="1509">
        <f t="shared" si="253"/>
        <v>3.6119999999999997</v>
      </c>
      <c r="N1989" s="1508">
        <f t="shared" si="254"/>
        <v>0</v>
      </c>
    </row>
    <row r="1990" spans="1:14" ht="46.5" outlineLevel="1" x14ac:dyDescent="0.25">
      <c r="A1990" s="1488">
        <f t="shared" ref="A1990:E2005" si="258">A1320</f>
        <v>9</v>
      </c>
      <c r="B1990" s="1492" t="str">
        <f t="shared" si="258"/>
        <v>Repairing, revamping and modification of existing alarm and protection system from fire and providing rapid extinguishing CA system at 500 MW Unit # 5 &amp; 6 CSTPS</v>
      </c>
      <c r="C1990" s="1488">
        <f t="shared" si="258"/>
        <v>0</v>
      </c>
      <c r="D1990" s="1413" t="str">
        <f t="shared" si="258"/>
        <v>-</v>
      </c>
      <c r="E1990" s="560">
        <f t="shared" si="258"/>
        <v>7.95</v>
      </c>
      <c r="F1990" s="1508">
        <f t="shared" ref="F1990:F2014" si="259">F1320+I1320</f>
        <v>7.0232238000000002</v>
      </c>
      <c r="G1990" s="1508">
        <f t="shared" ref="G1990:G2014" si="260">G1320+M1320</f>
        <v>0</v>
      </c>
      <c r="H1990" s="1508">
        <f t="shared" si="252"/>
        <v>7.0232238000000002</v>
      </c>
      <c r="I1990" s="1480">
        <v>0.92677620000000038</v>
      </c>
      <c r="J1990" s="1480">
        <v>0</v>
      </c>
      <c r="K1990" s="1508"/>
      <c r="L1990" s="1508"/>
      <c r="M1990" s="1509">
        <f t="shared" si="253"/>
        <v>0</v>
      </c>
      <c r="N1990" s="1508">
        <f t="shared" si="254"/>
        <v>7.9500000000000011</v>
      </c>
    </row>
    <row r="1991" spans="1:14" ht="62" outlineLevel="1" x14ac:dyDescent="0.25">
      <c r="A1991" s="1488">
        <f t="shared" si="258"/>
        <v>10</v>
      </c>
      <c r="B1991" s="1506" t="str">
        <f t="shared" si="258"/>
        <v>NON-Detailed Project Report for the Work of Upgradation/Renovation of Crusher House of CHPB of Unit-5, 6&amp;7 at CSTPS Chandrapur (benefit U-8,9 by short conveyor coal stacking in catering emergency)</v>
      </c>
      <c r="C1991" s="1488">
        <f t="shared" si="258"/>
        <v>0</v>
      </c>
      <c r="D1991" s="1413" t="str">
        <f t="shared" si="258"/>
        <v>-</v>
      </c>
      <c r="E1991" s="560">
        <f t="shared" si="258"/>
        <v>4.7</v>
      </c>
      <c r="F1991" s="1508">
        <f t="shared" si="259"/>
        <v>1.8274607199999999</v>
      </c>
      <c r="G1991" s="1508">
        <f t="shared" si="260"/>
        <v>1.8274607199999999</v>
      </c>
      <c r="H1991" s="1508">
        <f t="shared" si="252"/>
        <v>0</v>
      </c>
      <c r="I1991" s="1480">
        <v>0</v>
      </c>
      <c r="J1991" s="1480">
        <v>0</v>
      </c>
      <c r="K1991" s="1508"/>
      <c r="L1991" s="1508"/>
      <c r="M1991" s="1509">
        <f t="shared" si="253"/>
        <v>0</v>
      </c>
      <c r="N1991" s="1508">
        <f t="shared" si="254"/>
        <v>0</v>
      </c>
    </row>
    <row r="1992" spans="1:14" ht="46.5" outlineLevel="1" x14ac:dyDescent="0.25">
      <c r="A1992" s="1488">
        <f t="shared" si="258"/>
        <v>11</v>
      </c>
      <c r="B1992" s="1492" t="str">
        <f t="shared" si="258"/>
        <v>Work of Up-gradation/Renovation of Bunkering Conveyor system with allied works in CHPA of Unit-3&amp;4 at CSTPS Chandrapur</v>
      </c>
      <c r="C1992" s="1488">
        <f t="shared" si="258"/>
        <v>0</v>
      </c>
      <c r="D1992" s="1413" t="str">
        <f t="shared" si="258"/>
        <v>-</v>
      </c>
      <c r="E1992" s="560">
        <f t="shared" si="258"/>
        <v>4.6024180000000001</v>
      </c>
      <c r="F1992" s="1508">
        <f t="shared" si="259"/>
        <v>4.6024180000000001</v>
      </c>
      <c r="G1992" s="1508">
        <f t="shared" si="260"/>
        <v>4.6024180000000001</v>
      </c>
      <c r="H1992" s="1508">
        <f t="shared" si="252"/>
        <v>0</v>
      </c>
      <c r="I1992" s="1480">
        <v>0</v>
      </c>
      <c r="J1992" s="1480">
        <v>0</v>
      </c>
      <c r="K1992" s="1508"/>
      <c r="L1992" s="1508"/>
      <c r="M1992" s="1509">
        <f t="shared" si="253"/>
        <v>0</v>
      </c>
      <c r="N1992" s="1508">
        <f t="shared" si="254"/>
        <v>0</v>
      </c>
    </row>
    <row r="1993" spans="1:14" ht="46.5" outlineLevel="1" x14ac:dyDescent="0.25">
      <c r="A1993" s="1488">
        <f t="shared" si="258"/>
        <v>12</v>
      </c>
      <c r="B1993" s="1492" t="str">
        <f t="shared" si="258"/>
        <v>Non-Detailed Project Report for the up-gradation of existing belt type gravimetric coal feeders to gravimetric rotary weigh coal feeders of unit- 7, at CSTPS, Chandrapur</v>
      </c>
      <c r="C1993" s="1488">
        <f t="shared" si="258"/>
        <v>0</v>
      </c>
      <c r="D1993" s="1413" t="str">
        <f t="shared" si="258"/>
        <v>-</v>
      </c>
      <c r="E1993" s="560">
        <f t="shared" si="258"/>
        <v>7.2510000000000003</v>
      </c>
      <c r="F1993" s="1508">
        <f t="shared" si="259"/>
        <v>7.2509395000000003</v>
      </c>
      <c r="G1993" s="1508">
        <f t="shared" si="260"/>
        <v>7.2509395000000003</v>
      </c>
      <c r="H1993" s="1508">
        <f t="shared" si="252"/>
        <v>0</v>
      </c>
      <c r="I1993" s="1480">
        <v>0</v>
      </c>
      <c r="J1993" s="1480">
        <v>0</v>
      </c>
      <c r="K1993" s="1508"/>
      <c r="L1993" s="1508"/>
      <c r="M1993" s="1509">
        <f t="shared" si="253"/>
        <v>0</v>
      </c>
      <c r="N1993" s="1508">
        <f t="shared" si="254"/>
        <v>0</v>
      </c>
    </row>
    <row r="1994" spans="1:14" ht="31" outlineLevel="1" x14ac:dyDescent="0.25">
      <c r="A1994" s="1488">
        <f t="shared" si="258"/>
        <v>14</v>
      </c>
      <c r="B1994" s="1492" t="str">
        <f t="shared" si="258"/>
        <v>Non DPR scheme for the procurement of Girth Gear Assembly for BBD-4772 coal mill unit-7</v>
      </c>
      <c r="C1994" s="1488">
        <f t="shared" si="258"/>
        <v>0</v>
      </c>
      <c r="D1994" s="1413" t="str">
        <f t="shared" si="258"/>
        <v>-</v>
      </c>
      <c r="E1994" s="560">
        <f t="shared" si="258"/>
        <v>5.27</v>
      </c>
      <c r="F1994" s="1508">
        <f t="shared" si="259"/>
        <v>2.5837661999999999</v>
      </c>
      <c r="G1994" s="1508">
        <f t="shared" si="260"/>
        <v>2.5837663000000002</v>
      </c>
      <c r="H1994" s="1508">
        <f t="shared" si="252"/>
        <v>-1.0000000028043132E-7</v>
      </c>
      <c r="I1994" s="1480">
        <v>2.6862337999999997</v>
      </c>
      <c r="J1994" s="1480">
        <v>2.6862336999999994</v>
      </c>
      <c r="K1994" s="1508"/>
      <c r="L1994" s="1508"/>
      <c r="M1994" s="1509">
        <f t="shared" si="253"/>
        <v>2.6862336999999994</v>
      </c>
      <c r="N1994" s="1508">
        <f t="shared" si="254"/>
        <v>0</v>
      </c>
    </row>
    <row r="1995" spans="1:14" ht="62" outlineLevel="1" x14ac:dyDescent="0.25">
      <c r="A1995" s="1488">
        <f t="shared" si="258"/>
        <v>15</v>
      </c>
      <c r="B1995" s="1492" t="str">
        <f t="shared" si="258"/>
        <v>Non DPR Supply of Sub-Assemblies for KBL -make Auxiliary cooling water pump, Model BHR-70 &amp; BHR 60-30 deg. installed at Auxiliary cooling water system of U- 5 to 7 at ODP-II, CSTPS, Chandrapur.</v>
      </c>
      <c r="C1995" s="1488">
        <f t="shared" si="258"/>
        <v>0</v>
      </c>
      <c r="D1995" s="1413" t="str">
        <f t="shared" si="258"/>
        <v>-</v>
      </c>
      <c r="E1995" s="560">
        <f t="shared" si="258"/>
        <v>5.61</v>
      </c>
      <c r="F1995" s="1508">
        <f t="shared" si="259"/>
        <v>5.5874359760000001</v>
      </c>
      <c r="G1995" s="1508">
        <f t="shared" si="260"/>
        <v>0</v>
      </c>
      <c r="H1995" s="1508">
        <f t="shared" si="252"/>
        <v>5.5874359760000001</v>
      </c>
      <c r="I1995" s="1480">
        <v>0</v>
      </c>
      <c r="J1995" s="1480">
        <v>5.5874359760000001</v>
      </c>
      <c r="K1995" s="1508"/>
      <c r="L1995" s="1508"/>
      <c r="M1995" s="1509">
        <f t="shared" si="253"/>
        <v>5.5874359760000001</v>
      </c>
      <c r="N1995" s="1508">
        <f t="shared" si="254"/>
        <v>0</v>
      </c>
    </row>
    <row r="1996" spans="1:14" ht="46.5" outlineLevel="1" x14ac:dyDescent="0.25">
      <c r="A1996" s="1488">
        <f t="shared" si="258"/>
        <v>16</v>
      </c>
      <c r="B1996" s="1492" t="str">
        <f t="shared" si="258"/>
        <v>Procurement of Primary and Secondary Air Pre-heater Baskets for Unit-5, Chandrapur STPS, 500MW through OEM basis from M/s. BHEL</v>
      </c>
      <c r="C1996" s="1488">
        <f t="shared" si="258"/>
        <v>0</v>
      </c>
      <c r="D1996" s="1413" t="str">
        <f t="shared" si="258"/>
        <v>-</v>
      </c>
      <c r="E1996" s="560">
        <f t="shared" si="258"/>
        <v>9.09</v>
      </c>
      <c r="F1996" s="1508">
        <f t="shared" si="259"/>
        <v>8.2282758079999994</v>
      </c>
      <c r="G1996" s="1508">
        <f t="shared" si="260"/>
        <v>0</v>
      </c>
      <c r="H1996" s="1508">
        <f t="shared" si="252"/>
        <v>8.2282758079999994</v>
      </c>
      <c r="I1996" s="1480">
        <v>0.8617241920000005</v>
      </c>
      <c r="J1996" s="1480">
        <v>9.09</v>
      </c>
      <c r="K1996" s="1508"/>
      <c r="L1996" s="1508"/>
      <c r="M1996" s="1509">
        <f t="shared" si="253"/>
        <v>9.09</v>
      </c>
      <c r="N1996" s="1508">
        <f t="shared" si="254"/>
        <v>0</v>
      </c>
    </row>
    <row r="1997" spans="1:14" ht="46.5" outlineLevel="1" x14ac:dyDescent="0.25">
      <c r="A1997" s="1488">
        <f t="shared" si="258"/>
        <v>17</v>
      </c>
      <c r="B1997" s="1492" t="str">
        <f t="shared" si="258"/>
        <v>Restoration of Operational efficiency and improvement in useful life of spare HP turbine Module of 500MW Unit-5,6 CSTPS chandrapur by Refurbishement</v>
      </c>
      <c r="C1997" s="1488">
        <f t="shared" si="258"/>
        <v>0</v>
      </c>
      <c r="D1997" s="1413" t="str">
        <f t="shared" si="258"/>
        <v>-</v>
      </c>
      <c r="E1997" s="560">
        <f t="shared" si="258"/>
        <v>9.9499999999999993</v>
      </c>
      <c r="F1997" s="1508">
        <f t="shared" si="259"/>
        <v>0</v>
      </c>
      <c r="G1997" s="1508">
        <f t="shared" si="260"/>
        <v>0</v>
      </c>
      <c r="H1997" s="1508">
        <f t="shared" si="252"/>
        <v>0</v>
      </c>
      <c r="I1997" s="1480">
        <v>9.9499999999999993</v>
      </c>
      <c r="J1997" s="1480">
        <v>9.9499999999999993</v>
      </c>
      <c r="K1997" s="1508"/>
      <c r="L1997" s="1508"/>
      <c r="M1997" s="1509">
        <f t="shared" si="253"/>
        <v>9.9499999999999993</v>
      </c>
      <c r="N1997" s="1508">
        <f t="shared" si="254"/>
        <v>0</v>
      </c>
    </row>
    <row r="1998" spans="1:14" ht="46.5" outlineLevel="1" x14ac:dyDescent="0.25">
      <c r="A1998" s="1488">
        <f t="shared" si="258"/>
        <v>18</v>
      </c>
      <c r="B1998" s="1492" t="str">
        <f t="shared" si="258"/>
        <v>Work of Upgradation/Renovation of Crusher House &amp; Track Hopper Unloading System of CHPC of Unit-6&amp;7 CSTPS Chandrapur</v>
      </c>
      <c r="C1998" s="1488">
        <f t="shared" si="258"/>
        <v>0</v>
      </c>
      <c r="D1998" s="1413" t="str">
        <f t="shared" si="258"/>
        <v>-</v>
      </c>
      <c r="E1998" s="560">
        <f t="shared" si="258"/>
        <v>4.9000000000000004</v>
      </c>
      <c r="F1998" s="1508">
        <f t="shared" si="259"/>
        <v>0.48380000000000001</v>
      </c>
      <c r="G1998" s="1508">
        <f t="shared" si="260"/>
        <v>0</v>
      </c>
      <c r="H1998" s="1508">
        <f t="shared" si="252"/>
        <v>0.48380000000000001</v>
      </c>
      <c r="I1998" s="1480">
        <v>4.4161999999999999</v>
      </c>
      <c r="J1998" s="1480">
        <v>4.9000000000000004</v>
      </c>
      <c r="K1998" s="1508"/>
      <c r="L1998" s="1508"/>
      <c r="M1998" s="1509">
        <f t="shared" si="253"/>
        <v>4.9000000000000004</v>
      </c>
      <c r="N1998" s="1508">
        <f t="shared" si="254"/>
        <v>0</v>
      </c>
    </row>
    <row r="1999" spans="1:14" ht="46.5" outlineLevel="1" x14ac:dyDescent="0.25">
      <c r="A1999" s="1488">
        <f t="shared" si="258"/>
        <v>19</v>
      </c>
      <c r="B1999" s="1492" t="str">
        <f t="shared" si="258"/>
        <v>Non – DPR: Design, supply, erection, installation, testing and commissioning of boiler goods lift in place of existing old lifts installed at Unit#6,7 500MW CSTPS, Chandrapur </v>
      </c>
      <c r="C1999" s="1488">
        <f t="shared" si="258"/>
        <v>0</v>
      </c>
      <c r="D1999" s="1413" t="str">
        <f t="shared" si="258"/>
        <v>-</v>
      </c>
      <c r="E1999" s="560">
        <f t="shared" si="258"/>
        <v>3.66</v>
      </c>
      <c r="F1999" s="1508">
        <f t="shared" si="259"/>
        <v>2.8573254000000001</v>
      </c>
      <c r="G1999" s="1508">
        <f t="shared" si="260"/>
        <v>0</v>
      </c>
      <c r="H1999" s="1508">
        <f t="shared" si="252"/>
        <v>2.8573254000000001</v>
      </c>
      <c r="I1999" s="1480">
        <v>0.80267460000000002</v>
      </c>
      <c r="J1999" s="1480">
        <v>3.66</v>
      </c>
      <c r="K1999" s="1508"/>
      <c r="L1999" s="1508"/>
      <c r="M1999" s="1509">
        <f t="shared" si="253"/>
        <v>3.66</v>
      </c>
      <c r="N1999" s="1508">
        <f t="shared" si="254"/>
        <v>0</v>
      </c>
    </row>
    <row r="2000" spans="1:14" ht="31" outlineLevel="1" x14ac:dyDescent="0.25">
      <c r="A2000" s="1488">
        <f t="shared" si="258"/>
        <v>20</v>
      </c>
      <c r="B2000" s="1492" t="str">
        <f t="shared" si="258"/>
        <v>Work of refurbishment of Flender make KMS 850 gear box of XRP-1043 coal mill unit 5&amp;6 at CSTPS, Chandrapur</v>
      </c>
      <c r="C2000" s="1488">
        <f t="shared" si="258"/>
        <v>0</v>
      </c>
      <c r="D2000" s="1413" t="str">
        <f t="shared" si="258"/>
        <v>-</v>
      </c>
      <c r="E2000" s="560">
        <f t="shared" si="258"/>
        <v>4.37</v>
      </c>
      <c r="F2000" s="1508">
        <f t="shared" si="259"/>
        <v>0</v>
      </c>
      <c r="G2000" s="1508">
        <f t="shared" si="260"/>
        <v>0</v>
      </c>
      <c r="H2000" s="1508">
        <f t="shared" si="252"/>
        <v>0</v>
      </c>
      <c r="I2000" s="1480">
        <v>4.37</v>
      </c>
      <c r="J2000" s="1480">
        <v>4.37</v>
      </c>
      <c r="K2000" s="1508"/>
      <c r="L2000" s="1508"/>
      <c r="M2000" s="1509">
        <f t="shared" si="253"/>
        <v>4.37</v>
      </c>
      <c r="N2000" s="1508">
        <f t="shared" si="254"/>
        <v>0</v>
      </c>
    </row>
    <row r="2001" spans="1:14" ht="77.5" outlineLevel="1" x14ac:dyDescent="0.25">
      <c r="A2001" s="1488">
        <f t="shared" si="258"/>
        <v>21</v>
      </c>
      <c r="B2001" s="1492" t="str">
        <f t="shared" si="258"/>
        <v>Work of renovation of take up trestle structure of BC-105A2/BC-105B and trestle near TP-104, Modification of MS fixtures for the work of various auxiliary replacement at various sites and other allied works in CHP-B (M2) at CSTPS Chandrapur, as NonDPR Scheme.</v>
      </c>
      <c r="C2001" s="1488">
        <f t="shared" si="258"/>
        <v>0</v>
      </c>
      <c r="D2001" s="1413" t="str">
        <f t="shared" si="258"/>
        <v>-</v>
      </c>
      <c r="E2001" s="560">
        <f t="shared" si="258"/>
        <v>2.2400000000000002</v>
      </c>
      <c r="F2001" s="1508">
        <f t="shared" si="259"/>
        <v>0</v>
      </c>
      <c r="G2001" s="1508">
        <f t="shared" si="260"/>
        <v>0</v>
      </c>
      <c r="H2001" s="1508">
        <f t="shared" si="252"/>
        <v>0</v>
      </c>
      <c r="I2001" s="1480">
        <v>0</v>
      </c>
      <c r="J2001" s="1480">
        <v>0</v>
      </c>
      <c r="K2001" s="1508"/>
      <c r="L2001" s="1508"/>
      <c r="M2001" s="1509">
        <f t="shared" si="253"/>
        <v>0</v>
      </c>
      <c r="N2001" s="1508">
        <f t="shared" si="254"/>
        <v>0</v>
      </c>
    </row>
    <row r="2002" spans="1:14" ht="31" outlineLevel="1" x14ac:dyDescent="0.25">
      <c r="A2002" s="1488">
        <f t="shared" si="258"/>
        <v>22</v>
      </c>
      <c r="B2002" s="1492" t="str">
        <f t="shared" si="258"/>
        <v>Non DPR scheme for upgradation and life enhancements of BC-1AB_BC-4AB at CHP-A, CSTPS, Chandrapur</v>
      </c>
      <c r="C2002" s="1488">
        <f t="shared" si="258"/>
        <v>0</v>
      </c>
      <c r="D2002" s="1413" t="str">
        <f t="shared" si="258"/>
        <v>-</v>
      </c>
      <c r="E2002" s="560">
        <f t="shared" si="258"/>
        <v>1.6</v>
      </c>
      <c r="F2002" s="1508">
        <f t="shared" si="259"/>
        <v>0</v>
      </c>
      <c r="G2002" s="1508">
        <f t="shared" si="260"/>
        <v>0</v>
      </c>
      <c r="H2002" s="1508">
        <f t="shared" si="252"/>
        <v>0</v>
      </c>
      <c r="I2002" s="1480">
        <v>0</v>
      </c>
      <c r="J2002" s="1480">
        <v>0</v>
      </c>
      <c r="K2002" s="1508"/>
      <c r="L2002" s="1508"/>
      <c r="M2002" s="1509">
        <f t="shared" si="253"/>
        <v>0</v>
      </c>
      <c r="N2002" s="1508">
        <f t="shared" si="254"/>
        <v>0</v>
      </c>
    </row>
    <row r="2003" spans="1:14" ht="31" outlineLevel="1" x14ac:dyDescent="0.25">
      <c r="A2003" s="1488">
        <f t="shared" si="258"/>
        <v>23</v>
      </c>
      <c r="B2003" s="1492" t="str">
        <f t="shared" si="258"/>
        <v>THE PROCUREMENT AND REPLACEMENT OF AIR PREHEATER BASKETS ASSEMBLIES AT UNIT-6 AT CSTPS, CHANDRAPUR</v>
      </c>
      <c r="C2003" s="1488">
        <f t="shared" si="258"/>
        <v>0</v>
      </c>
      <c r="D2003" s="1413" t="str">
        <f t="shared" si="258"/>
        <v>-</v>
      </c>
      <c r="E2003" s="560">
        <f t="shared" si="258"/>
        <v>9.01</v>
      </c>
      <c r="F2003" s="1508">
        <f t="shared" si="259"/>
        <v>0</v>
      </c>
      <c r="G2003" s="1508">
        <f t="shared" si="260"/>
        <v>0</v>
      </c>
      <c r="H2003" s="1508">
        <f t="shared" si="252"/>
        <v>0</v>
      </c>
      <c r="I2003" s="1480">
        <v>9.01</v>
      </c>
      <c r="J2003" s="1480">
        <v>9.01</v>
      </c>
      <c r="K2003" s="1508"/>
      <c r="L2003" s="1508"/>
      <c r="M2003" s="1509">
        <f t="shared" si="253"/>
        <v>9.01</v>
      </c>
      <c r="N2003" s="1508">
        <f t="shared" si="254"/>
        <v>0</v>
      </c>
    </row>
    <row r="2004" spans="1:14" ht="46.5" outlineLevel="1" x14ac:dyDescent="0.25">
      <c r="A2004" s="1488">
        <f t="shared" si="258"/>
        <v>24</v>
      </c>
      <c r="B2004" s="1492" t="str">
        <f t="shared" si="258"/>
        <v>NonDPR: Procurement of cartridge for boiler feed pump of 500MW U#7 and parallel shaft gear box for boiler feed pump of 500MW Unit-5 &amp;6 CSTPS, Chandrapur</v>
      </c>
      <c r="C2004" s="1488">
        <f t="shared" si="258"/>
        <v>0</v>
      </c>
      <c r="D2004" s="1413" t="str">
        <f t="shared" si="258"/>
        <v>-</v>
      </c>
      <c r="E2004" s="560">
        <f t="shared" si="258"/>
        <v>2.57</v>
      </c>
      <c r="F2004" s="1508">
        <f t="shared" si="259"/>
        <v>0</v>
      </c>
      <c r="G2004" s="1508">
        <f t="shared" si="260"/>
        <v>0</v>
      </c>
      <c r="H2004" s="1508">
        <f>F2004-G2004</f>
        <v>0</v>
      </c>
      <c r="I2004" s="1480">
        <v>0.55000000000000004</v>
      </c>
      <c r="J2004" s="1480">
        <v>0.55000000000000004</v>
      </c>
      <c r="K2004" s="1508"/>
      <c r="L2004" s="1508"/>
      <c r="M2004" s="1509">
        <f>SUM(J2004:L2004)</f>
        <v>0.55000000000000004</v>
      </c>
      <c r="N2004" s="1508">
        <f>H2004+I2004-M2004</f>
        <v>0</v>
      </c>
    </row>
    <row r="2005" spans="1:14" ht="31" outlineLevel="1" x14ac:dyDescent="0.25">
      <c r="A2005" s="1488">
        <f t="shared" si="258"/>
        <v>25</v>
      </c>
      <c r="B2005" s="1492" t="str">
        <f t="shared" si="258"/>
        <v>Replacement of FD &amp; ID Fan IGV Actuators &amp; Electronic Controllers in 500 MW Unit-5 &amp; 6 at CSTPS, Chandrapur</v>
      </c>
      <c r="C2005" s="1488">
        <f t="shared" si="258"/>
        <v>0</v>
      </c>
      <c r="D2005" s="1413" t="str">
        <f t="shared" si="258"/>
        <v>-</v>
      </c>
      <c r="E2005" s="560">
        <f t="shared" si="258"/>
        <v>4.2</v>
      </c>
      <c r="F2005" s="1508">
        <f t="shared" si="259"/>
        <v>0</v>
      </c>
      <c r="G2005" s="1508">
        <f t="shared" si="260"/>
        <v>0</v>
      </c>
      <c r="H2005" s="1508">
        <f>F2005-G2005</f>
        <v>0</v>
      </c>
      <c r="I2005" s="1480">
        <v>0</v>
      </c>
      <c r="J2005" s="1480">
        <v>0</v>
      </c>
      <c r="K2005" s="1508"/>
      <c r="L2005" s="1508"/>
      <c r="M2005" s="1509">
        <f>SUM(J2005:L2005)</f>
        <v>0</v>
      </c>
      <c r="N2005" s="1508">
        <f>H2005+I2005-M2005</f>
        <v>0</v>
      </c>
    </row>
    <row r="2006" spans="1:14" ht="77.5" outlineLevel="1" x14ac:dyDescent="0.25">
      <c r="A2006" s="1488">
        <f t="shared" ref="A2006:E2014" si="261">A1336</f>
        <v>26</v>
      </c>
      <c r="B2006" s="1492" t="str">
        <f t="shared" si="261"/>
        <v>Non DPR for Work of Repairing and Strengthening of Coal Mill structure, Replacement of MS grating and painting of structural supports, columns, and platform supports of at various locations Coal Mill, Boiler and ESP of Unit-5, 6 and 7 at CSTPS Chandrapur.</v>
      </c>
      <c r="C2006" s="1488">
        <f t="shared" si="261"/>
        <v>0</v>
      </c>
      <c r="D2006" s="1413" t="str">
        <f t="shared" si="261"/>
        <v>-</v>
      </c>
      <c r="E2006" s="560">
        <f t="shared" si="261"/>
        <v>2.1</v>
      </c>
      <c r="F2006" s="1508">
        <f t="shared" si="259"/>
        <v>0</v>
      </c>
      <c r="G2006" s="1508">
        <f t="shared" si="260"/>
        <v>0</v>
      </c>
      <c r="H2006" s="1508">
        <f>F2006-G2006</f>
        <v>0</v>
      </c>
      <c r="I2006" s="1480">
        <v>2.1</v>
      </c>
      <c r="J2006" s="1480">
        <v>2.1</v>
      </c>
      <c r="K2006" s="1508"/>
      <c r="L2006" s="1508"/>
      <c r="M2006" s="1509">
        <f>SUM(J2006:L2006)</f>
        <v>2.1</v>
      </c>
      <c r="N2006" s="1508">
        <f>H2006+I2006-M2006</f>
        <v>0</v>
      </c>
    </row>
    <row r="2007" spans="1:14" ht="62" outlineLevel="1" x14ac:dyDescent="0.25">
      <c r="A2007" s="1488">
        <f t="shared" si="261"/>
        <v>27</v>
      </c>
      <c r="B2007" s="1492" t="str">
        <f t="shared" si="261"/>
        <v>Administrative approval under Non DPR scheme for“The Work of Up-gradation / Renovation and life enhancement of Conveyor system BC-6ABC with allied works in CHP-A of Unit-3&amp;4 at CSTPS Chandrapur”</v>
      </c>
      <c r="C2007" s="1488">
        <f t="shared" si="261"/>
        <v>0</v>
      </c>
      <c r="D2007" s="1413" t="str">
        <f t="shared" si="261"/>
        <v>-</v>
      </c>
      <c r="E2007" s="560">
        <f t="shared" si="261"/>
        <v>4.55</v>
      </c>
      <c r="F2007" s="1508">
        <f t="shared" si="259"/>
        <v>0</v>
      </c>
      <c r="G2007" s="1508">
        <f t="shared" si="260"/>
        <v>0</v>
      </c>
      <c r="H2007" s="1508">
        <f>F2007-G2007</f>
        <v>0</v>
      </c>
      <c r="I2007" s="1480">
        <v>0</v>
      </c>
      <c r="J2007" s="1480">
        <v>0</v>
      </c>
      <c r="K2007" s="1508"/>
      <c r="L2007" s="1508"/>
      <c r="M2007" s="1509">
        <f>SUM(J2007:L2007)</f>
        <v>0</v>
      </c>
      <c r="N2007" s="1508">
        <f>H2007+I2007-M2007</f>
        <v>0</v>
      </c>
    </row>
    <row r="2008" spans="1:14" ht="62" outlineLevel="1" x14ac:dyDescent="0.25">
      <c r="A2008" s="1488">
        <f t="shared" si="261"/>
        <v>28</v>
      </c>
      <c r="B2008" s="1492" t="str">
        <f t="shared" si="261"/>
        <v>Supply Erection and commissioning of Institu type SOX, NOX Analyzer along with remote calibration facility and connectivity to CPCB and MPCB as per latest CPCB Guidelines for Unit-3&amp;4, CSTPS.</v>
      </c>
      <c r="C2008" s="1488">
        <f t="shared" si="261"/>
        <v>0</v>
      </c>
      <c r="D2008" s="1413" t="str">
        <f t="shared" si="261"/>
        <v>-</v>
      </c>
      <c r="E2008" s="560">
        <f t="shared" si="261"/>
        <v>0.97</v>
      </c>
      <c r="F2008" s="1508">
        <f t="shared" si="259"/>
        <v>0</v>
      </c>
      <c r="G2008" s="1508">
        <f t="shared" si="260"/>
        <v>0</v>
      </c>
      <c r="H2008" s="1508">
        <f>F2008-G2008</f>
        <v>0</v>
      </c>
      <c r="I2008" s="1480">
        <v>0</v>
      </c>
      <c r="J2008" s="1480">
        <v>0</v>
      </c>
      <c r="K2008" s="1508"/>
      <c r="L2008" s="1508"/>
      <c r="M2008" s="1509">
        <f>SUM(J2008:L2008)</f>
        <v>0</v>
      </c>
      <c r="N2008" s="1508">
        <f>H2008+I2008-M2008</f>
        <v>0</v>
      </c>
    </row>
    <row r="2009" spans="1:14" ht="62" outlineLevel="1" x14ac:dyDescent="0.25">
      <c r="A2009" s="1488">
        <f t="shared" si="261"/>
        <v>29</v>
      </c>
      <c r="B2009" s="1492" t="str">
        <f t="shared" si="261"/>
        <v>Work of Renovation &amp; Upgradation of Receipt &amp; Dispatch Yard of Railway Siding of CSTPS by provision of Various Standard Infrastructure facilities at R&amp;D yard in Coal Handling Plant of CSTPS Chandrapur</v>
      </c>
      <c r="C2009" s="1488">
        <f t="shared" si="261"/>
        <v>0</v>
      </c>
      <c r="D2009" s="1413" t="str">
        <f t="shared" si="261"/>
        <v>-</v>
      </c>
      <c r="E2009" s="560">
        <f t="shared" si="261"/>
        <v>7.89</v>
      </c>
      <c r="F2009" s="1508">
        <f t="shared" si="259"/>
        <v>0</v>
      </c>
      <c r="G2009" s="1508">
        <f t="shared" si="260"/>
        <v>0</v>
      </c>
      <c r="H2009" s="1508">
        <f t="shared" ref="H2009:H2014" si="262">F2009-G2009</f>
        <v>0</v>
      </c>
      <c r="I2009" s="1480">
        <v>0</v>
      </c>
      <c r="J2009" s="1480">
        <v>0</v>
      </c>
      <c r="K2009" s="1508"/>
      <c r="L2009" s="1508"/>
      <c r="M2009" s="1509">
        <f t="shared" ref="M2009:M2014" si="263">SUM(J2009:L2009)</f>
        <v>0</v>
      </c>
      <c r="N2009" s="1508">
        <f t="shared" ref="N2009:N2014" si="264">H2009+I2009-M2009</f>
        <v>0</v>
      </c>
    </row>
    <row r="2010" spans="1:14" ht="46.5" outlineLevel="1" x14ac:dyDescent="0.25">
      <c r="A2010" s="1488">
        <f t="shared" si="261"/>
        <v>30</v>
      </c>
      <c r="B2010" s="1492" t="str">
        <f t="shared" si="261"/>
        <v>Supply, Installation and Commissioning of MV VFD panel along with integrated online cell redundancy technology with VFD bypass feature arrangement for conveyors 103 A &amp; B of CHP-B.</v>
      </c>
      <c r="C2010" s="1488">
        <f t="shared" si="261"/>
        <v>0</v>
      </c>
      <c r="D2010" s="1413" t="str">
        <f t="shared" si="261"/>
        <v>-</v>
      </c>
      <c r="E2010" s="560">
        <f t="shared" si="261"/>
        <v>5.44</v>
      </c>
      <c r="F2010" s="1508">
        <f t="shared" si="259"/>
        <v>0</v>
      </c>
      <c r="G2010" s="1508">
        <f t="shared" si="260"/>
        <v>0</v>
      </c>
      <c r="H2010" s="1508">
        <f t="shared" si="262"/>
        <v>0</v>
      </c>
      <c r="I2010" s="1480">
        <v>0</v>
      </c>
      <c r="J2010" s="1480">
        <v>0</v>
      </c>
      <c r="K2010" s="1508"/>
      <c r="L2010" s="1508"/>
      <c r="M2010" s="1509">
        <f t="shared" si="263"/>
        <v>0</v>
      </c>
      <c r="N2010" s="1508">
        <f t="shared" si="264"/>
        <v>0</v>
      </c>
    </row>
    <row r="2011" spans="1:14" ht="15.5" outlineLevel="1" x14ac:dyDescent="0.25">
      <c r="A2011" s="1488">
        <f t="shared" si="261"/>
        <v>31</v>
      </c>
      <c r="B2011" s="1492" t="str">
        <f t="shared" si="261"/>
        <v>Replacement of LTSH assemblies in U- 5</v>
      </c>
      <c r="C2011" s="1488">
        <f t="shared" si="261"/>
        <v>0</v>
      </c>
      <c r="D2011" s="1413" t="str">
        <f t="shared" si="261"/>
        <v>-</v>
      </c>
      <c r="E2011" s="560">
        <f t="shared" si="261"/>
        <v>1.3756576</v>
      </c>
      <c r="F2011" s="1508">
        <f t="shared" si="259"/>
        <v>1.3756576</v>
      </c>
      <c r="G2011" s="1508">
        <f t="shared" si="260"/>
        <v>1.3756576</v>
      </c>
      <c r="H2011" s="1508">
        <f t="shared" si="262"/>
        <v>0</v>
      </c>
      <c r="I2011" s="1480">
        <v>0</v>
      </c>
      <c r="J2011" s="1480">
        <v>0</v>
      </c>
      <c r="K2011" s="1508"/>
      <c r="L2011" s="1508"/>
      <c r="M2011" s="1509">
        <f t="shared" si="263"/>
        <v>0</v>
      </c>
      <c r="N2011" s="1508">
        <f t="shared" si="264"/>
        <v>0</v>
      </c>
    </row>
    <row r="2012" spans="1:14" ht="15.5" outlineLevel="1" x14ac:dyDescent="0.25">
      <c r="A2012" s="1488">
        <f t="shared" si="261"/>
        <v>32</v>
      </c>
      <c r="B2012" s="1492" t="str">
        <f t="shared" si="261"/>
        <v>Replacement of complete Z-panels in unit- 5</v>
      </c>
      <c r="C2012" s="1488">
        <f t="shared" si="261"/>
        <v>0</v>
      </c>
      <c r="D2012" s="1413" t="str">
        <f t="shared" si="261"/>
        <v>-</v>
      </c>
      <c r="E2012" s="560">
        <f t="shared" si="261"/>
        <v>0.82545579999999996</v>
      </c>
      <c r="F2012" s="1508">
        <f t="shared" si="259"/>
        <v>0.82545579999999996</v>
      </c>
      <c r="G2012" s="1508">
        <f t="shared" si="260"/>
        <v>0.82545579999999996</v>
      </c>
      <c r="H2012" s="1508">
        <f t="shared" si="262"/>
        <v>0</v>
      </c>
      <c r="I2012" s="1480">
        <v>0</v>
      </c>
      <c r="J2012" s="1480">
        <v>0</v>
      </c>
      <c r="K2012" s="1508"/>
      <c r="L2012" s="1508"/>
      <c r="M2012" s="1509">
        <f t="shared" si="263"/>
        <v>0</v>
      </c>
      <c r="N2012" s="1508">
        <f t="shared" si="264"/>
        <v>0</v>
      </c>
    </row>
    <row r="2013" spans="1:14" ht="31" outlineLevel="1" x14ac:dyDescent="0.25">
      <c r="A2013" s="1488">
        <f t="shared" si="261"/>
        <v>33</v>
      </c>
      <c r="B2013" s="1492" t="str">
        <f t="shared" si="261"/>
        <v>MODIFICATION AND RESTORATION OF APH OUTLET TO ESP INLET DUCTS AT U#3 (210MW)</v>
      </c>
      <c r="C2013" s="1488">
        <f t="shared" si="261"/>
        <v>0</v>
      </c>
      <c r="D2013" s="1413" t="str">
        <f t="shared" si="261"/>
        <v>-</v>
      </c>
      <c r="E2013" s="560">
        <f t="shared" si="261"/>
        <v>10.3</v>
      </c>
      <c r="F2013" s="1508">
        <f t="shared" si="259"/>
        <v>0</v>
      </c>
      <c r="G2013" s="1508">
        <f t="shared" si="260"/>
        <v>0</v>
      </c>
      <c r="H2013" s="1508">
        <f t="shared" si="262"/>
        <v>0</v>
      </c>
      <c r="I2013" s="1480">
        <v>7.5</v>
      </c>
      <c r="J2013" s="1480">
        <v>7.5</v>
      </c>
      <c r="K2013" s="1508"/>
      <c r="L2013" s="1508"/>
      <c r="M2013" s="1509">
        <f t="shared" si="263"/>
        <v>7.5</v>
      </c>
      <c r="N2013" s="1508">
        <f t="shared" si="264"/>
        <v>0</v>
      </c>
    </row>
    <row r="2014" spans="1:14" ht="62.5" outlineLevel="1" thickBot="1" x14ac:dyDescent="0.3">
      <c r="A2014" s="1488">
        <f t="shared" si="261"/>
        <v>34</v>
      </c>
      <c r="B2014" s="1492" t="str">
        <f t="shared" si="261"/>
        <v xml:space="preserve">Supply, Installation, Testing, Commissioning for complete solution and comprehensive protection and monitoring package along with retrofit of allied accessories for Generator Transformers for 3 X 500 MW Unit#5,6&amp;7 </v>
      </c>
      <c r="C2014" s="1488">
        <f t="shared" si="261"/>
        <v>0</v>
      </c>
      <c r="D2014" s="1413" t="str">
        <f t="shared" si="261"/>
        <v>-</v>
      </c>
      <c r="E2014" s="560">
        <f t="shared" si="261"/>
        <v>5.62</v>
      </c>
      <c r="F2014" s="1508">
        <f t="shared" si="259"/>
        <v>0</v>
      </c>
      <c r="G2014" s="1508">
        <f t="shared" si="260"/>
        <v>0</v>
      </c>
      <c r="H2014" s="1508">
        <f t="shared" si="262"/>
        <v>0</v>
      </c>
      <c r="I2014" s="1480">
        <v>0</v>
      </c>
      <c r="J2014" s="1480">
        <v>0</v>
      </c>
      <c r="K2014" s="1508"/>
      <c r="L2014" s="1508"/>
      <c r="M2014" s="1509">
        <f t="shared" si="263"/>
        <v>0</v>
      </c>
      <c r="N2014" s="1508">
        <f t="shared" si="264"/>
        <v>0</v>
      </c>
    </row>
    <row r="2015" spans="1:14" ht="15.5" thickBot="1" x14ac:dyDescent="0.3">
      <c r="A2015" s="1428"/>
      <c r="B2015" s="1429" t="str">
        <f>B1345</f>
        <v>Total</v>
      </c>
      <c r="C2015" s="1430"/>
      <c r="D2015" s="1431"/>
      <c r="E2015" s="1507"/>
      <c r="F2015" s="1507">
        <f t="shared" ref="F2015:N2015" si="265">SUM(F1350:F2014)</f>
        <v>1137.2438318835525</v>
      </c>
      <c r="G2015" s="1507">
        <f t="shared" si="265"/>
        <v>1077.4429357825525</v>
      </c>
      <c r="H2015" s="1507">
        <f t="shared" si="265"/>
        <v>59.800896100999992</v>
      </c>
      <c r="I2015" s="1507">
        <f t="shared" si="265"/>
        <v>591.35306475780328</v>
      </c>
      <c r="J2015" s="1507">
        <f t="shared" si="265"/>
        <v>567.82785696280337</v>
      </c>
      <c r="K2015" s="1507">
        <f t="shared" si="265"/>
        <v>0</v>
      </c>
      <c r="L2015" s="1507">
        <f t="shared" si="265"/>
        <v>0</v>
      </c>
      <c r="M2015" s="1507">
        <f t="shared" si="265"/>
        <v>567.82785696280337</v>
      </c>
      <c r="N2015" s="1507">
        <f t="shared" si="265"/>
        <v>83.326103896000021</v>
      </c>
    </row>
    <row r="2016" spans="1:14" ht="15.5" x14ac:dyDescent="0.25">
      <c r="A2016" s="1488"/>
      <c r="B2016" s="1492"/>
      <c r="C2016" s="1488"/>
      <c r="D2016" s="1413"/>
      <c r="E2016" s="560"/>
      <c r="F2016" s="1508"/>
      <c r="G2016" s="1508"/>
      <c r="H2016" s="1508"/>
      <c r="I2016" s="1508"/>
      <c r="J2016" s="1508"/>
      <c r="K2016" s="1508"/>
      <c r="L2016" s="1508"/>
      <c r="M2016" s="1509"/>
      <c r="N2016" s="1508"/>
    </row>
    <row r="2017" spans="1:16" x14ac:dyDescent="0.25">
      <c r="A2017" s="1419"/>
      <c r="B2017" s="569" t="s">
        <v>969</v>
      </c>
      <c r="C2017" s="1474"/>
      <c r="D2017" s="1475"/>
      <c r="E2017" s="320"/>
      <c r="F2017" s="320"/>
      <c r="G2017" s="320"/>
      <c r="H2017" s="320"/>
      <c r="I2017" s="320"/>
      <c r="J2017" s="320"/>
      <c r="K2017" s="320"/>
      <c r="L2017" s="320"/>
      <c r="M2017" s="320"/>
      <c r="N2017" s="320"/>
    </row>
    <row r="2018" spans="1:16" outlineLevel="1" x14ac:dyDescent="0.25">
      <c r="A2018" s="131"/>
      <c r="B2018" s="1389" t="str">
        <f t="shared" ref="B2018:B2019" si="266">B1348</f>
        <v>a) DPR Schemes</v>
      </c>
      <c r="C2018" s="166"/>
      <c r="D2018" s="166"/>
      <c r="E2018" s="320"/>
      <c r="F2018" s="320"/>
      <c r="G2018" s="320"/>
      <c r="H2018" s="320"/>
      <c r="I2018" s="320"/>
      <c r="J2018" s="320"/>
      <c r="K2018" s="320"/>
      <c r="L2018" s="320"/>
      <c r="M2018" s="320"/>
      <c r="N2018" s="320"/>
    </row>
    <row r="2019" spans="1:16" outlineLevel="1" x14ac:dyDescent="0.25">
      <c r="A2019" s="131"/>
      <c r="B2019" s="1476" t="str">
        <f t="shared" si="266"/>
        <v>(i) In Principally Approved By MERC</v>
      </c>
      <c r="C2019" s="166"/>
      <c r="D2019" s="166"/>
      <c r="E2019" s="320"/>
      <c r="F2019" s="320"/>
      <c r="G2019" s="320"/>
      <c r="H2019" s="320"/>
      <c r="I2019" s="320"/>
      <c r="J2019" s="320"/>
      <c r="K2019" s="320"/>
      <c r="L2019" s="320"/>
      <c r="M2019" s="320"/>
      <c r="N2019" s="320"/>
    </row>
    <row r="2020" spans="1:16" ht="15.5" outlineLevel="1" x14ac:dyDescent="0.25">
      <c r="A2020" s="1477">
        <f t="shared" ref="A2020:E2035" si="267">A1350</f>
        <v>1</v>
      </c>
      <c r="B2020" s="1478" t="str">
        <f t="shared" si="267"/>
        <v>Boiler &amp; Turbine Improvement</v>
      </c>
      <c r="C2020" s="1477" t="str">
        <f t="shared" si="267"/>
        <v>MERC/CAPEX/20102011/01755</v>
      </c>
      <c r="D2020" s="1479">
        <f t="shared" si="267"/>
        <v>40507</v>
      </c>
      <c r="E2020" s="1383">
        <f t="shared" si="267"/>
        <v>181.82700000000003</v>
      </c>
      <c r="F2020" s="1480">
        <f t="shared" ref="F2020:F2083" si="268">F1350+I1350</f>
        <v>0</v>
      </c>
      <c r="G2020" s="1480">
        <f t="shared" ref="G2020:G2083" si="269">G1350+M1350</f>
        <v>0</v>
      </c>
      <c r="H2020" s="1480">
        <f>F2020-G2020</f>
        <v>0</v>
      </c>
      <c r="I2020" s="1480">
        <v>0</v>
      </c>
      <c r="J2020" s="1480">
        <v>0</v>
      </c>
      <c r="K2020" s="1480"/>
      <c r="L2020" s="1480"/>
      <c r="M2020" s="1480">
        <f>SUM(J2020:L2020)</f>
        <v>0</v>
      </c>
      <c r="N2020" s="1480">
        <f>H2020+I2020-M2020</f>
        <v>0</v>
      </c>
      <c r="O2020" s="1481">
        <f t="shared" ref="O2020:O2083" si="270">MAX(0,IF(M2020=0,0,IF(G2020+M2020&lt;E2020,M2020,E2020-G2020)))</f>
        <v>0</v>
      </c>
      <c r="P2020" s="1427">
        <f t="shared" ref="P2020:P2083" si="271">M2020-O2020</f>
        <v>0</v>
      </c>
    </row>
    <row r="2021" spans="1:16" ht="31" outlineLevel="1" x14ac:dyDescent="0.25">
      <c r="A2021" s="1482">
        <f t="shared" si="267"/>
        <v>1.1000000000000001</v>
      </c>
      <c r="B2021" s="1483" t="str">
        <f t="shared" si="267"/>
        <v>Installation of Sonic soot blowers for unit 5, 6 and  7 - Sonic soot blowers will be installed in LTSH and Eco zones (48 nos)</v>
      </c>
      <c r="C2021" s="1482" t="str">
        <f t="shared" si="267"/>
        <v>MERC/CAPEX/20102011/01755</v>
      </c>
      <c r="D2021" s="1390">
        <f t="shared" si="267"/>
        <v>40507</v>
      </c>
      <c r="E2021" s="560">
        <f t="shared" si="267"/>
        <v>1.06</v>
      </c>
      <c r="F2021" s="1508">
        <f t="shared" si="268"/>
        <v>0.44763439999999999</v>
      </c>
      <c r="G2021" s="1508">
        <f t="shared" si="269"/>
        <v>0.44763439999999999</v>
      </c>
      <c r="H2021" s="1508">
        <f t="shared" ref="H2021:H2084" si="272">F2021-G2021</f>
        <v>0</v>
      </c>
      <c r="I2021" s="1480">
        <v>0</v>
      </c>
      <c r="J2021" s="1480">
        <v>0</v>
      </c>
      <c r="K2021" s="1508"/>
      <c r="L2021" s="1508"/>
      <c r="M2021" s="1509">
        <f t="shared" ref="M2021:M2084" si="273">SUM(J2021:L2021)</f>
        <v>0</v>
      </c>
      <c r="N2021" s="1508">
        <f t="shared" ref="N2021:N2084" si="274">H2021+I2021-M2021</f>
        <v>0</v>
      </c>
      <c r="O2021" s="1481">
        <f t="shared" si="270"/>
        <v>0</v>
      </c>
      <c r="P2021" s="1427">
        <f t="shared" si="271"/>
        <v>0</v>
      </c>
    </row>
    <row r="2022" spans="1:16" ht="46.5" outlineLevel="1" x14ac:dyDescent="0.25">
      <c r="A2022" s="1482">
        <f t="shared" si="267"/>
        <v>1.2</v>
      </c>
      <c r="B2022" s="1483" t="str">
        <f t="shared" si="267"/>
        <v>Installation of smart soot blower system for unit 5 and 6 boiler (Smart cannons- 8 nos, sealing and cooling air fans – 8 nos, heat flux sensors- 32 nos, HP pump – 1 no</v>
      </c>
      <c r="C2022" s="1482" t="str">
        <f t="shared" si="267"/>
        <v>MERC/CAPEX/20102011/01755</v>
      </c>
      <c r="D2022" s="1390">
        <f t="shared" si="267"/>
        <v>40507</v>
      </c>
      <c r="E2022" s="560">
        <f t="shared" si="267"/>
        <v>11.8</v>
      </c>
      <c r="F2022" s="1508">
        <f t="shared" si="268"/>
        <v>0</v>
      </c>
      <c r="G2022" s="1508">
        <f t="shared" si="269"/>
        <v>0</v>
      </c>
      <c r="H2022" s="1508">
        <f t="shared" si="272"/>
        <v>0</v>
      </c>
      <c r="I2022" s="1480">
        <v>0</v>
      </c>
      <c r="J2022" s="1480">
        <v>0</v>
      </c>
      <c r="K2022" s="1508"/>
      <c r="L2022" s="1508"/>
      <c r="M2022" s="1509">
        <f t="shared" si="273"/>
        <v>0</v>
      </c>
      <c r="N2022" s="1508">
        <f t="shared" si="274"/>
        <v>0</v>
      </c>
      <c r="O2022" s="1481">
        <f t="shared" si="270"/>
        <v>0</v>
      </c>
      <c r="P2022" s="1427">
        <f t="shared" si="271"/>
        <v>0</v>
      </c>
    </row>
    <row r="2023" spans="1:16" ht="62" outlineLevel="1" x14ac:dyDescent="0.25">
      <c r="A2023" s="1482">
        <f t="shared" si="267"/>
        <v>1.3</v>
      </c>
      <c r="B2023" s="1483" t="str">
        <f t="shared" si="267"/>
        <v>Total Replacement of boiler skin and air duct insulation of unit 3 to 7 (Ribbed aluminium cladding – 2000 m2, GI cladding, U bonded rock wool mattresses 100 mm thick )(consists of two schemes)</v>
      </c>
      <c r="C2023" s="1482" t="str">
        <f t="shared" si="267"/>
        <v>MERC/CAPEX/20102011/01755</v>
      </c>
      <c r="D2023" s="1390">
        <f t="shared" si="267"/>
        <v>40507</v>
      </c>
      <c r="E2023" s="560">
        <f t="shared" si="267"/>
        <v>12.3</v>
      </c>
      <c r="F2023" s="1508">
        <f t="shared" si="268"/>
        <v>10.016599048</v>
      </c>
      <c r="G2023" s="1508">
        <f t="shared" si="269"/>
        <v>10.016599048000002</v>
      </c>
      <c r="H2023" s="1508">
        <f t="shared" si="272"/>
        <v>0</v>
      </c>
      <c r="I2023" s="1480">
        <v>0</v>
      </c>
      <c r="J2023" s="1480">
        <v>0</v>
      </c>
      <c r="K2023" s="1508"/>
      <c r="L2023" s="1508"/>
      <c r="M2023" s="1509">
        <f t="shared" si="273"/>
        <v>0</v>
      </c>
      <c r="N2023" s="1508">
        <f t="shared" si="274"/>
        <v>0</v>
      </c>
      <c r="O2023" s="1481">
        <f t="shared" si="270"/>
        <v>0</v>
      </c>
      <c r="P2023" s="1427">
        <f t="shared" si="271"/>
        <v>0</v>
      </c>
    </row>
    <row r="2024" spans="1:16" ht="77.5" outlineLevel="1" x14ac:dyDescent="0.25">
      <c r="A2024" s="1482">
        <f t="shared" si="267"/>
        <v>1.4</v>
      </c>
      <c r="B2024" s="1483" t="str">
        <f t="shared" si="267"/>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2024" s="1482" t="str">
        <f t="shared" si="267"/>
        <v>MERC/CAPEX/20102011/01755</v>
      </c>
      <c r="D2024" s="1390">
        <f t="shared" si="267"/>
        <v>40507</v>
      </c>
      <c r="E2024" s="560">
        <f t="shared" si="267"/>
        <v>7.52</v>
      </c>
      <c r="F2024" s="1508">
        <f t="shared" si="268"/>
        <v>3.8601695880000002</v>
      </c>
      <c r="G2024" s="1508">
        <f t="shared" si="269"/>
        <v>3.8601695880000002</v>
      </c>
      <c r="H2024" s="1508">
        <f t="shared" si="272"/>
        <v>0</v>
      </c>
      <c r="I2024" s="1480">
        <v>0</v>
      </c>
      <c r="J2024" s="1480">
        <v>0</v>
      </c>
      <c r="K2024" s="1508"/>
      <c r="L2024" s="1508"/>
      <c r="M2024" s="1509">
        <f t="shared" si="273"/>
        <v>0</v>
      </c>
      <c r="N2024" s="1508">
        <f t="shared" si="274"/>
        <v>0</v>
      </c>
      <c r="O2024" s="1481">
        <f t="shared" si="270"/>
        <v>0</v>
      </c>
      <c r="P2024" s="1427">
        <f t="shared" si="271"/>
        <v>0</v>
      </c>
    </row>
    <row r="2025" spans="1:16" ht="46.5" outlineLevel="1" x14ac:dyDescent="0.25">
      <c r="A2025" s="1482">
        <f t="shared" si="267"/>
        <v>1.5</v>
      </c>
      <c r="B2025" s="1483" t="str">
        <f t="shared" si="267"/>
        <v>Replacement of ECO coils with gas velocity profiles and erosion control devices for Unit 1 to 6 (U7 middle eco- 69 assemblies, U5&amp;6 middle and lower eco- 65 assemblies each)</v>
      </c>
      <c r="C2025" s="1482" t="str">
        <f t="shared" si="267"/>
        <v>MERC/CAPEX/20102011/01755</v>
      </c>
      <c r="D2025" s="1390">
        <f t="shared" si="267"/>
        <v>40507</v>
      </c>
      <c r="E2025" s="560">
        <f t="shared" si="267"/>
        <v>43.2</v>
      </c>
      <c r="F2025" s="1508">
        <f t="shared" si="268"/>
        <v>56.159367274552196</v>
      </c>
      <c r="G2025" s="1508">
        <f t="shared" si="269"/>
        <v>56.159367274552196</v>
      </c>
      <c r="H2025" s="1508">
        <f t="shared" si="272"/>
        <v>0</v>
      </c>
      <c r="I2025" s="1480">
        <v>0</v>
      </c>
      <c r="J2025" s="1480">
        <v>0</v>
      </c>
      <c r="K2025" s="1508"/>
      <c r="L2025" s="1508"/>
      <c r="M2025" s="1509">
        <f t="shared" si="273"/>
        <v>0</v>
      </c>
      <c r="N2025" s="1508">
        <f t="shared" si="274"/>
        <v>0</v>
      </c>
      <c r="O2025" s="1481">
        <f t="shared" si="270"/>
        <v>0</v>
      </c>
      <c r="P2025" s="1427">
        <f t="shared" si="271"/>
        <v>0</v>
      </c>
    </row>
    <row r="2026" spans="1:16" ht="46.5" outlineLevel="1" x14ac:dyDescent="0.25">
      <c r="A2026" s="1482">
        <f t="shared" si="267"/>
        <v>1.6</v>
      </c>
      <c r="B2026" s="1483" t="str">
        <f t="shared" si="267"/>
        <v>Replacement of LTSH coils with improved tube materials, gas velocity profiles and erosion control devices for unit 3 to 7 (U5&amp;6 LTSH terminal tubes – 58 assemblies)</v>
      </c>
      <c r="C2026" s="1482" t="str">
        <f t="shared" si="267"/>
        <v>MERC/CAPEX/20102011/01755</v>
      </c>
      <c r="D2026" s="1390">
        <f t="shared" si="267"/>
        <v>40507</v>
      </c>
      <c r="E2026" s="560">
        <f t="shared" si="267"/>
        <v>23.4</v>
      </c>
      <c r="F2026" s="1508">
        <f t="shared" si="268"/>
        <v>12.917271588999998</v>
      </c>
      <c r="G2026" s="1508">
        <f t="shared" si="269"/>
        <v>12.917271589</v>
      </c>
      <c r="H2026" s="1508">
        <f t="shared" si="272"/>
        <v>0</v>
      </c>
      <c r="I2026" s="1480">
        <v>0</v>
      </c>
      <c r="J2026" s="1480">
        <v>0</v>
      </c>
      <c r="K2026" s="1508"/>
      <c r="L2026" s="1508"/>
      <c r="M2026" s="1509">
        <f t="shared" si="273"/>
        <v>0</v>
      </c>
      <c r="N2026" s="1508">
        <f t="shared" si="274"/>
        <v>0</v>
      </c>
      <c r="O2026" s="1481">
        <f t="shared" si="270"/>
        <v>0</v>
      </c>
      <c r="P2026" s="1427">
        <f t="shared" si="271"/>
        <v>0</v>
      </c>
    </row>
    <row r="2027" spans="1:16" ht="31" outlineLevel="1" x14ac:dyDescent="0.25">
      <c r="A2027" s="1482">
        <f t="shared" si="267"/>
        <v>1.7</v>
      </c>
      <c r="B2027" s="1483" t="str">
        <f t="shared" si="267"/>
        <v>Replacement of RH platens for Unit 5 &amp; 6 (unit 5- 46 coils, unit 6- 28 coils)</v>
      </c>
      <c r="C2027" s="1482" t="str">
        <f t="shared" si="267"/>
        <v>MERC/CAPEX/20102011/01755</v>
      </c>
      <c r="D2027" s="1390">
        <f t="shared" si="267"/>
        <v>40507</v>
      </c>
      <c r="E2027" s="560">
        <f t="shared" si="267"/>
        <v>27.6</v>
      </c>
      <c r="F2027" s="1508">
        <f t="shared" si="268"/>
        <v>11.3681175</v>
      </c>
      <c r="G2027" s="1508">
        <f t="shared" si="269"/>
        <v>11.3681175</v>
      </c>
      <c r="H2027" s="1508">
        <f t="shared" si="272"/>
        <v>0</v>
      </c>
      <c r="I2027" s="1480">
        <v>0</v>
      </c>
      <c r="J2027" s="1480">
        <v>0</v>
      </c>
      <c r="K2027" s="1508"/>
      <c r="L2027" s="1508"/>
      <c r="M2027" s="1509">
        <f t="shared" si="273"/>
        <v>0</v>
      </c>
      <c r="N2027" s="1508">
        <f t="shared" si="274"/>
        <v>0</v>
      </c>
      <c r="O2027" s="1481">
        <f t="shared" si="270"/>
        <v>0</v>
      </c>
      <c r="P2027" s="1427">
        <f t="shared" si="271"/>
        <v>0</v>
      </c>
    </row>
    <row r="2028" spans="1:16" ht="46.5" outlineLevel="1" x14ac:dyDescent="0.25">
      <c r="A2028" s="1482">
        <f t="shared" si="267"/>
        <v>1.8</v>
      </c>
      <c r="B2028" s="1483" t="str">
        <f t="shared" si="267"/>
        <v>Gas proportioning dampers, flue gas, primary and secondary air dampers should be retrofitted with cold hardened material (SAH dampers- 4 nos)</v>
      </c>
      <c r="C2028" s="1482" t="str">
        <f t="shared" si="267"/>
        <v>MERC/CAPEX/20102011/01755</v>
      </c>
      <c r="D2028" s="1390">
        <f t="shared" si="267"/>
        <v>40507</v>
      </c>
      <c r="E2028" s="560">
        <f t="shared" si="267"/>
        <v>1.43</v>
      </c>
      <c r="F2028" s="1508">
        <f t="shared" si="268"/>
        <v>1.8769309999999999</v>
      </c>
      <c r="G2028" s="1508">
        <f t="shared" si="269"/>
        <v>1.8769309999999999</v>
      </c>
      <c r="H2028" s="1508">
        <f t="shared" si="272"/>
        <v>0</v>
      </c>
      <c r="I2028" s="1480">
        <v>0</v>
      </c>
      <c r="J2028" s="1480">
        <v>0</v>
      </c>
      <c r="K2028" s="1508"/>
      <c r="L2028" s="1508"/>
      <c r="M2028" s="1509">
        <f t="shared" si="273"/>
        <v>0</v>
      </c>
      <c r="N2028" s="1508">
        <f t="shared" si="274"/>
        <v>0</v>
      </c>
      <c r="O2028" s="1481">
        <f t="shared" si="270"/>
        <v>0</v>
      </c>
      <c r="P2028" s="1427">
        <f t="shared" si="271"/>
        <v>0</v>
      </c>
    </row>
    <row r="2029" spans="1:16" ht="93" outlineLevel="1" x14ac:dyDescent="0.25">
      <c r="A2029" s="1484">
        <f t="shared" si="267"/>
        <v>1.9</v>
      </c>
      <c r="B2029" s="1485" t="str">
        <f t="shared" si="267"/>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2029" s="1482" t="str">
        <f t="shared" si="267"/>
        <v>MERC/CAPEX/20102011/01755</v>
      </c>
      <c r="D2029" s="1390">
        <f t="shared" si="267"/>
        <v>40507</v>
      </c>
      <c r="E2029" s="560">
        <f t="shared" si="267"/>
        <v>3.5</v>
      </c>
      <c r="F2029" s="1508">
        <f t="shared" si="268"/>
        <v>4.2488259999999993</v>
      </c>
      <c r="G2029" s="1508">
        <f t="shared" si="269"/>
        <v>4.2488259999999993</v>
      </c>
      <c r="H2029" s="1508">
        <f t="shared" si="272"/>
        <v>0</v>
      </c>
      <c r="I2029" s="1480">
        <v>0</v>
      </c>
      <c r="J2029" s="1480">
        <v>0</v>
      </c>
      <c r="K2029" s="1508"/>
      <c r="L2029" s="1508"/>
      <c r="M2029" s="1509">
        <f t="shared" si="273"/>
        <v>0</v>
      </c>
      <c r="N2029" s="1508">
        <f t="shared" si="274"/>
        <v>0</v>
      </c>
      <c r="O2029" s="1481">
        <f t="shared" si="270"/>
        <v>0</v>
      </c>
      <c r="P2029" s="1427">
        <f t="shared" si="271"/>
        <v>0</v>
      </c>
    </row>
    <row r="2030" spans="1:16" ht="62" outlineLevel="1" x14ac:dyDescent="0.25">
      <c r="A2030" s="1482" t="str">
        <f t="shared" si="267"/>
        <v>1.10</v>
      </c>
      <c r="B2030" s="1483" t="str">
        <f t="shared" si="267"/>
        <v>Reducing the pressure drop across APH in Unit 5, 6 and 7 (CFD analysis and design modification in APH inlet duct, Manufacture and supply and erection of carbide overlay divertet plates – 600 m2</v>
      </c>
      <c r="C2030" s="1482" t="str">
        <f t="shared" si="267"/>
        <v>MERC/CAPEX/20102011/01755</v>
      </c>
      <c r="D2030" s="1390">
        <f t="shared" si="267"/>
        <v>40507</v>
      </c>
      <c r="E2030" s="560">
        <f t="shared" si="267"/>
        <v>2</v>
      </c>
      <c r="F2030" s="1508">
        <f t="shared" si="268"/>
        <v>2.0468280000000001</v>
      </c>
      <c r="G2030" s="1508">
        <f t="shared" si="269"/>
        <v>2.0468280000000001</v>
      </c>
      <c r="H2030" s="1508">
        <f t="shared" si="272"/>
        <v>0</v>
      </c>
      <c r="I2030" s="1480">
        <v>0</v>
      </c>
      <c r="J2030" s="1480">
        <v>0</v>
      </c>
      <c r="K2030" s="1508"/>
      <c r="L2030" s="1508"/>
      <c r="M2030" s="1509">
        <f t="shared" si="273"/>
        <v>0</v>
      </c>
      <c r="N2030" s="1508">
        <f t="shared" si="274"/>
        <v>0</v>
      </c>
      <c r="O2030" s="1481">
        <f t="shared" si="270"/>
        <v>0</v>
      </c>
      <c r="P2030" s="1427">
        <f t="shared" si="271"/>
        <v>0</v>
      </c>
    </row>
    <row r="2031" spans="1:16" ht="15.5" outlineLevel="1" x14ac:dyDescent="0.25">
      <c r="A2031" s="1482">
        <f t="shared" si="267"/>
        <v>1.1100000000000001</v>
      </c>
      <c r="B2031" s="1483" t="str">
        <f t="shared" si="267"/>
        <v>Reducing the pressure drop across ESP</v>
      </c>
      <c r="C2031" s="1482" t="str">
        <f t="shared" si="267"/>
        <v>MERC/CAPEX/20102011/01755</v>
      </c>
      <c r="D2031" s="1390">
        <f t="shared" si="267"/>
        <v>40507</v>
      </c>
      <c r="E2031" s="560">
        <f t="shared" si="267"/>
        <v>0</v>
      </c>
      <c r="F2031" s="1508">
        <f t="shared" si="268"/>
        <v>0</v>
      </c>
      <c r="G2031" s="1508">
        <f t="shared" si="269"/>
        <v>0</v>
      </c>
      <c r="H2031" s="1508">
        <f t="shared" si="272"/>
        <v>0</v>
      </c>
      <c r="I2031" s="1480">
        <v>0</v>
      </c>
      <c r="J2031" s="1480">
        <v>0</v>
      </c>
      <c r="K2031" s="1508"/>
      <c r="L2031" s="1508"/>
      <c r="M2031" s="1509">
        <f t="shared" si="273"/>
        <v>0</v>
      </c>
      <c r="N2031" s="1508">
        <f t="shared" si="274"/>
        <v>0</v>
      </c>
      <c r="O2031" s="1481">
        <f t="shared" si="270"/>
        <v>0</v>
      </c>
      <c r="P2031" s="1427">
        <f t="shared" si="271"/>
        <v>0</v>
      </c>
    </row>
    <row r="2032" spans="1:16" ht="31" outlineLevel="1" x14ac:dyDescent="0.25">
      <c r="A2032" s="1482">
        <f t="shared" si="267"/>
        <v>1.1200000000000001</v>
      </c>
      <c r="B2032" s="1483" t="str">
        <f t="shared" si="267"/>
        <v>Replacement  of CT fan blades from GRP to FRP and resizing the motor to 75 kw</v>
      </c>
      <c r="C2032" s="1482" t="str">
        <f t="shared" si="267"/>
        <v>MERC/CAPEX/20102011/01755</v>
      </c>
      <c r="D2032" s="1390">
        <f t="shared" si="267"/>
        <v>40507</v>
      </c>
      <c r="E2032" s="560">
        <f t="shared" si="267"/>
        <v>2.9129999999999998</v>
      </c>
      <c r="F2032" s="1508">
        <f t="shared" si="268"/>
        <v>1.6187437680000003</v>
      </c>
      <c r="G2032" s="1508">
        <f t="shared" si="269"/>
        <v>1.6187437679999999</v>
      </c>
      <c r="H2032" s="1508">
        <f t="shared" si="272"/>
        <v>0</v>
      </c>
      <c r="I2032" s="1480">
        <v>0</v>
      </c>
      <c r="J2032" s="1480">
        <v>0</v>
      </c>
      <c r="K2032" s="1508"/>
      <c r="L2032" s="1508"/>
      <c r="M2032" s="1509">
        <f t="shared" si="273"/>
        <v>0</v>
      </c>
      <c r="N2032" s="1508">
        <f t="shared" si="274"/>
        <v>0</v>
      </c>
      <c r="O2032" s="1481">
        <f t="shared" si="270"/>
        <v>0</v>
      </c>
      <c r="P2032" s="1427">
        <f t="shared" si="271"/>
        <v>0</v>
      </c>
    </row>
    <row r="2033" spans="1:16" ht="31" outlineLevel="1" x14ac:dyDescent="0.25">
      <c r="A2033" s="1482">
        <f t="shared" si="267"/>
        <v>1.1299999999999999</v>
      </c>
      <c r="B2033" s="1483" t="str">
        <f t="shared" si="267"/>
        <v>Improving the BFP efficiency by overhauling of pump and motors for unit 3 &amp;4</v>
      </c>
      <c r="C2033" s="1482" t="str">
        <f t="shared" si="267"/>
        <v>MERC/CAPEX/20102011/01755</v>
      </c>
      <c r="D2033" s="1390">
        <f t="shared" si="267"/>
        <v>40507</v>
      </c>
      <c r="E2033" s="560">
        <f t="shared" si="267"/>
        <v>15</v>
      </c>
      <c r="F2033" s="1508">
        <f t="shared" si="268"/>
        <v>14.851620102999998</v>
      </c>
      <c r="G2033" s="1508">
        <f t="shared" si="269"/>
        <v>14.851620102999998</v>
      </c>
      <c r="H2033" s="1508">
        <f t="shared" si="272"/>
        <v>0</v>
      </c>
      <c r="I2033" s="1480">
        <v>0</v>
      </c>
      <c r="J2033" s="1480">
        <v>0</v>
      </c>
      <c r="K2033" s="1508"/>
      <c r="L2033" s="1508"/>
      <c r="M2033" s="1509">
        <f t="shared" si="273"/>
        <v>0</v>
      </c>
      <c r="N2033" s="1508">
        <f t="shared" si="274"/>
        <v>0</v>
      </c>
      <c r="O2033" s="1481">
        <f t="shared" si="270"/>
        <v>0</v>
      </c>
      <c r="P2033" s="1427">
        <f t="shared" si="271"/>
        <v>0</v>
      </c>
    </row>
    <row r="2034" spans="1:16" ht="31" outlineLevel="1" x14ac:dyDescent="0.25">
      <c r="A2034" s="1482">
        <f t="shared" si="267"/>
        <v>1.1399999999999999</v>
      </c>
      <c r="B2034" s="1483" t="str">
        <f t="shared" si="267"/>
        <v>During the next capital overhaul, restoration of the steam paths through steam path audits for unit 1 to 7</v>
      </c>
      <c r="C2034" s="1482" t="str">
        <f t="shared" si="267"/>
        <v>MERC/CAPEX/20102011/01755</v>
      </c>
      <c r="D2034" s="1390">
        <f t="shared" si="267"/>
        <v>40507</v>
      </c>
      <c r="E2034" s="560">
        <f t="shared" si="267"/>
        <v>4.6040000000000001</v>
      </c>
      <c r="F2034" s="1508">
        <f t="shared" si="268"/>
        <v>8.9775599999999997E-2</v>
      </c>
      <c r="G2034" s="1508">
        <f t="shared" si="269"/>
        <v>8.9775599999999997E-2</v>
      </c>
      <c r="H2034" s="1508">
        <f t="shared" si="272"/>
        <v>0</v>
      </c>
      <c r="I2034" s="1480">
        <v>0</v>
      </c>
      <c r="J2034" s="1480">
        <v>0</v>
      </c>
      <c r="K2034" s="1508"/>
      <c r="L2034" s="1508"/>
      <c r="M2034" s="1509">
        <f t="shared" si="273"/>
        <v>0</v>
      </c>
      <c r="N2034" s="1508">
        <f t="shared" si="274"/>
        <v>0</v>
      </c>
      <c r="O2034" s="1481">
        <f t="shared" si="270"/>
        <v>0</v>
      </c>
      <c r="P2034" s="1427">
        <f t="shared" si="271"/>
        <v>0</v>
      </c>
    </row>
    <row r="2035" spans="1:16" ht="31" outlineLevel="1" x14ac:dyDescent="0.25">
      <c r="A2035" s="1482">
        <f t="shared" si="267"/>
        <v>1.1499999999999999</v>
      </c>
      <c r="B2035" s="1483" t="str">
        <f t="shared" si="267"/>
        <v>Continuous monitoring system for CO in the furnace and flue gas ducting zone for Unit 3 to 7</v>
      </c>
      <c r="C2035" s="1482" t="str">
        <f t="shared" si="267"/>
        <v>MERC/CAPEX/20102011/01755</v>
      </c>
      <c r="D2035" s="1390">
        <f t="shared" si="267"/>
        <v>40507</v>
      </c>
      <c r="E2035" s="560">
        <f t="shared" si="267"/>
        <v>10.5</v>
      </c>
      <c r="F2035" s="1508">
        <f t="shared" si="268"/>
        <v>0</v>
      </c>
      <c r="G2035" s="1508">
        <f t="shared" si="269"/>
        <v>0</v>
      </c>
      <c r="H2035" s="1508">
        <f t="shared" si="272"/>
        <v>0</v>
      </c>
      <c r="I2035" s="1480">
        <v>0</v>
      </c>
      <c r="J2035" s="1480">
        <v>0</v>
      </c>
      <c r="K2035" s="1508"/>
      <c r="L2035" s="1508"/>
      <c r="M2035" s="1509">
        <f t="shared" si="273"/>
        <v>0</v>
      </c>
      <c r="N2035" s="1508">
        <f t="shared" si="274"/>
        <v>0</v>
      </c>
      <c r="O2035" s="1481">
        <f t="shared" si="270"/>
        <v>0</v>
      </c>
      <c r="P2035" s="1427">
        <f t="shared" si="271"/>
        <v>0</v>
      </c>
    </row>
    <row r="2036" spans="1:16" ht="31" outlineLevel="1" x14ac:dyDescent="0.25">
      <c r="A2036" s="1482">
        <f t="shared" ref="A2036:E2051" si="275">A1366</f>
        <v>1.1599999999999999</v>
      </c>
      <c r="B2036" s="1483" t="str">
        <f t="shared" si="275"/>
        <v>Oxygen measurement must be introduced at APH inlet and after ID fan outlet  for unit 1 to 7</v>
      </c>
      <c r="C2036" s="1482" t="str">
        <f t="shared" si="275"/>
        <v>MERC/CAPEX/20102011/01755</v>
      </c>
      <c r="D2036" s="1390">
        <f t="shared" si="275"/>
        <v>40507</v>
      </c>
      <c r="E2036" s="560">
        <f t="shared" si="275"/>
        <v>4.91</v>
      </c>
      <c r="F2036" s="1508">
        <f t="shared" si="268"/>
        <v>3.543640452</v>
      </c>
      <c r="G2036" s="1508">
        <f t="shared" si="269"/>
        <v>3.543640452</v>
      </c>
      <c r="H2036" s="1508">
        <f t="shared" si="272"/>
        <v>0</v>
      </c>
      <c r="I2036" s="1480">
        <v>0</v>
      </c>
      <c r="J2036" s="1480">
        <v>0</v>
      </c>
      <c r="K2036" s="1508"/>
      <c r="L2036" s="1508"/>
      <c r="M2036" s="1509">
        <f t="shared" si="273"/>
        <v>0</v>
      </c>
      <c r="N2036" s="1508">
        <f t="shared" si="274"/>
        <v>0</v>
      </c>
      <c r="O2036" s="1481">
        <f t="shared" si="270"/>
        <v>0</v>
      </c>
      <c r="P2036" s="1427">
        <f t="shared" si="271"/>
        <v>0</v>
      </c>
    </row>
    <row r="2037" spans="1:16" ht="15.5" outlineLevel="1" x14ac:dyDescent="0.25">
      <c r="A2037" s="1482">
        <f t="shared" si="275"/>
        <v>0</v>
      </c>
      <c r="B2037" s="1483" t="str">
        <f t="shared" si="275"/>
        <v>IDC</v>
      </c>
      <c r="C2037" s="1482" t="str">
        <f t="shared" si="275"/>
        <v>MERC/CAPEX/20102011/01755</v>
      </c>
      <c r="D2037" s="1390">
        <f t="shared" si="275"/>
        <v>40507</v>
      </c>
      <c r="E2037" s="560">
        <f t="shared" si="275"/>
        <v>10.09</v>
      </c>
      <c r="F2037" s="1508">
        <f t="shared" si="268"/>
        <v>0</v>
      </c>
      <c r="G2037" s="1508">
        <f t="shared" si="269"/>
        <v>0</v>
      </c>
      <c r="H2037" s="1508">
        <f t="shared" si="272"/>
        <v>0</v>
      </c>
      <c r="I2037" s="1480">
        <v>0</v>
      </c>
      <c r="J2037" s="1480">
        <v>0</v>
      </c>
      <c r="K2037" s="1508"/>
      <c r="L2037" s="1508"/>
      <c r="M2037" s="1509">
        <f t="shared" si="273"/>
        <v>0</v>
      </c>
      <c r="N2037" s="1508">
        <f t="shared" si="274"/>
        <v>0</v>
      </c>
      <c r="O2037" s="1481">
        <f t="shared" si="270"/>
        <v>0</v>
      </c>
      <c r="P2037" s="1427">
        <f t="shared" si="271"/>
        <v>0</v>
      </c>
    </row>
    <row r="2038" spans="1:16" ht="15.5" outlineLevel="1" x14ac:dyDescent="0.25">
      <c r="A2038" s="1477">
        <f t="shared" si="275"/>
        <v>2</v>
      </c>
      <c r="B2038" s="1478" t="str">
        <f t="shared" si="275"/>
        <v>Input source Measurement</v>
      </c>
      <c r="C2038" s="1486" t="str">
        <f t="shared" si="275"/>
        <v>MERC/CAPEX/20112012/00925</v>
      </c>
      <c r="D2038" s="1487">
        <f t="shared" si="275"/>
        <v>40730</v>
      </c>
      <c r="E2038" s="1383">
        <f t="shared" si="275"/>
        <v>20.990099999999998</v>
      </c>
      <c r="F2038" s="1480">
        <f t="shared" si="268"/>
        <v>0</v>
      </c>
      <c r="G2038" s="1480">
        <f t="shared" si="269"/>
        <v>0</v>
      </c>
      <c r="H2038" s="1480">
        <f t="shared" si="272"/>
        <v>0</v>
      </c>
      <c r="I2038" s="1480">
        <v>0</v>
      </c>
      <c r="J2038" s="1480">
        <v>0</v>
      </c>
      <c r="K2038" s="1480"/>
      <c r="L2038" s="1480"/>
      <c r="M2038" s="1480">
        <f t="shared" si="273"/>
        <v>0</v>
      </c>
      <c r="N2038" s="1480">
        <f t="shared" si="274"/>
        <v>0</v>
      </c>
      <c r="O2038" s="1481">
        <f t="shared" si="270"/>
        <v>0</v>
      </c>
      <c r="P2038" s="1427">
        <f t="shared" si="271"/>
        <v>0</v>
      </c>
    </row>
    <row r="2039" spans="1:16" ht="46.5" outlineLevel="1" x14ac:dyDescent="0.25">
      <c r="A2039" s="1482">
        <f t="shared" si="275"/>
        <v>2.1</v>
      </c>
      <c r="B2039" s="1483" t="str">
        <f t="shared" si="275"/>
        <v>Installation of Guided wave radar type level indicators for all fuel oil tanks of unit-1 to 7 DTFA 15 tanks and MTFA 15 tanks (total 30 tanks)</v>
      </c>
      <c r="C2039" s="1482" t="str">
        <f t="shared" si="275"/>
        <v>MERC/CAPEX/20112012/00925</v>
      </c>
      <c r="D2039" s="1390">
        <f t="shared" si="275"/>
        <v>40730</v>
      </c>
      <c r="E2039" s="560">
        <f t="shared" si="275"/>
        <v>1.0398000000000001</v>
      </c>
      <c r="F2039" s="1508">
        <f t="shared" si="268"/>
        <v>0.70700000000000007</v>
      </c>
      <c r="G2039" s="1508">
        <f t="shared" si="269"/>
        <v>0.70700000000000007</v>
      </c>
      <c r="H2039" s="1508">
        <f t="shared" si="272"/>
        <v>0</v>
      </c>
      <c r="I2039" s="1480">
        <v>0</v>
      </c>
      <c r="J2039" s="1480">
        <v>0</v>
      </c>
      <c r="K2039" s="1508"/>
      <c r="L2039" s="1508"/>
      <c r="M2039" s="1509">
        <f t="shared" si="273"/>
        <v>0</v>
      </c>
      <c r="N2039" s="1508">
        <f t="shared" si="274"/>
        <v>0</v>
      </c>
      <c r="O2039" s="1481">
        <f t="shared" si="270"/>
        <v>0</v>
      </c>
      <c r="P2039" s="1427">
        <f t="shared" si="271"/>
        <v>0</v>
      </c>
    </row>
    <row r="2040" spans="1:16" ht="31" outlineLevel="1" x14ac:dyDescent="0.25">
      <c r="A2040" s="1482">
        <f t="shared" si="275"/>
        <v>2.2000000000000002</v>
      </c>
      <c r="B2040" s="1483" t="str">
        <f t="shared" si="275"/>
        <v>Installation of mass based oil flow meters with provision for continuous digital transfer (20 transmitters)</v>
      </c>
      <c r="C2040" s="1482" t="str">
        <f t="shared" si="275"/>
        <v>MERC/CAPEX/20112012/00925</v>
      </c>
      <c r="D2040" s="1390">
        <f t="shared" si="275"/>
        <v>40730</v>
      </c>
      <c r="E2040" s="560">
        <f t="shared" si="275"/>
        <v>3.1379999999999999</v>
      </c>
      <c r="F2040" s="1508">
        <f t="shared" si="268"/>
        <v>0</v>
      </c>
      <c r="G2040" s="1508">
        <f t="shared" si="269"/>
        <v>0</v>
      </c>
      <c r="H2040" s="1508">
        <f t="shared" si="272"/>
        <v>0</v>
      </c>
      <c r="I2040" s="1480">
        <v>0</v>
      </c>
      <c r="J2040" s="1480">
        <v>0</v>
      </c>
      <c r="K2040" s="1508"/>
      <c r="L2040" s="1508"/>
      <c r="M2040" s="1509">
        <f t="shared" si="273"/>
        <v>0</v>
      </c>
      <c r="N2040" s="1508">
        <f t="shared" si="274"/>
        <v>0</v>
      </c>
      <c r="O2040" s="1481">
        <f t="shared" si="270"/>
        <v>0</v>
      </c>
      <c r="P2040" s="1427">
        <f t="shared" si="271"/>
        <v>0</v>
      </c>
    </row>
    <row r="2041" spans="1:16" ht="31" outlineLevel="1" x14ac:dyDescent="0.25">
      <c r="A2041" s="1482">
        <f t="shared" si="275"/>
        <v>2.2999999999999998</v>
      </c>
      <c r="B2041" s="1483" t="str">
        <f t="shared" si="275"/>
        <v>Installation of 54 Nos. of ultrasonic type Flow measurement transmitters for water consumption monitoring</v>
      </c>
      <c r="C2041" s="1482" t="str">
        <f t="shared" si="275"/>
        <v>MERC/CAPEX/20112012/00925</v>
      </c>
      <c r="D2041" s="1390">
        <f t="shared" si="275"/>
        <v>40730</v>
      </c>
      <c r="E2041" s="560">
        <f t="shared" si="275"/>
        <v>3.0657000000000001</v>
      </c>
      <c r="F2041" s="1508">
        <f t="shared" si="268"/>
        <v>1.7642598999999999</v>
      </c>
      <c r="G2041" s="1508">
        <f t="shared" si="269"/>
        <v>1.7642598999999999</v>
      </c>
      <c r="H2041" s="1508">
        <f t="shared" si="272"/>
        <v>0</v>
      </c>
      <c r="I2041" s="1480">
        <v>0</v>
      </c>
      <c r="J2041" s="1480">
        <v>0</v>
      </c>
      <c r="K2041" s="1508"/>
      <c r="L2041" s="1508"/>
      <c r="M2041" s="1509">
        <f t="shared" si="273"/>
        <v>0</v>
      </c>
      <c r="N2041" s="1508">
        <f t="shared" si="274"/>
        <v>0</v>
      </c>
      <c r="O2041" s="1481">
        <f t="shared" si="270"/>
        <v>0</v>
      </c>
      <c r="P2041" s="1427">
        <f t="shared" si="271"/>
        <v>0</v>
      </c>
    </row>
    <row r="2042" spans="1:16" ht="31" outlineLevel="1" x14ac:dyDescent="0.25">
      <c r="A2042" s="1482">
        <f t="shared" si="275"/>
        <v>2.4</v>
      </c>
      <c r="B2042" s="1483" t="str">
        <f t="shared" si="275"/>
        <v>Trivector Meters for Auxiliary power measurement of GT (7 Nos).</v>
      </c>
      <c r="C2042" s="1488" t="str">
        <f t="shared" si="275"/>
        <v>MERC/CAPEX/20112012/00925</v>
      </c>
      <c r="D2042" s="1413">
        <f t="shared" si="275"/>
        <v>40730</v>
      </c>
      <c r="E2042" s="560">
        <f t="shared" si="275"/>
        <v>2.1100000000000001E-2</v>
      </c>
      <c r="F2042" s="1508">
        <f t="shared" si="268"/>
        <v>0</v>
      </c>
      <c r="G2042" s="1508">
        <f t="shared" si="269"/>
        <v>0</v>
      </c>
      <c r="H2042" s="1508">
        <f t="shared" si="272"/>
        <v>0</v>
      </c>
      <c r="I2042" s="1480">
        <v>0</v>
      </c>
      <c r="J2042" s="1480">
        <v>0</v>
      </c>
      <c r="K2042" s="1508"/>
      <c r="L2042" s="1508"/>
      <c r="M2042" s="1509">
        <f t="shared" si="273"/>
        <v>0</v>
      </c>
      <c r="N2042" s="1508">
        <f t="shared" si="274"/>
        <v>0</v>
      </c>
      <c r="O2042" s="1481">
        <f t="shared" si="270"/>
        <v>0</v>
      </c>
      <c r="P2042" s="1427">
        <f t="shared" si="271"/>
        <v>0</v>
      </c>
    </row>
    <row r="2043" spans="1:16" ht="31" outlineLevel="1" x14ac:dyDescent="0.25">
      <c r="A2043" s="1482">
        <f t="shared" si="275"/>
        <v>2.5</v>
      </c>
      <c r="B2043" s="1483" t="str">
        <f t="shared" si="275"/>
        <v>Standard Meters for Auxiliary power measurement for sp. Consumption of Auxiliary transformer, Limbs and auxiliaries.</v>
      </c>
      <c r="C2043" s="1482" t="str">
        <f t="shared" si="275"/>
        <v>MERC/CAPEX/20112012/00925</v>
      </c>
      <c r="D2043" s="1390">
        <f t="shared" si="275"/>
        <v>40730</v>
      </c>
      <c r="E2043" s="560">
        <f t="shared" si="275"/>
        <v>0.49540000000000001</v>
      </c>
      <c r="F2043" s="1508">
        <f t="shared" si="268"/>
        <v>0.29783999999999999</v>
      </c>
      <c r="G2043" s="1508">
        <f t="shared" si="269"/>
        <v>0.29783999999999999</v>
      </c>
      <c r="H2043" s="1508">
        <f t="shared" si="272"/>
        <v>0</v>
      </c>
      <c r="I2043" s="1480">
        <v>0</v>
      </c>
      <c r="J2043" s="1480">
        <v>0</v>
      </c>
      <c r="K2043" s="1508"/>
      <c r="L2043" s="1508"/>
      <c r="M2043" s="1509">
        <f t="shared" si="273"/>
        <v>0</v>
      </c>
      <c r="N2043" s="1508">
        <f t="shared" si="274"/>
        <v>0</v>
      </c>
      <c r="O2043" s="1481">
        <f t="shared" si="270"/>
        <v>0</v>
      </c>
      <c r="P2043" s="1427">
        <f t="shared" si="271"/>
        <v>0</v>
      </c>
    </row>
    <row r="2044" spans="1:16" ht="15.5" outlineLevel="1" x14ac:dyDescent="0.25">
      <c r="A2044" s="1482">
        <f t="shared" si="275"/>
        <v>2.6</v>
      </c>
      <c r="B2044" s="1483" t="str">
        <f t="shared" si="275"/>
        <v>Belt weighers (28 Nos.)</v>
      </c>
      <c r="C2044" s="1482" t="str">
        <f t="shared" si="275"/>
        <v>MERC/CAPEX/20112012/00925</v>
      </c>
      <c r="D2044" s="1390">
        <f t="shared" si="275"/>
        <v>40730</v>
      </c>
      <c r="E2044" s="560">
        <f t="shared" si="275"/>
        <v>3.3195999999999999</v>
      </c>
      <c r="F2044" s="1508">
        <f t="shared" si="268"/>
        <v>0</v>
      </c>
      <c r="G2044" s="1508">
        <f t="shared" si="269"/>
        <v>0</v>
      </c>
      <c r="H2044" s="1508">
        <f t="shared" si="272"/>
        <v>0</v>
      </c>
      <c r="I2044" s="1480">
        <v>0</v>
      </c>
      <c r="J2044" s="1480">
        <v>0</v>
      </c>
      <c r="K2044" s="1508"/>
      <c r="L2044" s="1508"/>
      <c r="M2044" s="1509">
        <f t="shared" si="273"/>
        <v>0</v>
      </c>
      <c r="N2044" s="1508">
        <f t="shared" si="274"/>
        <v>0</v>
      </c>
      <c r="O2044" s="1481">
        <f t="shared" si="270"/>
        <v>0</v>
      </c>
      <c r="P2044" s="1427">
        <f t="shared" si="271"/>
        <v>0</v>
      </c>
    </row>
    <row r="2045" spans="1:16" ht="15.5" outlineLevel="1" x14ac:dyDescent="0.25">
      <c r="A2045" s="1482">
        <f t="shared" si="275"/>
        <v>2.7</v>
      </c>
      <c r="B2045" s="1483" t="str">
        <f t="shared" si="275"/>
        <v>In motion weigh bridge (10 Nos).</v>
      </c>
      <c r="C2045" s="1482" t="str">
        <f t="shared" si="275"/>
        <v>MERC/CAPEX/20112012/00925</v>
      </c>
      <c r="D2045" s="1390">
        <f t="shared" si="275"/>
        <v>40730</v>
      </c>
      <c r="E2045" s="560">
        <f t="shared" si="275"/>
        <v>4.5396000000000001</v>
      </c>
      <c r="F2045" s="1508">
        <f t="shared" si="268"/>
        <v>0.19084200000000001</v>
      </c>
      <c r="G2045" s="1508">
        <f t="shared" si="269"/>
        <v>0.19084200000000001</v>
      </c>
      <c r="H2045" s="1508">
        <f t="shared" si="272"/>
        <v>0</v>
      </c>
      <c r="I2045" s="1480">
        <v>0</v>
      </c>
      <c r="J2045" s="1480">
        <v>0</v>
      </c>
      <c r="K2045" s="1508"/>
      <c r="L2045" s="1508"/>
      <c r="M2045" s="1509">
        <f t="shared" si="273"/>
        <v>0</v>
      </c>
      <c r="N2045" s="1508">
        <f t="shared" si="274"/>
        <v>0</v>
      </c>
      <c r="O2045" s="1481">
        <f t="shared" si="270"/>
        <v>0</v>
      </c>
      <c r="P2045" s="1427">
        <f t="shared" si="271"/>
        <v>0</v>
      </c>
    </row>
    <row r="2046" spans="1:16" ht="15.5" outlineLevel="1" x14ac:dyDescent="0.25">
      <c r="A2046" s="1482">
        <f t="shared" si="275"/>
        <v>2.8</v>
      </c>
      <c r="B2046" s="1483" t="str">
        <f t="shared" si="275"/>
        <v>Bunker level transmitters (50 Nos.)</v>
      </c>
      <c r="C2046" s="1482" t="str">
        <f t="shared" si="275"/>
        <v>MERC/CAPEX/20112012/00925</v>
      </c>
      <c r="D2046" s="1390">
        <f t="shared" si="275"/>
        <v>40730</v>
      </c>
      <c r="E2046" s="560">
        <f t="shared" si="275"/>
        <v>2.5285000000000002</v>
      </c>
      <c r="F2046" s="1508">
        <f t="shared" si="268"/>
        <v>0</v>
      </c>
      <c r="G2046" s="1508">
        <f t="shared" si="269"/>
        <v>0</v>
      </c>
      <c r="H2046" s="1508">
        <f t="shared" si="272"/>
        <v>0</v>
      </c>
      <c r="I2046" s="1480">
        <v>0</v>
      </c>
      <c r="J2046" s="1480">
        <v>0</v>
      </c>
      <c r="K2046" s="1508"/>
      <c r="L2046" s="1508"/>
      <c r="M2046" s="1509">
        <f t="shared" si="273"/>
        <v>0</v>
      </c>
      <c r="N2046" s="1508">
        <f t="shared" si="274"/>
        <v>0</v>
      </c>
      <c r="O2046" s="1481">
        <f t="shared" si="270"/>
        <v>0</v>
      </c>
      <c r="P2046" s="1427">
        <f t="shared" si="271"/>
        <v>0</v>
      </c>
    </row>
    <row r="2047" spans="1:16" ht="15.5" outlineLevel="1" x14ac:dyDescent="0.25">
      <c r="A2047" s="1482">
        <f t="shared" si="275"/>
        <v>2.9</v>
      </c>
      <c r="B2047" s="1483" t="str">
        <f t="shared" si="275"/>
        <v>Flap Gate sensors (120 Nos.)</v>
      </c>
      <c r="C2047" s="1482" t="str">
        <f t="shared" si="275"/>
        <v>MERC/CAPEX/20112012/00925</v>
      </c>
      <c r="D2047" s="1390">
        <f t="shared" si="275"/>
        <v>40730</v>
      </c>
      <c r="E2047" s="560">
        <f t="shared" si="275"/>
        <v>0.1225</v>
      </c>
      <c r="F2047" s="1508">
        <f t="shared" si="268"/>
        <v>0</v>
      </c>
      <c r="G2047" s="1508">
        <f t="shared" si="269"/>
        <v>0</v>
      </c>
      <c r="H2047" s="1508">
        <f t="shared" si="272"/>
        <v>0</v>
      </c>
      <c r="I2047" s="1480">
        <v>0</v>
      </c>
      <c r="J2047" s="1480">
        <v>0</v>
      </c>
      <c r="K2047" s="1508"/>
      <c r="L2047" s="1508"/>
      <c r="M2047" s="1509">
        <f t="shared" si="273"/>
        <v>0</v>
      </c>
      <c r="N2047" s="1508">
        <f t="shared" si="274"/>
        <v>0</v>
      </c>
      <c r="O2047" s="1481">
        <f t="shared" si="270"/>
        <v>0</v>
      </c>
      <c r="P2047" s="1427">
        <f t="shared" si="271"/>
        <v>0</v>
      </c>
    </row>
    <row r="2048" spans="1:16" ht="15.5" outlineLevel="1" x14ac:dyDescent="0.25">
      <c r="A2048" s="1482" t="str">
        <f t="shared" si="275"/>
        <v>2.10</v>
      </c>
      <c r="B2048" s="1483" t="str">
        <f t="shared" si="275"/>
        <v>PLC (20 Nos)</v>
      </c>
      <c r="C2048" s="1482" t="str">
        <f t="shared" si="275"/>
        <v>MERC/CAPEX/20112012/00925</v>
      </c>
      <c r="D2048" s="1390">
        <f t="shared" si="275"/>
        <v>40730</v>
      </c>
      <c r="E2048" s="560">
        <f t="shared" si="275"/>
        <v>0.5333</v>
      </c>
      <c r="F2048" s="1508">
        <f t="shared" si="268"/>
        <v>0</v>
      </c>
      <c r="G2048" s="1508">
        <f t="shared" si="269"/>
        <v>0</v>
      </c>
      <c r="H2048" s="1508">
        <f t="shared" si="272"/>
        <v>0</v>
      </c>
      <c r="I2048" s="1480">
        <v>0</v>
      </c>
      <c r="J2048" s="1480">
        <v>0</v>
      </c>
      <c r="K2048" s="1508"/>
      <c r="L2048" s="1508"/>
      <c r="M2048" s="1509">
        <f t="shared" si="273"/>
        <v>0</v>
      </c>
      <c r="N2048" s="1508">
        <f t="shared" si="274"/>
        <v>0</v>
      </c>
      <c r="O2048" s="1481">
        <f t="shared" si="270"/>
        <v>0</v>
      </c>
      <c r="P2048" s="1427">
        <f t="shared" si="271"/>
        <v>0</v>
      </c>
    </row>
    <row r="2049" spans="1:16" ht="15.5" outlineLevel="1" x14ac:dyDescent="0.25">
      <c r="A2049" s="1482">
        <f t="shared" si="275"/>
        <v>2.11</v>
      </c>
      <c r="B2049" s="1483" t="str">
        <f t="shared" si="275"/>
        <v>Cables (20,000 meters estimated)</v>
      </c>
      <c r="C2049" s="1482" t="str">
        <f t="shared" si="275"/>
        <v>MERC/CAPEX/20112012/00925</v>
      </c>
      <c r="D2049" s="1390">
        <f t="shared" si="275"/>
        <v>40730</v>
      </c>
      <c r="E2049" s="560">
        <f t="shared" si="275"/>
        <v>1.0216000000000001</v>
      </c>
      <c r="F2049" s="1508">
        <f t="shared" si="268"/>
        <v>0</v>
      </c>
      <c r="G2049" s="1508">
        <f t="shared" si="269"/>
        <v>0</v>
      </c>
      <c r="H2049" s="1508">
        <f t="shared" si="272"/>
        <v>0</v>
      </c>
      <c r="I2049" s="1480">
        <v>0</v>
      </c>
      <c r="J2049" s="1480">
        <v>0</v>
      </c>
      <c r="K2049" s="1508"/>
      <c r="L2049" s="1508"/>
      <c r="M2049" s="1509">
        <f t="shared" si="273"/>
        <v>0</v>
      </c>
      <c r="N2049" s="1508">
        <f t="shared" si="274"/>
        <v>0</v>
      </c>
      <c r="O2049" s="1481">
        <f t="shared" si="270"/>
        <v>0</v>
      </c>
      <c r="P2049" s="1427">
        <f t="shared" si="271"/>
        <v>0</v>
      </c>
    </row>
    <row r="2050" spans="1:16" ht="15.5" outlineLevel="1" x14ac:dyDescent="0.25">
      <c r="A2050" s="1482">
        <f t="shared" si="275"/>
        <v>0</v>
      </c>
      <c r="B2050" s="1483" t="str">
        <f t="shared" si="275"/>
        <v>IDC</v>
      </c>
      <c r="C2050" s="1482" t="str">
        <f t="shared" si="275"/>
        <v>MERC/CAPEX/20112012/00925</v>
      </c>
      <c r="D2050" s="1390">
        <f t="shared" si="275"/>
        <v>40730</v>
      </c>
      <c r="E2050" s="560">
        <f t="shared" si="275"/>
        <v>1.165</v>
      </c>
      <c r="F2050" s="1508">
        <f t="shared" si="268"/>
        <v>0</v>
      </c>
      <c r="G2050" s="1508">
        <f t="shared" si="269"/>
        <v>0</v>
      </c>
      <c r="H2050" s="1508">
        <f t="shared" si="272"/>
        <v>0</v>
      </c>
      <c r="I2050" s="1480">
        <v>0</v>
      </c>
      <c r="J2050" s="1480">
        <v>0</v>
      </c>
      <c r="K2050" s="1508"/>
      <c r="L2050" s="1508"/>
      <c r="M2050" s="1509">
        <f t="shared" si="273"/>
        <v>0</v>
      </c>
      <c r="N2050" s="1508">
        <f t="shared" si="274"/>
        <v>0</v>
      </c>
      <c r="O2050" s="1481">
        <f t="shared" si="270"/>
        <v>0</v>
      </c>
      <c r="P2050" s="1427">
        <f t="shared" si="271"/>
        <v>0</v>
      </c>
    </row>
    <row r="2051" spans="1:16" ht="15.5" outlineLevel="1" x14ac:dyDescent="0.25">
      <c r="A2051" s="1489">
        <f t="shared" si="275"/>
        <v>3</v>
      </c>
      <c r="B2051" s="1490" t="str">
        <f t="shared" si="275"/>
        <v>ESP Restoration/Refurbishment</v>
      </c>
      <c r="C2051" s="1477" t="str">
        <f t="shared" si="275"/>
        <v>MERC/CAPEX/20112012/00939</v>
      </c>
      <c r="D2051" s="1479">
        <f t="shared" si="275"/>
        <v>40731</v>
      </c>
      <c r="E2051" s="1383">
        <f t="shared" si="275"/>
        <v>53.989999999999995</v>
      </c>
      <c r="F2051" s="1480">
        <f t="shared" si="268"/>
        <v>0</v>
      </c>
      <c r="G2051" s="1480">
        <f t="shared" si="269"/>
        <v>0</v>
      </c>
      <c r="H2051" s="1480">
        <f t="shared" si="272"/>
        <v>0</v>
      </c>
      <c r="I2051" s="1480">
        <v>0</v>
      </c>
      <c r="J2051" s="1480">
        <v>0</v>
      </c>
      <c r="K2051" s="1480"/>
      <c r="L2051" s="1480"/>
      <c r="M2051" s="1480">
        <f t="shared" si="273"/>
        <v>0</v>
      </c>
      <c r="N2051" s="1480">
        <f t="shared" si="274"/>
        <v>0</v>
      </c>
      <c r="O2051" s="1481">
        <f t="shared" si="270"/>
        <v>0</v>
      </c>
      <c r="P2051" s="1427">
        <f t="shared" si="271"/>
        <v>0</v>
      </c>
    </row>
    <row r="2052" spans="1:16" ht="31" outlineLevel="1" x14ac:dyDescent="0.25">
      <c r="A2052" s="1484">
        <f t="shared" ref="A2052:E2067" si="276">A1382</f>
        <v>3.1</v>
      </c>
      <c r="B2052" s="1485" t="str">
        <f t="shared" si="276"/>
        <v xml:space="preserve">Replacement of all emitting coils and collecting plates of U#5 ESP of all four pass of field 2nd, 3rd &amp; 4th </v>
      </c>
      <c r="C2052" s="1482" t="str">
        <f t="shared" si="276"/>
        <v>MERC/CAPEX/20112012/00939</v>
      </c>
      <c r="D2052" s="1390">
        <f t="shared" si="276"/>
        <v>40731</v>
      </c>
      <c r="E2052" s="560">
        <f t="shared" si="276"/>
        <v>11.7</v>
      </c>
      <c r="F2052" s="1508">
        <f t="shared" si="268"/>
        <v>8.6202149769999998</v>
      </c>
      <c r="G2052" s="1508">
        <f t="shared" si="269"/>
        <v>8.6202149769999998</v>
      </c>
      <c r="H2052" s="1508">
        <f t="shared" si="272"/>
        <v>0</v>
      </c>
      <c r="I2052" s="1480">
        <v>0</v>
      </c>
      <c r="J2052" s="1480">
        <v>0</v>
      </c>
      <c r="K2052" s="1508"/>
      <c r="L2052" s="1508"/>
      <c r="M2052" s="1509">
        <f t="shared" si="273"/>
        <v>0</v>
      </c>
      <c r="N2052" s="1508">
        <f t="shared" si="274"/>
        <v>0</v>
      </c>
      <c r="O2052" s="1481">
        <f t="shared" si="270"/>
        <v>0</v>
      </c>
      <c r="P2052" s="1427">
        <f t="shared" si="271"/>
        <v>0</v>
      </c>
    </row>
    <row r="2053" spans="1:16" ht="31" outlineLevel="1" x14ac:dyDescent="0.25">
      <c r="A2053" s="1484">
        <f t="shared" si="276"/>
        <v>3.2</v>
      </c>
      <c r="B2053" s="1485" t="str">
        <f t="shared" si="276"/>
        <v>Replacement of all emitting coils and collecting plates of all four pass of field 1 to 4, U#6 ESP</v>
      </c>
      <c r="C2053" s="1482" t="str">
        <f t="shared" si="276"/>
        <v>MERC/CAPEX/20112012/00939</v>
      </c>
      <c r="D2053" s="1390">
        <f t="shared" si="276"/>
        <v>40731</v>
      </c>
      <c r="E2053" s="560">
        <f t="shared" si="276"/>
        <v>15.6</v>
      </c>
      <c r="F2053" s="1508">
        <f t="shared" si="268"/>
        <v>6.5552518650000007</v>
      </c>
      <c r="G2053" s="1508">
        <f t="shared" si="269"/>
        <v>6.5552518650000007</v>
      </c>
      <c r="H2053" s="1508">
        <f t="shared" si="272"/>
        <v>0</v>
      </c>
      <c r="I2053" s="1480">
        <v>6</v>
      </c>
      <c r="J2053" s="1480">
        <v>6</v>
      </c>
      <c r="K2053" s="1508"/>
      <c r="L2053" s="1508"/>
      <c r="M2053" s="1509">
        <f t="shared" si="273"/>
        <v>6</v>
      </c>
      <c r="N2053" s="1508">
        <f t="shared" si="274"/>
        <v>0</v>
      </c>
      <c r="O2053" s="1481">
        <f t="shared" si="270"/>
        <v>6</v>
      </c>
      <c r="P2053" s="1427">
        <f t="shared" si="271"/>
        <v>0</v>
      </c>
    </row>
    <row r="2054" spans="1:16" ht="31" outlineLevel="1" x14ac:dyDescent="0.25">
      <c r="A2054" s="1484">
        <f t="shared" si="276"/>
        <v>3.3</v>
      </c>
      <c r="B2054" s="1485" t="str">
        <f t="shared" si="276"/>
        <v xml:space="preserve">Replacement of all emitting coils and collecting plates of all four pass of field 1 to 4, U#7 ESP </v>
      </c>
      <c r="C2054" s="1482" t="str">
        <f t="shared" si="276"/>
        <v>MERC/CAPEX/20112012/00939</v>
      </c>
      <c r="D2054" s="1390">
        <f t="shared" si="276"/>
        <v>40731</v>
      </c>
      <c r="E2054" s="560">
        <f t="shared" si="276"/>
        <v>16.02</v>
      </c>
      <c r="F2054" s="1508">
        <f t="shared" si="268"/>
        <v>5.1898557250000001</v>
      </c>
      <c r="G2054" s="1508">
        <f t="shared" si="269"/>
        <v>5.0852789210000005</v>
      </c>
      <c r="H2054" s="1508">
        <f t="shared" si="272"/>
        <v>0.10457680399999969</v>
      </c>
      <c r="I2054" s="1480">
        <v>8</v>
      </c>
      <c r="J2054" s="1480">
        <v>8</v>
      </c>
      <c r="K2054" s="1508"/>
      <c r="L2054" s="1508"/>
      <c r="M2054" s="1509">
        <f t="shared" si="273"/>
        <v>8</v>
      </c>
      <c r="N2054" s="1508">
        <f t="shared" si="274"/>
        <v>0.10457680400000058</v>
      </c>
      <c r="O2054" s="1481">
        <f t="shared" si="270"/>
        <v>8</v>
      </c>
      <c r="P2054" s="1427">
        <f t="shared" si="271"/>
        <v>0</v>
      </c>
    </row>
    <row r="2055" spans="1:16" ht="31" outlineLevel="1" x14ac:dyDescent="0.25">
      <c r="A2055" s="1484">
        <f t="shared" si="276"/>
        <v>3.4</v>
      </c>
      <c r="B2055" s="1485" t="str">
        <f t="shared" si="276"/>
        <v>Ash evacuation system on existing dummy hoppers of Flue gas duct from APH outlet to ESP inlet of U#5 &amp; 6.</v>
      </c>
      <c r="C2055" s="1482" t="str">
        <f t="shared" si="276"/>
        <v>MERC/CAPEX/20112012/00939</v>
      </c>
      <c r="D2055" s="1390">
        <f t="shared" si="276"/>
        <v>40731</v>
      </c>
      <c r="E2055" s="560">
        <f t="shared" si="276"/>
        <v>0.95</v>
      </c>
      <c r="F2055" s="1508">
        <f t="shared" si="268"/>
        <v>0.92199359999999997</v>
      </c>
      <c r="G2055" s="1508">
        <f t="shared" si="269"/>
        <v>0.92199359999999997</v>
      </c>
      <c r="H2055" s="1508">
        <f t="shared" si="272"/>
        <v>0</v>
      </c>
      <c r="I2055" s="1480">
        <v>0</v>
      </c>
      <c r="J2055" s="1480">
        <v>0</v>
      </c>
      <c r="K2055" s="1508"/>
      <c r="L2055" s="1508"/>
      <c r="M2055" s="1509">
        <f t="shared" si="273"/>
        <v>0</v>
      </c>
      <c r="N2055" s="1508">
        <f t="shared" si="274"/>
        <v>0</v>
      </c>
      <c r="O2055" s="1481">
        <f t="shared" si="270"/>
        <v>0</v>
      </c>
      <c r="P2055" s="1427">
        <f t="shared" si="271"/>
        <v>0</v>
      </c>
    </row>
    <row r="2056" spans="1:16" ht="15.5" outlineLevel="1" x14ac:dyDescent="0.25">
      <c r="A2056" s="1484">
        <f t="shared" si="276"/>
        <v>0</v>
      </c>
      <c r="B2056" s="1485" t="str">
        <f t="shared" si="276"/>
        <v>IDC</v>
      </c>
      <c r="C2056" s="1482" t="str">
        <f t="shared" si="276"/>
        <v>MERC/CAPEX/20112012/00939</v>
      </c>
      <c r="D2056" s="1390">
        <f t="shared" si="276"/>
        <v>40731</v>
      </c>
      <c r="E2056" s="560">
        <f t="shared" si="276"/>
        <v>9.7200000000000006</v>
      </c>
      <c r="F2056" s="1508">
        <f t="shared" si="268"/>
        <v>3.8649799999999998E-2</v>
      </c>
      <c r="G2056" s="1508">
        <f t="shared" si="269"/>
        <v>3.8649799999999998E-2</v>
      </c>
      <c r="H2056" s="1508">
        <f t="shared" si="272"/>
        <v>0</v>
      </c>
      <c r="I2056" s="1480">
        <v>0</v>
      </c>
      <c r="J2056" s="1480">
        <v>0</v>
      </c>
      <c r="K2056" s="1508"/>
      <c r="L2056" s="1508"/>
      <c r="M2056" s="1509">
        <f t="shared" si="273"/>
        <v>0</v>
      </c>
      <c r="N2056" s="1508">
        <f t="shared" si="274"/>
        <v>0</v>
      </c>
      <c r="O2056" s="1481">
        <f t="shared" si="270"/>
        <v>0</v>
      </c>
      <c r="P2056" s="1427">
        <f t="shared" si="271"/>
        <v>0</v>
      </c>
    </row>
    <row r="2057" spans="1:16" ht="15.5" outlineLevel="1" x14ac:dyDescent="0.25">
      <c r="A2057" s="1486">
        <f t="shared" si="276"/>
        <v>4</v>
      </c>
      <c r="B2057" s="1491" t="str">
        <f t="shared" si="276"/>
        <v>Control &amp; Instrumentation up-gradation of CSTPS Unit 5 &amp; 6</v>
      </c>
      <c r="C2057" s="1486" t="str">
        <f t="shared" si="276"/>
        <v>MERC/CAPEX/20112012/01908</v>
      </c>
      <c r="D2057" s="1487">
        <f t="shared" si="276"/>
        <v>40850</v>
      </c>
      <c r="E2057" s="1383">
        <f t="shared" si="276"/>
        <v>57.7</v>
      </c>
      <c r="F2057" s="1480">
        <f t="shared" si="268"/>
        <v>0</v>
      </c>
      <c r="G2057" s="1480">
        <f t="shared" si="269"/>
        <v>0</v>
      </c>
      <c r="H2057" s="1480">
        <f t="shared" si="272"/>
        <v>0</v>
      </c>
      <c r="I2057" s="1480">
        <v>0</v>
      </c>
      <c r="J2057" s="1480">
        <v>0</v>
      </c>
      <c r="K2057" s="1480"/>
      <c r="L2057" s="1480"/>
      <c r="M2057" s="1480">
        <f t="shared" si="273"/>
        <v>0</v>
      </c>
      <c r="N2057" s="1480">
        <f t="shared" si="274"/>
        <v>0</v>
      </c>
      <c r="O2057" s="1481">
        <f t="shared" si="270"/>
        <v>0</v>
      </c>
      <c r="P2057" s="1427">
        <f t="shared" si="271"/>
        <v>0</v>
      </c>
    </row>
    <row r="2058" spans="1:16" ht="15.5" outlineLevel="1" x14ac:dyDescent="0.25">
      <c r="A2058" s="1488">
        <f t="shared" si="276"/>
        <v>4.0999999999999996</v>
      </c>
      <c r="B2058" s="1492" t="str">
        <f t="shared" si="276"/>
        <v>Control &amp; Instrumentation up-gradation of CSTPS Unit 5</v>
      </c>
      <c r="C2058" s="1488" t="str">
        <f t="shared" si="276"/>
        <v>MERC/CAPEX/20112012/01908</v>
      </c>
      <c r="D2058" s="1413">
        <f t="shared" si="276"/>
        <v>40850</v>
      </c>
      <c r="E2058" s="560">
        <f t="shared" si="276"/>
        <v>26.1</v>
      </c>
      <c r="F2058" s="1508">
        <f t="shared" si="268"/>
        <v>0</v>
      </c>
      <c r="G2058" s="1508">
        <f t="shared" si="269"/>
        <v>0</v>
      </c>
      <c r="H2058" s="1508">
        <f t="shared" si="272"/>
        <v>0</v>
      </c>
      <c r="I2058" s="1480">
        <v>26.1</v>
      </c>
      <c r="J2058" s="1480">
        <v>26.1</v>
      </c>
      <c r="K2058" s="1508"/>
      <c r="L2058" s="1508"/>
      <c r="M2058" s="1509">
        <f t="shared" si="273"/>
        <v>26.1</v>
      </c>
      <c r="N2058" s="1508">
        <f t="shared" si="274"/>
        <v>0</v>
      </c>
      <c r="O2058" s="1481">
        <f t="shared" si="270"/>
        <v>26.1</v>
      </c>
      <c r="P2058" s="1427">
        <f t="shared" si="271"/>
        <v>0</v>
      </c>
    </row>
    <row r="2059" spans="1:16" ht="15.5" outlineLevel="1" x14ac:dyDescent="0.25">
      <c r="A2059" s="1488">
        <f t="shared" si="276"/>
        <v>4.2</v>
      </c>
      <c r="B2059" s="1492" t="str">
        <f t="shared" si="276"/>
        <v>Control &amp; Instrumentation up-gradation of CSTPS Unit 6</v>
      </c>
      <c r="C2059" s="1488" t="str">
        <f t="shared" si="276"/>
        <v>MERC/CAPEX/20112012/01908</v>
      </c>
      <c r="D2059" s="1413">
        <f t="shared" si="276"/>
        <v>40850</v>
      </c>
      <c r="E2059" s="560">
        <f t="shared" si="276"/>
        <v>26.1</v>
      </c>
      <c r="F2059" s="1508">
        <f t="shared" si="268"/>
        <v>26.1</v>
      </c>
      <c r="G2059" s="1508">
        <f t="shared" si="269"/>
        <v>26.1</v>
      </c>
      <c r="H2059" s="1508">
        <f t="shared" si="272"/>
        <v>0</v>
      </c>
      <c r="I2059" s="1480">
        <v>0</v>
      </c>
      <c r="J2059" s="1480">
        <v>0</v>
      </c>
      <c r="K2059" s="1508"/>
      <c r="L2059" s="1508"/>
      <c r="M2059" s="1509">
        <f t="shared" si="273"/>
        <v>0</v>
      </c>
      <c r="N2059" s="1508">
        <f t="shared" si="274"/>
        <v>0</v>
      </c>
      <c r="O2059" s="1481">
        <f t="shared" si="270"/>
        <v>0</v>
      </c>
      <c r="P2059" s="1427">
        <f t="shared" si="271"/>
        <v>0</v>
      </c>
    </row>
    <row r="2060" spans="1:16" ht="15.5" outlineLevel="1" x14ac:dyDescent="0.25">
      <c r="A2060" s="1484">
        <f t="shared" si="276"/>
        <v>0</v>
      </c>
      <c r="B2060" s="1485" t="str">
        <f t="shared" si="276"/>
        <v>IDC</v>
      </c>
      <c r="C2060" s="1482" t="str">
        <f t="shared" si="276"/>
        <v>MERC/CAPEX/20112012/01908</v>
      </c>
      <c r="D2060" s="1390">
        <f t="shared" si="276"/>
        <v>40850</v>
      </c>
      <c r="E2060" s="560">
        <f t="shared" si="276"/>
        <v>5.5</v>
      </c>
      <c r="F2060" s="1508">
        <f t="shared" si="268"/>
        <v>0</v>
      </c>
      <c r="G2060" s="1508">
        <f t="shared" si="269"/>
        <v>0</v>
      </c>
      <c r="H2060" s="1508">
        <f t="shared" si="272"/>
        <v>0</v>
      </c>
      <c r="I2060" s="1480">
        <v>0</v>
      </c>
      <c r="J2060" s="1480">
        <v>0</v>
      </c>
      <c r="K2060" s="1508"/>
      <c r="L2060" s="1508"/>
      <c r="M2060" s="1509">
        <f t="shared" si="273"/>
        <v>0</v>
      </c>
      <c r="N2060" s="1508">
        <f t="shared" si="274"/>
        <v>0</v>
      </c>
      <c r="O2060" s="1481">
        <f t="shared" si="270"/>
        <v>0</v>
      </c>
      <c r="P2060" s="1427">
        <f t="shared" si="271"/>
        <v>0</v>
      </c>
    </row>
    <row r="2061" spans="1:16" ht="31" outlineLevel="1" x14ac:dyDescent="0.25">
      <c r="A2061" s="1477">
        <f t="shared" si="276"/>
        <v>5</v>
      </c>
      <c r="B2061" s="1478" t="str">
        <f t="shared" si="276"/>
        <v>Alternate water supply Scheme for Chandrapur T.P.S as a crisis management scheme</v>
      </c>
      <c r="C2061" s="1477" t="str">
        <f t="shared" si="276"/>
        <v>MERC/CAPEX/20112012/02443</v>
      </c>
      <c r="D2061" s="1479">
        <f t="shared" si="276"/>
        <v>40911</v>
      </c>
      <c r="E2061" s="1383">
        <f t="shared" si="276"/>
        <v>229.4</v>
      </c>
      <c r="F2061" s="1480">
        <f t="shared" si="268"/>
        <v>0</v>
      </c>
      <c r="G2061" s="1480">
        <f t="shared" si="269"/>
        <v>0</v>
      </c>
      <c r="H2061" s="1480">
        <f t="shared" si="272"/>
        <v>0</v>
      </c>
      <c r="I2061" s="1480">
        <v>0</v>
      </c>
      <c r="J2061" s="1480">
        <v>0</v>
      </c>
      <c r="K2061" s="1480"/>
      <c r="L2061" s="1480"/>
      <c r="M2061" s="1480">
        <f t="shared" si="273"/>
        <v>0</v>
      </c>
      <c r="N2061" s="1480">
        <f t="shared" si="274"/>
        <v>0</v>
      </c>
      <c r="O2061" s="1481">
        <f t="shared" si="270"/>
        <v>0</v>
      </c>
      <c r="P2061" s="1427">
        <f t="shared" si="271"/>
        <v>0</v>
      </c>
    </row>
    <row r="2062" spans="1:16" ht="31" outlineLevel="1" x14ac:dyDescent="0.25">
      <c r="A2062" s="1482">
        <f t="shared" si="276"/>
        <v>5.0999999999999996</v>
      </c>
      <c r="B2062" s="1483" t="str">
        <f t="shared" si="276"/>
        <v>Alternate water supply Scheme for Chandrapur T.P.S as a crisis management scheme</v>
      </c>
      <c r="C2062" s="1482" t="str">
        <f t="shared" si="276"/>
        <v>MERC/CAPEX/20112012/02443</v>
      </c>
      <c r="D2062" s="1390">
        <f t="shared" si="276"/>
        <v>40911</v>
      </c>
      <c r="E2062" s="560">
        <f t="shared" si="276"/>
        <v>229.4</v>
      </c>
      <c r="F2062" s="1508">
        <f t="shared" si="268"/>
        <v>0</v>
      </c>
      <c r="G2062" s="1508">
        <f t="shared" si="269"/>
        <v>0</v>
      </c>
      <c r="H2062" s="1508">
        <f t="shared" si="272"/>
        <v>0</v>
      </c>
      <c r="I2062" s="1480">
        <v>0</v>
      </c>
      <c r="J2062" s="1480">
        <v>0</v>
      </c>
      <c r="K2062" s="1508"/>
      <c r="L2062" s="1508"/>
      <c r="M2062" s="1509">
        <f t="shared" si="273"/>
        <v>0</v>
      </c>
      <c r="N2062" s="1508">
        <f t="shared" si="274"/>
        <v>0</v>
      </c>
      <c r="O2062" s="1481">
        <f t="shared" si="270"/>
        <v>0</v>
      </c>
      <c r="P2062" s="1427">
        <f t="shared" si="271"/>
        <v>0</v>
      </c>
    </row>
    <row r="2063" spans="1:16" ht="62" outlineLevel="1" x14ac:dyDescent="0.25">
      <c r="A2063" s="1486">
        <f t="shared" si="276"/>
        <v>6</v>
      </c>
      <c r="B2063" s="1491" t="str">
        <f t="shared" si="276"/>
        <v>Complete Track Renovation (CTR) work of rail track from Chandrapur Vivekanand Nagar railway stations to exchange yard and bulb line of BOBR at CSTPS siding maintained by railway authority</v>
      </c>
      <c r="C2063" s="1486" t="str">
        <f t="shared" si="276"/>
        <v>MERC/CAPEX/20122013/00818</v>
      </c>
      <c r="D2063" s="1487">
        <f t="shared" si="276"/>
        <v>41100</v>
      </c>
      <c r="E2063" s="1383">
        <f t="shared" si="276"/>
        <v>16.77</v>
      </c>
      <c r="F2063" s="1480">
        <f t="shared" si="268"/>
        <v>0</v>
      </c>
      <c r="G2063" s="1480">
        <f t="shared" si="269"/>
        <v>0</v>
      </c>
      <c r="H2063" s="1480">
        <f t="shared" si="272"/>
        <v>0</v>
      </c>
      <c r="I2063" s="1480">
        <v>0</v>
      </c>
      <c r="J2063" s="1480">
        <v>0</v>
      </c>
      <c r="K2063" s="1480"/>
      <c r="L2063" s="1480"/>
      <c r="M2063" s="1480">
        <f t="shared" si="273"/>
        <v>0</v>
      </c>
      <c r="N2063" s="1480">
        <f t="shared" si="274"/>
        <v>0</v>
      </c>
      <c r="O2063" s="1481">
        <f t="shared" si="270"/>
        <v>0</v>
      </c>
      <c r="P2063" s="1427">
        <f t="shared" si="271"/>
        <v>0</v>
      </c>
    </row>
    <row r="2064" spans="1:16" ht="62" outlineLevel="1" x14ac:dyDescent="0.25">
      <c r="A2064" s="1488">
        <f t="shared" si="276"/>
        <v>6.1</v>
      </c>
      <c r="B2064" s="1492" t="str">
        <f t="shared" si="276"/>
        <v>Complete Track Renovation (CTR) work of rail track from Chandrapur Vivekanand Nagar railway stations to exchange yard and bulb line of BOBR at CSTPS siding maintained by railway authority</v>
      </c>
      <c r="C2064" s="1488" t="str">
        <f t="shared" si="276"/>
        <v>MERC/CAPEX/20122013/00818</v>
      </c>
      <c r="D2064" s="1413">
        <f t="shared" si="276"/>
        <v>41100</v>
      </c>
      <c r="E2064" s="560">
        <f t="shared" si="276"/>
        <v>16.77</v>
      </c>
      <c r="F2064" s="1508">
        <f t="shared" si="268"/>
        <v>5.4266784059999997</v>
      </c>
      <c r="G2064" s="1508">
        <f t="shared" si="269"/>
        <v>4.0159468</v>
      </c>
      <c r="H2064" s="1508">
        <f t="shared" si="272"/>
        <v>1.4107316059999997</v>
      </c>
      <c r="I2064" s="1480">
        <v>11.343321593999999</v>
      </c>
      <c r="J2064" s="1480">
        <v>12.7540532</v>
      </c>
      <c r="K2064" s="1508"/>
      <c r="L2064" s="1508"/>
      <c r="M2064" s="1509">
        <f t="shared" si="273"/>
        <v>12.7540532</v>
      </c>
      <c r="N2064" s="1508">
        <f t="shared" si="274"/>
        <v>0</v>
      </c>
      <c r="O2064" s="1481">
        <f t="shared" si="270"/>
        <v>12.7540532</v>
      </c>
      <c r="P2064" s="1427">
        <f t="shared" si="271"/>
        <v>0</v>
      </c>
    </row>
    <row r="2065" spans="1:16" ht="31" outlineLevel="1" x14ac:dyDescent="0.25">
      <c r="A2065" s="1477">
        <f t="shared" si="276"/>
        <v>7</v>
      </c>
      <c r="B2065" s="1478" t="str">
        <f t="shared" si="276"/>
        <v>Construction of additional IDCT to improve performance of existing condenser cooling system of CSTPS Unit 5 &amp; 6</v>
      </c>
      <c r="C2065" s="1477" t="str">
        <f t="shared" si="276"/>
        <v>MERC/CAPEX/20122013/00827</v>
      </c>
      <c r="D2065" s="1479">
        <f t="shared" si="276"/>
        <v>41100</v>
      </c>
      <c r="E2065" s="1383">
        <f t="shared" si="276"/>
        <v>29.28</v>
      </c>
      <c r="F2065" s="1480">
        <f t="shared" si="268"/>
        <v>0</v>
      </c>
      <c r="G2065" s="1480">
        <f t="shared" si="269"/>
        <v>0</v>
      </c>
      <c r="H2065" s="1480">
        <f t="shared" si="272"/>
        <v>0</v>
      </c>
      <c r="I2065" s="1480">
        <v>0</v>
      </c>
      <c r="J2065" s="1480">
        <v>0</v>
      </c>
      <c r="K2065" s="1480"/>
      <c r="L2065" s="1480"/>
      <c r="M2065" s="1480">
        <f t="shared" si="273"/>
        <v>0</v>
      </c>
      <c r="N2065" s="1480">
        <f t="shared" si="274"/>
        <v>0</v>
      </c>
      <c r="O2065" s="1481">
        <f t="shared" si="270"/>
        <v>0</v>
      </c>
      <c r="P2065" s="1427">
        <f t="shared" si="271"/>
        <v>0</v>
      </c>
    </row>
    <row r="2066" spans="1:16" ht="15.5" outlineLevel="1" x14ac:dyDescent="0.25">
      <c r="A2066" s="1482">
        <f t="shared" si="276"/>
        <v>7.1</v>
      </c>
      <c r="B2066" s="1483" t="str">
        <f t="shared" si="276"/>
        <v>Construction for U#5</v>
      </c>
      <c r="C2066" s="1482" t="str">
        <f t="shared" si="276"/>
        <v>MERC/CAPEX/20122013/00827</v>
      </c>
      <c r="D2066" s="1390">
        <f t="shared" si="276"/>
        <v>41100</v>
      </c>
      <c r="E2066" s="560">
        <f t="shared" si="276"/>
        <v>11.2318</v>
      </c>
      <c r="F2066" s="1508">
        <f t="shared" si="268"/>
        <v>19.378237200000001</v>
      </c>
      <c r="G2066" s="1508">
        <f t="shared" si="269"/>
        <v>19.378237200000001</v>
      </c>
      <c r="H2066" s="1508">
        <f t="shared" si="272"/>
        <v>0</v>
      </c>
      <c r="I2066" s="1480">
        <v>0</v>
      </c>
      <c r="J2066" s="1480">
        <v>0</v>
      </c>
      <c r="K2066" s="1508"/>
      <c r="L2066" s="1508"/>
      <c r="M2066" s="1509">
        <f t="shared" si="273"/>
        <v>0</v>
      </c>
      <c r="N2066" s="1508">
        <f t="shared" si="274"/>
        <v>0</v>
      </c>
      <c r="O2066" s="1481">
        <f t="shared" si="270"/>
        <v>0</v>
      </c>
      <c r="P2066" s="1427">
        <f t="shared" si="271"/>
        <v>0</v>
      </c>
    </row>
    <row r="2067" spans="1:16" ht="15.5" outlineLevel="1" x14ac:dyDescent="0.25">
      <c r="A2067" s="1482">
        <f t="shared" si="276"/>
        <v>7.2</v>
      </c>
      <c r="B2067" s="1483" t="str">
        <f t="shared" si="276"/>
        <v>Construction for U#6</v>
      </c>
      <c r="C2067" s="1482" t="str">
        <f t="shared" si="276"/>
        <v>MERC/CAPEX/20122013/00827</v>
      </c>
      <c r="D2067" s="1390">
        <f t="shared" si="276"/>
        <v>41100</v>
      </c>
      <c r="E2067" s="560">
        <f t="shared" si="276"/>
        <v>14.968</v>
      </c>
      <c r="F2067" s="1508">
        <f t="shared" si="268"/>
        <v>23.1898537</v>
      </c>
      <c r="G2067" s="1508">
        <f t="shared" si="269"/>
        <v>23.1898537</v>
      </c>
      <c r="H2067" s="1508">
        <f t="shared" si="272"/>
        <v>0</v>
      </c>
      <c r="I2067" s="1480">
        <v>0</v>
      </c>
      <c r="J2067" s="1480">
        <v>0</v>
      </c>
      <c r="K2067" s="1508"/>
      <c r="L2067" s="1508"/>
      <c r="M2067" s="1509">
        <f t="shared" si="273"/>
        <v>0</v>
      </c>
      <c r="N2067" s="1508">
        <f t="shared" si="274"/>
        <v>0</v>
      </c>
      <c r="O2067" s="1481">
        <f t="shared" si="270"/>
        <v>0</v>
      </c>
      <c r="P2067" s="1427">
        <f t="shared" si="271"/>
        <v>0</v>
      </c>
    </row>
    <row r="2068" spans="1:16" ht="15.5" outlineLevel="1" x14ac:dyDescent="0.25">
      <c r="A2068" s="1482">
        <f t="shared" ref="A2068:E2083" si="277">A1398</f>
        <v>0</v>
      </c>
      <c r="B2068" s="1483" t="str">
        <f t="shared" si="277"/>
        <v>IDC</v>
      </c>
      <c r="C2068" s="1482" t="str">
        <f t="shared" si="277"/>
        <v>MERC/CAPEX/20122013/00827</v>
      </c>
      <c r="D2068" s="1390">
        <f t="shared" si="277"/>
        <v>41100</v>
      </c>
      <c r="E2068" s="560">
        <f t="shared" si="277"/>
        <v>3.0802000000000014</v>
      </c>
      <c r="F2068" s="1508">
        <f t="shared" si="268"/>
        <v>0</v>
      </c>
      <c r="G2068" s="1508">
        <f t="shared" si="269"/>
        <v>0</v>
      </c>
      <c r="H2068" s="1508">
        <f t="shared" si="272"/>
        <v>0</v>
      </c>
      <c r="I2068" s="1480">
        <v>0</v>
      </c>
      <c r="J2068" s="1480">
        <v>0</v>
      </c>
      <c r="K2068" s="1508"/>
      <c r="L2068" s="1508"/>
      <c r="M2068" s="1509">
        <f t="shared" si="273"/>
        <v>0</v>
      </c>
      <c r="N2068" s="1508">
        <f t="shared" si="274"/>
        <v>0</v>
      </c>
      <c r="O2068" s="1481">
        <f t="shared" si="270"/>
        <v>0</v>
      </c>
      <c r="P2068" s="1427">
        <f t="shared" si="271"/>
        <v>0</v>
      </c>
    </row>
    <row r="2069" spans="1:16" ht="15.5" outlineLevel="1" x14ac:dyDescent="0.25">
      <c r="A2069" s="1477">
        <f t="shared" si="277"/>
        <v>8</v>
      </c>
      <c r="B2069" s="1478" t="str">
        <f t="shared" si="277"/>
        <v>Upgradation of IDCT Unit 5</v>
      </c>
      <c r="C2069" s="1477" t="str">
        <f t="shared" si="277"/>
        <v>MERC/CAPEX/20122013/00914</v>
      </c>
      <c r="D2069" s="1479">
        <f t="shared" si="277"/>
        <v>41108</v>
      </c>
      <c r="E2069" s="1383">
        <f t="shared" si="277"/>
        <v>18.2</v>
      </c>
      <c r="F2069" s="1480">
        <f t="shared" si="268"/>
        <v>0</v>
      </c>
      <c r="G2069" s="1480">
        <f t="shared" si="269"/>
        <v>0</v>
      </c>
      <c r="H2069" s="1480">
        <f t="shared" si="272"/>
        <v>0</v>
      </c>
      <c r="I2069" s="1480">
        <v>0</v>
      </c>
      <c r="J2069" s="1480">
        <v>0</v>
      </c>
      <c r="K2069" s="1480"/>
      <c r="L2069" s="1480"/>
      <c r="M2069" s="1480">
        <f t="shared" si="273"/>
        <v>0</v>
      </c>
      <c r="N2069" s="1480">
        <f t="shared" si="274"/>
        <v>0</v>
      </c>
      <c r="O2069" s="1481">
        <f t="shared" si="270"/>
        <v>0</v>
      </c>
      <c r="P2069" s="1427">
        <f t="shared" si="271"/>
        <v>0</v>
      </c>
    </row>
    <row r="2070" spans="1:16" ht="15.5" outlineLevel="1" x14ac:dyDescent="0.25">
      <c r="A2070" s="1482">
        <f t="shared" si="277"/>
        <v>8.1</v>
      </c>
      <c r="B2070" s="1483" t="str">
        <f t="shared" si="277"/>
        <v>Cooling Tower IDCT for Unit-5A</v>
      </c>
      <c r="C2070" s="1482" t="str">
        <f t="shared" si="277"/>
        <v>MERC/CAPEX/20122013/00914</v>
      </c>
      <c r="D2070" s="1390">
        <f t="shared" si="277"/>
        <v>41108</v>
      </c>
      <c r="E2070" s="560">
        <f t="shared" si="277"/>
        <v>8.5</v>
      </c>
      <c r="F2070" s="1508">
        <f t="shared" si="268"/>
        <v>0</v>
      </c>
      <c r="G2070" s="1508">
        <f t="shared" si="269"/>
        <v>0</v>
      </c>
      <c r="H2070" s="1508">
        <f t="shared" si="272"/>
        <v>0</v>
      </c>
      <c r="I2070" s="1480">
        <v>0</v>
      </c>
      <c r="J2070" s="1480">
        <v>0</v>
      </c>
      <c r="K2070" s="1508"/>
      <c r="L2070" s="1508"/>
      <c r="M2070" s="1509">
        <f t="shared" si="273"/>
        <v>0</v>
      </c>
      <c r="N2070" s="1508">
        <f t="shared" si="274"/>
        <v>0</v>
      </c>
      <c r="O2070" s="1481">
        <f t="shared" si="270"/>
        <v>0</v>
      </c>
      <c r="P2070" s="1427">
        <f t="shared" si="271"/>
        <v>0</v>
      </c>
    </row>
    <row r="2071" spans="1:16" ht="15.5" outlineLevel="1" x14ac:dyDescent="0.25">
      <c r="A2071" s="1482">
        <f t="shared" si="277"/>
        <v>8.1999999999999993</v>
      </c>
      <c r="B2071" s="1483" t="str">
        <f t="shared" si="277"/>
        <v>Cooling Tower IDCT for Unit-5B</v>
      </c>
      <c r="C2071" s="1482" t="str">
        <f t="shared" si="277"/>
        <v>MERC/CAPEX/20122013/00914</v>
      </c>
      <c r="D2071" s="1390">
        <f t="shared" si="277"/>
        <v>41108</v>
      </c>
      <c r="E2071" s="560">
        <f t="shared" si="277"/>
        <v>8.5</v>
      </c>
      <c r="F2071" s="1508">
        <f t="shared" si="268"/>
        <v>0</v>
      </c>
      <c r="G2071" s="1508">
        <f t="shared" si="269"/>
        <v>0</v>
      </c>
      <c r="H2071" s="1508">
        <f t="shared" si="272"/>
        <v>0</v>
      </c>
      <c r="I2071" s="1480">
        <v>0</v>
      </c>
      <c r="J2071" s="1480">
        <v>0</v>
      </c>
      <c r="K2071" s="1508"/>
      <c r="L2071" s="1508"/>
      <c r="M2071" s="1509">
        <f t="shared" si="273"/>
        <v>0</v>
      </c>
      <c r="N2071" s="1508">
        <f t="shared" si="274"/>
        <v>0</v>
      </c>
      <c r="O2071" s="1481">
        <f t="shared" si="270"/>
        <v>0</v>
      </c>
      <c r="P2071" s="1427">
        <f t="shared" si="271"/>
        <v>0</v>
      </c>
    </row>
    <row r="2072" spans="1:16" ht="15.5" outlineLevel="1" x14ac:dyDescent="0.25">
      <c r="A2072" s="1482">
        <f t="shared" si="277"/>
        <v>0</v>
      </c>
      <c r="B2072" s="1483" t="str">
        <f t="shared" si="277"/>
        <v>IDC</v>
      </c>
      <c r="C2072" s="1482" t="str">
        <f t="shared" si="277"/>
        <v>MERC/CAPEX/20122013/00914</v>
      </c>
      <c r="D2072" s="1390">
        <f t="shared" si="277"/>
        <v>41108</v>
      </c>
      <c r="E2072" s="560">
        <f t="shared" si="277"/>
        <v>1.2</v>
      </c>
      <c r="F2072" s="1508">
        <f t="shared" si="268"/>
        <v>0</v>
      </c>
      <c r="G2072" s="1508">
        <f t="shared" si="269"/>
        <v>0</v>
      </c>
      <c r="H2072" s="1508">
        <f t="shared" si="272"/>
        <v>0</v>
      </c>
      <c r="I2072" s="1480">
        <v>0</v>
      </c>
      <c r="J2072" s="1480">
        <v>0</v>
      </c>
      <c r="K2072" s="1508"/>
      <c r="L2072" s="1508"/>
      <c r="M2072" s="1509">
        <f t="shared" si="273"/>
        <v>0</v>
      </c>
      <c r="N2072" s="1508">
        <f t="shared" si="274"/>
        <v>0</v>
      </c>
      <c r="O2072" s="1481">
        <f t="shared" si="270"/>
        <v>0</v>
      </c>
      <c r="P2072" s="1427">
        <f t="shared" si="271"/>
        <v>0</v>
      </c>
    </row>
    <row r="2073" spans="1:16" ht="31" outlineLevel="1" x14ac:dyDescent="0.25">
      <c r="A2073" s="1477">
        <f t="shared" si="277"/>
        <v>9</v>
      </c>
      <c r="B2073" s="1478" t="str">
        <f t="shared" si="277"/>
        <v>LPT Retrofit at Chandrapur TPS Units 3 &amp; 4</v>
      </c>
      <c r="C2073" s="1477" t="str">
        <f t="shared" si="277"/>
        <v>MERC/TECH 1/CAPEX/20132014/00823</v>
      </c>
      <c r="D2073" s="1479">
        <f t="shared" si="277"/>
        <v>41464</v>
      </c>
      <c r="E2073" s="1383">
        <f t="shared" si="277"/>
        <v>107.8364</v>
      </c>
      <c r="F2073" s="1480">
        <f t="shared" si="268"/>
        <v>0</v>
      </c>
      <c r="G2073" s="1480">
        <f t="shared" si="269"/>
        <v>0</v>
      </c>
      <c r="H2073" s="1480">
        <f t="shared" si="272"/>
        <v>0</v>
      </c>
      <c r="I2073" s="1480">
        <v>0</v>
      </c>
      <c r="J2073" s="1480">
        <v>0</v>
      </c>
      <c r="K2073" s="1480"/>
      <c r="L2073" s="1480"/>
      <c r="M2073" s="1480">
        <f t="shared" si="273"/>
        <v>0</v>
      </c>
      <c r="N2073" s="1480">
        <f t="shared" si="274"/>
        <v>0</v>
      </c>
      <c r="O2073" s="1481">
        <f t="shared" si="270"/>
        <v>0</v>
      </c>
      <c r="P2073" s="1427">
        <f t="shared" si="271"/>
        <v>0</v>
      </c>
    </row>
    <row r="2074" spans="1:16" ht="46.5" outlineLevel="1" x14ac:dyDescent="0.25">
      <c r="A2074" s="1482">
        <f t="shared" si="277"/>
        <v>9.1</v>
      </c>
      <c r="B2074" s="1483" t="str">
        <f t="shared" si="277"/>
        <v xml:space="preserve">Design, Engineering, Supply and Retrofitting of LP Cylinder with Modified Bladed rotor without Bauman’s Stages, diaphragms, liners, Gland sealing and exhaust hood spray. (total 2 units) </v>
      </c>
      <c r="C2074" s="1482" t="str">
        <f t="shared" si="277"/>
        <v>MERC/TECH 1/CAPEX/20132014/00823</v>
      </c>
      <c r="D2074" s="1390">
        <f t="shared" si="277"/>
        <v>41464</v>
      </c>
      <c r="E2074" s="560">
        <f t="shared" si="277"/>
        <v>101.8526</v>
      </c>
      <c r="F2074" s="1508">
        <f t="shared" si="268"/>
        <v>0</v>
      </c>
      <c r="G2074" s="1508">
        <f t="shared" si="269"/>
        <v>0</v>
      </c>
      <c r="H2074" s="1508">
        <f t="shared" si="272"/>
        <v>0</v>
      </c>
      <c r="I2074" s="1480">
        <v>0</v>
      </c>
      <c r="J2074" s="1480">
        <v>0</v>
      </c>
      <c r="K2074" s="1508"/>
      <c r="L2074" s="1508"/>
      <c r="M2074" s="1509">
        <f t="shared" si="273"/>
        <v>0</v>
      </c>
      <c r="N2074" s="1508">
        <f t="shared" si="274"/>
        <v>0</v>
      </c>
      <c r="O2074" s="1481">
        <f t="shared" si="270"/>
        <v>0</v>
      </c>
      <c r="P2074" s="1427">
        <f t="shared" si="271"/>
        <v>0</v>
      </c>
    </row>
    <row r="2075" spans="1:16" ht="31" outlineLevel="1" x14ac:dyDescent="0.25">
      <c r="A2075" s="1482">
        <f t="shared" si="277"/>
        <v>0</v>
      </c>
      <c r="B2075" s="1483" t="str">
        <f t="shared" si="277"/>
        <v>IDC</v>
      </c>
      <c r="C2075" s="1482" t="str">
        <f t="shared" si="277"/>
        <v>MERC/TECH 1/CAPEX/20132014/00823</v>
      </c>
      <c r="D2075" s="1390">
        <f t="shared" si="277"/>
        <v>41464</v>
      </c>
      <c r="E2075" s="560">
        <f t="shared" si="277"/>
        <v>5.9837999999999996</v>
      </c>
      <c r="F2075" s="1508">
        <f t="shared" si="268"/>
        <v>0</v>
      </c>
      <c r="G2075" s="1508">
        <f t="shared" si="269"/>
        <v>0</v>
      </c>
      <c r="H2075" s="1508">
        <f t="shared" si="272"/>
        <v>0</v>
      </c>
      <c r="I2075" s="1480">
        <v>0</v>
      </c>
      <c r="J2075" s="1480">
        <v>0</v>
      </c>
      <c r="K2075" s="1508"/>
      <c r="L2075" s="1508"/>
      <c r="M2075" s="1509">
        <f t="shared" si="273"/>
        <v>0</v>
      </c>
      <c r="N2075" s="1508">
        <f t="shared" si="274"/>
        <v>0</v>
      </c>
      <c r="O2075" s="1481">
        <f t="shared" si="270"/>
        <v>0</v>
      </c>
      <c r="P2075" s="1427">
        <f t="shared" si="271"/>
        <v>0</v>
      </c>
    </row>
    <row r="2076" spans="1:16" ht="15.5" outlineLevel="1" x14ac:dyDescent="0.25">
      <c r="A2076" s="1489">
        <f t="shared" si="277"/>
        <v>10</v>
      </c>
      <c r="B2076" s="1490" t="str">
        <f t="shared" si="277"/>
        <v>Modification in Ash Handling Plant at Chandrapur TPS unit 5 &amp; 6</v>
      </c>
      <c r="C2076" s="1477" t="str">
        <f t="shared" si="277"/>
        <v>MERC/CAPEX/20122013/02104</v>
      </c>
      <c r="D2076" s="1479">
        <f t="shared" si="277"/>
        <v>41281</v>
      </c>
      <c r="E2076" s="1383">
        <f t="shared" si="277"/>
        <v>15.25</v>
      </c>
      <c r="F2076" s="1480">
        <f t="shared" si="268"/>
        <v>0</v>
      </c>
      <c r="G2076" s="1480">
        <f t="shared" si="269"/>
        <v>0</v>
      </c>
      <c r="H2076" s="1480">
        <f t="shared" si="272"/>
        <v>0</v>
      </c>
      <c r="I2076" s="1480">
        <v>0</v>
      </c>
      <c r="J2076" s="1480">
        <v>0</v>
      </c>
      <c r="K2076" s="1480"/>
      <c r="L2076" s="1480"/>
      <c r="M2076" s="1480">
        <f t="shared" si="273"/>
        <v>0</v>
      </c>
      <c r="N2076" s="1480">
        <f t="shared" si="274"/>
        <v>0</v>
      </c>
      <c r="O2076" s="1481">
        <f t="shared" si="270"/>
        <v>0</v>
      </c>
      <c r="P2076" s="1427">
        <f t="shared" si="271"/>
        <v>0</v>
      </c>
    </row>
    <row r="2077" spans="1:16" ht="15.5" outlineLevel="1" x14ac:dyDescent="0.25">
      <c r="A2077" s="1484">
        <f t="shared" si="277"/>
        <v>10.1</v>
      </c>
      <c r="B2077" s="1485" t="str">
        <f t="shared" si="277"/>
        <v>Complete series replacement in U-5 &amp; 6</v>
      </c>
      <c r="C2077" s="1482" t="str">
        <f t="shared" si="277"/>
        <v>MERC/CAPEX/20122013/02104</v>
      </c>
      <c r="D2077" s="1390">
        <f t="shared" si="277"/>
        <v>41281</v>
      </c>
      <c r="E2077" s="560">
        <f t="shared" si="277"/>
        <v>7.12</v>
      </c>
      <c r="F2077" s="1508">
        <f t="shared" si="268"/>
        <v>1.4079700719999999</v>
      </c>
      <c r="G2077" s="1508">
        <f t="shared" si="269"/>
        <v>1.4079700719999999</v>
      </c>
      <c r="H2077" s="1508">
        <f t="shared" si="272"/>
        <v>0</v>
      </c>
      <c r="I2077" s="1480">
        <v>0</v>
      </c>
      <c r="J2077" s="1480">
        <v>0</v>
      </c>
      <c r="K2077" s="1508"/>
      <c r="L2077" s="1508"/>
      <c r="M2077" s="1509">
        <f t="shared" si="273"/>
        <v>0</v>
      </c>
      <c r="N2077" s="1508">
        <f t="shared" si="274"/>
        <v>0</v>
      </c>
      <c r="O2077" s="1481">
        <f t="shared" si="270"/>
        <v>0</v>
      </c>
      <c r="P2077" s="1427">
        <f t="shared" si="271"/>
        <v>0</v>
      </c>
    </row>
    <row r="2078" spans="1:16" ht="15.5" outlineLevel="1" x14ac:dyDescent="0.25">
      <c r="A2078" s="1484">
        <f t="shared" si="277"/>
        <v>10.199999999999999</v>
      </c>
      <c r="B2078" s="1485" t="str">
        <f t="shared" si="277"/>
        <v>Extension of ash lines inside ash bund (9000 Rmt)</v>
      </c>
      <c r="C2078" s="1482" t="str">
        <f t="shared" si="277"/>
        <v>MERC/CAPEX/20122013/02104</v>
      </c>
      <c r="D2078" s="1390">
        <f t="shared" si="277"/>
        <v>41281</v>
      </c>
      <c r="E2078" s="560">
        <f t="shared" si="277"/>
        <v>3.03</v>
      </c>
      <c r="F2078" s="1508">
        <f t="shared" si="268"/>
        <v>2.4823816700000001</v>
      </c>
      <c r="G2078" s="1508">
        <f t="shared" si="269"/>
        <v>2.4823816700000001</v>
      </c>
      <c r="H2078" s="1508">
        <f t="shared" si="272"/>
        <v>0</v>
      </c>
      <c r="I2078" s="1480">
        <v>0</v>
      </c>
      <c r="J2078" s="1480">
        <v>0</v>
      </c>
      <c r="K2078" s="1508"/>
      <c r="L2078" s="1508"/>
      <c r="M2078" s="1509">
        <f t="shared" si="273"/>
        <v>0</v>
      </c>
      <c r="N2078" s="1508">
        <f t="shared" si="274"/>
        <v>0</v>
      </c>
      <c r="O2078" s="1481">
        <f t="shared" si="270"/>
        <v>0</v>
      </c>
      <c r="P2078" s="1427">
        <f t="shared" si="271"/>
        <v>0</v>
      </c>
    </row>
    <row r="2079" spans="1:16" ht="15.5" outlineLevel="1" x14ac:dyDescent="0.25">
      <c r="A2079" s="1484">
        <f t="shared" si="277"/>
        <v>10.3</v>
      </c>
      <c r="B2079" s="1485" t="str">
        <f t="shared" si="277"/>
        <v>Replacement ash line worn out pipes</v>
      </c>
      <c r="C2079" s="1482" t="str">
        <f t="shared" si="277"/>
        <v>MERC/CAPEX/20122013/02104</v>
      </c>
      <c r="D2079" s="1390">
        <f t="shared" si="277"/>
        <v>41281</v>
      </c>
      <c r="E2079" s="560">
        <f t="shared" si="277"/>
        <v>3.6</v>
      </c>
      <c r="F2079" s="1508">
        <f t="shared" si="268"/>
        <v>4.4210943270000005</v>
      </c>
      <c r="G2079" s="1508">
        <f t="shared" si="269"/>
        <v>4.4210943270000005</v>
      </c>
      <c r="H2079" s="1508">
        <f t="shared" si="272"/>
        <v>0</v>
      </c>
      <c r="I2079" s="1480">
        <v>0</v>
      </c>
      <c r="J2079" s="1480">
        <v>0</v>
      </c>
      <c r="K2079" s="1508"/>
      <c r="L2079" s="1508"/>
      <c r="M2079" s="1509">
        <f t="shared" si="273"/>
        <v>0</v>
      </c>
      <c r="N2079" s="1508">
        <f t="shared" si="274"/>
        <v>0</v>
      </c>
      <c r="O2079" s="1481">
        <f t="shared" si="270"/>
        <v>0</v>
      </c>
      <c r="P2079" s="1427">
        <f t="shared" si="271"/>
        <v>0</v>
      </c>
    </row>
    <row r="2080" spans="1:16" ht="15.5" outlineLevel="1" x14ac:dyDescent="0.25">
      <c r="A2080" s="1484">
        <f t="shared" si="277"/>
        <v>0</v>
      </c>
      <c r="B2080" s="1485" t="str">
        <f t="shared" si="277"/>
        <v>IDC</v>
      </c>
      <c r="C2080" s="1482" t="str">
        <f t="shared" si="277"/>
        <v>MERC/CAPEX/20122013/02104</v>
      </c>
      <c r="D2080" s="1390">
        <f t="shared" si="277"/>
        <v>41281</v>
      </c>
      <c r="E2080" s="560">
        <f t="shared" si="277"/>
        <v>1.5</v>
      </c>
      <c r="F2080" s="1508">
        <f t="shared" si="268"/>
        <v>0</v>
      </c>
      <c r="G2080" s="1508">
        <f t="shared" si="269"/>
        <v>0</v>
      </c>
      <c r="H2080" s="1508">
        <f t="shared" si="272"/>
        <v>0</v>
      </c>
      <c r="I2080" s="1480">
        <v>0</v>
      </c>
      <c r="J2080" s="1480">
        <v>0</v>
      </c>
      <c r="K2080" s="1508"/>
      <c r="L2080" s="1508"/>
      <c r="M2080" s="1509">
        <f t="shared" si="273"/>
        <v>0</v>
      </c>
      <c r="N2080" s="1508">
        <f t="shared" si="274"/>
        <v>0</v>
      </c>
      <c r="O2080" s="1481">
        <f t="shared" si="270"/>
        <v>0</v>
      </c>
      <c r="P2080" s="1427">
        <f t="shared" si="271"/>
        <v>0</v>
      </c>
    </row>
    <row r="2081" spans="1:16" ht="31" outlineLevel="1" x14ac:dyDescent="0.25">
      <c r="A2081" s="1477">
        <f t="shared" si="277"/>
        <v>11</v>
      </c>
      <c r="B2081" s="1478" t="str">
        <f t="shared" si="277"/>
        <v>Fully Integrated Security Surveillance System</v>
      </c>
      <c r="C2081" s="1477" t="str">
        <f t="shared" si="277"/>
        <v>MERC/TECH 1/CAPEX/20122013/00190</v>
      </c>
      <c r="D2081" s="1479">
        <f t="shared" si="277"/>
        <v>41382</v>
      </c>
      <c r="E2081" s="1383">
        <f t="shared" si="277"/>
        <v>54.197924999999991</v>
      </c>
      <c r="F2081" s="1480">
        <f t="shared" si="268"/>
        <v>0</v>
      </c>
      <c r="G2081" s="1480">
        <f t="shared" si="269"/>
        <v>0</v>
      </c>
      <c r="H2081" s="1480">
        <f t="shared" si="272"/>
        <v>0</v>
      </c>
      <c r="I2081" s="1480">
        <v>0</v>
      </c>
      <c r="J2081" s="1480">
        <v>0</v>
      </c>
      <c r="K2081" s="1480"/>
      <c r="L2081" s="1480"/>
      <c r="M2081" s="1480">
        <f t="shared" si="273"/>
        <v>0</v>
      </c>
      <c r="N2081" s="1480">
        <f t="shared" si="274"/>
        <v>0</v>
      </c>
      <c r="O2081" s="1481">
        <f t="shared" si="270"/>
        <v>0</v>
      </c>
      <c r="P2081" s="1427">
        <f t="shared" si="271"/>
        <v>0</v>
      </c>
    </row>
    <row r="2082" spans="1:16" ht="31" outlineLevel="1" x14ac:dyDescent="0.25">
      <c r="A2082" s="1482">
        <f t="shared" si="277"/>
        <v>11.1</v>
      </c>
      <c r="B2082" s="1483" t="str">
        <f t="shared" si="277"/>
        <v xml:space="preserve">Long range cameras </v>
      </c>
      <c r="C2082" s="1482" t="str">
        <f t="shared" si="277"/>
        <v>MERC/TECH 1/CAPEX/20122013/00190</v>
      </c>
      <c r="D2082" s="1390">
        <f t="shared" si="277"/>
        <v>41382</v>
      </c>
      <c r="E2082" s="560">
        <f t="shared" si="277"/>
        <v>12.3</v>
      </c>
      <c r="F2082" s="1508">
        <f t="shared" si="268"/>
        <v>0</v>
      </c>
      <c r="G2082" s="1508">
        <f t="shared" si="269"/>
        <v>0</v>
      </c>
      <c r="H2082" s="1508">
        <f t="shared" si="272"/>
        <v>0</v>
      </c>
      <c r="I2082" s="1480">
        <v>0</v>
      </c>
      <c r="J2082" s="1480">
        <v>0</v>
      </c>
      <c r="K2082" s="1508"/>
      <c r="L2082" s="1508"/>
      <c r="M2082" s="1509">
        <f t="shared" si="273"/>
        <v>0</v>
      </c>
      <c r="N2082" s="1508">
        <f t="shared" si="274"/>
        <v>0</v>
      </c>
      <c r="O2082" s="1481">
        <f t="shared" si="270"/>
        <v>0</v>
      </c>
      <c r="P2082" s="1427">
        <f t="shared" si="271"/>
        <v>0</v>
      </c>
    </row>
    <row r="2083" spans="1:16" ht="31" outlineLevel="1" x14ac:dyDescent="0.25">
      <c r="A2083" s="1482">
        <f t="shared" si="277"/>
        <v>11.2</v>
      </c>
      <c r="B2083" s="1483" t="str">
        <f t="shared" si="277"/>
        <v xml:space="preserve">Laser fence sensors/buried cable </v>
      </c>
      <c r="C2083" s="1482" t="str">
        <f t="shared" si="277"/>
        <v>MERC/TECH 1/CAPEX/20122013/00190</v>
      </c>
      <c r="D2083" s="1390">
        <f t="shared" si="277"/>
        <v>41382</v>
      </c>
      <c r="E2083" s="560">
        <f t="shared" si="277"/>
        <v>6.1</v>
      </c>
      <c r="F2083" s="1508">
        <f t="shared" si="268"/>
        <v>0</v>
      </c>
      <c r="G2083" s="1508">
        <f t="shared" si="269"/>
        <v>0</v>
      </c>
      <c r="H2083" s="1508">
        <f t="shared" si="272"/>
        <v>0</v>
      </c>
      <c r="I2083" s="1480">
        <v>0</v>
      </c>
      <c r="J2083" s="1480">
        <v>0</v>
      </c>
      <c r="K2083" s="1508"/>
      <c r="L2083" s="1508"/>
      <c r="M2083" s="1509">
        <f t="shared" si="273"/>
        <v>0</v>
      </c>
      <c r="N2083" s="1508">
        <f t="shared" si="274"/>
        <v>0</v>
      </c>
      <c r="O2083" s="1481">
        <f t="shared" si="270"/>
        <v>0</v>
      </c>
      <c r="P2083" s="1427">
        <f t="shared" si="271"/>
        <v>0</v>
      </c>
    </row>
    <row r="2084" spans="1:16" ht="31" outlineLevel="1" x14ac:dyDescent="0.25">
      <c r="A2084" s="1482">
        <f t="shared" ref="A2084:E2099" si="278">A1414</f>
        <v>11.3</v>
      </c>
      <c r="B2084" s="1483" t="str">
        <f t="shared" si="278"/>
        <v xml:space="preserve">PTZ/fixed cameras </v>
      </c>
      <c r="C2084" s="1482" t="str">
        <f t="shared" si="278"/>
        <v>MERC/TECH 1/CAPEX/20122013/00190</v>
      </c>
      <c r="D2084" s="1390">
        <f t="shared" si="278"/>
        <v>41382</v>
      </c>
      <c r="E2084" s="560">
        <f t="shared" si="278"/>
        <v>8.0749999999999993</v>
      </c>
      <c r="F2084" s="1508">
        <f t="shared" ref="F2084:F2147" si="279">F1414+I1414</f>
        <v>0</v>
      </c>
      <c r="G2084" s="1508">
        <f t="shared" ref="G2084:G2147" si="280">G1414+M1414</f>
        <v>0</v>
      </c>
      <c r="H2084" s="1508">
        <f t="shared" si="272"/>
        <v>0</v>
      </c>
      <c r="I2084" s="1480">
        <v>0</v>
      </c>
      <c r="J2084" s="1480">
        <v>0</v>
      </c>
      <c r="K2084" s="1508"/>
      <c r="L2084" s="1508"/>
      <c r="M2084" s="1509">
        <f t="shared" si="273"/>
        <v>0</v>
      </c>
      <c r="N2084" s="1508">
        <f t="shared" si="274"/>
        <v>0</v>
      </c>
      <c r="O2084" s="1481">
        <f t="shared" ref="O2084:O2147" si="281">MAX(0,IF(M2084=0,0,IF(G2084+M2084&lt;E2084,M2084,E2084-G2084)))</f>
        <v>0</v>
      </c>
      <c r="P2084" s="1427">
        <f t="shared" ref="P2084:P2147" si="282">M2084-O2084</f>
        <v>0</v>
      </c>
    </row>
    <row r="2085" spans="1:16" ht="31" outlineLevel="1" x14ac:dyDescent="0.25">
      <c r="A2085" s="1482">
        <f t="shared" si="278"/>
        <v>11.4</v>
      </c>
      <c r="B2085" s="1483" t="str">
        <f t="shared" si="278"/>
        <v xml:space="preserve">Command &amp; control /video wall </v>
      </c>
      <c r="C2085" s="1482" t="str">
        <f t="shared" si="278"/>
        <v>MERC/TECH 1/CAPEX/20122013/00190</v>
      </c>
      <c r="D2085" s="1390">
        <f t="shared" si="278"/>
        <v>41382</v>
      </c>
      <c r="E2085" s="560">
        <f t="shared" si="278"/>
        <v>16</v>
      </c>
      <c r="F2085" s="1508">
        <f t="shared" si="279"/>
        <v>0</v>
      </c>
      <c r="G2085" s="1508">
        <f t="shared" si="280"/>
        <v>0</v>
      </c>
      <c r="H2085" s="1508">
        <f t="shared" ref="H2085:H2148" si="283">F2085-G2085</f>
        <v>0</v>
      </c>
      <c r="I2085" s="1480">
        <v>0</v>
      </c>
      <c r="J2085" s="1480">
        <v>0</v>
      </c>
      <c r="K2085" s="1508"/>
      <c r="L2085" s="1508"/>
      <c r="M2085" s="1509">
        <f t="shared" ref="M2085:M2148" si="284">SUM(J2085:L2085)</f>
        <v>0</v>
      </c>
      <c r="N2085" s="1508">
        <f t="shared" ref="N2085:N2148" si="285">H2085+I2085-M2085</f>
        <v>0</v>
      </c>
      <c r="O2085" s="1481">
        <f t="shared" si="281"/>
        <v>0</v>
      </c>
      <c r="P2085" s="1427">
        <f t="shared" si="282"/>
        <v>0</v>
      </c>
    </row>
    <row r="2086" spans="1:16" ht="31" outlineLevel="1" x14ac:dyDescent="0.25">
      <c r="A2086" s="1482">
        <f t="shared" si="278"/>
        <v>11.5</v>
      </c>
      <c r="B2086" s="1483" t="str">
        <f t="shared" si="278"/>
        <v xml:space="preserve">Communication </v>
      </c>
      <c r="C2086" s="1482" t="str">
        <f t="shared" si="278"/>
        <v>MERC/TECH 1/CAPEX/20122013/00190</v>
      </c>
      <c r="D2086" s="1390">
        <f t="shared" si="278"/>
        <v>41382</v>
      </c>
      <c r="E2086" s="560">
        <f t="shared" si="278"/>
        <v>0.45950000000000002</v>
      </c>
      <c r="F2086" s="1508">
        <f t="shared" si="279"/>
        <v>0</v>
      </c>
      <c r="G2086" s="1508">
        <f t="shared" si="280"/>
        <v>0</v>
      </c>
      <c r="H2086" s="1508">
        <f t="shared" si="283"/>
        <v>0</v>
      </c>
      <c r="I2086" s="1480">
        <v>0</v>
      </c>
      <c r="J2086" s="1480">
        <v>0</v>
      </c>
      <c r="K2086" s="1508"/>
      <c r="L2086" s="1508"/>
      <c r="M2086" s="1509">
        <f t="shared" si="284"/>
        <v>0</v>
      </c>
      <c r="N2086" s="1508">
        <f t="shared" si="285"/>
        <v>0</v>
      </c>
      <c r="O2086" s="1481">
        <f t="shared" si="281"/>
        <v>0</v>
      </c>
      <c r="P2086" s="1427">
        <f t="shared" si="282"/>
        <v>0</v>
      </c>
    </row>
    <row r="2087" spans="1:16" ht="31" outlineLevel="1" x14ac:dyDescent="0.25">
      <c r="A2087" s="1482">
        <f t="shared" si="278"/>
        <v>11.6</v>
      </c>
      <c r="B2087" s="1483" t="str">
        <f t="shared" si="278"/>
        <v>RFID</v>
      </c>
      <c r="C2087" s="1482" t="str">
        <f t="shared" si="278"/>
        <v>MERC/TECH 1/CAPEX/20122013/00190</v>
      </c>
      <c r="D2087" s="1390">
        <f t="shared" si="278"/>
        <v>41382</v>
      </c>
      <c r="E2087" s="560">
        <f t="shared" si="278"/>
        <v>0.83</v>
      </c>
      <c r="F2087" s="1508">
        <f t="shared" si="279"/>
        <v>0</v>
      </c>
      <c r="G2087" s="1508">
        <f t="shared" si="280"/>
        <v>0</v>
      </c>
      <c r="H2087" s="1508">
        <f t="shared" si="283"/>
        <v>0</v>
      </c>
      <c r="I2087" s="1480">
        <v>0</v>
      </c>
      <c r="J2087" s="1480">
        <v>0</v>
      </c>
      <c r="K2087" s="1508"/>
      <c r="L2087" s="1508"/>
      <c r="M2087" s="1509">
        <f t="shared" si="284"/>
        <v>0</v>
      </c>
      <c r="N2087" s="1508">
        <f t="shared" si="285"/>
        <v>0</v>
      </c>
      <c r="O2087" s="1481">
        <f t="shared" si="281"/>
        <v>0</v>
      </c>
      <c r="P2087" s="1427">
        <f t="shared" si="282"/>
        <v>0</v>
      </c>
    </row>
    <row r="2088" spans="1:16" ht="31" outlineLevel="1" x14ac:dyDescent="0.25">
      <c r="A2088" s="1482">
        <f t="shared" si="278"/>
        <v>11.7</v>
      </c>
      <c r="B2088" s="1483" t="str">
        <f t="shared" si="278"/>
        <v>LPR</v>
      </c>
      <c r="C2088" s="1482" t="str">
        <f t="shared" si="278"/>
        <v>MERC/TECH 1/CAPEX/20122013/00190</v>
      </c>
      <c r="D2088" s="1390">
        <f t="shared" si="278"/>
        <v>41382</v>
      </c>
      <c r="E2088" s="560">
        <f t="shared" si="278"/>
        <v>0.6</v>
      </c>
      <c r="F2088" s="1508">
        <f t="shared" si="279"/>
        <v>0</v>
      </c>
      <c r="G2088" s="1508">
        <f t="shared" si="280"/>
        <v>0</v>
      </c>
      <c r="H2088" s="1508">
        <f t="shared" si="283"/>
        <v>0</v>
      </c>
      <c r="I2088" s="1480">
        <v>0</v>
      </c>
      <c r="J2088" s="1480">
        <v>0</v>
      </c>
      <c r="K2088" s="1508"/>
      <c r="L2088" s="1508"/>
      <c r="M2088" s="1509">
        <f t="shared" si="284"/>
        <v>0</v>
      </c>
      <c r="N2088" s="1508">
        <f t="shared" si="285"/>
        <v>0</v>
      </c>
      <c r="O2088" s="1481">
        <f t="shared" si="281"/>
        <v>0</v>
      </c>
      <c r="P2088" s="1427">
        <f t="shared" si="282"/>
        <v>0</v>
      </c>
    </row>
    <row r="2089" spans="1:16" ht="31" outlineLevel="1" x14ac:dyDescent="0.25">
      <c r="A2089" s="1482">
        <f t="shared" si="278"/>
        <v>11.8</v>
      </c>
      <c r="B2089" s="1483" t="str">
        <f t="shared" si="278"/>
        <v xml:space="preserve">Electricals/networking </v>
      </c>
      <c r="C2089" s="1482" t="str">
        <f t="shared" si="278"/>
        <v>MERC/TECH 1/CAPEX/20122013/00190</v>
      </c>
      <c r="D2089" s="1390">
        <f t="shared" si="278"/>
        <v>41382</v>
      </c>
      <c r="E2089" s="560">
        <f t="shared" si="278"/>
        <v>2.8674249999999999</v>
      </c>
      <c r="F2089" s="1508">
        <f t="shared" si="279"/>
        <v>0</v>
      </c>
      <c r="G2089" s="1508">
        <f t="shared" si="280"/>
        <v>0</v>
      </c>
      <c r="H2089" s="1508">
        <f t="shared" si="283"/>
        <v>0</v>
      </c>
      <c r="I2089" s="1480">
        <v>0</v>
      </c>
      <c r="J2089" s="1480">
        <v>0</v>
      </c>
      <c r="K2089" s="1508"/>
      <c r="L2089" s="1508"/>
      <c r="M2089" s="1509">
        <f t="shared" si="284"/>
        <v>0</v>
      </c>
      <c r="N2089" s="1508">
        <f t="shared" si="285"/>
        <v>0</v>
      </c>
      <c r="O2089" s="1481">
        <f t="shared" si="281"/>
        <v>0</v>
      </c>
      <c r="P2089" s="1427">
        <f t="shared" si="282"/>
        <v>0</v>
      </c>
    </row>
    <row r="2090" spans="1:16" ht="31" outlineLevel="1" x14ac:dyDescent="0.25">
      <c r="A2090" s="1482">
        <f t="shared" si="278"/>
        <v>11.9</v>
      </c>
      <c r="B2090" s="1483" t="str">
        <f t="shared" si="278"/>
        <v xml:space="preserve">Infrastructure </v>
      </c>
      <c r="C2090" s="1482" t="str">
        <f t="shared" si="278"/>
        <v>MERC/TECH 1/CAPEX/20122013/00190</v>
      </c>
      <c r="D2090" s="1390">
        <f t="shared" si="278"/>
        <v>41382</v>
      </c>
      <c r="E2090" s="560">
        <f t="shared" si="278"/>
        <v>3.8959999999999999</v>
      </c>
      <c r="F2090" s="1508">
        <f t="shared" si="279"/>
        <v>0</v>
      </c>
      <c r="G2090" s="1508">
        <f t="shared" si="280"/>
        <v>0</v>
      </c>
      <c r="H2090" s="1508">
        <f t="shared" si="283"/>
        <v>0</v>
      </c>
      <c r="I2090" s="1480">
        <v>0</v>
      </c>
      <c r="J2090" s="1480">
        <v>0</v>
      </c>
      <c r="K2090" s="1508"/>
      <c r="L2090" s="1508"/>
      <c r="M2090" s="1509">
        <f t="shared" si="284"/>
        <v>0</v>
      </c>
      <c r="N2090" s="1508">
        <f t="shared" si="285"/>
        <v>0</v>
      </c>
      <c r="O2090" s="1481">
        <f t="shared" si="281"/>
        <v>0</v>
      </c>
      <c r="P2090" s="1427">
        <f t="shared" si="282"/>
        <v>0</v>
      </c>
    </row>
    <row r="2091" spans="1:16" ht="31" outlineLevel="1" x14ac:dyDescent="0.25">
      <c r="A2091" s="1482">
        <f t="shared" si="278"/>
        <v>0</v>
      </c>
      <c r="B2091" s="1483" t="str">
        <f t="shared" si="278"/>
        <v>IDC</v>
      </c>
      <c r="C2091" s="1482" t="str">
        <f t="shared" si="278"/>
        <v>MERC/TECH 1/CAPEX/20122013/00190</v>
      </c>
      <c r="D2091" s="1390">
        <f t="shared" si="278"/>
        <v>41382</v>
      </c>
      <c r="E2091" s="560">
        <f t="shared" si="278"/>
        <v>3.07</v>
      </c>
      <c r="F2091" s="1508">
        <f t="shared" si="279"/>
        <v>0</v>
      </c>
      <c r="G2091" s="1508">
        <f t="shared" si="280"/>
        <v>0</v>
      </c>
      <c r="H2091" s="1508">
        <f t="shared" si="283"/>
        <v>0</v>
      </c>
      <c r="I2091" s="1480">
        <v>0</v>
      </c>
      <c r="J2091" s="1480">
        <v>0</v>
      </c>
      <c r="K2091" s="1508"/>
      <c r="L2091" s="1508"/>
      <c r="M2091" s="1509">
        <f t="shared" si="284"/>
        <v>0</v>
      </c>
      <c r="N2091" s="1508">
        <f t="shared" si="285"/>
        <v>0</v>
      </c>
      <c r="O2091" s="1481">
        <f t="shared" si="281"/>
        <v>0</v>
      </c>
      <c r="P2091" s="1427">
        <f t="shared" si="282"/>
        <v>0</v>
      </c>
    </row>
    <row r="2092" spans="1:16" ht="31" outlineLevel="1" x14ac:dyDescent="0.25">
      <c r="A2092" s="1489">
        <f t="shared" si="278"/>
        <v>12</v>
      </c>
      <c r="B2092" s="1490" t="str">
        <f t="shared" si="278"/>
        <v>Revamping of existing SWAS installed at U#1 to 4 and commissioning of new  (AFGC) System of U#5&amp;7</v>
      </c>
      <c r="C2092" s="1486" t="str">
        <f t="shared" si="278"/>
        <v>MERC/TECH 1/CAPEX/20132014/01366</v>
      </c>
      <c r="D2092" s="1487">
        <f t="shared" si="278"/>
        <v>41551</v>
      </c>
      <c r="E2092" s="1383">
        <f t="shared" si="278"/>
        <v>10.083855999999999</v>
      </c>
      <c r="F2092" s="1480">
        <f t="shared" si="279"/>
        <v>0</v>
      </c>
      <c r="G2092" s="1480">
        <f t="shared" si="280"/>
        <v>0</v>
      </c>
      <c r="H2092" s="1480">
        <f t="shared" si="283"/>
        <v>0</v>
      </c>
      <c r="I2092" s="1480">
        <v>0</v>
      </c>
      <c r="J2092" s="1480">
        <v>0</v>
      </c>
      <c r="K2092" s="1480"/>
      <c r="L2092" s="1480"/>
      <c r="M2092" s="1480">
        <f t="shared" si="284"/>
        <v>0</v>
      </c>
      <c r="N2092" s="1480">
        <f t="shared" si="285"/>
        <v>0</v>
      </c>
      <c r="O2092" s="1481">
        <f t="shared" si="281"/>
        <v>0</v>
      </c>
      <c r="P2092" s="1427">
        <f t="shared" si="282"/>
        <v>0</v>
      </c>
    </row>
    <row r="2093" spans="1:16" ht="31" outlineLevel="1" x14ac:dyDescent="0.25">
      <c r="A2093" s="1484">
        <f t="shared" si="278"/>
        <v>12.1</v>
      </c>
      <c r="B2093" s="1485" t="str">
        <f t="shared" si="278"/>
        <v>AFGC U 5,7</v>
      </c>
      <c r="C2093" s="1482" t="str">
        <f t="shared" si="278"/>
        <v>MERC/TECH 1/CAPEX/20132014/01366</v>
      </c>
      <c r="D2093" s="1390">
        <f t="shared" si="278"/>
        <v>41551</v>
      </c>
      <c r="E2093" s="560">
        <f t="shared" si="278"/>
        <v>2.08</v>
      </c>
      <c r="F2093" s="1508">
        <f t="shared" si="279"/>
        <v>2.0369565389999997</v>
      </c>
      <c r="G2093" s="1508">
        <f t="shared" si="280"/>
        <v>2.0369565389999997</v>
      </c>
      <c r="H2093" s="1508">
        <f t="shared" si="283"/>
        <v>0</v>
      </c>
      <c r="I2093" s="1480">
        <v>0</v>
      </c>
      <c r="J2093" s="1480">
        <v>0</v>
      </c>
      <c r="K2093" s="1508"/>
      <c r="L2093" s="1508"/>
      <c r="M2093" s="1509">
        <f t="shared" si="284"/>
        <v>0</v>
      </c>
      <c r="N2093" s="1508">
        <f t="shared" si="285"/>
        <v>0</v>
      </c>
      <c r="O2093" s="1481">
        <f t="shared" si="281"/>
        <v>0</v>
      </c>
      <c r="P2093" s="1427">
        <f t="shared" si="282"/>
        <v>0</v>
      </c>
    </row>
    <row r="2094" spans="1:16" ht="31" outlineLevel="1" x14ac:dyDescent="0.25">
      <c r="A2094" s="1484">
        <f t="shared" si="278"/>
        <v>12.2</v>
      </c>
      <c r="B2094" s="1485" t="str">
        <f t="shared" si="278"/>
        <v>Dismantling and revamping of Sample panels of Unit 1 to 4. (4 Nos.)</v>
      </c>
      <c r="C2094" s="1488" t="str">
        <f t="shared" si="278"/>
        <v>MERC/TECH 1/CAPEX/20132014/01366</v>
      </c>
      <c r="D2094" s="1413">
        <f t="shared" si="278"/>
        <v>41551</v>
      </c>
      <c r="E2094" s="560">
        <f t="shared" si="278"/>
        <v>7.1338559999999998</v>
      </c>
      <c r="F2094" s="1508">
        <f t="shared" si="279"/>
        <v>0</v>
      </c>
      <c r="G2094" s="1508">
        <f t="shared" si="280"/>
        <v>0</v>
      </c>
      <c r="H2094" s="1508">
        <f t="shared" si="283"/>
        <v>0</v>
      </c>
      <c r="I2094" s="1480">
        <v>5</v>
      </c>
      <c r="J2094" s="1480">
        <v>5</v>
      </c>
      <c r="K2094" s="1508"/>
      <c r="L2094" s="1508"/>
      <c r="M2094" s="1509">
        <f t="shared" si="284"/>
        <v>5</v>
      </c>
      <c r="N2094" s="1508">
        <f t="shared" si="285"/>
        <v>0</v>
      </c>
      <c r="O2094" s="1481">
        <f t="shared" si="281"/>
        <v>5</v>
      </c>
      <c r="P2094" s="1427">
        <f t="shared" si="282"/>
        <v>0</v>
      </c>
    </row>
    <row r="2095" spans="1:16" ht="31" outlineLevel="1" x14ac:dyDescent="0.25">
      <c r="A2095" s="1484">
        <f t="shared" si="278"/>
        <v>0</v>
      </c>
      <c r="B2095" s="1485" t="str">
        <f t="shared" si="278"/>
        <v>IDC</v>
      </c>
      <c r="C2095" s="1482" t="str">
        <f t="shared" si="278"/>
        <v>MERC/TECH 1/CAPEX/20132014/01366</v>
      </c>
      <c r="D2095" s="1390">
        <f t="shared" si="278"/>
        <v>41551</v>
      </c>
      <c r="E2095" s="560">
        <f t="shared" si="278"/>
        <v>0.87</v>
      </c>
      <c r="F2095" s="1508">
        <f t="shared" si="279"/>
        <v>0</v>
      </c>
      <c r="G2095" s="1508">
        <f t="shared" si="280"/>
        <v>0</v>
      </c>
      <c r="H2095" s="1508">
        <f t="shared" si="283"/>
        <v>0</v>
      </c>
      <c r="I2095" s="1480">
        <v>0</v>
      </c>
      <c r="J2095" s="1480">
        <v>0</v>
      </c>
      <c r="K2095" s="1508"/>
      <c r="L2095" s="1508"/>
      <c r="M2095" s="1509">
        <f t="shared" si="284"/>
        <v>0</v>
      </c>
      <c r="N2095" s="1508">
        <f t="shared" si="285"/>
        <v>0</v>
      </c>
      <c r="O2095" s="1481">
        <f t="shared" si="281"/>
        <v>0</v>
      </c>
      <c r="P2095" s="1427">
        <f t="shared" si="282"/>
        <v>0</v>
      </c>
    </row>
    <row r="2096" spans="1:16" ht="31" outlineLevel="1" x14ac:dyDescent="0.25">
      <c r="A2096" s="1477">
        <f t="shared" si="278"/>
        <v>13</v>
      </c>
      <c r="B2096" s="1478" t="str">
        <f t="shared" si="278"/>
        <v>Replacements Platen Super Heater &amp; Eco Additional of U-5 &amp; U-6 and Upper &amp; Lower LTSH &amp; Eco Bottom assemblies of U-7</v>
      </c>
      <c r="C2096" s="1477" t="str">
        <f t="shared" si="278"/>
        <v>MERC/TECH 1/CAPEX/20132014/01936</v>
      </c>
      <c r="D2096" s="1479">
        <f t="shared" si="278"/>
        <v>41647</v>
      </c>
      <c r="E2096" s="1383">
        <f t="shared" si="278"/>
        <v>76.570000000000007</v>
      </c>
      <c r="F2096" s="1480">
        <f t="shared" si="279"/>
        <v>0</v>
      </c>
      <c r="G2096" s="1480">
        <f t="shared" si="280"/>
        <v>0</v>
      </c>
      <c r="H2096" s="1480">
        <f t="shared" si="283"/>
        <v>0</v>
      </c>
      <c r="I2096" s="1480">
        <v>0</v>
      </c>
      <c r="J2096" s="1480">
        <v>0</v>
      </c>
      <c r="K2096" s="1480"/>
      <c r="L2096" s="1480"/>
      <c r="M2096" s="1480">
        <f t="shared" si="284"/>
        <v>0</v>
      </c>
      <c r="N2096" s="1480">
        <f t="shared" si="285"/>
        <v>0</v>
      </c>
      <c r="O2096" s="1481">
        <f t="shared" si="281"/>
        <v>0</v>
      </c>
      <c r="P2096" s="1427">
        <f t="shared" si="282"/>
        <v>0</v>
      </c>
    </row>
    <row r="2097" spans="1:16" ht="31" outlineLevel="1" x14ac:dyDescent="0.25">
      <c r="A2097" s="1482">
        <f t="shared" si="278"/>
        <v>13.1</v>
      </c>
      <c r="B2097" s="1483" t="str">
        <f t="shared" si="278"/>
        <v>Platen super heater assemblies – 24 nos each for Unit-5 &amp; 6(2 sets)</v>
      </c>
      <c r="C2097" s="1482" t="str">
        <f t="shared" si="278"/>
        <v>MERC/TECH 1/CAPEX/20132014/01936</v>
      </c>
      <c r="D2097" s="1390">
        <f t="shared" si="278"/>
        <v>41647</v>
      </c>
      <c r="E2097" s="560">
        <f t="shared" si="278"/>
        <v>32.76</v>
      </c>
      <c r="F2097" s="1508">
        <f t="shared" si="279"/>
        <v>11.660929755000002</v>
      </c>
      <c r="G2097" s="1508">
        <f t="shared" si="280"/>
        <v>11.660929755000002</v>
      </c>
      <c r="H2097" s="1508">
        <f t="shared" si="283"/>
        <v>0</v>
      </c>
      <c r="I2097" s="1480">
        <v>0</v>
      </c>
      <c r="J2097" s="1480">
        <v>0</v>
      </c>
      <c r="K2097" s="1508"/>
      <c r="L2097" s="1508"/>
      <c r="M2097" s="1509">
        <f t="shared" si="284"/>
        <v>0</v>
      </c>
      <c r="N2097" s="1508">
        <f t="shared" si="285"/>
        <v>0</v>
      </c>
      <c r="O2097" s="1481">
        <f t="shared" si="281"/>
        <v>0</v>
      </c>
      <c r="P2097" s="1427">
        <f t="shared" si="282"/>
        <v>0</v>
      </c>
    </row>
    <row r="2098" spans="1:16" ht="31" outlineLevel="1" x14ac:dyDescent="0.25">
      <c r="A2098" s="1482">
        <f t="shared" si="278"/>
        <v>13.2</v>
      </c>
      <c r="B2098" s="1483" t="str">
        <f t="shared" si="278"/>
        <v>Economizer additional  Assemblies along with cassette baffles – 65 Nos. each for unit-  5 &amp; 6  (2Set )</v>
      </c>
      <c r="C2098" s="1482" t="str">
        <f t="shared" si="278"/>
        <v>MERC/TECH 1/CAPEX/20132014/01936</v>
      </c>
      <c r="D2098" s="1390">
        <f t="shared" si="278"/>
        <v>41647</v>
      </c>
      <c r="E2098" s="560">
        <f t="shared" si="278"/>
        <v>3.88</v>
      </c>
      <c r="F2098" s="1508">
        <f t="shared" si="279"/>
        <v>3.5012203659999996</v>
      </c>
      <c r="G2098" s="1508">
        <f t="shared" si="280"/>
        <v>3.5012203659999996</v>
      </c>
      <c r="H2098" s="1508">
        <f t="shared" si="283"/>
        <v>0</v>
      </c>
      <c r="I2098" s="1480">
        <v>0</v>
      </c>
      <c r="J2098" s="1480">
        <v>0</v>
      </c>
      <c r="K2098" s="1508"/>
      <c r="L2098" s="1508"/>
      <c r="M2098" s="1509">
        <f t="shared" si="284"/>
        <v>0</v>
      </c>
      <c r="N2098" s="1508">
        <f t="shared" si="285"/>
        <v>0</v>
      </c>
      <c r="O2098" s="1481">
        <f t="shared" si="281"/>
        <v>0</v>
      </c>
      <c r="P2098" s="1427">
        <f t="shared" si="282"/>
        <v>0</v>
      </c>
    </row>
    <row r="2099" spans="1:16" ht="31" outlineLevel="1" x14ac:dyDescent="0.25">
      <c r="A2099" s="1482">
        <f t="shared" si="278"/>
        <v>13.3</v>
      </c>
      <c r="B2099" s="1483" t="str">
        <f t="shared" si="278"/>
        <v>Upper LTSH  Assemblies along with cassette baffles – 62 Nos. each for unit – 7 (1 Set)</v>
      </c>
      <c r="C2099" s="1482" t="str">
        <f t="shared" si="278"/>
        <v>MERC/TECH 1/CAPEX/20132014/01936</v>
      </c>
      <c r="D2099" s="1390">
        <f t="shared" si="278"/>
        <v>41647</v>
      </c>
      <c r="E2099" s="560">
        <f t="shared" si="278"/>
        <v>9.81</v>
      </c>
      <c r="F2099" s="1508">
        <f t="shared" si="279"/>
        <v>4.9252947999999996</v>
      </c>
      <c r="G2099" s="1508">
        <f t="shared" si="280"/>
        <v>4.9252947999999996</v>
      </c>
      <c r="H2099" s="1508">
        <f t="shared" si="283"/>
        <v>0</v>
      </c>
      <c r="I2099" s="1480">
        <v>0</v>
      </c>
      <c r="J2099" s="1480">
        <v>0</v>
      </c>
      <c r="K2099" s="1508"/>
      <c r="L2099" s="1508"/>
      <c r="M2099" s="1509">
        <f t="shared" si="284"/>
        <v>0</v>
      </c>
      <c r="N2099" s="1508">
        <f t="shared" si="285"/>
        <v>0</v>
      </c>
      <c r="O2099" s="1481">
        <f t="shared" si="281"/>
        <v>0</v>
      </c>
      <c r="P2099" s="1427">
        <f t="shared" si="282"/>
        <v>0</v>
      </c>
    </row>
    <row r="2100" spans="1:16" ht="31" outlineLevel="1" x14ac:dyDescent="0.25">
      <c r="A2100" s="1482">
        <f t="shared" ref="A2100:E2115" si="286">A1430</f>
        <v>13.4</v>
      </c>
      <c r="B2100" s="1483" t="str">
        <f t="shared" si="286"/>
        <v>Lower LTSH  Assemblies along with cassette baffles  – 62Nos. for unit – 7 (1 Set)</v>
      </c>
      <c r="C2100" s="1482" t="str">
        <f t="shared" si="286"/>
        <v>MERC/TECH 1/CAPEX/20132014/01936</v>
      </c>
      <c r="D2100" s="1390">
        <f t="shared" si="286"/>
        <v>41647</v>
      </c>
      <c r="E2100" s="560">
        <f t="shared" si="286"/>
        <v>4.76</v>
      </c>
      <c r="F2100" s="1508">
        <f t="shared" si="279"/>
        <v>2.7667891</v>
      </c>
      <c r="G2100" s="1508">
        <f t="shared" si="280"/>
        <v>2.7667891</v>
      </c>
      <c r="H2100" s="1508">
        <f t="shared" si="283"/>
        <v>0</v>
      </c>
      <c r="I2100" s="1480">
        <v>0</v>
      </c>
      <c r="J2100" s="1480">
        <v>0</v>
      </c>
      <c r="K2100" s="1508"/>
      <c r="L2100" s="1508"/>
      <c r="M2100" s="1509">
        <f t="shared" si="284"/>
        <v>0</v>
      </c>
      <c r="N2100" s="1508">
        <f t="shared" si="285"/>
        <v>0</v>
      </c>
      <c r="O2100" s="1481">
        <f t="shared" si="281"/>
        <v>0</v>
      </c>
      <c r="P2100" s="1427">
        <f t="shared" si="282"/>
        <v>0</v>
      </c>
    </row>
    <row r="2101" spans="1:16" ht="31" outlineLevel="1" x14ac:dyDescent="0.25">
      <c r="A2101" s="1482">
        <f t="shared" si="286"/>
        <v>13.5</v>
      </c>
      <c r="B2101" s="1483" t="str">
        <f t="shared" si="286"/>
        <v>Lower Eco + Eco additional along with cassette baffles  for Unit-7</v>
      </c>
      <c r="C2101" s="1482" t="str">
        <f t="shared" si="286"/>
        <v>MERC/TECH 1/CAPEX/20132014/01936</v>
      </c>
      <c r="D2101" s="1390">
        <f t="shared" si="286"/>
        <v>41647</v>
      </c>
      <c r="E2101" s="560">
        <f t="shared" si="286"/>
        <v>13.41</v>
      </c>
      <c r="F2101" s="1508">
        <f t="shared" si="279"/>
        <v>6.3205716000000001</v>
      </c>
      <c r="G2101" s="1508">
        <f t="shared" si="280"/>
        <v>6.3205716000000001</v>
      </c>
      <c r="H2101" s="1508">
        <f t="shared" si="283"/>
        <v>0</v>
      </c>
      <c r="I2101" s="1480">
        <v>0</v>
      </c>
      <c r="J2101" s="1480">
        <v>0</v>
      </c>
      <c r="K2101" s="1508"/>
      <c r="L2101" s="1508"/>
      <c r="M2101" s="1509">
        <f t="shared" si="284"/>
        <v>0</v>
      </c>
      <c r="N2101" s="1508">
        <f t="shared" si="285"/>
        <v>0</v>
      </c>
      <c r="O2101" s="1481">
        <f t="shared" si="281"/>
        <v>0</v>
      </c>
      <c r="P2101" s="1427">
        <f t="shared" si="282"/>
        <v>0</v>
      </c>
    </row>
    <row r="2102" spans="1:16" ht="31" outlineLevel="1" x14ac:dyDescent="0.25">
      <c r="A2102" s="1482">
        <f t="shared" si="286"/>
        <v>13.6</v>
      </c>
      <c r="B2102" s="1483" t="str">
        <f t="shared" si="286"/>
        <v>Work Cost for Replacement of above Assemblies.</v>
      </c>
      <c r="C2102" s="1482" t="str">
        <f t="shared" si="286"/>
        <v>MERC/TECH 1/CAPEX/20132014/01936</v>
      </c>
      <c r="D2102" s="1390">
        <f t="shared" si="286"/>
        <v>41647</v>
      </c>
      <c r="E2102" s="560">
        <f t="shared" si="286"/>
        <v>5.05</v>
      </c>
      <c r="F2102" s="1508">
        <f t="shared" si="279"/>
        <v>0</v>
      </c>
      <c r="G2102" s="1508">
        <f t="shared" si="280"/>
        <v>0</v>
      </c>
      <c r="H2102" s="1508">
        <f t="shared" si="283"/>
        <v>0</v>
      </c>
      <c r="I2102" s="1480">
        <v>0</v>
      </c>
      <c r="J2102" s="1480">
        <v>0</v>
      </c>
      <c r="K2102" s="1508"/>
      <c r="L2102" s="1508"/>
      <c r="M2102" s="1509">
        <f t="shared" si="284"/>
        <v>0</v>
      </c>
      <c r="N2102" s="1508">
        <f t="shared" si="285"/>
        <v>0</v>
      </c>
      <c r="O2102" s="1481">
        <f t="shared" si="281"/>
        <v>0</v>
      </c>
      <c r="P2102" s="1427">
        <f t="shared" si="282"/>
        <v>0</v>
      </c>
    </row>
    <row r="2103" spans="1:16" ht="31" outlineLevel="1" x14ac:dyDescent="0.25">
      <c r="A2103" s="1482">
        <f t="shared" si="286"/>
        <v>0</v>
      </c>
      <c r="B2103" s="1483" t="str">
        <f t="shared" si="286"/>
        <v>IDC</v>
      </c>
      <c r="C2103" s="1482" t="str">
        <f t="shared" si="286"/>
        <v>MERC/TECH 1/CAPEX/20132014/01936</v>
      </c>
      <c r="D2103" s="1390">
        <f t="shared" si="286"/>
        <v>41647</v>
      </c>
      <c r="E2103" s="560">
        <f t="shared" si="286"/>
        <v>6.9</v>
      </c>
      <c r="F2103" s="1508">
        <f t="shared" si="279"/>
        <v>0</v>
      </c>
      <c r="G2103" s="1508">
        <f t="shared" si="280"/>
        <v>0</v>
      </c>
      <c r="H2103" s="1508">
        <f t="shared" si="283"/>
        <v>0</v>
      </c>
      <c r="I2103" s="1480">
        <v>0</v>
      </c>
      <c r="J2103" s="1480">
        <v>0</v>
      </c>
      <c r="K2103" s="1508"/>
      <c r="L2103" s="1508"/>
      <c r="M2103" s="1509">
        <f t="shared" si="284"/>
        <v>0</v>
      </c>
      <c r="N2103" s="1508">
        <f t="shared" si="285"/>
        <v>0</v>
      </c>
      <c r="O2103" s="1481">
        <f t="shared" si="281"/>
        <v>0</v>
      </c>
      <c r="P2103" s="1427">
        <f t="shared" si="282"/>
        <v>0</v>
      </c>
    </row>
    <row r="2104" spans="1:16" ht="31" outlineLevel="1" x14ac:dyDescent="0.25">
      <c r="A2104" s="1477">
        <f t="shared" si="286"/>
        <v>14</v>
      </c>
      <c r="B2104" s="1478" t="str">
        <f t="shared" si="286"/>
        <v>Procurement of Complete IPT Module for 500MW Unit-7 and Fully Bladed Rotor for LP Turbine of 500 MW Unit-5, 6, &amp; 7</v>
      </c>
      <c r="C2104" s="1477" t="str">
        <f t="shared" si="286"/>
        <v>MERC/TECH 1/CAPEX/20132014/01334</v>
      </c>
      <c r="D2104" s="1479">
        <f t="shared" si="286"/>
        <v>41548</v>
      </c>
      <c r="E2104" s="1383">
        <f t="shared" si="286"/>
        <v>83.823654699999992</v>
      </c>
      <c r="F2104" s="1480">
        <f t="shared" si="279"/>
        <v>0</v>
      </c>
      <c r="G2104" s="1480">
        <f t="shared" si="280"/>
        <v>0</v>
      </c>
      <c r="H2104" s="1480">
        <f t="shared" si="283"/>
        <v>0</v>
      </c>
      <c r="I2104" s="1480">
        <v>0</v>
      </c>
      <c r="J2104" s="1480">
        <v>0</v>
      </c>
      <c r="K2104" s="1480"/>
      <c r="L2104" s="1480"/>
      <c r="M2104" s="1480">
        <f t="shared" si="284"/>
        <v>0</v>
      </c>
      <c r="N2104" s="1480">
        <f t="shared" si="285"/>
        <v>0</v>
      </c>
      <c r="O2104" s="1481">
        <f t="shared" si="281"/>
        <v>0</v>
      </c>
      <c r="P2104" s="1427">
        <f t="shared" si="282"/>
        <v>0</v>
      </c>
    </row>
    <row r="2105" spans="1:16" ht="46.5" outlineLevel="1" x14ac:dyDescent="0.25">
      <c r="A2105" s="1482">
        <f t="shared" si="286"/>
        <v>14.1</v>
      </c>
      <c r="B2105" s="1483" t="str">
        <f t="shared" si="286"/>
        <v>IPT Module complete Type-M30-63 with advance class blading suitable for 500 MW Chandrapur Unit-7, Khaperkheda 1x500, Bhusawal 2x500</v>
      </c>
      <c r="C2105" s="1482" t="str">
        <f t="shared" si="286"/>
        <v>MERC/TECH 1/CAPEX/20132014/01334</v>
      </c>
      <c r="D2105" s="1390">
        <f t="shared" si="286"/>
        <v>41548</v>
      </c>
      <c r="E2105" s="560">
        <f t="shared" si="286"/>
        <v>48.039384900000002</v>
      </c>
      <c r="F2105" s="1508">
        <f t="shared" si="279"/>
        <v>48.039384900000002</v>
      </c>
      <c r="G2105" s="1508">
        <f t="shared" si="280"/>
        <v>48.039384900000002</v>
      </c>
      <c r="H2105" s="1508">
        <f t="shared" si="283"/>
        <v>0</v>
      </c>
      <c r="I2105" s="1480">
        <v>0</v>
      </c>
      <c r="J2105" s="1480">
        <v>0</v>
      </c>
      <c r="K2105" s="1508"/>
      <c r="L2105" s="1508"/>
      <c r="M2105" s="1509">
        <f t="shared" si="284"/>
        <v>0</v>
      </c>
      <c r="N2105" s="1508">
        <f t="shared" si="285"/>
        <v>0</v>
      </c>
      <c r="O2105" s="1481">
        <f t="shared" si="281"/>
        <v>0</v>
      </c>
      <c r="P2105" s="1427">
        <f t="shared" si="282"/>
        <v>0</v>
      </c>
    </row>
    <row r="2106" spans="1:16" ht="31" outlineLevel="1" x14ac:dyDescent="0.25">
      <c r="A2106" s="1482">
        <f t="shared" si="286"/>
        <v>14.2</v>
      </c>
      <c r="B2106" s="1483" t="str">
        <f t="shared" si="286"/>
        <v>Fully bladed dynamically balanced LP Rotor for 500 MW Units-5,6 &amp;7 at Chandrapur STPS</v>
      </c>
      <c r="C2106" s="1482" t="str">
        <f t="shared" si="286"/>
        <v>MERC/TECH 1/CAPEX/20132014/01334</v>
      </c>
      <c r="D2106" s="1390">
        <f t="shared" si="286"/>
        <v>41548</v>
      </c>
      <c r="E2106" s="560">
        <f t="shared" si="286"/>
        <v>35.784269799999997</v>
      </c>
      <c r="F2106" s="1508">
        <f t="shared" si="279"/>
        <v>35.784269799999997</v>
      </c>
      <c r="G2106" s="1508">
        <f t="shared" si="280"/>
        <v>35.784269799999997</v>
      </c>
      <c r="H2106" s="1508">
        <f t="shared" si="283"/>
        <v>0</v>
      </c>
      <c r="I2106" s="1480">
        <v>0</v>
      </c>
      <c r="J2106" s="1480">
        <v>0</v>
      </c>
      <c r="K2106" s="1508"/>
      <c r="L2106" s="1508"/>
      <c r="M2106" s="1509">
        <f t="shared" si="284"/>
        <v>0</v>
      </c>
      <c r="N2106" s="1508">
        <f t="shared" si="285"/>
        <v>0</v>
      </c>
      <c r="O2106" s="1481">
        <f t="shared" si="281"/>
        <v>0</v>
      </c>
      <c r="P2106" s="1427">
        <f t="shared" si="282"/>
        <v>0</v>
      </c>
    </row>
    <row r="2107" spans="1:16" ht="31" outlineLevel="1" x14ac:dyDescent="0.25">
      <c r="A2107" s="1477">
        <f t="shared" si="286"/>
        <v>15</v>
      </c>
      <c r="B2107" s="1478" t="str">
        <f t="shared" si="286"/>
        <v>Performance Improvement of Air Preheater Unit 1 &amp; 2 CSTPS Chandrapur</v>
      </c>
      <c r="C2107" s="1477" t="str">
        <f t="shared" si="286"/>
        <v>MERC/TECH 1/CAPEX/20132014/01431</v>
      </c>
      <c r="D2107" s="1479">
        <f t="shared" si="286"/>
        <v>41565</v>
      </c>
      <c r="E2107" s="1383">
        <f t="shared" si="286"/>
        <v>11.1699751</v>
      </c>
      <c r="F2107" s="1480">
        <f t="shared" si="279"/>
        <v>0</v>
      </c>
      <c r="G2107" s="1480">
        <f t="shared" si="280"/>
        <v>0</v>
      </c>
      <c r="H2107" s="1480">
        <f t="shared" si="283"/>
        <v>0</v>
      </c>
      <c r="I2107" s="1480">
        <v>0</v>
      </c>
      <c r="J2107" s="1480">
        <v>0</v>
      </c>
      <c r="K2107" s="1480"/>
      <c r="L2107" s="1480"/>
      <c r="M2107" s="1480">
        <f t="shared" si="284"/>
        <v>0</v>
      </c>
      <c r="N2107" s="1480">
        <f t="shared" si="285"/>
        <v>0</v>
      </c>
      <c r="O2107" s="1481">
        <f t="shared" si="281"/>
        <v>0</v>
      </c>
      <c r="P2107" s="1427">
        <f t="shared" si="282"/>
        <v>0</v>
      </c>
    </row>
    <row r="2108" spans="1:16" ht="31" outlineLevel="1" x14ac:dyDescent="0.25">
      <c r="A2108" s="1482">
        <f t="shared" si="286"/>
        <v>15.1</v>
      </c>
      <c r="B2108" s="1483" t="str">
        <f t="shared" si="286"/>
        <v xml:space="preserve">supply of MSERW / high frequency induction welding tubes for Air pre-heater in Unit 1&amp;2 </v>
      </c>
      <c r="C2108" s="1482" t="str">
        <f t="shared" si="286"/>
        <v>MERC/TECH 1/CAPEX/20132014/01431</v>
      </c>
      <c r="D2108" s="1390">
        <f t="shared" si="286"/>
        <v>41565</v>
      </c>
      <c r="E2108" s="560">
        <f t="shared" si="286"/>
        <v>8.8553540000000002</v>
      </c>
      <c r="F2108" s="1508">
        <f t="shared" si="279"/>
        <v>0</v>
      </c>
      <c r="G2108" s="1508">
        <f t="shared" si="280"/>
        <v>0</v>
      </c>
      <c r="H2108" s="1508">
        <f t="shared" si="283"/>
        <v>0</v>
      </c>
      <c r="I2108" s="1480">
        <v>0</v>
      </c>
      <c r="J2108" s="1480">
        <v>0</v>
      </c>
      <c r="K2108" s="1508"/>
      <c r="L2108" s="1508"/>
      <c r="M2108" s="1509">
        <f t="shared" si="284"/>
        <v>0</v>
      </c>
      <c r="N2108" s="1508">
        <f t="shared" si="285"/>
        <v>0</v>
      </c>
      <c r="O2108" s="1481">
        <f t="shared" si="281"/>
        <v>0</v>
      </c>
      <c r="P2108" s="1427">
        <f t="shared" si="282"/>
        <v>0</v>
      </c>
    </row>
    <row r="2109" spans="1:16" ht="31" outlineLevel="1" x14ac:dyDescent="0.25">
      <c r="A2109" s="1482">
        <f t="shared" si="286"/>
        <v>15.2</v>
      </c>
      <c r="B2109" s="1483" t="str">
        <f t="shared" si="286"/>
        <v xml:space="preserve">Compete Replacement of the air heater tubes in top ,intermediate and bottom bank(LHS and RHS) of unit 1 &amp; 2 </v>
      </c>
      <c r="C2109" s="1482" t="str">
        <f t="shared" si="286"/>
        <v>MERC/TECH 1/CAPEX/20132014/01431</v>
      </c>
      <c r="D2109" s="1390">
        <f t="shared" si="286"/>
        <v>41565</v>
      </c>
      <c r="E2109" s="560">
        <f t="shared" si="286"/>
        <v>2.14452</v>
      </c>
      <c r="F2109" s="1508">
        <f t="shared" si="279"/>
        <v>0</v>
      </c>
      <c r="G2109" s="1508">
        <f t="shared" si="280"/>
        <v>0</v>
      </c>
      <c r="H2109" s="1508">
        <f t="shared" si="283"/>
        <v>0</v>
      </c>
      <c r="I2109" s="1480">
        <v>0</v>
      </c>
      <c r="J2109" s="1480">
        <v>0</v>
      </c>
      <c r="K2109" s="1508"/>
      <c r="L2109" s="1508"/>
      <c r="M2109" s="1509">
        <f t="shared" si="284"/>
        <v>0</v>
      </c>
      <c r="N2109" s="1508">
        <f t="shared" si="285"/>
        <v>0</v>
      </c>
      <c r="O2109" s="1481">
        <f t="shared" si="281"/>
        <v>0</v>
      </c>
      <c r="P2109" s="1427">
        <f t="shared" si="282"/>
        <v>0</v>
      </c>
    </row>
    <row r="2110" spans="1:16" ht="31" outlineLevel="1" x14ac:dyDescent="0.25">
      <c r="A2110" s="1482">
        <f t="shared" si="286"/>
        <v>0</v>
      </c>
      <c r="B2110" s="1483" t="str">
        <f t="shared" si="286"/>
        <v>IDC</v>
      </c>
      <c r="C2110" s="1482" t="str">
        <f t="shared" si="286"/>
        <v>MERC/TECH 1/CAPEX/20132014/01431</v>
      </c>
      <c r="D2110" s="1390">
        <f t="shared" si="286"/>
        <v>41565</v>
      </c>
      <c r="E2110" s="560">
        <f t="shared" si="286"/>
        <v>0.17010110000000001</v>
      </c>
      <c r="F2110" s="1508">
        <f t="shared" si="279"/>
        <v>0</v>
      </c>
      <c r="G2110" s="1508">
        <f t="shared" si="280"/>
        <v>0</v>
      </c>
      <c r="H2110" s="1508">
        <f t="shared" si="283"/>
        <v>0</v>
      </c>
      <c r="I2110" s="1480">
        <v>0</v>
      </c>
      <c r="J2110" s="1480">
        <v>0</v>
      </c>
      <c r="K2110" s="1508"/>
      <c r="L2110" s="1508"/>
      <c r="M2110" s="1509">
        <f t="shared" si="284"/>
        <v>0</v>
      </c>
      <c r="N2110" s="1508">
        <f t="shared" si="285"/>
        <v>0</v>
      </c>
      <c r="O2110" s="1481">
        <f t="shared" si="281"/>
        <v>0</v>
      </c>
      <c r="P2110" s="1427">
        <f t="shared" si="282"/>
        <v>0</v>
      </c>
    </row>
    <row r="2111" spans="1:16" ht="31" outlineLevel="1" x14ac:dyDescent="0.25">
      <c r="A2111" s="1477">
        <f t="shared" si="286"/>
        <v>16</v>
      </c>
      <c r="B2111" s="1478" t="str">
        <f t="shared" si="286"/>
        <v>Procurement &amp; Replacement of heating elements (baskets) of primary and secondary air pre-heaters of unit # 5 &amp; 6</v>
      </c>
      <c r="C2111" s="1477" t="str">
        <f t="shared" si="286"/>
        <v>MERC/TECH 1/CAPEX/20142015/00432</v>
      </c>
      <c r="D2111" s="1479">
        <f t="shared" si="286"/>
        <v>41792</v>
      </c>
      <c r="E2111" s="1383">
        <f t="shared" si="286"/>
        <v>11.7446</v>
      </c>
      <c r="F2111" s="1480">
        <f t="shared" si="279"/>
        <v>0</v>
      </c>
      <c r="G2111" s="1480">
        <f t="shared" si="280"/>
        <v>0</v>
      </c>
      <c r="H2111" s="1480">
        <f t="shared" si="283"/>
        <v>0</v>
      </c>
      <c r="I2111" s="1480">
        <v>0</v>
      </c>
      <c r="J2111" s="1480">
        <v>0</v>
      </c>
      <c r="K2111" s="1480"/>
      <c r="L2111" s="1480"/>
      <c r="M2111" s="1480">
        <f t="shared" si="284"/>
        <v>0</v>
      </c>
      <c r="N2111" s="1480">
        <f t="shared" si="285"/>
        <v>0</v>
      </c>
      <c r="O2111" s="1481">
        <f t="shared" si="281"/>
        <v>0</v>
      </c>
      <c r="P2111" s="1427">
        <f t="shared" si="282"/>
        <v>0</v>
      </c>
    </row>
    <row r="2112" spans="1:16" ht="31" outlineLevel="1" x14ac:dyDescent="0.25">
      <c r="A2112" s="1482">
        <f t="shared" si="286"/>
        <v>16.100000000000001</v>
      </c>
      <c r="B2112" s="1483" t="str">
        <f t="shared" si="286"/>
        <v>Primary  &amp;  Secondary Air Pre-heater baskets hot end, intermediate  &amp; cold end (2 sets) for U-5 (Including works cost)</v>
      </c>
      <c r="C2112" s="1482" t="str">
        <f t="shared" si="286"/>
        <v>MERC/TECH 1/CAPEX/20142015/00432</v>
      </c>
      <c r="D2112" s="1390">
        <f t="shared" si="286"/>
        <v>41792</v>
      </c>
      <c r="E2112" s="560">
        <f t="shared" si="286"/>
        <v>5.5023</v>
      </c>
      <c r="F2112" s="1508">
        <f t="shared" si="279"/>
        <v>4.2318929900000004</v>
      </c>
      <c r="G2112" s="1508">
        <f t="shared" si="280"/>
        <v>4.2318929900000004</v>
      </c>
      <c r="H2112" s="1508">
        <f t="shared" si="283"/>
        <v>0</v>
      </c>
      <c r="I2112" s="1480">
        <v>0</v>
      </c>
      <c r="J2112" s="1480">
        <v>0</v>
      </c>
      <c r="K2112" s="1508"/>
      <c r="L2112" s="1508"/>
      <c r="M2112" s="1509">
        <f t="shared" si="284"/>
        <v>0</v>
      </c>
      <c r="N2112" s="1508">
        <f t="shared" si="285"/>
        <v>0</v>
      </c>
      <c r="O2112" s="1481">
        <f t="shared" si="281"/>
        <v>0</v>
      </c>
      <c r="P2112" s="1427">
        <f t="shared" si="282"/>
        <v>0</v>
      </c>
    </row>
    <row r="2113" spans="1:16" ht="31" outlineLevel="1" x14ac:dyDescent="0.25">
      <c r="A2113" s="1482">
        <f t="shared" si="286"/>
        <v>16.2</v>
      </c>
      <c r="B2113" s="1483" t="str">
        <f t="shared" si="286"/>
        <v>Primary  &amp;  Secondary Air Pre-heater baskets hot end, intermediate  &amp; cold end (2 sets) for U-6 (Including works cost)</v>
      </c>
      <c r="C2113" s="1482" t="str">
        <f t="shared" si="286"/>
        <v>MERC/TECH 1/CAPEX/20142015/00432</v>
      </c>
      <c r="D2113" s="1390">
        <f t="shared" si="286"/>
        <v>41792</v>
      </c>
      <c r="E2113" s="560">
        <f t="shared" si="286"/>
        <v>5.5023</v>
      </c>
      <c r="F2113" s="1508">
        <f t="shared" si="279"/>
        <v>4.5024009140000008</v>
      </c>
      <c r="G2113" s="1508">
        <f t="shared" si="280"/>
        <v>4.5024009140000008</v>
      </c>
      <c r="H2113" s="1508">
        <f t="shared" si="283"/>
        <v>0</v>
      </c>
      <c r="I2113" s="1480">
        <v>0</v>
      </c>
      <c r="J2113" s="1480">
        <v>0</v>
      </c>
      <c r="K2113" s="1508"/>
      <c r="L2113" s="1508"/>
      <c r="M2113" s="1509">
        <f t="shared" si="284"/>
        <v>0</v>
      </c>
      <c r="N2113" s="1508">
        <f t="shared" si="285"/>
        <v>0</v>
      </c>
      <c r="O2113" s="1481">
        <f t="shared" si="281"/>
        <v>0</v>
      </c>
      <c r="P2113" s="1427">
        <f t="shared" si="282"/>
        <v>0</v>
      </c>
    </row>
    <row r="2114" spans="1:16" ht="31" outlineLevel="1" x14ac:dyDescent="0.25">
      <c r="A2114" s="1482">
        <f t="shared" si="286"/>
        <v>0</v>
      </c>
      <c r="B2114" s="1483" t="str">
        <f t="shared" si="286"/>
        <v>IDC</v>
      </c>
      <c r="C2114" s="1482" t="str">
        <f t="shared" si="286"/>
        <v>MERC/TECH 1/CAPEX/20142015/00432</v>
      </c>
      <c r="D2114" s="1390">
        <f t="shared" si="286"/>
        <v>41792</v>
      </c>
      <c r="E2114" s="560">
        <f t="shared" si="286"/>
        <v>0.74</v>
      </c>
      <c r="F2114" s="1508">
        <f t="shared" si="279"/>
        <v>0</v>
      </c>
      <c r="G2114" s="1508">
        <f t="shared" si="280"/>
        <v>0</v>
      </c>
      <c r="H2114" s="1508">
        <f t="shared" si="283"/>
        <v>0</v>
      </c>
      <c r="I2114" s="1480">
        <v>0</v>
      </c>
      <c r="J2114" s="1480">
        <v>0</v>
      </c>
      <c r="K2114" s="1508"/>
      <c r="L2114" s="1508"/>
      <c r="M2114" s="1509">
        <f t="shared" si="284"/>
        <v>0</v>
      </c>
      <c r="N2114" s="1508">
        <f t="shared" si="285"/>
        <v>0</v>
      </c>
      <c r="O2114" s="1481">
        <f t="shared" si="281"/>
        <v>0</v>
      </c>
      <c r="P2114" s="1427">
        <f t="shared" si="282"/>
        <v>0</v>
      </c>
    </row>
    <row r="2115" spans="1:16" ht="31" outlineLevel="1" x14ac:dyDescent="0.25">
      <c r="A2115" s="1486">
        <f t="shared" si="286"/>
        <v>17</v>
      </c>
      <c r="B2115" s="1491" t="str">
        <f t="shared" si="286"/>
        <v>Procurement of moving blades for LP Turbine, Control Fluid Pumps &amp; AOP of 500MW Unit 5,6 &amp;7</v>
      </c>
      <c r="C2115" s="1486" t="str">
        <f t="shared" si="286"/>
        <v>MERC/TECH 1/CAPEX/20142015/0010</v>
      </c>
      <c r="D2115" s="1487">
        <f t="shared" si="286"/>
        <v>41928</v>
      </c>
      <c r="E2115" s="1383">
        <f t="shared" si="286"/>
        <v>19.310244699999998</v>
      </c>
      <c r="F2115" s="1480">
        <f t="shared" si="279"/>
        <v>0</v>
      </c>
      <c r="G2115" s="1480">
        <f t="shared" si="280"/>
        <v>0</v>
      </c>
      <c r="H2115" s="1480">
        <f t="shared" si="283"/>
        <v>0</v>
      </c>
      <c r="I2115" s="1480">
        <v>0</v>
      </c>
      <c r="J2115" s="1480">
        <v>0</v>
      </c>
      <c r="K2115" s="1480"/>
      <c r="L2115" s="1480"/>
      <c r="M2115" s="1480">
        <f t="shared" si="284"/>
        <v>0</v>
      </c>
      <c r="N2115" s="1480">
        <f t="shared" si="285"/>
        <v>0</v>
      </c>
      <c r="O2115" s="1481">
        <f t="shared" si="281"/>
        <v>0</v>
      </c>
      <c r="P2115" s="1427">
        <f t="shared" si="282"/>
        <v>0</v>
      </c>
    </row>
    <row r="2116" spans="1:16" ht="62" outlineLevel="1" x14ac:dyDescent="0.25">
      <c r="A2116" s="1488">
        <f t="shared" ref="A2116:E2131" si="287">A1446</f>
        <v>17.100000000000001</v>
      </c>
      <c r="B2116" s="1492" t="str">
        <f t="shared" si="287"/>
        <v>Moving blades for LPT—2L
Moving blades for LPT—2R
Moving blades for LPT—3L
Moving blades for LPT—3R</v>
      </c>
      <c r="C2116" s="1488" t="str">
        <f t="shared" si="287"/>
        <v>MERC/TECH 1/CAPEX/20142015/0010</v>
      </c>
      <c r="D2116" s="1413">
        <f t="shared" si="287"/>
        <v>41928</v>
      </c>
      <c r="E2116" s="560">
        <f t="shared" si="287"/>
        <v>13.5092</v>
      </c>
      <c r="F2116" s="1508">
        <f t="shared" si="279"/>
        <v>5.3885199799999999</v>
      </c>
      <c r="G2116" s="1508">
        <f t="shared" si="280"/>
        <v>5.3885199799999999</v>
      </c>
      <c r="H2116" s="1508">
        <f t="shared" si="283"/>
        <v>0</v>
      </c>
      <c r="I2116" s="1480">
        <v>0</v>
      </c>
      <c r="J2116" s="1480">
        <v>0</v>
      </c>
      <c r="K2116" s="1508"/>
      <c r="L2116" s="1508"/>
      <c r="M2116" s="1509">
        <f t="shared" si="284"/>
        <v>0</v>
      </c>
      <c r="N2116" s="1508">
        <f t="shared" si="285"/>
        <v>0</v>
      </c>
      <c r="O2116" s="1481">
        <f t="shared" si="281"/>
        <v>0</v>
      </c>
      <c r="P2116" s="1427">
        <f t="shared" si="282"/>
        <v>0</v>
      </c>
    </row>
    <row r="2117" spans="1:16" ht="93" outlineLevel="1" x14ac:dyDescent="0.25">
      <c r="A2117" s="1488">
        <f t="shared" si="287"/>
        <v>17.2</v>
      </c>
      <c r="B2117" s="1492" t="str">
        <f t="shared" si="287"/>
        <v>1. Control Fluid Pump for 500 MW Unit-5&amp;6_KSB Make- Type : WKVM 100/1+4
2. Control Fluid Pump for 500 MW Unit-7_KSB Make- Type : WKVM 80/1+3
3. Aux. Oil Pump for Main Turbine of 500 MW Unit-5,6&amp; 7
KSB Make- Type : ETA 150-50VL</v>
      </c>
      <c r="C2117" s="1488" t="str">
        <f t="shared" si="287"/>
        <v>MERC/TECH 1/CAPEX/20142015/0010</v>
      </c>
      <c r="D2117" s="1413">
        <f t="shared" si="287"/>
        <v>41928</v>
      </c>
      <c r="E2117" s="560">
        <f t="shared" si="287"/>
        <v>4.5510447000000003</v>
      </c>
      <c r="F2117" s="1508">
        <f t="shared" si="279"/>
        <v>5.8470200000000006</v>
      </c>
      <c r="G2117" s="1508">
        <f t="shared" si="280"/>
        <v>5.8470200000000006</v>
      </c>
      <c r="H2117" s="1508">
        <f t="shared" si="283"/>
        <v>0</v>
      </c>
      <c r="I2117" s="1480">
        <v>1.4</v>
      </c>
      <c r="J2117" s="1480">
        <v>1.4</v>
      </c>
      <c r="K2117" s="1508"/>
      <c r="L2117" s="1508"/>
      <c r="M2117" s="1509">
        <f t="shared" si="284"/>
        <v>1.4</v>
      </c>
      <c r="N2117" s="1508">
        <f t="shared" si="285"/>
        <v>0</v>
      </c>
      <c r="O2117" s="1481">
        <f t="shared" si="281"/>
        <v>0</v>
      </c>
      <c r="P2117" s="1427">
        <f t="shared" si="282"/>
        <v>1.4</v>
      </c>
    </row>
    <row r="2118" spans="1:16" ht="31" outlineLevel="1" x14ac:dyDescent="0.25">
      <c r="A2118" s="1482">
        <f t="shared" si="287"/>
        <v>0</v>
      </c>
      <c r="B2118" s="1483" t="str">
        <f t="shared" si="287"/>
        <v>IDC</v>
      </c>
      <c r="C2118" s="1482" t="str">
        <f t="shared" si="287"/>
        <v>MERC/TECH 1/CAPEX/20142015/0010</v>
      </c>
      <c r="D2118" s="1390">
        <f t="shared" si="287"/>
        <v>41928</v>
      </c>
      <c r="E2118" s="560">
        <f t="shared" si="287"/>
        <v>1.25</v>
      </c>
      <c r="F2118" s="1508">
        <f t="shared" si="279"/>
        <v>0</v>
      </c>
      <c r="G2118" s="1508">
        <f t="shared" si="280"/>
        <v>0</v>
      </c>
      <c r="H2118" s="1508">
        <f t="shared" si="283"/>
        <v>0</v>
      </c>
      <c r="I2118" s="1480">
        <v>0</v>
      </c>
      <c r="J2118" s="1480">
        <v>0</v>
      </c>
      <c r="K2118" s="1508"/>
      <c r="L2118" s="1508"/>
      <c r="M2118" s="1509">
        <f t="shared" si="284"/>
        <v>0</v>
      </c>
      <c r="N2118" s="1508">
        <f t="shared" si="285"/>
        <v>0</v>
      </c>
      <c r="O2118" s="1481">
        <f t="shared" si="281"/>
        <v>0</v>
      </c>
      <c r="P2118" s="1427">
        <f t="shared" si="282"/>
        <v>0</v>
      </c>
    </row>
    <row r="2119" spans="1:16" ht="31" outlineLevel="1" x14ac:dyDescent="0.25">
      <c r="A2119" s="1477">
        <f t="shared" si="287"/>
        <v>18</v>
      </c>
      <c r="B2119" s="1478" t="str">
        <f t="shared" si="287"/>
        <v>Procurement of Gear Box &amp; Wear Resistance liners for coal mills of Unit#5&amp;6 &amp; Supply of Gear Box for Coal Mills of Unit#7</v>
      </c>
      <c r="C2119" s="1477" t="str">
        <f t="shared" si="287"/>
        <v>MERC/TECH 1/CAPEX/20142015/01220</v>
      </c>
      <c r="D2119" s="1479">
        <f t="shared" si="287"/>
        <v>41968</v>
      </c>
      <c r="E2119" s="1383">
        <f t="shared" si="287"/>
        <v>11.914453259999998</v>
      </c>
      <c r="F2119" s="1480">
        <f t="shared" si="279"/>
        <v>0</v>
      </c>
      <c r="G2119" s="1480">
        <f t="shared" si="280"/>
        <v>0</v>
      </c>
      <c r="H2119" s="1480">
        <f t="shared" si="283"/>
        <v>0</v>
      </c>
      <c r="I2119" s="1480">
        <v>0</v>
      </c>
      <c r="J2119" s="1480">
        <v>0</v>
      </c>
      <c r="K2119" s="1480"/>
      <c r="L2119" s="1480"/>
      <c r="M2119" s="1480">
        <f t="shared" si="284"/>
        <v>0</v>
      </c>
      <c r="N2119" s="1480">
        <f t="shared" si="285"/>
        <v>0</v>
      </c>
      <c r="O2119" s="1481">
        <f t="shared" si="281"/>
        <v>0</v>
      </c>
      <c r="P2119" s="1427">
        <f t="shared" si="282"/>
        <v>0</v>
      </c>
    </row>
    <row r="2120" spans="1:16" ht="62" outlineLevel="1" x14ac:dyDescent="0.25">
      <c r="A2120" s="1482">
        <f t="shared" si="287"/>
        <v>18.100000000000001</v>
      </c>
      <c r="B2120" s="1483" t="str">
        <f t="shared" si="287"/>
        <v>Complete bevel gear stage consisting of pinion with part nos 100, 106, 107, 109, 110, 158, 159 and gear with part nos 102, 401, 402, 12 X 403 of Flender make Bocholt KMS 850 Gear Boxes of XRP-1043 Coal Mill in Unit#5&amp;6.</v>
      </c>
      <c r="C2120" s="1482" t="str">
        <f t="shared" si="287"/>
        <v>MERC/TECH 1/CAPEX/20142015/01220</v>
      </c>
      <c r="D2120" s="1390">
        <f t="shared" si="287"/>
        <v>41968</v>
      </c>
      <c r="E2120" s="560">
        <f t="shared" si="287"/>
        <v>4.4387999999999996</v>
      </c>
      <c r="F2120" s="1508">
        <f t="shared" si="279"/>
        <v>1.621920096</v>
      </c>
      <c r="G2120" s="1508">
        <f t="shared" si="280"/>
        <v>1.621920096</v>
      </c>
      <c r="H2120" s="1508">
        <f t="shared" si="283"/>
        <v>0</v>
      </c>
      <c r="I2120" s="1480">
        <v>0</v>
      </c>
      <c r="J2120" s="1480">
        <v>0</v>
      </c>
      <c r="K2120" s="1508"/>
      <c r="L2120" s="1508"/>
      <c r="M2120" s="1509">
        <f t="shared" si="284"/>
        <v>0</v>
      </c>
      <c r="N2120" s="1508">
        <f t="shared" si="285"/>
        <v>0</v>
      </c>
      <c r="O2120" s="1481">
        <f t="shared" si="281"/>
        <v>0</v>
      </c>
      <c r="P2120" s="1427">
        <f t="shared" si="282"/>
        <v>0</v>
      </c>
    </row>
    <row r="2121" spans="1:16" ht="31" outlineLevel="1" x14ac:dyDescent="0.25">
      <c r="A2121" s="1482">
        <f t="shared" si="287"/>
        <v>18.2</v>
      </c>
      <c r="B2121" s="1483" t="str">
        <f t="shared" si="287"/>
        <v>Manufacturing, Supply and Application of Wear Resistance Liners inside the mill body of XRP 1043 Coal Mill in unit-5&amp;6</v>
      </c>
      <c r="C2121" s="1482" t="str">
        <f t="shared" si="287"/>
        <v>MERC/TECH 1/CAPEX/20142015/01220</v>
      </c>
      <c r="D2121" s="1390">
        <f t="shared" si="287"/>
        <v>41968</v>
      </c>
      <c r="E2121" s="560">
        <f t="shared" si="287"/>
        <v>2.2756532600000003</v>
      </c>
      <c r="F2121" s="1508">
        <f t="shared" si="279"/>
        <v>2.2756532600000003</v>
      </c>
      <c r="G2121" s="1508">
        <f t="shared" si="280"/>
        <v>2.2756532600000003</v>
      </c>
      <c r="H2121" s="1508">
        <f t="shared" si="283"/>
        <v>0</v>
      </c>
      <c r="I2121" s="1480">
        <v>0</v>
      </c>
      <c r="J2121" s="1480">
        <v>0</v>
      </c>
      <c r="K2121" s="1508"/>
      <c r="L2121" s="1508"/>
      <c r="M2121" s="1509">
        <f t="shared" si="284"/>
        <v>0</v>
      </c>
      <c r="N2121" s="1508">
        <f t="shared" si="285"/>
        <v>0</v>
      </c>
      <c r="O2121" s="1481">
        <f t="shared" si="281"/>
        <v>0</v>
      </c>
      <c r="P2121" s="1427">
        <f t="shared" si="282"/>
        <v>0</v>
      </c>
    </row>
    <row r="2122" spans="1:16" ht="62" outlineLevel="1" x14ac:dyDescent="0.25">
      <c r="A2122" s="1482">
        <f t="shared" si="287"/>
        <v>18.3</v>
      </c>
      <c r="B2122" s="1483" t="str">
        <f t="shared" si="287"/>
        <v>Complete Gear Box type H2C630 without coupling, without lubrication unit. As per order CMD ref: 20/0900212-GA Dwg No 524932 and as per attached list for main reducer gear box of coal mill BBD 4772 in Unit#7.</v>
      </c>
      <c r="C2122" s="1482" t="str">
        <f t="shared" si="287"/>
        <v>MERC/TECH 1/CAPEX/20142015/01220</v>
      </c>
      <c r="D2122" s="1390">
        <f t="shared" si="287"/>
        <v>41968</v>
      </c>
      <c r="E2122" s="560">
        <f t="shared" si="287"/>
        <v>4.4664999999999999</v>
      </c>
      <c r="F2122" s="1508">
        <f t="shared" si="279"/>
        <v>2.2257651389999999</v>
      </c>
      <c r="G2122" s="1508">
        <f t="shared" si="280"/>
        <v>2.2257651389999999</v>
      </c>
      <c r="H2122" s="1508">
        <f t="shared" si="283"/>
        <v>0</v>
      </c>
      <c r="I2122" s="1480">
        <v>0</v>
      </c>
      <c r="J2122" s="1480">
        <v>0</v>
      </c>
      <c r="K2122" s="1508"/>
      <c r="L2122" s="1508"/>
      <c r="M2122" s="1509">
        <f t="shared" si="284"/>
        <v>0</v>
      </c>
      <c r="N2122" s="1508">
        <f t="shared" si="285"/>
        <v>0</v>
      </c>
      <c r="O2122" s="1481">
        <f t="shared" si="281"/>
        <v>0</v>
      </c>
      <c r="P2122" s="1427">
        <f t="shared" si="282"/>
        <v>0</v>
      </c>
    </row>
    <row r="2123" spans="1:16" ht="31" outlineLevel="1" x14ac:dyDescent="0.25">
      <c r="A2123" s="1482">
        <f t="shared" si="287"/>
        <v>0</v>
      </c>
      <c r="B2123" s="1483" t="str">
        <f t="shared" si="287"/>
        <v>IDC</v>
      </c>
      <c r="C2123" s="1482" t="str">
        <f t="shared" si="287"/>
        <v>MERC/TECH 1/CAPEX/20142015/01220</v>
      </c>
      <c r="D2123" s="1390">
        <f t="shared" si="287"/>
        <v>41968</v>
      </c>
      <c r="E2123" s="560">
        <f t="shared" si="287"/>
        <v>0.73350000000000004</v>
      </c>
      <c r="F2123" s="1508">
        <f t="shared" si="279"/>
        <v>0</v>
      </c>
      <c r="G2123" s="1508">
        <f t="shared" si="280"/>
        <v>0</v>
      </c>
      <c r="H2123" s="1508">
        <f t="shared" si="283"/>
        <v>0</v>
      </c>
      <c r="I2123" s="1480">
        <v>0</v>
      </c>
      <c r="J2123" s="1480">
        <v>0</v>
      </c>
      <c r="K2123" s="1508"/>
      <c r="L2123" s="1508"/>
      <c r="M2123" s="1509">
        <f t="shared" si="284"/>
        <v>0</v>
      </c>
      <c r="N2123" s="1508">
        <f t="shared" si="285"/>
        <v>0</v>
      </c>
      <c r="O2123" s="1481">
        <f t="shared" si="281"/>
        <v>0</v>
      </c>
      <c r="P2123" s="1427">
        <f t="shared" si="282"/>
        <v>0</v>
      </c>
    </row>
    <row r="2124" spans="1:16" ht="31" outlineLevel="1" x14ac:dyDescent="0.25">
      <c r="A2124" s="1477">
        <f t="shared" si="287"/>
        <v>19</v>
      </c>
      <c r="B2124" s="1478" t="str">
        <f t="shared" si="287"/>
        <v>Procurement &amp; Replacement of Condenser tubes for 500MW Unit-6 &amp; BFP cartridge for Unit 5, 6 &amp; 7</v>
      </c>
      <c r="C2124" s="1477" t="str">
        <f t="shared" si="287"/>
        <v>MERC/TECH 1/CAPEX/20142015/00950</v>
      </c>
      <c r="D2124" s="1479">
        <f t="shared" si="287"/>
        <v>41893</v>
      </c>
      <c r="E2124" s="1383">
        <f t="shared" si="287"/>
        <v>13.163734</v>
      </c>
      <c r="F2124" s="1480">
        <f t="shared" si="279"/>
        <v>0</v>
      </c>
      <c r="G2124" s="1480">
        <f t="shared" si="280"/>
        <v>0</v>
      </c>
      <c r="H2124" s="1480">
        <f t="shared" si="283"/>
        <v>0</v>
      </c>
      <c r="I2124" s="1480">
        <v>0</v>
      </c>
      <c r="J2124" s="1480">
        <v>0</v>
      </c>
      <c r="K2124" s="1480"/>
      <c r="L2124" s="1480"/>
      <c r="M2124" s="1480">
        <f t="shared" si="284"/>
        <v>0</v>
      </c>
      <c r="N2124" s="1480">
        <f t="shared" si="285"/>
        <v>0</v>
      </c>
      <c r="O2124" s="1481">
        <f t="shared" si="281"/>
        <v>0</v>
      </c>
      <c r="P2124" s="1427">
        <f t="shared" si="282"/>
        <v>0</v>
      </c>
    </row>
    <row r="2125" spans="1:16" ht="31" outlineLevel="1" x14ac:dyDescent="0.25">
      <c r="A2125" s="1482">
        <f t="shared" si="287"/>
        <v>19.100000000000001</v>
      </c>
      <c r="B2125" s="1483" t="str">
        <f t="shared" si="287"/>
        <v>Procurement of Cartridge Assembly for Boiler Feed Pump type FK 4E 36</v>
      </c>
      <c r="C2125" s="1482" t="str">
        <f t="shared" si="287"/>
        <v>MERC/TECH 1/CAPEX/20142015/00950</v>
      </c>
      <c r="D2125" s="1390">
        <f t="shared" si="287"/>
        <v>41893</v>
      </c>
      <c r="E2125" s="560">
        <f t="shared" si="287"/>
        <v>4.87</v>
      </c>
      <c r="F2125" s="1508">
        <f t="shared" si="279"/>
        <v>2.8937499999999998</v>
      </c>
      <c r="G2125" s="1508">
        <f t="shared" si="280"/>
        <v>2.8937499999999998</v>
      </c>
      <c r="H2125" s="1508">
        <f t="shared" si="283"/>
        <v>0</v>
      </c>
      <c r="I2125" s="1480">
        <v>0</v>
      </c>
      <c r="J2125" s="1480">
        <v>0</v>
      </c>
      <c r="K2125" s="1508"/>
      <c r="L2125" s="1508"/>
      <c r="M2125" s="1509">
        <f t="shared" si="284"/>
        <v>0</v>
      </c>
      <c r="N2125" s="1508">
        <f t="shared" si="285"/>
        <v>0</v>
      </c>
      <c r="O2125" s="1481">
        <f t="shared" si="281"/>
        <v>0</v>
      </c>
      <c r="P2125" s="1427">
        <f t="shared" si="282"/>
        <v>0</v>
      </c>
    </row>
    <row r="2126" spans="1:16" ht="31" outlineLevel="1" x14ac:dyDescent="0.25">
      <c r="A2126" s="1482">
        <f t="shared" si="287"/>
        <v>19.2</v>
      </c>
      <c r="B2126" s="1483" t="str">
        <f t="shared" si="287"/>
        <v>Procurement &amp; Replacement of Condenser tubes for 500MW Unit-6</v>
      </c>
      <c r="C2126" s="1482" t="str">
        <f t="shared" si="287"/>
        <v>MERC/TECH 1/CAPEX/20142015/00950</v>
      </c>
      <c r="D2126" s="1390">
        <f t="shared" si="287"/>
        <v>41893</v>
      </c>
      <c r="E2126" s="560">
        <f t="shared" si="287"/>
        <v>7.0937340000000004</v>
      </c>
      <c r="F2126" s="1508">
        <f t="shared" si="279"/>
        <v>6.1698368290000003</v>
      </c>
      <c r="G2126" s="1508">
        <f t="shared" si="280"/>
        <v>6.1698368290000003</v>
      </c>
      <c r="H2126" s="1508">
        <f t="shared" si="283"/>
        <v>0</v>
      </c>
      <c r="I2126" s="1480">
        <v>0</v>
      </c>
      <c r="J2126" s="1480">
        <v>0</v>
      </c>
      <c r="K2126" s="1508"/>
      <c r="L2126" s="1508"/>
      <c r="M2126" s="1509">
        <f t="shared" si="284"/>
        <v>0</v>
      </c>
      <c r="N2126" s="1508">
        <f t="shared" si="285"/>
        <v>0</v>
      </c>
      <c r="O2126" s="1481">
        <f t="shared" si="281"/>
        <v>0</v>
      </c>
      <c r="P2126" s="1427">
        <f t="shared" si="282"/>
        <v>0</v>
      </c>
    </row>
    <row r="2127" spans="1:16" ht="31" outlineLevel="1" x14ac:dyDescent="0.25">
      <c r="A2127" s="1482">
        <f t="shared" si="287"/>
        <v>0</v>
      </c>
      <c r="B2127" s="1483" t="str">
        <f t="shared" si="287"/>
        <v>IDC</v>
      </c>
      <c r="C2127" s="1482" t="str">
        <f t="shared" si="287"/>
        <v>MERC/TECH 1/CAPEX/20142015/00950</v>
      </c>
      <c r="D2127" s="1390">
        <f t="shared" si="287"/>
        <v>41893</v>
      </c>
      <c r="E2127" s="560">
        <f t="shared" si="287"/>
        <v>1.2</v>
      </c>
      <c r="F2127" s="1508">
        <f t="shared" si="279"/>
        <v>0</v>
      </c>
      <c r="G2127" s="1508">
        <f t="shared" si="280"/>
        <v>0</v>
      </c>
      <c r="H2127" s="1508">
        <f t="shared" si="283"/>
        <v>0</v>
      </c>
      <c r="I2127" s="1480">
        <v>0</v>
      </c>
      <c r="J2127" s="1480">
        <v>0</v>
      </c>
      <c r="K2127" s="1508"/>
      <c r="L2127" s="1508"/>
      <c r="M2127" s="1509">
        <f t="shared" si="284"/>
        <v>0</v>
      </c>
      <c r="N2127" s="1508">
        <f t="shared" si="285"/>
        <v>0</v>
      </c>
      <c r="O2127" s="1481">
        <f t="shared" si="281"/>
        <v>0</v>
      </c>
      <c r="P2127" s="1427">
        <f t="shared" si="282"/>
        <v>0</v>
      </c>
    </row>
    <row r="2128" spans="1:16" ht="31" outlineLevel="1" x14ac:dyDescent="0.25">
      <c r="A2128" s="1477">
        <f t="shared" si="287"/>
        <v>20</v>
      </c>
      <c r="B2128" s="1478" t="str">
        <f t="shared" si="287"/>
        <v>210/500 MW CHP performance improvement</v>
      </c>
      <c r="C2128" s="1477" t="str">
        <f t="shared" si="287"/>
        <v>MERC/Cell No. 1/CAPEX/ 20152016/00634</v>
      </c>
      <c r="D2128" s="1479">
        <f t="shared" si="287"/>
        <v>42256</v>
      </c>
      <c r="E2128" s="1383">
        <f t="shared" si="287"/>
        <v>16.303000000000001</v>
      </c>
      <c r="F2128" s="1480">
        <f t="shared" si="279"/>
        <v>0</v>
      </c>
      <c r="G2128" s="1480">
        <f t="shared" si="280"/>
        <v>0</v>
      </c>
      <c r="H2128" s="1480">
        <f t="shared" si="283"/>
        <v>0</v>
      </c>
      <c r="I2128" s="1480">
        <v>0</v>
      </c>
      <c r="J2128" s="1480">
        <v>0</v>
      </c>
      <c r="K2128" s="1480"/>
      <c r="L2128" s="1480"/>
      <c r="M2128" s="1480">
        <f t="shared" si="284"/>
        <v>0</v>
      </c>
      <c r="N2128" s="1480">
        <f t="shared" si="285"/>
        <v>0</v>
      </c>
      <c r="O2128" s="1481">
        <f t="shared" si="281"/>
        <v>0</v>
      </c>
      <c r="P2128" s="1427">
        <f t="shared" si="282"/>
        <v>0</v>
      </c>
    </row>
    <row r="2129" spans="1:16" ht="31" outlineLevel="1" x14ac:dyDescent="0.25">
      <c r="A2129" s="1482">
        <f t="shared" si="287"/>
        <v>20.100000000000001</v>
      </c>
      <c r="B2129" s="1483" t="str">
        <f t="shared" si="287"/>
        <v>Provision of over band suspended magnets for CHP-C.</v>
      </c>
      <c r="C2129" s="1482" t="str">
        <f t="shared" si="287"/>
        <v>MERC/Cell No. 1/CAPEX/ 20152016/00634</v>
      </c>
      <c r="D2129" s="1390">
        <f t="shared" si="287"/>
        <v>42256</v>
      </c>
      <c r="E2129" s="560">
        <f t="shared" si="287"/>
        <v>1.077</v>
      </c>
      <c r="F2129" s="1508">
        <f t="shared" si="279"/>
        <v>0.90834481999999994</v>
      </c>
      <c r="G2129" s="1508">
        <f t="shared" si="280"/>
        <v>0.90834481999999994</v>
      </c>
      <c r="H2129" s="1508">
        <f t="shared" si="283"/>
        <v>0</v>
      </c>
      <c r="I2129" s="1480">
        <v>0</v>
      </c>
      <c r="J2129" s="1480">
        <v>0</v>
      </c>
      <c r="K2129" s="1508"/>
      <c r="L2129" s="1508"/>
      <c r="M2129" s="1509">
        <f t="shared" si="284"/>
        <v>0</v>
      </c>
      <c r="N2129" s="1508">
        <f t="shared" si="285"/>
        <v>0</v>
      </c>
      <c r="O2129" s="1481">
        <f t="shared" si="281"/>
        <v>0</v>
      </c>
      <c r="P2129" s="1427">
        <f t="shared" si="282"/>
        <v>0</v>
      </c>
    </row>
    <row r="2130" spans="1:16" ht="62" outlineLevel="1" x14ac:dyDescent="0.25">
      <c r="A2130" s="1482">
        <f t="shared" si="287"/>
        <v>20.2</v>
      </c>
      <c r="B2130" s="1483" t="str">
        <f t="shared" si="287"/>
        <v>1. Procurement of HT contactor for bunkering side auxiliary at CHP B
2. Procurement of HT contactor for unloading side Critical Auxiliary at CHP-B</v>
      </c>
      <c r="C2130" s="1482" t="str">
        <f t="shared" si="287"/>
        <v>MERC/Cell No. 1/CAPEX/ 20152016/00634</v>
      </c>
      <c r="D2130" s="1390">
        <f t="shared" si="287"/>
        <v>42256</v>
      </c>
      <c r="E2130" s="560">
        <f t="shared" si="287"/>
        <v>5.7590000000000003</v>
      </c>
      <c r="F2130" s="1508">
        <f t="shared" si="279"/>
        <v>2.894304</v>
      </c>
      <c r="G2130" s="1508">
        <f t="shared" si="280"/>
        <v>2.894304</v>
      </c>
      <c r="H2130" s="1508">
        <f t="shared" si="283"/>
        <v>0</v>
      </c>
      <c r="I2130" s="1480">
        <v>0</v>
      </c>
      <c r="J2130" s="1480">
        <v>0</v>
      </c>
      <c r="K2130" s="1508"/>
      <c r="L2130" s="1508"/>
      <c r="M2130" s="1509">
        <f t="shared" si="284"/>
        <v>0</v>
      </c>
      <c r="N2130" s="1508">
        <f t="shared" si="285"/>
        <v>0</v>
      </c>
      <c r="O2130" s="1481">
        <f t="shared" si="281"/>
        <v>0</v>
      </c>
      <c r="P2130" s="1427">
        <f t="shared" si="282"/>
        <v>0</v>
      </c>
    </row>
    <row r="2131" spans="1:16" ht="31" outlineLevel="1" x14ac:dyDescent="0.25">
      <c r="A2131" s="1482">
        <f t="shared" si="287"/>
        <v>20.3</v>
      </c>
      <c r="B2131" s="1483" t="str">
        <f t="shared" si="287"/>
        <v>Bulldozer BD-155</v>
      </c>
      <c r="C2131" s="1482" t="str">
        <f t="shared" si="287"/>
        <v>MERC/Cell No. 1/CAPEX/ 20152016/00634</v>
      </c>
      <c r="D2131" s="1390">
        <f t="shared" si="287"/>
        <v>42256</v>
      </c>
      <c r="E2131" s="560">
        <f t="shared" si="287"/>
        <v>5.12</v>
      </c>
      <c r="F2131" s="1508">
        <f t="shared" si="279"/>
        <v>7.9707386820000004</v>
      </c>
      <c r="G2131" s="1508">
        <f t="shared" si="280"/>
        <v>7.9707386820000004</v>
      </c>
      <c r="H2131" s="1508">
        <f t="shared" si="283"/>
        <v>0</v>
      </c>
      <c r="I2131" s="1480">
        <v>0</v>
      </c>
      <c r="J2131" s="1480">
        <v>0</v>
      </c>
      <c r="K2131" s="1508"/>
      <c r="L2131" s="1508"/>
      <c r="M2131" s="1509">
        <f t="shared" si="284"/>
        <v>0</v>
      </c>
      <c r="N2131" s="1508">
        <f t="shared" si="285"/>
        <v>0</v>
      </c>
      <c r="O2131" s="1481">
        <f t="shared" si="281"/>
        <v>0</v>
      </c>
      <c r="P2131" s="1427">
        <f t="shared" si="282"/>
        <v>0</v>
      </c>
    </row>
    <row r="2132" spans="1:16" ht="31" outlineLevel="1" x14ac:dyDescent="0.25">
      <c r="A2132" s="1482">
        <f t="shared" ref="A2132:E2147" si="288">A1462</f>
        <v>20.399999999999999</v>
      </c>
      <c r="B2132" s="1483" t="str">
        <f t="shared" si="288"/>
        <v>Modification of wagon tippler CHP-A</v>
      </c>
      <c r="C2132" s="1482" t="str">
        <f t="shared" si="288"/>
        <v>MERC/Cell No. 1/CAPEX/ 20152016/00634</v>
      </c>
      <c r="D2132" s="1390">
        <f t="shared" si="288"/>
        <v>42256</v>
      </c>
      <c r="E2132" s="560">
        <f t="shared" si="288"/>
        <v>3.8969999999999998</v>
      </c>
      <c r="F2132" s="1508">
        <f t="shared" si="279"/>
        <v>4.488435977</v>
      </c>
      <c r="G2132" s="1508">
        <f t="shared" si="280"/>
        <v>4.488435977</v>
      </c>
      <c r="H2132" s="1508">
        <f t="shared" si="283"/>
        <v>0</v>
      </c>
      <c r="I2132" s="1480">
        <v>0</v>
      </c>
      <c r="J2132" s="1480">
        <v>0</v>
      </c>
      <c r="K2132" s="1508"/>
      <c r="L2132" s="1508"/>
      <c r="M2132" s="1509">
        <f t="shared" si="284"/>
        <v>0</v>
      </c>
      <c r="N2132" s="1508">
        <f t="shared" si="285"/>
        <v>0</v>
      </c>
      <c r="O2132" s="1481">
        <f t="shared" si="281"/>
        <v>0</v>
      </c>
      <c r="P2132" s="1427">
        <f t="shared" si="282"/>
        <v>0</v>
      </c>
    </row>
    <row r="2133" spans="1:16" ht="31" outlineLevel="1" x14ac:dyDescent="0.25">
      <c r="A2133" s="1482">
        <f t="shared" si="288"/>
        <v>0</v>
      </c>
      <c r="B2133" s="1483" t="str">
        <f t="shared" si="288"/>
        <v>IDC</v>
      </c>
      <c r="C2133" s="1482" t="str">
        <f t="shared" si="288"/>
        <v>MERC/Cell No. 1/CAPEX/ 20152016/00634</v>
      </c>
      <c r="D2133" s="1390">
        <f t="shared" si="288"/>
        <v>42256</v>
      </c>
      <c r="E2133" s="560">
        <f t="shared" si="288"/>
        <v>0.45</v>
      </c>
      <c r="F2133" s="1508">
        <f t="shared" si="279"/>
        <v>0</v>
      </c>
      <c r="G2133" s="1508">
        <f t="shared" si="280"/>
        <v>0</v>
      </c>
      <c r="H2133" s="1508">
        <f t="shared" si="283"/>
        <v>0</v>
      </c>
      <c r="I2133" s="1480">
        <v>0</v>
      </c>
      <c r="J2133" s="1480">
        <v>0</v>
      </c>
      <c r="K2133" s="1508"/>
      <c r="L2133" s="1508"/>
      <c r="M2133" s="1509">
        <f t="shared" si="284"/>
        <v>0</v>
      </c>
      <c r="N2133" s="1508">
        <f t="shared" si="285"/>
        <v>0</v>
      </c>
      <c r="O2133" s="1481">
        <f t="shared" si="281"/>
        <v>0</v>
      </c>
      <c r="P2133" s="1427">
        <f t="shared" si="282"/>
        <v>0</v>
      </c>
    </row>
    <row r="2134" spans="1:16" ht="15.5" outlineLevel="1" x14ac:dyDescent="0.25">
      <c r="A2134" s="1489">
        <f t="shared" si="288"/>
        <v>21</v>
      </c>
      <c r="B2134" s="1490" t="str">
        <f t="shared" si="288"/>
        <v>Improvement in Electrical Systems</v>
      </c>
      <c r="C2134" s="1477" t="str">
        <f t="shared" si="288"/>
        <v>MERC/CAPEX/20162017/00192</v>
      </c>
      <c r="D2134" s="1479">
        <f t="shared" si="288"/>
        <v>42500</v>
      </c>
      <c r="E2134" s="1383">
        <f t="shared" si="288"/>
        <v>10.499999999999998</v>
      </c>
      <c r="F2134" s="1480">
        <f t="shared" si="279"/>
        <v>0</v>
      </c>
      <c r="G2134" s="1480">
        <f t="shared" si="280"/>
        <v>0</v>
      </c>
      <c r="H2134" s="1480">
        <f t="shared" si="283"/>
        <v>0</v>
      </c>
      <c r="I2134" s="1480">
        <v>0</v>
      </c>
      <c r="J2134" s="1480">
        <v>0</v>
      </c>
      <c r="K2134" s="1480"/>
      <c r="L2134" s="1480"/>
      <c r="M2134" s="1480">
        <f t="shared" si="284"/>
        <v>0</v>
      </c>
      <c r="N2134" s="1480">
        <f t="shared" si="285"/>
        <v>0</v>
      </c>
      <c r="O2134" s="1481">
        <f t="shared" si="281"/>
        <v>0</v>
      </c>
      <c r="P2134" s="1427">
        <f t="shared" si="282"/>
        <v>0</v>
      </c>
    </row>
    <row r="2135" spans="1:16" ht="31" outlineLevel="1" x14ac:dyDescent="0.25">
      <c r="A2135" s="1484">
        <f t="shared" si="288"/>
        <v>21.1</v>
      </c>
      <c r="B2135" s="1485" t="str">
        <f t="shared" si="288"/>
        <v>Station Battery set 1 &amp; 2 of 220V, 2190  AH Capacity (2V X 110 Cells) New type Make- Exide</v>
      </c>
      <c r="C2135" s="1482" t="str">
        <f t="shared" si="288"/>
        <v>MERC/CAPEX/20162017/00192</v>
      </c>
      <c r="D2135" s="1390">
        <f t="shared" si="288"/>
        <v>42500</v>
      </c>
      <c r="E2135" s="560">
        <f t="shared" si="288"/>
        <v>2.71</v>
      </c>
      <c r="F2135" s="1508">
        <f t="shared" si="279"/>
        <v>3.7130741999999999</v>
      </c>
      <c r="G2135" s="1508">
        <f t="shared" si="280"/>
        <v>3.7130741</v>
      </c>
      <c r="H2135" s="1508">
        <f t="shared" si="283"/>
        <v>9.9999999836342113E-8</v>
      </c>
      <c r="I2135" s="1480">
        <v>0</v>
      </c>
      <c r="J2135" s="1480">
        <v>0</v>
      </c>
      <c r="K2135" s="1508"/>
      <c r="L2135" s="1508"/>
      <c r="M2135" s="1509">
        <f t="shared" si="284"/>
        <v>0</v>
      </c>
      <c r="N2135" s="1508">
        <f t="shared" si="285"/>
        <v>9.9999999836342113E-8</v>
      </c>
      <c r="O2135" s="1481">
        <f t="shared" si="281"/>
        <v>0</v>
      </c>
      <c r="P2135" s="1427">
        <f t="shared" si="282"/>
        <v>0</v>
      </c>
    </row>
    <row r="2136" spans="1:16" ht="31" outlineLevel="1" x14ac:dyDescent="0.25">
      <c r="A2136" s="1484">
        <f t="shared" si="288"/>
        <v>21.2</v>
      </c>
      <c r="B2136" s="1485" t="str">
        <f t="shared" si="288"/>
        <v>The G1 &amp; G2 Battery sets of 24V, 1825AH Capacity (13 Nos. cells X 2= 26 Nos. cells) plantetype Make- Exide</v>
      </c>
      <c r="C2136" s="1482" t="str">
        <f t="shared" si="288"/>
        <v>MERC/CAPEX/20162017/00192</v>
      </c>
      <c r="D2136" s="1390">
        <f t="shared" si="288"/>
        <v>42500</v>
      </c>
      <c r="E2136" s="560">
        <f t="shared" si="288"/>
        <v>0.55000000000000004</v>
      </c>
      <c r="F2136" s="1508">
        <f t="shared" si="279"/>
        <v>0.53016459999999999</v>
      </c>
      <c r="G2136" s="1508">
        <f t="shared" si="280"/>
        <v>0.53016459999999999</v>
      </c>
      <c r="H2136" s="1508">
        <f t="shared" si="283"/>
        <v>0</v>
      </c>
      <c r="I2136" s="1480">
        <v>0</v>
      </c>
      <c r="J2136" s="1480">
        <v>0</v>
      </c>
      <c r="K2136" s="1508"/>
      <c r="L2136" s="1508"/>
      <c r="M2136" s="1509">
        <f t="shared" si="284"/>
        <v>0</v>
      </c>
      <c r="N2136" s="1508">
        <f t="shared" si="285"/>
        <v>0</v>
      </c>
      <c r="O2136" s="1481">
        <f t="shared" si="281"/>
        <v>0</v>
      </c>
      <c r="P2136" s="1427">
        <f t="shared" si="282"/>
        <v>0</v>
      </c>
    </row>
    <row r="2137" spans="1:16" ht="31" outlineLevel="1" x14ac:dyDescent="0.25">
      <c r="A2137" s="1484">
        <f t="shared" si="288"/>
        <v>21.3</v>
      </c>
      <c r="B2137" s="1485" t="str">
        <f t="shared" si="288"/>
        <v>Replacement of 6.6 KV HT breakers at Ash Handling Plant by 6.6 KV SF6 contactors  suitable for frequent ON/OFFs.</v>
      </c>
      <c r="C2137" s="1482" t="str">
        <f t="shared" si="288"/>
        <v>MERC/CAPEX/20162017/00192</v>
      </c>
      <c r="D2137" s="1390">
        <f t="shared" si="288"/>
        <v>42500</v>
      </c>
      <c r="E2137" s="560">
        <f t="shared" si="288"/>
        <v>3.12</v>
      </c>
      <c r="F2137" s="1508">
        <f t="shared" si="279"/>
        <v>3.5539240080000001</v>
      </c>
      <c r="G2137" s="1508">
        <f t="shared" si="280"/>
        <v>3.5539240080000001</v>
      </c>
      <c r="H2137" s="1508">
        <f t="shared" si="283"/>
        <v>0</v>
      </c>
      <c r="I2137" s="1480">
        <v>0</v>
      </c>
      <c r="J2137" s="1480">
        <v>0</v>
      </c>
      <c r="K2137" s="1508"/>
      <c r="L2137" s="1508"/>
      <c r="M2137" s="1509">
        <f t="shared" si="284"/>
        <v>0</v>
      </c>
      <c r="N2137" s="1508">
        <f t="shared" si="285"/>
        <v>0</v>
      </c>
      <c r="O2137" s="1481">
        <f t="shared" si="281"/>
        <v>0</v>
      </c>
      <c r="P2137" s="1427">
        <f t="shared" si="282"/>
        <v>0</v>
      </c>
    </row>
    <row r="2138" spans="1:16" ht="15.5" outlineLevel="1" x14ac:dyDescent="0.25">
      <c r="A2138" s="1484">
        <f t="shared" si="288"/>
        <v>21.4</v>
      </c>
      <c r="B2138" s="1485" t="str">
        <f t="shared" si="288"/>
        <v>Micro-processor based flame scanners at Unit#3&amp;4 (210 MW)</v>
      </c>
      <c r="C2138" s="1482" t="str">
        <f t="shared" si="288"/>
        <v>MERC/CAPEX/20162017/00192</v>
      </c>
      <c r="D2138" s="1390">
        <f t="shared" si="288"/>
        <v>42500</v>
      </c>
      <c r="E2138" s="560">
        <f t="shared" si="288"/>
        <v>2.34</v>
      </c>
      <c r="F2138" s="1508">
        <f t="shared" si="279"/>
        <v>3.3241367359999998</v>
      </c>
      <c r="G2138" s="1508">
        <f t="shared" si="280"/>
        <v>3.3241367359999998</v>
      </c>
      <c r="H2138" s="1508">
        <f t="shared" si="283"/>
        <v>0</v>
      </c>
      <c r="I2138" s="1480">
        <v>0</v>
      </c>
      <c r="J2138" s="1480">
        <v>0</v>
      </c>
      <c r="K2138" s="1508"/>
      <c r="L2138" s="1508"/>
      <c r="M2138" s="1509">
        <f t="shared" si="284"/>
        <v>0</v>
      </c>
      <c r="N2138" s="1508">
        <f t="shared" si="285"/>
        <v>0</v>
      </c>
      <c r="O2138" s="1481">
        <f t="shared" si="281"/>
        <v>0</v>
      </c>
      <c r="P2138" s="1427">
        <f t="shared" si="282"/>
        <v>0</v>
      </c>
    </row>
    <row r="2139" spans="1:16" ht="46.5" outlineLevel="1" x14ac:dyDescent="0.25">
      <c r="A2139" s="1484">
        <f t="shared" si="288"/>
        <v>21.5</v>
      </c>
      <c r="B2139" s="1485" t="str">
        <f t="shared" si="288"/>
        <v>Supply, erection and commissioning of Generator Protection scheme as per enclosed material schedule and scope of work for Unit-6</v>
      </c>
      <c r="C2139" s="1482" t="str">
        <f t="shared" si="288"/>
        <v>MERC/CAPEX/20162017/00192</v>
      </c>
      <c r="D2139" s="1390">
        <f t="shared" si="288"/>
        <v>42500</v>
      </c>
      <c r="E2139" s="560">
        <f t="shared" si="288"/>
        <v>1.03</v>
      </c>
      <c r="F2139" s="1508">
        <f t="shared" si="279"/>
        <v>1.1915800000000001</v>
      </c>
      <c r="G2139" s="1508">
        <f t="shared" si="280"/>
        <v>1.1915800000000001</v>
      </c>
      <c r="H2139" s="1508">
        <f t="shared" si="283"/>
        <v>0</v>
      </c>
      <c r="I2139" s="1480">
        <v>0</v>
      </c>
      <c r="J2139" s="1480">
        <v>0</v>
      </c>
      <c r="K2139" s="1508"/>
      <c r="L2139" s="1508"/>
      <c r="M2139" s="1509">
        <f t="shared" si="284"/>
        <v>0</v>
      </c>
      <c r="N2139" s="1508">
        <f t="shared" si="285"/>
        <v>0</v>
      </c>
      <c r="O2139" s="1481">
        <f t="shared" si="281"/>
        <v>0</v>
      </c>
      <c r="P2139" s="1427">
        <f t="shared" si="282"/>
        <v>0</v>
      </c>
    </row>
    <row r="2140" spans="1:16" ht="15.5" outlineLevel="1" x14ac:dyDescent="0.25">
      <c r="A2140" s="1484">
        <f t="shared" si="288"/>
        <v>0</v>
      </c>
      <c r="B2140" s="1485" t="str">
        <f t="shared" si="288"/>
        <v>IDC</v>
      </c>
      <c r="C2140" s="1482" t="str">
        <f t="shared" si="288"/>
        <v>MERC/CAPEX/20162017/00192</v>
      </c>
      <c r="D2140" s="1390">
        <f t="shared" si="288"/>
        <v>42500</v>
      </c>
      <c r="E2140" s="560">
        <f t="shared" si="288"/>
        <v>0.75</v>
      </c>
      <c r="F2140" s="1508">
        <f t="shared" si="279"/>
        <v>0</v>
      </c>
      <c r="G2140" s="1508">
        <f t="shared" si="280"/>
        <v>0</v>
      </c>
      <c r="H2140" s="1508">
        <f t="shared" si="283"/>
        <v>0</v>
      </c>
      <c r="I2140" s="1480">
        <v>0</v>
      </c>
      <c r="J2140" s="1480">
        <v>0</v>
      </c>
      <c r="K2140" s="1508"/>
      <c r="L2140" s="1508"/>
      <c r="M2140" s="1509">
        <f t="shared" si="284"/>
        <v>0</v>
      </c>
      <c r="N2140" s="1508">
        <f t="shared" si="285"/>
        <v>0</v>
      </c>
      <c r="O2140" s="1481">
        <f t="shared" si="281"/>
        <v>0</v>
      </c>
      <c r="P2140" s="1427">
        <f t="shared" si="282"/>
        <v>0</v>
      </c>
    </row>
    <row r="2141" spans="1:16" ht="31" outlineLevel="1" x14ac:dyDescent="0.25">
      <c r="A2141" s="1489">
        <f t="shared" si="288"/>
        <v>22</v>
      </c>
      <c r="B2141" s="1490" t="str">
        <f t="shared" si="288"/>
        <v>Implementation of MPCB related ESP performance Improvement schemes at Chandrapur STPS Unit 3 to 7</v>
      </c>
      <c r="C2141" s="1486" t="str">
        <f t="shared" si="288"/>
        <v>MERC/CAPEX/20152016/00420</v>
      </c>
      <c r="D2141" s="1487">
        <f t="shared" si="288"/>
        <v>42584</v>
      </c>
      <c r="E2141" s="1383">
        <f t="shared" si="288"/>
        <v>18.170000000000002</v>
      </c>
      <c r="F2141" s="1480">
        <f t="shared" si="279"/>
        <v>0</v>
      </c>
      <c r="G2141" s="1480">
        <f t="shared" si="280"/>
        <v>0</v>
      </c>
      <c r="H2141" s="1480">
        <f t="shared" si="283"/>
        <v>0</v>
      </c>
      <c r="I2141" s="1480">
        <v>0</v>
      </c>
      <c r="J2141" s="1480">
        <v>0</v>
      </c>
      <c r="K2141" s="1480"/>
      <c r="L2141" s="1480"/>
      <c r="M2141" s="1480">
        <f t="shared" si="284"/>
        <v>0</v>
      </c>
      <c r="N2141" s="1480">
        <f t="shared" si="285"/>
        <v>0</v>
      </c>
      <c r="O2141" s="1481">
        <f t="shared" si="281"/>
        <v>0</v>
      </c>
      <c r="P2141" s="1427">
        <f t="shared" si="282"/>
        <v>0</v>
      </c>
    </row>
    <row r="2142" spans="1:16" ht="31" outlineLevel="1" x14ac:dyDescent="0.25">
      <c r="A2142" s="1484">
        <f t="shared" si="288"/>
        <v>22.1</v>
      </c>
      <c r="B2142" s="1485" t="str">
        <f t="shared" si="288"/>
        <v>Supply of internals of ESP. ( model-2FAA-5 X 32-13290-2) 1st &amp; 2nd fields in Unit #3 &amp; Works</v>
      </c>
      <c r="C2142" s="1488" t="str">
        <f t="shared" si="288"/>
        <v>MERC/CAPEX/20152016/00420</v>
      </c>
      <c r="D2142" s="1413">
        <f t="shared" si="288"/>
        <v>42584</v>
      </c>
      <c r="E2142" s="560">
        <f t="shared" si="288"/>
        <v>4.6100000000000003</v>
      </c>
      <c r="F2142" s="1508">
        <f t="shared" si="279"/>
        <v>3.9121787139999999</v>
      </c>
      <c r="G2142" s="1508">
        <f t="shared" si="280"/>
        <v>3.9121787139999999</v>
      </c>
      <c r="H2142" s="1508">
        <f t="shared" si="283"/>
        <v>0</v>
      </c>
      <c r="I2142" s="1480">
        <v>0</v>
      </c>
      <c r="J2142" s="1480">
        <v>0</v>
      </c>
      <c r="K2142" s="1508"/>
      <c r="L2142" s="1508"/>
      <c r="M2142" s="1509">
        <f t="shared" si="284"/>
        <v>0</v>
      </c>
      <c r="N2142" s="1508">
        <f t="shared" si="285"/>
        <v>0</v>
      </c>
      <c r="O2142" s="1481">
        <f t="shared" si="281"/>
        <v>0</v>
      </c>
      <c r="P2142" s="1427">
        <f t="shared" si="282"/>
        <v>0</v>
      </c>
    </row>
    <row r="2143" spans="1:16" ht="31" outlineLevel="1" x14ac:dyDescent="0.25">
      <c r="A2143" s="1484">
        <f t="shared" si="288"/>
        <v>22.2</v>
      </c>
      <c r="B2143" s="1485" t="str">
        <f t="shared" si="288"/>
        <v>Supply of internals of ESP. ( model-2FAA-5 X 32-13290-2) 1st &amp; 2nd fields in Unit #4 &amp; Works</v>
      </c>
      <c r="C2143" s="1488" t="str">
        <f t="shared" si="288"/>
        <v>MERC/CAPEX/20152016/00420</v>
      </c>
      <c r="D2143" s="1413">
        <f t="shared" si="288"/>
        <v>42584</v>
      </c>
      <c r="E2143" s="560">
        <f t="shared" si="288"/>
        <v>4.6100000000000003</v>
      </c>
      <c r="F2143" s="1508">
        <f t="shared" si="279"/>
        <v>0</v>
      </c>
      <c r="G2143" s="1508">
        <f t="shared" si="280"/>
        <v>0</v>
      </c>
      <c r="H2143" s="1508">
        <f t="shared" si="283"/>
        <v>0</v>
      </c>
      <c r="I2143" s="1480">
        <v>4.6100000000000003</v>
      </c>
      <c r="J2143" s="1480">
        <v>4.6100000000000003</v>
      </c>
      <c r="K2143" s="1508"/>
      <c r="L2143" s="1508"/>
      <c r="M2143" s="1509">
        <f t="shared" si="284"/>
        <v>4.6100000000000003</v>
      </c>
      <c r="N2143" s="1508">
        <f t="shared" si="285"/>
        <v>0</v>
      </c>
      <c r="O2143" s="1481">
        <f t="shared" si="281"/>
        <v>4.6100000000000003</v>
      </c>
      <c r="P2143" s="1427">
        <f t="shared" si="282"/>
        <v>0</v>
      </c>
    </row>
    <row r="2144" spans="1:16" ht="31" outlineLevel="1" x14ac:dyDescent="0.25">
      <c r="A2144" s="1484">
        <f t="shared" si="288"/>
        <v>22.3</v>
      </c>
      <c r="B2144" s="1485" t="str">
        <f t="shared" si="288"/>
        <v>Installation of SOx/ NOx analyzers for unit-3 to 7 along with all required hardware and software (Statutory requirement).</v>
      </c>
      <c r="C2144" s="1482" t="str">
        <f t="shared" si="288"/>
        <v>MERC/CAPEX/20152016/00420</v>
      </c>
      <c r="D2144" s="1390">
        <f t="shared" si="288"/>
        <v>42584</v>
      </c>
      <c r="E2144" s="560">
        <f t="shared" si="288"/>
        <v>2.98</v>
      </c>
      <c r="F2144" s="1508">
        <f t="shared" si="279"/>
        <v>1.37732225</v>
      </c>
      <c r="G2144" s="1508">
        <f t="shared" si="280"/>
        <v>1.37732225</v>
      </c>
      <c r="H2144" s="1508">
        <f t="shared" si="283"/>
        <v>0</v>
      </c>
      <c r="I2144" s="1480">
        <v>0</v>
      </c>
      <c r="J2144" s="1480">
        <v>0</v>
      </c>
      <c r="K2144" s="1508"/>
      <c r="L2144" s="1508"/>
      <c r="M2144" s="1509">
        <f t="shared" si="284"/>
        <v>0</v>
      </c>
      <c r="N2144" s="1508">
        <f t="shared" si="285"/>
        <v>0</v>
      </c>
      <c r="O2144" s="1481">
        <f t="shared" si="281"/>
        <v>0</v>
      </c>
      <c r="P2144" s="1427">
        <f t="shared" si="282"/>
        <v>0</v>
      </c>
    </row>
    <row r="2145" spans="1:16" ht="62" outlineLevel="1" x14ac:dyDescent="0.25">
      <c r="A2145" s="1484">
        <f t="shared" si="288"/>
        <v>22.4</v>
      </c>
      <c r="B2145" s="1485" t="str">
        <f t="shared" si="288"/>
        <v>Design, Engineering, Supply, Erection and Commissioning of High pressure MIST/FOG Generating System at Track hopper, WT 1 &amp; 2 of 500MW, Crusher House, Transfer Points &amp; Bunker house of 500MW</v>
      </c>
      <c r="C2145" s="1488" t="str">
        <f t="shared" si="288"/>
        <v>MERC/CAPEX/20152016/00420</v>
      </c>
      <c r="D2145" s="1413">
        <f t="shared" si="288"/>
        <v>42584</v>
      </c>
      <c r="E2145" s="560">
        <f t="shared" si="288"/>
        <v>5.37</v>
      </c>
      <c r="F2145" s="1508">
        <f t="shared" si="279"/>
        <v>4.5728099999999996</v>
      </c>
      <c r="G2145" s="1508">
        <f t="shared" si="280"/>
        <v>4.5728099999999996</v>
      </c>
      <c r="H2145" s="1508">
        <f t="shared" si="283"/>
        <v>0</v>
      </c>
      <c r="I2145" s="1480">
        <v>0</v>
      </c>
      <c r="J2145" s="1480">
        <v>0</v>
      </c>
      <c r="K2145" s="1508"/>
      <c r="L2145" s="1508"/>
      <c r="M2145" s="1509">
        <f t="shared" si="284"/>
        <v>0</v>
      </c>
      <c r="N2145" s="1508">
        <f t="shared" si="285"/>
        <v>0</v>
      </c>
      <c r="O2145" s="1481">
        <f t="shared" si="281"/>
        <v>0</v>
      </c>
      <c r="P2145" s="1427">
        <f t="shared" si="282"/>
        <v>0</v>
      </c>
    </row>
    <row r="2146" spans="1:16" ht="15.5" outlineLevel="1" x14ac:dyDescent="0.25">
      <c r="A2146" s="1484">
        <f t="shared" si="288"/>
        <v>0</v>
      </c>
      <c r="B2146" s="1485" t="str">
        <f t="shared" si="288"/>
        <v>IDC</v>
      </c>
      <c r="C2146" s="1482" t="str">
        <f t="shared" si="288"/>
        <v>MERC/CAPEX/20152016/00420</v>
      </c>
      <c r="D2146" s="1390">
        <f t="shared" si="288"/>
        <v>42584</v>
      </c>
      <c r="E2146" s="560">
        <f t="shared" si="288"/>
        <v>0.6</v>
      </c>
      <c r="F2146" s="1508">
        <f t="shared" si="279"/>
        <v>0</v>
      </c>
      <c r="G2146" s="1508">
        <f t="shared" si="280"/>
        <v>0</v>
      </c>
      <c r="H2146" s="1508">
        <f t="shared" si="283"/>
        <v>0</v>
      </c>
      <c r="I2146" s="1480">
        <v>0</v>
      </c>
      <c r="J2146" s="1480">
        <v>0</v>
      </c>
      <c r="K2146" s="1508"/>
      <c r="L2146" s="1508"/>
      <c r="M2146" s="1509">
        <f t="shared" si="284"/>
        <v>0</v>
      </c>
      <c r="N2146" s="1508">
        <f t="shared" si="285"/>
        <v>0</v>
      </c>
      <c r="O2146" s="1481">
        <f t="shared" si="281"/>
        <v>0</v>
      </c>
      <c r="P2146" s="1427">
        <f t="shared" si="282"/>
        <v>0</v>
      </c>
    </row>
    <row r="2147" spans="1:16" ht="15.5" outlineLevel="1" x14ac:dyDescent="0.25">
      <c r="A2147" s="1477">
        <f t="shared" si="288"/>
        <v>23</v>
      </c>
      <c r="B2147" s="1478" t="str">
        <f t="shared" si="288"/>
        <v>Performance Improvement &amp; Life enhancement of 500MW CHP-B</v>
      </c>
      <c r="C2147" s="1477" t="str">
        <f t="shared" si="288"/>
        <v>MERC/CAPEX/20162017/01067</v>
      </c>
      <c r="D2147" s="1479">
        <f t="shared" si="288"/>
        <v>42702</v>
      </c>
      <c r="E2147" s="1383">
        <f t="shared" si="288"/>
        <v>18.78</v>
      </c>
      <c r="F2147" s="1480">
        <f t="shared" si="279"/>
        <v>0</v>
      </c>
      <c r="G2147" s="1480">
        <f t="shared" si="280"/>
        <v>0</v>
      </c>
      <c r="H2147" s="1480">
        <f t="shared" si="283"/>
        <v>0</v>
      </c>
      <c r="I2147" s="1480">
        <v>0</v>
      </c>
      <c r="J2147" s="1480">
        <v>0</v>
      </c>
      <c r="K2147" s="1480"/>
      <c r="L2147" s="1480"/>
      <c r="M2147" s="1480">
        <f t="shared" si="284"/>
        <v>0</v>
      </c>
      <c r="N2147" s="1480">
        <f t="shared" si="285"/>
        <v>0</v>
      </c>
      <c r="O2147" s="1481">
        <f t="shared" si="281"/>
        <v>0</v>
      </c>
      <c r="P2147" s="1427">
        <f t="shared" si="282"/>
        <v>0</v>
      </c>
    </row>
    <row r="2148" spans="1:16" ht="15.5" outlineLevel="1" x14ac:dyDescent="0.25">
      <c r="A2148" s="1482">
        <f t="shared" ref="A2148:E2163" si="289">A1478</f>
        <v>23.1</v>
      </c>
      <c r="B2148" s="1483" t="str">
        <f t="shared" si="289"/>
        <v>Life Enhancement of Stacker reclaimer of CHP-B.</v>
      </c>
      <c r="C2148" s="1482" t="str">
        <f t="shared" si="289"/>
        <v>MERC/CAPEX/20162017/01067</v>
      </c>
      <c r="D2148" s="1390">
        <f t="shared" si="289"/>
        <v>42702</v>
      </c>
      <c r="E2148" s="560">
        <f t="shared" si="289"/>
        <v>5.76</v>
      </c>
      <c r="F2148" s="1508">
        <f t="shared" ref="F2148:F2211" si="290">F1478+I1478</f>
        <v>5.2949505139999999</v>
      </c>
      <c r="G2148" s="1508">
        <f t="shared" ref="G2148:G2211" si="291">G1478+M1478</f>
        <v>5.2949505139999999</v>
      </c>
      <c r="H2148" s="1508">
        <f t="shared" si="283"/>
        <v>0</v>
      </c>
      <c r="I2148" s="1480">
        <v>0</v>
      </c>
      <c r="J2148" s="1480">
        <v>0</v>
      </c>
      <c r="K2148" s="1508"/>
      <c r="L2148" s="1508"/>
      <c r="M2148" s="1509">
        <f t="shared" si="284"/>
        <v>0</v>
      </c>
      <c r="N2148" s="1508">
        <f t="shared" si="285"/>
        <v>0</v>
      </c>
      <c r="O2148" s="1481">
        <f t="shared" ref="O2148:O2211" si="292">MAX(0,IF(M2148=0,0,IF(G2148+M2148&lt;E2148,M2148,E2148-G2148)))</f>
        <v>0</v>
      </c>
      <c r="P2148" s="1427">
        <f t="shared" ref="P2148:P2211" si="293">M2148-O2148</f>
        <v>0</v>
      </c>
    </row>
    <row r="2149" spans="1:16" ht="31" outlineLevel="1" x14ac:dyDescent="0.25">
      <c r="A2149" s="1482">
        <f t="shared" si="289"/>
        <v>23.2</v>
      </c>
      <c r="B2149" s="1483" t="str">
        <f t="shared" si="289"/>
        <v>Renovation including replacement of hydraulic system of paddle feeder with up gradations at CHPB.</v>
      </c>
      <c r="C2149" s="1482" t="str">
        <f t="shared" si="289"/>
        <v>MERC/CAPEX/20162017/01067</v>
      </c>
      <c r="D2149" s="1390">
        <f t="shared" si="289"/>
        <v>42702</v>
      </c>
      <c r="E2149" s="560">
        <f t="shared" si="289"/>
        <v>2.19</v>
      </c>
      <c r="F2149" s="1508">
        <f t="shared" si="290"/>
        <v>2.3147547999999998</v>
      </c>
      <c r="G2149" s="1508">
        <f t="shared" si="291"/>
        <v>2.3147547999999998</v>
      </c>
      <c r="H2149" s="1508">
        <f t="shared" ref="H2149:H2204" si="294">F2149-G2149</f>
        <v>0</v>
      </c>
      <c r="I2149" s="1480">
        <v>0</v>
      </c>
      <c r="J2149" s="1480">
        <v>0</v>
      </c>
      <c r="K2149" s="1508"/>
      <c r="L2149" s="1508"/>
      <c r="M2149" s="1509">
        <f t="shared" ref="M2149:M2204" si="295">SUM(J2149:L2149)</f>
        <v>0</v>
      </c>
      <c r="N2149" s="1508">
        <f t="shared" ref="N2149:N2204" si="296">H2149+I2149-M2149</f>
        <v>0</v>
      </c>
      <c r="O2149" s="1481">
        <f t="shared" si="292"/>
        <v>0</v>
      </c>
      <c r="P2149" s="1427">
        <f t="shared" si="293"/>
        <v>0</v>
      </c>
    </row>
    <row r="2150" spans="1:16" ht="31" outlineLevel="1" x14ac:dyDescent="0.25">
      <c r="A2150" s="1482">
        <f t="shared" si="289"/>
        <v>23.3</v>
      </c>
      <c r="B2150" s="1483" t="str">
        <f t="shared" si="289"/>
        <v>Renovation of hydraulic system of wagon tippler and side arm charger with procurement of its essential spares at CHPB.</v>
      </c>
      <c r="C2150" s="1482" t="str">
        <f t="shared" si="289"/>
        <v>MERC/CAPEX/20162017/01067</v>
      </c>
      <c r="D2150" s="1390">
        <f t="shared" si="289"/>
        <v>42702</v>
      </c>
      <c r="E2150" s="560">
        <f t="shared" si="289"/>
        <v>10.33</v>
      </c>
      <c r="F2150" s="1508">
        <f t="shared" si="290"/>
        <v>11.7941</v>
      </c>
      <c r="G2150" s="1508">
        <f t="shared" si="291"/>
        <v>11.7941</v>
      </c>
      <c r="H2150" s="1508">
        <f t="shared" si="294"/>
        <v>0</v>
      </c>
      <c r="I2150" s="1480">
        <v>0</v>
      </c>
      <c r="J2150" s="1480">
        <v>0</v>
      </c>
      <c r="K2150" s="1508"/>
      <c r="L2150" s="1508"/>
      <c r="M2150" s="1509">
        <f t="shared" si="295"/>
        <v>0</v>
      </c>
      <c r="N2150" s="1508">
        <f t="shared" si="296"/>
        <v>0</v>
      </c>
      <c r="O2150" s="1481">
        <f t="shared" si="292"/>
        <v>0</v>
      </c>
      <c r="P2150" s="1427">
        <f t="shared" si="293"/>
        <v>0</v>
      </c>
    </row>
    <row r="2151" spans="1:16" ht="15.5" outlineLevel="1" x14ac:dyDescent="0.25">
      <c r="A2151" s="1482">
        <f t="shared" si="289"/>
        <v>0</v>
      </c>
      <c r="B2151" s="1483" t="str">
        <f t="shared" si="289"/>
        <v>IDC</v>
      </c>
      <c r="C2151" s="1482" t="str">
        <f t="shared" si="289"/>
        <v>MERC/CAPEX/20162017/01067</v>
      </c>
      <c r="D2151" s="1390">
        <f t="shared" si="289"/>
        <v>42702</v>
      </c>
      <c r="E2151" s="560">
        <f t="shared" si="289"/>
        <v>0.5</v>
      </c>
      <c r="F2151" s="1508">
        <f t="shared" si="290"/>
        <v>0</v>
      </c>
      <c r="G2151" s="1508">
        <f t="shared" si="291"/>
        <v>0</v>
      </c>
      <c r="H2151" s="1508">
        <f t="shared" si="294"/>
        <v>0</v>
      </c>
      <c r="I2151" s="1480">
        <v>0</v>
      </c>
      <c r="J2151" s="1480">
        <v>0</v>
      </c>
      <c r="K2151" s="1508"/>
      <c r="L2151" s="1508"/>
      <c r="M2151" s="1509">
        <f t="shared" si="295"/>
        <v>0</v>
      </c>
      <c r="N2151" s="1508">
        <f t="shared" si="296"/>
        <v>0</v>
      </c>
      <c r="O2151" s="1481">
        <f t="shared" si="292"/>
        <v>0</v>
      </c>
      <c r="P2151" s="1427">
        <f t="shared" si="293"/>
        <v>0</v>
      </c>
    </row>
    <row r="2152" spans="1:16" ht="31" outlineLevel="1" x14ac:dyDescent="0.25">
      <c r="A2152" s="1477">
        <f t="shared" si="289"/>
        <v>24</v>
      </c>
      <c r="B2152" s="1478" t="str">
        <f t="shared" si="289"/>
        <v>Retrofitting of existing circuit breakers at Chandrapur STPS Unit-3, 4, 5, 6 and ODP-II</v>
      </c>
      <c r="C2152" s="1477" t="str">
        <f t="shared" si="289"/>
        <v>MERC/CAPEX/20162017/01475</v>
      </c>
      <c r="D2152" s="1479">
        <f t="shared" si="289"/>
        <v>42772</v>
      </c>
      <c r="E2152" s="1383">
        <f t="shared" si="289"/>
        <v>13.700000000000001</v>
      </c>
      <c r="F2152" s="1480">
        <f t="shared" si="290"/>
        <v>0</v>
      </c>
      <c r="G2152" s="1480">
        <f t="shared" si="291"/>
        <v>0</v>
      </c>
      <c r="H2152" s="1480">
        <f t="shared" si="294"/>
        <v>0</v>
      </c>
      <c r="I2152" s="1480">
        <v>0</v>
      </c>
      <c r="J2152" s="1480">
        <v>0</v>
      </c>
      <c r="K2152" s="1480"/>
      <c r="L2152" s="1480"/>
      <c r="M2152" s="1480">
        <f t="shared" si="295"/>
        <v>0</v>
      </c>
      <c r="N2152" s="1480">
        <f t="shared" si="296"/>
        <v>0</v>
      </c>
      <c r="O2152" s="1481">
        <f t="shared" si="292"/>
        <v>0</v>
      </c>
      <c r="P2152" s="1427">
        <f t="shared" si="293"/>
        <v>0</v>
      </c>
    </row>
    <row r="2153" spans="1:16" ht="31" outlineLevel="1" x14ac:dyDescent="0.25">
      <c r="A2153" s="1482">
        <f t="shared" si="289"/>
        <v>24.1</v>
      </c>
      <c r="B2153" s="1483" t="str">
        <f t="shared" si="289"/>
        <v>Retrofitting of existing Circuit breakers of AHP motor feeders at Unit # 5 &amp; 6</v>
      </c>
      <c r="C2153" s="1482" t="str">
        <f t="shared" si="289"/>
        <v>MERC/CAPEX/20162017/01475</v>
      </c>
      <c r="D2153" s="1390">
        <f t="shared" si="289"/>
        <v>42772</v>
      </c>
      <c r="E2153" s="560">
        <f t="shared" si="289"/>
        <v>3.25</v>
      </c>
      <c r="F2153" s="1508">
        <f t="shared" si="290"/>
        <v>3.8744195499999998</v>
      </c>
      <c r="G2153" s="1508">
        <f t="shared" si="291"/>
        <v>3.8744195500000003</v>
      </c>
      <c r="H2153" s="1508">
        <f t="shared" si="294"/>
        <v>0</v>
      </c>
      <c r="I2153" s="1480">
        <v>0</v>
      </c>
      <c r="J2153" s="1480">
        <v>0</v>
      </c>
      <c r="K2153" s="1508"/>
      <c r="L2153" s="1508"/>
      <c r="M2153" s="1509">
        <f t="shared" si="295"/>
        <v>0</v>
      </c>
      <c r="N2153" s="1508">
        <f t="shared" si="296"/>
        <v>0</v>
      </c>
      <c r="O2153" s="1481">
        <f t="shared" si="292"/>
        <v>0</v>
      </c>
      <c r="P2153" s="1427">
        <f t="shared" si="293"/>
        <v>0</v>
      </c>
    </row>
    <row r="2154" spans="1:16" ht="31" outlineLevel="1" x14ac:dyDescent="0.25">
      <c r="A2154" s="1482">
        <f t="shared" si="289"/>
        <v>24.2</v>
      </c>
      <c r="B2154" s="1483" t="str">
        <f t="shared" si="289"/>
        <v>Retrofitting of existing Circuit breakers installed at Unit Boards at Unit –5  &amp; Aundha Pump House (ODP-II)</v>
      </c>
      <c r="C2154" s="1482" t="str">
        <f t="shared" si="289"/>
        <v>MERC/CAPEX/20162017/01475</v>
      </c>
      <c r="D2154" s="1390">
        <f t="shared" si="289"/>
        <v>42772</v>
      </c>
      <c r="E2154" s="560">
        <f t="shared" si="289"/>
        <v>3.46</v>
      </c>
      <c r="F2154" s="1508">
        <f t="shared" si="290"/>
        <v>3.5522795499999997</v>
      </c>
      <c r="G2154" s="1508">
        <f t="shared" si="291"/>
        <v>3.5522795500000002</v>
      </c>
      <c r="H2154" s="1508">
        <f t="shared" si="294"/>
        <v>0</v>
      </c>
      <c r="I2154" s="1480">
        <v>0</v>
      </c>
      <c r="J2154" s="1480">
        <v>0</v>
      </c>
      <c r="K2154" s="1508"/>
      <c r="L2154" s="1508"/>
      <c r="M2154" s="1509">
        <f t="shared" si="295"/>
        <v>0</v>
      </c>
      <c r="N2154" s="1508">
        <f t="shared" si="296"/>
        <v>0</v>
      </c>
      <c r="O2154" s="1481">
        <f t="shared" si="292"/>
        <v>0</v>
      </c>
      <c r="P2154" s="1427">
        <f t="shared" si="293"/>
        <v>0</v>
      </c>
    </row>
    <row r="2155" spans="1:16" ht="31" outlineLevel="1" x14ac:dyDescent="0.25">
      <c r="A2155" s="1482">
        <f t="shared" si="289"/>
        <v>24.3</v>
      </c>
      <c r="B2155" s="1483" t="str">
        <f t="shared" si="289"/>
        <v xml:space="preserve">Retrofitting of existing Circuit breakers installed at Unit Boards at Unit –3&amp;4 </v>
      </c>
      <c r="C2155" s="1482" t="str">
        <f t="shared" si="289"/>
        <v>MERC/CAPEX/20162017/01475</v>
      </c>
      <c r="D2155" s="1390">
        <f t="shared" si="289"/>
        <v>42772</v>
      </c>
      <c r="E2155" s="560">
        <f t="shared" si="289"/>
        <v>6.19</v>
      </c>
      <c r="F2155" s="1508">
        <f t="shared" si="290"/>
        <v>4.5767479</v>
      </c>
      <c r="G2155" s="1508">
        <f t="shared" si="291"/>
        <v>4.5767479</v>
      </c>
      <c r="H2155" s="1508">
        <f t="shared" si="294"/>
        <v>0</v>
      </c>
      <c r="I2155" s="1480">
        <v>0</v>
      </c>
      <c r="J2155" s="1480">
        <v>0</v>
      </c>
      <c r="K2155" s="1508"/>
      <c r="L2155" s="1508"/>
      <c r="M2155" s="1509">
        <f t="shared" si="295"/>
        <v>0</v>
      </c>
      <c r="N2155" s="1508">
        <f t="shared" si="296"/>
        <v>0</v>
      </c>
      <c r="O2155" s="1481">
        <f t="shared" si="292"/>
        <v>0</v>
      </c>
      <c r="P2155" s="1427">
        <f t="shared" si="293"/>
        <v>0</v>
      </c>
    </row>
    <row r="2156" spans="1:16" ht="15.5" outlineLevel="1" x14ac:dyDescent="0.25">
      <c r="A2156" s="1482">
        <f t="shared" si="289"/>
        <v>0</v>
      </c>
      <c r="B2156" s="1483" t="str">
        <f t="shared" si="289"/>
        <v>IDC</v>
      </c>
      <c r="C2156" s="1482" t="str">
        <f t="shared" si="289"/>
        <v>MERC/CAPEX/20162017/01475</v>
      </c>
      <c r="D2156" s="1390">
        <f t="shared" si="289"/>
        <v>42772</v>
      </c>
      <c r="E2156" s="560">
        <f t="shared" si="289"/>
        <v>0.8</v>
      </c>
      <c r="F2156" s="1508">
        <f t="shared" si="290"/>
        <v>0</v>
      </c>
      <c r="G2156" s="1508">
        <f t="shared" si="291"/>
        <v>0</v>
      </c>
      <c r="H2156" s="1508">
        <f t="shared" si="294"/>
        <v>0</v>
      </c>
      <c r="I2156" s="1480">
        <v>0</v>
      </c>
      <c r="J2156" s="1480">
        <v>0</v>
      </c>
      <c r="K2156" s="1508"/>
      <c r="L2156" s="1508"/>
      <c r="M2156" s="1509">
        <f t="shared" si="295"/>
        <v>0</v>
      </c>
      <c r="N2156" s="1508">
        <f t="shared" si="296"/>
        <v>0</v>
      </c>
      <c r="O2156" s="1481">
        <f t="shared" si="292"/>
        <v>0</v>
      </c>
      <c r="P2156" s="1427">
        <f t="shared" si="293"/>
        <v>0</v>
      </c>
    </row>
    <row r="2157" spans="1:16" ht="31" outlineLevel="1" x14ac:dyDescent="0.25">
      <c r="A2157" s="1489">
        <f t="shared" si="289"/>
        <v>25</v>
      </c>
      <c r="B2157" s="1490" t="str">
        <f t="shared" si="289"/>
        <v>Construction of Quarter Guard, Bachelor Accomodation &amp; Allied Structures in Phase I &amp; II for Induction of CISF Security</v>
      </c>
      <c r="C2157" s="1477" t="str">
        <f t="shared" si="289"/>
        <v>MERC/CAPEX/20162017/01269</v>
      </c>
      <c r="D2157" s="1479">
        <f t="shared" si="289"/>
        <v>42737</v>
      </c>
      <c r="E2157" s="1383">
        <f t="shared" si="289"/>
        <v>14.686</v>
      </c>
      <c r="F2157" s="1480">
        <f t="shared" si="290"/>
        <v>0</v>
      </c>
      <c r="G2157" s="1480">
        <f t="shared" si="291"/>
        <v>0</v>
      </c>
      <c r="H2157" s="1480">
        <f t="shared" si="294"/>
        <v>0</v>
      </c>
      <c r="I2157" s="1480">
        <v>0</v>
      </c>
      <c r="J2157" s="1480">
        <v>0</v>
      </c>
      <c r="K2157" s="1480"/>
      <c r="L2157" s="1480"/>
      <c r="M2157" s="1480">
        <f t="shared" si="295"/>
        <v>0</v>
      </c>
      <c r="N2157" s="1480">
        <f t="shared" si="296"/>
        <v>0</v>
      </c>
      <c r="O2157" s="1481">
        <f t="shared" si="292"/>
        <v>0</v>
      </c>
      <c r="P2157" s="1427">
        <f t="shared" si="293"/>
        <v>0</v>
      </c>
    </row>
    <row r="2158" spans="1:16" ht="31" outlineLevel="1" x14ac:dyDescent="0.25">
      <c r="A2158" s="1484">
        <f t="shared" si="289"/>
        <v>25.1</v>
      </c>
      <c r="B2158" s="1485" t="str">
        <f t="shared" si="289"/>
        <v>Construction of Quarter Guard, Bachelor Accomodation &amp; Allied Structures in Phase I &amp; II for Induction of CISF Security</v>
      </c>
      <c r="C2158" s="1482" t="str">
        <f t="shared" si="289"/>
        <v>MERC/CAPEX/20162017/01269</v>
      </c>
      <c r="D2158" s="1390">
        <f t="shared" si="289"/>
        <v>42737</v>
      </c>
      <c r="E2158" s="560">
        <f t="shared" si="289"/>
        <v>14.686</v>
      </c>
      <c r="F2158" s="1508">
        <f t="shared" si="290"/>
        <v>14.690374417000001</v>
      </c>
      <c r="G2158" s="1508">
        <f t="shared" si="291"/>
        <v>14.690374417000001</v>
      </c>
      <c r="H2158" s="1508">
        <f t="shared" si="294"/>
        <v>0</v>
      </c>
      <c r="I2158" s="1480">
        <v>0</v>
      </c>
      <c r="J2158" s="1480">
        <v>0</v>
      </c>
      <c r="K2158" s="1508"/>
      <c r="L2158" s="1508"/>
      <c r="M2158" s="1509">
        <f t="shared" si="295"/>
        <v>0</v>
      </c>
      <c r="N2158" s="1508">
        <f t="shared" si="296"/>
        <v>0</v>
      </c>
      <c r="O2158" s="1481">
        <f t="shared" si="292"/>
        <v>0</v>
      </c>
      <c r="P2158" s="1427">
        <f t="shared" si="293"/>
        <v>0</v>
      </c>
    </row>
    <row r="2159" spans="1:16" ht="31" outlineLevel="1" x14ac:dyDescent="0.25">
      <c r="A2159" s="1489">
        <f t="shared" si="289"/>
        <v>26</v>
      </c>
      <c r="B2159" s="1490" t="str">
        <f t="shared" si="289"/>
        <v>Pipe Conveyor System for Transporting Coal from Bhatadi Coal Mine to Chandrapur STPS.</v>
      </c>
      <c r="C2159" s="1477" t="str">
        <f t="shared" si="289"/>
        <v>MERC/CAPEX/20172018/4171</v>
      </c>
      <c r="D2159" s="1479">
        <f t="shared" si="289"/>
        <v>42986</v>
      </c>
      <c r="E2159" s="1383">
        <f t="shared" si="289"/>
        <v>196.26</v>
      </c>
      <c r="F2159" s="1480">
        <f t="shared" si="290"/>
        <v>0</v>
      </c>
      <c r="G2159" s="1480">
        <f t="shared" si="291"/>
        <v>0</v>
      </c>
      <c r="H2159" s="1480">
        <f t="shared" si="294"/>
        <v>0</v>
      </c>
      <c r="I2159" s="1480">
        <v>0</v>
      </c>
      <c r="J2159" s="1480">
        <v>0</v>
      </c>
      <c r="K2159" s="1480"/>
      <c r="L2159" s="1480"/>
      <c r="M2159" s="1480">
        <f t="shared" si="295"/>
        <v>0</v>
      </c>
      <c r="N2159" s="1480">
        <f t="shared" si="296"/>
        <v>0</v>
      </c>
      <c r="O2159" s="1481">
        <f t="shared" si="292"/>
        <v>0</v>
      </c>
      <c r="P2159" s="1427">
        <f t="shared" si="293"/>
        <v>0</v>
      </c>
    </row>
    <row r="2160" spans="1:16" ht="31" outlineLevel="1" x14ac:dyDescent="0.25">
      <c r="A2160" s="1484">
        <f t="shared" si="289"/>
        <v>26.1</v>
      </c>
      <c r="B2160" s="1485" t="str">
        <f t="shared" si="289"/>
        <v>Pipe Conveyor System for Transporting Coal from Bhatadi Coal Mine to Chandrapur STPS.</v>
      </c>
      <c r="C2160" s="1482" t="str">
        <f t="shared" si="289"/>
        <v>MERC/CAPEX/20172018/4171</v>
      </c>
      <c r="D2160" s="1390">
        <f t="shared" si="289"/>
        <v>42986</v>
      </c>
      <c r="E2160" s="560">
        <f t="shared" si="289"/>
        <v>196.26</v>
      </c>
      <c r="F2160" s="1508">
        <f t="shared" si="290"/>
        <v>256.81526693500001</v>
      </c>
      <c r="G2160" s="1508">
        <f t="shared" si="291"/>
        <v>256.81526693500001</v>
      </c>
      <c r="H2160" s="1508">
        <f t="shared" si="294"/>
        <v>0</v>
      </c>
      <c r="I2160" s="1480">
        <v>0</v>
      </c>
      <c r="J2160" s="1480">
        <v>0</v>
      </c>
      <c r="K2160" s="1508"/>
      <c r="L2160" s="1508"/>
      <c r="M2160" s="1509">
        <f t="shared" si="295"/>
        <v>0</v>
      </c>
      <c r="N2160" s="1508">
        <f t="shared" si="296"/>
        <v>0</v>
      </c>
      <c r="O2160" s="1481">
        <f t="shared" si="292"/>
        <v>0</v>
      </c>
      <c r="P2160" s="1427">
        <f t="shared" si="293"/>
        <v>0</v>
      </c>
    </row>
    <row r="2161" spans="1:16" ht="31" outlineLevel="1" x14ac:dyDescent="0.25">
      <c r="A2161" s="1477">
        <f t="shared" si="289"/>
        <v>27</v>
      </c>
      <c r="B2161" s="1478" t="str">
        <f t="shared" si="289"/>
        <v>Procurement &amp; replacement of Economizer upper assemblies of Unit-5,6 &amp; hot Reheater coil complete set of Unit-3 of CSTPS</v>
      </c>
      <c r="C2161" s="1477" t="str">
        <f t="shared" si="289"/>
        <v>MERC/CAPEX/20172018/4071</v>
      </c>
      <c r="D2161" s="1479">
        <f t="shared" si="289"/>
        <v>42965</v>
      </c>
      <c r="E2161" s="1403">
        <f t="shared" si="289"/>
        <v>25.27</v>
      </c>
      <c r="F2161" s="1510">
        <f t="shared" si="290"/>
        <v>0</v>
      </c>
      <c r="G2161" s="1510">
        <f t="shared" si="291"/>
        <v>0</v>
      </c>
      <c r="H2161" s="1510">
        <f t="shared" si="294"/>
        <v>0</v>
      </c>
      <c r="I2161" s="1480">
        <v>0</v>
      </c>
      <c r="J2161" s="1480">
        <v>0</v>
      </c>
      <c r="K2161" s="1510"/>
      <c r="L2161" s="1510"/>
      <c r="M2161" s="1510">
        <f t="shared" si="295"/>
        <v>0</v>
      </c>
      <c r="N2161" s="1510">
        <f t="shared" si="296"/>
        <v>0</v>
      </c>
      <c r="O2161" s="1481">
        <f t="shared" si="292"/>
        <v>0</v>
      </c>
      <c r="P2161" s="1427">
        <f t="shared" si="293"/>
        <v>0</v>
      </c>
    </row>
    <row r="2162" spans="1:16" ht="31" outlineLevel="1" x14ac:dyDescent="0.25">
      <c r="A2162" s="1482">
        <f t="shared" si="289"/>
        <v>27.1</v>
      </c>
      <c r="B2162" s="1483" t="str">
        <f t="shared" si="289"/>
        <v>supply &amp; replacement of Economizer Upper Assemblies of unit no.5 &amp; 6</v>
      </c>
      <c r="C2162" s="1482" t="str">
        <f t="shared" si="289"/>
        <v>MERC/CAPEX/20172018/4071</v>
      </c>
      <c r="D2162" s="1390">
        <f t="shared" si="289"/>
        <v>42965</v>
      </c>
      <c r="E2162" s="560">
        <f t="shared" si="289"/>
        <v>18.25</v>
      </c>
      <c r="F2162" s="1508">
        <f t="shared" si="290"/>
        <v>8.2829930689999998</v>
      </c>
      <c r="G2162" s="1508">
        <f t="shared" si="291"/>
        <v>8.2829930689999998</v>
      </c>
      <c r="H2162" s="1508">
        <f t="shared" si="294"/>
        <v>0</v>
      </c>
      <c r="I2162" s="1480">
        <v>0</v>
      </c>
      <c r="J2162" s="1480">
        <v>0</v>
      </c>
      <c r="K2162" s="1508"/>
      <c r="L2162" s="1508"/>
      <c r="M2162" s="1509">
        <f t="shared" si="295"/>
        <v>0</v>
      </c>
      <c r="N2162" s="1508">
        <f t="shared" si="296"/>
        <v>0</v>
      </c>
      <c r="O2162" s="1481">
        <f t="shared" si="292"/>
        <v>0</v>
      </c>
      <c r="P2162" s="1427">
        <f t="shared" si="293"/>
        <v>0</v>
      </c>
    </row>
    <row r="2163" spans="1:16" ht="31" outlineLevel="1" x14ac:dyDescent="0.25">
      <c r="A2163" s="1482">
        <f t="shared" si="289"/>
        <v>27.2</v>
      </c>
      <c r="B2163" s="1483" t="str">
        <f t="shared" si="289"/>
        <v>Supply &amp; replacement of hot reheater coil complete set of Unit-3.</v>
      </c>
      <c r="C2163" s="1482" t="str">
        <f t="shared" si="289"/>
        <v>MERC/CAPEX/20172018/4071</v>
      </c>
      <c r="D2163" s="1390">
        <f t="shared" si="289"/>
        <v>42965</v>
      </c>
      <c r="E2163" s="560">
        <f t="shared" si="289"/>
        <v>6.72</v>
      </c>
      <c r="F2163" s="1508">
        <f t="shared" si="290"/>
        <v>6.0757019999999997</v>
      </c>
      <c r="G2163" s="1508">
        <f t="shared" si="291"/>
        <v>6.0757019999999997</v>
      </c>
      <c r="H2163" s="1508">
        <f t="shared" si="294"/>
        <v>0</v>
      </c>
      <c r="I2163" s="1480">
        <v>0</v>
      </c>
      <c r="J2163" s="1480">
        <v>0</v>
      </c>
      <c r="K2163" s="1508"/>
      <c r="L2163" s="1508"/>
      <c r="M2163" s="1509">
        <f t="shared" si="295"/>
        <v>0</v>
      </c>
      <c r="N2163" s="1508">
        <f t="shared" si="296"/>
        <v>0</v>
      </c>
      <c r="O2163" s="1481">
        <f t="shared" si="292"/>
        <v>0</v>
      </c>
      <c r="P2163" s="1427">
        <f t="shared" si="293"/>
        <v>0</v>
      </c>
    </row>
    <row r="2164" spans="1:16" ht="15.5" outlineLevel="1" x14ac:dyDescent="0.25">
      <c r="A2164" s="1482">
        <f t="shared" ref="A2164:E2179" si="297">A1494</f>
        <v>0</v>
      </c>
      <c r="B2164" s="1483" t="str">
        <f t="shared" si="297"/>
        <v>IDC</v>
      </c>
      <c r="C2164" s="1482" t="str">
        <f t="shared" si="297"/>
        <v>MERC/CAPEX/20172018/4071</v>
      </c>
      <c r="D2164" s="1390">
        <f t="shared" si="297"/>
        <v>42965</v>
      </c>
      <c r="E2164" s="560">
        <f t="shared" si="297"/>
        <v>0.3</v>
      </c>
      <c r="F2164" s="1508">
        <f t="shared" si="290"/>
        <v>0</v>
      </c>
      <c r="G2164" s="1508">
        <f t="shared" si="291"/>
        <v>0</v>
      </c>
      <c r="H2164" s="1508">
        <f t="shared" si="294"/>
        <v>0</v>
      </c>
      <c r="I2164" s="1480">
        <v>0</v>
      </c>
      <c r="J2164" s="1480">
        <v>0</v>
      </c>
      <c r="K2164" s="1508"/>
      <c r="L2164" s="1508"/>
      <c r="M2164" s="1509">
        <f t="shared" si="295"/>
        <v>0</v>
      </c>
      <c r="N2164" s="1508">
        <f t="shared" si="296"/>
        <v>0</v>
      </c>
      <c r="O2164" s="1481">
        <f t="shared" si="292"/>
        <v>0</v>
      </c>
      <c r="P2164" s="1427">
        <f t="shared" si="293"/>
        <v>0</v>
      </c>
    </row>
    <row r="2165" spans="1:16" ht="46.5" outlineLevel="1" x14ac:dyDescent="0.25">
      <c r="A2165" s="1477">
        <f t="shared" si="297"/>
        <v>28</v>
      </c>
      <c r="B2165" s="1478" t="str">
        <f t="shared" si="297"/>
        <v xml:space="preserve">Replacement of H2 Generator with new Hydrogen Generator (Non Asbestos Design), procurement of 3-phase TR sets for stage II &amp; other electrical items for ORC at Chandrapur STPS.” </v>
      </c>
      <c r="C2165" s="1486" t="str">
        <f t="shared" si="297"/>
        <v>MERC/CAPEX/20172018/4686</v>
      </c>
      <c r="D2165" s="1487">
        <f t="shared" si="297"/>
        <v>43054</v>
      </c>
      <c r="E2165" s="1383">
        <f t="shared" si="297"/>
        <v>12.456</v>
      </c>
      <c r="F2165" s="1480">
        <f t="shared" si="290"/>
        <v>0</v>
      </c>
      <c r="G2165" s="1480">
        <f t="shared" si="291"/>
        <v>0</v>
      </c>
      <c r="H2165" s="1480">
        <f t="shared" si="294"/>
        <v>0</v>
      </c>
      <c r="I2165" s="1480">
        <v>0</v>
      </c>
      <c r="J2165" s="1480">
        <v>0</v>
      </c>
      <c r="K2165" s="1480"/>
      <c r="L2165" s="1480"/>
      <c r="M2165" s="1480">
        <f t="shared" si="295"/>
        <v>0</v>
      </c>
      <c r="N2165" s="1480">
        <f t="shared" si="296"/>
        <v>0</v>
      </c>
      <c r="O2165" s="1481">
        <f t="shared" si="292"/>
        <v>0</v>
      </c>
      <c r="P2165" s="1427">
        <f t="shared" si="293"/>
        <v>0</v>
      </c>
    </row>
    <row r="2166" spans="1:16" ht="31" outlineLevel="1" x14ac:dyDescent="0.25">
      <c r="A2166" s="1482">
        <f t="shared" si="297"/>
        <v>28.1</v>
      </c>
      <c r="B2166" s="1483" t="str">
        <f t="shared" si="297"/>
        <v>Supply, Installation &amp; Commissioning of   Hydrogen Generator Model : HMXT 200 (Non Asbestos Design)</v>
      </c>
      <c r="C2166" s="1482" t="str">
        <f t="shared" si="297"/>
        <v>MERC/CAPEX/20172018/4686</v>
      </c>
      <c r="D2166" s="1390">
        <f t="shared" si="297"/>
        <v>43054</v>
      </c>
      <c r="E2166" s="560">
        <f t="shared" si="297"/>
        <v>10.36</v>
      </c>
      <c r="F2166" s="1508">
        <f t="shared" si="290"/>
        <v>11.5757999</v>
      </c>
      <c r="G2166" s="1508">
        <f t="shared" si="291"/>
        <v>11.5757999</v>
      </c>
      <c r="H2166" s="1508">
        <f t="shared" si="294"/>
        <v>0</v>
      </c>
      <c r="I2166" s="1480">
        <v>0</v>
      </c>
      <c r="J2166" s="1480">
        <v>0</v>
      </c>
      <c r="K2166" s="1508"/>
      <c r="L2166" s="1508"/>
      <c r="M2166" s="1509">
        <f t="shared" si="295"/>
        <v>0</v>
      </c>
      <c r="N2166" s="1508">
        <f t="shared" si="296"/>
        <v>0</v>
      </c>
      <c r="O2166" s="1481">
        <f t="shared" si="292"/>
        <v>0</v>
      </c>
      <c r="P2166" s="1427">
        <f t="shared" si="293"/>
        <v>0</v>
      </c>
    </row>
    <row r="2167" spans="1:16" ht="31" outlineLevel="1" x14ac:dyDescent="0.25">
      <c r="A2167" s="1482">
        <f t="shared" si="297"/>
        <v>28.2</v>
      </c>
      <c r="B2167" s="1483" t="str">
        <f t="shared" si="297"/>
        <v>Supply of 3 phase high frequency T-R sets for replacement of T-R sets of ESP Stg-II</v>
      </c>
      <c r="C2167" s="1488" t="str">
        <f t="shared" si="297"/>
        <v>MERC/CAPEX/20172018/4686</v>
      </c>
      <c r="D2167" s="1413">
        <f t="shared" si="297"/>
        <v>43054</v>
      </c>
      <c r="E2167" s="560">
        <f t="shared" si="297"/>
        <v>0.63</v>
      </c>
      <c r="F2167" s="1508">
        <f t="shared" si="290"/>
        <v>0</v>
      </c>
      <c r="G2167" s="1508">
        <f t="shared" si="291"/>
        <v>0</v>
      </c>
      <c r="H2167" s="1508">
        <f t="shared" si="294"/>
        <v>0</v>
      </c>
      <c r="I2167" s="1480">
        <v>0</v>
      </c>
      <c r="J2167" s="1480">
        <v>0</v>
      </c>
      <c r="K2167" s="1508"/>
      <c r="L2167" s="1508"/>
      <c r="M2167" s="1509">
        <f t="shared" si="295"/>
        <v>0</v>
      </c>
      <c r="N2167" s="1508">
        <f t="shared" si="296"/>
        <v>0</v>
      </c>
      <c r="O2167" s="1481">
        <f t="shared" si="292"/>
        <v>0</v>
      </c>
      <c r="P2167" s="1427">
        <f t="shared" si="293"/>
        <v>0</v>
      </c>
    </row>
    <row r="2168" spans="1:16" ht="31" outlineLevel="1" x14ac:dyDescent="0.25">
      <c r="A2168" s="1482">
        <f t="shared" si="297"/>
        <v>28.3</v>
      </c>
      <c r="B2168" s="1483" t="str">
        <f t="shared" si="297"/>
        <v>Replacement of HPSV High Mast Towers by Stadium LED  High Mast at ORC ground CSTPS Chandrapur</v>
      </c>
      <c r="C2168" s="1482" t="str">
        <f t="shared" si="297"/>
        <v>MERC/CAPEX/20172018/4686</v>
      </c>
      <c r="D2168" s="1390">
        <f t="shared" si="297"/>
        <v>43054</v>
      </c>
      <c r="E2168" s="560">
        <f t="shared" si="297"/>
        <v>0.53600000000000003</v>
      </c>
      <c r="F2168" s="1508">
        <f t="shared" si="290"/>
        <v>0.51656219999999997</v>
      </c>
      <c r="G2168" s="1508">
        <f t="shared" si="291"/>
        <v>0.51656219999999997</v>
      </c>
      <c r="H2168" s="1508">
        <f t="shared" si="294"/>
        <v>0</v>
      </c>
      <c r="I2168" s="1480">
        <v>0</v>
      </c>
      <c r="J2168" s="1480">
        <v>0</v>
      </c>
      <c r="K2168" s="1508"/>
      <c r="L2168" s="1508"/>
      <c r="M2168" s="1509">
        <f t="shared" si="295"/>
        <v>0</v>
      </c>
      <c r="N2168" s="1508">
        <f t="shared" si="296"/>
        <v>0</v>
      </c>
      <c r="O2168" s="1481">
        <f t="shared" si="292"/>
        <v>0</v>
      </c>
      <c r="P2168" s="1427">
        <f t="shared" si="293"/>
        <v>0</v>
      </c>
    </row>
    <row r="2169" spans="1:16" ht="15.5" outlineLevel="1" x14ac:dyDescent="0.25">
      <c r="A2169" s="1482">
        <f t="shared" si="297"/>
        <v>0</v>
      </c>
      <c r="B2169" s="1483" t="str">
        <f t="shared" si="297"/>
        <v>IDC</v>
      </c>
      <c r="C2169" s="1482" t="str">
        <f t="shared" si="297"/>
        <v>MERC/CAPEX/20172018/4686</v>
      </c>
      <c r="D2169" s="1390">
        <f t="shared" si="297"/>
        <v>43054</v>
      </c>
      <c r="E2169" s="560">
        <f t="shared" si="297"/>
        <v>0.93</v>
      </c>
      <c r="F2169" s="1508">
        <f t="shared" si="290"/>
        <v>0</v>
      </c>
      <c r="G2169" s="1508">
        <f t="shared" si="291"/>
        <v>0</v>
      </c>
      <c r="H2169" s="1508">
        <f t="shared" si="294"/>
        <v>0</v>
      </c>
      <c r="I2169" s="1480">
        <v>0</v>
      </c>
      <c r="J2169" s="1480">
        <v>0</v>
      </c>
      <c r="K2169" s="1508"/>
      <c r="L2169" s="1508"/>
      <c r="M2169" s="1509">
        <f t="shared" si="295"/>
        <v>0</v>
      </c>
      <c r="N2169" s="1508">
        <f t="shared" si="296"/>
        <v>0</v>
      </c>
      <c r="O2169" s="1481">
        <f t="shared" si="292"/>
        <v>0</v>
      </c>
      <c r="P2169" s="1427">
        <f t="shared" si="293"/>
        <v>0</v>
      </c>
    </row>
    <row r="2170" spans="1:16" ht="46.5" outlineLevel="1" x14ac:dyDescent="0.25">
      <c r="A2170" s="1477">
        <f t="shared" si="297"/>
        <v>29</v>
      </c>
      <c r="B2170" s="1478" t="str">
        <f t="shared" si="297"/>
        <v>Procurement of Boiler Feed Booster Pumps to improve availability &amp; performance of feed system, moving blades for LPT &amp; Condenser Tubes of (3 x 500 MW) Units at Chandrapur STPS</v>
      </c>
      <c r="C2170" s="1477" t="str">
        <f t="shared" si="297"/>
        <v>MERC/CAPEX/20172018/0272</v>
      </c>
      <c r="D2170" s="1479">
        <f t="shared" si="297"/>
        <v>43154</v>
      </c>
      <c r="E2170" s="1383">
        <f t="shared" si="297"/>
        <v>15.489999999999998</v>
      </c>
      <c r="F2170" s="1480">
        <f t="shared" si="290"/>
        <v>0</v>
      </c>
      <c r="G2170" s="1480">
        <f t="shared" si="291"/>
        <v>0</v>
      </c>
      <c r="H2170" s="1480">
        <f t="shared" si="294"/>
        <v>0</v>
      </c>
      <c r="I2170" s="1480">
        <v>0</v>
      </c>
      <c r="J2170" s="1480">
        <v>0</v>
      </c>
      <c r="K2170" s="1480"/>
      <c r="L2170" s="1480"/>
      <c r="M2170" s="1480">
        <f t="shared" si="295"/>
        <v>0</v>
      </c>
      <c r="N2170" s="1480">
        <f t="shared" si="296"/>
        <v>0</v>
      </c>
      <c r="O2170" s="1481">
        <f t="shared" si="292"/>
        <v>0</v>
      </c>
      <c r="P2170" s="1427">
        <f t="shared" si="293"/>
        <v>0</v>
      </c>
    </row>
    <row r="2171" spans="1:16" ht="46.5" outlineLevel="1" x14ac:dyDescent="0.25">
      <c r="A2171" s="1482">
        <f t="shared" si="297"/>
        <v>29.1</v>
      </c>
      <c r="B2171" s="1483" t="str">
        <f t="shared" si="297"/>
        <v>Procurement of Boiler Feed Booster pumps to improve availability and performance of Feed system of 500 MW Unit-5, 6 &amp; 7 at CSTPS, Chandrapur</v>
      </c>
      <c r="C2171" s="1482" t="str">
        <f t="shared" si="297"/>
        <v>MERC/CAPEX/20172018/0272</v>
      </c>
      <c r="D2171" s="1390">
        <f t="shared" si="297"/>
        <v>43154</v>
      </c>
      <c r="E2171" s="560">
        <f t="shared" si="297"/>
        <v>2.0099999999999998</v>
      </c>
      <c r="F2171" s="1508">
        <f t="shared" si="290"/>
        <v>2.1150194</v>
      </c>
      <c r="G2171" s="1508">
        <f t="shared" si="291"/>
        <v>2.1150194</v>
      </c>
      <c r="H2171" s="1508">
        <f t="shared" si="294"/>
        <v>0</v>
      </c>
      <c r="I2171" s="1480">
        <v>0</v>
      </c>
      <c r="J2171" s="1480">
        <v>0</v>
      </c>
      <c r="K2171" s="1508"/>
      <c r="L2171" s="1508"/>
      <c r="M2171" s="1509">
        <f t="shared" si="295"/>
        <v>0</v>
      </c>
      <c r="N2171" s="1508">
        <f t="shared" si="296"/>
        <v>0</v>
      </c>
      <c r="O2171" s="1481">
        <f t="shared" si="292"/>
        <v>0</v>
      </c>
      <c r="P2171" s="1427">
        <f t="shared" si="293"/>
        <v>0</v>
      </c>
    </row>
    <row r="2172" spans="1:16" ht="31" outlineLevel="1" x14ac:dyDescent="0.25">
      <c r="A2172" s="1482">
        <f t="shared" si="297"/>
        <v>29.2</v>
      </c>
      <c r="B2172" s="1483" t="str">
        <f t="shared" si="297"/>
        <v>Procurement of moving blades for 500 MW Unit-5, 6 &amp; 7 LPT at CSTPS, Chandrapur</v>
      </c>
      <c r="C2172" s="1482" t="str">
        <f t="shared" si="297"/>
        <v>MERC/CAPEX/20172018/0272</v>
      </c>
      <c r="D2172" s="1390">
        <f t="shared" si="297"/>
        <v>43154</v>
      </c>
      <c r="E2172" s="560">
        <f t="shared" si="297"/>
        <v>3.34</v>
      </c>
      <c r="F2172" s="1508">
        <f t="shared" si="290"/>
        <v>1.9274450000000001</v>
      </c>
      <c r="G2172" s="1508">
        <f t="shared" si="291"/>
        <v>1.9274450000000001</v>
      </c>
      <c r="H2172" s="1508">
        <f t="shared" si="294"/>
        <v>0</v>
      </c>
      <c r="I2172" s="1480">
        <v>0</v>
      </c>
      <c r="J2172" s="1480">
        <v>0</v>
      </c>
      <c r="K2172" s="1508"/>
      <c r="L2172" s="1508"/>
      <c r="M2172" s="1509">
        <f t="shared" si="295"/>
        <v>0</v>
      </c>
      <c r="N2172" s="1508">
        <f t="shared" si="296"/>
        <v>0</v>
      </c>
      <c r="O2172" s="1481">
        <f t="shared" si="292"/>
        <v>0</v>
      </c>
      <c r="P2172" s="1427">
        <f t="shared" si="293"/>
        <v>0</v>
      </c>
    </row>
    <row r="2173" spans="1:16" ht="31" outlineLevel="1" x14ac:dyDescent="0.25">
      <c r="A2173" s="1482">
        <f t="shared" si="297"/>
        <v>29.3</v>
      </c>
      <c r="B2173" s="1483" t="str">
        <f t="shared" si="297"/>
        <v>Procurement &amp; Replacement of Condenser Tubes in 500MW, Unit-7 at CSTPS, Chandrapur</v>
      </c>
      <c r="C2173" s="1482" t="str">
        <f t="shared" si="297"/>
        <v>MERC/CAPEX/20172018/0272</v>
      </c>
      <c r="D2173" s="1390">
        <f t="shared" si="297"/>
        <v>43154</v>
      </c>
      <c r="E2173" s="560">
        <f t="shared" si="297"/>
        <v>9.02</v>
      </c>
      <c r="F2173" s="1508">
        <f t="shared" si="290"/>
        <v>8.8301990999999997</v>
      </c>
      <c r="G2173" s="1508">
        <f t="shared" si="291"/>
        <v>8.8301990999999997</v>
      </c>
      <c r="H2173" s="1508">
        <f t="shared" si="294"/>
        <v>0</v>
      </c>
      <c r="I2173" s="1480">
        <v>0</v>
      </c>
      <c r="J2173" s="1480">
        <v>0</v>
      </c>
      <c r="K2173" s="1508"/>
      <c r="L2173" s="1508"/>
      <c r="M2173" s="1509">
        <f t="shared" si="295"/>
        <v>0</v>
      </c>
      <c r="N2173" s="1508">
        <f t="shared" si="296"/>
        <v>0</v>
      </c>
      <c r="O2173" s="1481">
        <f t="shared" si="292"/>
        <v>0</v>
      </c>
      <c r="P2173" s="1427">
        <f t="shared" si="293"/>
        <v>0</v>
      </c>
    </row>
    <row r="2174" spans="1:16" ht="15.5" outlineLevel="1" x14ac:dyDescent="0.25">
      <c r="A2174" s="1482">
        <f t="shared" si="297"/>
        <v>0</v>
      </c>
      <c r="B2174" s="1483" t="str">
        <f t="shared" si="297"/>
        <v>IDC</v>
      </c>
      <c r="C2174" s="1482" t="str">
        <f t="shared" si="297"/>
        <v>MERC/CAPEX/20172018/0272</v>
      </c>
      <c r="D2174" s="1390">
        <f t="shared" si="297"/>
        <v>43154</v>
      </c>
      <c r="E2174" s="560">
        <f t="shared" si="297"/>
        <v>1.1200000000000001</v>
      </c>
      <c r="F2174" s="1508">
        <f t="shared" si="290"/>
        <v>0</v>
      </c>
      <c r="G2174" s="1508">
        <f t="shared" si="291"/>
        <v>0</v>
      </c>
      <c r="H2174" s="1508">
        <f t="shared" si="294"/>
        <v>0</v>
      </c>
      <c r="I2174" s="1480">
        <v>0</v>
      </c>
      <c r="J2174" s="1480">
        <v>0</v>
      </c>
      <c r="K2174" s="1508"/>
      <c r="L2174" s="1508"/>
      <c r="M2174" s="1509">
        <f t="shared" si="295"/>
        <v>0</v>
      </c>
      <c r="N2174" s="1508">
        <f t="shared" si="296"/>
        <v>0</v>
      </c>
      <c r="O2174" s="1481">
        <f t="shared" si="292"/>
        <v>0</v>
      </c>
      <c r="P2174" s="1427">
        <f t="shared" si="293"/>
        <v>0</v>
      </c>
    </row>
    <row r="2175" spans="1:16" ht="15.5" outlineLevel="1" x14ac:dyDescent="0.25">
      <c r="A2175" s="1489">
        <f t="shared" si="297"/>
        <v>30</v>
      </c>
      <c r="B2175" s="1490" t="str">
        <f t="shared" si="297"/>
        <v>Renovation &amp; Beautification of Colony at Chandrapur STPS</v>
      </c>
      <c r="C2175" s="1486" t="str">
        <f t="shared" si="297"/>
        <v>MERC/CAPEX/20182019/0644</v>
      </c>
      <c r="D2175" s="1487">
        <f t="shared" si="297"/>
        <v>43238</v>
      </c>
      <c r="E2175" s="1383">
        <f t="shared" si="297"/>
        <v>117.57</v>
      </c>
      <c r="F2175" s="1480">
        <f t="shared" si="290"/>
        <v>0</v>
      </c>
      <c r="G2175" s="1480">
        <f t="shared" si="291"/>
        <v>0</v>
      </c>
      <c r="H2175" s="1480">
        <f t="shared" si="294"/>
        <v>0</v>
      </c>
      <c r="I2175" s="1480">
        <v>0</v>
      </c>
      <c r="J2175" s="1480">
        <v>0</v>
      </c>
      <c r="K2175" s="1480"/>
      <c r="L2175" s="1480"/>
      <c r="M2175" s="1480">
        <f t="shared" si="295"/>
        <v>0</v>
      </c>
      <c r="N2175" s="1480">
        <f t="shared" si="296"/>
        <v>0</v>
      </c>
      <c r="O2175" s="1481">
        <f t="shared" si="292"/>
        <v>0</v>
      </c>
      <c r="P2175" s="1427">
        <f t="shared" si="293"/>
        <v>0</v>
      </c>
    </row>
    <row r="2176" spans="1:16" ht="31" outlineLevel="1" x14ac:dyDescent="0.25">
      <c r="A2176" s="1484">
        <f t="shared" si="297"/>
        <v>30.1</v>
      </c>
      <c r="B2176" s="1485" t="str">
        <f t="shared" si="297"/>
        <v>Face- lifting and Renovation of staff quarters &amp; related work at CSTPS, Chandrapur</v>
      </c>
      <c r="C2176" s="1482" t="str">
        <f t="shared" si="297"/>
        <v>MERC/CAPEX/20182019/0644</v>
      </c>
      <c r="D2176" s="1390">
        <f t="shared" si="297"/>
        <v>43238</v>
      </c>
      <c r="E2176" s="560">
        <f t="shared" si="297"/>
        <v>82.6</v>
      </c>
      <c r="F2176" s="1508">
        <f t="shared" si="290"/>
        <v>82.6</v>
      </c>
      <c r="G2176" s="1508">
        <f t="shared" si="291"/>
        <v>82.6</v>
      </c>
      <c r="H2176" s="1508">
        <f t="shared" si="294"/>
        <v>0</v>
      </c>
      <c r="I2176" s="1480">
        <v>0</v>
      </c>
      <c r="J2176" s="1480">
        <v>0</v>
      </c>
      <c r="K2176" s="1508"/>
      <c r="L2176" s="1508"/>
      <c r="M2176" s="1509">
        <f t="shared" si="295"/>
        <v>0</v>
      </c>
      <c r="N2176" s="1508">
        <f t="shared" si="296"/>
        <v>0</v>
      </c>
      <c r="O2176" s="1481">
        <f t="shared" si="292"/>
        <v>0</v>
      </c>
      <c r="P2176" s="1427">
        <f t="shared" si="293"/>
        <v>0</v>
      </c>
    </row>
    <row r="2177" spans="1:16" ht="15.5" outlineLevel="1" x14ac:dyDescent="0.25">
      <c r="A2177" s="1484">
        <f t="shared" si="297"/>
        <v>30.2</v>
      </c>
      <c r="B2177" s="1485" t="str">
        <f t="shared" si="297"/>
        <v>Colony Internal Roads at CSTPS, Chandrapur</v>
      </c>
      <c r="C2177" s="1482" t="str">
        <f t="shared" si="297"/>
        <v>MERC/CAPEX/20182019/0644</v>
      </c>
      <c r="D2177" s="1390">
        <f t="shared" si="297"/>
        <v>43238</v>
      </c>
      <c r="E2177" s="560">
        <f t="shared" si="297"/>
        <v>7.08</v>
      </c>
      <c r="F2177" s="1508">
        <f t="shared" si="290"/>
        <v>7.08</v>
      </c>
      <c r="G2177" s="1508">
        <f t="shared" si="291"/>
        <v>7.08</v>
      </c>
      <c r="H2177" s="1508">
        <f t="shared" si="294"/>
        <v>0</v>
      </c>
      <c r="I2177" s="1480">
        <v>0</v>
      </c>
      <c r="J2177" s="1480">
        <v>0</v>
      </c>
      <c r="K2177" s="1508"/>
      <c r="L2177" s="1508"/>
      <c r="M2177" s="1509">
        <f t="shared" si="295"/>
        <v>0</v>
      </c>
      <c r="N2177" s="1508">
        <f t="shared" si="296"/>
        <v>0</v>
      </c>
      <c r="O2177" s="1481">
        <f t="shared" si="292"/>
        <v>0</v>
      </c>
      <c r="P2177" s="1427">
        <f t="shared" si="293"/>
        <v>0</v>
      </c>
    </row>
    <row r="2178" spans="1:16" ht="31" outlineLevel="1" x14ac:dyDescent="0.25">
      <c r="A2178" s="1484">
        <f t="shared" si="297"/>
        <v>30.3</v>
      </c>
      <c r="B2178" s="1485" t="str">
        <f t="shared" si="297"/>
        <v>Development of existing open spaces and Garden at CSTPS, Chandrapur</v>
      </c>
      <c r="C2178" s="1488" t="str">
        <f t="shared" si="297"/>
        <v>MERC/CAPEX/20182019/0644</v>
      </c>
      <c r="D2178" s="1413">
        <f t="shared" si="297"/>
        <v>43238</v>
      </c>
      <c r="E2178" s="560">
        <f t="shared" si="297"/>
        <v>4.72</v>
      </c>
      <c r="F2178" s="1508">
        <f t="shared" si="290"/>
        <v>4.72</v>
      </c>
      <c r="G2178" s="1508">
        <f t="shared" si="291"/>
        <v>4.72</v>
      </c>
      <c r="H2178" s="1508">
        <f t="shared" si="294"/>
        <v>0</v>
      </c>
      <c r="I2178" s="1480">
        <v>0</v>
      </c>
      <c r="J2178" s="1480">
        <v>0</v>
      </c>
      <c r="K2178" s="1508"/>
      <c r="L2178" s="1508"/>
      <c r="M2178" s="1509">
        <f t="shared" si="295"/>
        <v>0</v>
      </c>
      <c r="N2178" s="1508">
        <f t="shared" si="296"/>
        <v>0</v>
      </c>
      <c r="O2178" s="1481">
        <f t="shared" si="292"/>
        <v>0</v>
      </c>
      <c r="P2178" s="1427">
        <f t="shared" si="293"/>
        <v>0</v>
      </c>
    </row>
    <row r="2179" spans="1:16" ht="46.5" outlineLevel="1" x14ac:dyDescent="0.25">
      <c r="A2179" s="1484">
        <f t="shared" si="297"/>
        <v>30.4</v>
      </c>
      <c r="B2179" s="1485" t="str">
        <f t="shared" si="297"/>
        <v>Renovation of club building /community building and providing new swimming pool and other misc works including Architectural and Consultancy Charges at CSTPS, Chandrapur</v>
      </c>
      <c r="C2179" s="1488" t="str">
        <f t="shared" si="297"/>
        <v>MERC/CAPEX/20182019/0644</v>
      </c>
      <c r="D2179" s="1413">
        <f t="shared" si="297"/>
        <v>43238</v>
      </c>
      <c r="E2179" s="560">
        <f t="shared" si="297"/>
        <v>15.34</v>
      </c>
      <c r="F2179" s="1508">
        <f t="shared" si="290"/>
        <v>7.3469927180000099</v>
      </c>
      <c r="G2179" s="1508">
        <f t="shared" si="291"/>
        <v>6.7648973320000092</v>
      </c>
      <c r="H2179" s="1508">
        <f t="shared" si="294"/>
        <v>0.58209538600000066</v>
      </c>
      <c r="I2179" s="1480">
        <v>7.99300728199999</v>
      </c>
      <c r="J2179" s="1480">
        <v>8.5751026679999907</v>
      </c>
      <c r="K2179" s="1508"/>
      <c r="L2179" s="1508"/>
      <c r="M2179" s="1509">
        <f t="shared" si="295"/>
        <v>8.5751026679999907</v>
      </c>
      <c r="N2179" s="1508">
        <f t="shared" si="296"/>
        <v>0</v>
      </c>
      <c r="O2179" s="1481">
        <f t="shared" si="292"/>
        <v>8.5751026679999907</v>
      </c>
      <c r="P2179" s="1427">
        <f t="shared" si="293"/>
        <v>0</v>
      </c>
    </row>
    <row r="2180" spans="1:16" ht="15.5" outlineLevel="1" x14ac:dyDescent="0.25">
      <c r="A2180" s="1484">
        <f t="shared" ref="A2180:E2195" si="298">A1510</f>
        <v>0</v>
      </c>
      <c r="B2180" s="1485" t="str">
        <f t="shared" si="298"/>
        <v>IDC</v>
      </c>
      <c r="C2180" s="1482" t="str">
        <f t="shared" si="298"/>
        <v>MERC/CAPEX/20182019/0644</v>
      </c>
      <c r="D2180" s="1390">
        <f t="shared" si="298"/>
        <v>43238</v>
      </c>
      <c r="E2180" s="560">
        <f t="shared" si="298"/>
        <v>7.83</v>
      </c>
      <c r="F2180" s="1508">
        <f t="shared" si="290"/>
        <v>10.9403115</v>
      </c>
      <c r="G2180" s="1508">
        <f t="shared" si="291"/>
        <v>10.9403115</v>
      </c>
      <c r="H2180" s="1508">
        <f t="shared" si="294"/>
        <v>0</v>
      </c>
      <c r="I2180" s="1480">
        <v>0</v>
      </c>
      <c r="J2180" s="1480">
        <v>0</v>
      </c>
      <c r="K2180" s="1508"/>
      <c r="L2180" s="1508"/>
      <c r="M2180" s="1509">
        <f t="shared" si="295"/>
        <v>0</v>
      </c>
      <c r="N2180" s="1508">
        <f t="shared" si="296"/>
        <v>0</v>
      </c>
      <c r="O2180" s="1481">
        <f t="shared" si="292"/>
        <v>0</v>
      </c>
      <c r="P2180" s="1427">
        <f t="shared" si="293"/>
        <v>0</v>
      </c>
    </row>
    <row r="2181" spans="1:16" ht="15.5" outlineLevel="1" x14ac:dyDescent="0.25">
      <c r="A2181" s="1486">
        <f t="shared" si="298"/>
        <v>31</v>
      </c>
      <c r="B2181" s="1491" t="str">
        <f t="shared" si="298"/>
        <v>Fully Integrated Security Surveillance System</v>
      </c>
      <c r="C2181" s="1486" t="str">
        <f t="shared" si="298"/>
        <v>MERC/CAPEX/2018-19/066</v>
      </c>
      <c r="D2181" s="1487">
        <f t="shared" si="298"/>
        <v>43529</v>
      </c>
      <c r="E2181" s="1383">
        <f t="shared" si="298"/>
        <v>76.410000000000025</v>
      </c>
      <c r="F2181" s="1480">
        <f t="shared" si="290"/>
        <v>0</v>
      </c>
      <c r="G2181" s="1480">
        <f t="shared" si="291"/>
        <v>0</v>
      </c>
      <c r="H2181" s="1480">
        <f t="shared" si="294"/>
        <v>0</v>
      </c>
      <c r="I2181" s="1480">
        <v>0</v>
      </c>
      <c r="J2181" s="1480">
        <v>0</v>
      </c>
      <c r="K2181" s="1480"/>
      <c r="L2181" s="1480"/>
      <c r="M2181" s="1480">
        <f t="shared" si="295"/>
        <v>0</v>
      </c>
      <c r="N2181" s="1480">
        <f t="shared" si="296"/>
        <v>0</v>
      </c>
      <c r="O2181" s="1481">
        <f t="shared" si="292"/>
        <v>0</v>
      </c>
      <c r="P2181" s="1427">
        <f t="shared" si="293"/>
        <v>0</v>
      </c>
    </row>
    <row r="2182" spans="1:16" ht="15.5" outlineLevel="1" x14ac:dyDescent="0.25">
      <c r="A2182" s="1488">
        <f t="shared" si="298"/>
        <v>31.1</v>
      </c>
      <c r="B2182" s="1492" t="str">
        <f t="shared" si="298"/>
        <v>CLOSE CIRCUIT TELEVISION SYSTEM (CCTV), MOBILE DVR</v>
      </c>
      <c r="C2182" s="1488" t="str">
        <f t="shared" si="298"/>
        <v>MERC/CAPEX/2018-19/066</v>
      </c>
      <c r="D2182" s="1413">
        <f t="shared" si="298"/>
        <v>43529</v>
      </c>
      <c r="E2182" s="560">
        <f t="shared" si="298"/>
        <v>24.03</v>
      </c>
      <c r="F2182" s="1508">
        <f t="shared" si="290"/>
        <v>0</v>
      </c>
      <c r="G2182" s="1508">
        <f t="shared" si="291"/>
        <v>0</v>
      </c>
      <c r="H2182" s="1508">
        <f t="shared" si="294"/>
        <v>0</v>
      </c>
      <c r="I2182" s="1480">
        <v>24.03</v>
      </c>
      <c r="J2182" s="1480">
        <v>24.03</v>
      </c>
      <c r="K2182" s="1508"/>
      <c r="L2182" s="1508"/>
      <c r="M2182" s="1509">
        <f t="shared" si="295"/>
        <v>24.03</v>
      </c>
      <c r="N2182" s="1508">
        <f t="shared" si="296"/>
        <v>0</v>
      </c>
      <c r="O2182" s="1481">
        <f t="shared" si="292"/>
        <v>24.03</v>
      </c>
      <c r="P2182" s="1427">
        <f t="shared" si="293"/>
        <v>0</v>
      </c>
    </row>
    <row r="2183" spans="1:16" ht="15.5" outlineLevel="1" x14ac:dyDescent="0.25">
      <c r="A2183" s="1488">
        <f t="shared" si="298"/>
        <v>31.2</v>
      </c>
      <c r="B2183" s="1492" t="str">
        <f t="shared" si="298"/>
        <v>FIRE ALARM SYSTEM</v>
      </c>
      <c r="C2183" s="1488" t="str">
        <f t="shared" si="298"/>
        <v>MERC/CAPEX/2018-19/066</v>
      </c>
      <c r="D2183" s="1413">
        <f t="shared" si="298"/>
        <v>43529</v>
      </c>
      <c r="E2183" s="560">
        <f t="shared" si="298"/>
        <v>4.33</v>
      </c>
      <c r="F2183" s="1508">
        <f t="shared" si="290"/>
        <v>0</v>
      </c>
      <c r="G2183" s="1508">
        <f t="shared" si="291"/>
        <v>0</v>
      </c>
      <c r="H2183" s="1508">
        <f t="shared" si="294"/>
        <v>0</v>
      </c>
      <c r="I2183" s="1480">
        <v>4.33</v>
      </c>
      <c r="J2183" s="1480">
        <v>4.33</v>
      </c>
      <c r="K2183" s="1508"/>
      <c r="L2183" s="1508"/>
      <c r="M2183" s="1509">
        <f t="shared" si="295"/>
        <v>4.33</v>
      </c>
      <c r="N2183" s="1508">
        <f t="shared" si="296"/>
        <v>0</v>
      </c>
      <c r="O2183" s="1481">
        <f t="shared" si="292"/>
        <v>4.33</v>
      </c>
      <c r="P2183" s="1427">
        <f t="shared" si="293"/>
        <v>0</v>
      </c>
    </row>
    <row r="2184" spans="1:16" ht="15.5" outlineLevel="1" x14ac:dyDescent="0.25">
      <c r="A2184" s="1488">
        <f t="shared" si="298"/>
        <v>31.3</v>
      </c>
      <c r="B2184" s="1492" t="str">
        <f t="shared" si="298"/>
        <v>ACCESS CONTROL SYSTEM</v>
      </c>
      <c r="C2184" s="1488" t="str">
        <f t="shared" si="298"/>
        <v>MERC/CAPEX/2018-19/066</v>
      </c>
      <c r="D2184" s="1413">
        <f t="shared" si="298"/>
        <v>43529</v>
      </c>
      <c r="E2184" s="560">
        <f t="shared" si="298"/>
        <v>0.48</v>
      </c>
      <c r="F2184" s="1508">
        <f t="shared" si="290"/>
        <v>0</v>
      </c>
      <c r="G2184" s="1508">
        <f t="shared" si="291"/>
        <v>0</v>
      </c>
      <c r="H2184" s="1508">
        <f t="shared" si="294"/>
        <v>0</v>
      </c>
      <c r="I2184" s="1480">
        <v>0.48</v>
      </c>
      <c r="J2184" s="1480">
        <v>0.48</v>
      </c>
      <c r="K2184" s="1508"/>
      <c r="L2184" s="1508"/>
      <c r="M2184" s="1509">
        <f t="shared" si="295"/>
        <v>0.48</v>
      </c>
      <c r="N2184" s="1508">
        <f t="shared" si="296"/>
        <v>0</v>
      </c>
      <c r="O2184" s="1481">
        <f t="shared" si="292"/>
        <v>0.48</v>
      </c>
      <c r="P2184" s="1427">
        <f t="shared" si="293"/>
        <v>0</v>
      </c>
    </row>
    <row r="2185" spans="1:16" ht="15.5" outlineLevel="1" x14ac:dyDescent="0.25">
      <c r="A2185" s="1488">
        <f t="shared" si="298"/>
        <v>31.4</v>
      </c>
      <c r="B2185" s="1492" t="str">
        <f t="shared" si="298"/>
        <v>EPABX</v>
      </c>
      <c r="C2185" s="1488" t="str">
        <f t="shared" si="298"/>
        <v>MERC/CAPEX/2018-19/066</v>
      </c>
      <c r="D2185" s="1413">
        <f t="shared" si="298"/>
        <v>43529</v>
      </c>
      <c r="E2185" s="560">
        <f t="shared" si="298"/>
        <v>1.93</v>
      </c>
      <c r="F2185" s="1508">
        <f t="shared" si="290"/>
        <v>0</v>
      </c>
      <c r="G2185" s="1508">
        <f t="shared" si="291"/>
        <v>0</v>
      </c>
      <c r="H2185" s="1508">
        <f t="shared" si="294"/>
        <v>0</v>
      </c>
      <c r="I2185" s="1480">
        <v>1.93</v>
      </c>
      <c r="J2185" s="1480">
        <v>1.93</v>
      </c>
      <c r="K2185" s="1508"/>
      <c r="L2185" s="1508"/>
      <c r="M2185" s="1509">
        <f t="shared" si="295"/>
        <v>1.93</v>
      </c>
      <c r="N2185" s="1508">
        <f t="shared" si="296"/>
        <v>0</v>
      </c>
      <c r="O2185" s="1481">
        <f t="shared" si="292"/>
        <v>1.93</v>
      </c>
      <c r="P2185" s="1427">
        <f t="shared" si="293"/>
        <v>0</v>
      </c>
    </row>
    <row r="2186" spans="1:16" ht="15.5" outlineLevel="1" x14ac:dyDescent="0.25">
      <c r="A2186" s="1488">
        <f t="shared" si="298"/>
        <v>31.5</v>
      </c>
      <c r="B2186" s="1492" t="str">
        <f t="shared" si="298"/>
        <v>RADIO COMMUNICATION AND CONNECTIVITY (Wireless)</v>
      </c>
      <c r="C2186" s="1488" t="str">
        <f t="shared" si="298"/>
        <v>MERC/CAPEX/2018-19/066</v>
      </c>
      <c r="D2186" s="1413">
        <f t="shared" si="298"/>
        <v>43529</v>
      </c>
      <c r="E2186" s="560">
        <f t="shared" si="298"/>
        <v>1.76</v>
      </c>
      <c r="F2186" s="1508">
        <f t="shared" si="290"/>
        <v>0</v>
      </c>
      <c r="G2186" s="1508">
        <f t="shared" si="291"/>
        <v>0</v>
      </c>
      <c r="H2186" s="1508">
        <f t="shared" si="294"/>
        <v>0</v>
      </c>
      <c r="I2186" s="1480">
        <v>1.76</v>
      </c>
      <c r="J2186" s="1480">
        <v>1.76</v>
      </c>
      <c r="K2186" s="1508"/>
      <c r="L2186" s="1508"/>
      <c r="M2186" s="1509">
        <f t="shared" si="295"/>
        <v>1.76</v>
      </c>
      <c r="N2186" s="1508">
        <f t="shared" si="296"/>
        <v>0</v>
      </c>
      <c r="O2186" s="1481">
        <f t="shared" si="292"/>
        <v>1.76</v>
      </c>
      <c r="P2186" s="1427">
        <f t="shared" si="293"/>
        <v>0</v>
      </c>
    </row>
    <row r="2187" spans="1:16" ht="15.5" outlineLevel="1" x14ac:dyDescent="0.25">
      <c r="A2187" s="1488">
        <f t="shared" si="298"/>
        <v>31.6</v>
      </c>
      <c r="B2187" s="1492" t="str">
        <f t="shared" si="298"/>
        <v>ENTRY MANAGEMENT SYSTEM, TRUCK TRACKING SYSTEM</v>
      </c>
      <c r="C2187" s="1488" t="str">
        <f t="shared" si="298"/>
        <v>MERC/CAPEX/2018-19/066</v>
      </c>
      <c r="D2187" s="1413">
        <f t="shared" si="298"/>
        <v>43529</v>
      </c>
      <c r="E2187" s="560">
        <f t="shared" si="298"/>
        <v>1.25</v>
      </c>
      <c r="F2187" s="1508">
        <f t="shared" si="290"/>
        <v>0</v>
      </c>
      <c r="G2187" s="1508">
        <f t="shared" si="291"/>
        <v>0</v>
      </c>
      <c r="H2187" s="1508">
        <f t="shared" si="294"/>
        <v>0</v>
      </c>
      <c r="I2187" s="1480">
        <v>1.25</v>
      </c>
      <c r="J2187" s="1480">
        <v>1.25</v>
      </c>
      <c r="K2187" s="1508"/>
      <c r="L2187" s="1508"/>
      <c r="M2187" s="1509">
        <f t="shared" si="295"/>
        <v>1.25</v>
      </c>
      <c r="N2187" s="1508">
        <f t="shared" si="296"/>
        <v>0</v>
      </c>
      <c r="O2187" s="1481">
        <f t="shared" si="292"/>
        <v>1.25</v>
      </c>
      <c r="P2187" s="1427">
        <f t="shared" si="293"/>
        <v>0</v>
      </c>
    </row>
    <row r="2188" spans="1:16" ht="15.5" outlineLevel="1" x14ac:dyDescent="0.25">
      <c r="A2188" s="1488">
        <f t="shared" si="298"/>
        <v>31.7</v>
      </c>
      <c r="B2188" s="1492" t="str">
        <f t="shared" si="298"/>
        <v>NETWORKING</v>
      </c>
      <c r="C2188" s="1488" t="str">
        <f t="shared" si="298"/>
        <v>MERC/CAPEX/2018-19/066</v>
      </c>
      <c r="D2188" s="1413">
        <f t="shared" si="298"/>
        <v>43529</v>
      </c>
      <c r="E2188" s="560">
        <f t="shared" si="298"/>
        <v>9.35</v>
      </c>
      <c r="F2188" s="1508">
        <f t="shared" si="290"/>
        <v>0</v>
      </c>
      <c r="G2188" s="1508">
        <f t="shared" si="291"/>
        <v>0</v>
      </c>
      <c r="H2188" s="1508">
        <f t="shared" si="294"/>
        <v>0</v>
      </c>
      <c r="I2188" s="1480">
        <v>9.35</v>
      </c>
      <c r="J2188" s="1480">
        <v>9.35</v>
      </c>
      <c r="K2188" s="1508"/>
      <c r="L2188" s="1508"/>
      <c r="M2188" s="1509">
        <f t="shared" si="295"/>
        <v>9.35</v>
      </c>
      <c r="N2188" s="1508">
        <f t="shared" si="296"/>
        <v>0</v>
      </c>
      <c r="O2188" s="1481">
        <f t="shared" si="292"/>
        <v>9.35</v>
      </c>
      <c r="P2188" s="1427">
        <f t="shared" si="293"/>
        <v>0</v>
      </c>
    </row>
    <row r="2189" spans="1:16" ht="15.5" outlineLevel="1" x14ac:dyDescent="0.25">
      <c r="A2189" s="1488">
        <f t="shared" si="298"/>
        <v>31.8</v>
      </c>
      <c r="B2189" s="1492" t="str">
        <f t="shared" si="298"/>
        <v>MESSAGE DISPLAY SYSTEM</v>
      </c>
      <c r="C2189" s="1488" t="str">
        <f t="shared" si="298"/>
        <v>MERC/CAPEX/2018-19/066</v>
      </c>
      <c r="D2189" s="1413">
        <f t="shared" si="298"/>
        <v>43529</v>
      </c>
      <c r="E2189" s="560">
        <f t="shared" si="298"/>
        <v>0.31</v>
      </c>
      <c r="F2189" s="1508">
        <f t="shared" si="290"/>
        <v>0</v>
      </c>
      <c r="G2189" s="1508">
        <f t="shared" si="291"/>
        <v>0</v>
      </c>
      <c r="H2189" s="1508">
        <f t="shared" si="294"/>
        <v>0</v>
      </c>
      <c r="I2189" s="1480">
        <v>0.31</v>
      </c>
      <c r="J2189" s="1480">
        <v>0.31</v>
      </c>
      <c r="K2189" s="1508"/>
      <c r="L2189" s="1508"/>
      <c r="M2189" s="1509">
        <f t="shared" si="295"/>
        <v>0.31</v>
      </c>
      <c r="N2189" s="1508">
        <f t="shared" si="296"/>
        <v>0</v>
      </c>
      <c r="O2189" s="1481">
        <f t="shared" si="292"/>
        <v>0.31</v>
      </c>
      <c r="P2189" s="1427">
        <f t="shared" si="293"/>
        <v>0</v>
      </c>
    </row>
    <row r="2190" spans="1:16" ht="15.5" outlineLevel="1" x14ac:dyDescent="0.25">
      <c r="A2190" s="1488">
        <f t="shared" si="298"/>
        <v>31.9</v>
      </c>
      <c r="B2190" s="1492" t="str">
        <f t="shared" si="298"/>
        <v>IP PA SYSTEM</v>
      </c>
      <c r="C2190" s="1488" t="str">
        <f t="shared" si="298"/>
        <v>MERC/CAPEX/2018-19/066</v>
      </c>
      <c r="D2190" s="1413">
        <f t="shared" si="298"/>
        <v>43529</v>
      </c>
      <c r="E2190" s="560">
        <f t="shared" si="298"/>
        <v>2.74</v>
      </c>
      <c r="F2190" s="1508">
        <f t="shared" si="290"/>
        <v>0</v>
      </c>
      <c r="G2190" s="1508">
        <f t="shared" si="291"/>
        <v>0</v>
      </c>
      <c r="H2190" s="1508">
        <f t="shared" si="294"/>
        <v>0</v>
      </c>
      <c r="I2190" s="1480">
        <v>2.74</v>
      </c>
      <c r="J2190" s="1480">
        <v>2.74</v>
      </c>
      <c r="K2190" s="1508"/>
      <c r="L2190" s="1508"/>
      <c r="M2190" s="1509">
        <f t="shared" si="295"/>
        <v>2.74</v>
      </c>
      <c r="N2190" s="1508">
        <f t="shared" si="296"/>
        <v>0</v>
      </c>
      <c r="O2190" s="1481">
        <f t="shared" si="292"/>
        <v>2.74</v>
      </c>
      <c r="P2190" s="1427">
        <f t="shared" si="293"/>
        <v>0</v>
      </c>
    </row>
    <row r="2191" spans="1:16" ht="15.5" outlineLevel="1" x14ac:dyDescent="0.25">
      <c r="A2191" s="1488" t="str">
        <f t="shared" si="298"/>
        <v>31.10</v>
      </c>
      <c r="B2191" s="1492" t="str">
        <f t="shared" si="298"/>
        <v>TOWERS, EARTHING /POLES, CONDUITING, DIGGING</v>
      </c>
      <c r="C2191" s="1488" t="str">
        <f t="shared" si="298"/>
        <v>MERC/CAPEX/2018-19/066</v>
      </c>
      <c r="D2191" s="1413">
        <f t="shared" si="298"/>
        <v>43529</v>
      </c>
      <c r="E2191" s="560">
        <f t="shared" si="298"/>
        <v>7.63</v>
      </c>
      <c r="F2191" s="1508">
        <f t="shared" si="290"/>
        <v>0</v>
      </c>
      <c r="G2191" s="1508">
        <f t="shared" si="291"/>
        <v>0</v>
      </c>
      <c r="H2191" s="1508">
        <f t="shared" si="294"/>
        <v>0</v>
      </c>
      <c r="I2191" s="1480">
        <v>7.63</v>
      </c>
      <c r="J2191" s="1480">
        <v>7.63</v>
      </c>
      <c r="K2191" s="1508"/>
      <c r="L2191" s="1508"/>
      <c r="M2191" s="1509">
        <f t="shared" si="295"/>
        <v>7.63</v>
      </c>
      <c r="N2191" s="1508">
        <f t="shared" si="296"/>
        <v>0</v>
      </c>
      <c r="O2191" s="1481">
        <f t="shared" si="292"/>
        <v>7.63</v>
      </c>
      <c r="P2191" s="1427">
        <f t="shared" si="293"/>
        <v>0</v>
      </c>
    </row>
    <row r="2192" spans="1:16" ht="46.5" outlineLevel="1" x14ac:dyDescent="0.25">
      <c r="A2192" s="1488">
        <f t="shared" si="298"/>
        <v>31.11</v>
      </c>
      <c r="B2192" s="1492" t="str">
        <f t="shared" si="298"/>
        <v>RDBMS, SERVER, WORKSTATIONS, IN CON. ROOM WITH FURINITURE DOCUMENTATION, CAMERA &amp; ANALYTICS LICENSES</v>
      </c>
      <c r="C2192" s="1488" t="str">
        <f t="shared" si="298"/>
        <v>MERC/CAPEX/2018-19/066</v>
      </c>
      <c r="D2192" s="1413">
        <f t="shared" si="298"/>
        <v>43529</v>
      </c>
      <c r="E2192" s="560">
        <f t="shared" si="298"/>
        <v>18.670000000000002</v>
      </c>
      <c r="F2192" s="1508">
        <f t="shared" si="290"/>
        <v>0</v>
      </c>
      <c r="G2192" s="1508">
        <f t="shared" si="291"/>
        <v>0</v>
      </c>
      <c r="H2192" s="1508">
        <f t="shared" si="294"/>
        <v>0</v>
      </c>
      <c r="I2192" s="1480">
        <v>18.670000000000002</v>
      </c>
      <c r="J2192" s="1480">
        <v>18.670000000000002</v>
      </c>
      <c r="K2192" s="1508"/>
      <c r="L2192" s="1508"/>
      <c r="M2192" s="1509">
        <f t="shared" si="295"/>
        <v>18.670000000000002</v>
      </c>
      <c r="N2192" s="1508">
        <f t="shared" si="296"/>
        <v>0</v>
      </c>
      <c r="O2192" s="1481">
        <f t="shared" si="292"/>
        <v>18.670000000000002</v>
      </c>
      <c r="P2192" s="1427">
        <f t="shared" si="293"/>
        <v>0</v>
      </c>
    </row>
    <row r="2193" spans="1:16" ht="15.5" outlineLevel="1" x14ac:dyDescent="0.25">
      <c r="A2193" s="1488">
        <f t="shared" si="298"/>
        <v>31.12</v>
      </c>
      <c r="B2193" s="1492" t="str">
        <f t="shared" si="298"/>
        <v>ADDITIONAL CIVIL WORK</v>
      </c>
      <c r="C2193" s="1488" t="str">
        <f t="shared" si="298"/>
        <v>MERC/CAPEX/2018-19/066</v>
      </c>
      <c r="D2193" s="1413">
        <f t="shared" si="298"/>
        <v>43529</v>
      </c>
      <c r="E2193" s="560">
        <f t="shared" si="298"/>
        <v>3.93</v>
      </c>
      <c r="F2193" s="1508">
        <f t="shared" si="290"/>
        <v>0</v>
      </c>
      <c r="G2193" s="1508">
        <f t="shared" si="291"/>
        <v>0</v>
      </c>
      <c r="H2193" s="1508">
        <f t="shared" si="294"/>
        <v>0</v>
      </c>
      <c r="I2193" s="1480">
        <v>3.93</v>
      </c>
      <c r="J2193" s="1480">
        <v>3.93</v>
      </c>
      <c r="K2193" s="1508"/>
      <c r="L2193" s="1508"/>
      <c r="M2193" s="1509">
        <f t="shared" si="295"/>
        <v>3.93</v>
      </c>
      <c r="N2193" s="1508">
        <f t="shared" si="296"/>
        <v>0</v>
      </c>
      <c r="O2193" s="1481">
        <f t="shared" si="292"/>
        <v>3.93</v>
      </c>
      <c r="P2193" s="1427">
        <f t="shared" si="293"/>
        <v>0</v>
      </c>
    </row>
    <row r="2194" spans="1:16" ht="46.5" outlineLevel="1" x14ac:dyDescent="0.25">
      <c r="A2194" s="1486">
        <f t="shared" si="298"/>
        <v>32</v>
      </c>
      <c r="B2194" s="1491" t="str">
        <f t="shared" si="298"/>
        <v>Provision of VFD panel along with bypasses arrangement for HT/LT conveyors &amp; automation of control room at Coal Handling Plant-B</v>
      </c>
      <c r="C2194" s="1486" t="str">
        <f t="shared" si="298"/>
        <v>MERC/CAPEX/20182019/1240</v>
      </c>
      <c r="D2194" s="1487">
        <f t="shared" si="298"/>
        <v>43363</v>
      </c>
      <c r="E2194" s="1383">
        <f t="shared" si="298"/>
        <v>38.629999999999995</v>
      </c>
      <c r="F2194" s="1480">
        <f t="shared" si="290"/>
        <v>0</v>
      </c>
      <c r="G2194" s="1480">
        <f t="shared" si="291"/>
        <v>0</v>
      </c>
      <c r="H2194" s="1480">
        <f t="shared" si="294"/>
        <v>0</v>
      </c>
      <c r="I2194" s="1480">
        <v>0</v>
      </c>
      <c r="J2194" s="1480">
        <v>0</v>
      </c>
      <c r="K2194" s="1480"/>
      <c r="L2194" s="1480"/>
      <c r="M2194" s="1480">
        <f t="shared" si="295"/>
        <v>0</v>
      </c>
      <c r="N2194" s="1480">
        <f t="shared" si="296"/>
        <v>0</v>
      </c>
      <c r="O2194" s="1481">
        <f t="shared" si="292"/>
        <v>0</v>
      </c>
      <c r="P2194" s="1427">
        <f t="shared" si="293"/>
        <v>0</v>
      </c>
    </row>
    <row r="2195" spans="1:16" ht="46.5" outlineLevel="1" x14ac:dyDescent="0.25">
      <c r="A2195" s="1488">
        <f t="shared" si="298"/>
        <v>32.1</v>
      </c>
      <c r="B2195" s="1492" t="str">
        <f t="shared" si="298"/>
        <v>Procurement, Installation and commissioning of MV/LT VFD panel along with bypass arrangement for HT/LT Conveyors of CHP-B</v>
      </c>
      <c r="C2195" s="1488" t="str">
        <f t="shared" si="298"/>
        <v>MERC/CAPEX/20182019/1240</v>
      </c>
      <c r="D2195" s="1413">
        <f t="shared" si="298"/>
        <v>43363</v>
      </c>
      <c r="E2195" s="560">
        <f t="shared" si="298"/>
        <v>32.56</v>
      </c>
      <c r="F2195" s="1508">
        <f t="shared" si="290"/>
        <v>32.56</v>
      </c>
      <c r="G2195" s="1508">
        <f t="shared" si="291"/>
        <v>32.56</v>
      </c>
      <c r="H2195" s="1508">
        <f t="shared" si="294"/>
        <v>0</v>
      </c>
      <c r="I2195" s="1480">
        <v>0</v>
      </c>
      <c r="J2195" s="1480">
        <v>0</v>
      </c>
      <c r="K2195" s="1508"/>
      <c r="L2195" s="1508"/>
      <c r="M2195" s="1509">
        <f t="shared" si="295"/>
        <v>0</v>
      </c>
      <c r="N2195" s="1508">
        <f t="shared" si="296"/>
        <v>0</v>
      </c>
      <c r="O2195" s="1481">
        <f t="shared" si="292"/>
        <v>0</v>
      </c>
      <c r="P2195" s="1427">
        <f t="shared" si="293"/>
        <v>0</v>
      </c>
    </row>
    <row r="2196" spans="1:16" ht="15.5" outlineLevel="1" x14ac:dyDescent="0.25">
      <c r="A2196" s="1488">
        <f t="shared" ref="A2196:E2211" si="299">A1526</f>
        <v>32.200000000000003</v>
      </c>
      <c r="B2196" s="1492" t="str">
        <f t="shared" si="299"/>
        <v>Automation of Control Room of CHP-B Using PLC System</v>
      </c>
      <c r="C2196" s="1488" t="str">
        <f t="shared" si="299"/>
        <v>MERC/CAPEX/20182019/1240</v>
      </c>
      <c r="D2196" s="1413">
        <f t="shared" si="299"/>
        <v>43363</v>
      </c>
      <c r="E2196" s="560">
        <f t="shared" si="299"/>
        <v>4.91</v>
      </c>
      <c r="F2196" s="1508">
        <f t="shared" si="290"/>
        <v>0</v>
      </c>
      <c r="G2196" s="1508">
        <f t="shared" si="291"/>
        <v>0</v>
      </c>
      <c r="H2196" s="1508">
        <f t="shared" si="294"/>
        <v>0</v>
      </c>
      <c r="I2196" s="1480">
        <v>0</v>
      </c>
      <c r="J2196" s="1480">
        <v>0</v>
      </c>
      <c r="K2196" s="1508"/>
      <c r="L2196" s="1508"/>
      <c r="M2196" s="1509">
        <f t="shared" si="295"/>
        <v>0</v>
      </c>
      <c r="N2196" s="1508">
        <f t="shared" si="296"/>
        <v>0</v>
      </c>
      <c r="O2196" s="1481">
        <f t="shared" si="292"/>
        <v>0</v>
      </c>
      <c r="P2196" s="1427">
        <f t="shared" si="293"/>
        <v>0</v>
      </c>
    </row>
    <row r="2197" spans="1:16" ht="15.5" outlineLevel="1" x14ac:dyDescent="0.25">
      <c r="A2197" s="1482">
        <f t="shared" si="299"/>
        <v>0</v>
      </c>
      <c r="B2197" s="1483" t="str">
        <f t="shared" si="299"/>
        <v>IDC</v>
      </c>
      <c r="C2197" s="1482" t="str">
        <f t="shared" si="299"/>
        <v>MERC/CAPEX/20182019/1240</v>
      </c>
      <c r="D2197" s="1390">
        <f t="shared" si="299"/>
        <v>43363</v>
      </c>
      <c r="E2197" s="560">
        <f t="shared" si="299"/>
        <v>1.1599999999999999</v>
      </c>
      <c r="F2197" s="1508">
        <f t="shared" si="290"/>
        <v>0</v>
      </c>
      <c r="G2197" s="1508">
        <f t="shared" si="291"/>
        <v>0</v>
      </c>
      <c r="H2197" s="1508">
        <f t="shared" si="294"/>
        <v>0</v>
      </c>
      <c r="I2197" s="1480">
        <v>0</v>
      </c>
      <c r="J2197" s="1480">
        <v>0</v>
      </c>
      <c r="K2197" s="1508"/>
      <c r="L2197" s="1508"/>
      <c r="M2197" s="1509">
        <f t="shared" si="295"/>
        <v>0</v>
      </c>
      <c r="N2197" s="1508">
        <f t="shared" si="296"/>
        <v>0</v>
      </c>
      <c r="O2197" s="1481">
        <f t="shared" si="292"/>
        <v>0</v>
      </c>
      <c r="P2197" s="1427">
        <f t="shared" si="293"/>
        <v>0</v>
      </c>
    </row>
    <row r="2198" spans="1:16" ht="31" outlineLevel="1" x14ac:dyDescent="0.25">
      <c r="A2198" s="1486">
        <f t="shared" si="299"/>
        <v>33</v>
      </c>
      <c r="B2198" s="1491" t="str">
        <f t="shared" si="299"/>
        <v>Complete Track Renewal (CTR)/Renovation of existing Broad Gauge Railway Siding of 500MW Yard in CSTPS</v>
      </c>
      <c r="C2198" s="1486" t="str">
        <f t="shared" si="299"/>
        <v>MERC/CAPEX/2019-2020/362</v>
      </c>
      <c r="D2198" s="1487">
        <f t="shared" si="299"/>
        <v>43657</v>
      </c>
      <c r="E2198" s="1383">
        <f t="shared" si="299"/>
        <v>15.22025</v>
      </c>
      <c r="F2198" s="1480">
        <f t="shared" si="290"/>
        <v>0</v>
      </c>
      <c r="G2198" s="1480">
        <f t="shared" si="291"/>
        <v>0</v>
      </c>
      <c r="H2198" s="1480">
        <f t="shared" si="294"/>
        <v>0</v>
      </c>
      <c r="I2198" s="1480">
        <v>0</v>
      </c>
      <c r="J2198" s="1480">
        <v>0</v>
      </c>
      <c r="K2198" s="1480"/>
      <c r="L2198" s="1480"/>
      <c r="M2198" s="1480">
        <f t="shared" si="295"/>
        <v>0</v>
      </c>
      <c r="N2198" s="1480">
        <f t="shared" si="296"/>
        <v>0</v>
      </c>
      <c r="O2198" s="1481">
        <f t="shared" si="292"/>
        <v>0</v>
      </c>
      <c r="P2198" s="1427">
        <f t="shared" si="293"/>
        <v>0</v>
      </c>
    </row>
    <row r="2199" spans="1:16" ht="31" outlineLevel="1" x14ac:dyDescent="0.25">
      <c r="A2199" s="1488">
        <f t="shared" si="299"/>
        <v>33.1</v>
      </c>
      <c r="B2199" s="1492" t="str">
        <f t="shared" si="299"/>
        <v>Complete Track Renewal (CTR)/Renovation of existing Broad Gauge Railway Siding of 500MW Yard in CSTPS</v>
      </c>
      <c r="C2199" s="1488" t="str">
        <f t="shared" si="299"/>
        <v>MERC/CAPEX/2019-2020/362</v>
      </c>
      <c r="D2199" s="1413">
        <f t="shared" si="299"/>
        <v>43657</v>
      </c>
      <c r="E2199" s="560">
        <f t="shared" si="299"/>
        <v>14.20025</v>
      </c>
      <c r="F2199" s="1508">
        <f t="shared" si="290"/>
        <v>16.899999999999999</v>
      </c>
      <c r="G2199" s="1508">
        <f t="shared" si="291"/>
        <v>16.899999999999999</v>
      </c>
      <c r="H2199" s="1508">
        <f t="shared" si="294"/>
        <v>0</v>
      </c>
      <c r="I2199" s="1480">
        <v>0</v>
      </c>
      <c r="J2199" s="1480">
        <v>0</v>
      </c>
      <c r="K2199" s="1508"/>
      <c r="L2199" s="1508"/>
      <c r="M2199" s="1509">
        <f t="shared" si="295"/>
        <v>0</v>
      </c>
      <c r="N2199" s="1508">
        <f t="shared" si="296"/>
        <v>0</v>
      </c>
      <c r="O2199" s="1481">
        <f t="shared" si="292"/>
        <v>0</v>
      </c>
      <c r="P2199" s="1427">
        <f t="shared" si="293"/>
        <v>0</v>
      </c>
    </row>
    <row r="2200" spans="1:16" ht="15.5" outlineLevel="1" x14ac:dyDescent="0.25">
      <c r="A2200" s="1482">
        <f t="shared" si="299"/>
        <v>0</v>
      </c>
      <c r="B2200" s="1483" t="str">
        <f t="shared" si="299"/>
        <v>IDC</v>
      </c>
      <c r="C2200" s="1482" t="str">
        <f t="shared" si="299"/>
        <v>MERC/CAPEX/2019-2020/362</v>
      </c>
      <c r="D2200" s="1390">
        <f t="shared" si="299"/>
        <v>43657</v>
      </c>
      <c r="E2200" s="560">
        <f t="shared" si="299"/>
        <v>1.02</v>
      </c>
      <c r="F2200" s="1508">
        <f t="shared" si="290"/>
        <v>0</v>
      </c>
      <c r="G2200" s="1508">
        <f t="shared" si="291"/>
        <v>0</v>
      </c>
      <c r="H2200" s="1508">
        <f t="shared" si="294"/>
        <v>0</v>
      </c>
      <c r="I2200" s="1480">
        <v>0</v>
      </c>
      <c r="J2200" s="1480">
        <v>0</v>
      </c>
      <c r="K2200" s="1508"/>
      <c r="L2200" s="1508"/>
      <c r="M2200" s="1509">
        <f t="shared" si="295"/>
        <v>0</v>
      </c>
      <c r="N2200" s="1508">
        <f t="shared" si="296"/>
        <v>0</v>
      </c>
      <c r="O2200" s="1481">
        <f t="shared" si="292"/>
        <v>0</v>
      </c>
      <c r="P2200" s="1427">
        <f t="shared" si="293"/>
        <v>0</v>
      </c>
    </row>
    <row r="2201" spans="1:16" ht="31" outlineLevel="1" x14ac:dyDescent="0.25">
      <c r="A2201" s="1486">
        <f t="shared" si="299"/>
        <v>34</v>
      </c>
      <c r="B2201" s="1491" t="str">
        <f t="shared" si="299"/>
        <v>Procurement of Spare Generator Rotor along with one set of Bearings for Unit # 5, 6 &amp; 7 CSTPS, Chandrapur</v>
      </c>
      <c r="C2201" s="1486" t="str">
        <f t="shared" si="299"/>
        <v>MERC/CAPEX/2019-2020/129</v>
      </c>
      <c r="D2201" s="1487">
        <f t="shared" si="299"/>
        <v>43588</v>
      </c>
      <c r="E2201" s="1383">
        <f t="shared" si="299"/>
        <v>41.469115199999997</v>
      </c>
      <c r="F2201" s="1480">
        <f t="shared" si="290"/>
        <v>0</v>
      </c>
      <c r="G2201" s="1480">
        <f t="shared" si="291"/>
        <v>0</v>
      </c>
      <c r="H2201" s="1480">
        <f t="shared" si="294"/>
        <v>0</v>
      </c>
      <c r="I2201" s="1480">
        <v>0</v>
      </c>
      <c r="J2201" s="1480">
        <v>0</v>
      </c>
      <c r="K2201" s="1480"/>
      <c r="L2201" s="1480"/>
      <c r="M2201" s="1480">
        <f t="shared" si="295"/>
        <v>0</v>
      </c>
      <c r="N2201" s="1480">
        <f t="shared" si="296"/>
        <v>0</v>
      </c>
      <c r="O2201" s="1481">
        <f t="shared" si="292"/>
        <v>0</v>
      </c>
      <c r="P2201" s="1427">
        <f t="shared" si="293"/>
        <v>0</v>
      </c>
    </row>
    <row r="2202" spans="1:16" ht="46.5" outlineLevel="1" x14ac:dyDescent="0.25">
      <c r="A2202" s="1488">
        <f t="shared" si="299"/>
        <v>34.1</v>
      </c>
      <c r="B2202" s="1492" t="str">
        <f t="shared" si="299"/>
        <v xml:space="preserve">Generator Rotor suitable for THDF 115/59
One Set of Bearings (Comprising of 2 nos. of bearings)
</v>
      </c>
      <c r="C2202" s="1488" t="str">
        <f t="shared" si="299"/>
        <v>MERC/CAPEX/2019-2020/129</v>
      </c>
      <c r="D2202" s="1413">
        <f t="shared" si="299"/>
        <v>43588</v>
      </c>
      <c r="E2202" s="560">
        <f t="shared" si="299"/>
        <v>40.359115199999998</v>
      </c>
      <c r="F2202" s="1508">
        <f t="shared" si="290"/>
        <v>42.189589900000001</v>
      </c>
      <c r="G2202" s="1508">
        <f t="shared" si="291"/>
        <v>42.189589900000001</v>
      </c>
      <c r="H2202" s="1508">
        <f t="shared" si="294"/>
        <v>0</v>
      </c>
      <c r="I2202" s="1480">
        <v>0</v>
      </c>
      <c r="J2202" s="1480">
        <v>0</v>
      </c>
      <c r="K2202" s="1508"/>
      <c r="L2202" s="1508"/>
      <c r="M2202" s="1509">
        <f t="shared" si="295"/>
        <v>0</v>
      </c>
      <c r="N2202" s="1508">
        <f t="shared" si="296"/>
        <v>0</v>
      </c>
      <c r="O2202" s="1481">
        <f t="shared" si="292"/>
        <v>0</v>
      </c>
      <c r="P2202" s="1427">
        <f t="shared" si="293"/>
        <v>0</v>
      </c>
    </row>
    <row r="2203" spans="1:16" ht="15.5" outlineLevel="1" x14ac:dyDescent="0.25">
      <c r="A2203" s="1482">
        <f t="shared" si="299"/>
        <v>0</v>
      </c>
      <c r="B2203" s="1483" t="str">
        <f t="shared" si="299"/>
        <v>IDC</v>
      </c>
      <c r="C2203" s="1482" t="str">
        <f t="shared" si="299"/>
        <v>MERC/CAPEX/2019-2020/129</v>
      </c>
      <c r="D2203" s="1390">
        <f t="shared" si="299"/>
        <v>43588</v>
      </c>
      <c r="E2203" s="560">
        <f t="shared" si="299"/>
        <v>1.1100000000000001</v>
      </c>
      <c r="F2203" s="1508">
        <f t="shared" si="290"/>
        <v>0</v>
      </c>
      <c r="G2203" s="1508">
        <f t="shared" si="291"/>
        <v>0</v>
      </c>
      <c r="H2203" s="1508">
        <f t="shared" si="294"/>
        <v>0</v>
      </c>
      <c r="I2203" s="1480">
        <v>0</v>
      </c>
      <c r="J2203" s="1480">
        <v>0</v>
      </c>
      <c r="K2203" s="1508"/>
      <c r="L2203" s="1508"/>
      <c r="M2203" s="1509">
        <f t="shared" si="295"/>
        <v>0</v>
      </c>
      <c r="N2203" s="1508">
        <f t="shared" si="296"/>
        <v>0</v>
      </c>
      <c r="O2203" s="1481">
        <f t="shared" si="292"/>
        <v>0</v>
      </c>
      <c r="P2203" s="1427">
        <f t="shared" si="293"/>
        <v>0</v>
      </c>
    </row>
    <row r="2204" spans="1:16" ht="31" outlineLevel="1" x14ac:dyDescent="0.25">
      <c r="A2204" s="1477">
        <f t="shared" si="299"/>
        <v>35</v>
      </c>
      <c r="B2204" s="1478" t="str">
        <f t="shared" si="299"/>
        <v>Procurement of 2 NOS. OF 3100 HP, WDG-3A Locomotives for CSTPS, Chandrapur</v>
      </c>
      <c r="C2204" s="1486" t="str">
        <f t="shared" si="299"/>
        <v>MERC/CAPEX/2019-2020/1214</v>
      </c>
      <c r="D2204" s="1487">
        <f t="shared" si="299"/>
        <v>43822</v>
      </c>
      <c r="E2204" s="1383">
        <f t="shared" si="299"/>
        <v>22.05</v>
      </c>
      <c r="F2204" s="1480">
        <f t="shared" si="290"/>
        <v>0</v>
      </c>
      <c r="G2204" s="1480">
        <f t="shared" si="291"/>
        <v>0</v>
      </c>
      <c r="H2204" s="1480">
        <f t="shared" si="294"/>
        <v>0</v>
      </c>
      <c r="I2204" s="1480">
        <v>0</v>
      </c>
      <c r="J2204" s="1480">
        <v>0</v>
      </c>
      <c r="K2204" s="1480"/>
      <c r="L2204" s="1480"/>
      <c r="M2204" s="1480">
        <f t="shared" si="295"/>
        <v>0</v>
      </c>
      <c r="N2204" s="1480">
        <f t="shared" si="296"/>
        <v>0</v>
      </c>
      <c r="O2204" s="1481">
        <f t="shared" si="292"/>
        <v>0</v>
      </c>
      <c r="P2204" s="1427">
        <f t="shared" si="293"/>
        <v>0</v>
      </c>
    </row>
    <row r="2205" spans="1:16" ht="31" outlineLevel="1" x14ac:dyDescent="0.25">
      <c r="A2205" s="1482">
        <f t="shared" si="299"/>
        <v>35.1</v>
      </c>
      <c r="B2205" s="1483" t="str">
        <f t="shared" si="299"/>
        <v>Procurement of 2 NOS. OF 3100 HP, WDG-3A Locomotives for CSTPS, Chandrapur</v>
      </c>
      <c r="C2205" s="1488" t="str">
        <f t="shared" si="299"/>
        <v>MERC/CAPEX/2019-2020/1214</v>
      </c>
      <c r="D2205" s="1413">
        <f t="shared" si="299"/>
        <v>43822</v>
      </c>
      <c r="E2205" s="1383">
        <f t="shared" si="299"/>
        <v>21.66</v>
      </c>
      <c r="F2205" s="1480">
        <f t="shared" si="290"/>
        <v>22.854784800000001</v>
      </c>
      <c r="G2205" s="1480">
        <f t="shared" si="291"/>
        <v>22.854784800000001</v>
      </c>
      <c r="H2205" s="1480">
        <f>F2205-G2205</f>
        <v>0</v>
      </c>
      <c r="I2205" s="1480">
        <v>0</v>
      </c>
      <c r="J2205" s="1480">
        <v>0</v>
      </c>
      <c r="K2205" s="1480"/>
      <c r="L2205" s="1480"/>
      <c r="M2205" s="1480">
        <f>SUM(J2205:L2205)</f>
        <v>0</v>
      </c>
      <c r="N2205" s="1480">
        <f>H2205+I2205-M2205</f>
        <v>0</v>
      </c>
      <c r="O2205" s="1481">
        <f t="shared" si="292"/>
        <v>0</v>
      </c>
      <c r="P2205" s="1427">
        <f t="shared" si="293"/>
        <v>0</v>
      </c>
    </row>
    <row r="2206" spans="1:16" ht="15.5" outlineLevel="1" x14ac:dyDescent="0.25">
      <c r="A2206" s="1482">
        <f t="shared" si="299"/>
        <v>0</v>
      </c>
      <c r="B2206" s="1483" t="str">
        <f t="shared" si="299"/>
        <v>IDC</v>
      </c>
      <c r="C2206" s="1482" t="str">
        <f t="shared" si="299"/>
        <v>MERC/CAPEX/2019-2020/1214</v>
      </c>
      <c r="D2206" s="1390">
        <f t="shared" si="299"/>
        <v>43822</v>
      </c>
      <c r="E2206" s="560">
        <f t="shared" si="299"/>
        <v>0.39</v>
      </c>
      <c r="F2206" s="1508">
        <f t="shared" si="290"/>
        <v>0</v>
      </c>
      <c r="G2206" s="1508">
        <f t="shared" si="291"/>
        <v>0</v>
      </c>
      <c r="H2206" s="1508">
        <f t="shared" ref="H2206:H2269" si="300">F2206-G2206</f>
        <v>0</v>
      </c>
      <c r="I2206" s="1480">
        <v>0</v>
      </c>
      <c r="J2206" s="1480">
        <v>0</v>
      </c>
      <c r="K2206" s="1508"/>
      <c r="L2206" s="1508"/>
      <c r="M2206" s="1509">
        <f t="shared" ref="M2206:M2262" si="301">SUM(J2206:L2206)</f>
        <v>0</v>
      </c>
      <c r="N2206" s="1508">
        <f t="shared" ref="N2206:N2269" si="302">H2206+I2206-M2206</f>
        <v>0</v>
      </c>
      <c r="O2206" s="1481">
        <f t="shared" si="292"/>
        <v>0</v>
      </c>
      <c r="P2206" s="1427">
        <f t="shared" si="293"/>
        <v>0</v>
      </c>
    </row>
    <row r="2207" spans="1:16" ht="46.5" outlineLevel="1" x14ac:dyDescent="0.25">
      <c r="A2207" s="1486">
        <f t="shared" si="299"/>
        <v>36</v>
      </c>
      <c r="B2207" s="1491" t="str">
        <f t="shared" si="299"/>
        <v>Replacement of 220 V Station Battery Sets &amp; UPS Battery Sets of Unit# 5 &amp; 6 and 24 V G1 G2 Battery sets of Unit# 5, 6 &amp; 7 for 500MW Stage-III CSTPS.</v>
      </c>
      <c r="C2207" s="1486" t="str">
        <f t="shared" si="299"/>
        <v>MERC/CAPEX/2020-2021/WFH/SBR/32</v>
      </c>
      <c r="D2207" s="1487">
        <f t="shared" si="299"/>
        <v>44104</v>
      </c>
      <c r="E2207" s="1383">
        <f t="shared" si="299"/>
        <v>18.559999999999999</v>
      </c>
      <c r="F2207" s="1480">
        <f t="shared" si="290"/>
        <v>0</v>
      </c>
      <c r="G2207" s="1480">
        <f t="shared" si="291"/>
        <v>0</v>
      </c>
      <c r="H2207" s="1480">
        <f t="shared" si="300"/>
        <v>0</v>
      </c>
      <c r="I2207" s="1480">
        <v>0</v>
      </c>
      <c r="J2207" s="1480">
        <v>0</v>
      </c>
      <c r="K2207" s="1480"/>
      <c r="L2207" s="1480"/>
      <c r="M2207" s="1480">
        <f t="shared" si="301"/>
        <v>0</v>
      </c>
      <c r="N2207" s="1480">
        <f t="shared" si="302"/>
        <v>0</v>
      </c>
      <c r="O2207" s="1481">
        <f t="shared" si="292"/>
        <v>0</v>
      </c>
      <c r="P2207" s="1427">
        <f t="shared" si="293"/>
        <v>0</v>
      </c>
    </row>
    <row r="2208" spans="1:16" ht="46.5" outlineLevel="1" x14ac:dyDescent="0.25">
      <c r="A2208" s="1488">
        <f t="shared" si="299"/>
        <v>36.1</v>
      </c>
      <c r="B2208" s="1492" t="str">
        <f t="shared" si="299"/>
        <v>Replacement of 220 V Station Battery Sets &amp; UPS Battery Sets of Unit# 5 &amp; 6 and 24 V G1 G2 Battery sets of Unit# 5, 6 &amp; 7 for 500MW Stage-III, CSTPS.</v>
      </c>
      <c r="C2208" s="1488" t="str">
        <f t="shared" si="299"/>
        <v>MERC/CAPEX/2020-2021/WFH/SBR/32</v>
      </c>
      <c r="D2208" s="1413">
        <f t="shared" si="299"/>
        <v>44104</v>
      </c>
      <c r="E2208" s="560">
        <f t="shared" si="299"/>
        <v>18.32</v>
      </c>
      <c r="F2208" s="1508">
        <f t="shared" si="290"/>
        <v>18.32</v>
      </c>
      <c r="G2208" s="1508">
        <f t="shared" si="291"/>
        <v>17.32</v>
      </c>
      <c r="H2208" s="1508">
        <f t="shared" si="300"/>
        <v>1</v>
      </c>
      <c r="I2208" s="1480">
        <v>0</v>
      </c>
      <c r="J2208" s="1480">
        <v>1</v>
      </c>
      <c r="K2208" s="1508"/>
      <c r="L2208" s="1508"/>
      <c r="M2208" s="1509">
        <f t="shared" si="301"/>
        <v>1</v>
      </c>
      <c r="N2208" s="1508">
        <f t="shared" si="302"/>
        <v>0</v>
      </c>
      <c r="O2208" s="1481">
        <f t="shared" si="292"/>
        <v>1</v>
      </c>
      <c r="P2208" s="1427">
        <f t="shared" si="293"/>
        <v>0</v>
      </c>
    </row>
    <row r="2209" spans="1:16" ht="31" outlineLevel="1" x14ac:dyDescent="0.25">
      <c r="A2209" s="1482">
        <f t="shared" si="299"/>
        <v>0</v>
      </c>
      <c r="B2209" s="1483" t="str">
        <f t="shared" si="299"/>
        <v>IDC</v>
      </c>
      <c r="C2209" s="1482" t="str">
        <f t="shared" si="299"/>
        <v>MERC/CAPEX/2020-2021/WFH/SBR/32</v>
      </c>
      <c r="D2209" s="1390">
        <f t="shared" si="299"/>
        <v>44104</v>
      </c>
      <c r="E2209" s="560">
        <f t="shared" si="299"/>
        <v>0.24</v>
      </c>
      <c r="F2209" s="1508">
        <f t="shared" si="290"/>
        <v>0</v>
      </c>
      <c r="G2209" s="1508">
        <f t="shared" si="291"/>
        <v>0</v>
      </c>
      <c r="H2209" s="1508">
        <f t="shared" si="300"/>
        <v>0</v>
      </c>
      <c r="I2209" s="1480">
        <v>0</v>
      </c>
      <c r="J2209" s="1480">
        <v>0</v>
      </c>
      <c r="K2209" s="1508"/>
      <c r="L2209" s="1508"/>
      <c r="M2209" s="1509">
        <f t="shared" si="301"/>
        <v>0</v>
      </c>
      <c r="N2209" s="1508">
        <f t="shared" si="302"/>
        <v>0</v>
      </c>
      <c r="O2209" s="1481">
        <f t="shared" si="292"/>
        <v>0</v>
      </c>
      <c r="P2209" s="1427">
        <f t="shared" si="293"/>
        <v>0</v>
      </c>
    </row>
    <row r="2210" spans="1:16" ht="46.5" outlineLevel="1" x14ac:dyDescent="0.25">
      <c r="A2210" s="1486">
        <f t="shared" si="299"/>
        <v>37</v>
      </c>
      <c r="B2210" s="1491" t="str">
        <f t="shared" si="299"/>
        <v>Flue Gas Desulphurization (FGD) System for 500 MW UnitS (Total 8 Nos) of MSPGCL
(Chandrapur Unit # 5-7)</v>
      </c>
      <c r="C2210" s="1486" t="str">
        <f t="shared" si="299"/>
        <v>MERC/CAPEX/2020-2021/WFH/SBR/43</v>
      </c>
      <c r="D2210" s="1487">
        <f t="shared" si="299"/>
        <v>44179</v>
      </c>
      <c r="E2210" s="1383">
        <f t="shared" si="299"/>
        <v>656.25</v>
      </c>
      <c r="F2210" s="1480">
        <f t="shared" si="290"/>
        <v>0</v>
      </c>
      <c r="G2210" s="1480">
        <f t="shared" si="291"/>
        <v>0</v>
      </c>
      <c r="H2210" s="1480">
        <f t="shared" si="300"/>
        <v>0</v>
      </c>
      <c r="I2210" s="1480">
        <v>0</v>
      </c>
      <c r="J2210" s="1480">
        <v>0</v>
      </c>
      <c r="K2210" s="1480"/>
      <c r="L2210" s="1480"/>
      <c r="M2210" s="1480">
        <f t="shared" si="301"/>
        <v>0</v>
      </c>
      <c r="N2210" s="1480">
        <f t="shared" si="302"/>
        <v>0</v>
      </c>
      <c r="O2210" s="1481">
        <f t="shared" si="292"/>
        <v>0</v>
      </c>
      <c r="P2210" s="1427">
        <f t="shared" si="293"/>
        <v>0</v>
      </c>
    </row>
    <row r="2211" spans="1:16" ht="46.5" outlineLevel="1" x14ac:dyDescent="0.25">
      <c r="A2211" s="1488">
        <f t="shared" si="299"/>
        <v>37.1</v>
      </c>
      <c r="B2211" s="1492" t="str">
        <f t="shared" si="299"/>
        <v>Flue Gas Desulphurization (FGD) System for 500 MW UnitS (Total 8 Nos) of MSPGCL
(Chandrapur Unit # 5-7)</v>
      </c>
      <c r="C2211" s="1488" t="str">
        <f t="shared" si="299"/>
        <v>MERC/CAPEX/2020-2021/WFH/SBR/43</v>
      </c>
      <c r="D2211" s="1413">
        <f t="shared" si="299"/>
        <v>44179</v>
      </c>
      <c r="E2211" s="560">
        <f t="shared" si="299"/>
        <v>602.58000000000004</v>
      </c>
      <c r="F2211" s="1508">
        <f t="shared" si="290"/>
        <v>179.49</v>
      </c>
      <c r="G2211" s="1508">
        <f t="shared" si="291"/>
        <v>0</v>
      </c>
      <c r="H2211" s="1508">
        <f t="shared" si="300"/>
        <v>179.49</v>
      </c>
      <c r="I2211" s="1480">
        <v>658.11</v>
      </c>
      <c r="J2211" s="1480">
        <v>0</v>
      </c>
      <c r="K2211" s="1508"/>
      <c r="L2211" s="1508"/>
      <c r="M2211" s="1509">
        <f t="shared" si="301"/>
        <v>0</v>
      </c>
      <c r="N2211" s="1508">
        <f t="shared" si="302"/>
        <v>837.6</v>
      </c>
      <c r="O2211" s="1481">
        <f t="shared" si="292"/>
        <v>0</v>
      </c>
      <c r="P2211" s="1427">
        <f t="shared" si="293"/>
        <v>0</v>
      </c>
    </row>
    <row r="2212" spans="1:16" ht="31" outlineLevel="1" x14ac:dyDescent="0.25">
      <c r="A2212" s="1488">
        <f t="shared" ref="A2212:E2227" si="303">A1542</f>
        <v>0</v>
      </c>
      <c r="B2212" s="1492" t="str">
        <f t="shared" si="303"/>
        <v>IDC</v>
      </c>
      <c r="C2212" s="1488" t="str">
        <f t="shared" si="303"/>
        <v>MERC/CAPEX/2020-2021/WFH/SBR/43</v>
      </c>
      <c r="D2212" s="1413">
        <f t="shared" si="303"/>
        <v>44179</v>
      </c>
      <c r="E2212" s="560">
        <f t="shared" si="303"/>
        <v>53.67</v>
      </c>
      <c r="F2212" s="1508">
        <f t="shared" ref="F2212:F2275" si="304">F1542+I1542</f>
        <v>0</v>
      </c>
      <c r="G2212" s="1508">
        <f t="shared" ref="G2212:G2275" si="305">G1542+M1542</f>
        <v>0</v>
      </c>
      <c r="H2212" s="1508">
        <f t="shared" si="300"/>
        <v>0</v>
      </c>
      <c r="I2212" s="1480">
        <v>0</v>
      </c>
      <c r="J2212" s="1480">
        <v>0</v>
      </c>
      <c r="K2212" s="1508"/>
      <c r="L2212" s="1508"/>
      <c r="M2212" s="1509">
        <f t="shared" si="301"/>
        <v>0</v>
      </c>
      <c r="N2212" s="1508">
        <f t="shared" si="302"/>
        <v>0</v>
      </c>
      <c r="O2212" s="1481">
        <f t="shared" ref="O2212:O2262" si="306">MAX(0,IF(M2212=0,0,IF(G2212+M2212&lt;E2212,M2212,E2212-G2212)))</f>
        <v>0</v>
      </c>
      <c r="P2212" s="1427">
        <f t="shared" ref="P2212:P2262" si="307">M2212-O2212</f>
        <v>0</v>
      </c>
    </row>
    <row r="2213" spans="1:16" ht="31" outlineLevel="1" x14ac:dyDescent="0.25">
      <c r="A2213" s="1486">
        <f t="shared" si="303"/>
        <v>38</v>
      </c>
      <c r="B2213" s="1491" t="str">
        <f t="shared" si="303"/>
        <v>Replacement of ECO and LTSH coils to Unit-4 Chandrapur (Parli DPR)</v>
      </c>
      <c r="C2213" s="1486" t="str">
        <f t="shared" si="303"/>
        <v xml:space="preserve">MERC/TECH1/CAPEX/20142015/01526 </v>
      </c>
      <c r="D2213" s="1487">
        <f t="shared" si="303"/>
        <v>42033</v>
      </c>
      <c r="E2213" s="1383">
        <f t="shared" si="303"/>
        <v>10</v>
      </c>
      <c r="F2213" s="1480">
        <f t="shared" si="304"/>
        <v>0</v>
      </c>
      <c r="G2213" s="1480">
        <f t="shared" si="305"/>
        <v>0</v>
      </c>
      <c r="H2213" s="1480">
        <f t="shared" si="300"/>
        <v>0</v>
      </c>
      <c r="I2213" s="1480">
        <v>0</v>
      </c>
      <c r="J2213" s="1480">
        <v>0</v>
      </c>
      <c r="K2213" s="1480"/>
      <c r="L2213" s="1480"/>
      <c r="M2213" s="1480">
        <f t="shared" si="301"/>
        <v>0</v>
      </c>
      <c r="N2213" s="1480">
        <f t="shared" si="302"/>
        <v>0</v>
      </c>
      <c r="O2213" s="1481">
        <f t="shared" si="306"/>
        <v>0</v>
      </c>
      <c r="P2213" s="1427">
        <f t="shared" si="307"/>
        <v>0</v>
      </c>
    </row>
    <row r="2214" spans="1:16" ht="31" outlineLevel="1" x14ac:dyDescent="0.25">
      <c r="A2214" s="1488">
        <f t="shared" si="303"/>
        <v>0</v>
      </c>
      <c r="B2214" s="1492" t="str">
        <f t="shared" si="303"/>
        <v>Replacement of ECO and LTSH coils to Unit-4 Chandrapur</v>
      </c>
      <c r="C2214" s="1493" t="str">
        <f t="shared" si="303"/>
        <v xml:space="preserve">MERC/TECH1/CAPEX/20142015/01526 </v>
      </c>
      <c r="D2214" s="1494">
        <f t="shared" si="303"/>
        <v>42033</v>
      </c>
      <c r="E2214" s="560">
        <f t="shared" si="303"/>
        <v>9.4</v>
      </c>
      <c r="F2214" s="1508">
        <f t="shared" si="304"/>
        <v>9.3998608000000008</v>
      </c>
      <c r="G2214" s="1508">
        <f t="shared" si="305"/>
        <v>9.3998608000000008</v>
      </c>
      <c r="H2214" s="1508">
        <f t="shared" si="300"/>
        <v>0</v>
      </c>
      <c r="I2214" s="1480">
        <v>0</v>
      </c>
      <c r="J2214" s="1480">
        <v>0</v>
      </c>
      <c r="K2214" s="1508"/>
      <c r="L2214" s="1508"/>
      <c r="M2214" s="1509">
        <f t="shared" si="301"/>
        <v>0</v>
      </c>
      <c r="N2214" s="1508">
        <f t="shared" si="302"/>
        <v>0</v>
      </c>
      <c r="O2214" s="1481">
        <f t="shared" si="306"/>
        <v>0</v>
      </c>
      <c r="P2214" s="1427">
        <f t="shared" si="307"/>
        <v>0</v>
      </c>
    </row>
    <row r="2215" spans="1:16" ht="31" outlineLevel="1" x14ac:dyDescent="0.25">
      <c r="A2215" s="1488">
        <f t="shared" si="303"/>
        <v>0</v>
      </c>
      <c r="B2215" s="1492" t="str">
        <f t="shared" si="303"/>
        <v>IDC</v>
      </c>
      <c r="C2215" s="1493" t="str">
        <f t="shared" si="303"/>
        <v xml:space="preserve">MERC/TECH1/CAPEX/20142015/01526 </v>
      </c>
      <c r="D2215" s="1494">
        <f t="shared" si="303"/>
        <v>42033</v>
      </c>
      <c r="E2215" s="560">
        <f t="shared" si="303"/>
        <v>0.6</v>
      </c>
      <c r="F2215" s="1508">
        <f t="shared" si="304"/>
        <v>0</v>
      </c>
      <c r="G2215" s="1508">
        <f t="shared" si="305"/>
        <v>0</v>
      </c>
      <c r="H2215" s="1508">
        <f t="shared" si="300"/>
        <v>0</v>
      </c>
      <c r="I2215" s="1480">
        <v>0</v>
      </c>
      <c r="J2215" s="1480">
        <v>0</v>
      </c>
      <c r="K2215" s="1508"/>
      <c r="L2215" s="1508"/>
      <c r="M2215" s="1509">
        <f t="shared" si="301"/>
        <v>0</v>
      </c>
      <c r="N2215" s="1508">
        <f t="shared" si="302"/>
        <v>0</v>
      </c>
      <c r="O2215" s="1481">
        <f t="shared" si="306"/>
        <v>0</v>
      </c>
      <c r="P2215" s="1427">
        <f t="shared" si="307"/>
        <v>0</v>
      </c>
    </row>
    <row r="2216" spans="1:16" ht="31" outlineLevel="1" x14ac:dyDescent="0.25">
      <c r="A2216" s="1486">
        <f t="shared" si="303"/>
        <v>39</v>
      </c>
      <c r="B2216" s="1491" t="str">
        <f t="shared" si="303"/>
        <v>Supply of complete gear box assembly for XRP-1043 coal mill at U-5 &amp;  U-6 for FY 2019-20 &amp; FY 20-21 at CSTPS, Chandrapur</v>
      </c>
      <c r="C2216" s="1486" t="str">
        <f t="shared" si="303"/>
        <v>MERC/CAPEX/2020-2021/WFH/SBR/05</v>
      </c>
      <c r="D2216" s="1487">
        <f t="shared" si="303"/>
        <v>44335</v>
      </c>
      <c r="E2216" s="1383">
        <f t="shared" si="303"/>
        <v>21.53</v>
      </c>
      <c r="F2216" s="1480">
        <f t="shared" si="304"/>
        <v>0</v>
      </c>
      <c r="G2216" s="1480">
        <f t="shared" si="305"/>
        <v>0</v>
      </c>
      <c r="H2216" s="1480">
        <f t="shared" si="300"/>
        <v>0</v>
      </c>
      <c r="I2216" s="1480">
        <v>0</v>
      </c>
      <c r="J2216" s="1480">
        <v>0</v>
      </c>
      <c r="K2216" s="1480"/>
      <c r="L2216" s="1480"/>
      <c r="M2216" s="1480">
        <f t="shared" si="301"/>
        <v>0</v>
      </c>
      <c r="N2216" s="1480">
        <f t="shared" si="302"/>
        <v>0</v>
      </c>
      <c r="O2216" s="1481">
        <f t="shared" si="306"/>
        <v>0</v>
      </c>
      <c r="P2216" s="1427">
        <f t="shared" si="307"/>
        <v>0</v>
      </c>
    </row>
    <row r="2217" spans="1:16" ht="77.5" outlineLevel="1" x14ac:dyDescent="0.25">
      <c r="A2217" s="1488">
        <f t="shared" si="303"/>
        <v>39.1</v>
      </c>
      <c r="B2217" s="1492" t="str">
        <f t="shared" si="303"/>
        <v>Supply of complete gear box assembly for XRP-1043coal mill unit
5&amp;6and complete lub oil system of XRP-1043Coal Mill in Unit-5&amp;6.
(Qty. 02 nos. one for each unit)</v>
      </c>
      <c r="C2217" s="1488" t="str">
        <f t="shared" si="303"/>
        <v>MERC/CAPEX/2020-2021/WFH/SBR/05</v>
      </c>
      <c r="D2217" s="1413">
        <f t="shared" si="303"/>
        <v>44335</v>
      </c>
      <c r="E2217" s="560">
        <f t="shared" si="303"/>
        <v>21.02</v>
      </c>
      <c r="F2217" s="1508">
        <f t="shared" si="304"/>
        <v>9.9520900000000001</v>
      </c>
      <c r="G2217" s="1508">
        <f t="shared" si="305"/>
        <v>9.9520900000000001</v>
      </c>
      <c r="H2217" s="1508">
        <f t="shared" si="300"/>
        <v>0</v>
      </c>
      <c r="I2217" s="1480">
        <v>0</v>
      </c>
      <c r="J2217" s="1480">
        <v>0</v>
      </c>
      <c r="K2217" s="1508"/>
      <c r="L2217" s="1508"/>
      <c r="M2217" s="1509">
        <f t="shared" si="301"/>
        <v>0</v>
      </c>
      <c r="N2217" s="1508">
        <f t="shared" si="302"/>
        <v>0</v>
      </c>
      <c r="O2217" s="1481">
        <f t="shared" si="306"/>
        <v>0</v>
      </c>
      <c r="P2217" s="1427">
        <f t="shared" si="307"/>
        <v>0</v>
      </c>
    </row>
    <row r="2218" spans="1:16" ht="31" outlineLevel="1" x14ac:dyDescent="0.25">
      <c r="A2218" s="1488">
        <f t="shared" si="303"/>
        <v>0</v>
      </c>
      <c r="B2218" s="1492" t="str">
        <f t="shared" si="303"/>
        <v>IDC</v>
      </c>
      <c r="C2218" s="1488" t="str">
        <f t="shared" si="303"/>
        <v>MERC/CAPEX/2020-2021/WFH/SBR/05</v>
      </c>
      <c r="D2218" s="1413">
        <f t="shared" si="303"/>
        <v>44335</v>
      </c>
      <c r="E2218" s="560">
        <f t="shared" si="303"/>
        <v>0.51</v>
      </c>
      <c r="F2218" s="1508">
        <f t="shared" si="304"/>
        <v>0</v>
      </c>
      <c r="G2218" s="1508">
        <f t="shared" si="305"/>
        <v>0</v>
      </c>
      <c r="H2218" s="1508">
        <f t="shared" si="300"/>
        <v>0</v>
      </c>
      <c r="I2218" s="1480">
        <v>0</v>
      </c>
      <c r="J2218" s="1480">
        <v>0</v>
      </c>
      <c r="K2218" s="1508"/>
      <c r="L2218" s="1508"/>
      <c r="M2218" s="1509">
        <f t="shared" si="301"/>
        <v>0</v>
      </c>
      <c r="N2218" s="1508">
        <f t="shared" si="302"/>
        <v>0</v>
      </c>
      <c r="O2218" s="1481">
        <f t="shared" si="306"/>
        <v>0</v>
      </c>
      <c r="P2218" s="1427">
        <f t="shared" si="307"/>
        <v>0</v>
      </c>
    </row>
    <row r="2219" spans="1:16" ht="31" outlineLevel="1" x14ac:dyDescent="0.25">
      <c r="A2219" s="1477" t="str">
        <f t="shared" si="303"/>
        <v>HO
DPR 1</v>
      </c>
      <c r="B2219" s="1478" t="str">
        <f t="shared" si="303"/>
        <v>AFGC/DFGC SYSTEM 210MW</v>
      </c>
      <c r="C2219" s="1477" t="str">
        <f t="shared" si="303"/>
        <v>MERC/CAP/DPR/10/07/1149</v>
      </c>
      <c r="D2219" s="1479">
        <f t="shared" si="303"/>
        <v>39232</v>
      </c>
      <c r="E2219" s="1383">
        <f t="shared" si="303"/>
        <v>9.6</v>
      </c>
      <c r="F2219" s="1480">
        <f t="shared" si="304"/>
        <v>0</v>
      </c>
      <c r="G2219" s="1480">
        <f t="shared" si="305"/>
        <v>0</v>
      </c>
      <c r="H2219" s="1480">
        <f t="shared" si="300"/>
        <v>0</v>
      </c>
      <c r="I2219" s="1480">
        <v>0</v>
      </c>
      <c r="J2219" s="1480">
        <v>0</v>
      </c>
      <c r="K2219" s="1480"/>
      <c r="L2219" s="1480"/>
      <c r="M2219" s="1480">
        <f t="shared" si="301"/>
        <v>0</v>
      </c>
      <c r="N2219" s="1480">
        <f t="shared" si="302"/>
        <v>0</v>
      </c>
      <c r="O2219" s="1481">
        <f t="shared" si="306"/>
        <v>0</v>
      </c>
      <c r="P2219" s="1427">
        <f t="shared" si="307"/>
        <v>0</v>
      </c>
    </row>
    <row r="2220" spans="1:16" ht="31" outlineLevel="1" x14ac:dyDescent="0.25">
      <c r="A2220" s="1482" t="str">
        <f t="shared" si="303"/>
        <v>HO
DPR 1.1</v>
      </c>
      <c r="B2220" s="1483" t="str">
        <f t="shared" si="303"/>
        <v>CSTPS U-1,2&amp;4</v>
      </c>
      <c r="C2220" s="1482" t="str">
        <f t="shared" si="303"/>
        <v>MERC/CAP/DPR/10/07/1149</v>
      </c>
      <c r="D2220" s="1390">
        <f t="shared" si="303"/>
        <v>39232</v>
      </c>
      <c r="E2220" s="560">
        <f t="shared" si="303"/>
        <v>9.6</v>
      </c>
      <c r="F2220" s="1508">
        <f t="shared" si="304"/>
        <v>4.9831317769999997</v>
      </c>
      <c r="G2220" s="1508">
        <f t="shared" si="305"/>
        <v>4.9831317769999997</v>
      </c>
      <c r="H2220" s="1508">
        <f t="shared" si="300"/>
        <v>0</v>
      </c>
      <c r="I2220" s="1480">
        <v>0</v>
      </c>
      <c r="J2220" s="1480">
        <v>0</v>
      </c>
      <c r="K2220" s="1508"/>
      <c r="L2220" s="1508"/>
      <c r="M2220" s="1509">
        <f t="shared" si="301"/>
        <v>0</v>
      </c>
      <c r="N2220" s="1508">
        <f t="shared" si="302"/>
        <v>0</v>
      </c>
      <c r="O2220" s="1481">
        <f t="shared" si="306"/>
        <v>0</v>
      </c>
      <c r="P2220" s="1427">
        <f t="shared" si="307"/>
        <v>0</v>
      </c>
    </row>
    <row r="2221" spans="1:16" ht="31" outlineLevel="1" x14ac:dyDescent="0.25">
      <c r="A2221" s="1477" t="str">
        <f t="shared" si="303"/>
        <v>HO
DPR 4</v>
      </c>
      <c r="B2221" s="1478" t="str">
        <f t="shared" si="303"/>
        <v>Construction of coal platform for Chandrapur TPS, Khaperkheda TPS &amp; Parli TPS</v>
      </c>
      <c r="C2221" s="1477" t="str">
        <f t="shared" si="303"/>
        <v>MERC/TECH 1/CAPEX/20132014/00827</v>
      </c>
      <c r="D2221" s="1479">
        <f t="shared" si="303"/>
        <v>41464</v>
      </c>
      <c r="E2221" s="1383">
        <f t="shared" si="303"/>
        <v>10.36</v>
      </c>
      <c r="F2221" s="1480">
        <f t="shared" si="304"/>
        <v>0</v>
      </c>
      <c r="G2221" s="1480">
        <f t="shared" si="305"/>
        <v>0</v>
      </c>
      <c r="H2221" s="1480">
        <f t="shared" si="300"/>
        <v>0</v>
      </c>
      <c r="I2221" s="1480">
        <v>0</v>
      </c>
      <c r="J2221" s="1480">
        <v>0</v>
      </c>
      <c r="K2221" s="1480"/>
      <c r="L2221" s="1480"/>
      <c r="M2221" s="1480">
        <f t="shared" si="301"/>
        <v>0</v>
      </c>
      <c r="N2221" s="1480">
        <f t="shared" si="302"/>
        <v>0</v>
      </c>
      <c r="O2221" s="1481">
        <f t="shared" si="306"/>
        <v>0</v>
      </c>
      <c r="P2221" s="1427">
        <f t="shared" si="307"/>
        <v>0</v>
      </c>
    </row>
    <row r="2222" spans="1:16" ht="31" outlineLevel="1" x14ac:dyDescent="0.25">
      <c r="A2222" s="1482" t="str">
        <f t="shared" si="303"/>
        <v>HO
DPR 4.1</v>
      </c>
      <c r="B2222" s="1483" t="str">
        <f t="shared" si="303"/>
        <v>Chandrapur TPS</v>
      </c>
      <c r="C2222" s="1482" t="str">
        <f t="shared" si="303"/>
        <v>MERC/TECH 1/CAPEX/20132014/00827</v>
      </c>
      <c r="D2222" s="1390">
        <f t="shared" si="303"/>
        <v>41464</v>
      </c>
      <c r="E2222" s="560">
        <f t="shared" si="303"/>
        <v>10.36</v>
      </c>
      <c r="F2222" s="1508">
        <f t="shared" si="304"/>
        <v>0</v>
      </c>
      <c r="G2222" s="1508">
        <f t="shared" si="305"/>
        <v>0</v>
      </c>
      <c r="H2222" s="1508">
        <f t="shared" si="300"/>
        <v>0</v>
      </c>
      <c r="I2222" s="1480">
        <v>0</v>
      </c>
      <c r="J2222" s="1480">
        <v>0</v>
      </c>
      <c r="K2222" s="1508"/>
      <c r="L2222" s="1508"/>
      <c r="M2222" s="1509">
        <f t="shared" si="301"/>
        <v>0</v>
      </c>
      <c r="N2222" s="1508">
        <f t="shared" si="302"/>
        <v>0</v>
      </c>
      <c r="O2222" s="1481">
        <f t="shared" si="306"/>
        <v>0</v>
      </c>
      <c r="P2222" s="1427">
        <f t="shared" si="307"/>
        <v>0</v>
      </c>
    </row>
    <row r="2223" spans="1:16" ht="31" outlineLevel="1" x14ac:dyDescent="0.25">
      <c r="A2223" s="1482">
        <f t="shared" si="303"/>
        <v>0</v>
      </c>
      <c r="B2223" s="1483" t="str">
        <f t="shared" si="303"/>
        <v>IDC</v>
      </c>
      <c r="C2223" s="1482" t="str">
        <f t="shared" si="303"/>
        <v>MERC/TECH 1/CAPEX/20132014/00827</v>
      </c>
      <c r="D2223" s="1390">
        <f t="shared" si="303"/>
        <v>41464</v>
      </c>
      <c r="E2223" s="560">
        <f t="shared" si="303"/>
        <v>0</v>
      </c>
      <c r="F2223" s="1508">
        <f t="shared" si="304"/>
        <v>0</v>
      </c>
      <c r="G2223" s="1508">
        <f t="shared" si="305"/>
        <v>0</v>
      </c>
      <c r="H2223" s="1508">
        <f t="shared" si="300"/>
        <v>0</v>
      </c>
      <c r="I2223" s="1480">
        <v>0</v>
      </c>
      <c r="J2223" s="1480">
        <v>0</v>
      </c>
      <c r="K2223" s="1508"/>
      <c r="L2223" s="1508"/>
      <c r="M2223" s="1509">
        <f t="shared" si="301"/>
        <v>0</v>
      </c>
      <c r="N2223" s="1508">
        <f t="shared" si="302"/>
        <v>0</v>
      </c>
      <c r="O2223" s="1481">
        <f t="shared" si="306"/>
        <v>0</v>
      </c>
      <c r="P2223" s="1427">
        <f t="shared" si="307"/>
        <v>0</v>
      </c>
    </row>
    <row r="2224" spans="1:16" ht="46.5" outlineLevel="1" x14ac:dyDescent="0.25">
      <c r="A2224" s="1477" t="str">
        <f t="shared" si="303"/>
        <v>HO
DPR 5</v>
      </c>
      <c r="B2224" s="1478" t="str">
        <f t="shared" si="303"/>
        <v>Procurement of energy efficient HT motors at Bhusawal TPS, Koradi TPS, Chandrapur TPS, khaperkheda TPS, Parli TPS &amp; Paras TPS as insurance spares</v>
      </c>
      <c r="C2224" s="1477" t="str">
        <f t="shared" si="303"/>
        <v>MERC/TECH 1/CAPEX/20142015/01218</v>
      </c>
      <c r="D2224" s="1479">
        <f t="shared" si="303"/>
        <v>41968</v>
      </c>
      <c r="E2224" s="1383">
        <f t="shared" si="303"/>
        <v>16.956</v>
      </c>
      <c r="F2224" s="1480">
        <f t="shared" si="304"/>
        <v>0</v>
      </c>
      <c r="G2224" s="1480">
        <f t="shared" si="305"/>
        <v>0</v>
      </c>
      <c r="H2224" s="1480">
        <f t="shared" si="300"/>
        <v>0</v>
      </c>
      <c r="I2224" s="1480">
        <v>0</v>
      </c>
      <c r="J2224" s="1480">
        <v>0</v>
      </c>
      <c r="K2224" s="1480"/>
      <c r="L2224" s="1480"/>
      <c r="M2224" s="1480">
        <f t="shared" si="301"/>
        <v>0</v>
      </c>
      <c r="N2224" s="1480">
        <f t="shared" si="302"/>
        <v>0</v>
      </c>
      <c r="O2224" s="1481">
        <f t="shared" si="306"/>
        <v>0</v>
      </c>
      <c r="P2224" s="1427">
        <f t="shared" si="307"/>
        <v>0</v>
      </c>
    </row>
    <row r="2225" spans="1:16" ht="46.5" outlineLevel="1" x14ac:dyDescent="0.25">
      <c r="A2225" s="1482" t="str">
        <f t="shared" si="303"/>
        <v>HO
DPR 5.3a</v>
      </c>
      <c r="B2225" s="1483" t="str">
        <f t="shared" si="303"/>
        <v>CSTPS (U-3/4, 210 MW, 7Nos)</v>
      </c>
      <c r="C2225" s="1482" t="str">
        <f t="shared" si="303"/>
        <v>MERC/TECH 1/CAPEX/20142015/01218</v>
      </c>
      <c r="D2225" s="1390">
        <f t="shared" si="303"/>
        <v>41968</v>
      </c>
      <c r="E2225" s="560">
        <f t="shared" si="303"/>
        <v>5.7060000000000004</v>
      </c>
      <c r="F2225" s="1508">
        <f t="shared" si="304"/>
        <v>0.90661499000000001</v>
      </c>
      <c r="G2225" s="1508">
        <f t="shared" si="305"/>
        <v>0.90661499000000001</v>
      </c>
      <c r="H2225" s="1508">
        <f t="shared" si="300"/>
        <v>0</v>
      </c>
      <c r="I2225" s="1480">
        <v>0</v>
      </c>
      <c r="J2225" s="1480">
        <v>0</v>
      </c>
      <c r="K2225" s="1508"/>
      <c r="L2225" s="1508"/>
      <c r="M2225" s="1509">
        <f t="shared" si="301"/>
        <v>0</v>
      </c>
      <c r="N2225" s="1508">
        <f t="shared" si="302"/>
        <v>0</v>
      </c>
      <c r="O2225" s="1481">
        <f t="shared" si="306"/>
        <v>0</v>
      </c>
      <c r="P2225" s="1427">
        <f t="shared" si="307"/>
        <v>0</v>
      </c>
    </row>
    <row r="2226" spans="1:16" ht="46.5" outlineLevel="1" x14ac:dyDescent="0.25">
      <c r="A2226" s="1482" t="str">
        <f t="shared" si="303"/>
        <v>HO
DPR 5.3b</v>
      </c>
      <c r="B2226" s="1483" t="str">
        <f t="shared" si="303"/>
        <v>CSTPS (U-5/6/7, 500 MW, 11Nos)</v>
      </c>
      <c r="C2226" s="1482" t="str">
        <f t="shared" si="303"/>
        <v>MERC/TECH 1/CAPEX/20142015/01218</v>
      </c>
      <c r="D2226" s="1390">
        <f t="shared" si="303"/>
        <v>41968</v>
      </c>
      <c r="E2226" s="560">
        <f t="shared" si="303"/>
        <v>11.25</v>
      </c>
      <c r="F2226" s="1508">
        <f t="shared" si="304"/>
        <v>5.7542039999999997</v>
      </c>
      <c r="G2226" s="1508">
        <f t="shared" si="305"/>
        <v>5.7542039999999997</v>
      </c>
      <c r="H2226" s="1508">
        <f t="shared" si="300"/>
        <v>0</v>
      </c>
      <c r="I2226" s="1480">
        <v>0</v>
      </c>
      <c r="J2226" s="1480">
        <v>0</v>
      </c>
      <c r="K2226" s="1508"/>
      <c r="L2226" s="1508"/>
      <c r="M2226" s="1509">
        <f t="shared" si="301"/>
        <v>0</v>
      </c>
      <c r="N2226" s="1508">
        <f t="shared" si="302"/>
        <v>0</v>
      </c>
      <c r="O2226" s="1481">
        <f t="shared" si="306"/>
        <v>0</v>
      </c>
      <c r="P2226" s="1427">
        <f t="shared" si="307"/>
        <v>0</v>
      </c>
    </row>
    <row r="2227" spans="1:16" ht="46.5" outlineLevel="1" x14ac:dyDescent="0.25">
      <c r="A2227" s="1477" t="str">
        <f t="shared" si="303"/>
        <v>HO
DPR 6</v>
      </c>
      <c r="B2227" s="1478" t="str">
        <f t="shared" si="303"/>
        <v>Supply, Installation, Commissioning and Operation &amp; Maintenance Services of Continuous Ambient Air Quality Monitoring Stations (CAAQMS) at various TPS</v>
      </c>
      <c r="C2227" s="1477" t="str">
        <f t="shared" si="303"/>
        <v>MERC/CAPEX/20162017/00423</v>
      </c>
      <c r="D2227" s="1479">
        <f t="shared" si="303"/>
        <v>42585</v>
      </c>
      <c r="E2227" s="1383">
        <f t="shared" si="303"/>
        <v>1.3257526714285714</v>
      </c>
      <c r="F2227" s="1480">
        <f t="shared" si="304"/>
        <v>0</v>
      </c>
      <c r="G2227" s="1480">
        <f t="shared" si="305"/>
        <v>0</v>
      </c>
      <c r="H2227" s="1480">
        <f t="shared" si="300"/>
        <v>0</v>
      </c>
      <c r="I2227" s="1480">
        <v>0</v>
      </c>
      <c r="J2227" s="1480">
        <v>0</v>
      </c>
      <c r="K2227" s="1480"/>
      <c r="L2227" s="1480"/>
      <c r="M2227" s="1480">
        <f t="shared" si="301"/>
        <v>0</v>
      </c>
      <c r="N2227" s="1480">
        <f t="shared" si="302"/>
        <v>0</v>
      </c>
      <c r="O2227" s="1481">
        <f t="shared" si="306"/>
        <v>0</v>
      </c>
      <c r="P2227" s="1427">
        <f t="shared" si="307"/>
        <v>0</v>
      </c>
    </row>
    <row r="2228" spans="1:16" ht="31" outlineLevel="1" x14ac:dyDescent="0.25">
      <c r="A2228" s="1482" t="str">
        <f t="shared" ref="A2228:E2243" si="308">A1558</f>
        <v>HO
DPR 6.1</v>
      </c>
      <c r="B2228" s="1483" t="str">
        <f t="shared" si="308"/>
        <v>CSTPS (U-1 to 7) ( 1 Nos.)</v>
      </c>
      <c r="C2228" s="1482" t="str">
        <f t="shared" si="308"/>
        <v>MERC/CAPEX/20162017/00423</v>
      </c>
      <c r="D2228" s="1390">
        <f t="shared" si="308"/>
        <v>42585</v>
      </c>
      <c r="E2228" s="560">
        <f t="shared" si="308"/>
        <v>1.3257526714285714</v>
      </c>
      <c r="F2228" s="1508">
        <f t="shared" si="304"/>
        <v>0</v>
      </c>
      <c r="G2228" s="1508">
        <f t="shared" si="305"/>
        <v>0</v>
      </c>
      <c r="H2228" s="1508">
        <f t="shared" si="300"/>
        <v>0</v>
      </c>
      <c r="I2228" s="1480">
        <v>0</v>
      </c>
      <c r="J2228" s="1480">
        <v>0</v>
      </c>
      <c r="K2228" s="1508"/>
      <c r="L2228" s="1508"/>
      <c r="M2228" s="1509">
        <f t="shared" si="301"/>
        <v>0</v>
      </c>
      <c r="N2228" s="1508">
        <f t="shared" si="302"/>
        <v>0</v>
      </c>
      <c r="O2228" s="1481">
        <f t="shared" si="306"/>
        <v>0</v>
      </c>
      <c r="P2228" s="1427">
        <f t="shared" si="307"/>
        <v>0</v>
      </c>
    </row>
    <row r="2229" spans="1:16" ht="31" outlineLevel="1" x14ac:dyDescent="0.25">
      <c r="A2229" s="1486" t="str">
        <f t="shared" si="308"/>
        <v>HO
DPR 7</v>
      </c>
      <c r="B2229" s="1491" t="str">
        <f t="shared" si="308"/>
        <v>Installation of Real Time Online Coal-Ash Analyzer at various TPS</v>
      </c>
      <c r="C2229" s="1477" t="str">
        <f t="shared" si="308"/>
        <v>MERC/CAPEX/20162017/00774</v>
      </c>
      <c r="D2229" s="1479">
        <f t="shared" si="308"/>
        <v>42643</v>
      </c>
      <c r="E2229" s="1383">
        <f t="shared" si="308"/>
        <v>7.0965999999999996</v>
      </c>
      <c r="F2229" s="1480">
        <f t="shared" si="304"/>
        <v>0</v>
      </c>
      <c r="G2229" s="1480">
        <f t="shared" si="305"/>
        <v>0</v>
      </c>
      <c r="H2229" s="1480">
        <f t="shared" si="300"/>
        <v>0</v>
      </c>
      <c r="I2229" s="1480">
        <v>0</v>
      </c>
      <c r="J2229" s="1480">
        <v>0</v>
      </c>
      <c r="K2229" s="1480"/>
      <c r="L2229" s="1480"/>
      <c r="M2229" s="1480">
        <f t="shared" si="301"/>
        <v>0</v>
      </c>
      <c r="N2229" s="1480">
        <f t="shared" si="302"/>
        <v>0</v>
      </c>
      <c r="O2229" s="1481">
        <f t="shared" si="306"/>
        <v>0</v>
      </c>
      <c r="P2229" s="1427">
        <f t="shared" si="307"/>
        <v>0</v>
      </c>
    </row>
    <row r="2230" spans="1:16" ht="31" outlineLevel="1" x14ac:dyDescent="0.25">
      <c r="A2230" s="1488" t="str">
        <f t="shared" si="308"/>
        <v>HO
DPR 7.1</v>
      </c>
      <c r="B2230" s="1492" t="str">
        <f t="shared" si="308"/>
        <v>Chandrapur STPS</v>
      </c>
      <c r="C2230" s="1482" t="str">
        <f t="shared" si="308"/>
        <v>MERC/CAPEX/20162017/00774</v>
      </c>
      <c r="D2230" s="1390">
        <f t="shared" si="308"/>
        <v>42643</v>
      </c>
      <c r="E2230" s="560">
        <f t="shared" si="308"/>
        <v>7.0965999999999996</v>
      </c>
      <c r="F2230" s="1508">
        <f t="shared" si="304"/>
        <v>0</v>
      </c>
      <c r="G2230" s="1508">
        <f t="shared" si="305"/>
        <v>0</v>
      </c>
      <c r="H2230" s="1508">
        <f t="shared" si="300"/>
        <v>0</v>
      </c>
      <c r="I2230" s="1480">
        <v>7.0965999999999996</v>
      </c>
      <c r="J2230" s="1480">
        <v>7.0965999999999996</v>
      </c>
      <c r="K2230" s="1508"/>
      <c r="L2230" s="1508"/>
      <c r="M2230" s="1509">
        <f t="shared" si="301"/>
        <v>7.0965999999999996</v>
      </c>
      <c r="N2230" s="1508">
        <f t="shared" si="302"/>
        <v>0</v>
      </c>
      <c r="O2230" s="1481">
        <f t="shared" si="306"/>
        <v>7.0965999999999996</v>
      </c>
      <c r="P2230" s="1427">
        <f t="shared" si="307"/>
        <v>0</v>
      </c>
    </row>
    <row r="2231" spans="1:16" ht="31" outlineLevel="1" x14ac:dyDescent="0.25">
      <c r="A2231" s="1489" t="str">
        <f t="shared" si="308"/>
        <v>HO
DPR 8</v>
      </c>
      <c r="B2231" s="1490" t="str">
        <f t="shared" si="308"/>
        <v>Replacement of Fire Tenders at Various Power Stations of Mahagenco</v>
      </c>
      <c r="C2231" s="1477" t="str">
        <f t="shared" si="308"/>
        <v>MERC/CAPEX/20172018/4653</v>
      </c>
      <c r="D2231" s="1479">
        <f t="shared" si="308"/>
        <v>43052</v>
      </c>
      <c r="E2231" s="1383">
        <f t="shared" si="308"/>
        <v>4.1500000000000004</v>
      </c>
      <c r="F2231" s="1480">
        <f t="shared" si="304"/>
        <v>0</v>
      </c>
      <c r="G2231" s="1480">
        <f t="shared" si="305"/>
        <v>0</v>
      </c>
      <c r="H2231" s="1480">
        <f t="shared" si="300"/>
        <v>0</v>
      </c>
      <c r="I2231" s="1480">
        <v>0</v>
      </c>
      <c r="J2231" s="1480">
        <v>0</v>
      </c>
      <c r="K2231" s="1480"/>
      <c r="L2231" s="1480"/>
      <c r="M2231" s="1480">
        <f t="shared" si="301"/>
        <v>0</v>
      </c>
      <c r="N2231" s="1480">
        <f t="shared" si="302"/>
        <v>0</v>
      </c>
      <c r="O2231" s="1481">
        <f t="shared" si="306"/>
        <v>0</v>
      </c>
      <c r="P2231" s="1427">
        <f t="shared" si="307"/>
        <v>0</v>
      </c>
    </row>
    <row r="2232" spans="1:16" ht="31" outlineLevel="1" x14ac:dyDescent="0.25">
      <c r="A2232" s="1484" t="str">
        <f t="shared" si="308"/>
        <v>HO
DPR 8.1</v>
      </c>
      <c r="B2232" s="1485" t="str">
        <f t="shared" si="308"/>
        <v>Advance Multipurpose Fire Tender for CSTPS</v>
      </c>
      <c r="C2232" s="1482" t="str">
        <f t="shared" si="308"/>
        <v>MERC/CAPEX/20172018/4653</v>
      </c>
      <c r="D2232" s="1390">
        <f t="shared" si="308"/>
        <v>43052</v>
      </c>
      <c r="E2232" s="560">
        <f t="shared" si="308"/>
        <v>2.9</v>
      </c>
      <c r="F2232" s="1508">
        <f t="shared" si="304"/>
        <v>0.26772339999999994</v>
      </c>
      <c r="G2232" s="1508">
        <f t="shared" si="305"/>
        <v>0.2677234</v>
      </c>
      <c r="H2232" s="1508">
        <f t="shared" si="300"/>
        <v>0</v>
      </c>
      <c r="I2232" s="1480">
        <v>0</v>
      </c>
      <c r="J2232" s="1480">
        <v>0</v>
      </c>
      <c r="K2232" s="1508"/>
      <c r="L2232" s="1508"/>
      <c r="M2232" s="1509">
        <f t="shared" si="301"/>
        <v>0</v>
      </c>
      <c r="N2232" s="1508">
        <f t="shared" si="302"/>
        <v>0</v>
      </c>
      <c r="O2232" s="1481">
        <f t="shared" si="306"/>
        <v>0</v>
      </c>
      <c r="P2232" s="1427">
        <f t="shared" si="307"/>
        <v>0</v>
      </c>
    </row>
    <row r="2233" spans="1:16" ht="31" outlineLevel="1" x14ac:dyDescent="0.25">
      <c r="A2233" s="1484" t="str">
        <f t="shared" si="308"/>
        <v>HO
DPR 8.2</v>
      </c>
      <c r="B2233" s="1485" t="str">
        <f t="shared" si="308"/>
        <v>Normal Multipurpose Fire Tender for CSTPS</v>
      </c>
      <c r="C2233" s="1482" t="str">
        <f t="shared" si="308"/>
        <v>MERC/CAPEX/20172018/4653</v>
      </c>
      <c r="D2233" s="1390">
        <f t="shared" si="308"/>
        <v>43052</v>
      </c>
      <c r="E2233" s="560">
        <f t="shared" si="308"/>
        <v>1.25</v>
      </c>
      <c r="F2233" s="1508">
        <f t="shared" si="304"/>
        <v>2.1846524010000001</v>
      </c>
      <c r="G2233" s="1508">
        <f t="shared" si="305"/>
        <v>2.1846524010000001</v>
      </c>
      <c r="H2233" s="1508">
        <f t="shared" si="300"/>
        <v>0</v>
      </c>
      <c r="I2233" s="1480">
        <v>0</v>
      </c>
      <c r="J2233" s="1480">
        <v>0</v>
      </c>
      <c r="K2233" s="1508"/>
      <c r="L2233" s="1508"/>
      <c r="M2233" s="1509">
        <f t="shared" si="301"/>
        <v>0</v>
      </c>
      <c r="N2233" s="1508">
        <f t="shared" si="302"/>
        <v>0</v>
      </c>
      <c r="O2233" s="1481">
        <f t="shared" si="306"/>
        <v>0</v>
      </c>
      <c r="P2233" s="1427">
        <f t="shared" si="307"/>
        <v>0</v>
      </c>
    </row>
    <row r="2234" spans="1:16" ht="15.5" outlineLevel="1" x14ac:dyDescent="0.25">
      <c r="A2234" s="1484">
        <f t="shared" si="308"/>
        <v>0</v>
      </c>
      <c r="B2234" s="1485" t="str">
        <f t="shared" si="308"/>
        <v>IDC</v>
      </c>
      <c r="C2234" s="1482" t="str">
        <f t="shared" si="308"/>
        <v>MERC/CAPEX/20172018/4653</v>
      </c>
      <c r="D2234" s="1390">
        <f t="shared" si="308"/>
        <v>43052</v>
      </c>
      <c r="E2234" s="560">
        <f t="shared" si="308"/>
        <v>0</v>
      </c>
      <c r="F2234" s="1508">
        <f t="shared" si="304"/>
        <v>0</v>
      </c>
      <c r="G2234" s="1508">
        <f t="shared" si="305"/>
        <v>0</v>
      </c>
      <c r="H2234" s="1508">
        <f t="shared" si="300"/>
        <v>0</v>
      </c>
      <c r="I2234" s="1480">
        <v>0</v>
      </c>
      <c r="J2234" s="1480">
        <v>0</v>
      </c>
      <c r="K2234" s="1508"/>
      <c r="L2234" s="1508"/>
      <c r="M2234" s="1509">
        <f t="shared" si="301"/>
        <v>0</v>
      </c>
      <c r="N2234" s="1508">
        <f t="shared" si="302"/>
        <v>0</v>
      </c>
      <c r="O2234" s="1481">
        <f t="shared" si="306"/>
        <v>0</v>
      </c>
      <c r="P2234" s="1427">
        <f t="shared" si="307"/>
        <v>0</v>
      </c>
    </row>
    <row r="2235" spans="1:16" ht="31" outlineLevel="1" x14ac:dyDescent="0.25">
      <c r="A2235" s="1489" t="str">
        <f t="shared" si="308"/>
        <v>HO
DPR 10</v>
      </c>
      <c r="B2235" s="1490" t="str">
        <f t="shared" si="308"/>
        <v>Implementation of IB recommendations- Civil works at various TPS of Mahagenco</v>
      </c>
      <c r="C2235" s="1486" t="str">
        <f t="shared" si="308"/>
        <v>MERC/CAPEX/20172018/0177</v>
      </c>
      <c r="D2235" s="1487">
        <f t="shared" si="308"/>
        <v>43137</v>
      </c>
      <c r="E2235" s="1383">
        <f t="shared" si="308"/>
        <v>9.0741999999999994</v>
      </c>
      <c r="F2235" s="1480">
        <f t="shared" si="304"/>
        <v>0</v>
      </c>
      <c r="G2235" s="1480">
        <f t="shared" si="305"/>
        <v>0</v>
      </c>
      <c r="H2235" s="1480">
        <f t="shared" si="300"/>
        <v>0</v>
      </c>
      <c r="I2235" s="1480">
        <v>0</v>
      </c>
      <c r="J2235" s="1480">
        <v>0</v>
      </c>
      <c r="K2235" s="1480"/>
      <c r="L2235" s="1480"/>
      <c r="M2235" s="1480">
        <f t="shared" si="301"/>
        <v>0</v>
      </c>
      <c r="N2235" s="1480">
        <f t="shared" si="302"/>
        <v>0</v>
      </c>
      <c r="O2235" s="1481">
        <f t="shared" si="306"/>
        <v>0</v>
      </c>
      <c r="P2235" s="1427">
        <f t="shared" si="307"/>
        <v>0</v>
      </c>
    </row>
    <row r="2236" spans="1:16" ht="46.5" outlineLevel="1" x14ac:dyDescent="0.25">
      <c r="A2236" s="1484" t="str">
        <f t="shared" si="308"/>
        <v>HO
DPR 10.1</v>
      </c>
      <c r="B2236" s="1485" t="str">
        <f t="shared" si="308"/>
        <v>CSTPS Chandrapur</v>
      </c>
      <c r="C2236" s="1488" t="str">
        <f t="shared" si="308"/>
        <v>MERC/CAPEX/20172018/0177</v>
      </c>
      <c r="D2236" s="1413">
        <f t="shared" si="308"/>
        <v>43137</v>
      </c>
      <c r="E2236" s="560">
        <f t="shared" si="308"/>
        <v>9.0741999999999994</v>
      </c>
      <c r="F2236" s="1508">
        <f t="shared" si="304"/>
        <v>9.6122519690000008</v>
      </c>
      <c r="G2236" s="1508">
        <f t="shared" si="305"/>
        <v>9.6122519690000008</v>
      </c>
      <c r="H2236" s="1508">
        <f t="shared" si="300"/>
        <v>0</v>
      </c>
      <c r="I2236" s="1480">
        <v>0</v>
      </c>
      <c r="J2236" s="1480">
        <v>0</v>
      </c>
      <c r="K2236" s="1508"/>
      <c r="L2236" s="1508"/>
      <c r="M2236" s="1509">
        <f t="shared" si="301"/>
        <v>0</v>
      </c>
      <c r="N2236" s="1508">
        <f t="shared" si="302"/>
        <v>0</v>
      </c>
      <c r="O2236" s="1481">
        <f t="shared" si="306"/>
        <v>0</v>
      </c>
      <c r="P2236" s="1427">
        <f t="shared" si="307"/>
        <v>0</v>
      </c>
    </row>
    <row r="2237" spans="1:16" ht="31" outlineLevel="1" x14ac:dyDescent="0.25">
      <c r="A2237" s="1489" t="str">
        <f t="shared" si="308"/>
        <v>HO
DPR 15</v>
      </c>
      <c r="B2237" s="1490" t="str">
        <f t="shared" si="308"/>
        <v>Procurement &amp; Replacement of Complete Sets of Air Pre-heater Baskets at Nashik, Parli &amp; Chandrapur TPS of Mahagenco</v>
      </c>
      <c r="C2237" s="1477" t="str">
        <f t="shared" si="308"/>
        <v>MERC/CAPEX/2019-2020/643</v>
      </c>
      <c r="D2237" s="1479">
        <f t="shared" si="308"/>
        <v>43703</v>
      </c>
      <c r="E2237" s="1383">
        <f t="shared" si="308"/>
        <v>11.13</v>
      </c>
      <c r="F2237" s="1480">
        <f t="shared" si="304"/>
        <v>0</v>
      </c>
      <c r="G2237" s="1480">
        <f t="shared" si="305"/>
        <v>0</v>
      </c>
      <c r="H2237" s="1480">
        <f t="shared" si="300"/>
        <v>0</v>
      </c>
      <c r="I2237" s="1480">
        <v>0</v>
      </c>
      <c r="J2237" s="1480">
        <v>0</v>
      </c>
      <c r="K2237" s="1480"/>
      <c r="L2237" s="1480"/>
      <c r="M2237" s="1480">
        <f t="shared" si="301"/>
        <v>0</v>
      </c>
      <c r="N2237" s="1480">
        <f t="shared" si="302"/>
        <v>0</v>
      </c>
      <c r="O2237" s="1481">
        <f t="shared" si="306"/>
        <v>0</v>
      </c>
      <c r="P2237" s="1427">
        <f t="shared" si="307"/>
        <v>0</v>
      </c>
    </row>
    <row r="2238" spans="1:16" ht="46.5" outlineLevel="1" x14ac:dyDescent="0.25">
      <c r="A2238" s="1484" t="str">
        <f t="shared" si="308"/>
        <v>HO
DPR 15.2</v>
      </c>
      <c r="B2238" s="1485" t="str">
        <f t="shared" si="308"/>
        <v>Procurement of Complete set of assembly of baskets for air preheater of type tri-sector APH in27 VI(T) 80”CSTPS unit No-4 (210MW). (2 Sets Per Unit)</v>
      </c>
      <c r="C2238" s="1482" t="str">
        <f t="shared" si="308"/>
        <v>MERC/CAPEX/2019-2020/643</v>
      </c>
      <c r="D2238" s="1390">
        <f t="shared" si="308"/>
        <v>43703</v>
      </c>
      <c r="E2238" s="560">
        <f t="shared" si="308"/>
        <v>1.73</v>
      </c>
      <c r="F2238" s="1508">
        <f t="shared" si="304"/>
        <v>1.6959658</v>
      </c>
      <c r="G2238" s="1508">
        <f t="shared" si="305"/>
        <v>1.6959658</v>
      </c>
      <c r="H2238" s="1508">
        <f t="shared" si="300"/>
        <v>0</v>
      </c>
      <c r="I2238" s="1480">
        <v>0</v>
      </c>
      <c r="J2238" s="1480">
        <v>0</v>
      </c>
      <c r="K2238" s="1508"/>
      <c r="L2238" s="1508"/>
      <c r="M2238" s="1509">
        <f t="shared" si="301"/>
        <v>0</v>
      </c>
      <c r="N2238" s="1508">
        <f t="shared" si="302"/>
        <v>0</v>
      </c>
      <c r="O2238" s="1481">
        <f t="shared" si="306"/>
        <v>0</v>
      </c>
      <c r="P2238" s="1427">
        <f t="shared" si="307"/>
        <v>0</v>
      </c>
    </row>
    <row r="2239" spans="1:16" ht="46.5" outlineLevel="1" x14ac:dyDescent="0.25">
      <c r="A2239" s="1484" t="str">
        <f t="shared" si="308"/>
        <v>HO
DPR 15.4</v>
      </c>
      <c r="B2239" s="1485" t="str">
        <f t="shared" si="308"/>
        <v>Procurement of Complete set of assembly of baskets for air preheater of type bi-sector APH “BI-SECTOR 27VI 1250(1400)”in CSTPS unit no. 5 &amp; 6 (500MW). (4 Sets Per Unit)</v>
      </c>
      <c r="C2239" s="1482" t="str">
        <f t="shared" si="308"/>
        <v>MERC/CAPEX/2019-2020/643</v>
      </c>
      <c r="D2239" s="1390">
        <f t="shared" si="308"/>
        <v>43703</v>
      </c>
      <c r="E2239" s="560">
        <f t="shared" si="308"/>
        <v>9.4</v>
      </c>
      <c r="F2239" s="1508">
        <f t="shared" si="304"/>
        <v>8.9105042999999995</v>
      </c>
      <c r="G2239" s="1508">
        <f t="shared" si="305"/>
        <v>8.9105042999999995</v>
      </c>
      <c r="H2239" s="1508">
        <f t="shared" si="300"/>
        <v>0</v>
      </c>
      <c r="I2239" s="1480">
        <v>0</v>
      </c>
      <c r="J2239" s="1480">
        <v>0</v>
      </c>
      <c r="K2239" s="1508"/>
      <c r="L2239" s="1508"/>
      <c r="M2239" s="1509">
        <f t="shared" si="301"/>
        <v>0</v>
      </c>
      <c r="N2239" s="1508">
        <f t="shared" si="302"/>
        <v>0</v>
      </c>
      <c r="O2239" s="1481">
        <f t="shared" si="306"/>
        <v>0</v>
      </c>
      <c r="P2239" s="1427">
        <f t="shared" si="307"/>
        <v>0</v>
      </c>
    </row>
    <row r="2240" spans="1:16" ht="15.5" outlineLevel="1" x14ac:dyDescent="0.25">
      <c r="A2240" s="1484">
        <f t="shared" si="308"/>
        <v>0</v>
      </c>
      <c r="B2240" s="1485" t="str">
        <f t="shared" si="308"/>
        <v>IDC</v>
      </c>
      <c r="C2240" s="1482" t="str">
        <f t="shared" si="308"/>
        <v>MERC/CAPEX/2019-2020/643</v>
      </c>
      <c r="D2240" s="1390">
        <f t="shared" si="308"/>
        <v>43703</v>
      </c>
      <c r="E2240" s="560">
        <f t="shared" si="308"/>
        <v>0</v>
      </c>
      <c r="F2240" s="1508">
        <f t="shared" si="304"/>
        <v>0</v>
      </c>
      <c r="G2240" s="1508">
        <f t="shared" si="305"/>
        <v>0</v>
      </c>
      <c r="H2240" s="1508">
        <f t="shared" si="300"/>
        <v>0</v>
      </c>
      <c r="I2240" s="1480">
        <v>0</v>
      </c>
      <c r="J2240" s="1480">
        <v>0</v>
      </c>
      <c r="K2240" s="1508"/>
      <c r="L2240" s="1508"/>
      <c r="M2240" s="1509">
        <f t="shared" si="301"/>
        <v>0</v>
      </c>
      <c r="N2240" s="1508">
        <f t="shared" si="302"/>
        <v>0</v>
      </c>
      <c r="O2240" s="1481">
        <f t="shared" si="306"/>
        <v>0</v>
      </c>
      <c r="P2240" s="1427">
        <f t="shared" si="307"/>
        <v>0</v>
      </c>
    </row>
    <row r="2241" spans="1:16" ht="31" outlineLevel="1" x14ac:dyDescent="0.25">
      <c r="A2241" s="1489" t="str">
        <f t="shared" si="308"/>
        <v>HO
DPR 16</v>
      </c>
      <c r="B2241" s="1490" t="str">
        <f t="shared" si="308"/>
        <v>Implementation of Water Flow Monitoring system at Chandrapur STPS &amp; Khaperkheda TPS</v>
      </c>
      <c r="C2241" s="1486" t="str">
        <f t="shared" si="308"/>
        <v>MERC/CAPEX/2020-2021/WFH/SBR/37</v>
      </c>
      <c r="D2241" s="1487">
        <f t="shared" si="308"/>
        <v>44131</v>
      </c>
      <c r="E2241" s="1383">
        <f t="shared" si="308"/>
        <v>3.7552319999999999</v>
      </c>
      <c r="F2241" s="1480">
        <f t="shared" si="304"/>
        <v>0</v>
      </c>
      <c r="G2241" s="1480">
        <f t="shared" si="305"/>
        <v>0</v>
      </c>
      <c r="H2241" s="1480">
        <f t="shared" si="300"/>
        <v>0</v>
      </c>
      <c r="I2241" s="1480">
        <v>0</v>
      </c>
      <c r="J2241" s="1480">
        <v>0</v>
      </c>
      <c r="K2241" s="1480"/>
      <c r="L2241" s="1480"/>
      <c r="M2241" s="1480">
        <f t="shared" si="301"/>
        <v>0</v>
      </c>
      <c r="N2241" s="1480">
        <f t="shared" si="302"/>
        <v>0</v>
      </c>
      <c r="O2241" s="1481">
        <f t="shared" si="306"/>
        <v>0</v>
      </c>
      <c r="P2241" s="1427">
        <f t="shared" si="307"/>
        <v>0</v>
      </c>
    </row>
    <row r="2242" spans="1:16" ht="46.5" outlineLevel="1" x14ac:dyDescent="0.25">
      <c r="A2242" s="1484" t="str">
        <f t="shared" si="308"/>
        <v>HO
DPR 16.1</v>
      </c>
      <c r="B2242" s="1485" t="str">
        <f t="shared" si="308"/>
        <v>Electromagnetic Flow meters at various lines &amp; Locations of CSTPS unit-3 to 7</v>
      </c>
      <c r="C2242" s="1488" t="str">
        <f t="shared" si="308"/>
        <v>MERC/CAPEX/2020-2021/WFH/SBR/37</v>
      </c>
      <c r="D2242" s="1413">
        <f t="shared" si="308"/>
        <v>44131</v>
      </c>
      <c r="E2242" s="560">
        <f t="shared" si="308"/>
        <v>2.912712</v>
      </c>
      <c r="F2242" s="1508">
        <f t="shared" si="304"/>
        <v>2.8883319000000003</v>
      </c>
      <c r="G2242" s="1508">
        <f t="shared" si="305"/>
        <v>2.8883319000000003</v>
      </c>
      <c r="H2242" s="1508">
        <f t="shared" si="300"/>
        <v>0</v>
      </c>
      <c r="I2242" s="1480">
        <v>0</v>
      </c>
      <c r="J2242" s="1480">
        <v>0</v>
      </c>
      <c r="K2242" s="1508"/>
      <c r="L2242" s="1508"/>
      <c r="M2242" s="1509">
        <f t="shared" si="301"/>
        <v>0</v>
      </c>
      <c r="N2242" s="1508">
        <f t="shared" si="302"/>
        <v>0</v>
      </c>
      <c r="O2242" s="1481">
        <f t="shared" si="306"/>
        <v>0</v>
      </c>
      <c r="P2242" s="1427">
        <f t="shared" si="307"/>
        <v>0</v>
      </c>
    </row>
    <row r="2243" spans="1:16" ht="62" outlineLevel="1" x14ac:dyDescent="0.25">
      <c r="A2243" s="1484" t="str">
        <f t="shared" si="308"/>
        <v>HO
DPR 16.2</v>
      </c>
      <c r="B2243" s="1485" t="str">
        <f t="shared" si="308"/>
        <v xml:space="preserve">Automation: Centralized SCADA, RTU, MODBUS Cable, Power cable &amp; Operation &amp; Maintenance for 1 Year &amp; mandatory spares
</v>
      </c>
      <c r="C2243" s="1488" t="str">
        <f t="shared" si="308"/>
        <v>MERC/CAPEX/2020-2021/WFH/SBR/37</v>
      </c>
      <c r="D2243" s="1413">
        <f t="shared" si="308"/>
        <v>44131</v>
      </c>
      <c r="E2243" s="560">
        <f t="shared" si="308"/>
        <v>0.84251999999999994</v>
      </c>
      <c r="F2243" s="1508">
        <f t="shared" si="304"/>
        <v>0.84251999999999994</v>
      </c>
      <c r="G2243" s="1508">
        <f t="shared" si="305"/>
        <v>0.84251999999999994</v>
      </c>
      <c r="H2243" s="1508">
        <f t="shared" si="300"/>
        <v>0</v>
      </c>
      <c r="I2243" s="1480">
        <v>0</v>
      </c>
      <c r="J2243" s="1480">
        <v>0</v>
      </c>
      <c r="K2243" s="1508"/>
      <c r="L2243" s="1508"/>
      <c r="M2243" s="1509">
        <f t="shared" si="301"/>
        <v>0</v>
      </c>
      <c r="N2243" s="1508">
        <f t="shared" si="302"/>
        <v>0</v>
      </c>
      <c r="O2243" s="1481">
        <f t="shared" si="306"/>
        <v>0</v>
      </c>
      <c r="P2243" s="1427">
        <f t="shared" si="307"/>
        <v>0</v>
      </c>
    </row>
    <row r="2244" spans="1:16" ht="31" outlineLevel="1" x14ac:dyDescent="0.25">
      <c r="A2244" s="1484">
        <f t="shared" ref="A2244:E2259" si="309">A1574</f>
        <v>0</v>
      </c>
      <c r="B2244" s="1485" t="str">
        <f t="shared" si="309"/>
        <v>IDC</v>
      </c>
      <c r="C2244" s="1482" t="str">
        <f t="shared" si="309"/>
        <v>MERC/CAPEX/2020-2021/WFH/SBR/37</v>
      </c>
      <c r="D2244" s="1390">
        <f t="shared" si="309"/>
        <v>44131</v>
      </c>
      <c r="E2244" s="560">
        <f t="shared" si="309"/>
        <v>0</v>
      </c>
      <c r="F2244" s="1508">
        <f t="shared" si="304"/>
        <v>0</v>
      </c>
      <c r="G2244" s="1508">
        <f t="shared" si="305"/>
        <v>0</v>
      </c>
      <c r="H2244" s="1508">
        <f t="shared" si="300"/>
        <v>0</v>
      </c>
      <c r="I2244" s="1480">
        <v>0</v>
      </c>
      <c r="J2244" s="1480">
        <v>0</v>
      </c>
      <c r="K2244" s="1508"/>
      <c r="L2244" s="1508"/>
      <c r="M2244" s="1509">
        <f t="shared" si="301"/>
        <v>0</v>
      </c>
      <c r="N2244" s="1508">
        <f t="shared" si="302"/>
        <v>0</v>
      </c>
      <c r="O2244" s="1481">
        <f t="shared" si="306"/>
        <v>0</v>
      </c>
      <c r="P2244" s="1427">
        <f t="shared" si="307"/>
        <v>0</v>
      </c>
    </row>
    <row r="2245" spans="1:16" ht="46.5" outlineLevel="1" x14ac:dyDescent="0.25">
      <c r="A2245" s="1489">
        <f t="shared" si="309"/>
        <v>40</v>
      </c>
      <c r="B2245" s="1490" t="str">
        <f t="shared" si="309"/>
        <v>Procurement of Condensate Extraction Pump for 500MW Unit-5, 6 &amp; 7 And Supply &amp; Replacement of complete PVC Fills of cell of cooling tower of Unit-7 in ODP-II at CSTPS, Chandrapur</v>
      </c>
      <c r="C2245" s="1486" t="str">
        <f t="shared" si="309"/>
        <v>MERC/CAPEX/2021-2022/ WFH/SBR/ 10</v>
      </c>
      <c r="D2245" s="1487">
        <f t="shared" si="309"/>
        <v>44357</v>
      </c>
      <c r="E2245" s="1383">
        <f t="shared" si="309"/>
        <v>10.89</v>
      </c>
      <c r="F2245" s="1480">
        <f t="shared" si="304"/>
        <v>0</v>
      </c>
      <c r="G2245" s="1480">
        <f t="shared" si="305"/>
        <v>0</v>
      </c>
      <c r="H2245" s="1480">
        <f t="shared" si="300"/>
        <v>0</v>
      </c>
      <c r="I2245" s="1480">
        <v>0</v>
      </c>
      <c r="J2245" s="1480">
        <v>0</v>
      </c>
      <c r="K2245" s="1480"/>
      <c r="L2245" s="1480"/>
      <c r="M2245" s="1480">
        <f t="shared" si="301"/>
        <v>0</v>
      </c>
      <c r="N2245" s="1480">
        <f t="shared" si="302"/>
        <v>0</v>
      </c>
      <c r="O2245" s="1481">
        <f t="shared" si="306"/>
        <v>0</v>
      </c>
      <c r="P2245" s="1427">
        <f t="shared" si="307"/>
        <v>0</v>
      </c>
    </row>
    <row r="2246" spans="1:16" ht="46.5" outlineLevel="1" x14ac:dyDescent="0.25">
      <c r="A2246" s="1484">
        <f t="shared" si="309"/>
        <v>40.1</v>
      </c>
      <c r="B2246" s="1485" t="str">
        <f t="shared" si="309"/>
        <v>Procurement of Condensate Extraction
Pump for 500MW Unit-5, 6 &amp; 7, CSTPS,
Chandrapur as insurance spare</v>
      </c>
      <c r="C2246" s="1488" t="str">
        <f t="shared" si="309"/>
        <v>MERC/CAPEX/2021-2022/ WFH/SBR/ 10</v>
      </c>
      <c r="D2246" s="1413">
        <f t="shared" si="309"/>
        <v>44357</v>
      </c>
      <c r="E2246" s="560">
        <f t="shared" si="309"/>
        <v>6.2</v>
      </c>
      <c r="F2246" s="1508">
        <f t="shared" si="304"/>
        <v>6.0121000000000002</v>
      </c>
      <c r="G2246" s="1508">
        <f t="shared" si="305"/>
        <v>6.0121000000000002</v>
      </c>
      <c r="H2246" s="1508">
        <f t="shared" si="300"/>
        <v>0</v>
      </c>
      <c r="I2246" s="1480">
        <v>0</v>
      </c>
      <c r="J2246" s="1480">
        <v>0</v>
      </c>
      <c r="K2246" s="1508"/>
      <c r="L2246" s="1508"/>
      <c r="M2246" s="1509">
        <f t="shared" si="301"/>
        <v>0</v>
      </c>
      <c r="N2246" s="1508">
        <f t="shared" si="302"/>
        <v>0</v>
      </c>
      <c r="O2246" s="1481">
        <f t="shared" si="306"/>
        <v>0</v>
      </c>
      <c r="P2246" s="1427">
        <f t="shared" si="307"/>
        <v>0</v>
      </c>
    </row>
    <row r="2247" spans="1:16" ht="46.5" outlineLevel="1" x14ac:dyDescent="0.25">
      <c r="A2247" s="1484">
        <f t="shared" si="309"/>
        <v>40.200000000000003</v>
      </c>
      <c r="B2247" s="1485" t="str">
        <f t="shared" si="309"/>
        <v>Supply and replacement of complete
PVC Fills of cell of cooling tower in Unit-
7</v>
      </c>
      <c r="C2247" s="1488" t="str">
        <f t="shared" si="309"/>
        <v>MERC/CAPEX/2021-2022/ WFH/SBR/ 10</v>
      </c>
      <c r="D2247" s="1413">
        <f t="shared" si="309"/>
        <v>44357</v>
      </c>
      <c r="E2247" s="560">
        <f t="shared" si="309"/>
        <v>4.3899999999999997</v>
      </c>
      <c r="F2247" s="1508">
        <f t="shared" si="304"/>
        <v>4.3293638999999997</v>
      </c>
      <c r="G2247" s="1508">
        <f t="shared" si="305"/>
        <v>4.3293638999999997</v>
      </c>
      <c r="H2247" s="1508">
        <f t="shared" si="300"/>
        <v>0</v>
      </c>
      <c r="I2247" s="1480">
        <v>0</v>
      </c>
      <c r="J2247" s="1480">
        <v>0</v>
      </c>
      <c r="K2247" s="1508"/>
      <c r="L2247" s="1508"/>
      <c r="M2247" s="1509">
        <f t="shared" si="301"/>
        <v>0</v>
      </c>
      <c r="N2247" s="1508">
        <f t="shared" si="302"/>
        <v>0</v>
      </c>
      <c r="O2247" s="1481">
        <f t="shared" si="306"/>
        <v>0</v>
      </c>
      <c r="P2247" s="1427">
        <f t="shared" si="307"/>
        <v>0</v>
      </c>
    </row>
    <row r="2248" spans="1:16" ht="31" outlineLevel="1" x14ac:dyDescent="0.25">
      <c r="A2248" s="1484">
        <f t="shared" si="309"/>
        <v>0</v>
      </c>
      <c r="B2248" s="1485" t="str">
        <f t="shared" si="309"/>
        <v>IDC</v>
      </c>
      <c r="C2248" s="1482" t="str">
        <f t="shared" si="309"/>
        <v>MERC/CAPEX/2021-2022/ WFH/SBR/ 10</v>
      </c>
      <c r="D2248" s="1390">
        <f t="shared" si="309"/>
        <v>44357</v>
      </c>
      <c r="E2248" s="560">
        <f t="shared" si="309"/>
        <v>0.3</v>
      </c>
      <c r="F2248" s="1508">
        <f t="shared" si="304"/>
        <v>0</v>
      </c>
      <c r="G2248" s="1508">
        <f t="shared" si="305"/>
        <v>0</v>
      </c>
      <c r="H2248" s="1508">
        <f t="shared" si="300"/>
        <v>0</v>
      </c>
      <c r="I2248" s="1480">
        <v>0</v>
      </c>
      <c r="J2248" s="1480">
        <v>0</v>
      </c>
      <c r="K2248" s="1508"/>
      <c r="L2248" s="1508"/>
      <c r="M2248" s="1509">
        <f t="shared" si="301"/>
        <v>0</v>
      </c>
      <c r="N2248" s="1508">
        <f t="shared" si="302"/>
        <v>0</v>
      </c>
      <c r="O2248" s="1481">
        <f t="shared" si="306"/>
        <v>0</v>
      </c>
      <c r="P2248" s="1427">
        <f t="shared" si="307"/>
        <v>0</v>
      </c>
    </row>
    <row r="2249" spans="1:16" ht="77.5" outlineLevel="1" x14ac:dyDescent="0.25">
      <c r="A2249" s="1489">
        <f t="shared" si="309"/>
        <v>41</v>
      </c>
      <c r="B2249" s="1490" t="str">
        <f t="shared" si="309"/>
        <v>Supply &amp; Commissioning of Advanced Microprocessor based Fast Bus Transfer panels; Up-gradation of Thyristor based 24V &amp; 220V DC battery chargers by SMPS Microprocessor based Battery Chargers at U-5,6 &amp;7
and Generator Protection scheme at U-7, at CSTPS, Chandrapur</v>
      </c>
      <c r="C2249" s="1486" t="str">
        <f t="shared" si="309"/>
        <v>MERC/CAPEX/2022-2023/0321</v>
      </c>
      <c r="D2249" s="1487">
        <f t="shared" si="309"/>
        <v>44760</v>
      </c>
      <c r="E2249" s="1383">
        <f t="shared" si="309"/>
        <v>14.06</v>
      </c>
      <c r="F2249" s="1480">
        <f t="shared" si="304"/>
        <v>0</v>
      </c>
      <c r="G2249" s="1480">
        <f t="shared" si="305"/>
        <v>0</v>
      </c>
      <c r="H2249" s="1480">
        <f t="shared" si="300"/>
        <v>0</v>
      </c>
      <c r="I2249" s="1480">
        <v>0</v>
      </c>
      <c r="J2249" s="1480">
        <v>0</v>
      </c>
      <c r="K2249" s="1480"/>
      <c r="L2249" s="1480"/>
      <c r="M2249" s="1480">
        <f t="shared" si="301"/>
        <v>0</v>
      </c>
      <c r="N2249" s="1480">
        <f t="shared" si="302"/>
        <v>0</v>
      </c>
      <c r="O2249" s="1481">
        <f t="shared" si="306"/>
        <v>0</v>
      </c>
      <c r="P2249" s="1427">
        <f t="shared" si="307"/>
        <v>0</v>
      </c>
    </row>
    <row r="2250" spans="1:16" ht="46.5" outlineLevel="1" x14ac:dyDescent="0.25">
      <c r="A2250" s="1484">
        <f t="shared" si="309"/>
        <v>41.1</v>
      </c>
      <c r="B2250" s="1485" t="str">
        <f t="shared" si="309"/>
        <v>Supply &amp; commissioning of Advanced Microprocessor based Fast Bus Transfer Panels for Unit#5,6,7, Stage-III, CSTPS, Chandrapur.</v>
      </c>
      <c r="C2250" s="1488" t="str">
        <f t="shared" si="309"/>
        <v>MERC/CAPEX/2022-2023/0321</v>
      </c>
      <c r="D2250" s="1413">
        <f t="shared" si="309"/>
        <v>44760</v>
      </c>
      <c r="E2250" s="560">
        <f t="shared" si="309"/>
        <v>6.08</v>
      </c>
      <c r="F2250" s="1508">
        <f t="shared" si="304"/>
        <v>6.0770239999999998</v>
      </c>
      <c r="G2250" s="1508">
        <f t="shared" si="305"/>
        <v>6.0770239999999998</v>
      </c>
      <c r="H2250" s="1508">
        <f t="shared" si="300"/>
        <v>0</v>
      </c>
      <c r="I2250" s="1480">
        <v>0</v>
      </c>
      <c r="J2250" s="1480">
        <v>0</v>
      </c>
      <c r="K2250" s="1508"/>
      <c r="L2250" s="1508"/>
      <c r="M2250" s="1509">
        <f t="shared" si="301"/>
        <v>0</v>
      </c>
      <c r="N2250" s="1508">
        <f t="shared" si="302"/>
        <v>0</v>
      </c>
      <c r="O2250" s="1481">
        <f t="shared" si="306"/>
        <v>0</v>
      </c>
      <c r="P2250" s="1427">
        <f t="shared" si="307"/>
        <v>0</v>
      </c>
    </row>
    <row r="2251" spans="1:16" ht="46.5" outlineLevel="1" x14ac:dyDescent="0.25">
      <c r="A2251" s="1484">
        <f t="shared" si="309"/>
        <v>41.2</v>
      </c>
      <c r="B2251" s="1485" t="str">
        <f t="shared" si="309"/>
        <v>Up-gradation of thyristor based 24V &amp; 220V DC Battery Chargers by SMPS Microprocessor based Battery Chargers at Stage-III, CSTPS, Chandrapur.</v>
      </c>
      <c r="C2251" s="1488" t="str">
        <f t="shared" si="309"/>
        <v>MERC/CAPEX/2022-2023/0321</v>
      </c>
      <c r="D2251" s="1413">
        <f t="shared" si="309"/>
        <v>44760</v>
      </c>
      <c r="E2251" s="560">
        <f t="shared" si="309"/>
        <v>5.28</v>
      </c>
      <c r="F2251" s="1508">
        <f t="shared" si="304"/>
        <v>2.7090321999999998</v>
      </c>
      <c r="G2251" s="1508">
        <f t="shared" si="305"/>
        <v>2.7090321999999998</v>
      </c>
      <c r="H2251" s="1508">
        <f t="shared" si="300"/>
        <v>0</v>
      </c>
      <c r="I2251" s="1480">
        <v>2.5709678000000005</v>
      </c>
      <c r="J2251" s="1480">
        <v>2.5709678000000005</v>
      </c>
      <c r="K2251" s="1508"/>
      <c r="L2251" s="1508"/>
      <c r="M2251" s="1509">
        <f t="shared" si="301"/>
        <v>2.5709678000000005</v>
      </c>
      <c r="N2251" s="1508">
        <f t="shared" si="302"/>
        <v>0</v>
      </c>
      <c r="O2251" s="1481">
        <f t="shared" si="306"/>
        <v>2.5709678000000005</v>
      </c>
      <c r="P2251" s="1427">
        <f t="shared" si="307"/>
        <v>0</v>
      </c>
    </row>
    <row r="2252" spans="1:16" ht="15.5" outlineLevel="1" x14ac:dyDescent="0.25">
      <c r="A2252" s="1484">
        <f t="shared" si="309"/>
        <v>41.3</v>
      </c>
      <c r="B2252" s="1485" t="str">
        <f t="shared" si="309"/>
        <v>Generator Protection Scheme U-7</v>
      </c>
      <c r="C2252" s="1488" t="str">
        <f t="shared" si="309"/>
        <v>MERC/CAPEX/2022-2023/0321</v>
      </c>
      <c r="D2252" s="1413">
        <f t="shared" si="309"/>
        <v>44760</v>
      </c>
      <c r="E2252" s="560">
        <f t="shared" si="309"/>
        <v>1.98</v>
      </c>
      <c r="F2252" s="1508">
        <f t="shared" si="304"/>
        <v>1.7286999999999999</v>
      </c>
      <c r="G2252" s="1508">
        <f t="shared" si="305"/>
        <v>0</v>
      </c>
      <c r="H2252" s="1508">
        <f t="shared" si="300"/>
        <v>1.7286999999999999</v>
      </c>
      <c r="I2252" s="1480">
        <v>0.25130000000000008</v>
      </c>
      <c r="J2252" s="1480">
        <v>1.98</v>
      </c>
      <c r="K2252" s="1508"/>
      <c r="L2252" s="1508"/>
      <c r="M2252" s="1509">
        <f t="shared" si="301"/>
        <v>1.98</v>
      </c>
      <c r="N2252" s="1508">
        <f t="shared" si="302"/>
        <v>0</v>
      </c>
      <c r="O2252" s="1481">
        <f t="shared" si="306"/>
        <v>1.98</v>
      </c>
      <c r="P2252" s="1427">
        <f t="shared" si="307"/>
        <v>0</v>
      </c>
    </row>
    <row r="2253" spans="1:16" ht="15.5" outlineLevel="1" x14ac:dyDescent="0.25">
      <c r="A2253" s="1484">
        <f t="shared" si="309"/>
        <v>0</v>
      </c>
      <c r="B2253" s="1485" t="str">
        <f t="shared" si="309"/>
        <v>IDC</v>
      </c>
      <c r="C2253" s="1482" t="str">
        <f t="shared" si="309"/>
        <v>MERC/CAPEX/2022-2023/0321</v>
      </c>
      <c r="D2253" s="1390">
        <f t="shared" si="309"/>
        <v>44760</v>
      </c>
      <c r="E2253" s="560">
        <f t="shared" si="309"/>
        <v>0.72</v>
      </c>
      <c r="F2253" s="1508">
        <f t="shared" si="304"/>
        <v>0</v>
      </c>
      <c r="G2253" s="1508">
        <f t="shared" si="305"/>
        <v>0</v>
      </c>
      <c r="H2253" s="1508">
        <f t="shared" si="300"/>
        <v>0</v>
      </c>
      <c r="I2253" s="1480">
        <v>0</v>
      </c>
      <c r="J2253" s="1480">
        <v>0</v>
      </c>
      <c r="K2253" s="1508"/>
      <c r="L2253" s="1508"/>
      <c r="M2253" s="1509">
        <f t="shared" si="301"/>
        <v>0</v>
      </c>
      <c r="N2253" s="1508">
        <f t="shared" si="302"/>
        <v>0</v>
      </c>
      <c r="O2253" s="1481">
        <f t="shared" si="306"/>
        <v>0</v>
      </c>
      <c r="P2253" s="1427">
        <f t="shared" si="307"/>
        <v>0</v>
      </c>
    </row>
    <row r="2254" spans="1:16" ht="31" outlineLevel="1" x14ac:dyDescent="0.25">
      <c r="A2254" s="1489">
        <f t="shared" si="309"/>
        <v>42</v>
      </c>
      <c r="B2254" s="1490" t="str">
        <f t="shared" si="309"/>
        <v>ESP Upgradation of 5 Nos. of 210/500MW Units at Khaperkheda, Koradi &amp; Chandrapur TPS</v>
      </c>
      <c r="C2254" s="1486" t="str">
        <f t="shared" si="309"/>
        <v>MERC/CAPEX/2022-2023/MSPGCL/0453</v>
      </c>
      <c r="D2254" s="1487">
        <f t="shared" si="309"/>
        <v>44833</v>
      </c>
      <c r="E2254" s="1383">
        <f t="shared" si="309"/>
        <v>219.44</v>
      </c>
      <c r="F2254" s="1480">
        <f t="shared" si="304"/>
        <v>0</v>
      </c>
      <c r="G2254" s="1480">
        <f t="shared" si="305"/>
        <v>0</v>
      </c>
      <c r="H2254" s="1480">
        <f t="shared" si="300"/>
        <v>0</v>
      </c>
      <c r="I2254" s="1480">
        <v>0</v>
      </c>
      <c r="J2254" s="1480">
        <v>0</v>
      </c>
      <c r="K2254" s="1480"/>
      <c r="L2254" s="1480"/>
      <c r="M2254" s="1480">
        <f t="shared" si="301"/>
        <v>0</v>
      </c>
      <c r="N2254" s="1480">
        <f t="shared" si="302"/>
        <v>0</v>
      </c>
      <c r="O2254" s="1481">
        <f t="shared" si="306"/>
        <v>0</v>
      </c>
      <c r="P2254" s="1427">
        <f t="shared" si="307"/>
        <v>0</v>
      </c>
    </row>
    <row r="2255" spans="1:16" ht="31" outlineLevel="1" x14ac:dyDescent="0.25">
      <c r="A2255" s="1484">
        <f t="shared" si="309"/>
        <v>42.1</v>
      </c>
      <c r="B2255" s="1485" t="str">
        <f t="shared" si="309"/>
        <v>ESP Upgradation at Unit # 5 &amp; 6, Chandrapur TPS</v>
      </c>
      <c r="C2255" s="1488" t="str">
        <f t="shared" si="309"/>
        <v>MERC/CAPEX/2022-2023/MSPGCL/0453</v>
      </c>
      <c r="D2255" s="1413">
        <f t="shared" si="309"/>
        <v>44833</v>
      </c>
      <c r="E2255" s="560">
        <f t="shared" si="309"/>
        <v>207.46</v>
      </c>
      <c r="F2255" s="1508">
        <f t="shared" si="304"/>
        <v>116.38</v>
      </c>
      <c r="G2255" s="1508">
        <f t="shared" si="305"/>
        <v>116.38</v>
      </c>
      <c r="H2255" s="1508">
        <f t="shared" si="300"/>
        <v>0</v>
      </c>
      <c r="I2255" s="1480">
        <v>116.38</v>
      </c>
      <c r="J2255" s="1480">
        <v>116.38</v>
      </c>
      <c r="K2255" s="1508"/>
      <c r="L2255" s="1508"/>
      <c r="M2255" s="1509">
        <f t="shared" si="301"/>
        <v>116.38</v>
      </c>
      <c r="N2255" s="1508">
        <f t="shared" si="302"/>
        <v>0</v>
      </c>
      <c r="O2255" s="1481">
        <f t="shared" si="306"/>
        <v>91.080000000000013</v>
      </c>
      <c r="P2255" s="1427">
        <f t="shared" si="307"/>
        <v>25.299999999999983</v>
      </c>
    </row>
    <row r="2256" spans="1:16" ht="31" outlineLevel="1" x14ac:dyDescent="0.25">
      <c r="A2256" s="1484">
        <f t="shared" si="309"/>
        <v>0</v>
      </c>
      <c r="B2256" s="1485" t="str">
        <f t="shared" si="309"/>
        <v>IDC</v>
      </c>
      <c r="C2256" s="1482" t="str">
        <f t="shared" si="309"/>
        <v>MERC/CAPEX/2022-2023/MSPGCL/0453</v>
      </c>
      <c r="D2256" s="1390">
        <f t="shared" si="309"/>
        <v>44833</v>
      </c>
      <c r="E2256" s="560">
        <f t="shared" si="309"/>
        <v>11.98</v>
      </c>
      <c r="F2256" s="1508">
        <f t="shared" si="304"/>
        <v>0</v>
      </c>
      <c r="G2256" s="1508">
        <f t="shared" si="305"/>
        <v>0</v>
      </c>
      <c r="H2256" s="1508">
        <f t="shared" si="300"/>
        <v>0</v>
      </c>
      <c r="I2256" s="1480">
        <v>0</v>
      </c>
      <c r="J2256" s="1480">
        <v>0</v>
      </c>
      <c r="K2256" s="1508"/>
      <c r="L2256" s="1508"/>
      <c r="M2256" s="1509">
        <f t="shared" si="301"/>
        <v>0</v>
      </c>
      <c r="N2256" s="1508">
        <f t="shared" si="302"/>
        <v>0</v>
      </c>
      <c r="O2256" s="1481">
        <f t="shared" si="306"/>
        <v>0</v>
      </c>
      <c r="P2256" s="1427">
        <f t="shared" si="307"/>
        <v>0</v>
      </c>
    </row>
    <row r="2257" spans="1:16" ht="31" outlineLevel="1" x14ac:dyDescent="0.25">
      <c r="A2257" s="1489">
        <f t="shared" si="309"/>
        <v>43</v>
      </c>
      <c r="B2257" s="1490" t="str">
        <f t="shared" si="309"/>
        <v>Flue Gas Desulphurization (FGD) System at 10 Nos. of 210 MW Units at Chandrapur, Koradi, Khaperkheda &amp; Nasik TPS</v>
      </c>
      <c r="C2257" s="1486" t="str">
        <f t="shared" si="309"/>
        <v>MERC/CAPEX/MSPGCL/2023-2024/0459</v>
      </c>
      <c r="D2257" s="1487">
        <f t="shared" si="309"/>
        <v>45174</v>
      </c>
      <c r="E2257" s="1383">
        <f t="shared" si="309"/>
        <v>115.34</v>
      </c>
      <c r="F2257" s="1480">
        <f t="shared" si="304"/>
        <v>0</v>
      </c>
      <c r="G2257" s="1480">
        <f t="shared" si="305"/>
        <v>0</v>
      </c>
      <c r="H2257" s="1480">
        <f t="shared" si="300"/>
        <v>0</v>
      </c>
      <c r="I2257" s="1480">
        <v>0</v>
      </c>
      <c r="J2257" s="1480">
        <v>0</v>
      </c>
      <c r="K2257" s="1480"/>
      <c r="L2257" s="1480"/>
      <c r="M2257" s="1480">
        <f t="shared" si="301"/>
        <v>0</v>
      </c>
      <c r="N2257" s="1480">
        <f t="shared" si="302"/>
        <v>0</v>
      </c>
      <c r="O2257" s="1481">
        <f t="shared" si="306"/>
        <v>0</v>
      </c>
      <c r="P2257" s="1427">
        <f t="shared" si="307"/>
        <v>0</v>
      </c>
    </row>
    <row r="2258" spans="1:16" ht="31" outlineLevel="1" x14ac:dyDescent="0.25">
      <c r="A2258" s="1484">
        <f t="shared" si="309"/>
        <v>43.1</v>
      </c>
      <c r="B2258" s="1485" t="str">
        <f t="shared" si="309"/>
        <v>Flue Gas Desulphurization (FGD) System at Unit 3 &amp; 4, Chandrapur</v>
      </c>
      <c r="C2258" s="1488" t="str">
        <f t="shared" si="309"/>
        <v>MERC/CAPEX/MSPGCL/2023-2024/0459</v>
      </c>
      <c r="D2258" s="1413">
        <f t="shared" si="309"/>
        <v>45174</v>
      </c>
      <c r="E2258" s="560">
        <f t="shared" si="309"/>
        <v>109.4</v>
      </c>
      <c r="F2258" s="1508">
        <f t="shared" si="304"/>
        <v>19.22</v>
      </c>
      <c r="G2258" s="1508">
        <f t="shared" si="305"/>
        <v>128.16</v>
      </c>
      <c r="H2258" s="1508">
        <f t="shared" si="300"/>
        <v>-108.94</v>
      </c>
      <c r="I2258" s="1480">
        <v>19.22</v>
      </c>
      <c r="J2258" s="1480">
        <v>128.16</v>
      </c>
      <c r="K2258" s="1508"/>
      <c r="L2258" s="1508"/>
      <c r="M2258" s="1509">
        <f t="shared" si="301"/>
        <v>128.16</v>
      </c>
      <c r="N2258" s="1508">
        <f t="shared" si="302"/>
        <v>-217.88</v>
      </c>
      <c r="O2258" s="1481">
        <f t="shared" si="306"/>
        <v>0</v>
      </c>
      <c r="P2258" s="1427">
        <f t="shared" si="307"/>
        <v>128.16</v>
      </c>
    </row>
    <row r="2259" spans="1:16" ht="31" outlineLevel="1" x14ac:dyDescent="0.25">
      <c r="A2259" s="1484">
        <f t="shared" si="309"/>
        <v>0</v>
      </c>
      <c r="B2259" s="1485" t="str">
        <f t="shared" si="309"/>
        <v>IDC</v>
      </c>
      <c r="C2259" s="1488" t="str">
        <f t="shared" si="309"/>
        <v>MERC/CAPEX/MSPGCL/2023-2024/0459</v>
      </c>
      <c r="D2259" s="1413">
        <f t="shared" si="309"/>
        <v>45174</v>
      </c>
      <c r="E2259" s="560">
        <f t="shared" si="309"/>
        <v>5.94</v>
      </c>
      <c r="F2259" s="1508">
        <f t="shared" si="304"/>
        <v>0</v>
      </c>
      <c r="G2259" s="1508">
        <f t="shared" si="305"/>
        <v>0</v>
      </c>
      <c r="H2259" s="1508">
        <f t="shared" si="300"/>
        <v>0</v>
      </c>
      <c r="I2259" s="1480">
        <v>0</v>
      </c>
      <c r="J2259" s="1480">
        <v>0</v>
      </c>
      <c r="K2259" s="1508"/>
      <c r="L2259" s="1508"/>
      <c r="M2259" s="1509">
        <f t="shared" si="301"/>
        <v>0</v>
      </c>
      <c r="N2259" s="1508">
        <f t="shared" si="302"/>
        <v>0</v>
      </c>
      <c r="O2259" s="1481">
        <f t="shared" si="306"/>
        <v>0</v>
      </c>
      <c r="P2259" s="1427">
        <f t="shared" si="307"/>
        <v>0</v>
      </c>
    </row>
    <row r="2260" spans="1:16" ht="77.5" outlineLevel="1" x14ac:dyDescent="0.25">
      <c r="A2260" s="1489">
        <f t="shared" ref="A2260:E2275" si="310">A1590</f>
        <v>44</v>
      </c>
      <c r="B2260" s="1490" t="str">
        <f t="shared" si="310"/>
        <v>Design, Engineering, Manufacturing, Transportation to CSTPS site, unloading, Erection, Testing &amp; Commissioning of 3 nos. of new 200MVA. 21/400/√3KV, Single phase Generator Transformers, BHEL make for 3 X 500 MW Unit#5,6&amp;7 500MW Stage-III CSTPS, Chandrapur</v>
      </c>
      <c r="C2260" s="1486" t="str">
        <f t="shared" si="310"/>
        <v>MERC/CAPEX/2022-2023/0409</v>
      </c>
      <c r="D2260" s="1487">
        <f t="shared" si="310"/>
        <v>44806</v>
      </c>
      <c r="E2260" s="1383">
        <f t="shared" si="310"/>
        <v>33.268000000000001</v>
      </c>
      <c r="F2260" s="1480">
        <f t="shared" si="304"/>
        <v>0</v>
      </c>
      <c r="G2260" s="1480">
        <f t="shared" si="305"/>
        <v>0</v>
      </c>
      <c r="H2260" s="1480">
        <f t="shared" si="300"/>
        <v>0</v>
      </c>
      <c r="I2260" s="1480">
        <v>0</v>
      </c>
      <c r="J2260" s="1480">
        <v>0</v>
      </c>
      <c r="K2260" s="1480"/>
      <c r="L2260" s="1480"/>
      <c r="M2260" s="1480">
        <f t="shared" si="301"/>
        <v>0</v>
      </c>
      <c r="N2260" s="1480">
        <f t="shared" si="302"/>
        <v>0</v>
      </c>
      <c r="O2260" s="1481">
        <f t="shared" si="306"/>
        <v>0</v>
      </c>
      <c r="P2260" s="1427">
        <f t="shared" si="307"/>
        <v>0</v>
      </c>
    </row>
    <row r="2261" spans="1:16" ht="93" outlineLevel="1" x14ac:dyDescent="0.25">
      <c r="A2261" s="1484">
        <f t="shared" si="310"/>
        <v>44.1</v>
      </c>
      <c r="B2261" s="1485" t="str">
        <f t="shared" si="310"/>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2261" s="1488" t="str">
        <f t="shared" si="310"/>
        <v>MERC/CAPEX/2022-2023/0409</v>
      </c>
      <c r="D2261" s="1413">
        <f t="shared" si="310"/>
        <v>44806</v>
      </c>
      <c r="E2261" s="560">
        <f t="shared" si="310"/>
        <v>32.567999999999998</v>
      </c>
      <c r="F2261" s="1508">
        <f t="shared" si="304"/>
        <v>39</v>
      </c>
      <c r="G2261" s="1508">
        <f t="shared" si="305"/>
        <v>39</v>
      </c>
      <c r="H2261" s="1508">
        <f t="shared" si="300"/>
        <v>0</v>
      </c>
      <c r="I2261" s="1480">
        <v>0</v>
      </c>
      <c r="J2261" s="1480">
        <v>0</v>
      </c>
      <c r="K2261" s="1508"/>
      <c r="L2261" s="1508"/>
      <c r="M2261" s="1509">
        <f t="shared" si="301"/>
        <v>0</v>
      </c>
      <c r="N2261" s="1508">
        <f t="shared" si="302"/>
        <v>0</v>
      </c>
      <c r="O2261" s="1481">
        <f t="shared" si="306"/>
        <v>0</v>
      </c>
      <c r="P2261" s="1427">
        <f t="shared" si="307"/>
        <v>0</v>
      </c>
    </row>
    <row r="2262" spans="1:16" ht="15.5" outlineLevel="1" x14ac:dyDescent="0.25">
      <c r="A2262" s="1484">
        <f t="shared" si="310"/>
        <v>0</v>
      </c>
      <c r="B2262" s="1485" t="str">
        <f t="shared" si="310"/>
        <v>IDC</v>
      </c>
      <c r="C2262" s="1482" t="str">
        <f t="shared" si="310"/>
        <v>MERC/CAPEX/2022-2023/0409</v>
      </c>
      <c r="D2262" s="1390">
        <f t="shared" si="310"/>
        <v>44806</v>
      </c>
      <c r="E2262" s="560">
        <f t="shared" si="310"/>
        <v>0.7</v>
      </c>
      <c r="F2262" s="1508">
        <f t="shared" si="304"/>
        <v>0</v>
      </c>
      <c r="G2262" s="1508">
        <f t="shared" si="305"/>
        <v>0</v>
      </c>
      <c r="H2262" s="1508">
        <f t="shared" si="300"/>
        <v>0</v>
      </c>
      <c r="I2262" s="1480">
        <v>0</v>
      </c>
      <c r="J2262" s="1480">
        <v>0</v>
      </c>
      <c r="K2262" s="1508"/>
      <c r="L2262" s="1508"/>
      <c r="M2262" s="1509">
        <f t="shared" si="301"/>
        <v>0</v>
      </c>
      <c r="N2262" s="1508">
        <f t="shared" si="302"/>
        <v>0</v>
      </c>
      <c r="O2262" s="1481">
        <f t="shared" si="306"/>
        <v>0</v>
      </c>
      <c r="P2262" s="1427">
        <f t="shared" si="307"/>
        <v>0</v>
      </c>
    </row>
    <row r="2263" spans="1:16" ht="93" outlineLevel="1" x14ac:dyDescent="0.25">
      <c r="A2263" s="1489">
        <f t="shared" si="310"/>
        <v>45</v>
      </c>
      <c r="B2263" s="1490" t="str">
        <f t="shared" si="310"/>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2263" s="1486" t="str">
        <f t="shared" si="310"/>
        <v>MERC/CAPEX/2022-2023/MSPGCL/0458</v>
      </c>
      <c r="D2263" s="1487">
        <f t="shared" si="310"/>
        <v>45174</v>
      </c>
      <c r="E2263" s="560">
        <f t="shared" si="310"/>
        <v>145.05495436368</v>
      </c>
      <c r="F2263" s="1508">
        <f t="shared" si="304"/>
        <v>0</v>
      </c>
      <c r="G2263" s="1508">
        <f t="shared" si="305"/>
        <v>0</v>
      </c>
      <c r="H2263" s="1508">
        <f t="shared" si="300"/>
        <v>0</v>
      </c>
      <c r="I2263" s="1480">
        <v>0</v>
      </c>
      <c r="J2263" s="1480">
        <v>0</v>
      </c>
      <c r="K2263" s="1508"/>
      <c r="L2263" s="1508"/>
      <c r="M2263" s="1509">
        <f t="shared" ref="M2263:M2291" si="311">SUM(J2263:L2263)</f>
        <v>0</v>
      </c>
      <c r="N2263" s="1508">
        <f t="shared" si="302"/>
        <v>0</v>
      </c>
      <c r="O2263" s="1481"/>
      <c r="P2263" s="1427"/>
    </row>
    <row r="2264" spans="1:16" ht="31" outlineLevel="1" x14ac:dyDescent="0.25">
      <c r="A2264" s="1484">
        <f t="shared" si="310"/>
        <v>45.1</v>
      </c>
      <c r="B2264" s="1485" t="str">
        <f t="shared" si="310"/>
        <v>Construction of 4th raising of existing Ash Bund from T.B.L. 198.00 M to T.B.L 201.00 M</v>
      </c>
      <c r="C2264" s="1488" t="str">
        <f t="shared" si="310"/>
        <v>MERC/CAPEX/2022-2023/MSPGCL/0458</v>
      </c>
      <c r="D2264" s="1413">
        <f t="shared" si="310"/>
        <v>45174</v>
      </c>
      <c r="E2264" s="560">
        <f t="shared" si="310"/>
        <v>101.81018586775998</v>
      </c>
      <c r="F2264" s="1508">
        <f t="shared" si="304"/>
        <v>66.943683858253138</v>
      </c>
      <c r="G2264" s="1508">
        <f t="shared" si="305"/>
        <v>66.943683858253138</v>
      </c>
      <c r="H2264" s="1508">
        <f t="shared" si="300"/>
        <v>0</v>
      </c>
      <c r="I2264" s="1480">
        <v>0</v>
      </c>
      <c r="J2264" s="1480">
        <v>0</v>
      </c>
      <c r="K2264" s="1508"/>
      <c r="L2264" s="1508"/>
      <c r="M2264" s="1509">
        <f t="shared" si="311"/>
        <v>0</v>
      </c>
      <c r="N2264" s="1508">
        <f t="shared" si="302"/>
        <v>0</v>
      </c>
      <c r="O2264" s="1481"/>
      <c r="P2264" s="1427"/>
    </row>
    <row r="2265" spans="1:16" ht="31" outlineLevel="1" x14ac:dyDescent="0.25">
      <c r="A2265" s="1484">
        <f t="shared" si="310"/>
        <v>45.2</v>
      </c>
      <c r="B2265" s="1485" t="str">
        <f t="shared" si="310"/>
        <v>Construction of New Drain Wells (12 Nos.) along with necessary connection to existing drain wells at CSTPS</v>
      </c>
      <c r="C2265" s="1488" t="str">
        <f t="shared" si="310"/>
        <v>MERC/CAPEX/2022-2023/MSPGCL/0458</v>
      </c>
      <c r="D2265" s="1413">
        <f t="shared" si="310"/>
        <v>45174</v>
      </c>
      <c r="E2265" s="560">
        <f t="shared" si="310"/>
        <v>1.7079926814999997</v>
      </c>
      <c r="F2265" s="1508">
        <f t="shared" si="304"/>
        <v>1.1230636809863013</v>
      </c>
      <c r="G2265" s="1508">
        <f t="shared" si="305"/>
        <v>1.1230636809863013</v>
      </c>
      <c r="H2265" s="1508">
        <f t="shared" si="300"/>
        <v>0</v>
      </c>
      <c r="I2265" s="1480">
        <v>0</v>
      </c>
      <c r="J2265" s="1480">
        <v>0</v>
      </c>
      <c r="K2265" s="1508"/>
      <c r="L2265" s="1508"/>
      <c r="M2265" s="1509">
        <f t="shared" si="311"/>
        <v>0</v>
      </c>
      <c r="N2265" s="1508">
        <f t="shared" si="302"/>
        <v>0</v>
      </c>
      <c r="O2265" s="1481"/>
      <c r="P2265" s="1427"/>
    </row>
    <row r="2266" spans="1:16" ht="31" outlineLevel="1" x14ac:dyDescent="0.25">
      <c r="A2266" s="1484">
        <f t="shared" si="310"/>
        <v>45.3</v>
      </c>
      <c r="B2266" s="1485" t="str">
        <f t="shared" si="310"/>
        <v xml:space="preserve"> Construction of waste weir for raising of ash bund (Waste Weir &amp; Non overflow structure)</v>
      </c>
      <c r="C2266" s="1488" t="str">
        <f t="shared" si="310"/>
        <v>MERC/CAPEX/2022-2023/MSPGCL/0458</v>
      </c>
      <c r="D2266" s="1413">
        <f t="shared" si="310"/>
        <v>45174</v>
      </c>
      <c r="E2266" s="560">
        <f t="shared" si="310"/>
        <v>4.2692499462199995</v>
      </c>
      <c r="F2266" s="1508">
        <f t="shared" si="304"/>
        <v>2.8071780468295886</v>
      </c>
      <c r="G2266" s="1508">
        <f t="shared" si="305"/>
        <v>2.8071780468295886</v>
      </c>
      <c r="H2266" s="1508">
        <f t="shared" si="300"/>
        <v>0</v>
      </c>
      <c r="I2266" s="1480">
        <v>0</v>
      </c>
      <c r="J2266" s="1480">
        <v>0</v>
      </c>
      <c r="K2266" s="1508"/>
      <c r="L2266" s="1508"/>
      <c r="M2266" s="1509">
        <f t="shared" si="311"/>
        <v>0</v>
      </c>
      <c r="N2266" s="1508">
        <f t="shared" si="302"/>
        <v>0</v>
      </c>
      <c r="O2266" s="1481"/>
      <c r="P2266" s="1427"/>
    </row>
    <row r="2267" spans="1:16" ht="31" outlineLevel="1" x14ac:dyDescent="0.25">
      <c r="A2267" s="1484">
        <f t="shared" si="310"/>
        <v>45.4</v>
      </c>
      <c r="B2267" s="1485" t="str">
        <f t="shared" si="310"/>
        <v>Raising of Ash Compartment i.e. Lagoon in Ash Bund</v>
      </c>
      <c r="C2267" s="1488" t="str">
        <f t="shared" si="310"/>
        <v>MERC/CAPEX/2022-2023/MSPGCL/0458</v>
      </c>
      <c r="D2267" s="1413">
        <f t="shared" si="310"/>
        <v>45174</v>
      </c>
      <c r="E2267" s="560">
        <f t="shared" si="310"/>
        <v>25.657525868199997</v>
      </c>
      <c r="F2267" s="1508">
        <f t="shared" si="304"/>
        <v>16.870701940734246</v>
      </c>
      <c r="G2267" s="1508">
        <f t="shared" si="305"/>
        <v>16.870701940734246</v>
      </c>
      <c r="H2267" s="1508">
        <f t="shared" si="300"/>
        <v>0</v>
      </c>
      <c r="I2267" s="1480">
        <v>0</v>
      </c>
      <c r="J2267" s="1480">
        <v>0</v>
      </c>
      <c r="K2267" s="1508"/>
      <c r="L2267" s="1508"/>
      <c r="M2267" s="1509">
        <f t="shared" si="311"/>
        <v>0</v>
      </c>
      <c r="N2267" s="1508">
        <f t="shared" si="302"/>
        <v>0</v>
      </c>
      <c r="O2267" s="1481"/>
      <c r="P2267" s="1427"/>
    </row>
    <row r="2268" spans="1:16" ht="31" outlineLevel="1" x14ac:dyDescent="0.25">
      <c r="A2268" s="1484">
        <f t="shared" si="310"/>
        <v>0</v>
      </c>
      <c r="B2268" s="1485" t="str">
        <f t="shared" si="310"/>
        <v>IDC</v>
      </c>
      <c r="C2268" s="1482" t="str">
        <f t="shared" si="310"/>
        <v>MERC/CAPEX/2022-2023/MSPGCL/0458</v>
      </c>
      <c r="D2268" s="1390">
        <f t="shared" si="310"/>
        <v>45174</v>
      </c>
      <c r="E2268" s="560">
        <f t="shared" si="310"/>
        <v>11.61</v>
      </c>
      <c r="F2268" s="1508">
        <f t="shared" si="304"/>
        <v>0</v>
      </c>
      <c r="G2268" s="1508">
        <f t="shared" si="305"/>
        <v>0</v>
      </c>
      <c r="H2268" s="1508">
        <f t="shared" si="300"/>
        <v>0</v>
      </c>
      <c r="I2268" s="1480">
        <v>0</v>
      </c>
      <c r="J2268" s="1480">
        <v>0</v>
      </c>
      <c r="K2268" s="1508"/>
      <c r="L2268" s="1508"/>
      <c r="M2268" s="1509">
        <f t="shared" si="311"/>
        <v>0</v>
      </c>
      <c r="N2268" s="1508">
        <f t="shared" si="302"/>
        <v>0</v>
      </c>
      <c r="O2268" s="1481"/>
      <c r="P2268" s="1427"/>
    </row>
    <row r="2269" spans="1:16" ht="46.5" outlineLevel="1" x14ac:dyDescent="0.25">
      <c r="A2269" s="1489">
        <f t="shared" si="310"/>
        <v>46</v>
      </c>
      <c r="B2269" s="1490" t="str">
        <f t="shared" si="310"/>
        <v>Procurement of 03 Nos. of complete assembly of 3.3 KV, 300 KW Boiler Circulation Water Pump - Motors along with Impeller for Unit#5&amp;6, 500MW Stage-III CSTPS Chandrapur</v>
      </c>
      <c r="C2269" s="1486" t="str">
        <f t="shared" si="310"/>
        <v>MERC/CAPEX/2024-2025/MSPGCL/0308</v>
      </c>
      <c r="D2269" s="1487">
        <f t="shared" si="310"/>
        <v>45429</v>
      </c>
      <c r="E2269" s="560">
        <f t="shared" si="310"/>
        <v>37.32</v>
      </c>
      <c r="F2269" s="1508">
        <f t="shared" si="304"/>
        <v>0</v>
      </c>
      <c r="G2269" s="1508">
        <f t="shared" si="305"/>
        <v>0</v>
      </c>
      <c r="H2269" s="1508">
        <f t="shared" si="300"/>
        <v>0</v>
      </c>
      <c r="I2269" s="1480">
        <v>0</v>
      </c>
      <c r="J2269" s="1480">
        <v>0</v>
      </c>
      <c r="K2269" s="1508"/>
      <c r="L2269" s="1508"/>
      <c r="M2269" s="1509">
        <f t="shared" si="311"/>
        <v>0</v>
      </c>
      <c r="N2269" s="1508">
        <f t="shared" si="302"/>
        <v>0</v>
      </c>
      <c r="O2269" s="1481"/>
      <c r="P2269" s="1427"/>
    </row>
    <row r="2270" spans="1:16" ht="46.5" outlineLevel="1" x14ac:dyDescent="0.25">
      <c r="A2270" s="1484">
        <f t="shared" si="310"/>
        <v>46.1</v>
      </c>
      <c r="B2270" s="1485" t="str">
        <f t="shared" si="310"/>
        <v>Procurement of 03 Nos. of complete assembly of 3.3 KV, 300 KW Boiler Circulation Water Pump - Motors along with Impeller for Unit#5&amp;6, 500MW Stage-III CSTPS Chandrapur</v>
      </c>
      <c r="C2270" s="1488" t="str">
        <f t="shared" si="310"/>
        <v>MERC/CAPEX/2024-2025/MSPGCL/0308</v>
      </c>
      <c r="D2270" s="1495">
        <f t="shared" si="310"/>
        <v>45429</v>
      </c>
      <c r="E2270" s="560">
        <f t="shared" si="310"/>
        <v>0</v>
      </c>
      <c r="F2270" s="1508">
        <f t="shared" si="304"/>
        <v>0</v>
      </c>
      <c r="G2270" s="1508">
        <f t="shared" si="305"/>
        <v>0</v>
      </c>
      <c r="H2270" s="1508">
        <f t="shared" ref="H2270:H2333" si="312">F2270-G2270</f>
        <v>0</v>
      </c>
      <c r="I2270" s="1480">
        <v>35.944000000000003</v>
      </c>
      <c r="J2270" s="1480">
        <v>35.944000000000003</v>
      </c>
      <c r="K2270" s="1508"/>
      <c r="L2270" s="1508"/>
      <c r="M2270" s="1509">
        <f t="shared" si="311"/>
        <v>35.944000000000003</v>
      </c>
      <c r="N2270" s="1508">
        <f t="shared" ref="N2270:N2333" si="313">H2270+I2270-M2270</f>
        <v>0</v>
      </c>
      <c r="O2270" s="1481"/>
      <c r="P2270" s="1427"/>
    </row>
    <row r="2271" spans="1:16" ht="31" outlineLevel="1" x14ac:dyDescent="0.25">
      <c r="A2271" s="1484">
        <f t="shared" si="310"/>
        <v>0</v>
      </c>
      <c r="B2271" s="1485" t="str">
        <f t="shared" si="310"/>
        <v>IDC</v>
      </c>
      <c r="C2271" s="1488" t="str">
        <f t="shared" si="310"/>
        <v>MERC/CAPEX/2024-2025/MSPGCL/0308</v>
      </c>
      <c r="D2271" s="1495">
        <f t="shared" si="310"/>
        <v>45429</v>
      </c>
      <c r="E2271" s="560">
        <f t="shared" si="310"/>
        <v>0</v>
      </c>
      <c r="F2271" s="1508">
        <f t="shared" si="304"/>
        <v>0</v>
      </c>
      <c r="G2271" s="1508">
        <f t="shared" si="305"/>
        <v>0</v>
      </c>
      <c r="H2271" s="1508">
        <f t="shared" si="312"/>
        <v>0</v>
      </c>
      <c r="I2271" s="1480">
        <v>0</v>
      </c>
      <c r="J2271" s="1480">
        <v>0</v>
      </c>
      <c r="K2271" s="1508"/>
      <c r="L2271" s="1508"/>
      <c r="M2271" s="1509">
        <f t="shared" si="311"/>
        <v>0</v>
      </c>
      <c r="N2271" s="1508">
        <f t="shared" si="313"/>
        <v>0</v>
      </c>
      <c r="O2271" s="1481"/>
      <c r="P2271" s="1427"/>
    </row>
    <row r="2272" spans="1:16" ht="31" outlineLevel="1" x14ac:dyDescent="0.25">
      <c r="A2272" s="1489">
        <f t="shared" si="310"/>
        <v>47</v>
      </c>
      <c r="B2272" s="1490" t="str">
        <f t="shared" si="310"/>
        <v>Performance Improvement &amp; Life Extension Schemes for CHP of Unit 3 to 7 of CSTPS, Chandrapur</v>
      </c>
      <c r="C2272" s="1486" t="str">
        <f t="shared" si="310"/>
        <v>MERC/CAPEX/MSPGCL/2023-24/0560</v>
      </c>
      <c r="D2272" s="1413">
        <f t="shared" si="310"/>
        <v>45230</v>
      </c>
      <c r="E2272" s="560">
        <f t="shared" si="310"/>
        <v>43.01</v>
      </c>
      <c r="F2272" s="1508">
        <f t="shared" si="304"/>
        <v>0</v>
      </c>
      <c r="G2272" s="1508">
        <f t="shared" si="305"/>
        <v>0</v>
      </c>
      <c r="H2272" s="1508">
        <f t="shared" si="312"/>
        <v>0</v>
      </c>
      <c r="I2272" s="1480">
        <v>0</v>
      </c>
      <c r="J2272" s="1480">
        <v>0</v>
      </c>
      <c r="K2272" s="1508"/>
      <c r="L2272" s="1508"/>
      <c r="M2272" s="1509">
        <f t="shared" si="311"/>
        <v>0</v>
      </c>
      <c r="N2272" s="1508">
        <f t="shared" si="313"/>
        <v>0</v>
      </c>
      <c r="O2272" s="1481"/>
      <c r="P2272" s="1427"/>
    </row>
    <row r="2273" spans="1:16" ht="31" outlineLevel="1" x14ac:dyDescent="0.25">
      <c r="A2273" s="1484">
        <f t="shared" si="310"/>
        <v>47.1</v>
      </c>
      <c r="B2273" s="1485" t="str">
        <f t="shared" si="310"/>
        <v>Work of Renovation/Upgradation/Modification of Crusher House of CHPA of Unit 3&amp;4 of CSTPS Chandrapur.</v>
      </c>
      <c r="C2273" s="1488" t="str">
        <f t="shared" si="310"/>
        <v>MERC/CAPEX/MSPGCL/2023-24/0560</v>
      </c>
      <c r="D2273" s="1413">
        <f t="shared" si="310"/>
        <v>45230</v>
      </c>
      <c r="E2273" s="560">
        <f t="shared" si="310"/>
        <v>5.66</v>
      </c>
      <c r="F2273" s="1508">
        <f t="shared" si="304"/>
        <v>5.66</v>
      </c>
      <c r="G2273" s="1508">
        <f t="shared" si="305"/>
        <v>5.66</v>
      </c>
      <c r="H2273" s="1508">
        <f t="shared" si="312"/>
        <v>0</v>
      </c>
      <c r="I2273" s="1480">
        <v>0</v>
      </c>
      <c r="J2273" s="1480">
        <v>0</v>
      </c>
      <c r="K2273" s="1508"/>
      <c r="L2273" s="1508"/>
      <c r="M2273" s="1509">
        <f t="shared" si="311"/>
        <v>0</v>
      </c>
      <c r="N2273" s="1508">
        <f t="shared" si="313"/>
        <v>0</v>
      </c>
      <c r="O2273" s="1481"/>
      <c r="P2273" s="1427"/>
    </row>
    <row r="2274" spans="1:16" ht="31" outlineLevel="1" x14ac:dyDescent="0.25">
      <c r="A2274" s="1484">
        <f t="shared" si="310"/>
        <v>47.2</v>
      </c>
      <c r="B2274" s="1485" t="str">
        <f t="shared" si="310"/>
        <v>Work of Renovation/Upgradation/Modification of Belt Conveyor 10A/B/C of CHPA of Unit 3&amp;4 of CSTPS Chandrapur.</v>
      </c>
      <c r="C2274" s="1488" t="str">
        <f t="shared" si="310"/>
        <v>MERC/CAPEX/MSPGCL/2023-24/0560</v>
      </c>
      <c r="D2274" s="1413">
        <f t="shared" si="310"/>
        <v>45230</v>
      </c>
      <c r="E2274" s="560">
        <f t="shared" si="310"/>
        <v>8.17</v>
      </c>
      <c r="F2274" s="1508">
        <f t="shared" si="304"/>
        <v>8.17</v>
      </c>
      <c r="G2274" s="1508">
        <f t="shared" si="305"/>
        <v>8.17</v>
      </c>
      <c r="H2274" s="1508">
        <f t="shared" si="312"/>
        <v>0</v>
      </c>
      <c r="I2274" s="1480">
        <v>0</v>
      </c>
      <c r="J2274" s="1480">
        <v>0</v>
      </c>
      <c r="K2274" s="1508"/>
      <c r="L2274" s="1508"/>
      <c r="M2274" s="1509">
        <f t="shared" si="311"/>
        <v>0</v>
      </c>
      <c r="N2274" s="1508">
        <f t="shared" si="313"/>
        <v>0</v>
      </c>
      <c r="O2274" s="1481"/>
      <c r="P2274" s="1427"/>
    </row>
    <row r="2275" spans="1:16" ht="31" outlineLevel="1" x14ac:dyDescent="0.25">
      <c r="A2275" s="1484">
        <f t="shared" si="310"/>
        <v>47.3</v>
      </c>
      <c r="B2275" s="1485" t="str">
        <f t="shared" si="310"/>
        <v xml:space="preserve">Work of Modification/Modernization of conveyor cable of 10 A/B/C of CHPA of Unit 3&amp;4 of CSTPS Chandrapur. </v>
      </c>
      <c r="C2275" s="1488" t="str">
        <f t="shared" si="310"/>
        <v>MERC/CAPEX/MSPGCL/2023-24/0560</v>
      </c>
      <c r="D2275" s="1413">
        <f t="shared" si="310"/>
        <v>45230</v>
      </c>
      <c r="E2275" s="560">
        <f t="shared" si="310"/>
        <v>4.12</v>
      </c>
      <c r="F2275" s="1508">
        <f t="shared" si="304"/>
        <v>4.12</v>
      </c>
      <c r="G2275" s="1508">
        <f t="shared" si="305"/>
        <v>4.12</v>
      </c>
      <c r="H2275" s="1508">
        <f t="shared" si="312"/>
        <v>0</v>
      </c>
      <c r="I2275" s="1480">
        <v>0</v>
      </c>
      <c r="J2275" s="1480">
        <v>0</v>
      </c>
      <c r="K2275" s="1508"/>
      <c r="L2275" s="1508"/>
      <c r="M2275" s="1509">
        <f t="shared" si="311"/>
        <v>0</v>
      </c>
      <c r="N2275" s="1508">
        <f t="shared" si="313"/>
        <v>0</v>
      </c>
      <c r="O2275" s="1481"/>
      <c r="P2275" s="1427"/>
    </row>
    <row r="2276" spans="1:16" ht="46.5" outlineLevel="1" x14ac:dyDescent="0.25">
      <c r="A2276" s="1484">
        <f t="shared" ref="A2276:E2291" si="314">A1606</f>
        <v>47.4</v>
      </c>
      <c r="B2276" s="1485" t="str">
        <f t="shared" si="314"/>
        <v xml:space="preserve">Design, Engineering, Supply, Erection and commissioning of bypass chute with hydraulic cylinder &amp; modification/renovation at JT-06 of CHPA of Unit 3&amp;4 of CSTPS Chandrapur. </v>
      </c>
      <c r="C2276" s="1488" t="str">
        <f t="shared" si="314"/>
        <v>MERC/CAPEX/MSPGCL/2023-24/0560</v>
      </c>
      <c r="D2276" s="1413">
        <f t="shared" si="314"/>
        <v>45230</v>
      </c>
      <c r="E2276" s="560">
        <f t="shared" si="314"/>
        <v>3.72</v>
      </c>
      <c r="F2276" s="1508">
        <f t="shared" ref="F2276:F2339" si="315">F1606+I1606</f>
        <v>3.72</v>
      </c>
      <c r="G2276" s="1508">
        <f t="shared" ref="G2276:G2339" si="316">G1606+M1606</f>
        <v>3.72</v>
      </c>
      <c r="H2276" s="1508">
        <f t="shared" si="312"/>
        <v>0</v>
      </c>
      <c r="I2276" s="1480">
        <v>0</v>
      </c>
      <c r="J2276" s="1480">
        <v>0</v>
      </c>
      <c r="K2276" s="1508"/>
      <c r="L2276" s="1508"/>
      <c r="M2276" s="1509">
        <f t="shared" si="311"/>
        <v>0</v>
      </c>
      <c r="N2276" s="1508">
        <f t="shared" si="313"/>
        <v>0</v>
      </c>
      <c r="O2276" s="1481"/>
      <c r="P2276" s="1427"/>
    </row>
    <row r="2277" spans="1:16" ht="46.5" outlineLevel="1" x14ac:dyDescent="0.25">
      <c r="A2277" s="1484">
        <f t="shared" si="314"/>
        <v>47.5</v>
      </c>
      <c r="B2277" s="1485" t="str">
        <f t="shared" si="314"/>
        <v xml:space="preserve">Design, Engineering, Supply, Erection and Installation of Wear Resistance Chutes for Belt Conveyor System at CHPA/B of Unit 3to9 of CSTPS Chandrapur. </v>
      </c>
      <c r="C2277" s="1488" t="str">
        <f t="shared" si="314"/>
        <v>MERC/CAPEX/MSPGCL/2023-24/0560</v>
      </c>
      <c r="D2277" s="1413">
        <f t="shared" si="314"/>
        <v>45230</v>
      </c>
      <c r="E2277" s="560">
        <f t="shared" si="314"/>
        <v>3.45</v>
      </c>
      <c r="F2277" s="1508">
        <f t="shared" si="315"/>
        <v>3.45</v>
      </c>
      <c r="G2277" s="1508">
        <f t="shared" si="316"/>
        <v>3.45</v>
      </c>
      <c r="H2277" s="1508">
        <f t="shared" si="312"/>
        <v>0</v>
      </c>
      <c r="I2277" s="1480">
        <v>0</v>
      </c>
      <c r="J2277" s="1480">
        <v>0</v>
      </c>
      <c r="K2277" s="1508"/>
      <c r="L2277" s="1508"/>
      <c r="M2277" s="1509">
        <f t="shared" si="311"/>
        <v>0</v>
      </c>
      <c r="N2277" s="1508">
        <f t="shared" si="313"/>
        <v>0</v>
      </c>
      <c r="O2277" s="1481"/>
      <c r="P2277" s="1427"/>
    </row>
    <row r="2278" spans="1:16" ht="46.5" outlineLevel="1" x14ac:dyDescent="0.25">
      <c r="A2278" s="1484">
        <f t="shared" si="314"/>
        <v>47.6</v>
      </c>
      <c r="B2278" s="1485" t="str">
        <f t="shared" si="314"/>
        <v xml:space="preserve">Work of Modification/Renovation/Upgradation of Ventilation System of Track Hopper of CHPB of Unit 5,6&amp;7 of CSTPS Chandrapur. </v>
      </c>
      <c r="C2278" s="1488" t="str">
        <f t="shared" si="314"/>
        <v>MERC/CAPEX/MSPGCL/2023-24/0560</v>
      </c>
      <c r="D2278" s="1413">
        <f t="shared" si="314"/>
        <v>45230</v>
      </c>
      <c r="E2278" s="560">
        <f t="shared" si="314"/>
        <v>4.5999999999999996</v>
      </c>
      <c r="F2278" s="1508">
        <f t="shared" si="315"/>
        <v>4.5999999999999996</v>
      </c>
      <c r="G2278" s="1508">
        <f t="shared" si="316"/>
        <v>4.5999999999999996</v>
      </c>
      <c r="H2278" s="1508">
        <f t="shared" si="312"/>
        <v>0</v>
      </c>
      <c r="I2278" s="1480">
        <v>0</v>
      </c>
      <c r="J2278" s="1480">
        <v>0</v>
      </c>
      <c r="K2278" s="1508"/>
      <c r="L2278" s="1508"/>
      <c r="M2278" s="1509">
        <f t="shared" si="311"/>
        <v>0</v>
      </c>
      <c r="N2278" s="1508">
        <f t="shared" si="313"/>
        <v>0</v>
      </c>
      <c r="O2278" s="1481"/>
      <c r="P2278" s="1427"/>
    </row>
    <row r="2279" spans="1:16" ht="31" outlineLevel="1" x14ac:dyDescent="0.25">
      <c r="A2279" s="1484">
        <f t="shared" si="314"/>
        <v>47.7</v>
      </c>
      <c r="B2279" s="1485" t="str">
        <f t="shared" si="314"/>
        <v xml:space="preserve">Work of Renovation /Upgradation of Hydraulic System of Paddle Feeder at CHPB of Unit 5,6&amp;7 of CSTPS Chandrapur.  </v>
      </c>
      <c r="C2279" s="1488" t="str">
        <f t="shared" si="314"/>
        <v>MERC/CAPEX/MSPGCL/2023-24/0560</v>
      </c>
      <c r="D2279" s="1413">
        <f t="shared" si="314"/>
        <v>45230</v>
      </c>
      <c r="E2279" s="560">
        <f t="shared" si="314"/>
        <v>8.14</v>
      </c>
      <c r="F2279" s="1508">
        <f t="shared" si="315"/>
        <v>8.14</v>
      </c>
      <c r="G2279" s="1508">
        <f t="shared" si="316"/>
        <v>8.14</v>
      </c>
      <c r="H2279" s="1508">
        <f t="shared" si="312"/>
        <v>0</v>
      </c>
      <c r="I2279" s="1480">
        <v>0</v>
      </c>
      <c r="J2279" s="1480">
        <v>0</v>
      </c>
      <c r="K2279" s="1508"/>
      <c r="L2279" s="1508"/>
      <c r="M2279" s="1509">
        <f t="shared" si="311"/>
        <v>0</v>
      </c>
      <c r="N2279" s="1508">
        <f t="shared" si="313"/>
        <v>0</v>
      </c>
      <c r="O2279" s="1481"/>
      <c r="P2279" s="1427"/>
    </row>
    <row r="2280" spans="1:16" ht="46.5" outlineLevel="1" x14ac:dyDescent="0.25">
      <c r="A2280" s="1484">
        <f t="shared" si="314"/>
        <v>47.8</v>
      </c>
      <c r="B2280" s="1485" t="str">
        <f t="shared" si="314"/>
        <v xml:space="preserve">Design, Engineering, Manufacturing, Fabrication, Erection and commissioning of Modified Wobbler Feeder at CHPB of Unit 5,6&amp;7 of CSTPS Chandrapur. </v>
      </c>
      <c r="C2280" s="1488" t="str">
        <f t="shared" si="314"/>
        <v>MERC/CAPEX/MSPGCL/2023-24/0560</v>
      </c>
      <c r="D2280" s="1413">
        <f t="shared" si="314"/>
        <v>45230</v>
      </c>
      <c r="E2280" s="560">
        <f t="shared" si="314"/>
        <v>4.18</v>
      </c>
      <c r="F2280" s="1508">
        <f t="shared" si="315"/>
        <v>4.18</v>
      </c>
      <c r="G2280" s="1508">
        <f t="shared" si="316"/>
        <v>4.18</v>
      </c>
      <c r="H2280" s="1508">
        <f t="shared" si="312"/>
        <v>0</v>
      </c>
      <c r="I2280" s="1480">
        <v>0</v>
      </c>
      <c r="J2280" s="1480">
        <v>0</v>
      </c>
      <c r="K2280" s="1508"/>
      <c r="L2280" s="1508"/>
      <c r="M2280" s="1509">
        <f t="shared" si="311"/>
        <v>0</v>
      </c>
      <c r="N2280" s="1508">
        <f t="shared" si="313"/>
        <v>0</v>
      </c>
      <c r="O2280" s="1481"/>
      <c r="P2280" s="1427"/>
    </row>
    <row r="2281" spans="1:16" ht="31" outlineLevel="1" x14ac:dyDescent="0.25">
      <c r="A2281" s="1484">
        <f t="shared" si="314"/>
        <v>0</v>
      </c>
      <c r="B2281" s="1485" t="str">
        <f t="shared" si="314"/>
        <v>IDC</v>
      </c>
      <c r="C2281" s="1488" t="str">
        <f t="shared" si="314"/>
        <v>MERC/CAPEX/MSPGCL/2023-24/0560</v>
      </c>
      <c r="D2281" s="1413">
        <f t="shared" si="314"/>
        <v>45230</v>
      </c>
      <c r="E2281" s="560">
        <f t="shared" si="314"/>
        <v>0.97</v>
      </c>
      <c r="F2281" s="1508">
        <f t="shared" si="315"/>
        <v>0</v>
      </c>
      <c r="G2281" s="1508">
        <f t="shared" si="316"/>
        <v>0</v>
      </c>
      <c r="H2281" s="1508">
        <f t="shared" si="312"/>
        <v>0</v>
      </c>
      <c r="I2281" s="1480">
        <v>0</v>
      </c>
      <c r="J2281" s="1480">
        <v>0</v>
      </c>
      <c r="K2281" s="1508"/>
      <c r="L2281" s="1508"/>
      <c r="M2281" s="1509">
        <f t="shared" si="311"/>
        <v>0</v>
      </c>
      <c r="N2281" s="1508">
        <f t="shared" si="313"/>
        <v>0</v>
      </c>
      <c r="O2281" s="1481"/>
      <c r="P2281" s="1427"/>
    </row>
    <row r="2282" spans="1:16" ht="31" outlineLevel="1" x14ac:dyDescent="0.25">
      <c r="A2282" s="1489" t="str">
        <f t="shared" si="314"/>
        <v>HO
DPR 17</v>
      </c>
      <c r="B2282" s="1490" t="str">
        <f t="shared" si="314"/>
        <v>Construction of new Administrative Building for Mahagenco at Vidyut Bhawan, Katol Road, Nagpur</v>
      </c>
      <c r="C2282" s="1486" t="str">
        <f t="shared" si="314"/>
        <v>MERC/CAPEX/2021-2022/MSPGCL/063</v>
      </c>
      <c r="D2282" s="1487">
        <f t="shared" si="314"/>
        <v>44604</v>
      </c>
      <c r="E2282" s="560">
        <f t="shared" si="314"/>
        <v>57</v>
      </c>
      <c r="F2282" s="1508">
        <f t="shared" si="315"/>
        <v>0</v>
      </c>
      <c r="G2282" s="1508">
        <f t="shared" si="316"/>
        <v>0</v>
      </c>
      <c r="H2282" s="1508">
        <f t="shared" si="312"/>
        <v>0</v>
      </c>
      <c r="I2282" s="1480">
        <v>0</v>
      </c>
      <c r="J2282" s="1480">
        <v>0</v>
      </c>
      <c r="K2282" s="1508"/>
      <c r="L2282" s="1508"/>
      <c r="M2282" s="1509">
        <f t="shared" si="311"/>
        <v>0</v>
      </c>
      <c r="N2282" s="1508">
        <f t="shared" si="313"/>
        <v>0</v>
      </c>
      <c r="O2282" s="1481"/>
      <c r="P2282" s="1427"/>
    </row>
    <row r="2283" spans="1:16" ht="46.5" outlineLevel="1" x14ac:dyDescent="0.25">
      <c r="A2283" s="1484" t="str">
        <f t="shared" si="314"/>
        <v>HO
DPR 17.1</v>
      </c>
      <c r="B2283" s="1485" t="str">
        <f t="shared" si="314"/>
        <v>Construction of new Administrative Building for Mahagenco at Vidyut Bhawan, Katol Road, Nagpur</v>
      </c>
      <c r="C2283" s="1493" t="str">
        <f t="shared" si="314"/>
        <v>MERC/CAPEX/2021-2022/MSPGCL/063</v>
      </c>
      <c r="D2283" s="1494">
        <f t="shared" si="314"/>
        <v>44604</v>
      </c>
      <c r="E2283" s="560">
        <f t="shared" si="314"/>
        <v>54.24</v>
      </c>
      <c r="F2283" s="1508">
        <f t="shared" si="315"/>
        <v>0</v>
      </c>
      <c r="G2283" s="1508">
        <f t="shared" si="316"/>
        <v>0</v>
      </c>
      <c r="H2283" s="1508">
        <f t="shared" si="312"/>
        <v>0</v>
      </c>
      <c r="I2283" s="1480">
        <v>27.12</v>
      </c>
      <c r="J2283" s="1480">
        <v>0</v>
      </c>
      <c r="K2283" s="1508"/>
      <c r="L2283" s="1508"/>
      <c r="M2283" s="1509">
        <f t="shared" si="311"/>
        <v>0</v>
      </c>
      <c r="N2283" s="1508">
        <f t="shared" si="313"/>
        <v>27.12</v>
      </c>
      <c r="O2283" s="1481"/>
      <c r="P2283" s="1427"/>
    </row>
    <row r="2284" spans="1:16" ht="31" outlineLevel="1" x14ac:dyDescent="0.25">
      <c r="A2284" s="1496">
        <f t="shared" si="314"/>
        <v>0</v>
      </c>
      <c r="B2284" s="1485" t="str">
        <f t="shared" si="314"/>
        <v>IDC</v>
      </c>
      <c r="C2284" s="1493" t="str">
        <f t="shared" si="314"/>
        <v>MERC/CAPEX/2021-2022/MSPGCL/063</v>
      </c>
      <c r="D2284" s="1494">
        <f t="shared" si="314"/>
        <v>44604</v>
      </c>
      <c r="E2284" s="560">
        <f t="shared" si="314"/>
        <v>2.76</v>
      </c>
      <c r="F2284" s="1508">
        <f t="shared" si="315"/>
        <v>0</v>
      </c>
      <c r="G2284" s="1508">
        <f t="shared" si="316"/>
        <v>0</v>
      </c>
      <c r="H2284" s="1508">
        <f t="shared" si="312"/>
        <v>0</v>
      </c>
      <c r="I2284" s="1480">
        <v>0</v>
      </c>
      <c r="J2284" s="1480">
        <v>0</v>
      </c>
      <c r="K2284" s="1508"/>
      <c r="L2284" s="1508"/>
      <c r="M2284" s="1509">
        <f t="shared" si="311"/>
        <v>0</v>
      </c>
      <c r="N2284" s="1508">
        <f t="shared" si="313"/>
        <v>0</v>
      </c>
      <c r="O2284" s="1481"/>
      <c r="P2284" s="1427"/>
    </row>
    <row r="2285" spans="1:16" ht="31" outlineLevel="1" x14ac:dyDescent="0.25">
      <c r="A2285" s="1489" t="str">
        <f t="shared" si="314"/>
        <v>HO
DPR 18</v>
      </c>
      <c r="B2285" s="1490" t="str">
        <f t="shared" si="314"/>
        <v>Centralized Monitoring Solution</v>
      </c>
      <c r="C2285" s="1486" t="str">
        <f t="shared" si="314"/>
        <v>MERC/CAPEX/MSPGCL/2023-24/0576</v>
      </c>
      <c r="D2285" s="1487">
        <f t="shared" si="314"/>
        <v>45232</v>
      </c>
      <c r="E2285" s="560">
        <f t="shared" si="314"/>
        <v>69.308999999999997</v>
      </c>
      <c r="F2285" s="1508">
        <f t="shared" si="315"/>
        <v>0</v>
      </c>
      <c r="G2285" s="1508">
        <f t="shared" si="316"/>
        <v>0</v>
      </c>
      <c r="H2285" s="1508">
        <f t="shared" si="312"/>
        <v>0</v>
      </c>
      <c r="I2285" s="1480">
        <v>0</v>
      </c>
      <c r="J2285" s="1480">
        <v>0</v>
      </c>
      <c r="K2285" s="1508"/>
      <c r="L2285" s="1508"/>
      <c r="M2285" s="1509">
        <f t="shared" si="311"/>
        <v>0</v>
      </c>
      <c r="N2285" s="1508">
        <f t="shared" si="313"/>
        <v>0</v>
      </c>
      <c r="O2285" s="1481"/>
      <c r="P2285" s="1427"/>
    </row>
    <row r="2286" spans="1:16" ht="46.5" outlineLevel="1" x14ac:dyDescent="0.25">
      <c r="A2286" s="1484" t="str">
        <f t="shared" si="314"/>
        <v>HO
DPR 18.1</v>
      </c>
      <c r="B2286" s="1485" t="str">
        <f t="shared" si="314"/>
        <v>Centralized Monitoring Solution</v>
      </c>
      <c r="C2286" s="1493" t="str">
        <f t="shared" si="314"/>
        <v>MERC/CAPEX/MSPGCL/2023-24/0576</v>
      </c>
      <c r="D2286" s="1494">
        <f t="shared" si="314"/>
        <v>45232</v>
      </c>
      <c r="E2286" s="560">
        <f t="shared" si="314"/>
        <v>66.009</v>
      </c>
      <c r="F2286" s="1508">
        <f t="shared" si="315"/>
        <v>0</v>
      </c>
      <c r="G2286" s="1508">
        <f t="shared" si="316"/>
        <v>0</v>
      </c>
      <c r="H2286" s="1508">
        <f t="shared" si="312"/>
        <v>0</v>
      </c>
      <c r="I2286" s="1480">
        <v>22.003</v>
      </c>
      <c r="J2286" s="1480">
        <v>0</v>
      </c>
      <c r="K2286" s="1508"/>
      <c r="L2286" s="1508"/>
      <c r="M2286" s="1509">
        <f t="shared" si="311"/>
        <v>0</v>
      </c>
      <c r="N2286" s="1508">
        <f t="shared" si="313"/>
        <v>22.003</v>
      </c>
      <c r="O2286" s="1481"/>
      <c r="P2286" s="1427"/>
    </row>
    <row r="2287" spans="1:16" ht="31" outlineLevel="1" x14ac:dyDescent="0.25">
      <c r="A2287" s="1496">
        <f t="shared" si="314"/>
        <v>0</v>
      </c>
      <c r="B2287" s="1485" t="str">
        <f t="shared" si="314"/>
        <v>IDC</v>
      </c>
      <c r="C2287" s="1493" t="str">
        <f t="shared" si="314"/>
        <v>MERC/CAPEX/MSPGCL/2023-24/0576</v>
      </c>
      <c r="D2287" s="1494">
        <f t="shared" si="314"/>
        <v>45232</v>
      </c>
      <c r="E2287" s="560">
        <f t="shared" si="314"/>
        <v>3.3</v>
      </c>
      <c r="F2287" s="1508">
        <f t="shared" si="315"/>
        <v>0</v>
      </c>
      <c r="G2287" s="1508">
        <f t="shared" si="316"/>
        <v>0</v>
      </c>
      <c r="H2287" s="1508">
        <f t="shared" si="312"/>
        <v>0</v>
      </c>
      <c r="I2287" s="1480">
        <v>0</v>
      </c>
      <c r="J2287" s="1480">
        <v>0</v>
      </c>
      <c r="K2287" s="1508"/>
      <c r="L2287" s="1508"/>
      <c r="M2287" s="1509">
        <f t="shared" si="311"/>
        <v>0</v>
      </c>
      <c r="N2287" s="1508">
        <f t="shared" si="313"/>
        <v>0</v>
      </c>
      <c r="O2287" s="1481"/>
      <c r="P2287" s="1427"/>
    </row>
    <row r="2288" spans="1:16" ht="62" outlineLevel="1" x14ac:dyDescent="0.25">
      <c r="A2288" s="1486" t="str">
        <f t="shared" si="314"/>
        <v>Y2</v>
      </c>
      <c r="B2288" s="1491" t="str">
        <f t="shared" si="314"/>
        <v>Procurement &amp; replacement of 400 NB Cast Basalt Pipelines with the existing MSERW pipe of ash disposal system of Unit #5,6 &amp; 7 at CSTPS, Chandrapur” under capital expenditure during the FY 2023-24.</v>
      </c>
      <c r="C2288" s="1486" t="str">
        <f t="shared" si="314"/>
        <v>MERC/CAPEX/2024-2025/MSPGCL/0475 Dt 06.08.2024</v>
      </c>
      <c r="D2288" s="1487">
        <f t="shared" si="314"/>
        <v>45510</v>
      </c>
      <c r="E2288" s="560">
        <f t="shared" si="314"/>
        <v>81.350000000000009</v>
      </c>
      <c r="F2288" s="1508">
        <f t="shared" si="315"/>
        <v>0</v>
      </c>
      <c r="G2288" s="1508">
        <f t="shared" si="316"/>
        <v>0</v>
      </c>
      <c r="H2288" s="1508">
        <f t="shared" si="312"/>
        <v>0</v>
      </c>
      <c r="I2288" s="1480">
        <v>0</v>
      </c>
      <c r="J2288" s="1480">
        <v>0</v>
      </c>
      <c r="K2288" s="1508"/>
      <c r="L2288" s="1508"/>
      <c r="M2288" s="1509">
        <f t="shared" si="311"/>
        <v>0</v>
      </c>
      <c r="N2288" s="1508">
        <f t="shared" si="313"/>
        <v>0</v>
      </c>
      <c r="O2288" s="1481"/>
      <c r="P2288" s="1427"/>
    </row>
    <row r="2289" spans="1:16" ht="62" outlineLevel="1" x14ac:dyDescent="0.25">
      <c r="A2289" s="1488">
        <f t="shared" si="314"/>
        <v>2.1</v>
      </c>
      <c r="B2289" s="1492" t="str">
        <f t="shared" si="314"/>
        <v>Procurement &amp; replacement of 400 NB Cast Basalt Pipelines with the existing MSERW pipe of ash disposal system of Unit #5,6 &amp; 7 at CSTPS, Chandrapur” under capital expenditure during the FY 2023-24.</v>
      </c>
      <c r="C2289" s="1488" t="str">
        <f t="shared" si="314"/>
        <v>MERC/CAPEX/2024-2025/MSPGCL/0475 Dt 06.08.2024</v>
      </c>
      <c r="D2289" s="1413">
        <f t="shared" si="314"/>
        <v>45510</v>
      </c>
      <c r="E2289" s="560">
        <f t="shared" si="314"/>
        <v>80.150000000000006</v>
      </c>
      <c r="F2289" s="1508">
        <f t="shared" si="315"/>
        <v>0</v>
      </c>
      <c r="G2289" s="1508">
        <f t="shared" si="316"/>
        <v>0</v>
      </c>
      <c r="H2289" s="1508">
        <f t="shared" si="312"/>
        <v>0</v>
      </c>
      <c r="I2289" s="1480">
        <v>40.075000000000003</v>
      </c>
      <c r="J2289" s="1480">
        <v>40.075000000000003</v>
      </c>
      <c r="K2289" s="1508"/>
      <c r="L2289" s="1508"/>
      <c r="M2289" s="1509">
        <f t="shared" si="311"/>
        <v>40.075000000000003</v>
      </c>
      <c r="N2289" s="1508">
        <f t="shared" si="313"/>
        <v>0</v>
      </c>
      <c r="O2289" s="1481"/>
      <c r="P2289" s="1427"/>
    </row>
    <row r="2290" spans="1:16" ht="31" outlineLevel="1" x14ac:dyDescent="0.25">
      <c r="A2290" s="1488">
        <f t="shared" si="314"/>
        <v>0</v>
      </c>
      <c r="B2290" s="1492" t="str">
        <f t="shared" si="314"/>
        <v>IDC</v>
      </c>
      <c r="C2290" s="1488" t="str">
        <f t="shared" si="314"/>
        <v>MERC/CAPEX/2024-2025/MSPGCL/0475 Dt 06.08.2024</v>
      </c>
      <c r="D2290" s="1413">
        <f t="shared" si="314"/>
        <v>45510</v>
      </c>
      <c r="E2290" s="560">
        <f t="shared" si="314"/>
        <v>1.2</v>
      </c>
      <c r="F2290" s="1508">
        <f t="shared" si="315"/>
        <v>0</v>
      </c>
      <c r="G2290" s="1508">
        <f t="shared" si="316"/>
        <v>0</v>
      </c>
      <c r="H2290" s="1508">
        <f t="shared" si="312"/>
        <v>0</v>
      </c>
      <c r="I2290" s="1480">
        <v>0</v>
      </c>
      <c r="J2290" s="1480">
        <v>0</v>
      </c>
      <c r="K2290" s="1508"/>
      <c r="L2290" s="1508"/>
      <c r="M2290" s="1509">
        <f t="shared" si="311"/>
        <v>0</v>
      </c>
      <c r="N2290" s="1508">
        <f t="shared" si="313"/>
        <v>0</v>
      </c>
      <c r="O2290" s="1481"/>
      <c r="P2290" s="1427"/>
    </row>
    <row r="2291" spans="1:16" ht="77.5" outlineLevel="1" x14ac:dyDescent="0.25">
      <c r="A2291" s="1486" t="str">
        <f t="shared" si="314"/>
        <v>Y3</v>
      </c>
      <c r="B2291" s="1491" t="str">
        <f t="shared" si="314"/>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2291" s="1486" t="str">
        <f t="shared" si="314"/>
        <v>MERC/CAPEX/2024-25/MSPGCL/0473 Dt 06.08.2024</v>
      </c>
      <c r="D2291" s="1487">
        <f t="shared" si="314"/>
        <v>45510</v>
      </c>
      <c r="E2291" s="560">
        <f t="shared" si="314"/>
        <v>25.78</v>
      </c>
      <c r="F2291" s="1508">
        <f t="shared" si="315"/>
        <v>0</v>
      </c>
      <c r="G2291" s="1508">
        <f t="shared" si="316"/>
        <v>0</v>
      </c>
      <c r="H2291" s="1508">
        <f t="shared" si="312"/>
        <v>0</v>
      </c>
      <c r="I2291" s="1480">
        <v>0</v>
      </c>
      <c r="J2291" s="1480">
        <v>0</v>
      </c>
      <c r="K2291" s="1508"/>
      <c r="L2291" s="1508"/>
      <c r="M2291" s="1509">
        <f t="shared" si="311"/>
        <v>0</v>
      </c>
      <c r="N2291" s="1508">
        <f t="shared" si="313"/>
        <v>0</v>
      </c>
      <c r="O2291" s="1481"/>
      <c r="P2291" s="1427"/>
    </row>
    <row r="2292" spans="1:16" ht="31" outlineLevel="1" x14ac:dyDescent="0.25">
      <c r="A2292" s="1488">
        <f t="shared" ref="A2292:E2307" si="317">A1622</f>
        <v>3.1</v>
      </c>
      <c r="B2292" s="1497" t="str">
        <f t="shared" si="317"/>
        <v>Scheme-1: Upgradation of 11KV Sub-stations of Urjanagar colony, CSTPS, Chandrapur.</v>
      </c>
      <c r="C2292" s="1488" t="str">
        <f t="shared" si="317"/>
        <v>MERC/CAPEX/2024-25/MSPGCL/0473 Dt 06.08.2024</v>
      </c>
      <c r="D2292" s="1413">
        <f t="shared" si="317"/>
        <v>45510</v>
      </c>
      <c r="E2292" s="1383">
        <f t="shared" si="317"/>
        <v>7.19</v>
      </c>
      <c r="F2292" s="1480">
        <f t="shared" si="315"/>
        <v>0</v>
      </c>
      <c r="G2292" s="1480">
        <f t="shared" si="316"/>
        <v>0</v>
      </c>
      <c r="H2292" s="1480">
        <f t="shared" si="312"/>
        <v>0</v>
      </c>
      <c r="I2292" s="1480">
        <v>0</v>
      </c>
      <c r="J2292" s="1480">
        <v>0</v>
      </c>
      <c r="K2292" s="1480"/>
      <c r="L2292" s="1480"/>
      <c r="M2292" s="1480">
        <f t="shared" ref="M2292:M2350" si="318">SUM(J2292:L2292)</f>
        <v>0</v>
      </c>
      <c r="N2292" s="1480">
        <f t="shared" si="313"/>
        <v>0</v>
      </c>
      <c r="O2292" s="1481">
        <f t="shared" ref="O2292:O2314" si="319">MAX(0,IF(M2292=0,0,IF(G2292+M2292&lt;E2292,M2292,E2292-G2292)))</f>
        <v>0</v>
      </c>
      <c r="P2292" s="1427">
        <f t="shared" ref="P2292:P2314" si="320">M2292-O2292</f>
        <v>0</v>
      </c>
    </row>
    <row r="2293" spans="1:16" ht="31" outlineLevel="1" x14ac:dyDescent="0.25">
      <c r="A2293" s="1488">
        <f t="shared" si="317"/>
        <v>3.1</v>
      </c>
      <c r="B2293" s="1497" t="str">
        <f t="shared" si="317"/>
        <v>Scheme-3: Replacement of old energy meters by electronics energy meters at Urjanagar colony, CSTPS, Chandrapur.</v>
      </c>
      <c r="C2293" s="1488" t="str">
        <f t="shared" si="317"/>
        <v>MERC/CAPEX/2024-25/MSPGCL/0473 Dt 06.08.2024</v>
      </c>
      <c r="D2293" s="1413">
        <f t="shared" si="317"/>
        <v>45510</v>
      </c>
      <c r="E2293" s="560">
        <f t="shared" si="317"/>
        <v>0.8</v>
      </c>
      <c r="F2293" s="1508">
        <f t="shared" si="315"/>
        <v>0</v>
      </c>
      <c r="G2293" s="1508">
        <f t="shared" si="316"/>
        <v>0</v>
      </c>
      <c r="H2293" s="1508">
        <f t="shared" si="312"/>
        <v>0</v>
      </c>
      <c r="I2293" s="1480">
        <v>0</v>
      </c>
      <c r="J2293" s="1480">
        <v>0</v>
      </c>
      <c r="K2293" s="1508"/>
      <c r="L2293" s="1508"/>
      <c r="M2293" s="1509">
        <f t="shared" si="318"/>
        <v>0</v>
      </c>
      <c r="N2293" s="1508">
        <f t="shared" si="313"/>
        <v>0</v>
      </c>
      <c r="O2293" s="1481">
        <f t="shared" si="319"/>
        <v>0</v>
      </c>
      <c r="P2293" s="1427">
        <f t="shared" si="320"/>
        <v>0</v>
      </c>
    </row>
    <row r="2294" spans="1:16" ht="31" outlineLevel="1" x14ac:dyDescent="0.25">
      <c r="A2294" s="1488">
        <f t="shared" si="317"/>
        <v>3.1</v>
      </c>
      <c r="B2294" s="1497" t="str">
        <f t="shared" si="317"/>
        <v>Scheme-5 : Provision of 11KV  supply to Urjanagar colony from station board of Stage-III, CSTPS Chandrapur.</v>
      </c>
      <c r="C2294" s="1488" t="str">
        <f t="shared" si="317"/>
        <v>MERC/CAPEX/2024-25/MSPGCL/0473 Dt 06.08.2024</v>
      </c>
      <c r="D2294" s="1413">
        <f t="shared" si="317"/>
        <v>45510</v>
      </c>
      <c r="E2294" s="560">
        <f t="shared" si="317"/>
        <v>2.97</v>
      </c>
      <c r="F2294" s="1508">
        <f t="shared" si="315"/>
        <v>2.9193972000000001</v>
      </c>
      <c r="G2294" s="1508">
        <f t="shared" si="316"/>
        <v>2.9193972000000001</v>
      </c>
      <c r="H2294" s="1508">
        <f t="shared" si="312"/>
        <v>0</v>
      </c>
      <c r="I2294" s="1480">
        <v>0</v>
      </c>
      <c r="J2294" s="1480">
        <v>0</v>
      </c>
      <c r="K2294" s="1508"/>
      <c r="L2294" s="1508"/>
      <c r="M2294" s="1509">
        <f t="shared" si="318"/>
        <v>0</v>
      </c>
      <c r="N2294" s="1508">
        <f t="shared" si="313"/>
        <v>0</v>
      </c>
      <c r="O2294" s="1481">
        <f t="shared" si="319"/>
        <v>0</v>
      </c>
      <c r="P2294" s="1427">
        <f t="shared" si="320"/>
        <v>0</v>
      </c>
    </row>
    <row r="2295" spans="1:16" ht="77.5" outlineLevel="1" x14ac:dyDescent="0.25">
      <c r="A2295" s="1488">
        <f t="shared" si="317"/>
        <v>3.1</v>
      </c>
      <c r="B2295" s="1497" t="str">
        <f t="shared" si="317"/>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2295" s="1488" t="str">
        <f t="shared" si="317"/>
        <v>MERC/CAPEX/2024-25/MSPGCL/0473 Dt 06.08.2024</v>
      </c>
      <c r="D2295" s="1413">
        <f t="shared" si="317"/>
        <v>45510</v>
      </c>
      <c r="E2295" s="560">
        <f t="shared" si="317"/>
        <v>10.48</v>
      </c>
      <c r="F2295" s="1508">
        <f t="shared" si="315"/>
        <v>0</v>
      </c>
      <c r="G2295" s="1508">
        <f t="shared" si="316"/>
        <v>0</v>
      </c>
      <c r="H2295" s="1508">
        <f t="shared" si="312"/>
        <v>0</v>
      </c>
      <c r="I2295" s="1480">
        <v>0</v>
      </c>
      <c r="J2295" s="1480">
        <v>0</v>
      </c>
      <c r="K2295" s="1508"/>
      <c r="L2295" s="1508"/>
      <c r="M2295" s="1509">
        <f t="shared" si="318"/>
        <v>0</v>
      </c>
      <c r="N2295" s="1508">
        <f t="shared" si="313"/>
        <v>0</v>
      </c>
      <c r="O2295" s="1481">
        <f t="shared" si="319"/>
        <v>0</v>
      </c>
      <c r="P2295" s="1427">
        <f t="shared" si="320"/>
        <v>0</v>
      </c>
    </row>
    <row r="2296" spans="1:16" ht="62" outlineLevel="1" x14ac:dyDescent="0.25">
      <c r="A2296" s="1488">
        <f t="shared" si="317"/>
        <v>3.1</v>
      </c>
      <c r="B2296" s="1497" t="str">
        <f t="shared" si="317"/>
        <v>Scheme-7: Design, supply, erection, installation, testing and commissioning of the boiler goods lifts in place of the existing old lifts installed at Unit#6&amp;7 500MW Stage-III CSTPS Chandrapur</v>
      </c>
      <c r="C2296" s="1488" t="str">
        <f t="shared" si="317"/>
        <v>MERC/CAPEX/2024-25/MSPGCL/0473 Dt 06.08.2024</v>
      </c>
      <c r="D2296" s="1413">
        <f t="shared" si="317"/>
        <v>45510</v>
      </c>
      <c r="E2296" s="560">
        <f t="shared" si="317"/>
        <v>3.66</v>
      </c>
      <c r="F2296" s="1508">
        <f t="shared" si="315"/>
        <v>0</v>
      </c>
      <c r="G2296" s="1508">
        <f t="shared" si="316"/>
        <v>0</v>
      </c>
      <c r="H2296" s="1508">
        <f t="shared" si="312"/>
        <v>0</v>
      </c>
      <c r="I2296" s="1480">
        <v>0</v>
      </c>
      <c r="J2296" s="1480">
        <v>0</v>
      </c>
      <c r="K2296" s="1508"/>
      <c r="L2296" s="1508"/>
      <c r="M2296" s="1509">
        <f t="shared" si="318"/>
        <v>0</v>
      </c>
      <c r="N2296" s="1508">
        <f t="shared" si="313"/>
        <v>0</v>
      </c>
      <c r="O2296" s="1481">
        <f t="shared" si="319"/>
        <v>0</v>
      </c>
      <c r="P2296" s="1427">
        <f t="shared" si="320"/>
        <v>0</v>
      </c>
    </row>
    <row r="2297" spans="1:16" ht="31" outlineLevel="1" x14ac:dyDescent="0.25">
      <c r="A2297" s="1488">
        <f t="shared" si="317"/>
        <v>0</v>
      </c>
      <c r="B2297" s="1497" t="str">
        <f t="shared" si="317"/>
        <v>IDC</v>
      </c>
      <c r="C2297" s="1488" t="str">
        <f t="shared" si="317"/>
        <v>MERC/CAPEX/2024-25/MSPGCL/0473 Dt 06.08.2024</v>
      </c>
      <c r="D2297" s="1413">
        <f t="shared" si="317"/>
        <v>45510</v>
      </c>
      <c r="E2297" s="560">
        <f t="shared" si="317"/>
        <v>0.68</v>
      </c>
      <c r="F2297" s="1508">
        <f t="shared" si="315"/>
        <v>0</v>
      </c>
      <c r="G2297" s="1508">
        <f t="shared" si="316"/>
        <v>0</v>
      </c>
      <c r="H2297" s="1508">
        <f t="shared" si="312"/>
        <v>0</v>
      </c>
      <c r="I2297" s="1480">
        <v>0</v>
      </c>
      <c r="J2297" s="1480">
        <v>0</v>
      </c>
      <c r="K2297" s="1508"/>
      <c r="L2297" s="1508"/>
      <c r="M2297" s="1509">
        <f t="shared" si="318"/>
        <v>0</v>
      </c>
      <c r="N2297" s="1508">
        <f t="shared" si="313"/>
        <v>0</v>
      </c>
      <c r="O2297" s="1481">
        <f t="shared" si="319"/>
        <v>0</v>
      </c>
      <c r="P2297" s="1427">
        <f t="shared" si="320"/>
        <v>0</v>
      </c>
    </row>
    <row r="2298" spans="1:16" ht="31" outlineLevel="1" x14ac:dyDescent="0.25">
      <c r="A2298" s="1486" t="str">
        <f t="shared" si="317"/>
        <v>Y4</v>
      </c>
      <c r="B2298" s="1491" t="str">
        <f t="shared" si="317"/>
        <v>Providing 1600 mm pipeline from Erdai Dam to CSTPS, Chandrapur</v>
      </c>
      <c r="C2298" s="1486" t="str">
        <f t="shared" si="317"/>
        <v>MERC/CAPEX/2024-2025/MSPGCL/0476 Dt 06.08.2024</v>
      </c>
      <c r="D2298" s="1487">
        <f t="shared" si="317"/>
        <v>45510</v>
      </c>
      <c r="E2298" s="1383">
        <f t="shared" si="317"/>
        <v>0</v>
      </c>
      <c r="F2298" s="1480">
        <f t="shared" si="315"/>
        <v>0</v>
      </c>
      <c r="G2298" s="1480">
        <f t="shared" si="316"/>
        <v>0</v>
      </c>
      <c r="H2298" s="1480">
        <f t="shared" si="312"/>
        <v>0</v>
      </c>
      <c r="I2298" s="1480">
        <v>0</v>
      </c>
      <c r="J2298" s="1480">
        <v>0</v>
      </c>
      <c r="K2298" s="1480"/>
      <c r="L2298" s="1480"/>
      <c r="M2298" s="1480">
        <f t="shared" si="318"/>
        <v>0</v>
      </c>
      <c r="N2298" s="1480">
        <f t="shared" si="313"/>
        <v>0</v>
      </c>
      <c r="O2298" s="1481">
        <f t="shared" si="319"/>
        <v>0</v>
      </c>
      <c r="P2298" s="1427">
        <f t="shared" si="320"/>
        <v>0</v>
      </c>
    </row>
    <row r="2299" spans="1:16" ht="31" outlineLevel="1" x14ac:dyDescent="0.25">
      <c r="A2299" s="1488">
        <f t="shared" si="317"/>
        <v>4.0999999999999996</v>
      </c>
      <c r="B2299" s="1492" t="str">
        <f t="shared" si="317"/>
        <v>Providing 1600 mm pipeline from Erdai Dam to CSTPS, Chandrapur</v>
      </c>
      <c r="C2299" s="1488" t="str">
        <f t="shared" si="317"/>
        <v>MERC/CAPEX/2024-2025/MSPGCL/0476 Dt 06.08.2024</v>
      </c>
      <c r="D2299" s="1413">
        <f t="shared" si="317"/>
        <v>45510</v>
      </c>
      <c r="E2299" s="560">
        <f t="shared" si="317"/>
        <v>0</v>
      </c>
      <c r="F2299" s="1508">
        <f t="shared" si="315"/>
        <v>0</v>
      </c>
      <c r="G2299" s="1508">
        <f t="shared" si="316"/>
        <v>0</v>
      </c>
      <c r="H2299" s="1508">
        <f t="shared" si="312"/>
        <v>0</v>
      </c>
      <c r="I2299" s="1480">
        <v>0</v>
      </c>
      <c r="J2299" s="1480">
        <v>0</v>
      </c>
      <c r="K2299" s="1508"/>
      <c r="L2299" s="1508"/>
      <c r="M2299" s="1509">
        <f t="shared" si="318"/>
        <v>0</v>
      </c>
      <c r="N2299" s="1508">
        <f t="shared" si="313"/>
        <v>0</v>
      </c>
      <c r="O2299" s="1481">
        <f t="shared" si="319"/>
        <v>0</v>
      </c>
      <c r="P2299" s="1427">
        <f t="shared" si="320"/>
        <v>0</v>
      </c>
    </row>
    <row r="2300" spans="1:16" ht="31" outlineLevel="1" x14ac:dyDescent="0.25">
      <c r="A2300" s="1488">
        <f t="shared" si="317"/>
        <v>0</v>
      </c>
      <c r="B2300" s="1492" t="str">
        <f t="shared" si="317"/>
        <v>IDC</v>
      </c>
      <c r="C2300" s="1488" t="str">
        <f t="shared" si="317"/>
        <v>MERC/CAPEX/2024-2025/MSPGCL/0476 Dt 06.08.2024</v>
      </c>
      <c r="D2300" s="1413">
        <f t="shared" si="317"/>
        <v>45510</v>
      </c>
      <c r="E2300" s="560">
        <f t="shared" si="317"/>
        <v>0</v>
      </c>
      <c r="F2300" s="1508">
        <f t="shared" si="315"/>
        <v>0</v>
      </c>
      <c r="G2300" s="1508">
        <f t="shared" si="316"/>
        <v>0</v>
      </c>
      <c r="H2300" s="1508">
        <f t="shared" si="312"/>
        <v>0</v>
      </c>
      <c r="I2300" s="1480">
        <v>0</v>
      </c>
      <c r="J2300" s="1480">
        <v>0</v>
      </c>
      <c r="K2300" s="1508"/>
      <c r="L2300" s="1508"/>
      <c r="M2300" s="1509">
        <f t="shared" si="318"/>
        <v>0</v>
      </c>
      <c r="N2300" s="1508">
        <f t="shared" si="313"/>
        <v>0</v>
      </c>
      <c r="O2300" s="1481">
        <f t="shared" si="319"/>
        <v>0</v>
      </c>
      <c r="P2300" s="1427">
        <f t="shared" si="320"/>
        <v>0</v>
      </c>
    </row>
    <row r="2301" spans="1:16" ht="31" outlineLevel="1" x14ac:dyDescent="0.25">
      <c r="A2301" s="1486" t="str">
        <f t="shared" si="317"/>
        <v>Y5</v>
      </c>
      <c r="B2301" s="1491" t="str">
        <f t="shared" si="317"/>
        <v>Performance Improvement &amp; Life Extension Schemes for CHP of Unit 5 to 7 of CSTPS, Chandrapur. -Part-2</v>
      </c>
      <c r="C2301" s="1486" t="str">
        <f t="shared" si="317"/>
        <v>MERC/CAPEX/MSPGCL/2023-2024/0466 Dt 02.08.2024</v>
      </c>
      <c r="D2301" s="1487">
        <f t="shared" si="317"/>
        <v>45506</v>
      </c>
      <c r="E2301" s="560">
        <f t="shared" si="317"/>
        <v>0</v>
      </c>
      <c r="F2301" s="1508">
        <f t="shared" si="315"/>
        <v>0</v>
      </c>
      <c r="G2301" s="1508">
        <f t="shared" si="316"/>
        <v>0</v>
      </c>
      <c r="H2301" s="1508">
        <f t="shared" si="312"/>
        <v>0</v>
      </c>
      <c r="I2301" s="1480">
        <v>0</v>
      </c>
      <c r="J2301" s="1480">
        <v>0</v>
      </c>
      <c r="K2301" s="1508"/>
      <c r="L2301" s="1508"/>
      <c r="M2301" s="1509">
        <f t="shared" si="318"/>
        <v>0</v>
      </c>
      <c r="N2301" s="1508">
        <f t="shared" si="313"/>
        <v>0</v>
      </c>
      <c r="O2301" s="1481">
        <f t="shared" si="319"/>
        <v>0</v>
      </c>
      <c r="P2301" s="1427">
        <f t="shared" si="320"/>
        <v>0</v>
      </c>
    </row>
    <row r="2302" spans="1:16" ht="31" outlineLevel="1" x14ac:dyDescent="0.25">
      <c r="A2302" s="1488">
        <f t="shared" si="317"/>
        <v>5.0999999999999996</v>
      </c>
      <c r="B2302" s="1492" t="str">
        <f t="shared" si="317"/>
        <v>Scheme-1: Upgradation/Renovation of Deck Module of Under Ground Conveyor stream of CHPB of Unit-5,6&amp;7 Chandrapur.</v>
      </c>
      <c r="C2302" s="1488" t="str">
        <f t="shared" si="317"/>
        <v>MERC/CAPEX/MSPGCL/2023-2024/0466 Dt 02.08.2024</v>
      </c>
      <c r="D2302" s="1413">
        <f t="shared" si="317"/>
        <v>45506</v>
      </c>
      <c r="E2302" s="1383">
        <f t="shared" si="317"/>
        <v>0</v>
      </c>
      <c r="F2302" s="1480">
        <f t="shared" si="315"/>
        <v>0</v>
      </c>
      <c r="G2302" s="1480">
        <f t="shared" si="316"/>
        <v>0</v>
      </c>
      <c r="H2302" s="1480">
        <f t="shared" si="312"/>
        <v>0</v>
      </c>
      <c r="I2302" s="1480">
        <v>4.43</v>
      </c>
      <c r="J2302" s="1480">
        <v>4.43</v>
      </c>
      <c r="K2302" s="1480"/>
      <c r="L2302" s="1480"/>
      <c r="M2302" s="1480">
        <f t="shared" si="318"/>
        <v>4.43</v>
      </c>
      <c r="N2302" s="1480">
        <f t="shared" si="313"/>
        <v>0</v>
      </c>
      <c r="O2302" s="1481">
        <f t="shared" si="319"/>
        <v>0</v>
      </c>
      <c r="P2302" s="1427">
        <f t="shared" si="320"/>
        <v>4.43</v>
      </c>
    </row>
    <row r="2303" spans="1:16" ht="31" outlineLevel="1" x14ac:dyDescent="0.25">
      <c r="A2303" s="1488">
        <f t="shared" si="317"/>
        <v>5.2</v>
      </c>
      <c r="B2303" s="1492" t="str">
        <f t="shared" si="317"/>
        <v>Scheme-2: Renovation &amp; Upgradation of Transfer Point of CHPB of Unit 5 to 7 of CSTPS Chandrapur.</v>
      </c>
      <c r="C2303" s="1488" t="str">
        <f t="shared" si="317"/>
        <v>MERC/CAPEX/MSPGCL/2023-2024/0466 Dt 02.08.2024</v>
      </c>
      <c r="D2303" s="1413">
        <f t="shared" si="317"/>
        <v>45506</v>
      </c>
      <c r="E2303" s="560">
        <f t="shared" si="317"/>
        <v>0</v>
      </c>
      <c r="F2303" s="1508">
        <f t="shared" si="315"/>
        <v>0</v>
      </c>
      <c r="G2303" s="1508">
        <f t="shared" si="316"/>
        <v>0</v>
      </c>
      <c r="H2303" s="1508">
        <f t="shared" si="312"/>
        <v>0</v>
      </c>
      <c r="I2303" s="1480">
        <v>4.54</v>
      </c>
      <c r="J2303" s="1480">
        <v>4.54</v>
      </c>
      <c r="K2303" s="1508"/>
      <c r="L2303" s="1508"/>
      <c r="M2303" s="1509">
        <f t="shared" si="318"/>
        <v>4.54</v>
      </c>
      <c r="N2303" s="1508">
        <f t="shared" si="313"/>
        <v>0</v>
      </c>
      <c r="O2303" s="1481">
        <f t="shared" si="319"/>
        <v>0</v>
      </c>
      <c r="P2303" s="1427">
        <f t="shared" si="320"/>
        <v>4.54</v>
      </c>
    </row>
    <row r="2304" spans="1:16" ht="31" outlineLevel="1" x14ac:dyDescent="0.25">
      <c r="A2304" s="1488">
        <f t="shared" si="317"/>
        <v>5.3</v>
      </c>
      <c r="B2304" s="1492" t="str">
        <f t="shared" si="317"/>
        <v>Scheme-3: Renovation &amp; Upgradation of Walkway Platform of CHPB of Unit 5 to 7 of CSTPS Chandrapur.</v>
      </c>
      <c r="C2304" s="1488" t="str">
        <f t="shared" si="317"/>
        <v>MERC/CAPEX/MSPGCL/2023-2024/0466 Dt 02.08.2024</v>
      </c>
      <c r="D2304" s="1413">
        <f t="shared" si="317"/>
        <v>45506</v>
      </c>
      <c r="E2304" s="560">
        <f t="shared" si="317"/>
        <v>0</v>
      </c>
      <c r="F2304" s="1508">
        <f t="shared" si="315"/>
        <v>0</v>
      </c>
      <c r="G2304" s="1508">
        <f t="shared" si="316"/>
        <v>0</v>
      </c>
      <c r="H2304" s="1508">
        <f t="shared" si="312"/>
        <v>0</v>
      </c>
      <c r="I2304" s="1480">
        <v>5.25</v>
      </c>
      <c r="J2304" s="1480">
        <v>5.25</v>
      </c>
      <c r="K2304" s="1508"/>
      <c r="L2304" s="1508"/>
      <c r="M2304" s="1509">
        <f t="shared" si="318"/>
        <v>5.25</v>
      </c>
      <c r="N2304" s="1508">
        <f t="shared" si="313"/>
        <v>0</v>
      </c>
      <c r="O2304" s="1481">
        <f t="shared" si="319"/>
        <v>0</v>
      </c>
      <c r="P2304" s="1427">
        <f t="shared" si="320"/>
        <v>5.25</v>
      </c>
    </row>
    <row r="2305" spans="1:16" ht="31" outlineLevel="1" x14ac:dyDescent="0.25">
      <c r="A2305" s="1488">
        <f t="shared" si="317"/>
        <v>5.4</v>
      </c>
      <c r="B2305" s="1492" t="str">
        <f t="shared" si="317"/>
        <v>Scheme-4: Work of Renovation &amp; Modernization of Bunker Shuttle Conveyor of CHPB of Unit 5, 6 &amp; 7 in CSTPS Chandrapur.</v>
      </c>
      <c r="C2305" s="1488" t="str">
        <f t="shared" si="317"/>
        <v>MERC/CAPEX/MSPGCL/2023-2024/0466 Dt 02.08.2024</v>
      </c>
      <c r="D2305" s="1413">
        <f t="shared" si="317"/>
        <v>45506</v>
      </c>
      <c r="E2305" s="560">
        <f t="shared" si="317"/>
        <v>0</v>
      </c>
      <c r="F2305" s="1508">
        <f t="shared" si="315"/>
        <v>0</v>
      </c>
      <c r="G2305" s="1508">
        <f t="shared" si="316"/>
        <v>0</v>
      </c>
      <c r="H2305" s="1508">
        <f t="shared" si="312"/>
        <v>0</v>
      </c>
      <c r="I2305" s="1480">
        <v>4.6100000000000003</v>
      </c>
      <c r="J2305" s="1480">
        <v>4.6100000000000003</v>
      </c>
      <c r="K2305" s="1508"/>
      <c r="L2305" s="1508"/>
      <c r="M2305" s="1509">
        <f t="shared" si="318"/>
        <v>4.6100000000000003</v>
      </c>
      <c r="N2305" s="1508">
        <f t="shared" si="313"/>
        <v>0</v>
      </c>
      <c r="O2305" s="1481">
        <f t="shared" si="319"/>
        <v>0</v>
      </c>
      <c r="P2305" s="1427">
        <f t="shared" si="320"/>
        <v>4.6100000000000003</v>
      </c>
    </row>
    <row r="2306" spans="1:16" ht="46.5" outlineLevel="1" x14ac:dyDescent="0.25">
      <c r="A2306" s="1488">
        <f t="shared" si="317"/>
        <v>5.5</v>
      </c>
      <c r="B2306" s="1492" t="str">
        <f t="shared" si="317"/>
        <v>Scheme-5: Renovation &amp; Modernization of Wagon Tippler Concrete Hopper of Coal Handling Plant-B of Unit 5,6&amp;7 at CSTPS Chandrapur.</v>
      </c>
      <c r="C2306" s="1488" t="str">
        <f t="shared" si="317"/>
        <v>MERC/CAPEX/MSPGCL/2023-2024/0466 Dt 02.08.2024</v>
      </c>
      <c r="D2306" s="1413">
        <f t="shared" si="317"/>
        <v>45506</v>
      </c>
      <c r="E2306" s="560">
        <f t="shared" si="317"/>
        <v>0</v>
      </c>
      <c r="F2306" s="1508">
        <f t="shared" si="315"/>
        <v>0</v>
      </c>
      <c r="G2306" s="1508">
        <f t="shared" si="316"/>
        <v>0</v>
      </c>
      <c r="H2306" s="1508">
        <f t="shared" si="312"/>
        <v>0</v>
      </c>
      <c r="I2306" s="1480">
        <v>3.83</v>
      </c>
      <c r="J2306" s="1480">
        <v>3.83</v>
      </c>
      <c r="K2306" s="1508"/>
      <c r="L2306" s="1508"/>
      <c r="M2306" s="1509">
        <f t="shared" si="318"/>
        <v>3.83</v>
      </c>
      <c r="N2306" s="1508">
        <f t="shared" si="313"/>
        <v>0</v>
      </c>
      <c r="O2306" s="1481">
        <f t="shared" si="319"/>
        <v>0</v>
      </c>
      <c r="P2306" s="1427">
        <f t="shared" si="320"/>
        <v>3.83</v>
      </c>
    </row>
    <row r="2307" spans="1:16" ht="46.5" outlineLevel="1" x14ac:dyDescent="0.25">
      <c r="A2307" s="1488">
        <f t="shared" si="317"/>
        <v>5.6</v>
      </c>
      <c r="B2307" s="1492" t="str">
        <f t="shared" si="317"/>
        <v>Scheme-6: Renovation &amp; Modernization of Wagon Tippler Concrete Hopper of Coal Handling Plant-D of Unit 8&amp;9 at CSTPS Chandrapur.</v>
      </c>
      <c r="C2307" s="1488" t="str">
        <f t="shared" si="317"/>
        <v>MERC/CAPEX/MSPGCL/2023-2024/0466 Dt 02.08.2024</v>
      </c>
      <c r="D2307" s="1413">
        <f t="shared" si="317"/>
        <v>45506</v>
      </c>
      <c r="E2307" s="1383">
        <f t="shared" si="317"/>
        <v>0</v>
      </c>
      <c r="F2307" s="1480">
        <f t="shared" si="315"/>
        <v>0</v>
      </c>
      <c r="G2307" s="1480">
        <f t="shared" si="316"/>
        <v>0</v>
      </c>
      <c r="H2307" s="1480">
        <f t="shared" si="312"/>
        <v>0</v>
      </c>
      <c r="I2307" s="1480">
        <v>3.83</v>
      </c>
      <c r="J2307" s="1480">
        <v>3.83</v>
      </c>
      <c r="K2307" s="1480"/>
      <c r="L2307" s="1480"/>
      <c r="M2307" s="1480">
        <f t="shared" si="318"/>
        <v>3.83</v>
      </c>
      <c r="N2307" s="1480">
        <f t="shared" si="313"/>
        <v>0</v>
      </c>
      <c r="O2307" s="1481">
        <f t="shared" si="319"/>
        <v>0</v>
      </c>
      <c r="P2307" s="1427">
        <f t="shared" si="320"/>
        <v>3.83</v>
      </c>
    </row>
    <row r="2308" spans="1:16" ht="46.5" outlineLevel="1" x14ac:dyDescent="0.25">
      <c r="A2308" s="1488">
        <f t="shared" ref="A2308:E2323" si="321">A1638</f>
        <v>5.7</v>
      </c>
      <c r="B2308" s="1492" t="str">
        <f t="shared" si="321"/>
        <v xml:space="preserve">Scheme-7: Design, supply, installation &amp; commissioning of LED based energy efficient illumination system at CHP-A, B &amp; C, C.S.T.P.S., Chandrapur.  </v>
      </c>
      <c r="C2308" s="1488" t="str">
        <f t="shared" si="321"/>
        <v>MERC/CAPEX/MSPGCL/2023-2024/0466 Dt 02.08.2024</v>
      </c>
      <c r="D2308" s="1413">
        <f t="shared" si="321"/>
        <v>45506</v>
      </c>
      <c r="E2308" s="560">
        <f t="shared" si="321"/>
        <v>0</v>
      </c>
      <c r="F2308" s="1508">
        <f t="shared" si="315"/>
        <v>0</v>
      </c>
      <c r="G2308" s="1508">
        <f t="shared" si="316"/>
        <v>0</v>
      </c>
      <c r="H2308" s="1508">
        <f t="shared" si="312"/>
        <v>0</v>
      </c>
      <c r="I2308" s="1480">
        <v>5.31</v>
      </c>
      <c r="J2308" s="1480">
        <v>5.31</v>
      </c>
      <c r="K2308" s="1508"/>
      <c r="L2308" s="1508"/>
      <c r="M2308" s="1509">
        <f t="shared" si="318"/>
        <v>5.31</v>
      </c>
      <c r="N2308" s="1508">
        <f t="shared" si="313"/>
        <v>0</v>
      </c>
      <c r="O2308" s="1481">
        <f t="shared" si="319"/>
        <v>0</v>
      </c>
      <c r="P2308" s="1427">
        <f t="shared" si="320"/>
        <v>5.31</v>
      </c>
    </row>
    <row r="2309" spans="1:16" ht="31" outlineLevel="1" x14ac:dyDescent="0.25">
      <c r="A2309" s="1488">
        <f t="shared" si="321"/>
        <v>0</v>
      </c>
      <c r="B2309" s="1492" t="str">
        <f t="shared" si="321"/>
        <v>IDC</v>
      </c>
      <c r="C2309" s="1488" t="str">
        <f t="shared" si="321"/>
        <v>MERC/CAPEX/MSPGCL/2023-2024/0466 Dt 02.08.2024</v>
      </c>
      <c r="D2309" s="1413">
        <f t="shared" si="321"/>
        <v>45506</v>
      </c>
      <c r="E2309" s="1383">
        <f t="shared" si="321"/>
        <v>0</v>
      </c>
      <c r="F2309" s="1480">
        <f t="shared" si="315"/>
        <v>0</v>
      </c>
      <c r="G2309" s="1480">
        <f t="shared" si="316"/>
        <v>0</v>
      </c>
      <c r="H2309" s="1480">
        <f t="shared" si="312"/>
        <v>0</v>
      </c>
      <c r="I2309" s="1480">
        <v>0</v>
      </c>
      <c r="J2309" s="1480">
        <v>0</v>
      </c>
      <c r="K2309" s="1480"/>
      <c r="L2309" s="1480"/>
      <c r="M2309" s="1480">
        <f t="shared" si="318"/>
        <v>0</v>
      </c>
      <c r="N2309" s="1480">
        <f t="shared" si="313"/>
        <v>0</v>
      </c>
      <c r="O2309" s="1481">
        <f t="shared" si="319"/>
        <v>0</v>
      </c>
      <c r="P2309" s="1427">
        <f t="shared" si="320"/>
        <v>0</v>
      </c>
    </row>
    <row r="2310" spans="1:16" ht="62" outlineLevel="1" x14ac:dyDescent="0.25">
      <c r="A2310" s="1486">
        <f t="shared" si="321"/>
        <v>63</v>
      </c>
      <c r="B2310" s="1491" t="str">
        <f t="shared" si="321"/>
        <v>Procurement of Equipment’s for Stack yard management at Coal Handling Plant &amp; Upgradation of existing ash disposal pump system by installing higher efficiency pump system in Ash Handling Plant of Unit- 5 &amp; 6 at CSTPS, Chandrapur.</v>
      </c>
      <c r="C2310" s="1486" t="str">
        <f t="shared" si="321"/>
        <v>MERC/CAPEX/MSPGCL/2023-24/496 Dt 08.08.2024</v>
      </c>
      <c r="D2310" s="1413">
        <f t="shared" si="321"/>
        <v>45512</v>
      </c>
      <c r="E2310" s="560">
        <f t="shared" si="321"/>
        <v>38.4</v>
      </c>
      <c r="F2310" s="1508">
        <f t="shared" si="315"/>
        <v>0</v>
      </c>
      <c r="G2310" s="1508">
        <f t="shared" si="316"/>
        <v>0</v>
      </c>
      <c r="H2310" s="1508">
        <f t="shared" si="312"/>
        <v>0</v>
      </c>
      <c r="I2310" s="1480">
        <v>0</v>
      </c>
      <c r="J2310" s="1480">
        <v>0</v>
      </c>
      <c r="K2310" s="1508"/>
      <c r="L2310" s="1508"/>
      <c r="M2310" s="1509">
        <f t="shared" si="318"/>
        <v>0</v>
      </c>
      <c r="N2310" s="1508">
        <f t="shared" si="313"/>
        <v>0</v>
      </c>
      <c r="O2310" s="1481">
        <f t="shared" si="319"/>
        <v>0</v>
      </c>
      <c r="P2310" s="1427">
        <f t="shared" si="320"/>
        <v>0</v>
      </c>
    </row>
    <row r="2311" spans="1:16" ht="31" outlineLevel="1" x14ac:dyDescent="0.25">
      <c r="A2311" s="1488">
        <f t="shared" si="321"/>
        <v>6.1</v>
      </c>
      <c r="B2311" s="1492" t="str">
        <f t="shared" si="321"/>
        <v>Scheme-1: Procurement of 04 Nos Bulldozers.</v>
      </c>
      <c r="C2311" s="1488" t="str">
        <f t="shared" si="321"/>
        <v>MERC/CAPEX/MSPGCL/2023-24/496 Dt 08.08.2024</v>
      </c>
      <c r="D2311" s="1413">
        <f t="shared" si="321"/>
        <v>45512</v>
      </c>
      <c r="E2311" s="560">
        <f t="shared" si="321"/>
        <v>9.58</v>
      </c>
      <c r="F2311" s="1508">
        <f t="shared" si="315"/>
        <v>0</v>
      </c>
      <c r="G2311" s="1508">
        <f t="shared" si="316"/>
        <v>0</v>
      </c>
      <c r="H2311" s="1508">
        <f t="shared" si="312"/>
        <v>0</v>
      </c>
      <c r="I2311" s="1480">
        <v>9.58</v>
      </c>
      <c r="J2311" s="1480">
        <v>9.58</v>
      </c>
      <c r="K2311" s="1508"/>
      <c r="L2311" s="1508"/>
      <c r="M2311" s="1509">
        <f t="shared" si="318"/>
        <v>9.58</v>
      </c>
      <c r="N2311" s="1508">
        <f t="shared" si="313"/>
        <v>0</v>
      </c>
      <c r="O2311" s="1481">
        <f t="shared" si="319"/>
        <v>9.58</v>
      </c>
      <c r="P2311" s="1427">
        <f t="shared" si="320"/>
        <v>0</v>
      </c>
    </row>
    <row r="2312" spans="1:16" ht="31" outlineLevel="1" x14ac:dyDescent="0.25">
      <c r="A2312" s="1488">
        <f t="shared" si="321"/>
        <v>6.2</v>
      </c>
      <c r="B2312" s="1492" t="str">
        <f t="shared" si="321"/>
        <v>Scheme-2:  Procurement of 01 No Wheel Dozer</v>
      </c>
      <c r="C2312" s="1488" t="str">
        <f t="shared" si="321"/>
        <v>MERC/CAPEX/MSPGCL/2023-24/496 Dt 08.08.2024</v>
      </c>
      <c r="D2312" s="1413">
        <f t="shared" si="321"/>
        <v>45512</v>
      </c>
      <c r="E2312" s="1383">
        <f t="shared" si="321"/>
        <v>2.95</v>
      </c>
      <c r="F2312" s="1480">
        <f t="shared" si="315"/>
        <v>0</v>
      </c>
      <c r="G2312" s="1480">
        <f t="shared" si="316"/>
        <v>0</v>
      </c>
      <c r="H2312" s="1480">
        <f t="shared" si="312"/>
        <v>0</v>
      </c>
      <c r="I2312" s="1480">
        <v>2.95</v>
      </c>
      <c r="J2312" s="1480">
        <v>2.95</v>
      </c>
      <c r="K2312" s="1480"/>
      <c r="L2312" s="1480"/>
      <c r="M2312" s="1480">
        <f t="shared" si="318"/>
        <v>2.95</v>
      </c>
      <c r="N2312" s="1480">
        <f t="shared" si="313"/>
        <v>0</v>
      </c>
      <c r="O2312" s="1481">
        <f t="shared" si="319"/>
        <v>2.95</v>
      </c>
      <c r="P2312" s="1427">
        <f t="shared" si="320"/>
        <v>0</v>
      </c>
    </row>
    <row r="2313" spans="1:16" ht="31" outlineLevel="1" x14ac:dyDescent="0.25">
      <c r="A2313" s="1488">
        <f t="shared" si="321"/>
        <v>6.3</v>
      </c>
      <c r="B2313" s="1492" t="str">
        <f t="shared" si="321"/>
        <v>Scheme-3: Procurement 02 Nos. 800 HP Diesel Hydraulic Locomotives.</v>
      </c>
      <c r="C2313" s="1488" t="str">
        <f t="shared" si="321"/>
        <v>MERC/CAPEX/MSPGCL/2023-24/496 Dt 08.08.2024</v>
      </c>
      <c r="D2313" s="1413">
        <f t="shared" si="321"/>
        <v>45512</v>
      </c>
      <c r="E2313" s="560">
        <f t="shared" si="321"/>
        <v>7.95</v>
      </c>
      <c r="F2313" s="1508">
        <f t="shared" si="315"/>
        <v>0</v>
      </c>
      <c r="G2313" s="1508">
        <f t="shared" si="316"/>
        <v>0</v>
      </c>
      <c r="H2313" s="1508">
        <f t="shared" si="312"/>
        <v>0</v>
      </c>
      <c r="I2313" s="1480">
        <v>7.95</v>
      </c>
      <c r="J2313" s="1480">
        <v>7.95</v>
      </c>
      <c r="K2313" s="1508"/>
      <c r="L2313" s="1508"/>
      <c r="M2313" s="1509">
        <f t="shared" si="318"/>
        <v>7.95</v>
      </c>
      <c r="N2313" s="1508">
        <f t="shared" si="313"/>
        <v>0</v>
      </c>
      <c r="O2313" s="1481">
        <f t="shared" si="319"/>
        <v>7.95</v>
      </c>
      <c r="P2313" s="1427">
        <f t="shared" si="320"/>
        <v>0</v>
      </c>
    </row>
    <row r="2314" spans="1:16" ht="31" outlineLevel="1" x14ac:dyDescent="0.25">
      <c r="A2314" s="1488">
        <f t="shared" si="321"/>
        <v>6.4</v>
      </c>
      <c r="B2314" s="1492" t="str">
        <f t="shared" si="321"/>
        <v>Scheme-4: Upgradation of existing ash disposal pump assembly by higher efficiency pump assembly in ash handling plant.</v>
      </c>
      <c r="C2314" s="1488" t="str">
        <f t="shared" si="321"/>
        <v>MERC/CAPEX/MSPGCL/2023-24/496 Dt 08.08.2024</v>
      </c>
      <c r="D2314" s="1413">
        <f t="shared" si="321"/>
        <v>45512</v>
      </c>
      <c r="E2314" s="560">
        <f t="shared" si="321"/>
        <v>17.46</v>
      </c>
      <c r="F2314" s="1508">
        <f t="shared" si="315"/>
        <v>17.46</v>
      </c>
      <c r="G2314" s="1508">
        <f t="shared" si="316"/>
        <v>17.46</v>
      </c>
      <c r="H2314" s="1508">
        <f t="shared" si="312"/>
        <v>0</v>
      </c>
      <c r="I2314" s="1480">
        <v>0</v>
      </c>
      <c r="J2314" s="1480">
        <v>0</v>
      </c>
      <c r="K2314" s="1508"/>
      <c r="L2314" s="1508"/>
      <c r="M2314" s="1509">
        <f t="shared" si="318"/>
        <v>0</v>
      </c>
      <c r="N2314" s="1508">
        <f t="shared" si="313"/>
        <v>0</v>
      </c>
      <c r="O2314" s="1481">
        <f t="shared" si="319"/>
        <v>0</v>
      </c>
      <c r="P2314" s="1427">
        <f t="shared" si="320"/>
        <v>0</v>
      </c>
    </row>
    <row r="2315" spans="1:16" ht="31" outlineLevel="1" x14ac:dyDescent="0.25">
      <c r="A2315" s="1488">
        <f t="shared" si="321"/>
        <v>0</v>
      </c>
      <c r="B2315" s="1492" t="str">
        <f t="shared" si="321"/>
        <v>IDC</v>
      </c>
      <c r="C2315" s="1488" t="str">
        <f t="shared" si="321"/>
        <v>MERC/CAPEX/MSPGCL/2023-24/496 Dt 08.08.2024</v>
      </c>
      <c r="D2315" s="1413">
        <f t="shared" si="321"/>
        <v>45512</v>
      </c>
      <c r="E2315" s="560">
        <f t="shared" si="321"/>
        <v>0.46</v>
      </c>
      <c r="F2315" s="1508">
        <f t="shared" si="315"/>
        <v>0</v>
      </c>
      <c r="G2315" s="1508">
        <f t="shared" si="316"/>
        <v>0</v>
      </c>
      <c r="H2315" s="1508">
        <f t="shared" si="312"/>
        <v>0</v>
      </c>
      <c r="I2315" s="1480">
        <v>0</v>
      </c>
      <c r="J2315" s="1480">
        <v>0</v>
      </c>
      <c r="K2315" s="1508"/>
      <c r="L2315" s="1508"/>
      <c r="M2315" s="1509">
        <f t="shared" si="318"/>
        <v>0</v>
      </c>
      <c r="N2315" s="1508">
        <f t="shared" si="313"/>
        <v>0</v>
      </c>
    </row>
    <row r="2316" spans="1:16" ht="46.5" outlineLevel="1" x14ac:dyDescent="0.25">
      <c r="A2316" s="1486">
        <f t="shared" si="321"/>
        <v>64</v>
      </c>
      <c r="B2316" s="1491" t="str">
        <f t="shared" si="321"/>
        <v>Stacker Reclaimer, Impact Crusher and Conveyor Drive reliability &amp; availability improvement scheme for CHP of Unit 5,6&amp;7 CSTPS Chandrapur.- Elecon</v>
      </c>
      <c r="C2316" s="1488" t="str">
        <f t="shared" si="321"/>
        <v>MERC approved MERC/CAPEX/MSPGCL/2023-24/566  Dt 09.09.2024</v>
      </c>
      <c r="D2316" s="1413">
        <f t="shared" si="321"/>
        <v>45544</v>
      </c>
      <c r="E2316" s="1383">
        <f t="shared" si="321"/>
        <v>32.549999999999997</v>
      </c>
      <c r="F2316" s="1480">
        <f t="shared" si="315"/>
        <v>0</v>
      </c>
      <c r="G2316" s="1480">
        <f t="shared" si="316"/>
        <v>0</v>
      </c>
      <c r="H2316" s="1480">
        <f t="shared" si="312"/>
        <v>0</v>
      </c>
      <c r="I2316" s="1480">
        <v>0</v>
      </c>
      <c r="J2316" s="1480">
        <v>0</v>
      </c>
      <c r="K2316" s="1480"/>
      <c r="L2316" s="1480"/>
      <c r="M2316" s="1480">
        <f t="shared" si="318"/>
        <v>0</v>
      </c>
      <c r="N2316" s="1480">
        <f t="shared" si="313"/>
        <v>0</v>
      </c>
    </row>
    <row r="2317" spans="1:16" ht="46.5" outlineLevel="1" x14ac:dyDescent="0.25">
      <c r="A2317" s="1488">
        <f t="shared" si="321"/>
        <v>0</v>
      </c>
      <c r="B2317" s="1497" t="str">
        <f t="shared" si="321"/>
        <v xml:space="preserve">Scheme-1: Reliability &amp; availability improvement for Stacker Reclaimer by supply &amp; commissioning of essential equipment at CHPB of Unit 5,6&amp;7 CSTPS  Chandrapur. </v>
      </c>
      <c r="C2317" s="1488" t="str">
        <f t="shared" si="321"/>
        <v>MERC approved MERC/CAPEX/MSPGCL/2023-24/566  Dt 09.09.2024</v>
      </c>
      <c r="D2317" s="1413">
        <f t="shared" si="321"/>
        <v>45544</v>
      </c>
      <c r="E2317" s="560">
        <f t="shared" si="321"/>
        <v>17.61</v>
      </c>
      <c r="F2317" s="1508">
        <f t="shared" si="315"/>
        <v>0</v>
      </c>
      <c r="G2317" s="1508">
        <f t="shared" si="316"/>
        <v>0</v>
      </c>
      <c r="H2317" s="1508">
        <f t="shared" si="312"/>
        <v>0</v>
      </c>
      <c r="I2317" s="1480">
        <v>0</v>
      </c>
      <c r="J2317" s="1480">
        <v>0</v>
      </c>
      <c r="K2317" s="1508"/>
      <c r="L2317" s="1508"/>
      <c r="M2317" s="1509">
        <f t="shared" si="318"/>
        <v>0</v>
      </c>
      <c r="N2317" s="1508">
        <f t="shared" si="313"/>
        <v>0</v>
      </c>
    </row>
    <row r="2318" spans="1:16" ht="46.5" outlineLevel="1" x14ac:dyDescent="0.25">
      <c r="A2318" s="1488">
        <f t="shared" si="321"/>
        <v>0</v>
      </c>
      <c r="B2318" s="1497" t="str">
        <f t="shared" si="321"/>
        <v xml:space="preserve">Scheme-2: Reliability &amp; availability improvement for Conveyor Drive by supply &amp; commissioning of essential equipment at CHPB of Unit 5,6&amp;7 CSTPS </v>
      </c>
      <c r="C2318" s="1488" t="str">
        <f t="shared" si="321"/>
        <v>MERC approved MERC/CAPEX/MSPGCL/2023-24/566  Dt 09.09.2024</v>
      </c>
      <c r="D2318" s="1413">
        <f t="shared" si="321"/>
        <v>45544</v>
      </c>
      <c r="E2318" s="560">
        <f t="shared" si="321"/>
        <v>14.65</v>
      </c>
      <c r="F2318" s="1508">
        <f t="shared" si="315"/>
        <v>0</v>
      </c>
      <c r="G2318" s="1508">
        <f t="shared" si="316"/>
        <v>0</v>
      </c>
      <c r="H2318" s="1508">
        <f t="shared" si="312"/>
        <v>0</v>
      </c>
      <c r="I2318" s="1480">
        <v>0</v>
      </c>
      <c r="J2318" s="1480">
        <v>0</v>
      </c>
      <c r="K2318" s="1508"/>
      <c r="L2318" s="1508"/>
      <c r="M2318" s="1509">
        <f t="shared" si="318"/>
        <v>0</v>
      </c>
      <c r="N2318" s="1508">
        <f t="shared" si="313"/>
        <v>0</v>
      </c>
    </row>
    <row r="2319" spans="1:16" ht="46.5" outlineLevel="1" x14ac:dyDescent="0.25">
      <c r="A2319" s="1488">
        <f t="shared" si="321"/>
        <v>0</v>
      </c>
      <c r="B2319" s="1497" t="str">
        <f t="shared" si="321"/>
        <v>IDC</v>
      </c>
      <c r="C2319" s="1488" t="str">
        <f t="shared" si="321"/>
        <v>MERC approved MERC/CAPEX/MSPGCL/2023-24/566  Dt 09.09.2024</v>
      </c>
      <c r="D2319" s="1413">
        <f t="shared" si="321"/>
        <v>45544</v>
      </c>
      <c r="E2319" s="560">
        <f t="shared" si="321"/>
        <v>0.28999999999999998</v>
      </c>
      <c r="F2319" s="1508">
        <f t="shared" si="315"/>
        <v>0</v>
      </c>
      <c r="G2319" s="1508">
        <f t="shared" si="316"/>
        <v>0</v>
      </c>
      <c r="H2319" s="1508">
        <f t="shared" si="312"/>
        <v>0</v>
      </c>
      <c r="I2319" s="1480">
        <v>0</v>
      </c>
      <c r="J2319" s="1480">
        <v>0</v>
      </c>
      <c r="K2319" s="1508"/>
      <c r="L2319" s="1508"/>
      <c r="M2319" s="1509">
        <f t="shared" si="318"/>
        <v>0</v>
      </c>
      <c r="N2319" s="1508">
        <f t="shared" si="313"/>
        <v>0</v>
      </c>
    </row>
    <row r="2320" spans="1:16" ht="15.5" outlineLevel="1" x14ac:dyDescent="0.25">
      <c r="A2320" s="1498">
        <f t="shared" si="321"/>
        <v>0</v>
      </c>
      <c r="B2320" s="1492">
        <f t="shared" si="321"/>
        <v>0</v>
      </c>
      <c r="C2320" s="1498">
        <f t="shared" si="321"/>
        <v>0</v>
      </c>
      <c r="D2320" s="1499" t="str">
        <f t="shared" si="321"/>
        <v>-</v>
      </c>
      <c r="E2320" s="560">
        <f t="shared" si="321"/>
        <v>0</v>
      </c>
      <c r="F2320" s="1508">
        <f t="shared" si="315"/>
        <v>0</v>
      </c>
      <c r="G2320" s="1508">
        <f t="shared" si="316"/>
        <v>0</v>
      </c>
      <c r="H2320" s="1508">
        <f t="shared" si="312"/>
        <v>0</v>
      </c>
      <c r="I2320" s="1480">
        <v>0</v>
      </c>
      <c r="J2320" s="1480">
        <v>0</v>
      </c>
      <c r="K2320" s="1508"/>
      <c r="L2320" s="1508"/>
      <c r="M2320" s="1509">
        <f t="shared" si="318"/>
        <v>0</v>
      </c>
      <c r="N2320" s="1508">
        <f t="shared" si="313"/>
        <v>0</v>
      </c>
    </row>
    <row r="2321" spans="1:14" ht="15.5" outlineLevel="1" x14ac:dyDescent="0.25">
      <c r="A2321" s="1498">
        <f t="shared" si="321"/>
        <v>0</v>
      </c>
      <c r="B2321" s="1492">
        <f t="shared" si="321"/>
        <v>0</v>
      </c>
      <c r="C2321" s="1498">
        <f t="shared" si="321"/>
        <v>0</v>
      </c>
      <c r="D2321" s="1499" t="str">
        <f t="shared" si="321"/>
        <v>-</v>
      </c>
      <c r="E2321" s="560">
        <f t="shared" si="321"/>
        <v>0</v>
      </c>
      <c r="F2321" s="1508">
        <f t="shared" si="315"/>
        <v>0</v>
      </c>
      <c r="G2321" s="1508">
        <f t="shared" si="316"/>
        <v>0</v>
      </c>
      <c r="H2321" s="1508">
        <f t="shared" si="312"/>
        <v>0</v>
      </c>
      <c r="I2321" s="1480">
        <v>0</v>
      </c>
      <c r="J2321" s="1480">
        <v>0</v>
      </c>
      <c r="K2321" s="1508"/>
      <c r="L2321" s="1508"/>
      <c r="M2321" s="1509">
        <f t="shared" si="318"/>
        <v>0</v>
      </c>
      <c r="N2321" s="1508">
        <f t="shared" si="313"/>
        <v>0</v>
      </c>
    </row>
    <row r="2322" spans="1:14" ht="15.5" outlineLevel="1" x14ac:dyDescent="0.25">
      <c r="A2322" s="1500">
        <f t="shared" si="321"/>
        <v>0</v>
      </c>
      <c r="B2322" s="1483">
        <f t="shared" si="321"/>
        <v>0</v>
      </c>
      <c r="C2322" s="1500">
        <f t="shared" si="321"/>
        <v>0</v>
      </c>
      <c r="D2322" s="1501" t="str">
        <f t="shared" si="321"/>
        <v>-</v>
      </c>
      <c r="E2322" s="560">
        <f t="shared" si="321"/>
        <v>0</v>
      </c>
      <c r="F2322" s="1508">
        <f t="shared" si="315"/>
        <v>0</v>
      </c>
      <c r="G2322" s="1508">
        <f t="shared" si="316"/>
        <v>0</v>
      </c>
      <c r="H2322" s="1508">
        <f t="shared" si="312"/>
        <v>0</v>
      </c>
      <c r="I2322" s="1480">
        <v>0</v>
      </c>
      <c r="J2322" s="1480">
        <v>0</v>
      </c>
      <c r="K2322" s="1508"/>
      <c r="L2322" s="1508"/>
      <c r="M2322" s="1509">
        <f t="shared" si="318"/>
        <v>0</v>
      </c>
      <c r="N2322" s="1508">
        <f t="shared" si="313"/>
        <v>0</v>
      </c>
    </row>
    <row r="2323" spans="1:14" ht="15.5" outlineLevel="1" x14ac:dyDescent="0.25">
      <c r="A2323" s="131">
        <f t="shared" si="321"/>
        <v>0</v>
      </c>
      <c r="B2323" s="1476" t="str">
        <f t="shared" si="321"/>
        <v>(ii) Submitted to MERC, Yet To Receive Approval</v>
      </c>
      <c r="C2323" s="166">
        <f t="shared" si="321"/>
        <v>0</v>
      </c>
      <c r="D2323" s="1413" t="str">
        <f t="shared" si="321"/>
        <v>-</v>
      </c>
      <c r="E2323" s="1383">
        <f t="shared" si="321"/>
        <v>0</v>
      </c>
      <c r="F2323" s="1480">
        <f t="shared" si="315"/>
        <v>0</v>
      </c>
      <c r="G2323" s="1480">
        <f t="shared" si="316"/>
        <v>0</v>
      </c>
      <c r="H2323" s="1480">
        <f t="shared" si="312"/>
        <v>0</v>
      </c>
      <c r="I2323" s="1480">
        <v>0</v>
      </c>
      <c r="J2323" s="1480">
        <v>0</v>
      </c>
      <c r="K2323" s="1480"/>
      <c r="L2323" s="1480"/>
      <c r="M2323" s="1480">
        <f t="shared" si="318"/>
        <v>0</v>
      </c>
      <c r="N2323" s="1480">
        <f t="shared" si="313"/>
        <v>0</v>
      </c>
    </row>
    <row r="2324" spans="1:14" ht="93" outlineLevel="1" x14ac:dyDescent="0.25">
      <c r="A2324" s="1486" t="str">
        <f t="shared" ref="A2324:E2339" si="322">A1654</f>
        <v>Y8, Y9</v>
      </c>
      <c r="B2324" s="1491" t="str">
        <f t="shared" si="322"/>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2324" s="1486" t="str">
        <f t="shared" si="322"/>
        <v>Yet To Receive Approval</v>
      </c>
      <c r="D2324" s="1487" t="str">
        <f t="shared" si="322"/>
        <v>-</v>
      </c>
      <c r="E2324" s="560">
        <f t="shared" si="322"/>
        <v>0</v>
      </c>
      <c r="F2324" s="1508">
        <f t="shared" si="315"/>
        <v>0</v>
      </c>
      <c r="G2324" s="1508">
        <f t="shared" si="316"/>
        <v>0</v>
      </c>
      <c r="H2324" s="1508">
        <f t="shared" si="312"/>
        <v>0</v>
      </c>
      <c r="I2324" s="1480">
        <v>0</v>
      </c>
      <c r="J2324" s="1480">
        <v>0</v>
      </c>
      <c r="K2324" s="1508"/>
      <c r="L2324" s="1508"/>
      <c r="M2324" s="1509">
        <f t="shared" si="318"/>
        <v>0</v>
      </c>
      <c r="N2324" s="1508">
        <f t="shared" si="313"/>
        <v>0</v>
      </c>
    </row>
    <row r="2325" spans="1:14" ht="15.5" outlineLevel="1" x14ac:dyDescent="0.25">
      <c r="A2325" s="1488">
        <f t="shared" si="322"/>
        <v>0</v>
      </c>
      <c r="B2325" s="1497" t="str">
        <f t="shared" si="322"/>
        <v>Procurement of BOXN-HL Wagons for C.S.T.P.S., Chandrapur.</v>
      </c>
      <c r="C2325" s="1488" t="str">
        <f t="shared" si="322"/>
        <v>Yet To Receive Approval</v>
      </c>
      <c r="D2325" s="1413" t="str">
        <f t="shared" si="322"/>
        <v>-</v>
      </c>
      <c r="E2325" s="560">
        <f t="shared" si="322"/>
        <v>0</v>
      </c>
      <c r="F2325" s="1508">
        <f t="shared" si="315"/>
        <v>0</v>
      </c>
      <c r="G2325" s="1508">
        <f t="shared" si="316"/>
        <v>0</v>
      </c>
      <c r="H2325" s="1508">
        <f t="shared" si="312"/>
        <v>0</v>
      </c>
      <c r="I2325" s="1480">
        <v>0</v>
      </c>
      <c r="J2325" s="1480">
        <v>0</v>
      </c>
      <c r="K2325" s="1508"/>
      <c r="L2325" s="1508"/>
      <c r="M2325" s="1509">
        <f t="shared" si="318"/>
        <v>0</v>
      </c>
      <c r="N2325" s="1508">
        <f t="shared" si="313"/>
        <v>0</v>
      </c>
    </row>
    <row r="2326" spans="1:14" ht="31" outlineLevel="1" x14ac:dyDescent="0.25">
      <c r="A2326" s="1488">
        <f t="shared" si="322"/>
        <v>0</v>
      </c>
      <c r="B2326" s="1497" t="str">
        <f t="shared" si="322"/>
        <v>Combined Fire and Rescue vehicle with Hydraulic Platform (Multipurpose Fire Tender)</v>
      </c>
      <c r="C2326" s="1488" t="str">
        <f t="shared" si="322"/>
        <v>Yet To Receive Approval</v>
      </c>
      <c r="D2326" s="1413" t="str">
        <f t="shared" si="322"/>
        <v>-</v>
      </c>
      <c r="E2326" s="1383">
        <f t="shared" si="322"/>
        <v>0</v>
      </c>
      <c r="F2326" s="1480">
        <f t="shared" si="315"/>
        <v>0</v>
      </c>
      <c r="G2326" s="1480">
        <f t="shared" si="316"/>
        <v>0</v>
      </c>
      <c r="H2326" s="1480">
        <f t="shared" si="312"/>
        <v>0</v>
      </c>
      <c r="I2326" s="1480">
        <v>0</v>
      </c>
      <c r="J2326" s="1480">
        <v>0</v>
      </c>
      <c r="K2326" s="1480"/>
      <c r="L2326" s="1480"/>
      <c r="M2326" s="1480">
        <f t="shared" si="318"/>
        <v>0</v>
      </c>
      <c r="N2326" s="1480">
        <f t="shared" si="313"/>
        <v>0</v>
      </c>
    </row>
    <row r="2327" spans="1:14" ht="15.5" outlineLevel="1" x14ac:dyDescent="0.25">
      <c r="A2327" s="1488">
        <f t="shared" si="322"/>
        <v>0</v>
      </c>
      <c r="B2327" s="1497" t="str">
        <f t="shared" si="322"/>
        <v>Quick Response Vehicle (Multipurpose Fire Tender)</v>
      </c>
      <c r="C2327" s="1488" t="str">
        <f t="shared" si="322"/>
        <v>Yet To Receive Approval</v>
      </c>
      <c r="D2327" s="1413" t="str">
        <f t="shared" si="322"/>
        <v>-</v>
      </c>
      <c r="E2327" s="560">
        <f t="shared" si="322"/>
        <v>0</v>
      </c>
      <c r="F2327" s="1508">
        <f t="shared" si="315"/>
        <v>0</v>
      </c>
      <c r="G2327" s="1508">
        <f t="shared" si="316"/>
        <v>0</v>
      </c>
      <c r="H2327" s="1508">
        <f t="shared" si="312"/>
        <v>0</v>
      </c>
      <c r="I2327" s="1480">
        <v>0</v>
      </c>
      <c r="J2327" s="1480">
        <v>0</v>
      </c>
      <c r="K2327" s="1508"/>
      <c r="L2327" s="1508"/>
      <c r="M2327" s="1509">
        <f t="shared" si="318"/>
        <v>0</v>
      </c>
      <c r="N2327" s="1508">
        <f t="shared" si="313"/>
        <v>0</v>
      </c>
    </row>
    <row r="2328" spans="1:14" ht="31" outlineLevel="1" x14ac:dyDescent="0.25">
      <c r="A2328" s="1488">
        <f t="shared" si="322"/>
        <v>0</v>
      </c>
      <c r="B2328" s="1497" t="str">
        <f t="shared" si="322"/>
        <v xml:space="preserve">High capacity Machine for debris transporting by Mechanized way (Vehicle) along with jetting machine </v>
      </c>
      <c r="C2328" s="1488" t="str">
        <f t="shared" si="322"/>
        <v>Yet To Receive Approval</v>
      </c>
      <c r="D2328" s="1413" t="str">
        <f t="shared" si="322"/>
        <v>-</v>
      </c>
      <c r="E2328" s="560">
        <f t="shared" si="322"/>
        <v>0</v>
      </c>
      <c r="F2328" s="1508">
        <f t="shared" si="315"/>
        <v>0</v>
      </c>
      <c r="G2328" s="1508">
        <f t="shared" si="316"/>
        <v>0</v>
      </c>
      <c r="H2328" s="1508">
        <f t="shared" si="312"/>
        <v>0</v>
      </c>
      <c r="I2328" s="1480">
        <v>0</v>
      </c>
      <c r="J2328" s="1480">
        <v>0</v>
      </c>
      <c r="K2328" s="1508"/>
      <c r="L2328" s="1508"/>
      <c r="M2328" s="1509">
        <f t="shared" si="318"/>
        <v>0</v>
      </c>
      <c r="N2328" s="1508">
        <f t="shared" si="313"/>
        <v>0</v>
      </c>
    </row>
    <row r="2329" spans="1:14" ht="15.5" outlineLevel="1" x14ac:dyDescent="0.25">
      <c r="A2329" s="1488">
        <f t="shared" si="322"/>
        <v>0</v>
      </c>
      <c r="B2329" s="1497" t="str">
        <f t="shared" si="322"/>
        <v>IDC</v>
      </c>
      <c r="C2329" s="1488" t="str">
        <f t="shared" si="322"/>
        <v>Yet To Receive Approval</v>
      </c>
      <c r="D2329" s="1413" t="str">
        <f t="shared" si="322"/>
        <v>-</v>
      </c>
      <c r="E2329" s="1383">
        <f t="shared" si="322"/>
        <v>0</v>
      </c>
      <c r="F2329" s="1480">
        <f t="shared" si="315"/>
        <v>0</v>
      </c>
      <c r="G2329" s="1480">
        <f t="shared" si="316"/>
        <v>0</v>
      </c>
      <c r="H2329" s="1480">
        <f t="shared" si="312"/>
        <v>0</v>
      </c>
      <c r="I2329" s="1480">
        <v>0</v>
      </c>
      <c r="J2329" s="1480">
        <v>0</v>
      </c>
      <c r="K2329" s="1480"/>
      <c r="L2329" s="1480"/>
      <c r="M2329" s="1480">
        <f t="shared" si="318"/>
        <v>0</v>
      </c>
      <c r="N2329" s="1480">
        <f t="shared" si="313"/>
        <v>0</v>
      </c>
    </row>
    <row r="2330" spans="1:14" ht="62" outlineLevel="1" x14ac:dyDescent="0.25">
      <c r="A2330" s="1486" t="str">
        <f t="shared" si="322"/>
        <v>Y10</v>
      </c>
      <c r="B2330" s="1491" t="str">
        <f t="shared" si="322"/>
        <v>Retrofitting of existing SF6 HT Circuit Breakers installed at Unit # 7 &amp; EM-II (Outdoor plant) of 3X500MW CSTPS Chandrapur by latest technology HT Contactor/ Vacuum Circuit breakers along with Supply, Installation &amp; Commissioning</v>
      </c>
      <c r="C2330" s="1486" t="str">
        <f t="shared" si="322"/>
        <v>Yet To Receive Approval</v>
      </c>
      <c r="D2330" s="1413" t="str">
        <f t="shared" si="322"/>
        <v>-</v>
      </c>
      <c r="E2330" s="1383">
        <f t="shared" si="322"/>
        <v>0</v>
      </c>
      <c r="F2330" s="1480">
        <f t="shared" si="315"/>
        <v>0</v>
      </c>
      <c r="G2330" s="1480">
        <f t="shared" si="316"/>
        <v>0</v>
      </c>
      <c r="H2330" s="1480">
        <f t="shared" si="312"/>
        <v>0</v>
      </c>
      <c r="I2330" s="1480">
        <v>0</v>
      </c>
      <c r="J2330" s="1480">
        <v>0</v>
      </c>
      <c r="K2330" s="1480"/>
      <c r="L2330" s="1480"/>
      <c r="M2330" s="1480">
        <f t="shared" si="318"/>
        <v>0</v>
      </c>
      <c r="N2330" s="1480">
        <f t="shared" si="313"/>
        <v>0</v>
      </c>
    </row>
    <row r="2331" spans="1:14" ht="46.5" outlineLevel="1" x14ac:dyDescent="0.25">
      <c r="A2331" s="1488">
        <f t="shared" si="322"/>
        <v>0</v>
      </c>
      <c r="B2331" s="1497" t="str">
        <f t="shared" si="322"/>
        <v>Retrofitting of existing ABB make SF6 Circuit Breakers installed at AHP Unit#7 by latest technology SF6 HT Contactor/ Vacuum Circuit Breaker</v>
      </c>
      <c r="C2331" s="1488" t="str">
        <f t="shared" si="322"/>
        <v>Yet To Receive Approval</v>
      </c>
      <c r="D2331" s="1413" t="str">
        <f t="shared" si="322"/>
        <v>-</v>
      </c>
      <c r="E2331" s="1383">
        <f t="shared" si="322"/>
        <v>0</v>
      </c>
      <c r="F2331" s="1480">
        <f t="shared" si="315"/>
        <v>0</v>
      </c>
      <c r="G2331" s="1480">
        <f t="shared" si="316"/>
        <v>0</v>
      </c>
      <c r="H2331" s="1480">
        <f t="shared" si="312"/>
        <v>0</v>
      </c>
      <c r="I2331" s="1480">
        <v>0</v>
      </c>
      <c r="J2331" s="1480">
        <v>0</v>
      </c>
      <c r="K2331" s="1480"/>
      <c r="L2331" s="1480"/>
      <c r="M2331" s="1480">
        <f t="shared" si="318"/>
        <v>0</v>
      </c>
      <c r="N2331" s="1480">
        <f t="shared" si="313"/>
        <v>0</v>
      </c>
    </row>
    <row r="2332" spans="1:14" ht="62" outlineLevel="1" x14ac:dyDescent="0.25">
      <c r="A2332" s="1488">
        <f t="shared" si="322"/>
        <v>0</v>
      </c>
      <c r="B2332" s="1497" t="str">
        <f t="shared" si="322"/>
        <v>Retrofitting of existing ABB/Voltas make SF6 Circuit Breakers installed at CCW Board of Unit#5,6&amp;7 ODP-II, WTP- II Board of ODP-II, Raw water RWS Board of ODP-II by latest technology Vacuum Circuit Breaker:</v>
      </c>
      <c r="C2332" s="1488" t="str">
        <f t="shared" si="322"/>
        <v>Yet To Receive Approval</v>
      </c>
      <c r="D2332" s="1413" t="str">
        <f t="shared" si="322"/>
        <v>-</v>
      </c>
      <c r="E2332" s="560">
        <f t="shared" si="322"/>
        <v>0</v>
      </c>
      <c r="F2332" s="1508">
        <f t="shared" si="315"/>
        <v>0</v>
      </c>
      <c r="G2332" s="1508">
        <f t="shared" si="316"/>
        <v>0</v>
      </c>
      <c r="H2332" s="1508">
        <f t="shared" si="312"/>
        <v>0</v>
      </c>
      <c r="I2332" s="1480">
        <v>0</v>
      </c>
      <c r="J2332" s="1480">
        <v>0</v>
      </c>
      <c r="K2332" s="1508"/>
      <c r="L2332" s="1508"/>
      <c r="M2332" s="1509">
        <f t="shared" si="318"/>
        <v>0</v>
      </c>
      <c r="N2332" s="1508">
        <f t="shared" si="313"/>
        <v>0</v>
      </c>
    </row>
    <row r="2333" spans="1:14" ht="15.5" outlineLevel="1" x14ac:dyDescent="0.25">
      <c r="A2333" s="1488">
        <f t="shared" si="322"/>
        <v>0</v>
      </c>
      <c r="B2333" s="1497" t="str">
        <f t="shared" si="322"/>
        <v>IDC</v>
      </c>
      <c r="C2333" s="1488" t="str">
        <f t="shared" si="322"/>
        <v>Yet To Receive Approval</v>
      </c>
      <c r="D2333" s="1413" t="str">
        <f t="shared" si="322"/>
        <v>-</v>
      </c>
      <c r="E2333" s="560">
        <f t="shared" si="322"/>
        <v>0</v>
      </c>
      <c r="F2333" s="1508">
        <f t="shared" si="315"/>
        <v>0</v>
      </c>
      <c r="G2333" s="1508">
        <f t="shared" si="316"/>
        <v>0</v>
      </c>
      <c r="H2333" s="1508">
        <f t="shared" si="312"/>
        <v>0</v>
      </c>
      <c r="I2333" s="1480">
        <v>0</v>
      </c>
      <c r="J2333" s="1480">
        <v>0</v>
      </c>
      <c r="K2333" s="1508"/>
      <c r="L2333" s="1508"/>
      <c r="M2333" s="1509">
        <f t="shared" si="318"/>
        <v>0</v>
      </c>
      <c r="N2333" s="1508">
        <f t="shared" si="313"/>
        <v>0</v>
      </c>
    </row>
    <row r="2334" spans="1:14" ht="62" outlineLevel="1" x14ac:dyDescent="0.25">
      <c r="A2334" s="1486" t="str">
        <f t="shared" si="322"/>
        <v>Y11</v>
      </c>
      <c r="B2334" s="1491" t="str">
        <f t="shared" si="322"/>
        <v>Design, Engineering, Manufacturing, Supply, Erection, Commissioning and testing of Wagon Locking System for wagon Tippler &amp; Portable Reclaim Feeder for CHP of Unit 5 to 9 of CSTPS, Chandrapur</v>
      </c>
      <c r="C2334" s="1486" t="str">
        <f t="shared" si="322"/>
        <v>Yet To Receive Approval</v>
      </c>
      <c r="D2334" s="1413" t="str">
        <f t="shared" si="322"/>
        <v>-</v>
      </c>
      <c r="E2334" s="560">
        <f t="shared" si="322"/>
        <v>0</v>
      </c>
      <c r="F2334" s="1508">
        <f t="shared" si="315"/>
        <v>0</v>
      </c>
      <c r="G2334" s="1508">
        <f t="shared" si="316"/>
        <v>0</v>
      </c>
      <c r="H2334" s="1508">
        <f t="shared" ref="H2334:H2350" si="323">F2334-G2334</f>
        <v>0</v>
      </c>
      <c r="I2334" s="1480">
        <v>0</v>
      </c>
      <c r="J2334" s="1480">
        <v>0</v>
      </c>
      <c r="K2334" s="1508"/>
      <c r="L2334" s="1508"/>
      <c r="M2334" s="1509">
        <f t="shared" si="318"/>
        <v>0</v>
      </c>
      <c r="N2334" s="1508">
        <f t="shared" ref="N2334:N2350" si="324">H2334+I2334-M2334</f>
        <v>0</v>
      </c>
    </row>
    <row r="2335" spans="1:14" ht="46.5" outlineLevel="1" x14ac:dyDescent="0.25">
      <c r="A2335" s="1488">
        <f t="shared" si="322"/>
        <v>0</v>
      </c>
      <c r="B2335" s="1497" t="str">
        <f t="shared" si="322"/>
        <v>Scheme-1: Design, Engineering, Manufacturing, Supply, Erection, Commissioning and testing of Wagon Locking System for Wagon Tippler of CHP of Unit 5 to 9 of CSTPS Chandrapur.</v>
      </c>
      <c r="C2335" s="1488" t="str">
        <f t="shared" si="322"/>
        <v>Yet To Receive Approval</v>
      </c>
      <c r="D2335" s="1413" t="str">
        <f t="shared" si="322"/>
        <v>-</v>
      </c>
      <c r="E2335" s="560">
        <f t="shared" si="322"/>
        <v>0</v>
      </c>
      <c r="F2335" s="1508">
        <f t="shared" si="315"/>
        <v>0</v>
      </c>
      <c r="G2335" s="1508">
        <f t="shared" si="316"/>
        <v>0</v>
      </c>
      <c r="H2335" s="1508">
        <f t="shared" si="323"/>
        <v>0</v>
      </c>
      <c r="I2335" s="1480">
        <v>11.9</v>
      </c>
      <c r="J2335" s="1480">
        <v>11.9</v>
      </c>
      <c r="K2335" s="1508"/>
      <c r="L2335" s="1508"/>
      <c r="M2335" s="1509">
        <f t="shared" si="318"/>
        <v>11.9</v>
      </c>
      <c r="N2335" s="1508">
        <f t="shared" si="324"/>
        <v>0</v>
      </c>
    </row>
    <row r="2336" spans="1:14" ht="46.5" outlineLevel="1" x14ac:dyDescent="0.25">
      <c r="A2336" s="1488">
        <f t="shared" si="322"/>
        <v>0</v>
      </c>
      <c r="B2336" s="1497" t="str">
        <f t="shared" si="322"/>
        <v>Scheme-2: Design, Engineering, Manufacturing, Supply, Erection, Commissioning, and testing of Portable Reclaim Feeder for CHP of Unit 5 to 9 in CSTPS Chandrapur.</v>
      </c>
      <c r="C2336" s="1488" t="str">
        <f t="shared" si="322"/>
        <v>Yet To Receive Approval</v>
      </c>
      <c r="D2336" s="1413" t="str">
        <f t="shared" si="322"/>
        <v>-</v>
      </c>
      <c r="E2336" s="560">
        <f t="shared" si="322"/>
        <v>0</v>
      </c>
      <c r="F2336" s="1508">
        <f t="shared" si="315"/>
        <v>0</v>
      </c>
      <c r="G2336" s="1508">
        <f t="shared" si="316"/>
        <v>0</v>
      </c>
      <c r="H2336" s="1508">
        <f t="shared" si="323"/>
        <v>0</v>
      </c>
      <c r="I2336" s="1480">
        <v>18.489999999999998</v>
      </c>
      <c r="J2336" s="1480">
        <v>18.489999999999998</v>
      </c>
      <c r="K2336" s="1508"/>
      <c r="L2336" s="1508"/>
      <c r="M2336" s="1509">
        <f t="shared" si="318"/>
        <v>18.489999999999998</v>
      </c>
      <c r="N2336" s="1508">
        <f t="shared" si="324"/>
        <v>0</v>
      </c>
    </row>
    <row r="2337" spans="1:14" ht="15.5" outlineLevel="1" x14ac:dyDescent="0.25">
      <c r="A2337" s="1488">
        <f t="shared" si="322"/>
        <v>0</v>
      </c>
      <c r="B2337" s="1497" t="str">
        <f t="shared" si="322"/>
        <v>IDC</v>
      </c>
      <c r="C2337" s="1488" t="str">
        <f t="shared" si="322"/>
        <v>Yet To Receive Approval</v>
      </c>
      <c r="D2337" s="1413" t="str">
        <f t="shared" si="322"/>
        <v>-</v>
      </c>
      <c r="E2337" s="560">
        <f t="shared" si="322"/>
        <v>0</v>
      </c>
      <c r="F2337" s="1508">
        <f t="shared" si="315"/>
        <v>0</v>
      </c>
      <c r="G2337" s="1508">
        <f t="shared" si="316"/>
        <v>0</v>
      </c>
      <c r="H2337" s="1508">
        <f t="shared" si="323"/>
        <v>0</v>
      </c>
      <c r="I2337" s="1480">
        <v>0</v>
      </c>
      <c r="J2337" s="1480">
        <v>0</v>
      </c>
      <c r="K2337" s="1508"/>
      <c r="L2337" s="1508"/>
      <c r="M2337" s="1509">
        <f t="shared" si="318"/>
        <v>0</v>
      </c>
      <c r="N2337" s="1508">
        <f t="shared" si="324"/>
        <v>0</v>
      </c>
    </row>
    <row r="2338" spans="1:14" ht="46.5" outlineLevel="1" x14ac:dyDescent="0.25">
      <c r="A2338" s="1486" t="str">
        <f t="shared" si="322"/>
        <v>Y12</v>
      </c>
      <c r="B2338" s="1491" t="str">
        <f t="shared" si="322"/>
        <v>Efficiency and Reliability improvement of PRDS, HP Heaters &amp;
Boiler pressure part system by rejuvenation of control valves, CSTPS Chandrapur</v>
      </c>
      <c r="C2338" s="1486" t="str">
        <f t="shared" si="322"/>
        <v>Yet To Receive Approval</v>
      </c>
      <c r="D2338" s="1413" t="str">
        <f t="shared" si="322"/>
        <v>-</v>
      </c>
      <c r="E2338" s="560">
        <f t="shared" si="322"/>
        <v>0</v>
      </c>
      <c r="F2338" s="1508">
        <f t="shared" si="315"/>
        <v>0</v>
      </c>
      <c r="G2338" s="1508">
        <f t="shared" si="316"/>
        <v>0</v>
      </c>
      <c r="H2338" s="1508">
        <f t="shared" si="323"/>
        <v>0</v>
      </c>
      <c r="I2338" s="1480">
        <v>0</v>
      </c>
      <c r="J2338" s="1480">
        <v>0</v>
      </c>
      <c r="K2338" s="1508"/>
      <c r="L2338" s="1508"/>
      <c r="M2338" s="1509">
        <f t="shared" si="318"/>
        <v>0</v>
      </c>
      <c r="N2338" s="1508">
        <f t="shared" si="324"/>
        <v>0</v>
      </c>
    </row>
    <row r="2339" spans="1:14" ht="31" outlineLevel="1" x14ac:dyDescent="0.25">
      <c r="A2339" s="1488">
        <f t="shared" si="322"/>
        <v>0</v>
      </c>
      <c r="B2339" s="1497" t="str">
        <f t="shared" si="322"/>
        <v>Scheme-1: Procurement of Sub body assembly &amp; Actuator for control &amp; motorized valves for U#3 &amp; U#4 (210MW).</v>
      </c>
      <c r="C2339" s="1488" t="str">
        <f t="shared" si="322"/>
        <v>Yet To Receive Approval</v>
      </c>
      <c r="D2339" s="1413" t="str">
        <f t="shared" si="322"/>
        <v>-</v>
      </c>
      <c r="E2339" s="560">
        <f t="shared" si="322"/>
        <v>0</v>
      </c>
      <c r="F2339" s="1508">
        <f t="shared" si="315"/>
        <v>0</v>
      </c>
      <c r="G2339" s="1508">
        <f t="shared" si="316"/>
        <v>0</v>
      </c>
      <c r="H2339" s="1508">
        <f t="shared" si="323"/>
        <v>0</v>
      </c>
      <c r="I2339" s="1480">
        <v>16.5</v>
      </c>
      <c r="J2339" s="1480">
        <v>16.5</v>
      </c>
      <c r="K2339" s="1508"/>
      <c r="L2339" s="1508"/>
      <c r="M2339" s="1509">
        <f t="shared" si="318"/>
        <v>16.5</v>
      </c>
      <c r="N2339" s="1508">
        <f t="shared" si="324"/>
        <v>0</v>
      </c>
    </row>
    <row r="2340" spans="1:14" ht="46.5" outlineLevel="1" x14ac:dyDescent="0.25">
      <c r="A2340" s="1488">
        <f t="shared" ref="A2340:E2355" si="325">A1670</f>
        <v>0</v>
      </c>
      <c r="B2340" s="1497" t="str">
        <f t="shared" si="325"/>
        <v>Scheme-2: Procurement of HC &amp; LC Feed and Soot Blower Drain Control sub body assembly for control valves for boiler Unit- 5, 6 &amp; 7 (500MW).</v>
      </c>
      <c r="C2340" s="1488" t="str">
        <f t="shared" si="325"/>
        <v>Yet To Receive Approval</v>
      </c>
      <c r="D2340" s="1413" t="str">
        <f t="shared" si="325"/>
        <v>-</v>
      </c>
      <c r="E2340" s="560">
        <f t="shared" si="325"/>
        <v>0</v>
      </c>
      <c r="F2340" s="1508">
        <f t="shared" ref="F2340:F2403" si="326">F1670+I1670</f>
        <v>0</v>
      </c>
      <c r="G2340" s="1508">
        <f t="shared" ref="G2340:G2403" si="327">G1670+M1670</f>
        <v>0</v>
      </c>
      <c r="H2340" s="1508">
        <f t="shared" si="323"/>
        <v>0</v>
      </c>
      <c r="I2340" s="1480">
        <v>3.05</v>
      </c>
      <c r="J2340" s="1480">
        <v>3.05</v>
      </c>
      <c r="K2340" s="1508"/>
      <c r="L2340" s="1508"/>
      <c r="M2340" s="1509">
        <f t="shared" si="318"/>
        <v>3.05</v>
      </c>
      <c r="N2340" s="1508">
        <f t="shared" si="324"/>
        <v>0</v>
      </c>
    </row>
    <row r="2341" spans="1:14" ht="31" outlineLevel="1" x14ac:dyDescent="0.25">
      <c r="A2341" s="1488">
        <f t="shared" si="325"/>
        <v>0</v>
      </c>
      <c r="B2341" s="1497" t="str">
        <f t="shared" si="325"/>
        <v>Scheme-3: Procurement of actuator assembly for control valves for boiler Unit- 5, 6 &amp; 7 (500MW).</v>
      </c>
      <c r="C2341" s="1488" t="str">
        <f t="shared" si="325"/>
        <v>Yet To Receive Approval</v>
      </c>
      <c r="D2341" s="1413" t="str">
        <f t="shared" si="325"/>
        <v>-</v>
      </c>
      <c r="E2341" s="560">
        <f t="shared" si="325"/>
        <v>0</v>
      </c>
      <c r="F2341" s="1508">
        <f t="shared" si="326"/>
        <v>0</v>
      </c>
      <c r="G2341" s="1508">
        <f t="shared" si="327"/>
        <v>0</v>
      </c>
      <c r="H2341" s="1508">
        <f t="shared" si="323"/>
        <v>0</v>
      </c>
      <c r="I2341" s="1480">
        <v>2.21</v>
      </c>
      <c r="J2341" s="1480">
        <v>2.21</v>
      </c>
      <c r="K2341" s="1508"/>
      <c r="L2341" s="1508"/>
      <c r="M2341" s="1509">
        <f t="shared" si="318"/>
        <v>2.21</v>
      </c>
      <c r="N2341" s="1508">
        <f t="shared" si="324"/>
        <v>0</v>
      </c>
    </row>
    <row r="2342" spans="1:14" ht="31" outlineLevel="1" x14ac:dyDescent="0.25">
      <c r="A2342" s="1488">
        <f t="shared" si="325"/>
        <v>0</v>
      </c>
      <c r="B2342" s="1497" t="str">
        <f t="shared" si="325"/>
        <v>Scheme-4: Procurement of HP heaters drip sub body assembly for control valve of 500MW Unit-5,6&amp;7.</v>
      </c>
      <c r="C2342" s="1488" t="str">
        <f t="shared" si="325"/>
        <v>Yet To Receive Approval</v>
      </c>
      <c r="D2342" s="1413" t="str">
        <f t="shared" si="325"/>
        <v>-</v>
      </c>
      <c r="E2342" s="560">
        <f t="shared" si="325"/>
        <v>0</v>
      </c>
      <c r="F2342" s="1508">
        <f t="shared" si="326"/>
        <v>0</v>
      </c>
      <c r="G2342" s="1508">
        <f t="shared" si="327"/>
        <v>0</v>
      </c>
      <c r="H2342" s="1508">
        <f t="shared" si="323"/>
        <v>0</v>
      </c>
      <c r="I2342" s="1480">
        <v>1.39</v>
      </c>
      <c r="J2342" s="1480">
        <v>1.39</v>
      </c>
      <c r="K2342" s="1508"/>
      <c r="L2342" s="1508"/>
      <c r="M2342" s="1509">
        <f t="shared" si="318"/>
        <v>1.39</v>
      </c>
      <c r="N2342" s="1508">
        <f t="shared" si="324"/>
        <v>0</v>
      </c>
    </row>
    <row r="2343" spans="1:14" ht="31" outlineLevel="1" x14ac:dyDescent="0.25">
      <c r="A2343" s="1488">
        <f t="shared" si="325"/>
        <v>0</v>
      </c>
      <c r="B2343" s="1497" t="str">
        <f t="shared" si="325"/>
        <v>Scheme-5: Procurement of actuator assembly for control valve of 500MW Unit-5,6&amp;7.</v>
      </c>
      <c r="C2343" s="1488" t="str">
        <f t="shared" si="325"/>
        <v>Yet To Receive Approval</v>
      </c>
      <c r="D2343" s="1413" t="str">
        <f t="shared" si="325"/>
        <v>-</v>
      </c>
      <c r="E2343" s="560">
        <f t="shared" si="325"/>
        <v>0</v>
      </c>
      <c r="F2343" s="1508">
        <f t="shared" si="326"/>
        <v>0</v>
      </c>
      <c r="G2343" s="1508">
        <f t="shared" si="327"/>
        <v>0</v>
      </c>
      <c r="H2343" s="1508">
        <f t="shared" si="323"/>
        <v>0</v>
      </c>
      <c r="I2343" s="1480">
        <v>1.95</v>
      </c>
      <c r="J2343" s="1480">
        <v>1.95</v>
      </c>
      <c r="K2343" s="1508"/>
      <c r="L2343" s="1508"/>
      <c r="M2343" s="1509">
        <f t="shared" si="318"/>
        <v>1.95</v>
      </c>
      <c r="N2343" s="1508">
        <f t="shared" si="324"/>
        <v>0</v>
      </c>
    </row>
    <row r="2344" spans="1:14" ht="15.5" outlineLevel="1" x14ac:dyDescent="0.25">
      <c r="A2344" s="1488">
        <f t="shared" si="325"/>
        <v>0</v>
      </c>
      <c r="B2344" s="1497" t="str">
        <f t="shared" si="325"/>
        <v>IDC</v>
      </c>
      <c r="C2344" s="1488" t="str">
        <f t="shared" si="325"/>
        <v>Yet To Receive Approval</v>
      </c>
      <c r="D2344" s="1413" t="str">
        <f t="shared" si="325"/>
        <v>-</v>
      </c>
      <c r="E2344" s="560">
        <f t="shared" si="325"/>
        <v>0</v>
      </c>
      <c r="F2344" s="1508">
        <f t="shared" si="326"/>
        <v>0</v>
      </c>
      <c r="G2344" s="1508">
        <f t="shared" si="327"/>
        <v>0</v>
      </c>
      <c r="H2344" s="1508">
        <f t="shared" si="323"/>
        <v>0</v>
      </c>
      <c r="I2344" s="1480">
        <v>0</v>
      </c>
      <c r="J2344" s="1480">
        <v>0</v>
      </c>
      <c r="K2344" s="1508"/>
      <c r="L2344" s="1508"/>
      <c r="M2344" s="1509">
        <f t="shared" si="318"/>
        <v>0</v>
      </c>
      <c r="N2344" s="1508">
        <f t="shared" si="324"/>
        <v>0</v>
      </c>
    </row>
    <row r="2345" spans="1:14" ht="46.5" outlineLevel="1" x14ac:dyDescent="0.25">
      <c r="A2345" s="1486" t="str">
        <f t="shared" si="325"/>
        <v>Y13</v>
      </c>
      <c r="B2345" s="1491" t="str">
        <f t="shared" si="325"/>
        <v>Supply &amp; installation of Advanced ESP Controller &amp; Numerical relay at U-7 and DAVR &amp; Up-gradation of Servo valves (ST) for HP-Bypass system at U-5,6,7, CSTPS</v>
      </c>
      <c r="C2345" s="1486" t="str">
        <f t="shared" si="325"/>
        <v>Yet To Receive Approval</v>
      </c>
      <c r="D2345" s="1413" t="str">
        <f t="shared" si="325"/>
        <v>-</v>
      </c>
      <c r="E2345" s="560">
        <f t="shared" si="325"/>
        <v>0</v>
      </c>
      <c r="F2345" s="1508">
        <f t="shared" si="326"/>
        <v>0</v>
      </c>
      <c r="G2345" s="1508">
        <f t="shared" si="327"/>
        <v>0</v>
      </c>
      <c r="H2345" s="1508">
        <f t="shared" si="323"/>
        <v>0</v>
      </c>
      <c r="I2345" s="1480">
        <v>0</v>
      </c>
      <c r="J2345" s="1480">
        <v>0</v>
      </c>
      <c r="K2345" s="1508"/>
      <c r="L2345" s="1508"/>
      <c r="M2345" s="1509">
        <f t="shared" si="318"/>
        <v>0</v>
      </c>
      <c r="N2345" s="1508">
        <f t="shared" si="324"/>
        <v>0</v>
      </c>
    </row>
    <row r="2346" spans="1:14" ht="46.5" outlineLevel="1" x14ac:dyDescent="0.25">
      <c r="A2346" s="1488">
        <f t="shared" si="325"/>
        <v>0</v>
      </c>
      <c r="B2346" s="1497" t="str">
        <f t="shared" si="325"/>
        <v xml:space="preserve">Scheme1: Supply and installation of advanced ESP Controllers for retrofitting in place of existing Alstom make EPIC-II controllers at ESP U-7 </v>
      </c>
      <c r="C2346" s="1488" t="str">
        <f t="shared" si="325"/>
        <v>Yet To Receive Approval</v>
      </c>
      <c r="D2346" s="1413" t="str">
        <f t="shared" si="325"/>
        <v>-</v>
      </c>
      <c r="E2346" s="560">
        <f t="shared" si="325"/>
        <v>0</v>
      </c>
      <c r="F2346" s="1508">
        <f t="shared" si="326"/>
        <v>0</v>
      </c>
      <c r="G2346" s="1508">
        <f t="shared" si="327"/>
        <v>0</v>
      </c>
      <c r="H2346" s="1508">
        <f t="shared" si="323"/>
        <v>0</v>
      </c>
      <c r="I2346" s="1480">
        <v>4.1500000000000004</v>
      </c>
      <c r="J2346" s="1480">
        <v>4.1500000000000004</v>
      </c>
      <c r="K2346" s="1508"/>
      <c r="L2346" s="1508"/>
      <c r="M2346" s="1509">
        <f t="shared" si="318"/>
        <v>4.1500000000000004</v>
      </c>
      <c r="N2346" s="1508">
        <f t="shared" si="324"/>
        <v>0</v>
      </c>
    </row>
    <row r="2347" spans="1:14" ht="15.5" outlineLevel="1" x14ac:dyDescent="0.25">
      <c r="A2347" s="1488">
        <f t="shared" si="325"/>
        <v>0</v>
      </c>
      <c r="B2347" s="1497" t="str">
        <f t="shared" si="325"/>
        <v>Scheme-2: Supply and installation of DAVR at U-5,6,7</v>
      </c>
      <c r="C2347" s="1488" t="str">
        <f t="shared" si="325"/>
        <v>Yet To Receive Approval</v>
      </c>
      <c r="D2347" s="1413" t="str">
        <f t="shared" si="325"/>
        <v>-</v>
      </c>
      <c r="E2347" s="560">
        <f t="shared" si="325"/>
        <v>0</v>
      </c>
      <c r="F2347" s="1508">
        <f t="shared" si="326"/>
        <v>0</v>
      </c>
      <c r="G2347" s="1508">
        <f t="shared" si="327"/>
        <v>0</v>
      </c>
      <c r="H2347" s="1508">
        <f t="shared" si="323"/>
        <v>0</v>
      </c>
      <c r="I2347" s="1480">
        <v>6.07</v>
      </c>
      <c r="J2347" s="1480">
        <v>6.07</v>
      </c>
      <c r="K2347" s="1508"/>
      <c r="L2347" s="1508"/>
      <c r="M2347" s="1509">
        <f t="shared" si="318"/>
        <v>6.07</v>
      </c>
      <c r="N2347" s="1508">
        <f t="shared" si="324"/>
        <v>0</v>
      </c>
    </row>
    <row r="2348" spans="1:14" ht="46.5" outlineLevel="1" x14ac:dyDescent="0.25">
      <c r="A2348" s="1488">
        <f t="shared" si="325"/>
        <v>0</v>
      </c>
      <c r="B2348" s="1497" t="str">
        <f t="shared" si="325"/>
        <v>Scheme 3: Supply, installation and commissioning of numerical protection relays with set of auxiliary relays for HT switchgear, Unit-7</v>
      </c>
      <c r="C2348" s="1488" t="str">
        <f t="shared" si="325"/>
        <v>Yet To Receive Approval</v>
      </c>
      <c r="D2348" s="1413" t="str">
        <f t="shared" si="325"/>
        <v>-</v>
      </c>
      <c r="E2348" s="560">
        <f t="shared" si="325"/>
        <v>0</v>
      </c>
      <c r="F2348" s="1508">
        <f t="shared" si="326"/>
        <v>0</v>
      </c>
      <c r="G2348" s="1508">
        <f t="shared" si="327"/>
        <v>0</v>
      </c>
      <c r="H2348" s="1508">
        <f t="shared" si="323"/>
        <v>0</v>
      </c>
      <c r="I2348" s="1480">
        <v>9.01</v>
      </c>
      <c r="J2348" s="1480">
        <v>9.01</v>
      </c>
      <c r="K2348" s="1508"/>
      <c r="L2348" s="1508"/>
      <c r="M2348" s="1509">
        <f t="shared" si="318"/>
        <v>9.01</v>
      </c>
      <c r="N2348" s="1508">
        <f t="shared" si="324"/>
        <v>0</v>
      </c>
    </row>
    <row r="2349" spans="1:14" ht="31" outlineLevel="1" x14ac:dyDescent="0.25">
      <c r="A2349" s="1488">
        <f t="shared" si="325"/>
        <v>0</v>
      </c>
      <c r="B2349" s="1497" t="str">
        <f t="shared" si="325"/>
        <v>Scheme 4: Up-gradation of Servo valves (ST) by Proportional valves (PV) &amp; oil unitOV to HV for HP- Bypass system in U-5,6,7</v>
      </c>
      <c r="C2349" s="1488" t="str">
        <f t="shared" si="325"/>
        <v>Yet To Receive Approval</v>
      </c>
      <c r="D2349" s="1413" t="str">
        <f t="shared" si="325"/>
        <v>-</v>
      </c>
      <c r="E2349" s="560">
        <f t="shared" si="325"/>
        <v>0</v>
      </c>
      <c r="F2349" s="1508">
        <f t="shared" si="326"/>
        <v>0</v>
      </c>
      <c r="G2349" s="1508">
        <f t="shared" si="327"/>
        <v>0</v>
      </c>
      <c r="H2349" s="1508">
        <f t="shared" si="323"/>
        <v>0</v>
      </c>
      <c r="I2349" s="1480">
        <v>9.86</v>
      </c>
      <c r="J2349" s="1480">
        <v>9.86</v>
      </c>
      <c r="K2349" s="1508"/>
      <c r="L2349" s="1508"/>
      <c r="M2349" s="1509">
        <f t="shared" si="318"/>
        <v>9.86</v>
      </c>
      <c r="N2349" s="1508">
        <f t="shared" si="324"/>
        <v>0</v>
      </c>
    </row>
    <row r="2350" spans="1:14" ht="15.5" outlineLevel="1" x14ac:dyDescent="0.25">
      <c r="A2350" s="1488">
        <f t="shared" si="325"/>
        <v>0</v>
      </c>
      <c r="B2350" s="1497" t="str">
        <f t="shared" si="325"/>
        <v>IDC</v>
      </c>
      <c r="C2350" s="1488" t="str">
        <f t="shared" si="325"/>
        <v>Yet To Receive Approval</v>
      </c>
      <c r="D2350" s="1413" t="str">
        <f t="shared" si="325"/>
        <v>-</v>
      </c>
      <c r="E2350" s="560">
        <f t="shared" si="325"/>
        <v>0</v>
      </c>
      <c r="F2350" s="1508">
        <f t="shared" si="326"/>
        <v>0</v>
      </c>
      <c r="G2350" s="1508">
        <f t="shared" si="327"/>
        <v>0</v>
      </c>
      <c r="H2350" s="1508">
        <f t="shared" si="323"/>
        <v>0</v>
      </c>
      <c r="I2350" s="1480">
        <v>0</v>
      </c>
      <c r="J2350" s="1480">
        <v>0</v>
      </c>
      <c r="K2350" s="1508"/>
      <c r="L2350" s="1508"/>
      <c r="M2350" s="1509">
        <f t="shared" si="318"/>
        <v>0</v>
      </c>
      <c r="N2350" s="1508">
        <f t="shared" si="324"/>
        <v>0</v>
      </c>
    </row>
    <row r="2351" spans="1:14" ht="46.5" outlineLevel="1" x14ac:dyDescent="0.25">
      <c r="A2351" s="1486" t="str">
        <f t="shared" si="325"/>
        <v>Y14</v>
      </c>
      <c r="B2351" s="1491" t="str">
        <f t="shared" si="325"/>
        <v>Improvement in Reliability and Life Enhancement of Coal Mill by Refurbishment of Flender make KMS 850 Gear Box of XRP-1043 Coal Mill Unit 5 &amp; 6 at CSTPS, Chandrapur</v>
      </c>
      <c r="C2351" s="1486" t="str">
        <f t="shared" si="325"/>
        <v>Yet To Receive Approval</v>
      </c>
      <c r="D2351" s="1413" t="str">
        <f t="shared" si="325"/>
        <v>-</v>
      </c>
      <c r="E2351" s="560">
        <f t="shared" si="325"/>
        <v>0</v>
      </c>
      <c r="F2351" s="1508">
        <f t="shared" si="326"/>
        <v>0</v>
      </c>
      <c r="G2351" s="1508">
        <f t="shared" si="327"/>
        <v>0</v>
      </c>
      <c r="H2351" s="1508">
        <f>F2351-G2351</f>
        <v>0</v>
      </c>
      <c r="I2351" s="1480">
        <v>0</v>
      </c>
      <c r="J2351" s="1480">
        <v>0</v>
      </c>
      <c r="K2351" s="1508"/>
      <c r="L2351" s="1508"/>
      <c r="M2351" s="1509">
        <f>SUM(J2351:L2351)</f>
        <v>0</v>
      </c>
      <c r="N2351" s="1508">
        <f>H2351+I2351-M2351</f>
        <v>0</v>
      </c>
    </row>
    <row r="2352" spans="1:14" ht="31" outlineLevel="1" x14ac:dyDescent="0.25">
      <c r="A2352" s="1488">
        <f t="shared" si="325"/>
        <v>0</v>
      </c>
      <c r="B2352" s="1497" t="str">
        <f t="shared" si="325"/>
        <v>Coal Mill Life Enhancement by Refurbishment of Flender make KMS 850 gear box of XRP-1043 coal mill in Unit-5&amp;6</v>
      </c>
      <c r="C2352" s="1488" t="str">
        <f t="shared" si="325"/>
        <v>Yet To Receive Approval</v>
      </c>
      <c r="D2352" s="1413" t="str">
        <f t="shared" si="325"/>
        <v>-</v>
      </c>
      <c r="E2352" s="560">
        <f t="shared" si="325"/>
        <v>0</v>
      </c>
      <c r="F2352" s="1508">
        <f t="shared" si="326"/>
        <v>0</v>
      </c>
      <c r="G2352" s="1508">
        <f t="shared" si="327"/>
        <v>0</v>
      </c>
      <c r="H2352" s="1508">
        <f>F2352-G2352</f>
        <v>0</v>
      </c>
      <c r="I2352" s="1480">
        <v>24.96</v>
      </c>
      <c r="J2352" s="1480">
        <v>24.96</v>
      </c>
      <c r="K2352" s="1508"/>
      <c r="L2352" s="1508"/>
      <c r="M2352" s="1509">
        <f>SUM(J2352:L2352)</f>
        <v>24.96</v>
      </c>
      <c r="N2352" s="1508">
        <f>H2352+I2352-M2352</f>
        <v>0</v>
      </c>
    </row>
    <row r="2353" spans="1:14" ht="15.5" outlineLevel="1" x14ac:dyDescent="0.25">
      <c r="A2353" s="1488">
        <f t="shared" si="325"/>
        <v>0</v>
      </c>
      <c r="B2353" s="1497" t="str">
        <f t="shared" si="325"/>
        <v>IDC</v>
      </c>
      <c r="C2353" s="1488" t="str">
        <f t="shared" si="325"/>
        <v>Yet To Receive Approval</v>
      </c>
      <c r="D2353" s="1413" t="str">
        <f t="shared" si="325"/>
        <v>-</v>
      </c>
      <c r="E2353" s="560">
        <f t="shared" si="325"/>
        <v>0</v>
      </c>
      <c r="F2353" s="1508">
        <f t="shared" si="326"/>
        <v>0</v>
      </c>
      <c r="G2353" s="1508">
        <f t="shared" si="327"/>
        <v>0</v>
      </c>
      <c r="H2353" s="1508">
        <f>F2353-G2353</f>
        <v>0</v>
      </c>
      <c r="I2353" s="1480">
        <v>0</v>
      </c>
      <c r="J2353" s="1480">
        <v>0</v>
      </c>
      <c r="K2353" s="1508"/>
      <c r="L2353" s="1508"/>
      <c r="M2353" s="1509">
        <f>SUM(J2353:L2353)</f>
        <v>0</v>
      </c>
      <c r="N2353" s="1508">
        <f>H2353+I2353-M2353</f>
        <v>0</v>
      </c>
    </row>
    <row r="2354" spans="1:14" ht="15.5" outlineLevel="1" x14ac:dyDescent="0.25">
      <c r="A2354" s="1488">
        <f t="shared" si="325"/>
        <v>0</v>
      </c>
      <c r="B2354" s="1497">
        <f t="shared" si="325"/>
        <v>0</v>
      </c>
      <c r="C2354" s="1488">
        <f t="shared" si="325"/>
        <v>0</v>
      </c>
      <c r="D2354" s="1413" t="str">
        <f t="shared" si="325"/>
        <v>-</v>
      </c>
      <c r="E2354" s="560">
        <f t="shared" si="325"/>
        <v>0</v>
      </c>
      <c r="F2354" s="1508">
        <f t="shared" si="326"/>
        <v>0</v>
      </c>
      <c r="G2354" s="1508">
        <f t="shared" si="327"/>
        <v>0</v>
      </c>
      <c r="H2354" s="1508">
        <f t="shared" ref="H2354:H2417" si="328">F2354-G2354</f>
        <v>0</v>
      </c>
      <c r="I2354" s="1480">
        <v>0</v>
      </c>
      <c r="J2354" s="1480">
        <v>0</v>
      </c>
      <c r="K2354" s="1508"/>
      <c r="L2354" s="1508"/>
      <c r="M2354" s="1509">
        <f t="shared" ref="M2354:M2417" si="329">SUM(J2354:L2354)</f>
        <v>0</v>
      </c>
      <c r="N2354" s="1508">
        <f t="shared" ref="N2354:N2417" si="330">H2354+I2354-M2354</f>
        <v>0</v>
      </c>
    </row>
    <row r="2355" spans="1:14" ht="15.5" outlineLevel="1" x14ac:dyDescent="0.25">
      <c r="A2355" s="1488">
        <f t="shared" si="325"/>
        <v>0</v>
      </c>
      <c r="B2355" s="1497">
        <f t="shared" si="325"/>
        <v>0</v>
      </c>
      <c r="C2355" s="1488">
        <f t="shared" si="325"/>
        <v>0</v>
      </c>
      <c r="D2355" s="1413" t="str">
        <f t="shared" si="325"/>
        <v>-</v>
      </c>
      <c r="E2355" s="560">
        <f t="shared" si="325"/>
        <v>0</v>
      </c>
      <c r="F2355" s="1508">
        <f t="shared" si="326"/>
        <v>0</v>
      </c>
      <c r="G2355" s="1508">
        <f t="shared" si="327"/>
        <v>0</v>
      </c>
      <c r="H2355" s="1508">
        <f t="shared" si="328"/>
        <v>0</v>
      </c>
      <c r="I2355" s="1480">
        <v>0</v>
      </c>
      <c r="J2355" s="1480">
        <v>0</v>
      </c>
      <c r="K2355" s="1508"/>
      <c r="L2355" s="1508"/>
      <c r="M2355" s="1509">
        <f t="shared" si="329"/>
        <v>0</v>
      </c>
      <c r="N2355" s="1508">
        <f t="shared" si="330"/>
        <v>0</v>
      </c>
    </row>
    <row r="2356" spans="1:14" ht="15.5" outlineLevel="1" x14ac:dyDescent="0.25">
      <c r="A2356" s="1500">
        <f t="shared" ref="A2356:E2371" si="331">A1686</f>
        <v>0</v>
      </c>
      <c r="B2356" s="1502">
        <f t="shared" si="331"/>
        <v>0</v>
      </c>
      <c r="C2356" s="1500">
        <f t="shared" si="331"/>
        <v>0</v>
      </c>
      <c r="D2356" s="1501" t="str">
        <f t="shared" si="331"/>
        <v>-</v>
      </c>
      <c r="E2356" s="560">
        <f t="shared" si="331"/>
        <v>0</v>
      </c>
      <c r="F2356" s="1508">
        <f t="shared" si="326"/>
        <v>0</v>
      </c>
      <c r="G2356" s="1508">
        <f t="shared" si="327"/>
        <v>0</v>
      </c>
      <c r="H2356" s="1508">
        <f t="shared" si="328"/>
        <v>0</v>
      </c>
      <c r="I2356" s="1480">
        <v>0</v>
      </c>
      <c r="J2356" s="1480">
        <v>0</v>
      </c>
      <c r="K2356" s="1508"/>
      <c r="L2356" s="1508"/>
      <c r="M2356" s="1509">
        <f t="shared" si="329"/>
        <v>0</v>
      </c>
      <c r="N2356" s="1508">
        <f t="shared" si="330"/>
        <v>0</v>
      </c>
    </row>
    <row r="2357" spans="1:14" ht="15.5" outlineLevel="1" x14ac:dyDescent="0.25">
      <c r="A2357" s="1453">
        <f t="shared" si="331"/>
        <v>0</v>
      </c>
      <c r="B2357" s="1476" t="str">
        <f t="shared" si="331"/>
        <v>(ii) Yet to be submitted to MERC</v>
      </c>
      <c r="C2357" s="1453">
        <f t="shared" si="331"/>
        <v>0</v>
      </c>
      <c r="D2357" s="1503" t="str">
        <f t="shared" si="331"/>
        <v>-</v>
      </c>
      <c r="E2357" s="560">
        <f t="shared" si="331"/>
        <v>0</v>
      </c>
      <c r="F2357" s="1508">
        <f t="shared" si="326"/>
        <v>0</v>
      </c>
      <c r="G2357" s="1508">
        <f t="shared" si="327"/>
        <v>0</v>
      </c>
      <c r="H2357" s="1508">
        <f t="shared" si="328"/>
        <v>0</v>
      </c>
      <c r="I2357" s="1480">
        <v>0</v>
      </c>
      <c r="J2357" s="1480">
        <v>0</v>
      </c>
      <c r="K2357" s="1508"/>
      <c r="L2357" s="1508"/>
      <c r="M2357" s="1509">
        <f t="shared" si="329"/>
        <v>0</v>
      </c>
      <c r="N2357" s="1508">
        <f t="shared" si="330"/>
        <v>0</v>
      </c>
    </row>
    <row r="2358" spans="1:14" ht="15.5" outlineLevel="1" x14ac:dyDescent="0.25">
      <c r="A2358" s="1453">
        <f t="shared" si="331"/>
        <v>0</v>
      </c>
      <c r="B2358" s="1476">
        <f t="shared" si="331"/>
        <v>0</v>
      </c>
      <c r="C2358" s="1453">
        <f t="shared" si="331"/>
        <v>0</v>
      </c>
      <c r="D2358" s="1503" t="str">
        <f t="shared" si="331"/>
        <v>-</v>
      </c>
      <c r="E2358" s="560">
        <f t="shared" si="331"/>
        <v>0</v>
      </c>
      <c r="F2358" s="1508">
        <f t="shared" si="326"/>
        <v>0</v>
      </c>
      <c r="G2358" s="1508">
        <f t="shared" si="327"/>
        <v>0</v>
      </c>
      <c r="H2358" s="1508">
        <f t="shared" si="328"/>
        <v>0</v>
      </c>
      <c r="I2358" s="1480">
        <v>0</v>
      </c>
      <c r="J2358" s="1480">
        <v>0</v>
      </c>
      <c r="K2358" s="1508"/>
      <c r="L2358" s="1508"/>
      <c r="M2358" s="1509">
        <f t="shared" si="329"/>
        <v>0</v>
      </c>
      <c r="N2358" s="1508">
        <f t="shared" si="330"/>
        <v>0</v>
      </c>
    </row>
    <row r="2359" spans="1:14" ht="77.5" outlineLevel="1" x14ac:dyDescent="0.25">
      <c r="A2359" s="1486">
        <f t="shared" si="331"/>
        <v>2</v>
      </c>
      <c r="B2359" s="1491" t="str">
        <f t="shared" si="331"/>
        <v>‘Supply, installation, restoration, up-gradation and revamping of Fire Protection Systems viz Fire Hydrant System, Passive Fire Protection System, DV House Construction &amp; Fire Water Spray System at plant &amp; ODP area of Unit-3to9 and CHPs (CHP-A,B,C,&amp;D) of CSTPS, Chandrapur’</v>
      </c>
      <c r="C2359" s="166">
        <f t="shared" si="331"/>
        <v>0</v>
      </c>
      <c r="D2359" s="1413" t="str">
        <f t="shared" si="331"/>
        <v>-</v>
      </c>
      <c r="E2359" s="560">
        <f t="shared" si="331"/>
        <v>118.75</v>
      </c>
      <c r="F2359" s="1508">
        <f t="shared" si="326"/>
        <v>0</v>
      </c>
      <c r="G2359" s="1508">
        <f t="shared" si="327"/>
        <v>0</v>
      </c>
      <c r="H2359" s="1508">
        <f t="shared" si="328"/>
        <v>0</v>
      </c>
      <c r="I2359" s="1480">
        <v>0</v>
      </c>
      <c r="J2359" s="1480">
        <v>0</v>
      </c>
      <c r="K2359" s="1508"/>
      <c r="L2359" s="1508"/>
      <c r="M2359" s="1509">
        <f t="shared" si="329"/>
        <v>0</v>
      </c>
      <c r="N2359" s="1508">
        <f t="shared" si="330"/>
        <v>0</v>
      </c>
    </row>
    <row r="2360" spans="1:14" ht="77.5" outlineLevel="1" x14ac:dyDescent="0.25">
      <c r="A2360" s="1492">
        <f t="shared" si="331"/>
        <v>0</v>
      </c>
      <c r="B2360" s="1492" t="str">
        <f t="shared" si="331"/>
        <v>‘Supply, installation, restoration, up-gradation and revamping of Fire Protection Systems viz Fire Hydrant System, Passive Fire Protection System, DV House Construction &amp; Fire Water Spray System at plant &amp; ODP area of Unit-3to9 and CHPs (CHP-A,B,C,&amp;D) of CSTPS, Chandrapur’</v>
      </c>
      <c r="C2360" s="166">
        <f t="shared" si="331"/>
        <v>0</v>
      </c>
      <c r="D2360" s="1413" t="str">
        <f t="shared" si="331"/>
        <v>-</v>
      </c>
      <c r="E2360" s="560">
        <f t="shared" si="331"/>
        <v>118.75</v>
      </c>
      <c r="F2360" s="1508">
        <f t="shared" si="326"/>
        <v>0</v>
      </c>
      <c r="G2360" s="1508">
        <f t="shared" si="327"/>
        <v>0</v>
      </c>
      <c r="H2360" s="1508">
        <f t="shared" si="328"/>
        <v>0</v>
      </c>
      <c r="I2360" s="1480">
        <v>0</v>
      </c>
      <c r="J2360" s="1480">
        <v>0</v>
      </c>
      <c r="K2360" s="1508"/>
      <c r="L2360" s="1508"/>
      <c r="M2360" s="1509">
        <f t="shared" si="329"/>
        <v>0</v>
      </c>
      <c r="N2360" s="1508">
        <f t="shared" si="330"/>
        <v>0</v>
      </c>
    </row>
    <row r="2361" spans="1:14" ht="62" outlineLevel="1" x14ac:dyDescent="0.25">
      <c r="A2361" s="1486">
        <f t="shared" si="331"/>
        <v>3</v>
      </c>
      <c r="B2361" s="1491" t="str">
        <f t="shared" si="331"/>
        <v>DPR for Fire Detection &amp; Alarm and Protection System from Fire and Providing Rapid Extinguishing Clean Agent (CA) System at Unit -7, Outdoor Plants, CHPs, Service building &amp; Admin Building at CSTPS</v>
      </c>
      <c r="C2361" s="166">
        <f t="shared" si="331"/>
        <v>0</v>
      </c>
      <c r="D2361" s="1413" t="str">
        <f t="shared" si="331"/>
        <v>-</v>
      </c>
      <c r="E2361" s="560">
        <f t="shared" si="331"/>
        <v>31.56</v>
      </c>
      <c r="F2361" s="1508">
        <f t="shared" si="326"/>
        <v>0</v>
      </c>
      <c r="G2361" s="1508">
        <f t="shared" si="327"/>
        <v>0</v>
      </c>
      <c r="H2361" s="1508">
        <f t="shared" si="328"/>
        <v>0</v>
      </c>
      <c r="I2361" s="1480">
        <v>0</v>
      </c>
      <c r="J2361" s="1480">
        <v>0</v>
      </c>
      <c r="K2361" s="1508"/>
      <c r="L2361" s="1508"/>
      <c r="M2361" s="1509">
        <f t="shared" si="329"/>
        <v>0</v>
      </c>
      <c r="N2361" s="1508">
        <f t="shared" si="330"/>
        <v>0</v>
      </c>
    </row>
    <row r="2362" spans="1:14" ht="62" outlineLevel="1" x14ac:dyDescent="0.25">
      <c r="A2362" s="1492">
        <f t="shared" si="331"/>
        <v>0</v>
      </c>
      <c r="B2362" s="1492" t="str">
        <f t="shared" si="331"/>
        <v>DPR for Fire Detection &amp; Alarm and Protection System from Fire and Providing Rapid Extinguishing Clean Agent (CA) System at Unit -7, Outdoor Plants, CHPs, Service building &amp; Admin Building at CSTPS</v>
      </c>
      <c r="C2362" s="166">
        <f t="shared" si="331"/>
        <v>0</v>
      </c>
      <c r="D2362" s="1413" t="str">
        <f t="shared" si="331"/>
        <v>-</v>
      </c>
      <c r="E2362" s="560">
        <f t="shared" si="331"/>
        <v>31.56</v>
      </c>
      <c r="F2362" s="1508">
        <f t="shared" si="326"/>
        <v>0</v>
      </c>
      <c r="G2362" s="1508">
        <f t="shared" si="327"/>
        <v>0</v>
      </c>
      <c r="H2362" s="1508">
        <f t="shared" si="328"/>
        <v>0</v>
      </c>
      <c r="I2362" s="1480">
        <v>0</v>
      </c>
      <c r="J2362" s="1480">
        <v>0</v>
      </c>
      <c r="K2362" s="1508"/>
      <c r="L2362" s="1508"/>
      <c r="M2362" s="1509">
        <f t="shared" si="329"/>
        <v>0</v>
      </c>
      <c r="N2362" s="1508">
        <f t="shared" si="330"/>
        <v>0</v>
      </c>
    </row>
    <row r="2363" spans="1:14" ht="46.5" outlineLevel="1" x14ac:dyDescent="0.25">
      <c r="A2363" s="1486">
        <f t="shared" si="331"/>
        <v>4</v>
      </c>
      <c r="B2363" s="1491" t="str">
        <f t="shared" si="331"/>
        <v>Renovation of various component of bottom opening bogie frame at CSTPS Chandrapur &amp; Provision of Wagon Tippler Safety System in Coal Handling Plant at CSTPS</v>
      </c>
      <c r="C2363" s="166">
        <f t="shared" si="331"/>
        <v>0</v>
      </c>
      <c r="D2363" s="1413" t="str">
        <f t="shared" si="331"/>
        <v>-</v>
      </c>
      <c r="E2363" s="560">
        <f t="shared" si="331"/>
        <v>35</v>
      </c>
      <c r="F2363" s="1508">
        <f t="shared" si="326"/>
        <v>0</v>
      </c>
      <c r="G2363" s="1508">
        <f t="shared" si="327"/>
        <v>0</v>
      </c>
      <c r="H2363" s="1508">
        <f t="shared" si="328"/>
        <v>0</v>
      </c>
      <c r="I2363" s="1480">
        <v>0</v>
      </c>
      <c r="J2363" s="1480">
        <v>0</v>
      </c>
      <c r="K2363" s="1508"/>
      <c r="L2363" s="1508"/>
      <c r="M2363" s="1509">
        <f t="shared" si="329"/>
        <v>0</v>
      </c>
      <c r="N2363" s="1508">
        <f t="shared" si="330"/>
        <v>0</v>
      </c>
    </row>
    <row r="2364" spans="1:14" ht="46.5" outlineLevel="1" x14ac:dyDescent="0.25">
      <c r="A2364" s="1492">
        <f t="shared" si="331"/>
        <v>0</v>
      </c>
      <c r="B2364" s="1492" t="str">
        <f t="shared" si="331"/>
        <v>Renovation of various component of bottom opening bogie frame at CSTPS Chandrapur &amp; Provision of Wagon Tippler Safety System in Coal Handling Plant at CSTPS</v>
      </c>
      <c r="C2364" s="166">
        <f t="shared" si="331"/>
        <v>0</v>
      </c>
      <c r="D2364" s="1413" t="str">
        <f t="shared" si="331"/>
        <v>-</v>
      </c>
      <c r="E2364" s="560">
        <f t="shared" si="331"/>
        <v>35</v>
      </c>
      <c r="F2364" s="1508">
        <f t="shared" si="326"/>
        <v>0</v>
      </c>
      <c r="G2364" s="1508">
        <f t="shared" si="327"/>
        <v>0</v>
      </c>
      <c r="H2364" s="1508">
        <f t="shared" si="328"/>
        <v>0</v>
      </c>
      <c r="I2364" s="1480">
        <v>0</v>
      </c>
      <c r="J2364" s="1480">
        <v>0</v>
      </c>
      <c r="K2364" s="1508"/>
      <c r="L2364" s="1508"/>
      <c r="M2364" s="1509">
        <f t="shared" si="329"/>
        <v>0</v>
      </c>
      <c r="N2364" s="1508">
        <f t="shared" si="330"/>
        <v>0</v>
      </c>
    </row>
    <row r="2365" spans="1:14" ht="31" outlineLevel="1" x14ac:dyDescent="0.25">
      <c r="A2365" s="1486">
        <f t="shared" si="331"/>
        <v>5</v>
      </c>
      <c r="B2365" s="1491" t="str">
        <f t="shared" si="331"/>
        <v>Construction of road from CHP Weighbridge to Railway Crossing &amp; provision of Road Under Bridge (RUB) at CSTPS, Chandrapur</v>
      </c>
      <c r="C2365" s="166">
        <f t="shared" si="331"/>
        <v>0</v>
      </c>
      <c r="D2365" s="1413" t="str">
        <f t="shared" si="331"/>
        <v>-</v>
      </c>
      <c r="E2365" s="560">
        <f t="shared" si="331"/>
        <v>41.24</v>
      </c>
      <c r="F2365" s="1508">
        <f t="shared" si="326"/>
        <v>0</v>
      </c>
      <c r="G2365" s="1508">
        <f t="shared" si="327"/>
        <v>0</v>
      </c>
      <c r="H2365" s="1508">
        <f t="shared" si="328"/>
        <v>0</v>
      </c>
      <c r="I2365" s="1480">
        <v>0</v>
      </c>
      <c r="J2365" s="1480">
        <v>0</v>
      </c>
      <c r="K2365" s="1508"/>
      <c r="L2365" s="1508"/>
      <c r="M2365" s="1509">
        <f t="shared" si="329"/>
        <v>0</v>
      </c>
      <c r="N2365" s="1508">
        <f t="shared" si="330"/>
        <v>0</v>
      </c>
    </row>
    <row r="2366" spans="1:14" ht="31" outlineLevel="1" x14ac:dyDescent="0.25">
      <c r="A2366" s="1492">
        <f t="shared" si="331"/>
        <v>0</v>
      </c>
      <c r="B2366" s="1492" t="str">
        <f t="shared" si="331"/>
        <v>Construction of concrete pavement road connecting to CHP weighbridge to Railway crossing at CSTPS, Chandrapur.</v>
      </c>
      <c r="C2366" s="166">
        <f t="shared" si="331"/>
        <v>0</v>
      </c>
      <c r="D2366" s="1413" t="str">
        <f t="shared" si="331"/>
        <v>-</v>
      </c>
      <c r="E2366" s="560">
        <f t="shared" si="331"/>
        <v>5.42</v>
      </c>
      <c r="F2366" s="1508">
        <f t="shared" si="326"/>
        <v>0</v>
      </c>
      <c r="G2366" s="1508">
        <f t="shared" si="327"/>
        <v>0</v>
      </c>
      <c r="H2366" s="1508">
        <f t="shared" si="328"/>
        <v>0</v>
      </c>
      <c r="I2366" s="1480">
        <v>5.42</v>
      </c>
      <c r="J2366" s="1480">
        <v>5.42</v>
      </c>
      <c r="K2366" s="1508"/>
      <c r="L2366" s="1508"/>
      <c r="M2366" s="1509">
        <f t="shared" si="329"/>
        <v>5.42</v>
      </c>
      <c r="N2366" s="1508">
        <f t="shared" si="330"/>
        <v>0</v>
      </c>
    </row>
    <row r="2367" spans="1:14" ht="31" outlineLevel="1" x14ac:dyDescent="0.25">
      <c r="A2367" s="1492">
        <f t="shared" si="331"/>
        <v>0</v>
      </c>
      <c r="B2367" s="1492" t="str">
        <f t="shared" si="331"/>
        <v>Provision of Road Under Bridge at Vivekanand Nagar Tukum At CSTPS, Chandrapur.</v>
      </c>
      <c r="C2367" s="166">
        <f t="shared" si="331"/>
        <v>0</v>
      </c>
      <c r="D2367" s="1413" t="str">
        <f t="shared" si="331"/>
        <v>-</v>
      </c>
      <c r="E2367" s="560">
        <f t="shared" si="331"/>
        <v>35.82</v>
      </c>
      <c r="F2367" s="1508">
        <f t="shared" si="326"/>
        <v>0</v>
      </c>
      <c r="G2367" s="1508">
        <f t="shared" si="327"/>
        <v>0</v>
      </c>
      <c r="H2367" s="1508">
        <f t="shared" si="328"/>
        <v>0</v>
      </c>
      <c r="I2367" s="1480">
        <v>35.82</v>
      </c>
      <c r="J2367" s="1480">
        <v>35.82</v>
      </c>
      <c r="K2367" s="1508"/>
      <c r="L2367" s="1508"/>
      <c r="M2367" s="1509">
        <f t="shared" si="329"/>
        <v>35.82</v>
      </c>
      <c r="N2367" s="1508">
        <f t="shared" si="330"/>
        <v>0</v>
      </c>
    </row>
    <row r="2368" spans="1:14" ht="31" outlineLevel="1" x14ac:dyDescent="0.25">
      <c r="A2368" s="1486">
        <f t="shared" si="331"/>
        <v>6</v>
      </c>
      <c r="B2368" s="1491" t="str">
        <f t="shared" si="331"/>
        <v>Construction of UCR wall and bed of Neri Nallah at CSTPS, Chandrapur.</v>
      </c>
      <c r="C2368" s="166">
        <f t="shared" si="331"/>
        <v>0</v>
      </c>
      <c r="D2368" s="1413" t="str">
        <f t="shared" si="331"/>
        <v>-</v>
      </c>
      <c r="E2368" s="560">
        <f t="shared" si="331"/>
        <v>33.47</v>
      </c>
      <c r="F2368" s="1508">
        <f t="shared" si="326"/>
        <v>0</v>
      </c>
      <c r="G2368" s="1508">
        <f t="shared" si="327"/>
        <v>0</v>
      </c>
      <c r="H2368" s="1508">
        <f t="shared" si="328"/>
        <v>0</v>
      </c>
      <c r="I2368" s="1480">
        <v>0</v>
      </c>
      <c r="J2368" s="1480">
        <v>0</v>
      </c>
      <c r="K2368" s="1508"/>
      <c r="L2368" s="1508"/>
      <c r="M2368" s="1509">
        <f t="shared" si="329"/>
        <v>0</v>
      </c>
      <c r="N2368" s="1508">
        <f t="shared" si="330"/>
        <v>0</v>
      </c>
    </row>
    <row r="2369" spans="1:14" ht="31" outlineLevel="1" x14ac:dyDescent="0.25">
      <c r="A2369" s="1492">
        <f t="shared" si="331"/>
        <v>0</v>
      </c>
      <c r="B2369" s="1492" t="str">
        <f t="shared" si="331"/>
        <v>Construction of UCR wall and bed of Neri Nallah at CSTPS, Chandrapur.</v>
      </c>
      <c r="C2369" s="166">
        <f t="shared" si="331"/>
        <v>0</v>
      </c>
      <c r="D2369" s="1413" t="str">
        <f t="shared" si="331"/>
        <v>-</v>
      </c>
      <c r="E2369" s="560">
        <f t="shared" si="331"/>
        <v>33.47</v>
      </c>
      <c r="F2369" s="1508">
        <f t="shared" si="326"/>
        <v>0</v>
      </c>
      <c r="G2369" s="1508">
        <f t="shared" si="327"/>
        <v>0</v>
      </c>
      <c r="H2369" s="1508">
        <f t="shared" si="328"/>
        <v>0</v>
      </c>
      <c r="I2369" s="1480">
        <v>5</v>
      </c>
      <c r="J2369" s="1480">
        <v>5</v>
      </c>
      <c r="K2369" s="1508"/>
      <c r="L2369" s="1508"/>
      <c r="M2369" s="1509">
        <f t="shared" si="329"/>
        <v>5</v>
      </c>
      <c r="N2369" s="1508">
        <f t="shared" si="330"/>
        <v>0</v>
      </c>
    </row>
    <row r="2370" spans="1:14" ht="46.5" outlineLevel="1" x14ac:dyDescent="0.25">
      <c r="A2370" s="1486">
        <f t="shared" si="331"/>
        <v>7</v>
      </c>
      <c r="B2370" s="1491" t="str">
        <f t="shared" si="331"/>
        <v>Construction of  Concrete Pavement  Road  Connecting to Reject Coal Gate &amp; F point upto  Ash water recovery pump house &amp; F point to CP No- 635 at CSTPS Chandrapur</v>
      </c>
      <c r="C2370" s="166">
        <f t="shared" si="331"/>
        <v>0</v>
      </c>
      <c r="D2370" s="1413" t="str">
        <f t="shared" si="331"/>
        <v>-</v>
      </c>
      <c r="E2370" s="560">
        <f t="shared" si="331"/>
        <v>71.5</v>
      </c>
      <c r="F2370" s="1508">
        <f t="shared" si="326"/>
        <v>0</v>
      </c>
      <c r="G2370" s="1508">
        <f t="shared" si="327"/>
        <v>0</v>
      </c>
      <c r="H2370" s="1508">
        <f t="shared" si="328"/>
        <v>0</v>
      </c>
      <c r="I2370" s="1480">
        <v>0</v>
      </c>
      <c r="J2370" s="1480">
        <v>0</v>
      </c>
      <c r="K2370" s="1508"/>
      <c r="L2370" s="1508"/>
      <c r="M2370" s="1509">
        <f t="shared" si="329"/>
        <v>0</v>
      </c>
      <c r="N2370" s="1508">
        <f t="shared" si="330"/>
        <v>0</v>
      </c>
    </row>
    <row r="2371" spans="1:14" ht="46.5" outlineLevel="1" x14ac:dyDescent="0.25">
      <c r="A2371" s="1492">
        <f t="shared" si="331"/>
        <v>0</v>
      </c>
      <c r="B2371" s="1492" t="str">
        <f t="shared" si="331"/>
        <v>Construction of  Concrete Pavement  Road  Connecting to Reject Coal Gate &amp; F point upto  Ash water recovery pump house &amp; F point to CP No- 635 at CSTPS Chandrapur</v>
      </c>
      <c r="C2371" s="166">
        <f t="shared" si="331"/>
        <v>0</v>
      </c>
      <c r="D2371" s="1413" t="str">
        <f t="shared" si="331"/>
        <v>-</v>
      </c>
      <c r="E2371" s="560">
        <f t="shared" si="331"/>
        <v>71.5</v>
      </c>
      <c r="F2371" s="1508">
        <f t="shared" si="326"/>
        <v>0</v>
      </c>
      <c r="G2371" s="1508">
        <f t="shared" si="327"/>
        <v>0</v>
      </c>
      <c r="H2371" s="1508">
        <f t="shared" si="328"/>
        <v>0</v>
      </c>
      <c r="I2371" s="1480">
        <v>15.5</v>
      </c>
      <c r="J2371" s="1480">
        <v>15.5</v>
      </c>
      <c r="K2371" s="1508"/>
      <c r="L2371" s="1508"/>
      <c r="M2371" s="1509">
        <f t="shared" si="329"/>
        <v>15.5</v>
      </c>
      <c r="N2371" s="1508">
        <f t="shared" si="330"/>
        <v>0</v>
      </c>
    </row>
    <row r="2372" spans="1:14" ht="15.5" outlineLevel="1" x14ac:dyDescent="0.25">
      <c r="A2372" s="1504">
        <f t="shared" ref="A2372:E2387" si="332">A1702</f>
        <v>0</v>
      </c>
      <c r="B2372" s="1504" t="str">
        <f t="shared" si="332"/>
        <v>Boiler Maintenance-I</v>
      </c>
      <c r="C2372" s="166">
        <f t="shared" si="332"/>
        <v>0</v>
      </c>
      <c r="D2372" s="1413" t="str">
        <f t="shared" si="332"/>
        <v>-</v>
      </c>
      <c r="E2372" s="560">
        <f t="shared" si="332"/>
        <v>0</v>
      </c>
      <c r="F2372" s="1508">
        <f t="shared" si="326"/>
        <v>0</v>
      </c>
      <c r="G2372" s="1508">
        <f t="shared" si="327"/>
        <v>0</v>
      </c>
      <c r="H2372" s="1508">
        <f t="shared" si="328"/>
        <v>0</v>
      </c>
      <c r="I2372" s="1480">
        <v>0</v>
      </c>
      <c r="J2372" s="1480">
        <v>0</v>
      </c>
      <c r="K2372" s="1508"/>
      <c r="L2372" s="1508"/>
      <c r="M2372" s="1509">
        <f t="shared" si="329"/>
        <v>0</v>
      </c>
      <c r="N2372" s="1508">
        <f t="shared" si="330"/>
        <v>0</v>
      </c>
    </row>
    <row r="2373" spans="1:14" ht="15.5" outlineLevel="1" x14ac:dyDescent="0.25">
      <c r="A2373" s="1486">
        <f t="shared" si="332"/>
        <v>1</v>
      </c>
      <c r="B2373" s="1491" t="str">
        <f t="shared" si="332"/>
        <v>DPR for Coal mill improvement</v>
      </c>
      <c r="C2373" s="166">
        <f t="shared" si="332"/>
        <v>0</v>
      </c>
      <c r="D2373" s="1413" t="str">
        <f t="shared" si="332"/>
        <v>-</v>
      </c>
      <c r="E2373" s="560">
        <f t="shared" si="332"/>
        <v>54.74</v>
      </c>
      <c r="F2373" s="1508">
        <f t="shared" si="326"/>
        <v>0</v>
      </c>
      <c r="G2373" s="1508">
        <f t="shared" si="327"/>
        <v>0</v>
      </c>
      <c r="H2373" s="1508">
        <f t="shared" si="328"/>
        <v>0</v>
      </c>
      <c r="I2373" s="1480">
        <v>0</v>
      </c>
      <c r="J2373" s="1480">
        <v>0</v>
      </c>
      <c r="K2373" s="1508"/>
      <c r="L2373" s="1508"/>
      <c r="M2373" s="1509">
        <f t="shared" si="329"/>
        <v>0</v>
      </c>
      <c r="N2373" s="1508">
        <f t="shared" si="330"/>
        <v>0</v>
      </c>
    </row>
    <row r="2374" spans="1:14" ht="31" outlineLevel="1" x14ac:dyDescent="0.25">
      <c r="A2374" s="1492">
        <f t="shared" si="332"/>
        <v>0</v>
      </c>
      <c r="B2374" s="1492" t="str">
        <f t="shared" si="332"/>
        <v>The performance improvement &amp; availability enhancement of coal millsXRP-803 at U#3&amp;4(210MW)CSTPS, Chandrapur</v>
      </c>
      <c r="C2374" s="166">
        <f t="shared" si="332"/>
        <v>0</v>
      </c>
      <c r="D2374" s="1413" t="str">
        <f t="shared" si="332"/>
        <v>-</v>
      </c>
      <c r="E2374" s="560">
        <f t="shared" si="332"/>
        <v>18.739999999999998</v>
      </c>
      <c r="F2374" s="1508">
        <f t="shared" si="326"/>
        <v>0</v>
      </c>
      <c r="G2374" s="1508">
        <f t="shared" si="327"/>
        <v>0</v>
      </c>
      <c r="H2374" s="1508">
        <f t="shared" si="328"/>
        <v>0</v>
      </c>
      <c r="I2374" s="1480">
        <v>18.739999999999998</v>
      </c>
      <c r="J2374" s="1480">
        <v>18.739999999999998</v>
      </c>
      <c r="K2374" s="1508"/>
      <c r="L2374" s="1508"/>
      <c r="M2374" s="1509">
        <f t="shared" si="329"/>
        <v>18.739999999999998</v>
      </c>
      <c r="N2374" s="1508">
        <f t="shared" si="330"/>
        <v>0</v>
      </c>
    </row>
    <row r="2375" spans="1:14" ht="31" outlineLevel="1" x14ac:dyDescent="0.25">
      <c r="A2375" s="1492">
        <f t="shared" si="332"/>
        <v>0</v>
      </c>
      <c r="B2375" s="1492" t="str">
        <f t="shared" si="332"/>
        <v>Replacement of Existing Volumetric coal feeders by Rotary Gravimetric coal feeders</v>
      </c>
      <c r="C2375" s="166">
        <f t="shared" si="332"/>
        <v>0</v>
      </c>
      <c r="D2375" s="1413" t="str">
        <f t="shared" si="332"/>
        <v>-</v>
      </c>
      <c r="E2375" s="560">
        <f t="shared" si="332"/>
        <v>36</v>
      </c>
      <c r="F2375" s="1508">
        <f t="shared" si="326"/>
        <v>0</v>
      </c>
      <c r="G2375" s="1508">
        <f t="shared" si="327"/>
        <v>0</v>
      </c>
      <c r="H2375" s="1508">
        <f t="shared" si="328"/>
        <v>0</v>
      </c>
      <c r="I2375" s="1480">
        <v>12</v>
      </c>
      <c r="J2375" s="1480">
        <v>12</v>
      </c>
      <c r="K2375" s="1508"/>
      <c r="L2375" s="1508"/>
      <c r="M2375" s="1509">
        <f t="shared" si="329"/>
        <v>12</v>
      </c>
      <c r="N2375" s="1508">
        <f t="shared" si="330"/>
        <v>0</v>
      </c>
    </row>
    <row r="2376" spans="1:14" ht="15.5" outlineLevel="1" x14ac:dyDescent="0.25">
      <c r="A2376" s="1486">
        <f t="shared" si="332"/>
        <v>2</v>
      </c>
      <c r="B2376" s="1491" t="str">
        <f t="shared" si="332"/>
        <v>DPR for APH basket, HRH coil and Valves</v>
      </c>
      <c r="C2376" s="1488">
        <f t="shared" si="332"/>
        <v>0</v>
      </c>
      <c r="D2376" s="1413" t="str">
        <f t="shared" si="332"/>
        <v>-</v>
      </c>
      <c r="E2376" s="560">
        <f t="shared" si="332"/>
        <v>28.94</v>
      </c>
      <c r="F2376" s="1508">
        <f t="shared" si="326"/>
        <v>0</v>
      </c>
      <c r="G2376" s="1508">
        <f t="shared" si="327"/>
        <v>0</v>
      </c>
      <c r="H2376" s="1508">
        <f t="shared" si="328"/>
        <v>0</v>
      </c>
      <c r="I2376" s="1480">
        <v>0</v>
      </c>
      <c r="J2376" s="1480">
        <v>0</v>
      </c>
      <c r="K2376" s="1508"/>
      <c r="L2376" s="1508"/>
      <c r="M2376" s="1509">
        <f t="shared" si="329"/>
        <v>0</v>
      </c>
      <c r="N2376" s="1508">
        <f t="shared" si="330"/>
        <v>0</v>
      </c>
    </row>
    <row r="2377" spans="1:14" ht="31" outlineLevel="1" x14ac:dyDescent="0.25">
      <c r="A2377" s="1492">
        <f t="shared" si="332"/>
        <v>0</v>
      </c>
      <c r="B2377" s="1492" t="str">
        <f t="shared" si="332"/>
        <v>Procurement &amp; replacement of APH Basket assemblies at U#3&amp;4,CSTPS, Chandrapur</v>
      </c>
      <c r="C2377" s="1488">
        <f t="shared" si="332"/>
        <v>0</v>
      </c>
      <c r="D2377" s="1413" t="str">
        <f t="shared" si="332"/>
        <v>-</v>
      </c>
      <c r="E2377" s="560">
        <f t="shared" si="332"/>
        <v>4.9400000000000004</v>
      </c>
      <c r="F2377" s="1508">
        <f t="shared" si="326"/>
        <v>0</v>
      </c>
      <c r="G2377" s="1508">
        <f t="shared" si="327"/>
        <v>0</v>
      </c>
      <c r="H2377" s="1508">
        <f t="shared" si="328"/>
        <v>0</v>
      </c>
      <c r="I2377" s="1480">
        <v>4.9400000000000004</v>
      </c>
      <c r="J2377" s="1480">
        <v>4.9400000000000004</v>
      </c>
      <c r="K2377" s="1508"/>
      <c r="L2377" s="1508"/>
      <c r="M2377" s="1509">
        <f t="shared" si="329"/>
        <v>4.9400000000000004</v>
      </c>
      <c r="N2377" s="1508">
        <f t="shared" si="330"/>
        <v>0</v>
      </c>
    </row>
    <row r="2378" spans="1:14" ht="31" outlineLevel="1" x14ac:dyDescent="0.25">
      <c r="A2378" s="1492">
        <f t="shared" si="332"/>
        <v>0</v>
      </c>
      <c r="B2378" s="1492" t="str">
        <f t="shared" si="332"/>
        <v>Procurement &amp; replacement of complete HRH coils assembly in U#4</v>
      </c>
      <c r="C2378" s="1488">
        <f t="shared" si="332"/>
        <v>0</v>
      </c>
      <c r="D2378" s="1413" t="str">
        <f t="shared" si="332"/>
        <v>-</v>
      </c>
      <c r="E2378" s="560">
        <f t="shared" si="332"/>
        <v>24</v>
      </c>
      <c r="F2378" s="1508">
        <f t="shared" si="326"/>
        <v>0</v>
      </c>
      <c r="G2378" s="1508">
        <f t="shared" si="327"/>
        <v>0</v>
      </c>
      <c r="H2378" s="1508">
        <f t="shared" si="328"/>
        <v>0</v>
      </c>
      <c r="I2378" s="1480">
        <v>0</v>
      </c>
      <c r="J2378" s="1480">
        <v>0</v>
      </c>
      <c r="K2378" s="1508"/>
      <c r="L2378" s="1508"/>
      <c r="M2378" s="1509">
        <f t="shared" si="329"/>
        <v>0</v>
      </c>
      <c r="N2378" s="1508">
        <f t="shared" si="330"/>
        <v>0</v>
      </c>
    </row>
    <row r="2379" spans="1:14" ht="15.5" outlineLevel="1" x14ac:dyDescent="0.25">
      <c r="A2379" s="1486">
        <f t="shared" si="332"/>
        <v>3</v>
      </c>
      <c r="B2379" s="1491" t="str">
        <f t="shared" si="332"/>
        <v>DPR for ESP internal and CRH coil</v>
      </c>
      <c r="C2379" s="1488">
        <f t="shared" si="332"/>
        <v>0</v>
      </c>
      <c r="D2379" s="1413" t="str">
        <f t="shared" si="332"/>
        <v>-</v>
      </c>
      <c r="E2379" s="560">
        <f t="shared" si="332"/>
        <v>45</v>
      </c>
      <c r="F2379" s="1508">
        <f t="shared" si="326"/>
        <v>0</v>
      </c>
      <c r="G2379" s="1508">
        <f t="shared" si="327"/>
        <v>0</v>
      </c>
      <c r="H2379" s="1508">
        <f t="shared" si="328"/>
        <v>0</v>
      </c>
      <c r="I2379" s="1480">
        <v>0</v>
      </c>
      <c r="J2379" s="1480">
        <v>0</v>
      </c>
      <c r="K2379" s="1508"/>
      <c r="L2379" s="1508"/>
      <c r="M2379" s="1509">
        <f t="shared" si="329"/>
        <v>0</v>
      </c>
      <c r="N2379" s="1508">
        <f t="shared" si="330"/>
        <v>0</v>
      </c>
    </row>
    <row r="2380" spans="1:14" ht="15.5" outlineLevel="1" x14ac:dyDescent="0.25">
      <c r="A2380" s="1492">
        <f t="shared" si="332"/>
        <v>0</v>
      </c>
      <c r="B2380" s="1492" t="str">
        <f t="shared" si="332"/>
        <v>Replacement of complete internals of ESP U#3&amp;4</v>
      </c>
      <c r="C2380" s="1488">
        <f t="shared" si="332"/>
        <v>0</v>
      </c>
      <c r="D2380" s="1413" t="str">
        <f t="shared" si="332"/>
        <v>-</v>
      </c>
      <c r="E2380" s="560">
        <f t="shared" si="332"/>
        <v>20</v>
      </c>
      <c r="F2380" s="1508">
        <f t="shared" si="326"/>
        <v>0</v>
      </c>
      <c r="G2380" s="1508">
        <f t="shared" si="327"/>
        <v>0</v>
      </c>
      <c r="H2380" s="1508">
        <f t="shared" si="328"/>
        <v>0</v>
      </c>
      <c r="I2380" s="1480">
        <v>0</v>
      </c>
      <c r="J2380" s="1480">
        <v>0</v>
      </c>
      <c r="K2380" s="1508"/>
      <c r="L2380" s="1508"/>
      <c r="M2380" s="1509">
        <f t="shared" si="329"/>
        <v>0</v>
      </c>
      <c r="N2380" s="1508">
        <f t="shared" si="330"/>
        <v>0</v>
      </c>
    </row>
    <row r="2381" spans="1:14" ht="15.5" outlineLevel="1" x14ac:dyDescent="0.25">
      <c r="A2381" s="1492">
        <f t="shared" si="332"/>
        <v>0</v>
      </c>
      <c r="B2381" s="1492" t="str">
        <f t="shared" si="332"/>
        <v xml:space="preserve">Procurement &amp; replacement of CRH coil assemblies in U#3 </v>
      </c>
      <c r="C2381" s="1488">
        <f t="shared" si="332"/>
        <v>0</v>
      </c>
      <c r="D2381" s="1413" t="str">
        <f t="shared" si="332"/>
        <v>-</v>
      </c>
      <c r="E2381" s="560">
        <f t="shared" si="332"/>
        <v>25</v>
      </c>
      <c r="F2381" s="1508">
        <f t="shared" si="326"/>
        <v>0</v>
      </c>
      <c r="G2381" s="1508">
        <f t="shared" si="327"/>
        <v>0</v>
      </c>
      <c r="H2381" s="1508">
        <f t="shared" si="328"/>
        <v>0</v>
      </c>
      <c r="I2381" s="1480">
        <v>0</v>
      </c>
      <c r="J2381" s="1480">
        <v>0</v>
      </c>
      <c r="K2381" s="1508"/>
      <c r="L2381" s="1508"/>
      <c r="M2381" s="1509">
        <f t="shared" si="329"/>
        <v>0</v>
      </c>
      <c r="N2381" s="1508">
        <f t="shared" si="330"/>
        <v>0</v>
      </c>
    </row>
    <row r="2382" spans="1:14" ht="31" outlineLevel="1" x14ac:dyDescent="0.25">
      <c r="A2382" s="1486">
        <f t="shared" si="332"/>
        <v>4</v>
      </c>
      <c r="B2382" s="1491" t="str">
        <f t="shared" si="332"/>
        <v>Procurement &amp; replacement of LTSH &amp; Economiser coil assemblies in U#3</v>
      </c>
      <c r="C2382" s="1488">
        <f t="shared" si="332"/>
        <v>0</v>
      </c>
      <c r="D2382" s="1413" t="str">
        <f t="shared" si="332"/>
        <v>-</v>
      </c>
      <c r="E2382" s="560">
        <f t="shared" si="332"/>
        <v>30</v>
      </c>
      <c r="F2382" s="1508">
        <f t="shared" si="326"/>
        <v>0</v>
      </c>
      <c r="G2382" s="1508">
        <f t="shared" si="327"/>
        <v>0</v>
      </c>
      <c r="H2382" s="1508">
        <f t="shared" si="328"/>
        <v>0</v>
      </c>
      <c r="I2382" s="1480">
        <v>0</v>
      </c>
      <c r="J2382" s="1480">
        <v>0</v>
      </c>
      <c r="K2382" s="1508"/>
      <c r="L2382" s="1508"/>
      <c r="M2382" s="1509">
        <f t="shared" si="329"/>
        <v>0</v>
      </c>
      <c r="N2382" s="1508">
        <f t="shared" si="330"/>
        <v>0</v>
      </c>
    </row>
    <row r="2383" spans="1:14" ht="31" outlineLevel="1" x14ac:dyDescent="0.25">
      <c r="A2383" s="1492">
        <f t="shared" si="332"/>
        <v>0</v>
      </c>
      <c r="B2383" s="1492" t="str">
        <f t="shared" si="332"/>
        <v>Procurement &amp; replacement of LTSH &amp; Economiser coil assemblies in U#3</v>
      </c>
      <c r="C2383" s="1488">
        <f t="shared" si="332"/>
        <v>0</v>
      </c>
      <c r="D2383" s="1413" t="str">
        <f t="shared" si="332"/>
        <v>-</v>
      </c>
      <c r="E2383" s="560">
        <f t="shared" si="332"/>
        <v>30</v>
      </c>
      <c r="F2383" s="1508">
        <f t="shared" si="326"/>
        <v>0</v>
      </c>
      <c r="G2383" s="1508">
        <f t="shared" si="327"/>
        <v>0</v>
      </c>
      <c r="H2383" s="1508">
        <f t="shared" si="328"/>
        <v>0</v>
      </c>
      <c r="I2383" s="1480">
        <v>0</v>
      </c>
      <c r="J2383" s="1480">
        <v>0</v>
      </c>
      <c r="K2383" s="1508"/>
      <c r="L2383" s="1508"/>
      <c r="M2383" s="1509">
        <f t="shared" si="329"/>
        <v>0</v>
      </c>
      <c r="N2383" s="1508">
        <f t="shared" si="330"/>
        <v>0</v>
      </c>
    </row>
    <row r="2384" spans="1:14" ht="15.5" outlineLevel="1" x14ac:dyDescent="0.25">
      <c r="A2384" s="1504">
        <f t="shared" si="332"/>
        <v>0</v>
      </c>
      <c r="B2384" s="1504" t="str">
        <f t="shared" si="332"/>
        <v>Turbine Maintenance-I</v>
      </c>
      <c r="C2384" s="1488">
        <f t="shared" si="332"/>
        <v>0</v>
      </c>
      <c r="D2384" s="1413" t="str">
        <f t="shared" si="332"/>
        <v>-</v>
      </c>
      <c r="E2384" s="560">
        <f t="shared" si="332"/>
        <v>0</v>
      </c>
      <c r="F2384" s="1508">
        <f t="shared" si="326"/>
        <v>0</v>
      </c>
      <c r="G2384" s="1508">
        <f t="shared" si="327"/>
        <v>0</v>
      </c>
      <c r="H2384" s="1508">
        <f t="shared" si="328"/>
        <v>0</v>
      </c>
      <c r="I2384" s="1480">
        <v>0</v>
      </c>
      <c r="J2384" s="1480">
        <v>0</v>
      </c>
      <c r="K2384" s="1508"/>
      <c r="L2384" s="1508"/>
      <c r="M2384" s="1509">
        <f t="shared" si="329"/>
        <v>0</v>
      </c>
      <c r="N2384" s="1508">
        <f t="shared" si="330"/>
        <v>0</v>
      </c>
    </row>
    <row r="2385" spans="1:14" ht="31" outlineLevel="1" x14ac:dyDescent="0.25">
      <c r="A2385" s="1486">
        <f t="shared" si="332"/>
        <v>1</v>
      </c>
      <c r="B2385" s="1491" t="str">
        <f t="shared" si="332"/>
        <v>DPR for Vaccuum system improvement and procurment of BFP cartridge</v>
      </c>
      <c r="C2385" s="1488">
        <f t="shared" si="332"/>
        <v>0</v>
      </c>
      <c r="D2385" s="1413" t="str">
        <f t="shared" si="332"/>
        <v>-</v>
      </c>
      <c r="E2385" s="560">
        <f t="shared" si="332"/>
        <v>35</v>
      </c>
      <c r="F2385" s="1508">
        <f t="shared" si="326"/>
        <v>0</v>
      </c>
      <c r="G2385" s="1508">
        <f t="shared" si="327"/>
        <v>0</v>
      </c>
      <c r="H2385" s="1508">
        <f t="shared" si="328"/>
        <v>0</v>
      </c>
      <c r="I2385" s="1480">
        <v>0</v>
      </c>
      <c r="J2385" s="1480">
        <v>0</v>
      </c>
      <c r="K2385" s="1508"/>
      <c r="L2385" s="1508"/>
      <c r="M2385" s="1509">
        <f t="shared" si="329"/>
        <v>0</v>
      </c>
      <c r="N2385" s="1508">
        <f t="shared" si="330"/>
        <v>0</v>
      </c>
    </row>
    <row r="2386" spans="1:14" ht="15.5" outlineLevel="1" x14ac:dyDescent="0.25">
      <c r="A2386" s="1492">
        <f t="shared" si="332"/>
        <v>0</v>
      </c>
      <c r="B2386" s="1492" t="str">
        <f t="shared" si="332"/>
        <v>Condenser vaccuum system improvement</v>
      </c>
      <c r="C2386" s="1488">
        <f t="shared" si="332"/>
        <v>0</v>
      </c>
      <c r="D2386" s="1413" t="str">
        <f t="shared" si="332"/>
        <v>-</v>
      </c>
      <c r="E2386" s="560">
        <f t="shared" si="332"/>
        <v>16</v>
      </c>
      <c r="F2386" s="1508">
        <f t="shared" si="326"/>
        <v>0</v>
      </c>
      <c r="G2386" s="1508">
        <f t="shared" si="327"/>
        <v>0</v>
      </c>
      <c r="H2386" s="1508">
        <f t="shared" si="328"/>
        <v>0</v>
      </c>
      <c r="I2386" s="1480">
        <v>16</v>
      </c>
      <c r="J2386" s="1480">
        <v>16</v>
      </c>
      <c r="K2386" s="1508"/>
      <c r="L2386" s="1508"/>
      <c r="M2386" s="1509">
        <f t="shared" si="329"/>
        <v>16</v>
      </c>
      <c r="N2386" s="1508">
        <f t="shared" si="330"/>
        <v>0</v>
      </c>
    </row>
    <row r="2387" spans="1:14" ht="31" outlineLevel="1" x14ac:dyDescent="0.25">
      <c r="A2387" s="1492">
        <f t="shared" si="332"/>
        <v>0</v>
      </c>
      <c r="B2387" s="1492" t="str">
        <f t="shared" si="332"/>
        <v>Procurement of BFP main pump cartridges for 200 KHI/s BHEL pump &amp; Procurment of Voith Hydraulic Coupling R17K for BFP</v>
      </c>
      <c r="C2387" s="1488">
        <f t="shared" si="332"/>
        <v>0</v>
      </c>
      <c r="D2387" s="1413" t="str">
        <f t="shared" si="332"/>
        <v>-</v>
      </c>
      <c r="E2387" s="560">
        <f t="shared" si="332"/>
        <v>19</v>
      </c>
      <c r="F2387" s="1508">
        <f t="shared" si="326"/>
        <v>0</v>
      </c>
      <c r="G2387" s="1508">
        <f t="shared" si="327"/>
        <v>0</v>
      </c>
      <c r="H2387" s="1508">
        <f t="shared" si="328"/>
        <v>0</v>
      </c>
      <c r="I2387" s="1480">
        <v>19</v>
      </c>
      <c r="J2387" s="1480">
        <v>19</v>
      </c>
      <c r="K2387" s="1508"/>
      <c r="L2387" s="1508"/>
      <c r="M2387" s="1509">
        <f t="shared" si="329"/>
        <v>19</v>
      </c>
      <c r="N2387" s="1508">
        <f t="shared" si="330"/>
        <v>0</v>
      </c>
    </row>
    <row r="2388" spans="1:14" ht="15.5" outlineLevel="1" x14ac:dyDescent="0.25">
      <c r="A2388" s="1486">
        <f t="shared" ref="A2388:E2403" si="333">A1718</f>
        <v>2</v>
      </c>
      <c r="B2388" s="1491" t="str">
        <f t="shared" si="333"/>
        <v>WTP-I improvement schemes</v>
      </c>
      <c r="C2388" s="1488">
        <f t="shared" si="333"/>
        <v>0</v>
      </c>
      <c r="D2388" s="1413" t="str">
        <f t="shared" si="333"/>
        <v>-</v>
      </c>
      <c r="E2388" s="560">
        <f t="shared" si="333"/>
        <v>26</v>
      </c>
      <c r="F2388" s="1508">
        <f t="shared" si="326"/>
        <v>0</v>
      </c>
      <c r="G2388" s="1508">
        <f t="shared" si="327"/>
        <v>0</v>
      </c>
      <c r="H2388" s="1508">
        <f t="shared" si="328"/>
        <v>0</v>
      </c>
      <c r="I2388" s="1480">
        <v>0</v>
      </c>
      <c r="J2388" s="1480">
        <v>0</v>
      </c>
      <c r="K2388" s="1508"/>
      <c r="L2388" s="1508"/>
      <c r="M2388" s="1509">
        <f t="shared" si="329"/>
        <v>0</v>
      </c>
      <c r="N2388" s="1508">
        <f t="shared" si="330"/>
        <v>0</v>
      </c>
    </row>
    <row r="2389" spans="1:14" ht="46.5" outlineLevel="1" x14ac:dyDescent="0.25">
      <c r="A2389" s="1492">
        <f t="shared" si="333"/>
        <v>0</v>
      </c>
      <c r="B2389" s="1492" t="str">
        <f t="shared" si="333"/>
        <v>Replacement of instrument air an service air compressors in Unit 3 &amp; 4, WTP-I with screw type compressors including refrigerant type air dryer system</v>
      </c>
      <c r="C2389" s="1488">
        <f t="shared" si="333"/>
        <v>0</v>
      </c>
      <c r="D2389" s="1413" t="str">
        <f t="shared" si="333"/>
        <v>-</v>
      </c>
      <c r="E2389" s="560">
        <f t="shared" si="333"/>
        <v>6</v>
      </c>
      <c r="F2389" s="1508">
        <f t="shared" si="326"/>
        <v>0</v>
      </c>
      <c r="G2389" s="1508">
        <f t="shared" si="327"/>
        <v>0</v>
      </c>
      <c r="H2389" s="1508">
        <f t="shared" si="328"/>
        <v>0</v>
      </c>
      <c r="I2389" s="1480">
        <v>0</v>
      </c>
      <c r="J2389" s="1480">
        <v>0</v>
      </c>
      <c r="K2389" s="1508"/>
      <c r="L2389" s="1508"/>
      <c r="M2389" s="1509">
        <f t="shared" si="329"/>
        <v>0</v>
      </c>
      <c r="N2389" s="1508">
        <f t="shared" si="330"/>
        <v>0</v>
      </c>
    </row>
    <row r="2390" spans="1:14" ht="31" outlineLevel="1" x14ac:dyDescent="0.25">
      <c r="A2390" s="1492">
        <f t="shared" si="333"/>
        <v>0</v>
      </c>
      <c r="B2390" s="1492" t="str">
        <f t="shared" si="333"/>
        <v>Refurbishment of hydrogen compressors at Hydrogen plant WTP-I</v>
      </c>
      <c r="C2390" s="1488">
        <f t="shared" si="333"/>
        <v>0</v>
      </c>
      <c r="D2390" s="1413" t="str">
        <f t="shared" si="333"/>
        <v>-</v>
      </c>
      <c r="E2390" s="560">
        <f t="shared" si="333"/>
        <v>10</v>
      </c>
      <c r="F2390" s="1508">
        <f t="shared" si="326"/>
        <v>0</v>
      </c>
      <c r="G2390" s="1508">
        <f t="shared" si="327"/>
        <v>0</v>
      </c>
      <c r="H2390" s="1508">
        <f t="shared" si="328"/>
        <v>0</v>
      </c>
      <c r="I2390" s="1480">
        <v>0</v>
      </c>
      <c r="J2390" s="1480">
        <v>0</v>
      </c>
      <c r="K2390" s="1508"/>
      <c r="L2390" s="1508"/>
      <c r="M2390" s="1509">
        <f t="shared" si="329"/>
        <v>0</v>
      </c>
      <c r="N2390" s="1508">
        <f t="shared" si="330"/>
        <v>0</v>
      </c>
    </row>
    <row r="2391" spans="1:14" ht="15.5" outlineLevel="1" x14ac:dyDescent="0.25">
      <c r="A2391" s="1492">
        <f t="shared" si="333"/>
        <v>0</v>
      </c>
      <c r="B2391" s="1492" t="str">
        <f t="shared" si="333"/>
        <v>Replacement of Circulating water pumps in Unit 3 &amp; 4</v>
      </c>
      <c r="C2391" s="1488">
        <f t="shared" si="333"/>
        <v>0</v>
      </c>
      <c r="D2391" s="1413" t="str">
        <f t="shared" si="333"/>
        <v>-</v>
      </c>
      <c r="E2391" s="560">
        <f t="shared" si="333"/>
        <v>10</v>
      </c>
      <c r="F2391" s="1508">
        <f t="shared" si="326"/>
        <v>0</v>
      </c>
      <c r="G2391" s="1508">
        <f t="shared" si="327"/>
        <v>0</v>
      </c>
      <c r="H2391" s="1508">
        <f t="shared" si="328"/>
        <v>0</v>
      </c>
      <c r="I2391" s="1480">
        <v>0</v>
      </c>
      <c r="J2391" s="1480">
        <v>0</v>
      </c>
      <c r="K2391" s="1508"/>
      <c r="L2391" s="1508"/>
      <c r="M2391" s="1509">
        <f t="shared" si="329"/>
        <v>0</v>
      </c>
      <c r="N2391" s="1508">
        <f t="shared" si="330"/>
        <v>0</v>
      </c>
    </row>
    <row r="2392" spans="1:14" ht="15.5" outlineLevel="1" x14ac:dyDescent="0.25">
      <c r="A2392" s="1486">
        <f t="shared" si="333"/>
        <v>3</v>
      </c>
      <c r="B2392" s="1491" t="str">
        <f t="shared" si="333"/>
        <v>Procurment of HP valves, CEP Cartridge, GS pump</v>
      </c>
      <c r="C2392" s="1488">
        <f t="shared" si="333"/>
        <v>0</v>
      </c>
      <c r="D2392" s="1413" t="str">
        <f t="shared" si="333"/>
        <v>-</v>
      </c>
      <c r="E2392" s="560">
        <f t="shared" si="333"/>
        <v>25</v>
      </c>
      <c r="F2392" s="1508">
        <f t="shared" si="326"/>
        <v>0</v>
      </c>
      <c r="G2392" s="1508">
        <f t="shared" si="327"/>
        <v>0</v>
      </c>
      <c r="H2392" s="1508">
        <f t="shared" si="328"/>
        <v>0</v>
      </c>
      <c r="I2392" s="1480">
        <v>0</v>
      </c>
      <c r="J2392" s="1480">
        <v>0</v>
      </c>
      <c r="K2392" s="1508"/>
      <c r="L2392" s="1508"/>
      <c r="M2392" s="1509">
        <f t="shared" si="329"/>
        <v>0</v>
      </c>
      <c r="N2392" s="1508">
        <f t="shared" si="330"/>
        <v>0</v>
      </c>
    </row>
    <row r="2393" spans="1:14" ht="15.5" outlineLevel="1" x14ac:dyDescent="0.25">
      <c r="A2393" s="1492">
        <f t="shared" si="333"/>
        <v>0</v>
      </c>
      <c r="B2393" s="1492" t="str">
        <f t="shared" si="333"/>
        <v>Procurement of HP valves for Unit 3 &amp; 4</v>
      </c>
      <c r="C2393" s="1488">
        <f t="shared" si="333"/>
        <v>0</v>
      </c>
      <c r="D2393" s="1413" t="str">
        <f t="shared" si="333"/>
        <v>-</v>
      </c>
      <c r="E2393" s="560">
        <f t="shared" si="333"/>
        <v>15</v>
      </c>
      <c r="F2393" s="1508">
        <f t="shared" si="326"/>
        <v>0</v>
      </c>
      <c r="G2393" s="1508">
        <f t="shared" si="327"/>
        <v>0</v>
      </c>
      <c r="H2393" s="1508">
        <f t="shared" si="328"/>
        <v>0</v>
      </c>
      <c r="I2393" s="1480">
        <v>0</v>
      </c>
      <c r="J2393" s="1480">
        <v>0</v>
      </c>
      <c r="K2393" s="1508"/>
      <c r="L2393" s="1508"/>
      <c r="M2393" s="1509">
        <f t="shared" si="329"/>
        <v>0</v>
      </c>
      <c r="N2393" s="1508">
        <f t="shared" si="330"/>
        <v>0</v>
      </c>
    </row>
    <row r="2394" spans="1:14" ht="31" outlineLevel="1" x14ac:dyDescent="0.25">
      <c r="A2394" s="1492">
        <f t="shared" si="333"/>
        <v>0</v>
      </c>
      <c r="B2394" s="1492" t="str">
        <f t="shared" si="333"/>
        <v>Procurement cartridges for Condensate extraction pump ( Make KSB WKT 150/7)</v>
      </c>
      <c r="C2394" s="1488">
        <f t="shared" si="333"/>
        <v>0</v>
      </c>
      <c r="D2394" s="1413" t="str">
        <f t="shared" si="333"/>
        <v>-</v>
      </c>
      <c r="E2394" s="560">
        <f t="shared" si="333"/>
        <v>5</v>
      </c>
      <c r="F2394" s="1508">
        <f t="shared" si="326"/>
        <v>0</v>
      </c>
      <c r="G2394" s="1508">
        <f t="shared" si="327"/>
        <v>0</v>
      </c>
      <c r="H2394" s="1508">
        <f t="shared" si="328"/>
        <v>0</v>
      </c>
      <c r="I2394" s="1480">
        <v>0</v>
      </c>
      <c r="J2394" s="1480">
        <v>0</v>
      </c>
      <c r="K2394" s="1508"/>
      <c r="L2394" s="1508"/>
      <c r="M2394" s="1509">
        <f t="shared" si="329"/>
        <v>0</v>
      </c>
      <c r="N2394" s="1508">
        <f t="shared" si="330"/>
        <v>0</v>
      </c>
    </row>
    <row r="2395" spans="1:14" ht="31" outlineLevel="1" x14ac:dyDescent="0.25">
      <c r="A2395" s="1492">
        <f t="shared" si="333"/>
        <v>0</v>
      </c>
      <c r="B2395" s="1492" t="str">
        <f t="shared" si="333"/>
        <v>Procurement of WPIL make GS pump JTC 24E with pipelines and valves for Unit 3 &amp; 4</v>
      </c>
      <c r="C2395" s="1488">
        <f t="shared" si="333"/>
        <v>0</v>
      </c>
      <c r="D2395" s="1413" t="str">
        <f t="shared" si="333"/>
        <v>-</v>
      </c>
      <c r="E2395" s="560">
        <f t="shared" si="333"/>
        <v>5</v>
      </c>
      <c r="F2395" s="1508">
        <f t="shared" si="326"/>
        <v>0</v>
      </c>
      <c r="G2395" s="1508">
        <f t="shared" si="327"/>
        <v>0</v>
      </c>
      <c r="H2395" s="1508">
        <f t="shared" si="328"/>
        <v>0</v>
      </c>
      <c r="I2395" s="1480">
        <v>0</v>
      </c>
      <c r="J2395" s="1480">
        <v>0</v>
      </c>
      <c r="K2395" s="1508"/>
      <c r="L2395" s="1508"/>
      <c r="M2395" s="1509">
        <f t="shared" si="329"/>
        <v>0</v>
      </c>
      <c r="N2395" s="1508">
        <f t="shared" si="330"/>
        <v>0</v>
      </c>
    </row>
    <row r="2396" spans="1:14" ht="15.5" outlineLevel="1" x14ac:dyDescent="0.25">
      <c r="A2396" s="1504">
        <f t="shared" si="333"/>
        <v>0</v>
      </c>
      <c r="B2396" s="1504" t="str">
        <f t="shared" si="333"/>
        <v>Electrical maintenance -I</v>
      </c>
      <c r="C2396" s="1488">
        <f t="shared" si="333"/>
        <v>0</v>
      </c>
      <c r="D2396" s="1413" t="str">
        <f t="shared" si="333"/>
        <v>-</v>
      </c>
      <c r="E2396" s="560">
        <f t="shared" si="333"/>
        <v>0</v>
      </c>
      <c r="F2396" s="1508">
        <f t="shared" si="326"/>
        <v>0</v>
      </c>
      <c r="G2396" s="1508">
        <f t="shared" si="327"/>
        <v>0</v>
      </c>
      <c r="H2396" s="1508">
        <f t="shared" si="328"/>
        <v>0</v>
      </c>
      <c r="I2396" s="1480">
        <v>0</v>
      </c>
      <c r="J2396" s="1480">
        <v>0</v>
      </c>
      <c r="K2396" s="1508"/>
      <c r="L2396" s="1508"/>
      <c r="M2396" s="1509">
        <f t="shared" si="329"/>
        <v>0</v>
      </c>
      <c r="N2396" s="1508">
        <f t="shared" si="330"/>
        <v>0</v>
      </c>
    </row>
    <row r="2397" spans="1:14" ht="31" outlineLevel="1" x14ac:dyDescent="0.25">
      <c r="A2397" s="1486">
        <f t="shared" si="333"/>
        <v>1</v>
      </c>
      <c r="B2397" s="1491" t="str">
        <f t="shared" si="333"/>
        <v>DPR  for colony electrical renovation, switchgear, Energy meter, breaker</v>
      </c>
      <c r="C2397" s="1488">
        <f t="shared" si="333"/>
        <v>0</v>
      </c>
      <c r="D2397" s="1413" t="str">
        <f t="shared" si="333"/>
        <v>-</v>
      </c>
      <c r="E2397" s="560">
        <f t="shared" si="333"/>
        <v>47.3</v>
      </c>
      <c r="F2397" s="1508">
        <f t="shared" si="326"/>
        <v>0</v>
      </c>
      <c r="G2397" s="1508">
        <f t="shared" si="327"/>
        <v>0</v>
      </c>
      <c r="H2397" s="1508">
        <f t="shared" si="328"/>
        <v>0</v>
      </c>
      <c r="I2397" s="1480">
        <v>0</v>
      </c>
      <c r="J2397" s="1480">
        <v>0</v>
      </c>
      <c r="K2397" s="1508"/>
      <c r="L2397" s="1508"/>
      <c r="M2397" s="1509">
        <f t="shared" si="329"/>
        <v>0</v>
      </c>
      <c r="N2397" s="1508">
        <f t="shared" si="330"/>
        <v>0</v>
      </c>
    </row>
    <row r="2398" spans="1:14" ht="15.5" outlineLevel="1" x14ac:dyDescent="0.25">
      <c r="A2398" s="1492">
        <f t="shared" si="333"/>
        <v>0</v>
      </c>
      <c r="B2398" s="1492" t="str">
        <f t="shared" si="333"/>
        <v>Colony electrical renovation</v>
      </c>
      <c r="C2398" s="1488">
        <f t="shared" si="333"/>
        <v>0</v>
      </c>
      <c r="D2398" s="1413" t="str">
        <f t="shared" si="333"/>
        <v>-</v>
      </c>
      <c r="E2398" s="560">
        <f t="shared" si="333"/>
        <v>47.3</v>
      </c>
      <c r="F2398" s="1508">
        <f t="shared" si="326"/>
        <v>0</v>
      </c>
      <c r="G2398" s="1508">
        <f t="shared" si="327"/>
        <v>0</v>
      </c>
      <c r="H2398" s="1508">
        <f t="shared" si="328"/>
        <v>0</v>
      </c>
      <c r="I2398" s="1480">
        <v>7.3</v>
      </c>
      <c r="J2398" s="1480">
        <v>7.3</v>
      </c>
      <c r="K2398" s="1508"/>
      <c r="L2398" s="1508"/>
      <c r="M2398" s="1509">
        <f t="shared" si="329"/>
        <v>7.3</v>
      </c>
      <c r="N2398" s="1508">
        <f t="shared" si="330"/>
        <v>0</v>
      </c>
    </row>
    <row r="2399" spans="1:14" ht="31" outlineLevel="1" x14ac:dyDescent="0.25">
      <c r="A2399" s="1486">
        <f t="shared" si="333"/>
        <v>2</v>
      </c>
      <c r="B2399" s="1491" t="str">
        <f t="shared" si="333"/>
        <v>Electrification and illumination of perimeter wall CSTPS, Chandapur as per IB recomm</v>
      </c>
      <c r="C2399" s="1488">
        <f t="shared" si="333"/>
        <v>0</v>
      </c>
      <c r="D2399" s="1413" t="str">
        <f t="shared" si="333"/>
        <v>-</v>
      </c>
      <c r="E2399" s="560">
        <f t="shared" si="333"/>
        <v>25.679999999999996</v>
      </c>
      <c r="F2399" s="1508">
        <f t="shared" si="326"/>
        <v>0</v>
      </c>
      <c r="G2399" s="1508">
        <f t="shared" si="327"/>
        <v>0</v>
      </c>
      <c r="H2399" s="1508">
        <f t="shared" si="328"/>
        <v>0</v>
      </c>
      <c r="I2399" s="1480">
        <v>0</v>
      </c>
      <c r="J2399" s="1480">
        <v>0</v>
      </c>
      <c r="K2399" s="1508"/>
      <c r="L2399" s="1508"/>
      <c r="M2399" s="1509">
        <f t="shared" si="329"/>
        <v>0</v>
      </c>
      <c r="N2399" s="1508">
        <f t="shared" si="330"/>
        <v>0</v>
      </c>
    </row>
    <row r="2400" spans="1:14" ht="31" outlineLevel="1" x14ac:dyDescent="0.25">
      <c r="A2400" s="1492">
        <f t="shared" si="333"/>
        <v>0</v>
      </c>
      <c r="B2400" s="1492" t="str">
        <f t="shared" si="333"/>
        <v>Electrification and illumination of perimeter wall CSTPS, Chandapur</v>
      </c>
      <c r="C2400" s="1488">
        <f t="shared" si="333"/>
        <v>0</v>
      </c>
      <c r="D2400" s="1413" t="str">
        <f t="shared" si="333"/>
        <v>-</v>
      </c>
      <c r="E2400" s="560">
        <f t="shared" si="333"/>
        <v>12.52</v>
      </c>
      <c r="F2400" s="1508">
        <f t="shared" si="326"/>
        <v>0</v>
      </c>
      <c r="G2400" s="1508">
        <f t="shared" si="327"/>
        <v>0</v>
      </c>
      <c r="H2400" s="1508">
        <f t="shared" si="328"/>
        <v>0</v>
      </c>
      <c r="I2400" s="1480">
        <v>12.52</v>
      </c>
      <c r="J2400" s="1480">
        <v>12.52</v>
      </c>
      <c r="K2400" s="1508"/>
      <c r="L2400" s="1508"/>
      <c r="M2400" s="1509">
        <f t="shared" si="329"/>
        <v>12.52</v>
      </c>
      <c r="N2400" s="1508">
        <f t="shared" si="330"/>
        <v>0</v>
      </c>
    </row>
    <row r="2401" spans="1:14" ht="31" outlineLevel="1" x14ac:dyDescent="0.25">
      <c r="A2401" s="1492">
        <f t="shared" si="333"/>
        <v>0</v>
      </c>
      <c r="B2401" s="1492" t="str">
        <f t="shared" si="333"/>
        <v>Replacement of Distibution board, and switchgear at different areas of plant, colony, Dam</v>
      </c>
      <c r="C2401" s="1488">
        <f t="shared" si="333"/>
        <v>0</v>
      </c>
      <c r="D2401" s="1413" t="str">
        <f t="shared" si="333"/>
        <v>-</v>
      </c>
      <c r="E2401" s="560">
        <f t="shared" si="333"/>
        <v>12.35</v>
      </c>
      <c r="F2401" s="1508">
        <f t="shared" si="326"/>
        <v>0</v>
      </c>
      <c r="G2401" s="1508">
        <f t="shared" si="327"/>
        <v>0</v>
      </c>
      <c r="H2401" s="1508">
        <f t="shared" si="328"/>
        <v>0</v>
      </c>
      <c r="I2401" s="1480">
        <v>2</v>
      </c>
      <c r="J2401" s="1480">
        <v>2</v>
      </c>
      <c r="K2401" s="1508"/>
      <c r="L2401" s="1508"/>
      <c r="M2401" s="1509">
        <f t="shared" si="329"/>
        <v>2</v>
      </c>
      <c r="N2401" s="1508">
        <f t="shared" si="330"/>
        <v>0</v>
      </c>
    </row>
    <row r="2402" spans="1:14" ht="15.5" outlineLevel="1" x14ac:dyDescent="0.25">
      <c r="A2402" s="1492">
        <f t="shared" si="333"/>
        <v>0</v>
      </c>
      <c r="B2402" s="1492" t="str">
        <f t="shared" si="333"/>
        <v>Replacement of Energy meter</v>
      </c>
      <c r="C2402" s="1488">
        <f t="shared" si="333"/>
        <v>0</v>
      </c>
      <c r="D2402" s="1413" t="str">
        <f t="shared" si="333"/>
        <v>-</v>
      </c>
      <c r="E2402" s="560">
        <f t="shared" si="333"/>
        <v>0.81</v>
      </c>
      <c r="F2402" s="1508">
        <f t="shared" si="326"/>
        <v>0</v>
      </c>
      <c r="G2402" s="1508">
        <f t="shared" si="327"/>
        <v>0</v>
      </c>
      <c r="H2402" s="1508">
        <f t="shared" si="328"/>
        <v>0</v>
      </c>
      <c r="I2402" s="1480">
        <v>0.81</v>
      </c>
      <c r="J2402" s="1480">
        <v>0.81</v>
      </c>
      <c r="K2402" s="1508"/>
      <c r="L2402" s="1508"/>
      <c r="M2402" s="1509">
        <f t="shared" si="329"/>
        <v>0.81</v>
      </c>
      <c r="N2402" s="1508">
        <f t="shared" si="330"/>
        <v>0</v>
      </c>
    </row>
    <row r="2403" spans="1:14" ht="31" outlineLevel="1" x14ac:dyDescent="0.25">
      <c r="A2403" s="1486">
        <f t="shared" si="333"/>
        <v>3</v>
      </c>
      <c r="B2403" s="1491" t="str">
        <f t="shared" si="333"/>
        <v>Replacement of 400V, 220V, 50V, 26V batteries and its battery chargers at 210MW, Breakers, VFDs at compressor, Watch Tower</v>
      </c>
      <c r="C2403" s="1488">
        <f t="shared" si="333"/>
        <v>0</v>
      </c>
      <c r="D2403" s="1413" t="str">
        <f t="shared" si="333"/>
        <v>-</v>
      </c>
      <c r="E2403" s="560">
        <f t="shared" si="333"/>
        <v>29</v>
      </c>
      <c r="F2403" s="1508">
        <f t="shared" si="326"/>
        <v>0</v>
      </c>
      <c r="G2403" s="1508">
        <f t="shared" si="327"/>
        <v>0</v>
      </c>
      <c r="H2403" s="1508">
        <f t="shared" si="328"/>
        <v>0</v>
      </c>
      <c r="I2403" s="1480">
        <v>0</v>
      </c>
      <c r="J2403" s="1480">
        <v>0</v>
      </c>
      <c r="K2403" s="1508"/>
      <c r="L2403" s="1508"/>
      <c r="M2403" s="1509">
        <f t="shared" si="329"/>
        <v>0</v>
      </c>
      <c r="N2403" s="1508">
        <f t="shared" si="330"/>
        <v>0</v>
      </c>
    </row>
    <row r="2404" spans="1:14" ht="31" outlineLevel="1" x14ac:dyDescent="0.25">
      <c r="A2404" s="1492">
        <f t="shared" ref="A2404:E2419" si="334">A1734</f>
        <v>0</v>
      </c>
      <c r="B2404" s="1492" t="str">
        <f t="shared" si="334"/>
        <v>Replacement of 400V, 220V, 50V, 26V batteries and its battery chargers at 210MW, CSTPS.</v>
      </c>
      <c r="C2404" s="1488">
        <f t="shared" si="334"/>
        <v>0</v>
      </c>
      <c r="D2404" s="1413" t="str">
        <f t="shared" si="334"/>
        <v>-</v>
      </c>
      <c r="E2404" s="560">
        <f t="shared" si="334"/>
        <v>14</v>
      </c>
      <c r="F2404" s="1508">
        <f t="shared" ref="F2404:F2467" si="335">F1734+I1734</f>
        <v>0</v>
      </c>
      <c r="G2404" s="1508">
        <f t="shared" ref="G2404:G2467" si="336">G1734+M1734</f>
        <v>0</v>
      </c>
      <c r="H2404" s="1508">
        <f t="shared" si="328"/>
        <v>0</v>
      </c>
      <c r="I2404" s="1480">
        <v>14</v>
      </c>
      <c r="J2404" s="1480">
        <v>14</v>
      </c>
      <c r="K2404" s="1508"/>
      <c r="L2404" s="1508"/>
      <c r="M2404" s="1509">
        <f t="shared" si="329"/>
        <v>14</v>
      </c>
      <c r="N2404" s="1508">
        <f t="shared" si="330"/>
        <v>0</v>
      </c>
    </row>
    <row r="2405" spans="1:14" ht="15.5" outlineLevel="1" x14ac:dyDescent="0.25">
      <c r="A2405" s="1492">
        <f t="shared" si="334"/>
        <v>0</v>
      </c>
      <c r="B2405" s="1492" t="str">
        <f t="shared" si="334"/>
        <v>Retrofitting of Breakers</v>
      </c>
      <c r="C2405" s="1488">
        <f t="shared" si="334"/>
        <v>0</v>
      </c>
      <c r="D2405" s="1413" t="str">
        <f t="shared" si="334"/>
        <v>-</v>
      </c>
      <c r="E2405" s="560">
        <f t="shared" si="334"/>
        <v>6.8000000000000007</v>
      </c>
      <c r="F2405" s="1508">
        <f t="shared" si="335"/>
        <v>0</v>
      </c>
      <c r="G2405" s="1508">
        <f t="shared" si="336"/>
        <v>0</v>
      </c>
      <c r="H2405" s="1508">
        <f t="shared" si="328"/>
        <v>0</v>
      </c>
      <c r="I2405" s="1480">
        <v>1.1000000000000001</v>
      </c>
      <c r="J2405" s="1480">
        <v>1.1000000000000001</v>
      </c>
      <c r="K2405" s="1508"/>
      <c r="L2405" s="1508"/>
      <c r="M2405" s="1509">
        <f t="shared" si="329"/>
        <v>1.1000000000000001</v>
      </c>
      <c r="N2405" s="1508">
        <f t="shared" si="330"/>
        <v>0</v>
      </c>
    </row>
    <row r="2406" spans="1:14" ht="31" outlineLevel="1" x14ac:dyDescent="0.25">
      <c r="A2406" s="1492">
        <f t="shared" si="334"/>
        <v>0</v>
      </c>
      <c r="B2406" s="1492" t="str">
        <f t="shared" si="334"/>
        <v>supply, installation and commissioning of VFDs at compressor and of soft starters  for clear water pump  at 210MW, CSTPS.</v>
      </c>
      <c r="C2406" s="1488">
        <f t="shared" si="334"/>
        <v>0</v>
      </c>
      <c r="D2406" s="1413" t="str">
        <f t="shared" si="334"/>
        <v>-</v>
      </c>
      <c r="E2406" s="560">
        <f t="shared" si="334"/>
        <v>1.8</v>
      </c>
      <c r="F2406" s="1508">
        <f t="shared" si="335"/>
        <v>0</v>
      </c>
      <c r="G2406" s="1508">
        <f t="shared" si="336"/>
        <v>0</v>
      </c>
      <c r="H2406" s="1508">
        <f t="shared" si="328"/>
        <v>0</v>
      </c>
      <c r="I2406" s="1480">
        <v>0</v>
      </c>
      <c r="J2406" s="1480">
        <v>0</v>
      </c>
      <c r="K2406" s="1508"/>
      <c r="L2406" s="1508"/>
      <c r="M2406" s="1509">
        <f t="shared" si="329"/>
        <v>0</v>
      </c>
      <c r="N2406" s="1508">
        <f t="shared" si="330"/>
        <v>0</v>
      </c>
    </row>
    <row r="2407" spans="1:14" ht="31" outlineLevel="1" x14ac:dyDescent="0.25">
      <c r="A2407" s="1492">
        <f t="shared" si="334"/>
        <v>0</v>
      </c>
      <c r="B2407" s="1492" t="str">
        <f t="shared" si="334"/>
        <v>Construction of Watch Tower along periphery compound wall as per IB recommendation at CSTPS, Chandrapur</v>
      </c>
      <c r="C2407" s="166">
        <f t="shared" si="334"/>
        <v>0</v>
      </c>
      <c r="D2407" s="1413" t="str">
        <f t="shared" si="334"/>
        <v>-</v>
      </c>
      <c r="E2407" s="560">
        <f t="shared" si="334"/>
        <v>6.4</v>
      </c>
      <c r="F2407" s="1508">
        <f t="shared" si="335"/>
        <v>0</v>
      </c>
      <c r="G2407" s="1508">
        <f t="shared" si="336"/>
        <v>0</v>
      </c>
      <c r="H2407" s="1508">
        <f t="shared" si="328"/>
        <v>0</v>
      </c>
      <c r="I2407" s="1480">
        <v>1.4</v>
      </c>
      <c r="J2407" s="1480">
        <v>1.4</v>
      </c>
      <c r="K2407" s="1508"/>
      <c r="L2407" s="1508"/>
      <c r="M2407" s="1509">
        <f t="shared" si="329"/>
        <v>1.4</v>
      </c>
      <c r="N2407" s="1508">
        <f t="shared" si="330"/>
        <v>0</v>
      </c>
    </row>
    <row r="2408" spans="1:14" ht="15.5" outlineLevel="1" x14ac:dyDescent="0.25">
      <c r="A2408" s="1504">
        <f t="shared" si="334"/>
        <v>0</v>
      </c>
      <c r="B2408" s="1504" t="str">
        <f t="shared" si="334"/>
        <v>TIC</v>
      </c>
      <c r="C2408" s="1488">
        <f t="shared" si="334"/>
        <v>0</v>
      </c>
      <c r="D2408" s="1413" t="str">
        <f t="shared" si="334"/>
        <v>-</v>
      </c>
      <c r="E2408" s="560">
        <f t="shared" si="334"/>
        <v>0</v>
      </c>
      <c r="F2408" s="1508">
        <f t="shared" si="335"/>
        <v>0</v>
      </c>
      <c r="G2408" s="1508">
        <f t="shared" si="336"/>
        <v>0</v>
      </c>
      <c r="H2408" s="1508">
        <f t="shared" si="328"/>
        <v>0</v>
      </c>
      <c r="I2408" s="1480">
        <v>0</v>
      </c>
      <c r="J2408" s="1480">
        <v>0</v>
      </c>
      <c r="K2408" s="1508"/>
      <c r="L2408" s="1508"/>
      <c r="M2408" s="1509">
        <f t="shared" si="329"/>
        <v>0</v>
      </c>
      <c r="N2408" s="1508">
        <f t="shared" si="330"/>
        <v>0</v>
      </c>
    </row>
    <row r="2409" spans="1:14" ht="62" outlineLevel="1" x14ac:dyDescent="0.25">
      <c r="A2409" s="1486">
        <f t="shared" si="334"/>
        <v>1</v>
      </c>
      <c r="B2409" s="1491" t="str">
        <f t="shared" si="334"/>
        <v xml:space="preserve">Up-gradation of complete Instrumentation System including  FSSS System , Soot Blower System, Station C &amp;I System ,Turbine protection system, Turbovisory, HP/LP and PRDS at CSTPS Unit # 3&amp;4 (210 MW) </v>
      </c>
      <c r="C2409" s="1488">
        <f t="shared" si="334"/>
        <v>0</v>
      </c>
      <c r="D2409" s="1413" t="str">
        <f t="shared" si="334"/>
        <v>-</v>
      </c>
      <c r="E2409" s="560">
        <f t="shared" si="334"/>
        <v>48.607999999999997</v>
      </c>
      <c r="F2409" s="1508">
        <f t="shared" si="335"/>
        <v>0</v>
      </c>
      <c r="G2409" s="1508">
        <f t="shared" si="336"/>
        <v>0</v>
      </c>
      <c r="H2409" s="1508">
        <f t="shared" si="328"/>
        <v>0</v>
      </c>
      <c r="I2409" s="1480">
        <v>0</v>
      </c>
      <c r="J2409" s="1480">
        <v>0</v>
      </c>
      <c r="K2409" s="1508"/>
      <c r="L2409" s="1508"/>
      <c r="M2409" s="1509">
        <f t="shared" si="329"/>
        <v>0</v>
      </c>
      <c r="N2409" s="1508">
        <f t="shared" si="330"/>
        <v>0</v>
      </c>
    </row>
    <row r="2410" spans="1:14" ht="62" outlineLevel="1" x14ac:dyDescent="0.25">
      <c r="A2410" s="1492">
        <f t="shared" si="334"/>
        <v>0</v>
      </c>
      <c r="B2410" s="1492" t="str">
        <f t="shared" si="334"/>
        <v>Up-gradation of complete Instrumentation System including  FSSS System , Soot Blower System, Station C &amp;I System ,Turbine protection system, Turbovisory, HP/LP and PRDS at CSTPS Unit # 3&amp;4 (210 MW)</v>
      </c>
      <c r="C2410" s="1488">
        <f t="shared" si="334"/>
        <v>0</v>
      </c>
      <c r="D2410" s="1413" t="str">
        <f t="shared" si="334"/>
        <v>-</v>
      </c>
      <c r="E2410" s="560">
        <f t="shared" si="334"/>
        <v>48.607999999999997</v>
      </c>
      <c r="F2410" s="1508">
        <f t="shared" si="335"/>
        <v>0</v>
      </c>
      <c r="G2410" s="1508">
        <f t="shared" si="336"/>
        <v>0</v>
      </c>
      <c r="H2410" s="1508">
        <f t="shared" si="328"/>
        <v>0</v>
      </c>
      <c r="I2410" s="1480">
        <v>0</v>
      </c>
      <c r="J2410" s="1480">
        <v>0</v>
      </c>
      <c r="K2410" s="1508"/>
      <c r="L2410" s="1508"/>
      <c r="M2410" s="1509">
        <f t="shared" si="329"/>
        <v>0</v>
      </c>
      <c r="N2410" s="1508">
        <f t="shared" si="330"/>
        <v>0</v>
      </c>
    </row>
    <row r="2411" spans="1:14" ht="62" outlineLevel="1" x14ac:dyDescent="0.25">
      <c r="A2411" s="1486">
        <f t="shared" si="334"/>
        <v>2</v>
      </c>
      <c r="B2411" s="1491" t="str">
        <f t="shared" si="334"/>
        <v>Retrofitting/Upgradation of critical control loops by multiloop programmable controllers at Unit #3 &amp; 4, Upgradation of old ACS, PLC, SCADA WTP, FBTS, WTP measuring and instrumentation &amp; other WTP improvement schemes</v>
      </c>
      <c r="C2411" s="1488">
        <f t="shared" si="334"/>
        <v>0</v>
      </c>
      <c r="D2411" s="1413" t="str">
        <f t="shared" si="334"/>
        <v>-</v>
      </c>
      <c r="E2411" s="560">
        <f t="shared" si="334"/>
        <v>25.39</v>
      </c>
      <c r="F2411" s="1508">
        <f t="shared" si="335"/>
        <v>0</v>
      </c>
      <c r="G2411" s="1508">
        <f t="shared" si="336"/>
        <v>0</v>
      </c>
      <c r="H2411" s="1508">
        <f t="shared" si="328"/>
        <v>0</v>
      </c>
      <c r="I2411" s="1480">
        <v>0</v>
      </c>
      <c r="J2411" s="1480">
        <v>0</v>
      </c>
      <c r="K2411" s="1508"/>
      <c r="L2411" s="1508"/>
      <c r="M2411" s="1509">
        <f t="shared" si="329"/>
        <v>0</v>
      </c>
      <c r="N2411" s="1508">
        <f t="shared" si="330"/>
        <v>0</v>
      </c>
    </row>
    <row r="2412" spans="1:14" ht="31" outlineLevel="1" x14ac:dyDescent="0.25">
      <c r="A2412" s="1492">
        <f t="shared" si="334"/>
        <v>0</v>
      </c>
      <c r="B2412" s="1492" t="str">
        <f t="shared" si="334"/>
        <v>Retrofitting/Upgradation of critical control loops by multiloop programmable controllers at Unit #3 &amp; 4 CSTPS,Chandrapur.</v>
      </c>
      <c r="C2412" s="1488">
        <f t="shared" si="334"/>
        <v>0</v>
      </c>
      <c r="D2412" s="1413" t="str">
        <f t="shared" si="334"/>
        <v>-</v>
      </c>
      <c r="E2412" s="560">
        <f t="shared" si="334"/>
        <v>6</v>
      </c>
      <c r="F2412" s="1508">
        <f t="shared" si="335"/>
        <v>0</v>
      </c>
      <c r="G2412" s="1508">
        <f t="shared" si="336"/>
        <v>0</v>
      </c>
      <c r="H2412" s="1508">
        <f t="shared" si="328"/>
        <v>0</v>
      </c>
      <c r="I2412" s="1480">
        <v>0</v>
      </c>
      <c r="J2412" s="1480">
        <v>0</v>
      </c>
      <c r="K2412" s="1508"/>
      <c r="L2412" s="1508"/>
      <c r="M2412" s="1509">
        <f t="shared" si="329"/>
        <v>0</v>
      </c>
      <c r="N2412" s="1508">
        <f t="shared" si="330"/>
        <v>0</v>
      </c>
    </row>
    <row r="2413" spans="1:14" ht="31" outlineLevel="1" x14ac:dyDescent="0.25">
      <c r="A2413" s="1492">
        <f t="shared" si="334"/>
        <v>0</v>
      </c>
      <c r="B2413" s="1492" t="str">
        <f t="shared" si="334"/>
        <v>Upgradation of Old control system with PLC and SCADA at WTP  Stg-I of U# 3,4, 8 and 9, CSTPS, Chandrapur.</v>
      </c>
      <c r="C2413" s="1488">
        <f t="shared" si="334"/>
        <v>0</v>
      </c>
      <c r="D2413" s="1413" t="str">
        <f t="shared" si="334"/>
        <v>-</v>
      </c>
      <c r="E2413" s="560">
        <f t="shared" si="334"/>
        <v>3.89</v>
      </c>
      <c r="F2413" s="1508">
        <f t="shared" si="335"/>
        <v>0</v>
      </c>
      <c r="G2413" s="1508">
        <f t="shared" si="336"/>
        <v>0</v>
      </c>
      <c r="H2413" s="1508">
        <f t="shared" si="328"/>
        <v>0</v>
      </c>
      <c r="I2413" s="1480">
        <v>0</v>
      </c>
      <c r="J2413" s="1480">
        <v>0</v>
      </c>
      <c r="K2413" s="1508"/>
      <c r="L2413" s="1508"/>
      <c r="M2413" s="1509">
        <f t="shared" si="329"/>
        <v>0</v>
      </c>
      <c r="N2413" s="1508">
        <f t="shared" si="330"/>
        <v>0</v>
      </c>
    </row>
    <row r="2414" spans="1:14" ht="46.5" outlineLevel="1" x14ac:dyDescent="0.25">
      <c r="A2414" s="1492">
        <f t="shared" si="334"/>
        <v>0</v>
      </c>
      <c r="B2414" s="1492" t="str">
        <f t="shared" si="334"/>
        <v xml:space="preserve">Supply &amp; commissioning of advanced Microprocessor based Fast Bus Transfer Scheme for Stage-II Unit 3&amp;4, CSTPS, Chandrapur. </v>
      </c>
      <c r="C2414" s="1488">
        <f t="shared" si="334"/>
        <v>0</v>
      </c>
      <c r="D2414" s="1413" t="str">
        <f t="shared" si="334"/>
        <v>-</v>
      </c>
      <c r="E2414" s="560">
        <f t="shared" si="334"/>
        <v>3</v>
      </c>
      <c r="F2414" s="1508">
        <f t="shared" si="335"/>
        <v>0</v>
      </c>
      <c r="G2414" s="1508">
        <f t="shared" si="336"/>
        <v>0</v>
      </c>
      <c r="H2414" s="1508">
        <f t="shared" si="328"/>
        <v>0</v>
      </c>
      <c r="I2414" s="1480">
        <v>0</v>
      </c>
      <c r="J2414" s="1480">
        <v>0</v>
      </c>
      <c r="K2414" s="1508"/>
      <c r="L2414" s="1508"/>
      <c r="M2414" s="1509">
        <f t="shared" si="329"/>
        <v>0</v>
      </c>
      <c r="N2414" s="1508">
        <f t="shared" si="330"/>
        <v>0</v>
      </c>
    </row>
    <row r="2415" spans="1:14" ht="31" outlineLevel="1" x14ac:dyDescent="0.25">
      <c r="A2415" s="1492">
        <f t="shared" si="334"/>
        <v>0</v>
      </c>
      <c r="B2415" s="1492" t="str">
        <f t="shared" si="334"/>
        <v>Upgradation of Measuring &amp; Instrumentation of  WTP  Stg-I of U# 3,4, 8 and 9, CSTPS, Chandrapur.</v>
      </c>
      <c r="C2415" s="1488">
        <f t="shared" si="334"/>
        <v>0</v>
      </c>
      <c r="D2415" s="1413" t="str">
        <f t="shared" si="334"/>
        <v>-</v>
      </c>
      <c r="E2415" s="560">
        <f t="shared" si="334"/>
        <v>3.5</v>
      </c>
      <c r="F2415" s="1508">
        <f t="shared" si="335"/>
        <v>0</v>
      </c>
      <c r="G2415" s="1508">
        <f t="shared" si="336"/>
        <v>0</v>
      </c>
      <c r="H2415" s="1508">
        <f t="shared" si="328"/>
        <v>0</v>
      </c>
      <c r="I2415" s="1480">
        <v>0</v>
      </c>
      <c r="J2415" s="1480">
        <v>0</v>
      </c>
      <c r="K2415" s="1508"/>
      <c r="L2415" s="1508"/>
      <c r="M2415" s="1509">
        <f t="shared" si="329"/>
        <v>0</v>
      </c>
      <c r="N2415" s="1508">
        <f t="shared" si="330"/>
        <v>0</v>
      </c>
    </row>
    <row r="2416" spans="1:14" ht="31" outlineLevel="1" x14ac:dyDescent="0.25">
      <c r="A2416" s="1492">
        <f t="shared" si="334"/>
        <v>0</v>
      </c>
      <c r="B2416" s="1492" t="str">
        <f t="shared" si="334"/>
        <v>Upgradation of Ash Level Monitoring System at ESP/Eco / AHP Ash Hoppers at U# 3,4 CSTPS, Chandrapur.</v>
      </c>
      <c r="C2416" s="1488">
        <f t="shared" si="334"/>
        <v>0</v>
      </c>
      <c r="D2416" s="1413" t="str">
        <f t="shared" si="334"/>
        <v>-</v>
      </c>
      <c r="E2416" s="560">
        <f t="shared" si="334"/>
        <v>3</v>
      </c>
      <c r="F2416" s="1508">
        <f t="shared" si="335"/>
        <v>0</v>
      </c>
      <c r="G2416" s="1508">
        <f t="shared" si="336"/>
        <v>0</v>
      </c>
      <c r="H2416" s="1508">
        <f t="shared" si="328"/>
        <v>0</v>
      </c>
      <c r="I2416" s="1480">
        <v>0</v>
      </c>
      <c r="J2416" s="1480">
        <v>0</v>
      </c>
      <c r="K2416" s="1508"/>
      <c r="L2416" s="1508"/>
      <c r="M2416" s="1509">
        <f t="shared" si="329"/>
        <v>0</v>
      </c>
      <c r="N2416" s="1508">
        <f t="shared" si="330"/>
        <v>0</v>
      </c>
    </row>
    <row r="2417" spans="1:14" ht="31" outlineLevel="1" x14ac:dyDescent="0.25">
      <c r="A2417" s="1492">
        <f t="shared" si="334"/>
        <v>0</v>
      </c>
      <c r="B2417" s="1492" t="str">
        <f t="shared" si="334"/>
        <v>Upgradation of Obsolete Electromechanical Protection Relays to advanced Numeric Relays Installed at WTP - I</v>
      </c>
      <c r="C2417" s="1488">
        <f t="shared" si="334"/>
        <v>0</v>
      </c>
      <c r="D2417" s="1413" t="str">
        <f t="shared" si="334"/>
        <v>-</v>
      </c>
      <c r="E2417" s="560">
        <f t="shared" si="334"/>
        <v>3</v>
      </c>
      <c r="F2417" s="1508">
        <f t="shared" si="335"/>
        <v>0</v>
      </c>
      <c r="G2417" s="1508">
        <f t="shared" si="336"/>
        <v>0</v>
      </c>
      <c r="H2417" s="1508">
        <f t="shared" si="328"/>
        <v>0</v>
      </c>
      <c r="I2417" s="1480">
        <v>0</v>
      </c>
      <c r="J2417" s="1480">
        <v>0</v>
      </c>
      <c r="K2417" s="1508"/>
      <c r="L2417" s="1508"/>
      <c r="M2417" s="1509">
        <f t="shared" si="329"/>
        <v>0</v>
      </c>
      <c r="N2417" s="1508">
        <f t="shared" si="330"/>
        <v>0</v>
      </c>
    </row>
    <row r="2418" spans="1:14" ht="31" outlineLevel="1" x14ac:dyDescent="0.25">
      <c r="A2418" s="1492">
        <f t="shared" si="334"/>
        <v>0</v>
      </c>
      <c r="B2418" s="1492" t="str">
        <f t="shared" si="334"/>
        <v>Upgardation of BPF Scoop with electrical actuators at U#3 &amp; 4 CSTPS, Chandrapur.</v>
      </c>
      <c r="C2418" s="1488">
        <f t="shared" si="334"/>
        <v>0</v>
      </c>
      <c r="D2418" s="1413" t="str">
        <f t="shared" si="334"/>
        <v>-</v>
      </c>
      <c r="E2418" s="560">
        <f t="shared" si="334"/>
        <v>3</v>
      </c>
      <c r="F2418" s="1508">
        <f t="shared" si="335"/>
        <v>0</v>
      </c>
      <c r="G2418" s="1508">
        <f t="shared" si="336"/>
        <v>0</v>
      </c>
      <c r="H2418" s="1508">
        <f t="shared" ref="H2418:H2481" si="337">F2418-G2418</f>
        <v>0</v>
      </c>
      <c r="I2418" s="1480">
        <v>0</v>
      </c>
      <c r="J2418" s="1480">
        <v>0</v>
      </c>
      <c r="K2418" s="1508"/>
      <c r="L2418" s="1508"/>
      <c r="M2418" s="1509">
        <f t="shared" ref="M2418:M2481" si="338">SUM(J2418:L2418)</f>
        <v>0</v>
      </c>
      <c r="N2418" s="1508">
        <f t="shared" ref="N2418:N2481" si="339">H2418+I2418-M2418</f>
        <v>0</v>
      </c>
    </row>
    <row r="2419" spans="1:14" ht="31" outlineLevel="1" x14ac:dyDescent="0.25">
      <c r="A2419" s="1486">
        <f t="shared" si="334"/>
        <v>3</v>
      </c>
      <c r="B2419" s="1491" t="str">
        <f t="shared" si="334"/>
        <v xml:space="preserve">Upgradation of Measuring Instruments, Final Control Elements and Control System for Unit #3/4, WTP, AHP CSTPS Chandrapur </v>
      </c>
      <c r="C2419" s="1488">
        <f t="shared" si="334"/>
        <v>0</v>
      </c>
      <c r="D2419" s="1413" t="str">
        <f t="shared" si="334"/>
        <v>-</v>
      </c>
      <c r="E2419" s="560">
        <f t="shared" si="334"/>
        <v>30</v>
      </c>
      <c r="F2419" s="1508">
        <f t="shared" si="335"/>
        <v>0</v>
      </c>
      <c r="G2419" s="1508">
        <f t="shared" si="336"/>
        <v>0</v>
      </c>
      <c r="H2419" s="1508">
        <f t="shared" si="337"/>
        <v>0</v>
      </c>
      <c r="I2419" s="1480">
        <v>0</v>
      </c>
      <c r="J2419" s="1480">
        <v>0</v>
      </c>
      <c r="K2419" s="1508"/>
      <c r="L2419" s="1508"/>
      <c r="M2419" s="1509">
        <f t="shared" si="338"/>
        <v>0</v>
      </c>
      <c r="N2419" s="1508">
        <f t="shared" si="339"/>
        <v>0</v>
      </c>
    </row>
    <row r="2420" spans="1:14" ht="31" outlineLevel="1" x14ac:dyDescent="0.25">
      <c r="A2420" s="1492">
        <f t="shared" ref="A2420:E2435" si="340">A1750</f>
        <v>0</v>
      </c>
      <c r="B2420" s="1492" t="str">
        <f t="shared" si="340"/>
        <v xml:space="preserve">Upgradation of Measuring Instruments, Final Control Elements and Control System for Unit #3/4, WTP, AHP CSTPS Chandrapur </v>
      </c>
      <c r="C2420" s="1488">
        <f t="shared" si="340"/>
        <v>0</v>
      </c>
      <c r="D2420" s="1413" t="str">
        <f t="shared" si="340"/>
        <v>-</v>
      </c>
      <c r="E2420" s="560">
        <f t="shared" si="340"/>
        <v>30</v>
      </c>
      <c r="F2420" s="1508">
        <f t="shared" si="335"/>
        <v>0</v>
      </c>
      <c r="G2420" s="1508">
        <f t="shared" si="336"/>
        <v>0</v>
      </c>
      <c r="H2420" s="1508">
        <f t="shared" si="337"/>
        <v>0</v>
      </c>
      <c r="I2420" s="1480">
        <v>0</v>
      </c>
      <c r="J2420" s="1480">
        <v>0</v>
      </c>
      <c r="K2420" s="1508"/>
      <c r="L2420" s="1508"/>
      <c r="M2420" s="1509">
        <f t="shared" si="338"/>
        <v>0</v>
      </c>
      <c r="N2420" s="1508">
        <f t="shared" si="339"/>
        <v>0</v>
      </c>
    </row>
    <row r="2421" spans="1:14" ht="31" outlineLevel="1" x14ac:dyDescent="0.25">
      <c r="A2421" s="1486">
        <f t="shared" si="340"/>
        <v>4</v>
      </c>
      <c r="B2421" s="1491" t="str">
        <f t="shared" si="340"/>
        <v>Installation Errection and commissioning of Solar System for Electrical Suppy to CSTPS Colony.</v>
      </c>
      <c r="C2421" s="1488">
        <f t="shared" si="340"/>
        <v>0</v>
      </c>
      <c r="D2421" s="1413" t="str">
        <f t="shared" si="340"/>
        <v>-</v>
      </c>
      <c r="E2421" s="560">
        <f t="shared" si="340"/>
        <v>60</v>
      </c>
      <c r="F2421" s="1508">
        <f t="shared" si="335"/>
        <v>0</v>
      </c>
      <c r="G2421" s="1508">
        <f t="shared" si="336"/>
        <v>0</v>
      </c>
      <c r="H2421" s="1508">
        <f t="shared" si="337"/>
        <v>0</v>
      </c>
      <c r="I2421" s="1480">
        <v>0</v>
      </c>
      <c r="J2421" s="1480">
        <v>0</v>
      </c>
      <c r="K2421" s="1508"/>
      <c r="L2421" s="1508"/>
      <c r="M2421" s="1509">
        <f t="shared" si="338"/>
        <v>0</v>
      </c>
      <c r="N2421" s="1508">
        <f t="shared" si="339"/>
        <v>0</v>
      </c>
    </row>
    <row r="2422" spans="1:14" ht="31" outlineLevel="1" x14ac:dyDescent="0.25">
      <c r="A2422" s="1492">
        <f t="shared" si="340"/>
        <v>0</v>
      </c>
      <c r="B2422" s="1492" t="str">
        <f t="shared" si="340"/>
        <v>Installation Errection and commissioning of Solar System for Electrical Suppy to CSTPS Colony.</v>
      </c>
      <c r="C2422" s="1488">
        <f t="shared" si="340"/>
        <v>0</v>
      </c>
      <c r="D2422" s="1413" t="str">
        <f t="shared" si="340"/>
        <v>-</v>
      </c>
      <c r="E2422" s="560">
        <f t="shared" si="340"/>
        <v>60</v>
      </c>
      <c r="F2422" s="1508">
        <f t="shared" si="335"/>
        <v>0</v>
      </c>
      <c r="G2422" s="1508">
        <f t="shared" si="336"/>
        <v>0</v>
      </c>
      <c r="H2422" s="1508">
        <f t="shared" si="337"/>
        <v>0</v>
      </c>
      <c r="I2422" s="1480">
        <v>0</v>
      </c>
      <c r="J2422" s="1480">
        <v>0</v>
      </c>
      <c r="K2422" s="1508"/>
      <c r="L2422" s="1508"/>
      <c r="M2422" s="1509">
        <f t="shared" si="338"/>
        <v>0</v>
      </c>
      <c r="N2422" s="1508">
        <f t="shared" si="339"/>
        <v>0</v>
      </c>
    </row>
    <row r="2423" spans="1:14" ht="15.5" outlineLevel="1" x14ac:dyDescent="0.25">
      <c r="A2423" s="1486">
        <f t="shared" si="340"/>
        <v>5</v>
      </c>
      <c r="B2423" s="1491" t="str">
        <f t="shared" si="340"/>
        <v>Rejuvenation of WTP-I</v>
      </c>
      <c r="C2423" s="1488">
        <f t="shared" si="340"/>
        <v>0</v>
      </c>
      <c r="D2423" s="1413" t="str">
        <f t="shared" si="340"/>
        <v>-</v>
      </c>
      <c r="E2423" s="560">
        <f t="shared" si="340"/>
        <v>26.4</v>
      </c>
      <c r="F2423" s="1508">
        <f t="shared" si="335"/>
        <v>0</v>
      </c>
      <c r="G2423" s="1508">
        <f t="shared" si="336"/>
        <v>0</v>
      </c>
      <c r="H2423" s="1508">
        <f t="shared" si="337"/>
        <v>0</v>
      </c>
      <c r="I2423" s="1480">
        <v>0</v>
      </c>
      <c r="J2423" s="1480">
        <v>0</v>
      </c>
      <c r="K2423" s="1508"/>
      <c r="L2423" s="1508"/>
      <c r="M2423" s="1509">
        <f t="shared" si="338"/>
        <v>0</v>
      </c>
      <c r="N2423" s="1508">
        <f t="shared" si="339"/>
        <v>0</v>
      </c>
    </row>
    <row r="2424" spans="1:14" ht="31" outlineLevel="1" x14ac:dyDescent="0.25">
      <c r="A2424" s="1492">
        <f t="shared" si="340"/>
        <v>0</v>
      </c>
      <c r="B2424" s="1492" t="str">
        <f t="shared" si="340"/>
        <v>Repairing rejuvenation with upgradation of rapid gravity sand filters under drain system.</v>
      </c>
      <c r="C2424" s="1488">
        <f t="shared" si="340"/>
        <v>0</v>
      </c>
      <c r="D2424" s="1413" t="str">
        <f t="shared" si="340"/>
        <v>-</v>
      </c>
      <c r="E2424" s="560">
        <f t="shared" si="340"/>
        <v>8.1999999999999993</v>
      </c>
      <c r="F2424" s="1508">
        <f t="shared" si="335"/>
        <v>0</v>
      </c>
      <c r="G2424" s="1508">
        <f t="shared" si="336"/>
        <v>0</v>
      </c>
      <c r="H2424" s="1508">
        <f t="shared" si="337"/>
        <v>0</v>
      </c>
      <c r="I2424" s="1480">
        <v>0</v>
      </c>
      <c r="J2424" s="1480">
        <v>0</v>
      </c>
      <c r="K2424" s="1508"/>
      <c r="L2424" s="1508"/>
      <c r="M2424" s="1509">
        <f t="shared" si="338"/>
        <v>0</v>
      </c>
      <c r="N2424" s="1508">
        <f t="shared" si="339"/>
        <v>0</v>
      </c>
    </row>
    <row r="2425" spans="1:14" ht="31" outlineLevel="1" x14ac:dyDescent="0.25">
      <c r="A2425" s="1492">
        <f t="shared" si="340"/>
        <v>0</v>
      </c>
      <c r="B2425" s="1492" t="str">
        <f t="shared" si="340"/>
        <v>Repairing &amp; reconditioning of NDM clarifier of 27 Mtr dia &amp; DM clarifier of 15 mtr dia.</v>
      </c>
      <c r="C2425" s="1488">
        <f t="shared" si="340"/>
        <v>0</v>
      </c>
      <c r="D2425" s="1413" t="str">
        <f t="shared" si="340"/>
        <v>-</v>
      </c>
      <c r="E2425" s="560">
        <f t="shared" si="340"/>
        <v>2.4500000000000002</v>
      </c>
      <c r="F2425" s="1508">
        <f t="shared" si="335"/>
        <v>0</v>
      </c>
      <c r="G2425" s="1508">
        <f t="shared" si="336"/>
        <v>0</v>
      </c>
      <c r="H2425" s="1508">
        <f t="shared" si="337"/>
        <v>0</v>
      </c>
      <c r="I2425" s="1480">
        <v>0</v>
      </c>
      <c r="J2425" s="1480">
        <v>0</v>
      </c>
      <c r="K2425" s="1508"/>
      <c r="L2425" s="1508"/>
      <c r="M2425" s="1509">
        <f t="shared" si="338"/>
        <v>0</v>
      </c>
      <c r="N2425" s="1508">
        <f t="shared" si="339"/>
        <v>0</v>
      </c>
    </row>
    <row r="2426" spans="1:14" ht="31" outlineLevel="1" x14ac:dyDescent="0.25">
      <c r="A2426" s="1492">
        <f t="shared" si="340"/>
        <v>0</v>
      </c>
      <c r="B2426" s="1492" t="str">
        <f t="shared" si="340"/>
        <v>Repairing &amp; reconditioning of ion exchanger vessels of DM plant stream (PF,ACF,SAC,WBA,SBA,MB &amp;Degassor)</v>
      </c>
      <c r="C2426" s="1488">
        <f t="shared" si="340"/>
        <v>0</v>
      </c>
      <c r="D2426" s="1413" t="str">
        <f t="shared" si="340"/>
        <v>-</v>
      </c>
      <c r="E2426" s="560">
        <f t="shared" si="340"/>
        <v>15.75</v>
      </c>
      <c r="F2426" s="1508">
        <f t="shared" si="335"/>
        <v>0</v>
      </c>
      <c r="G2426" s="1508">
        <f t="shared" si="336"/>
        <v>0</v>
      </c>
      <c r="H2426" s="1508">
        <f t="shared" si="337"/>
        <v>0</v>
      </c>
      <c r="I2426" s="1480">
        <v>0</v>
      </c>
      <c r="J2426" s="1480">
        <v>0</v>
      </c>
      <c r="K2426" s="1508"/>
      <c r="L2426" s="1508"/>
      <c r="M2426" s="1509">
        <f t="shared" si="338"/>
        <v>0</v>
      </c>
      <c r="N2426" s="1508">
        <f t="shared" si="339"/>
        <v>0</v>
      </c>
    </row>
    <row r="2427" spans="1:14" ht="15.5" outlineLevel="1" x14ac:dyDescent="0.25">
      <c r="A2427" s="1504">
        <f t="shared" si="340"/>
        <v>0</v>
      </c>
      <c r="B2427" s="1504" t="str">
        <f t="shared" si="340"/>
        <v>CHP-A</v>
      </c>
      <c r="C2427" s="1488">
        <f t="shared" si="340"/>
        <v>0</v>
      </c>
      <c r="D2427" s="1413" t="str">
        <f t="shared" si="340"/>
        <v>-</v>
      </c>
      <c r="E2427" s="560">
        <f t="shared" si="340"/>
        <v>0</v>
      </c>
      <c r="F2427" s="1508">
        <f t="shared" si="335"/>
        <v>0</v>
      </c>
      <c r="G2427" s="1508">
        <f t="shared" si="336"/>
        <v>0</v>
      </c>
      <c r="H2427" s="1508">
        <f t="shared" si="337"/>
        <v>0</v>
      </c>
      <c r="I2427" s="1480">
        <v>0</v>
      </c>
      <c r="J2427" s="1480">
        <v>0</v>
      </c>
      <c r="K2427" s="1508"/>
      <c r="L2427" s="1508"/>
      <c r="M2427" s="1509">
        <f t="shared" si="338"/>
        <v>0</v>
      </c>
      <c r="N2427" s="1508">
        <f t="shared" si="339"/>
        <v>0</v>
      </c>
    </row>
    <row r="2428" spans="1:14" ht="31" outlineLevel="1" x14ac:dyDescent="0.25">
      <c r="A2428" s="1486">
        <f t="shared" si="340"/>
        <v>1</v>
      </c>
      <c r="B2428" s="1491" t="str">
        <f t="shared" si="340"/>
        <v>Proc of Loco, Bulldozer, &amp; upgradation of Wagon Tippler, Stacker, Wing Tripper &amp; installation of  Dust Extraction system</v>
      </c>
      <c r="C2428" s="1488">
        <f t="shared" si="340"/>
        <v>0</v>
      </c>
      <c r="D2428" s="1413" t="str">
        <f t="shared" si="340"/>
        <v>-</v>
      </c>
      <c r="E2428" s="560">
        <f t="shared" si="340"/>
        <v>58</v>
      </c>
      <c r="F2428" s="1508">
        <f t="shared" si="335"/>
        <v>0</v>
      </c>
      <c r="G2428" s="1508">
        <f t="shared" si="336"/>
        <v>0</v>
      </c>
      <c r="H2428" s="1508">
        <f t="shared" si="337"/>
        <v>0</v>
      </c>
      <c r="I2428" s="1480">
        <v>0</v>
      </c>
      <c r="J2428" s="1480">
        <v>0</v>
      </c>
      <c r="K2428" s="1508"/>
      <c r="L2428" s="1508"/>
      <c r="M2428" s="1509">
        <f t="shared" si="338"/>
        <v>0</v>
      </c>
      <c r="N2428" s="1508">
        <f t="shared" si="339"/>
        <v>0</v>
      </c>
    </row>
    <row r="2429" spans="1:14" ht="31" outlineLevel="1" x14ac:dyDescent="0.25">
      <c r="A2429" s="1492">
        <f t="shared" si="340"/>
        <v>0</v>
      </c>
      <c r="B2429" s="1492" t="str">
        <f t="shared" si="340"/>
        <v>Procurement of 2 numbers WDG-3A Locomotives and 4 numbers Bulldozers</v>
      </c>
      <c r="C2429" s="1488">
        <f t="shared" si="340"/>
        <v>0</v>
      </c>
      <c r="D2429" s="1413" t="str">
        <f t="shared" si="340"/>
        <v>-</v>
      </c>
      <c r="E2429" s="560">
        <f t="shared" si="340"/>
        <v>38</v>
      </c>
      <c r="F2429" s="1508">
        <f t="shared" si="335"/>
        <v>0</v>
      </c>
      <c r="G2429" s="1508">
        <f t="shared" si="336"/>
        <v>0</v>
      </c>
      <c r="H2429" s="1508">
        <f t="shared" si="337"/>
        <v>0</v>
      </c>
      <c r="I2429" s="1480">
        <v>38</v>
      </c>
      <c r="J2429" s="1480">
        <v>38</v>
      </c>
      <c r="K2429" s="1508"/>
      <c r="L2429" s="1508"/>
      <c r="M2429" s="1509">
        <f t="shared" si="338"/>
        <v>38</v>
      </c>
      <c r="N2429" s="1508">
        <f t="shared" si="339"/>
        <v>0</v>
      </c>
    </row>
    <row r="2430" spans="1:14" ht="31" outlineLevel="1" x14ac:dyDescent="0.25">
      <c r="A2430" s="1492">
        <f t="shared" si="340"/>
        <v>0</v>
      </c>
      <c r="B2430" s="1492" t="str">
        <f t="shared" si="340"/>
        <v>Upgradation of Wagon Tipplers, Stacker Reclaimer Machine and Wing Tripper at CHP-A</v>
      </c>
      <c r="C2430" s="1488">
        <f t="shared" si="340"/>
        <v>0</v>
      </c>
      <c r="D2430" s="1413" t="str">
        <f t="shared" si="340"/>
        <v>-</v>
      </c>
      <c r="E2430" s="560">
        <f t="shared" si="340"/>
        <v>15</v>
      </c>
      <c r="F2430" s="1508">
        <f t="shared" si="335"/>
        <v>0</v>
      </c>
      <c r="G2430" s="1508">
        <f t="shared" si="336"/>
        <v>0</v>
      </c>
      <c r="H2430" s="1508">
        <f t="shared" si="337"/>
        <v>0</v>
      </c>
      <c r="I2430" s="1480">
        <v>15</v>
      </c>
      <c r="J2430" s="1480">
        <v>15</v>
      </c>
      <c r="K2430" s="1508"/>
      <c r="L2430" s="1508"/>
      <c r="M2430" s="1509">
        <f t="shared" si="338"/>
        <v>15</v>
      </c>
      <c r="N2430" s="1508">
        <f t="shared" si="339"/>
        <v>0</v>
      </c>
    </row>
    <row r="2431" spans="1:14" ht="31" outlineLevel="1" x14ac:dyDescent="0.25">
      <c r="A2431" s="1492">
        <f t="shared" si="340"/>
        <v>0</v>
      </c>
      <c r="B2431" s="1492" t="str">
        <f t="shared" si="340"/>
        <v>Installation of Dust Extraction system at Bunker and SCR buildings</v>
      </c>
      <c r="C2431" s="1488">
        <f t="shared" si="340"/>
        <v>0</v>
      </c>
      <c r="D2431" s="1413" t="str">
        <f t="shared" si="340"/>
        <v>-</v>
      </c>
      <c r="E2431" s="560">
        <f t="shared" si="340"/>
        <v>5</v>
      </c>
      <c r="F2431" s="1508">
        <f t="shared" si="335"/>
        <v>0</v>
      </c>
      <c r="G2431" s="1508">
        <f t="shared" si="336"/>
        <v>0</v>
      </c>
      <c r="H2431" s="1508">
        <f t="shared" si="337"/>
        <v>0</v>
      </c>
      <c r="I2431" s="1480">
        <v>5</v>
      </c>
      <c r="J2431" s="1480">
        <v>5</v>
      </c>
      <c r="K2431" s="1508"/>
      <c r="L2431" s="1508"/>
      <c r="M2431" s="1509">
        <f t="shared" si="338"/>
        <v>5</v>
      </c>
      <c r="N2431" s="1508">
        <f t="shared" si="339"/>
        <v>0</v>
      </c>
    </row>
    <row r="2432" spans="1:14" ht="77.5" outlineLevel="1" x14ac:dyDescent="0.25">
      <c r="A2432" s="1486">
        <f t="shared" si="340"/>
        <v>2</v>
      </c>
      <c r="B2432" s="1491" t="str">
        <f t="shared" si="340"/>
        <v>Upgradation of BC-9A &amp; BC-9C, Aerial Ropeway System 1 &amp; 2 &amp; BC-L1,L2 &amp; L3, Upgradation of Junction Tower-1 Hopper and Bunkering Trippers, Providing and Installation of Hopper Grills of Wagon Tippler-169 &amp; 170, Road Hopper, DT Ho[pper and DRCC Grills</v>
      </c>
      <c r="C2432" s="1488">
        <f t="shared" si="340"/>
        <v>0</v>
      </c>
      <c r="D2432" s="1413" t="str">
        <f t="shared" si="340"/>
        <v>-</v>
      </c>
      <c r="E2432" s="560">
        <f t="shared" si="340"/>
        <v>33</v>
      </c>
      <c r="F2432" s="1508">
        <f t="shared" si="335"/>
        <v>0</v>
      </c>
      <c r="G2432" s="1508">
        <f t="shared" si="336"/>
        <v>0</v>
      </c>
      <c r="H2432" s="1508">
        <f t="shared" si="337"/>
        <v>0</v>
      </c>
      <c r="I2432" s="1480">
        <v>0</v>
      </c>
      <c r="J2432" s="1480">
        <v>0</v>
      </c>
      <c r="K2432" s="1508"/>
      <c r="L2432" s="1508"/>
      <c r="M2432" s="1509">
        <f t="shared" si="338"/>
        <v>0</v>
      </c>
      <c r="N2432" s="1508">
        <f t="shared" si="339"/>
        <v>0</v>
      </c>
    </row>
    <row r="2433" spans="1:14" ht="31" outlineLevel="1" x14ac:dyDescent="0.25">
      <c r="A2433" s="1492">
        <f t="shared" si="340"/>
        <v>0</v>
      </c>
      <c r="B2433" s="1492" t="str">
        <f t="shared" si="340"/>
        <v>Upgradation of BC-9A &amp; BC-9C for converting 1000 mm to 1200 mm along with Gantry structure replacement</v>
      </c>
      <c r="C2433" s="1488">
        <f t="shared" si="340"/>
        <v>0</v>
      </c>
      <c r="D2433" s="1413" t="str">
        <f t="shared" si="340"/>
        <v>-</v>
      </c>
      <c r="E2433" s="560">
        <f t="shared" si="340"/>
        <v>12</v>
      </c>
      <c r="F2433" s="1508">
        <f t="shared" si="335"/>
        <v>0</v>
      </c>
      <c r="G2433" s="1508">
        <f t="shared" si="336"/>
        <v>0</v>
      </c>
      <c r="H2433" s="1508">
        <f t="shared" si="337"/>
        <v>0</v>
      </c>
      <c r="I2433" s="1480">
        <v>0</v>
      </c>
      <c r="J2433" s="1480">
        <v>0</v>
      </c>
      <c r="K2433" s="1508"/>
      <c r="L2433" s="1508"/>
      <c r="M2433" s="1509">
        <f t="shared" si="338"/>
        <v>0</v>
      </c>
      <c r="N2433" s="1508">
        <f t="shared" si="339"/>
        <v>0</v>
      </c>
    </row>
    <row r="2434" spans="1:14" ht="15.5" outlineLevel="1" x14ac:dyDescent="0.25">
      <c r="A2434" s="1492">
        <f t="shared" si="340"/>
        <v>0</v>
      </c>
      <c r="B2434" s="1492" t="str">
        <f t="shared" si="340"/>
        <v>Upgradation of Aerial Ropeway System 1 &amp; 2 &amp; BC-L1,L2 &amp; L3</v>
      </c>
      <c r="C2434" s="1488">
        <f t="shared" si="340"/>
        <v>0</v>
      </c>
      <c r="D2434" s="1413" t="str">
        <f t="shared" si="340"/>
        <v>-</v>
      </c>
      <c r="E2434" s="560">
        <f t="shared" si="340"/>
        <v>10</v>
      </c>
      <c r="F2434" s="1508">
        <f t="shared" si="335"/>
        <v>0</v>
      </c>
      <c r="G2434" s="1508">
        <f t="shared" si="336"/>
        <v>0</v>
      </c>
      <c r="H2434" s="1508">
        <f t="shared" si="337"/>
        <v>0</v>
      </c>
      <c r="I2434" s="1480">
        <v>0</v>
      </c>
      <c r="J2434" s="1480">
        <v>0</v>
      </c>
      <c r="K2434" s="1508"/>
      <c r="L2434" s="1508"/>
      <c r="M2434" s="1509">
        <f t="shared" si="338"/>
        <v>0</v>
      </c>
      <c r="N2434" s="1508">
        <f t="shared" si="339"/>
        <v>0</v>
      </c>
    </row>
    <row r="2435" spans="1:14" ht="31" outlineLevel="1" x14ac:dyDescent="0.25">
      <c r="A2435" s="1492">
        <f t="shared" si="340"/>
        <v>0</v>
      </c>
      <c r="B2435" s="1492" t="str">
        <f t="shared" si="340"/>
        <v>Upgradation of Junction Tower-1 Hopper and Bunkering Trippers</v>
      </c>
      <c r="C2435" s="1488">
        <f t="shared" si="340"/>
        <v>0</v>
      </c>
      <c r="D2435" s="1413" t="str">
        <f t="shared" si="340"/>
        <v>-</v>
      </c>
      <c r="E2435" s="560">
        <f t="shared" si="340"/>
        <v>5.5</v>
      </c>
      <c r="F2435" s="1508">
        <f t="shared" si="335"/>
        <v>0</v>
      </c>
      <c r="G2435" s="1508">
        <f t="shared" si="336"/>
        <v>0</v>
      </c>
      <c r="H2435" s="1508">
        <f t="shared" si="337"/>
        <v>0</v>
      </c>
      <c r="I2435" s="1480">
        <v>0</v>
      </c>
      <c r="J2435" s="1480">
        <v>0</v>
      </c>
      <c r="K2435" s="1508"/>
      <c r="L2435" s="1508"/>
      <c r="M2435" s="1509">
        <f t="shared" si="338"/>
        <v>0</v>
      </c>
      <c r="N2435" s="1508">
        <f t="shared" si="339"/>
        <v>0</v>
      </c>
    </row>
    <row r="2436" spans="1:14" ht="31" outlineLevel="1" x14ac:dyDescent="0.25">
      <c r="A2436" s="1492">
        <f t="shared" ref="A2436:E2451" si="341">A1766</f>
        <v>0</v>
      </c>
      <c r="B2436" s="1492" t="str">
        <f t="shared" si="341"/>
        <v>Providing and Installation of Hopper Grills of Wagon Tippler-169 &amp; 170, Road Hopper, DT Ho[pper and DRCC Grills</v>
      </c>
      <c r="C2436" s="1488">
        <f t="shared" si="341"/>
        <v>0</v>
      </c>
      <c r="D2436" s="1413" t="str">
        <f t="shared" si="341"/>
        <v>-</v>
      </c>
      <c r="E2436" s="560">
        <f t="shared" si="341"/>
        <v>5.5</v>
      </c>
      <c r="F2436" s="1508">
        <f t="shared" si="335"/>
        <v>0</v>
      </c>
      <c r="G2436" s="1508">
        <f t="shared" si="336"/>
        <v>0</v>
      </c>
      <c r="H2436" s="1508">
        <f t="shared" si="337"/>
        <v>0</v>
      </c>
      <c r="I2436" s="1480">
        <v>0</v>
      </c>
      <c r="J2436" s="1480">
        <v>0</v>
      </c>
      <c r="K2436" s="1508"/>
      <c r="L2436" s="1508"/>
      <c r="M2436" s="1509">
        <f t="shared" si="338"/>
        <v>0</v>
      </c>
      <c r="N2436" s="1508">
        <f t="shared" si="339"/>
        <v>0</v>
      </c>
    </row>
    <row r="2437" spans="1:14" ht="31" outlineLevel="1" x14ac:dyDescent="0.25">
      <c r="A2437" s="1486">
        <f t="shared" si="341"/>
        <v>3</v>
      </c>
      <c r="B2437" s="1491" t="str">
        <f t="shared" si="341"/>
        <v>DPR for Bulldozer, Locomotives, Tunnel conveyors, Augur machines</v>
      </c>
      <c r="C2437" s="1488">
        <f t="shared" si="341"/>
        <v>0</v>
      </c>
      <c r="D2437" s="1413" t="str">
        <f t="shared" si="341"/>
        <v>-</v>
      </c>
      <c r="E2437" s="560">
        <f t="shared" si="341"/>
        <v>32</v>
      </c>
      <c r="F2437" s="1508">
        <f t="shared" si="335"/>
        <v>0</v>
      </c>
      <c r="G2437" s="1508">
        <f t="shared" si="336"/>
        <v>0</v>
      </c>
      <c r="H2437" s="1508">
        <f t="shared" si="337"/>
        <v>0</v>
      </c>
      <c r="I2437" s="1480">
        <v>0</v>
      </c>
      <c r="J2437" s="1480">
        <v>0</v>
      </c>
      <c r="K2437" s="1508"/>
      <c r="L2437" s="1508"/>
      <c r="M2437" s="1509">
        <f t="shared" si="338"/>
        <v>0</v>
      </c>
      <c r="N2437" s="1508">
        <f t="shared" si="339"/>
        <v>0</v>
      </c>
    </row>
    <row r="2438" spans="1:14" ht="15.5" outlineLevel="1" x14ac:dyDescent="0.25">
      <c r="A2438" s="1492">
        <f t="shared" si="341"/>
        <v>0</v>
      </c>
      <c r="B2438" s="1492" t="str">
        <f t="shared" si="341"/>
        <v>Procurement of 4 Numbers Bulldozers</v>
      </c>
      <c r="C2438" s="1488">
        <f t="shared" si="341"/>
        <v>0</v>
      </c>
      <c r="D2438" s="1413" t="str">
        <f t="shared" si="341"/>
        <v>-</v>
      </c>
      <c r="E2438" s="560">
        <f t="shared" si="341"/>
        <v>12</v>
      </c>
      <c r="F2438" s="1508">
        <f t="shared" si="335"/>
        <v>0</v>
      </c>
      <c r="G2438" s="1508">
        <f t="shared" si="336"/>
        <v>0</v>
      </c>
      <c r="H2438" s="1508">
        <f t="shared" si="337"/>
        <v>0</v>
      </c>
      <c r="I2438" s="1480">
        <v>0</v>
      </c>
      <c r="J2438" s="1480">
        <v>0</v>
      </c>
      <c r="K2438" s="1508"/>
      <c r="L2438" s="1508"/>
      <c r="M2438" s="1509">
        <f t="shared" si="338"/>
        <v>0</v>
      </c>
      <c r="N2438" s="1508">
        <f t="shared" si="339"/>
        <v>0</v>
      </c>
    </row>
    <row r="2439" spans="1:14" ht="15.5" outlineLevel="1" x14ac:dyDescent="0.25">
      <c r="A2439" s="1492">
        <f t="shared" si="341"/>
        <v>0</v>
      </c>
      <c r="B2439" s="1492" t="str">
        <f t="shared" si="341"/>
        <v>Procurement of 2 Numbers 800 HP Locomotives</v>
      </c>
      <c r="C2439" s="1488">
        <f t="shared" si="341"/>
        <v>0</v>
      </c>
      <c r="D2439" s="1413" t="str">
        <f t="shared" si="341"/>
        <v>-</v>
      </c>
      <c r="E2439" s="560">
        <f t="shared" si="341"/>
        <v>9</v>
      </c>
      <c r="F2439" s="1508">
        <f t="shared" si="335"/>
        <v>0</v>
      </c>
      <c r="G2439" s="1508">
        <f t="shared" si="336"/>
        <v>0</v>
      </c>
      <c r="H2439" s="1508">
        <f t="shared" si="337"/>
        <v>0</v>
      </c>
      <c r="I2439" s="1480">
        <v>0</v>
      </c>
      <c r="J2439" s="1480">
        <v>0</v>
      </c>
      <c r="K2439" s="1508"/>
      <c r="L2439" s="1508"/>
      <c r="M2439" s="1509">
        <f t="shared" si="338"/>
        <v>0</v>
      </c>
      <c r="N2439" s="1508">
        <f t="shared" si="339"/>
        <v>0</v>
      </c>
    </row>
    <row r="2440" spans="1:14" ht="31" outlineLevel="1" x14ac:dyDescent="0.25">
      <c r="A2440" s="1492">
        <f t="shared" si="341"/>
        <v>0</v>
      </c>
      <c r="B2440" s="1492" t="str">
        <f t="shared" si="341"/>
        <v>Upgradation of Tunnel conveyors BC-1AB, BC-4AB, BC-3, BC-5AB &amp; BC-21B</v>
      </c>
      <c r="C2440" s="1488">
        <f t="shared" si="341"/>
        <v>0</v>
      </c>
      <c r="D2440" s="1413" t="str">
        <f t="shared" si="341"/>
        <v>-</v>
      </c>
      <c r="E2440" s="560">
        <f t="shared" si="341"/>
        <v>5</v>
      </c>
      <c r="F2440" s="1508">
        <f t="shared" si="335"/>
        <v>0</v>
      </c>
      <c r="G2440" s="1508">
        <f t="shared" si="336"/>
        <v>0</v>
      </c>
      <c r="H2440" s="1508">
        <f t="shared" si="337"/>
        <v>0</v>
      </c>
      <c r="I2440" s="1480">
        <v>0</v>
      </c>
      <c r="J2440" s="1480">
        <v>0</v>
      </c>
      <c r="K2440" s="1508"/>
      <c r="L2440" s="1508"/>
      <c r="M2440" s="1509">
        <f t="shared" si="338"/>
        <v>0</v>
      </c>
      <c r="N2440" s="1508">
        <f t="shared" si="339"/>
        <v>0</v>
      </c>
    </row>
    <row r="2441" spans="1:14" ht="31" outlineLevel="1" x14ac:dyDescent="0.25">
      <c r="A2441" s="1492">
        <f t="shared" si="341"/>
        <v>0</v>
      </c>
      <c r="B2441" s="1492" t="str">
        <f t="shared" si="341"/>
        <v>Procurement of 4 Numbers Mobile Coal sampling Equipments (Augur Machines)</v>
      </c>
      <c r="C2441" s="1488">
        <f t="shared" si="341"/>
        <v>0</v>
      </c>
      <c r="D2441" s="1413" t="str">
        <f t="shared" si="341"/>
        <v>-</v>
      </c>
      <c r="E2441" s="560">
        <f t="shared" si="341"/>
        <v>6</v>
      </c>
      <c r="F2441" s="1508">
        <f t="shared" si="335"/>
        <v>0</v>
      </c>
      <c r="G2441" s="1508">
        <f t="shared" si="336"/>
        <v>0</v>
      </c>
      <c r="H2441" s="1508">
        <f t="shared" si="337"/>
        <v>0</v>
      </c>
      <c r="I2441" s="1480">
        <v>0</v>
      </c>
      <c r="J2441" s="1480">
        <v>0</v>
      </c>
      <c r="K2441" s="1508"/>
      <c r="L2441" s="1508"/>
      <c r="M2441" s="1509">
        <f t="shared" si="338"/>
        <v>0</v>
      </c>
      <c r="N2441" s="1508">
        <f t="shared" si="339"/>
        <v>0</v>
      </c>
    </row>
    <row r="2442" spans="1:14" ht="15.5" outlineLevel="1" x14ac:dyDescent="0.25">
      <c r="A2442" s="1504">
        <f t="shared" si="341"/>
        <v>0</v>
      </c>
      <c r="B2442" s="1504" t="str">
        <f t="shared" si="341"/>
        <v>Boiler Maintenance -II</v>
      </c>
      <c r="C2442" s="1488">
        <f t="shared" si="341"/>
        <v>0</v>
      </c>
      <c r="D2442" s="1413" t="str">
        <f t="shared" si="341"/>
        <v>-</v>
      </c>
      <c r="E2442" s="560">
        <f t="shared" si="341"/>
        <v>0</v>
      </c>
      <c r="F2442" s="1508">
        <f t="shared" si="335"/>
        <v>0</v>
      </c>
      <c r="G2442" s="1508">
        <f t="shared" si="336"/>
        <v>0</v>
      </c>
      <c r="H2442" s="1508">
        <f t="shared" si="337"/>
        <v>0</v>
      </c>
      <c r="I2442" s="1480">
        <v>0</v>
      </c>
      <c r="J2442" s="1480">
        <v>0</v>
      </c>
      <c r="K2442" s="1508"/>
      <c r="L2442" s="1508"/>
      <c r="M2442" s="1509">
        <f t="shared" si="338"/>
        <v>0</v>
      </c>
      <c r="N2442" s="1508">
        <f t="shared" si="339"/>
        <v>0</v>
      </c>
    </row>
    <row r="2443" spans="1:14" ht="31" outlineLevel="1" x14ac:dyDescent="0.25">
      <c r="A2443" s="1486">
        <f t="shared" si="341"/>
        <v>1</v>
      </c>
      <c r="B2443" s="1491" t="str">
        <f t="shared" si="341"/>
        <v xml:space="preserve">Up  Gradation of existing volumetric belt type coal feeders to gravimetric rotary weigh coal feeder of U-5 &amp; 6 at CSTPS </v>
      </c>
      <c r="C2443" s="1488">
        <f t="shared" si="341"/>
        <v>0</v>
      </c>
      <c r="D2443" s="1413" t="str">
        <f t="shared" si="341"/>
        <v>-</v>
      </c>
      <c r="E2443" s="560">
        <f t="shared" si="341"/>
        <v>85.69</v>
      </c>
      <c r="F2443" s="1508">
        <f t="shared" si="335"/>
        <v>0</v>
      </c>
      <c r="G2443" s="1508">
        <f t="shared" si="336"/>
        <v>0</v>
      </c>
      <c r="H2443" s="1508">
        <f t="shared" si="337"/>
        <v>0</v>
      </c>
      <c r="I2443" s="1480">
        <v>0</v>
      </c>
      <c r="J2443" s="1480">
        <v>0</v>
      </c>
      <c r="K2443" s="1508"/>
      <c r="L2443" s="1508"/>
      <c r="M2443" s="1509">
        <f t="shared" si="338"/>
        <v>0</v>
      </c>
      <c r="N2443" s="1508">
        <f t="shared" si="339"/>
        <v>0</v>
      </c>
    </row>
    <row r="2444" spans="1:14" ht="31" outlineLevel="1" x14ac:dyDescent="0.25">
      <c r="A2444" s="1492">
        <f t="shared" si="341"/>
        <v>0</v>
      </c>
      <c r="B2444" s="1492" t="str">
        <f t="shared" si="341"/>
        <v xml:space="preserve">Up  Gradation of existing volumetric belt type coal feeders to gravimetric rotary weigh coal feeder of U-5 &amp; 6 at CSTPS </v>
      </c>
      <c r="C2444" s="1488">
        <f t="shared" si="341"/>
        <v>0</v>
      </c>
      <c r="D2444" s="1413" t="str">
        <f t="shared" si="341"/>
        <v>-</v>
      </c>
      <c r="E2444" s="560">
        <f t="shared" si="341"/>
        <v>85.679999999999993</v>
      </c>
      <c r="F2444" s="1508">
        <f t="shared" si="335"/>
        <v>0</v>
      </c>
      <c r="G2444" s="1508">
        <f t="shared" si="336"/>
        <v>0</v>
      </c>
      <c r="H2444" s="1508">
        <f t="shared" si="337"/>
        <v>0</v>
      </c>
      <c r="I2444" s="1480">
        <v>28.56</v>
      </c>
      <c r="J2444" s="1480">
        <v>28.56</v>
      </c>
      <c r="K2444" s="1508"/>
      <c r="L2444" s="1508"/>
      <c r="M2444" s="1509">
        <f t="shared" si="338"/>
        <v>28.56</v>
      </c>
      <c r="N2444" s="1508">
        <f t="shared" si="339"/>
        <v>0</v>
      </c>
    </row>
    <row r="2445" spans="1:14" ht="62" outlineLevel="1" x14ac:dyDescent="0.25">
      <c r="A2445" s="1486">
        <f t="shared" si="341"/>
        <v>2</v>
      </c>
      <c r="B2445" s="1491" t="str">
        <f t="shared" si="341"/>
        <v>DPR for the Work of Modification of existing coal bunker and commissioning of bunker chute assembly with vibrating motor to avoid bunker mouth coal choke up for Unit 5 &amp;6 at CSTPS, Chandrapur.</v>
      </c>
      <c r="C2445" s="1488">
        <f t="shared" si="341"/>
        <v>0</v>
      </c>
      <c r="D2445" s="1413" t="str">
        <f t="shared" si="341"/>
        <v>-</v>
      </c>
      <c r="E2445" s="560">
        <f t="shared" si="341"/>
        <v>32.28</v>
      </c>
      <c r="F2445" s="1508">
        <f t="shared" si="335"/>
        <v>0</v>
      </c>
      <c r="G2445" s="1508">
        <f t="shared" si="336"/>
        <v>0</v>
      </c>
      <c r="H2445" s="1508">
        <f t="shared" si="337"/>
        <v>0</v>
      </c>
      <c r="I2445" s="1480">
        <v>0</v>
      </c>
      <c r="J2445" s="1480">
        <v>0</v>
      </c>
      <c r="K2445" s="1508"/>
      <c r="L2445" s="1508"/>
      <c r="M2445" s="1509">
        <f t="shared" si="338"/>
        <v>0</v>
      </c>
      <c r="N2445" s="1508">
        <f t="shared" si="339"/>
        <v>0</v>
      </c>
    </row>
    <row r="2446" spans="1:14" ht="62" outlineLevel="1" x14ac:dyDescent="0.25">
      <c r="A2446" s="1492">
        <f t="shared" si="341"/>
        <v>0</v>
      </c>
      <c r="B2446" s="1492" t="str">
        <f t="shared" si="341"/>
        <v>DPR for the Work of Modification of existing coal bunker and commissioning of bunker chute assembly with vibrating motor to avoid bunker mouth coal choke up for Unit 5 &amp;6 at CSTPS, Chandrapur.</v>
      </c>
      <c r="C2446" s="1488">
        <f t="shared" si="341"/>
        <v>0</v>
      </c>
      <c r="D2446" s="1413" t="str">
        <f t="shared" si="341"/>
        <v>-</v>
      </c>
      <c r="E2446" s="560">
        <f t="shared" si="341"/>
        <v>32.28</v>
      </c>
      <c r="F2446" s="1508">
        <f t="shared" si="335"/>
        <v>0</v>
      </c>
      <c r="G2446" s="1508">
        <f t="shared" si="336"/>
        <v>0</v>
      </c>
      <c r="H2446" s="1508">
        <f t="shared" si="337"/>
        <v>0</v>
      </c>
      <c r="I2446" s="1480">
        <v>32.28</v>
      </c>
      <c r="J2446" s="1480">
        <v>32.28</v>
      </c>
      <c r="K2446" s="1508"/>
      <c r="L2446" s="1508"/>
      <c r="M2446" s="1509">
        <f t="shared" si="338"/>
        <v>32.28</v>
      </c>
      <c r="N2446" s="1508">
        <f t="shared" si="339"/>
        <v>0</v>
      </c>
    </row>
    <row r="2447" spans="1:14" ht="31" outlineLevel="1" x14ac:dyDescent="0.25">
      <c r="A2447" s="1486">
        <f t="shared" si="341"/>
        <v>3</v>
      </c>
      <c r="B2447" s="1491" t="str">
        <f t="shared" si="341"/>
        <v>DPR for  Supply &amp; Replacment of Boiler Thermal Insulation Unit 5 &amp;6, 7 at CSTPS, Chandrapur.</v>
      </c>
      <c r="C2447" s="1488">
        <f t="shared" si="341"/>
        <v>0</v>
      </c>
      <c r="D2447" s="1413" t="str">
        <f t="shared" si="341"/>
        <v>-</v>
      </c>
      <c r="E2447" s="560">
        <f t="shared" si="341"/>
        <v>30</v>
      </c>
      <c r="F2447" s="1508">
        <f t="shared" si="335"/>
        <v>0</v>
      </c>
      <c r="G2447" s="1508">
        <f t="shared" si="336"/>
        <v>0</v>
      </c>
      <c r="H2447" s="1508">
        <f t="shared" si="337"/>
        <v>0</v>
      </c>
      <c r="I2447" s="1480">
        <v>0</v>
      </c>
      <c r="J2447" s="1480">
        <v>0</v>
      </c>
      <c r="K2447" s="1508"/>
      <c r="L2447" s="1508"/>
      <c r="M2447" s="1509">
        <f t="shared" si="338"/>
        <v>0</v>
      </c>
      <c r="N2447" s="1508">
        <f t="shared" si="339"/>
        <v>0</v>
      </c>
    </row>
    <row r="2448" spans="1:14" ht="31" outlineLevel="1" x14ac:dyDescent="0.25">
      <c r="A2448" s="1492">
        <f t="shared" si="341"/>
        <v>0</v>
      </c>
      <c r="B2448" s="1492" t="str">
        <f t="shared" si="341"/>
        <v>DPR for  Supply &amp; Replacment of Boiler Thermal Insulation Unit 5 &amp;6, 7 at CSTPS, Chandrapur.</v>
      </c>
      <c r="C2448" s="1488">
        <f t="shared" si="341"/>
        <v>0</v>
      </c>
      <c r="D2448" s="1413" t="str">
        <f t="shared" si="341"/>
        <v>-</v>
      </c>
      <c r="E2448" s="560">
        <f t="shared" si="341"/>
        <v>30</v>
      </c>
      <c r="F2448" s="1508">
        <f t="shared" si="335"/>
        <v>0</v>
      </c>
      <c r="G2448" s="1508">
        <f t="shared" si="336"/>
        <v>0</v>
      </c>
      <c r="H2448" s="1508">
        <f t="shared" si="337"/>
        <v>0</v>
      </c>
      <c r="I2448" s="1480">
        <v>30</v>
      </c>
      <c r="J2448" s="1480">
        <v>30</v>
      </c>
      <c r="K2448" s="1508"/>
      <c r="L2448" s="1508"/>
      <c r="M2448" s="1509">
        <f t="shared" si="338"/>
        <v>30</v>
      </c>
      <c r="N2448" s="1508">
        <f t="shared" si="339"/>
        <v>0</v>
      </c>
    </row>
    <row r="2449" spans="1:14" ht="62" outlineLevel="1" x14ac:dyDescent="0.25">
      <c r="A2449" s="1486">
        <f t="shared" si="341"/>
        <v>4</v>
      </c>
      <c r="B2449" s="1491" t="str">
        <f t="shared" si="341"/>
        <v>Detailed Project Report for Manufacturing, supply and application of wear resistance liners for Coal Mill XRP-1043 and Procurement of Complete Gear box for Coal Mill XRP-1043, ID Fan impeller and sub assembly for Unit 5 &amp; 6 At CSTPS, Chandrapur.</v>
      </c>
      <c r="C2449" s="1488">
        <f t="shared" si="341"/>
        <v>0</v>
      </c>
      <c r="D2449" s="1413" t="str">
        <f t="shared" si="341"/>
        <v>-</v>
      </c>
      <c r="E2449" s="560">
        <f t="shared" si="341"/>
        <v>25</v>
      </c>
      <c r="F2449" s="1508">
        <f t="shared" si="335"/>
        <v>0</v>
      </c>
      <c r="G2449" s="1508">
        <f t="shared" si="336"/>
        <v>0</v>
      </c>
      <c r="H2449" s="1508">
        <f t="shared" si="337"/>
        <v>0</v>
      </c>
      <c r="I2449" s="1480">
        <v>0</v>
      </c>
      <c r="J2449" s="1480">
        <v>0</v>
      </c>
      <c r="K2449" s="1508"/>
      <c r="L2449" s="1508"/>
      <c r="M2449" s="1509">
        <f t="shared" si="338"/>
        <v>0</v>
      </c>
      <c r="N2449" s="1508">
        <f t="shared" si="339"/>
        <v>0</v>
      </c>
    </row>
    <row r="2450" spans="1:14" ht="77.5" outlineLevel="1" x14ac:dyDescent="0.25">
      <c r="A2450" s="1492">
        <f t="shared" si="341"/>
        <v>0</v>
      </c>
      <c r="B2450" s="1492" t="str">
        <f t="shared" si="341"/>
        <v>Detailed Project Report for Manufacturing, supply and application of wear resistance liners for Coal Mill XRP-1043 and Procurement of Complete Gear box for Coal Mill XRP-1043, ID Fan impeller and sub assembly for Unit 5 &amp; 6 At CSTPS, Chandrapur.</v>
      </c>
      <c r="C2450" s="1488">
        <f t="shared" si="341"/>
        <v>0</v>
      </c>
      <c r="D2450" s="1413" t="str">
        <f t="shared" si="341"/>
        <v>-</v>
      </c>
      <c r="E2450" s="560">
        <f t="shared" si="341"/>
        <v>25</v>
      </c>
      <c r="F2450" s="1508">
        <f t="shared" si="335"/>
        <v>0</v>
      </c>
      <c r="G2450" s="1508">
        <f t="shared" si="336"/>
        <v>0</v>
      </c>
      <c r="H2450" s="1508">
        <f t="shared" si="337"/>
        <v>0</v>
      </c>
      <c r="I2450" s="1480">
        <v>25</v>
      </c>
      <c r="J2450" s="1480">
        <v>25</v>
      </c>
      <c r="K2450" s="1508"/>
      <c r="L2450" s="1508"/>
      <c r="M2450" s="1509">
        <f t="shared" si="338"/>
        <v>25</v>
      </c>
      <c r="N2450" s="1508">
        <f t="shared" si="339"/>
        <v>0</v>
      </c>
    </row>
    <row r="2451" spans="1:14" ht="31" outlineLevel="1" x14ac:dyDescent="0.25">
      <c r="A2451" s="1486">
        <f t="shared" si="341"/>
        <v>5</v>
      </c>
      <c r="B2451" s="1491" t="str">
        <f t="shared" si="341"/>
        <v>DPR for Modification and Restoration of Eco. outlet to ESP inlet duct of Unit -6 (500MW) CSTPS, Chandrapur .</v>
      </c>
      <c r="C2451" s="1488">
        <f t="shared" si="341"/>
        <v>0</v>
      </c>
      <c r="D2451" s="1413" t="str">
        <f t="shared" si="341"/>
        <v>-</v>
      </c>
      <c r="E2451" s="560">
        <f t="shared" si="341"/>
        <v>25</v>
      </c>
      <c r="F2451" s="1508">
        <f t="shared" si="335"/>
        <v>0</v>
      </c>
      <c r="G2451" s="1508">
        <f t="shared" si="336"/>
        <v>0</v>
      </c>
      <c r="H2451" s="1508">
        <f t="shared" si="337"/>
        <v>0</v>
      </c>
      <c r="I2451" s="1480">
        <v>0</v>
      </c>
      <c r="J2451" s="1480">
        <v>0</v>
      </c>
      <c r="K2451" s="1508"/>
      <c r="L2451" s="1508"/>
      <c r="M2451" s="1509">
        <f t="shared" si="338"/>
        <v>0</v>
      </c>
      <c r="N2451" s="1508">
        <f t="shared" si="339"/>
        <v>0</v>
      </c>
    </row>
    <row r="2452" spans="1:14" ht="31" outlineLevel="1" x14ac:dyDescent="0.25">
      <c r="A2452" s="1492">
        <f t="shared" ref="A2452:E2467" si="342">A1782</f>
        <v>0</v>
      </c>
      <c r="B2452" s="1492" t="str">
        <f t="shared" si="342"/>
        <v>DPR for Modification and Restoration of Eco. outlet to ESP inlet duct of Unit -6 (500MW) CSTPS, Chandrapur .</v>
      </c>
      <c r="C2452" s="1488">
        <f t="shared" si="342"/>
        <v>0</v>
      </c>
      <c r="D2452" s="1413" t="str">
        <f t="shared" si="342"/>
        <v>-</v>
      </c>
      <c r="E2452" s="560">
        <f t="shared" si="342"/>
        <v>25</v>
      </c>
      <c r="F2452" s="1508">
        <f t="shared" si="335"/>
        <v>0</v>
      </c>
      <c r="G2452" s="1508">
        <f t="shared" si="336"/>
        <v>0</v>
      </c>
      <c r="H2452" s="1508">
        <f t="shared" si="337"/>
        <v>0</v>
      </c>
      <c r="I2452" s="1480">
        <v>25</v>
      </c>
      <c r="J2452" s="1480">
        <v>25</v>
      </c>
      <c r="K2452" s="1508"/>
      <c r="L2452" s="1508"/>
      <c r="M2452" s="1509">
        <f t="shared" si="338"/>
        <v>25</v>
      </c>
      <c r="N2452" s="1508">
        <f t="shared" si="339"/>
        <v>0</v>
      </c>
    </row>
    <row r="2453" spans="1:14" ht="108.5" outlineLevel="1" x14ac:dyDescent="0.25">
      <c r="A2453" s="1486">
        <f t="shared" si="342"/>
        <v>6</v>
      </c>
      <c r="B2453" s="1491" t="str">
        <f t="shared" si="342"/>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2453" s="1488">
        <f t="shared" si="342"/>
        <v>0</v>
      </c>
      <c r="D2453" s="1413" t="str">
        <f t="shared" si="342"/>
        <v>-</v>
      </c>
      <c r="E2453" s="560">
        <f t="shared" si="342"/>
        <v>40</v>
      </c>
      <c r="F2453" s="1508">
        <f t="shared" si="335"/>
        <v>0</v>
      </c>
      <c r="G2453" s="1508">
        <f t="shared" si="336"/>
        <v>0</v>
      </c>
      <c r="H2453" s="1508">
        <f t="shared" si="337"/>
        <v>0</v>
      </c>
      <c r="I2453" s="1480">
        <v>0</v>
      </c>
      <c r="J2453" s="1480">
        <v>0</v>
      </c>
      <c r="K2453" s="1508"/>
      <c r="L2453" s="1508"/>
      <c r="M2453" s="1509">
        <f t="shared" si="338"/>
        <v>0</v>
      </c>
      <c r="N2453" s="1508">
        <f t="shared" si="339"/>
        <v>0</v>
      </c>
    </row>
    <row r="2454" spans="1:14" ht="108.5" outlineLevel="1" x14ac:dyDescent="0.25">
      <c r="A2454" s="1492">
        <f t="shared" si="342"/>
        <v>0</v>
      </c>
      <c r="B2454" s="1492" t="str">
        <f t="shared" si="342"/>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2454" s="1488">
        <f t="shared" si="342"/>
        <v>0</v>
      </c>
      <c r="D2454" s="1413" t="str">
        <f t="shared" si="342"/>
        <v>-</v>
      </c>
      <c r="E2454" s="560">
        <f t="shared" si="342"/>
        <v>40</v>
      </c>
      <c r="F2454" s="1508">
        <f t="shared" si="335"/>
        <v>0</v>
      </c>
      <c r="G2454" s="1508">
        <f t="shared" si="336"/>
        <v>0</v>
      </c>
      <c r="H2454" s="1508">
        <f t="shared" si="337"/>
        <v>0</v>
      </c>
      <c r="I2454" s="1480">
        <v>40</v>
      </c>
      <c r="J2454" s="1480">
        <v>40</v>
      </c>
      <c r="K2454" s="1508"/>
      <c r="L2454" s="1508"/>
      <c r="M2454" s="1509">
        <f t="shared" si="338"/>
        <v>40</v>
      </c>
      <c r="N2454" s="1508">
        <f t="shared" si="339"/>
        <v>0</v>
      </c>
    </row>
    <row r="2455" spans="1:14" ht="46.5" outlineLevel="1" x14ac:dyDescent="0.25">
      <c r="A2455" s="1486">
        <f t="shared" si="342"/>
        <v>7</v>
      </c>
      <c r="B2455" s="1491" t="str">
        <f t="shared" si="342"/>
        <v>DPR for Supply &amp; Replacement of Divisional Panels in Boiler Unit 5,6 &amp; 7 and Economizer upper coil assembly in Unit 5 &amp; 6 CSTPS, Chandrapur.</v>
      </c>
      <c r="C2455" s="1488">
        <f t="shared" si="342"/>
        <v>0</v>
      </c>
      <c r="D2455" s="1413" t="str">
        <f t="shared" si="342"/>
        <v>-</v>
      </c>
      <c r="E2455" s="560">
        <f t="shared" si="342"/>
        <v>40</v>
      </c>
      <c r="F2455" s="1508">
        <f t="shared" si="335"/>
        <v>0</v>
      </c>
      <c r="G2455" s="1508">
        <f t="shared" si="336"/>
        <v>0</v>
      </c>
      <c r="H2455" s="1508">
        <f t="shared" si="337"/>
        <v>0</v>
      </c>
      <c r="I2455" s="1480">
        <v>0</v>
      </c>
      <c r="J2455" s="1480">
        <v>0</v>
      </c>
      <c r="K2455" s="1508"/>
      <c r="L2455" s="1508"/>
      <c r="M2455" s="1509">
        <f t="shared" si="338"/>
        <v>0</v>
      </c>
      <c r="N2455" s="1508">
        <f t="shared" si="339"/>
        <v>0</v>
      </c>
    </row>
    <row r="2456" spans="1:14" ht="46.5" outlineLevel="1" x14ac:dyDescent="0.25">
      <c r="A2456" s="1492">
        <f t="shared" si="342"/>
        <v>0</v>
      </c>
      <c r="B2456" s="1492" t="str">
        <f t="shared" si="342"/>
        <v>DPR for Supply &amp; Replacement of Divisional Panels in Boiler Unit 5,6 &amp; 7 and Economizer upper coil assembly in Unit 5 &amp; 6 CSTPS, Chandrapur.</v>
      </c>
      <c r="C2456" s="1488">
        <f t="shared" si="342"/>
        <v>0</v>
      </c>
      <c r="D2456" s="1413" t="str">
        <f t="shared" si="342"/>
        <v>-</v>
      </c>
      <c r="E2456" s="560">
        <f t="shared" si="342"/>
        <v>40</v>
      </c>
      <c r="F2456" s="1508">
        <f t="shared" si="335"/>
        <v>0</v>
      </c>
      <c r="G2456" s="1508">
        <f t="shared" si="336"/>
        <v>0</v>
      </c>
      <c r="H2456" s="1508">
        <f t="shared" si="337"/>
        <v>0</v>
      </c>
      <c r="I2456" s="1480">
        <v>40</v>
      </c>
      <c r="J2456" s="1480">
        <v>40</v>
      </c>
      <c r="K2456" s="1508"/>
      <c r="L2456" s="1508"/>
      <c r="M2456" s="1509">
        <f t="shared" si="338"/>
        <v>40</v>
      </c>
      <c r="N2456" s="1508">
        <f t="shared" si="339"/>
        <v>0</v>
      </c>
    </row>
    <row r="2457" spans="1:14" ht="46.5" outlineLevel="1" x14ac:dyDescent="0.25">
      <c r="A2457" s="1486">
        <f t="shared" si="342"/>
        <v>8</v>
      </c>
      <c r="B2457" s="1491" t="str">
        <f t="shared" si="342"/>
        <v>DPR for the Supply &amp; Replacement of Platen Superheater, Front Reheater in Unit-7 and Economizer middle &amp; Economizer lower coil assembly in Unit 5 &amp; 6 CSTPS, Chandrapur.</v>
      </c>
      <c r="C2457" s="1488">
        <f t="shared" si="342"/>
        <v>0</v>
      </c>
      <c r="D2457" s="1413" t="str">
        <f t="shared" si="342"/>
        <v>-</v>
      </c>
      <c r="E2457" s="560">
        <f t="shared" si="342"/>
        <v>52</v>
      </c>
      <c r="F2457" s="1508">
        <f t="shared" si="335"/>
        <v>0</v>
      </c>
      <c r="G2457" s="1508">
        <f t="shared" si="336"/>
        <v>0</v>
      </c>
      <c r="H2457" s="1508">
        <f t="shared" si="337"/>
        <v>0</v>
      </c>
      <c r="I2457" s="1480">
        <v>0</v>
      </c>
      <c r="J2457" s="1480">
        <v>0</v>
      </c>
      <c r="K2457" s="1508"/>
      <c r="L2457" s="1508"/>
      <c r="M2457" s="1509">
        <f t="shared" si="338"/>
        <v>0</v>
      </c>
      <c r="N2457" s="1508">
        <f t="shared" si="339"/>
        <v>0</v>
      </c>
    </row>
    <row r="2458" spans="1:14" ht="46.5" outlineLevel="1" x14ac:dyDescent="0.25">
      <c r="A2458" s="1492">
        <f t="shared" si="342"/>
        <v>0</v>
      </c>
      <c r="B2458" s="1492" t="str">
        <f t="shared" si="342"/>
        <v>DPR for the Supply &amp; Replacement of Platen Superheater, Front Reheater in Unit-7 and Economizer middle &amp; Economizer lower coil assembly in Unit 5 &amp; 6 CSTPS, Chandrapur.</v>
      </c>
      <c r="C2458" s="1488">
        <f t="shared" si="342"/>
        <v>0</v>
      </c>
      <c r="D2458" s="1413" t="str">
        <f t="shared" si="342"/>
        <v>-</v>
      </c>
      <c r="E2458" s="560">
        <f t="shared" si="342"/>
        <v>52</v>
      </c>
      <c r="F2458" s="1508">
        <f t="shared" si="335"/>
        <v>0</v>
      </c>
      <c r="G2458" s="1508">
        <f t="shared" si="336"/>
        <v>0</v>
      </c>
      <c r="H2458" s="1508">
        <f t="shared" si="337"/>
        <v>0</v>
      </c>
      <c r="I2458" s="1480">
        <v>52</v>
      </c>
      <c r="J2458" s="1480">
        <v>52</v>
      </c>
      <c r="K2458" s="1508"/>
      <c r="L2458" s="1508"/>
      <c r="M2458" s="1509">
        <f t="shared" si="338"/>
        <v>52</v>
      </c>
      <c r="N2458" s="1508">
        <f t="shared" si="339"/>
        <v>0</v>
      </c>
    </row>
    <row r="2459" spans="1:14" ht="31" outlineLevel="1" x14ac:dyDescent="0.25">
      <c r="A2459" s="1486">
        <f t="shared" si="342"/>
        <v>9</v>
      </c>
      <c r="B2459" s="1491" t="str">
        <f t="shared" si="342"/>
        <v>DPR for the Supply &amp; Replacement of Front &amp; Rear Reheater coil assemblies and LTSH terminal tube assembly in Boiler Unit 5 &amp; 6</v>
      </c>
      <c r="C2459" s="1488">
        <f t="shared" si="342"/>
        <v>0</v>
      </c>
      <c r="D2459" s="1413" t="str">
        <f t="shared" si="342"/>
        <v>-</v>
      </c>
      <c r="E2459" s="560">
        <f t="shared" si="342"/>
        <v>30</v>
      </c>
      <c r="F2459" s="1508">
        <f t="shared" si="335"/>
        <v>0</v>
      </c>
      <c r="G2459" s="1508">
        <f t="shared" si="336"/>
        <v>0</v>
      </c>
      <c r="H2459" s="1508">
        <f t="shared" si="337"/>
        <v>0</v>
      </c>
      <c r="I2459" s="1480">
        <v>0</v>
      </c>
      <c r="J2459" s="1480">
        <v>0</v>
      </c>
      <c r="K2459" s="1508"/>
      <c r="L2459" s="1508"/>
      <c r="M2459" s="1509">
        <f t="shared" si="338"/>
        <v>0</v>
      </c>
      <c r="N2459" s="1508">
        <f t="shared" si="339"/>
        <v>0</v>
      </c>
    </row>
    <row r="2460" spans="1:14" ht="46.5" outlineLevel="1" x14ac:dyDescent="0.25">
      <c r="A2460" s="1492">
        <f t="shared" si="342"/>
        <v>0</v>
      </c>
      <c r="B2460" s="1492" t="str">
        <f t="shared" si="342"/>
        <v xml:space="preserve">DPR for the Supply &amp; Replacement of Front &amp; Rear Reheater coil assemblies and LTSH terminal tube assembly in Boiler Unit 5 &amp; 6 . </v>
      </c>
      <c r="C2460" s="1488">
        <f t="shared" si="342"/>
        <v>0</v>
      </c>
      <c r="D2460" s="1413" t="str">
        <f t="shared" si="342"/>
        <v>-</v>
      </c>
      <c r="E2460" s="560">
        <f t="shared" si="342"/>
        <v>30</v>
      </c>
      <c r="F2460" s="1508">
        <f t="shared" si="335"/>
        <v>0</v>
      </c>
      <c r="G2460" s="1508">
        <f t="shared" si="336"/>
        <v>0</v>
      </c>
      <c r="H2460" s="1508">
        <f t="shared" si="337"/>
        <v>0</v>
      </c>
      <c r="I2460" s="1480">
        <v>30</v>
      </c>
      <c r="J2460" s="1480">
        <v>30</v>
      </c>
      <c r="K2460" s="1508"/>
      <c r="L2460" s="1508"/>
      <c r="M2460" s="1509">
        <f t="shared" si="338"/>
        <v>30</v>
      </c>
      <c r="N2460" s="1508">
        <f t="shared" si="339"/>
        <v>0</v>
      </c>
    </row>
    <row r="2461" spans="1:14" ht="46.5" outlineLevel="1" x14ac:dyDescent="0.25">
      <c r="A2461" s="1486">
        <f t="shared" si="342"/>
        <v>10</v>
      </c>
      <c r="B2461" s="1491" t="str">
        <f t="shared" si="342"/>
        <v>DPR For Coal Mill Performance Improvement and Life Enhancement of BHEL Make XRP-1043 Coal Mills in Unit 5 &amp; 6 At CSTPS, Chandrapur.</v>
      </c>
      <c r="C2461" s="1488">
        <f t="shared" si="342"/>
        <v>0</v>
      </c>
      <c r="D2461" s="1413" t="str">
        <f t="shared" si="342"/>
        <v>-</v>
      </c>
      <c r="E2461" s="560">
        <f t="shared" si="342"/>
        <v>52.62</v>
      </c>
      <c r="F2461" s="1508">
        <f t="shared" si="335"/>
        <v>0</v>
      </c>
      <c r="G2461" s="1508">
        <f t="shared" si="336"/>
        <v>0</v>
      </c>
      <c r="H2461" s="1508">
        <f t="shared" si="337"/>
        <v>0</v>
      </c>
      <c r="I2461" s="1480">
        <v>0</v>
      </c>
      <c r="J2461" s="1480">
        <v>0</v>
      </c>
      <c r="K2461" s="1508"/>
      <c r="L2461" s="1508"/>
      <c r="M2461" s="1509">
        <f t="shared" si="338"/>
        <v>0</v>
      </c>
      <c r="N2461" s="1508">
        <f t="shared" si="339"/>
        <v>0</v>
      </c>
    </row>
    <row r="2462" spans="1:14" ht="46.5" outlineLevel="1" x14ac:dyDescent="0.25">
      <c r="A2462" s="1492">
        <f t="shared" si="342"/>
        <v>0</v>
      </c>
      <c r="B2462" s="1492" t="str">
        <f t="shared" si="342"/>
        <v>DPR For Coal Mill Performance Improvement and Life Enhancement of BHEL Make XRP-1043 Coal Mills in Unit 5 &amp; 6 At CSTPS, Chandrapur.</v>
      </c>
      <c r="C2462" s="1488">
        <f t="shared" si="342"/>
        <v>0</v>
      </c>
      <c r="D2462" s="1413" t="str">
        <f t="shared" si="342"/>
        <v>-</v>
      </c>
      <c r="E2462" s="560">
        <f t="shared" si="342"/>
        <v>52.62</v>
      </c>
      <c r="F2462" s="1508">
        <f t="shared" si="335"/>
        <v>0</v>
      </c>
      <c r="G2462" s="1508">
        <f t="shared" si="336"/>
        <v>0</v>
      </c>
      <c r="H2462" s="1508">
        <f t="shared" si="337"/>
        <v>0</v>
      </c>
      <c r="I2462" s="1480">
        <v>52.62</v>
      </c>
      <c r="J2462" s="1480">
        <v>52.62</v>
      </c>
      <c r="K2462" s="1508"/>
      <c r="L2462" s="1508"/>
      <c r="M2462" s="1509">
        <f t="shared" si="338"/>
        <v>52.62</v>
      </c>
      <c r="N2462" s="1508">
        <f t="shared" si="339"/>
        <v>0</v>
      </c>
    </row>
    <row r="2463" spans="1:14" ht="15.5" outlineLevel="1" x14ac:dyDescent="0.25">
      <c r="A2463" s="1504">
        <f t="shared" si="342"/>
        <v>0</v>
      </c>
      <c r="B2463" s="1504" t="str">
        <f t="shared" si="342"/>
        <v>Turbine Maintenance-II</v>
      </c>
      <c r="C2463" s="1488">
        <f t="shared" si="342"/>
        <v>0</v>
      </c>
      <c r="D2463" s="1413" t="str">
        <f t="shared" si="342"/>
        <v>-</v>
      </c>
      <c r="E2463" s="560">
        <f t="shared" si="342"/>
        <v>0</v>
      </c>
      <c r="F2463" s="1508">
        <f t="shared" si="335"/>
        <v>0</v>
      </c>
      <c r="G2463" s="1508">
        <f t="shared" si="336"/>
        <v>0</v>
      </c>
      <c r="H2463" s="1508">
        <f t="shared" si="337"/>
        <v>0</v>
      </c>
      <c r="I2463" s="1480">
        <v>0</v>
      </c>
      <c r="J2463" s="1480">
        <v>0</v>
      </c>
      <c r="K2463" s="1508"/>
      <c r="L2463" s="1508"/>
      <c r="M2463" s="1509">
        <f t="shared" si="338"/>
        <v>0</v>
      </c>
      <c r="N2463" s="1508">
        <f t="shared" si="339"/>
        <v>0</v>
      </c>
    </row>
    <row r="2464" spans="1:14" ht="46.5" outlineLevel="1" x14ac:dyDescent="0.25">
      <c r="A2464" s="1486">
        <f t="shared" si="342"/>
        <v>1</v>
      </c>
      <c r="B2464" s="1491" t="str">
        <f t="shared" si="342"/>
        <v>Post facto DPR for "Urgent restoration and Life Enhancement of Unit#5 500 MW BHEL make Turbo Generator for prolonged efficient operation at Stage-III CSTPS Chandrapur"</v>
      </c>
      <c r="C2464" s="166">
        <f t="shared" si="342"/>
        <v>0</v>
      </c>
      <c r="D2464" s="1413" t="str">
        <f t="shared" si="342"/>
        <v>-</v>
      </c>
      <c r="E2464" s="560">
        <f t="shared" si="342"/>
        <v>25.42</v>
      </c>
      <c r="F2464" s="1508">
        <f t="shared" si="335"/>
        <v>0</v>
      </c>
      <c r="G2464" s="1508">
        <f t="shared" si="336"/>
        <v>0</v>
      </c>
      <c r="H2464" s="1508">
        <f t="shared" si="337"/>
        <v>0</v>
      </c>
      <c r="I2464" s="1480">
        <v>0</v>
      </c>
      <c r="J2464" s="1480">
        <v>0</v>
      </c>
      <c r="K2464" s="1508"/>
      <c r="L2464" s="1508"/>
      <c r="M2464" s="1509">
        <f t="shared" si="338"/>
        <v>0</v>
      </c>
      <c r="N2464" s="1508">
        <f t="shared" si="339"/>
        <v>0</v>
      </c>
    </row>
    <row r="2465" spans="1:14" ht="46.5" outlineLevel="1" x14ac:dyDescent="0.25">
      <c r="A2465" s="1492">
        <f t="shared" si="342"/>
        <v>0</v>
      </c>
      <c r="B2465" s="1492" t="str">
        <f t="shared" si="342"/>
        <v>Post facto DPR for "Urgent restoration and Life Enhancement of Unit#5 500 MW BHEL make Turbo Generator for prolonged efficient operation at Stage-III CSTPS Chandrapur"</v>
      </c>
      <c r="C2465" s="166">
        <f t="shared" si="342"/>
        <v>0</v>
      </c>
      <c r="D2465" s="1413" t="str">
        <f t="shared" si="342"/>
        <v>-</v>
      </c>
      <c r="E2465" s="560">
        <f t="shared" si="342"/>
        <v>25.42</v>
      </c>
      <c r="F2465" s="1508">
        <f t="shared" si="335"/>
        <v>25.42</v>
      </c>
      <c r="G2465" s="1508">
        <f t="shared" si="336"/>
        <v>25.42</v>
      </c>
      <c r="H2465" s="1508">
        <f t="shared" si="337"/>
        <v>0</v>
      </c>
      <c r="I2465" s="1480">
        <v>0</v>
      </c>
      <c r="J2465" s="1480">
        <v>0</v>
      </c>
      <c r="K2465" s="1508"/>
      <c r="L2465" s="1508"/>
      <c r="M2465" s="1509">
        <f t="shared" si="338"/>
        <v>0</v>
      </c>
      <c r="N2465" s="1508">
        <f t="shared" si="339"/>
        <v>0</v>
      </c>
    </row>
    <row r="2466" spans="1:14" ht="31" outlineLevel="1" x14ac:dyDescent="0.25">
      <c r="A2466" s="1486">
        <f t="shared" si="342"/>
        <v>2</v>
      </c>
      <c r="B2466" s="1491" t="str">
        <f t="shared" si="342"/>
        <v>Upgradation and modernization scheme for Air Washer system installed in U-5 &amp; 6, CSTPS, Chandrapur</v>
      </c>
      <c r="C2466" s="1488">
        <f t="shared" si="342"/>
        <v>0</v>
      </c>
      <c r="D2466" s="1413" t="str">
        <f t="shared" si="342"/>
        <v>-</v>
      </c>
      <c r="E2466" s="560">
        <f t="shared" si="342"/>
        <v>25</v>
      </c>
      <c r="F2466" s="1508">
        <f t="shared" si="335"/>
        <v>0</v>
      </c>
      <c r="G2466" s="1508">
        <f t="shared" si="336"/>
        <v>0</v>
      </c>
      <c r="H2466" s="1508">
        <f t="shared" si="337"/>
        <v>0</v>
      </c>
      <c r="I2466" s="1480">
        <v>0</v>
      </c>
      <c r="J2466" s="1480">
        <v>0</v>
      </c>
      <c r="K2466" s="1508"/>
      <c r="L2466" s="1508"/>
      <c r="M2466" s="1509">
        <f t="shared" si="338"/>
        <v>0</v>
      </c>
      <c r="N2466" s="1508">
        <f t="shared" si="339"/>
        <v>0</v>
      </c>
    </row>
    <row r="2467" spans="1:14" ht="46.5" outlineLevel="1" x14ac:dyDescent="0.25">
      <c r="A2467" s="1492">
        <f t="shared" si="342"/>
        <v>0</v>
      </c>
      <c r="B2467" s="1492" t="str">
        <f t="shared" si="342"/>
        <v>Design, Supply, Installation, Testing &amp; commissioning of Energy Efficient Air Washer System for Unit -5 &amp; 6, 500MW, CSTPS, Chandrapur</v>
      </c>
      <c r="C2467" s="1488">
        <f t="shared" si="342"/>
        <v>0</v>
      </c>
      <c r="D2467" s="1413" t="str">
        <f t="shared" si="342"/>
        <v>-</v>
      </c>
      <c r="E2467" s="560">
        <f t="shared" si="342"/>
        <v>25</v>
      </c>
      <c r="F2467" s="1508">
        <f t="shared" si="335"/>
        <v>0</v>
      </c>
      <c r="G2467" s="1508">
        <f t="shared" si="336"/>
        <v>0</v>
      </c>
      <c r="H2467" s="1508">
        <f t="shared" si="337"/>
        <v>0</v>
      </c>
      <c r="I2467" s="1480">
        <v>0</v>
      </c>
      <c r="J2467" s="1480">
        <v>0</v>
      </c>
      <c r="K2467" s="1508"/>
      <c r="L2467" s="1508"/>
      <c r="M2467" s="1509">
        <f t="shared" si="338"/>
        <v>0</v>
      </c>
      <c r="N2467" s="1508">
        <f t="shared" si="339"/>
        <v>0</v>
      </c>
    </row>
    <row r="2468" spans="1:14" ht="31" outlineLevel="1" x14ac:dyDescent="0.25">
      <c r="A2468" s="1486">
        <f t="shared" ref="A2468:E2483" si="343">A1798</f>
        <v>3</v>
      </c>
      <c r="B2468" s="1491" t="str">
        <f t="shared" si="343"/>
        <v>Schemes for Improvement in availability &amp; performance of feed system for U-5, 6 &amp; 7, CSTPS, Chandrapur</v>
      </c>
      <c r="C2468" s="1488">
        <f t="shared" si="343"/>
        <v>0</v>
      </c>
      <c r="D2468" s="1413" t="str">
        <f t="shared" si="343"/>
        <v>-</v>
      </c>
      <c r="E2468" s="560">
        <f t="shared" si="343"/>
        <v>44.25</v>
      </c>
      <c r="F2468" s="1508">
        <f t="shared" ref="F2468:F2531" si="344">F1798+I1798</f>
        <v>0</v>
      </c>
      <c r="G2468" s="1508">
        <f t="shared" ref="G2468:G2531" si="345">G1798+M1798</f>
        <v>0</v>
      </c>
      <c r="H2468" s="1508">
        <f t="shared" si="337"/>
        <v>0</v>
      </c>
      <c r="I2468" s="1480">
        <v>0</v>
      </c>
      <c r="J2468" s="1480">
        <v>0</v>
      </c>
      <c r="K2468" s="1508"/>
      <c r="L2468" s="1508"/>
      <c r="M2468" s="1509">
        <f t="shared" si="338"/>
        <v>0</v>
      </c>
      <c r="N2468" s="1508">
        <f t="shared" si="339"/>
        <v>0</v>
      </c>
    </row>
    <row r="2469" spans="1:14" ht="31" outlineLevel="1" x14ac:dyDescent="0.25">
      <c r="A2469" s="1492">
        <f t="shared" si="343"/>
        <v>0</v>
      </c>
      <c r="B2469" s="1492" t="str">
        <f t="shared" si="343"/>
        <v>Procurement of BFP Booster Pump assembly for Unit-5, 6 &amp; 7 CSTPS Chandrapur</v>
      </c>
      <c r="C2469" s="1488">
        <f t="shared" si="343"/>
        <v>0</v>
      </c>
      <c r="D2469" s="1413" t="str">
        <f t="shared" si="343"/>
        <v>-</v>
      </c>
      <c r="E2469" s="560">
        <f t="shared" si="343"/>
        <v>7.2</v>
      </c>
      <c r="F2469" s="1508">
        <f t="shared" si="344"/>
        <v>0</v>
      </c>
      <c r="G2469" s="1508">
        <f t="shared" si="345"/>
        <v>0</v>
      </c>
      <c r="H2469" s="1508">
        <f t="shared" si="337"/>
        <v>0</v>
      </c>
      <c r="I2469" s="1480">
        <v>0</v>
      </c>
      <c r="J2469" s="1480">
        <v>0</v>
      </c>
      <c r="K2469" s="1508"/>
      <c r="L2469" s="1508"/>
      <c r="M2469" s="1509">
        <f t="shared" si="338"/>
        <v>0</v>
      </c>
      <c r="N2469" s="1508">
        <f t="shared" si="339"/>
        <v>0</v>
      </c>
    </row>
    <row r="2470" spans="1:14" ht="31" outlineLevel="1" x14ac:dyDescent="0.25">
      <c r="A2470" s="1492">
        <f t="shared" si="343"/>
        <v>0</v>
      </c>
      <c r="B2470" s="1492" t="str">
        <f t="shared" si="343"/>
        <v>Procurement of Boiler Feed Pump catridge with CI sealing for Unit- 5 &amp; 6 CSTPS Chandrapur</v>
      </c>
      <c r="C2470" s="1488">
        <f t="shared" si="343"/>
        <v>0</v>
      </c>
      <c r="D2470" s="1413" t="str">
        <f t="shared" si="343"/>
        <v>-</v>
      </c>
      <c r="E2470" s="560">
        <f t="shared" si="343"/>
        <v>11.2</v>
      </c>
      <c r="F2470" s="1508">
        <f t="shared" si="344"/>
        <v>0</v>
      </c>
      <c r="G2470" s="1508">
        <f t="shared" si="345"/>
        <v>0</v>
      </c>
      <c r="H2470" s="1508">
        <f t="shared" si="337"/>
        <v>0</v>
      </c>
      <c r="I2470" s="1480">
        <v>0</v>
      </c>
      <c r="J2470" s="1480">
        <v>0</v>
      </c>
      <c r="K2470" s="1508"/>
      <c r="L2470" s="1508"/>
      <c r="M2470" s="1509">
        <f t="shared" si="338"/>
        <v>0</v>
      </c>
      <c r="N2470" s="1508">
        <f t="shared" si="339"/>
        <v>0</v>
      </c>
    </row>
    <row r="2471" spans="1:14" ht="31" outlineLevel="1" x14ac:dyDescent="0.25">
      <c r="A2471" s="1492">
        <f t="shared" si="343"/>
        <v>0</v>
      </c>
      <c r="B2471" s="1492" t="str">
        <f t="shared" si="343"/>
        <v>Procurement of Modulating type Boiler Feed Pump Recirculation valve  assembly for 500 MW, U-5, 6 &amp; 7</v>
      </c>
      <c r="C2471" s="1488">
        <f t="shared" si="343"/>
        <v>0</v>
      </c>
      <c r="D2471" s="1413" t="str">
        <f t="shared" si="343"/>
        <v>-</v>
      </c>
      <c r="E2471" s="560">
        <f t="shared" si="343"/>
        <v>15.85</v>
      </c>
      <c r="F2471" s="1508">
        <f t="shared" si="344"/>
        <v>0</v>
      </c>
      <c r="G2471" s="1508">
        <f t="shared" si="345"/>
        <v>0</v>
      </c>
      <c r="H2471" s="1508">
        <f t="shared" si="337"/>
        <v>0</v>
      </c>
      <c r="I2471" s="1480">
        <v>0</v>
      </c>
      <c r="J2471" s="1480">
        <v>0</v>
      </c>
      <c r="K2471" s="1508"/>
      <c r="L2471" s="1508"/>
      <c r="M2471" s="1509">
        <f t="shared" si="338"/>
        <v>0</v>
      </c>
      <c r="N2471" s="1508">
        <f t="shared" si="339"/>
        <v>0</v>
      </c>
    </row>
    <row r="2472" spans="1:14" ht="31" outlineLevel="1" x14ac:dyDescent="0.25">
      <c r="A2472" s="1492">
        <f t="shared" si="343"/>
        <v>0</v>
      </c>
      <c r="B2472" s="1492" t="str">
        <f t="shared" si="343"/>
        <v>Procurement of Fully bladed dynamically balanced Rotor (along with both side coupling hub) for TDBFP Turbine</v>
      </c>
      <c r="C2472" s="1488">
        <f t="shared" si="343"/>
        <v>0</v>
      </c>
      <c r="D2472" s="1413" t="str">
        <f t="shared" si="343"/>
        <v>-</v>
      </c>
      <c r="E2472" s="560">
        <f t="shared" si="343"/>
        <v>8.5</v>
      </c>
      <c r="F2472" s="1508">
        <f t="shared" si="344"/>
        <v>0</v>
      </c>
      <c r="G2472" s="1508">
        <f t="shared" si="345"/>
        <v>0</v>
      </c>
      <c r="H2472" s="1508">
        <f t="shared" si="337"/>
        <v>0</v>
      </c>
      <c r="I2472" s="1480">
        <v>0</v>
      </c>
      <c r="J2472" s="1480">
        <v>0</v>
      </c>
      <c r="K2472" s="1508"/>
      <c r="L2472" s="1508"/>
      <c r="M2472" s="1509">
        <f t="shared" si="338"/>
        <v>0</v>
      </c>
      <c r="N2472" s="1508">
        <f t="shared" si="339"/>
        <v>0</v>
      </c>
    </row>
    <row r="2473" spans="1:14" ht="31" outlineLevel="1" x14ac:dyDescent="0.25">
      <c r="A2473" s="1492">
        <f t="shared" si="343"/>
        <v>0</v>
      </c>
      <c r="B2473" s="1492" t="str">
        <f t="shared" si="343"/>
        <v>Life enhancement and efficiency improvement of 500MW U-5 &amp; 6 TDBFP Lub System</v>
      </c>
      <c r="C2473" s="1488">
        <f t="shared" si="343"/>
        <v>0</v>
      </c>
      <c r="D2473" s="1413" t="str">
        <f t="shared" si="343"/>
        <v>-</v>
      </c>
      <c r="E2473" s="560">
        <f t="shared" si="343"/>
        <v>1.5</v>
      </c>
      <c r="F2473" s="1508">
        <f t="shared" si="344"/>
        <v>0</v>
      </c>
      <c r="G2473" s="1508">
        <f t="shared" si="345"/>
        <v>0</v>
      </c>
      <c r="H2473" s="1508">
        <f t="shared" si="337"/>
        <v>0</v>
      </c>
      <c r="I2473" s="1480">
        <v>0</v>
      </c>
      <c r="J2473" s="1480">
        <v>0</v>
      </c>
      <c r="K2473" s="1508"/>
      <c r="L2473" s="1508"/>
      <c r="M2473" s="1509">
        <f t="shared" si="338"/>
        <v>0</v>
      </c>
      <c r="N2473" s="1508">
        <f t="shared" si="339"/>
        <v>0</v>
      </c>
    </row>
    <row r="2474" spans="1:14" ht="31" outlineLevel="1" x14ac:dyDescent="0.25">
      <c r="A2474" s="1486">
        <f t="shared" si="343"/>
        <v>4</v>
      </c>
      <c r="B2474" s="1491" t="str">
        <f t="shared" si="343"/>
        <v xml:space="preserve">Life enhancement and Reliability improvement schemes of 500MW Main Turbine Assests </v>
      </c>
      <c r="C2474" s="1488">
        <f t="shared" si="343"/>
        <v>0</v>
      </c>
      <c r="D2474" s="1413" t="str">
        <f t="shared" si="343"/>
        <v>-</v>
      </c>
      <c r="E2474" s="560">
        <f t="shared" si="343"/>
        <v>36.81</v>
      </c>
      <c r="F2474" s="1508">
        <f t="shared" si="344"/>
        <v>0</v>
      </c>
      <c r="G2474" s="1508">
        <f t="shared" si="345"/>
        <v>0</v>
      </c>
      <c r="H2474" s="1508">
        <f t="shared" si="337"/>
        <v>0</v>
      </c>
      <c r="I2474" s="1480">
        <v>0</v>
      </c>
      <c r="J2474" s="1480">
        <v>0</v>
      </c>
      <c r="K2474" s="1508"/>
      <c r="L2474" s="1508"/>
      <c r="M2474" s="1509">
        <f t="shared" si="338"/>
        <v>0</v>
      </c>
      <c r="N2474" s="1508">
        <f t="shared" si="339"/>
        <v>0</v>
      </c>
    </row>
    <row r="2475" spans="1:14" ht="46.5" outlineLevel="1" x14ac:dyDescent="0.25">
      <c r="A2475" s="1492">
        <f t="shared" si="343"/>
        <v>0</v>
      </c>
      <c r="B2475" s="1492" t="str">
        <f t="shared" si="343"/>
        <v>Reliability improvement of Low pressure Turbine by maintaining one set of LP free standing blades as insurance spare</v>
      </c>
      <c r="C2475" s="1488">
        <f t="shared" si="343"/>
        <v>0</v>
      </c>
      <c r="D2475" s="1413" t="str">
        <f t="shared" si="343"/>
        <v>-</v>
      </c>
      <c r="E2475" s="560">
        <f t="shared" si="343"/>
        <v>24</v>
      </c>
      <c r="F2475" s="1508">
        <f t="shared" si="344"/>
        <v>0</v>
      </c>
      <c r="G2475" s="1508">
        <f t="shared" si="345"/>
        <v>0</v>
      </c>
      <c r="H2475" s="1508">
        <f t="shared" si="337"/>
        <v>0</v>
      </c>
      <c r="I2475" s="1480">
        <v>0</v>
      </c>
      <c r="J2475" s="1480">
        <v>0</v>
      </c>
      <c r="K2475" s="1508"/>
      <c r="L2475" s="1508"/>
      <c r="M2475" s="1509">
        <f t="shared" si="338"/>
        <v>0</v>
      </c>
      <c r="N2475" s="1508">
        <f t="shared" si="339"/>
        <v>0</v>
      </c>
    </row>
    <row r="2476" spans="1:14" ht="31" outlineLevel="1" x14ac:dyDescent="0.25">
      <c r="A2476" s="1492">
        <f t="shared" si="343"/>
        <v>0</v>
      </c>
      <c r="B2476" s="1492" t="str">
        <f t="shared" si="343"/>
        <v>Performance and efficiency improvement of 500MW U-5 &amp; 6 High Pressure Turbine module</v>
      </c>
      <c r="C2476" s="1488">
        <f t="shared" si="343"/>
        <v>0</v>
      </c>
      <c r="D2476" s="1413" t="str">
        <f t="shared" si="343"/>
        <v>-</v>
      </c>
      <c r="E2476" s="560">
        <f t="shared" si="343"/>
        <v>9.81</v>
      </c>
      <c r="F2476" s="1508">
        <f t="shared" si="344"/>
        <v>0</v>
      </c>
      <c r="G2476" s="1508">
        <f t="shared" si="345"/>
        <v>0</v>
      </c>
      <c r="H2476" s="1508">
        <f t="shared" si="337"/>
        <v>0</v>
      </c>
      <c r="I2476" s="1480">
        <v>9.81</v>
      </c>
      <c r="J2476" s="1480">
        <v>9.81</v>
      </c>
      <c r="K2476" s="1508"/>
      <c r="L2476" s="1508"/>
      <c r="M2476" s="1509">
        <f t="shared" si="338"/>
        <v>9.81</v>
      </c>
      <c r="N2476" s="1508">
        <f t="shared" si="339"/>
        <v>0</v>
      </c>
    </row>
    <row r="2477" spans="1:14" ht="31" outlineLevel="1" x14ac:dyDescent="0.25">
      <c r="A2477" s="1492">
        <f t="shared" si="343"/>
        <v>0</v>
      </c>
      <c r="B2477" s="1492" t="str">
        <f t="shared" si="343"/>
        <v xml:space="preserve"> Life enhancement and efficiency improvement of 500MW U-5 &amp; 6 Main TG Lub System</v>
      </c>
      <c r="C2477" s="1488">
        <f t="shared" si="343"/>
        <v>0</v>
      </c>
      <c r="D2477" s="1413" t="str">
        <f t="shared" si="343"/>
        <v>-</v>
      </c>
      <c r="E2477" s="560">
        <f t="shared" si="343"/>
        <v>3</v>
      </c>
      <c r="F2477" s="1508">
        <f t="shared" si="344"/>
        <v>0</v>
      </c>
      <c r="G2477" s="1508">
        <f t="shared" si="345"/>
        <v>0</v>
      </c>
      <c r="H2477" s="1508">
        <f t="shared" si="337"/>
        <v>0</v>
      </c>
      <c r="I2477" s="1480">
        <v>0</v>
      </c>
      <c r="J2477" s="1480">
        <v>0</v>
      </c>
      <c r="K2477" s="1508"/>
      <c r="L2477" s="1508"/>
      <c r="M2477" s="1509">
        <f t="shared" si="338"/>
        <v>0</v>
      </c>
      <c r="N2477" s="1508">
        <f t="shared" si="339"/>
        <v>0</v>
      </c>
    </row>
    <row r="2478" spans="1:14" ht="15.5" outlineLevel="1" x14ac:dyDescent="0.25">
      <c r="A2478" s="1486">
        <f t="shared" si="343"/>
        <v>5</v>
      </c>
      <c r="B2478" s="1491" t="str">
        <f t="shared" si="343"/>
        <v xml:space="preserve"> Reliability improvement of Main Turbine </v>
      </c>
      <c r="C2478" s="1488">
        <f t="shared" si="343"/>
        <v>0</v>
      </c>
      <c r="D2478" s="1413" t="str">
        <f t="shared" si="343"/>
        <v>-</v>
      </c>
      <c r="E2478" s="560">
        <f t="shared" si="343"/>
        <v>45</v>
      </c>
      <c r="F2478" s="1508">
        <f t="shared" si="344"/>
        <v>0</v>
      </c>
      <c r="G2478" s="1508">
        <f t="shared" si="345"/>
        <v>0</v>
      </c>
      <c r="H2478" s="1508">
        <f t="shared" si="337"/>
        <v>0</v>
      </c>
      <c r="I2478" s="1480">
        <v>0</v>
      </c>
      <c r="J2478" s="1480">
        <v>0</v>
      </c>
      <c r="K2478" s="1508"/>
      <c r="L2478" s="1508"/>
      <c r="M2478" s="1509">
        <f t="shared" si="338"/>
        <v>0</v>
      </c>
      <c r="N2478" s="1508">
        <f t="shared" si="339"/>
        <v>0</v>
      </c>
    </row>
    <row r="2479" spans="1:14" ht="31" outlineLevel="1" x14ac:dyDescent="0.25">
      <c r="A2479" s="1492">
        <f t="shared" si="343"/>
        <v>0</v>
      </c>
      <c r="B2479" s="1492" t="str">
        <f t="shared" si="343"/>
        <v>Brief Scope of Work; Procurement of critical spares for Main TG U-5, 6 &amp; 7</v>
      </c>
      <c r="C2479" s="1488">
        <f t="shared" si="343"/>
        <v>0</v>
      </c>
      <c r="D2479" s="1413" t="str">
        <f t="shared" si="343"/>
        <v>-</v>
      </c>
      <c r="E2479" s="560">
        <f t="shared" si="343"/>
        <v>10</v>
      </c>
      <c r="F2479" s="1508">
        <f t="shared" si="344"/>
        <v>0</v>
      </c>
      <c r="G2479" s="1508">
        <f t="shared" si="345"/>
        <v>0</v>
      </c>
      <c r="H2479" s="1508">
        <f t="shared" si="337"/>
        <v>0</v>
      </c>
      <c r="I2479" s="1480">
        <v>10</v>
      </c>
      <c r="J2479" s="1480">
        <v>10</v>
      </c>
      <c r="K2479" s="1508"/>
      <c r="L2479" s="1508"/>
      <c r="M2479" s="1509">
        <f t="shared" si="338"/>
        <v>10</v>
      </c>
      <c r="N2479" s="1508">
        <f t="shared" si="339"/>
        <v>0</v>
      </c>
    </row>
    <row r="2480" spans="1:14" ht="46.5" outlineLevel="1" x14ac:dyDescent="0.25">
      <c r="A2480" s="1492">
        <f t="shared" si="343"/>
        <v>0</v>
      </c>
      <c r="B2480" s="1492" t="str">
        <f t="shared" si="343"/>
        <v xml:space="preserve">Procurement of HP turbine Module along with breach nuts and pipe spool pieces (Type:H30-100-2) for Unit-7, CSTPS, Chandrapur </v>
      </c>
      <c r="C2480" s="1488">
        <f t="shared" si="343"/>
        <v>0</v>
      </c>
      <c r="D2480" s="1413" t="str">
        <f t="shared" si="343"/>
        <v>-</v>
      </c>
      <c r="E2480" s="560">
        <f t="shared" si="343"/>
        <v>35</v>
      </c>
      <c r="F2480" s="1508">
        <f t="shared" si="344"/>
        <v>0</v>
      </c>
      <c r="G2480" s="1508">
        <f t="shared" si="345"/>
        <v>0</v>
      </c>
      <c r="H2480" s="1508">
        <f t="shared" si="337"/>
        <v>0</v>
      </c>
      <c r="I2480" s="1480">
        <v>35</v>
      </c>
      <c r="J2480" s="1480">
        <v>35</v>
      </c>
      <c r="K2480" s="1508"/>
      <c r="L2480" s="1508"/>
      <c r="M2480" s="1509">
        <f t="shared" si="338"/>
        <v>35</v>
      </c>
      <c r="N2480" s="1508">
        <f t="shared" si="339"/>
        <v>0</v>
      </c>
    </row>
    <row r="2481" spans="1:14" ht="31" outlineLevel="1" x14ac:dyDescent="0.25">
      <c r="A2481" s="1486">
        <f t="shared" si="343"/>
        <v>6</v>
      </c>
      <c r="B2481" s="1491" t="str">
        <f t="shared" si="343"/>
        <v xml:space="preserve">Reliability improvement of IP Turbine for 500 MW Main TG U-5 &amp; 6 </v>
      </c>
      <c r="C2481" s="1488">
        <f t="shared" si="343"/>
        <v>0</v>
      </c>
      <c r="D2481" s="1413" t="str">
        <f t="shared" si="343"/>
        <v>-</v>
      </c>
      <c r="E2481" s="560">
        <f t="shared" si="343"/>
        <v>35</v>
      </c>
      <c r="F2481" s="1508">
        <f t="shared" si="344"/>
        <v>0</v>
      </c>
      <c r="G2481" s="1508">
        <f t="shared" si="345"/>
        <v>0</v>
      </c>
      <c r="H2481" s="1508">
        <f t="shared" si="337"/>
        <v>0</v>
      </c>
      <c r="I2481" s="1480">
        <v>0</v>
      </c>
      <c r="J2481" s="1480">
        <v>0</v>
      </c>
      <c r="K2481" s="1508"/>
      <c r="L2481" s="1508"/>
      <c r="M2481" s="1509">
        <f t="shared" si="338"/>
        <v>0</v>
      </c>
      <c r="N2481" s="1508">
        <f t="shared" si="339"/>
        <v>0</v>
      </c>
    </row>
    <row r="2482" spans="1:14" ht="46.5" outlineLevel="1" x14ac:dyDescent="0.25">
      <c r="A2482" s="1492">
        <f t="shared" si="343"/>
        <v>0</v>
      </c>
      <c r="B2482" s="1492" t="str">
        <f t="shared" si="343"/>
        <v>Procurement of Fully Bladed &amp; Dynamically Balanced IP Rotor (M 30-50) for 500MW Unit-5 &amp; 6, CSTPS, Chandrapur under Capital Nature items.</v>
      </c>
      <c r="C2482" s="1488">
        <f t="shared" si="343"/>
        <v>0</v>
      </c>
      <c r="D2482" s="1413" t="str">
        <f t="shared" si="343"/>
        <v>-</v>
      </c>
      <c r="E2482" s="560">
        <f t="shared" si="343"/>
        <v>35</v>
      </c>
      <c r="F2482" s="1508">
        <f t="shared" si="344"/>
        <v>0</v>
      </c>
      <c r="G2482" s="1508">
        <f t="shared" si="345"/>
        <v>0</v>
      </c>
      <c r="H2482" s="1508">
        <f t="shared" ref="H2482:H2545" si="346">F2482-G2482</f>
        <v>0</v>
      </c>
      <c r="I2482" s="1480">
        <v>0</v>
      </c>
      <c r="J2482" s="1480">
        <v>0</v>
      </c>
      <c r="K2482" s="1508"/>
      <c r="L2482" s="1508"/>
      <c r="M2482" s="1509">
        <f t="shared" ref="M2482:M2545" si="347">SUM(J2482:L2482)</f>
        <v>0</v>
      </c>
      <c r="N2482" s="1508">
        <f t="shared" ref="N2482:N2545" si="348">H2482+I2482-M2482</f>
        <v>0</v>
      </c>
    </row>
    <row r="2483" spans="1:14" ht="15.5" outlineLevel="1" x14ac:dyDescent="0.25">
      <c r="A2483" s="1486">
        <f t="shared" si="343"/>
        <v>7</v>
      </c>
      <c r="B2483" s="1491" t="str">
        <f t="shared" si="343"/>
        <v>Energy saving in Air compressors</v>
      </c>
      <c r="C2483" s="1488">
        <f t="shared" si="343"/>
        <v>0</v>
      </c>
      <c r="D2483" s="1413" t="str">
        <f t="shared" si="343"/>
        <v>-</v>
      </c>
      <c r="E2483" s="560">
        <f t="shared" si="343"/>
        <v>30</v>
      </c>
      <c r="F2483" s="1508">
        <f t="shared" si="344"/>
        <v>0</v>
      </c>
      <c r="G2483" s="1508">
        <f t="shared" si="345"/>
        <v>0</v>
      </c>
      <c r="H2483" s="1508">
        <f t="shared" si="346"/>
        <v>0</v>
      </c>
      <c r="I2483" s="1480">
        <v>0</v>
      </c>
      <c r="J2483" s="1480">
        <v>0</v>
      </c>
      <c r="K2483" s="1508"/>
      <c r="L2483" s="1508"/>
      <c r="M2483" s="1509">
        <f t="shared" si="347"/>
        <v>0</v>
      </c>
      <c r="N2483" s="1508">
        <f t="shared" si="348"/>
        <v>0</v>
      </c>
    </row>
    <row r="2484" spans="1:14" ht="31" outlineLevel="1" x14ac:dyDescent="0.25">
      <c r="A2484" s="1492">
        <f t="shared" ref="A2484:E2499" si="349">A1814</f>
        <v>0</v>
      </c>
      <c r="B2484" s="1492" t="str">
        <f t="shared" si="349"/>
        <v>Air Compressor Unit-7 to be replaced in a phased manner with energy efficient compressor</v>
      </c>
      <c r="C2484" s="1488">
        <f t="shared" si="349"/>
        <v>0</v>
      </c>
      <c r="D2484" s="1413" t="str">
        <f t="shared" si="349"/>
        <v>-</v>
      </c>
      <c r="E2484" s="560">
        <f t="shared" si="349"/>
        <v>30</v>
      </c>
      <c r="F2484" s="1508">
        <f t="shared" si="344"/>
        <v>0</v>
      </c>
      <c r="G2484" s="1508">
        <f t="shared" si="345"/>
        <v>0</v>
      </c>
      <c r="H2484" s="1508">
        <f t="shared" si="346"/>
        <v>0</v>
      </c>
      <c r="I2484" s="1480">
        <v>0</v>
      </c>
      <c r="J2484" s="1480">
        <v>0</v>
      </c>
      <c r="K2484" s="1508"/>
      <c r="L2484" s="1508"/>
      <c r="M2484" s="1509">
        <f t="shared" si="347"/>
        <v>0</v>
      </c>
      <c r="N2484" s="1508">
        <f t="shared" si="348"/>
        <v>0</v>
      </c>
    </row>
    <row r="2485" spans="1:14" ht="15.5" outlineLevel="1" x14ac:dyDescent="0.25">
      <c r="A2485" s="1486">
        <f t="shared" si="349"/>
        <v>8</v>
      </c>
      <c r="B2485" s="1491" t="str">
        <f t="shared" si="349"/>
        <v>Efficiency Upgrade of AC Plant of Unit-5 &amp; 6</v>
      </c>
      <c r="C2485" s="1488">
        <f t="shared" si="349"/>
        <v>0</v>
      </c>
      <c r="D2485" s="1413" t="str">
        <f t="shared" si="349"/>
        <v>-</v>
      </c>
      <c r="E2485" s="560">
        <f t="shared" si="349"/>
        <v>50</v>
      </c>
      <c r="F2485" s="1508">
        <f t="shared" si="344"/>
        <v>0</v>
      </c>
      <c r="G2485" s="1508">
        <f t="shared" si="345"/>
        <v>0</v>
      </c>
      <c r="H2485" s="1508">
        <f t="shared" si="346"/>
        <v>0</v>
      </c>
      <c r="I2485" s="1480">
        <v>0</v>
      </c>
      <c r="J2485" s="1480">
        <v>0</v>
      </c>
      <c r="K2485" s="1508"/>
      <c r="L2485" s="1508"/>
      <c r="M2485" s="1509">
        <f t="shared" si="347"/>
        <v>0</v>
      </c>
      <c r="N2485" s="1508">
        <f t="shared" si="348"/>
        <v>0</v>
      </c>
    </row>
    <row r="2486" spans="1:14" ht="46.5" outlineLevel="1" x14ac:dyDescent="0.25">
      <c r="A2486" s="1492">
        <f t="shared" si="349"/>
        <v>0</v>
      </c>
      <c r="B2486" s="1492" t="str">
        <f t="shared" si="349"/>
        <v>Design, Manufacture, Supply, Erection &amp; Commissioning,environment friendly, Efficiency Upgrade of AC Plant of Unit-5 &amp; 6</v>
      </c>
      <c r="C2486" s="1488">
        <f t="shared" si="349"/>
        <v>0</v>
      </c>
      <c r="D2486" s="1413" t="str">
        <f t="shared" si="349"/>
        <v>-</v>
      </c>
      <c r="E2486" s="560">
        <f t="shared" si="349"/>
        <v>50</v>
      </c>
      <c r="F2486" s="1508">
        <f t="shared" si="344"/>
        <v>0</v>
      </c>
      <c r="G2486" s="1508">
        <f t="shared" si="345"/>
        <v>0</v>
      </c>
      <c r="H2486" s="1508">
        <f t="shared" si="346"/>
        <v>0</v>
      </c>
      <c r="I2486" s="1480">
        <v>0</v>
      </c>
      <c r="J2486" s="1480">
        <v>0</v>
      </c>
      <c r="K2486" s="1508"/>
      <c r="L2486" s="1508"/>
      <c r="M2486" s="1509">
        <f t="shared" si="347"/>
        <v>0</v>
      </c>
      <c r="N2486" s="1508">
        <f t="shared" si="348"/>
        <v>0</v>
      </c>
    </row>
    <row r="2487" spans="1:14" ht="15.5" outlineLevel="1" x14ac:dyDescent="0.25">
      <c r="A2487" s="1504">
        <f t="shared" si="349"/>
        <v>0</v>
      </c>
      <c r="B2487" s="1504" t="str">
        <f t="shared" si="349"/>
        <v>Electrical Maintenance-II</v>
      </c>
      <c r="C2487" s="1488">
        <f t="shared" si="349"/>
        <v>0</v>
      </c>
      <c r="D2487" s="1413" t="str">
        <f t="shared" si="349"/>
        <v>-</v>
      </c>
      <c r="E2487" s="560">
        <f t="shared" si="349"/>
        <v>0</v>
      </c>
      <c r="F2487" s="1508">
        <f t="shared" si="344"/>
        <v>0</v>
      </c>
      <c r="G2487" s="1508">
        <f t="shared" si="345"/>
        <v>0</v>
      </c>
      <c r="H2487" s="1508">
        <f t="shared" si="346"/>
        <v>0</v>
      </c>
      <c r="I2487" s="1480">
        <v>0</v>
      </c>
      <c r="J2487" s="1480">
        <v>0</v>
      </c>
      <c r="K2487" s="1508"/>
      <c r="L2487" s="1508"/>
      <c r="M2487" s="1509">
        <f t="shared" si="347"/>
        <v>0</v>
      </c>
      <c r="N2487" s="1508">
        <f t="shared" si="348"/>
        <v>0</v>
      </c>
    </row>
    <row r="2488" spans="1:14" ht="139.5" outlineLevel="1" x14ac:dyDescent="0.25">
      <c r="A2488" s="1486">
        <f t="shared" si="349"/>
        <v>1</v>
      </c>
      <c r="B2488" s="1491" t="str">
        <f t="shared" si="349"/>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2488" s="1488">
        <f t="shared" si="349"/>
        <v>0</v>
      </c>
      <c r="D2488" s="1413" t="str">
        <f t="shared" si="349"/>
        <v>-</v>
      </c>
      <c r="E2488" s="560">
        <f t="shared" si="349"/>
        <v>25.07</v>
      </c>
      <c r="F2488" s="1508">
        <f t="shared" si="344"/>
        <v>0</v>
      </c>
      <c r="G2488" s="1508">
        <f t="shared" si="345"/>
        <v>0</v>
      </c>
      <c r="H2488" s="1508">
        <f t="shared" si="346"/>
        <v>0</v>
      </c>
      <c r="I2488" s="1480">
        <v>0</v>
      </c>
      <c r="J2488" s="1480">
        <v>0</v>
      </c>
      <c r="K2488" s="1508"/>
      <c r="L2488" s="1508"/>
      <c r="M2488" s="1509">
        <f t="shared" si="347"/>
        <v>0</v>
      </c>
      <c r="N2488" s="1508">
        <f t="shared" si="348"/>
        <v>0</v>
      </c>
    </row>
    <row r="2489" spans="1:14" ht="77.5" outlineLevel="1" x14ac:dyDescent="0.25">
      <c r="A2489" s="1492">
        <f t="shared" si="349"/>
        <v>0</v>
      </c>
      <c r="B2489" s="1492" t="str">
        <f t="shared" si="349"/>
        <v>Supply, Installation, Testing, Commissioning for complete solution and comprehensive protection and monitoring package along with retrofit of allied accessories for Generator Transformers for 3 X 500 MW Unit#5,6&amp;7 500MW Stage-III CSTPS Chandrapur.</v>
      </c>
      <c r="C2489" s="1488">
        <f t="shared" si="349"/>
        <v>0</v>
      </c>
      <c r="D2489" s="1413" t="str">
        <f t="shared" si="349"/>
        <v>-</v>
      </c>
      <c r="E2489" s="560">
        <f t="shared" si="349"/>
        <v>15.07</v>
      </c>
      <c r="F2489" s="1508">
        <f t="shared" si="344"/>
        <v>0</v>
      </c>
      <c r="G2489" s="1508">
        <f t="shared" si="345"/>
        <v>0</v>
      </c>
      <c r="H2489" s="1508">
        <f t="shared" si="346"/>
        <v>0</v>
      </c>
      <c r="I2489" s="1480">
        <v>15.07</v>
      </c>
      <c r="J2489" s="1480">
        <v>15.07</v>
      </c>
      <c r="K2489" s="1508"/>
      <c r="L2489" s="1508"/>
      <c r="M2489" s="1509">
        <f t="shared" si="347"/>
        <v>15.07</v>
      </c>
      <c r="N2489" s="1508">
        <f t="shared" si="348"/>
        <v>0</v>
      </c>
    </row>
    <row r="2490" spans="1:14" ht="108.5" outlineLevel="1" x14ac:dyDescent="0.25">
      <c r="A2490" s="1492">
        <f t="shared" si="349"/>
        <v>0</v>
      </c>
      <c r="B2490" s="1492" t="str">
        <f t="shared" si="349"/>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2490" s="1488">
        <f t="shared" si="349"/>
        <v>0</v>
      </c>
      <c r="D2490" s="1413" t="str">
        <f t="shared" si="349"/>
        <v>-</v>
      </c>
      <c r="E2490" s="560">
        <f t="shared" si="349"/>
        <v>10</v>
      </c>
      <c r="F2490" s="1508">
        <f t="shared" si="344"/>
        <v>0</v>
      </c>
      <c r="G2490" s="1508">
        <f t="shared" si="345"/>
        <v>0</v>
      </c>
      <c r="H2490" s="1508">
        <f t="shared" si="346"/>
        <v>0</v>
      </c>
      <c r="I2490" s="1480">
        <v>10</v>
      </c>
      <c r="J2490" s="1480">
        <v>10</v>
      </c>
      <c r="K2490" s="1508"/>
      <c r="L2490" s="1508"/>
      <c r="M2490" s="1509">
        <f t="shared" si="347"/>
        <v>10</v>
      </c>
      <c r="N2490" s="1508">
        <f t="shared" si="348"/>
        <v>0</v>
      </c>
    </row>
    <row r="2491" spans="1:14" ht="31" outlineLevel="1" x14ac:dyDescent="0.25">
      <c r="A2491" s="1486">
        <f t="shared" si="349"/>
        <v>2</v>
      </c>
      <c r="B2491" s="1491" t="str">
        <f t="shared" si="349"/>
        <v>DPR for Life enhancement and Energy efficiency of Critical HT Auxiliaries of Unit#3 to 7, CSTPS, Chandrapur</v>
      </c>
      <c r="C2491" s="1488">
        <f t="shared" si="349"/>
        <v>0</v>
      </c>
      <c r="D2491" s="1413" t="str">
        <f t="shared" si="349"/>
        <v>-</v>
      </c>
      <c r="E2491" s="560">
        <f t="shared" si="349"/>
        <v>44.31</v>
      </c>
      <c r="F2491" s="1508">
        <f t="shared" si="344"/>
        <v>0</v>
      </c>
      <c r="G2491" s="1508">
        <f t="shared" si="345"/>
        <v>0</v>
      </c>
      <c r="H2491" s="1508">
        <f t="shared" si="346"/>
        <v>0</v>
      </c>
      <c r="I2491" s="1480">
        <v>0</v>
      </c>
      <c r="J2491" s="1480">
        <v>0</v>
      </c>
      <c r="K2491" s="1508"/>
      <c r="L2491" s="1508"/>
      <c r="M2491" s="1509">
        <f t="shared" si="347"/>
        <v>0</v>
      </c>
      <c r="N2491" s="1508">
        <f t="shared" si="348"/>
        <v>0</v>
      </c>
    </row>
    <row r="2492" spans="1:14" ht="31" outlineLevel="1" x14ac:dyDescent="0.25">
      <c r="A2492" s="1492">
        <f t="shared" si="349"/>
        <v>0</v>
      </c>
      <c r="B2492" s="1492" t="str">
        <f t="shared" si="349"/>
        <v>Life enhancement and Energy efficiency of Critical HT Auxiliaries of Unit#3 to 7, CSTPS, Chandrapur</v>
      </c>
      <c r="C2492" s="1488">
        <f t="shared" si="349"/>
        <v>0</v>
      </c>
      <c r="D2492" s="1413" t="str">
        <f t="shared" si="349"/>
        <v>-</v>
      </c>
      <c r="E2492" s="560">
        <f t="shared" si="349"/>
        <v>44.31</v>
      </c>
      <c r="F2492" s="1508">
        <f t="shared" si="344"/>
        <v>0</v>
      </c>
      <c r="G2492" s="1508">
        <f t="shared" si="345"/>
        <v>0</v>
      </c>
      <c r="H2492" s="1508">
        <f t="shared" si="346"/>
        <v>0</v>
      </c>
      <c r="I2492" s="1480">
        <v>44.31</v>
      </c>
      <c r="J2492" s="1480">
        <v>44.31</v>
      </c>
      <c r="K2492" s="1508"/>
      <c r="L2492" s="1508"/>
      <c r="M2492" s="1509">
        <f t="shared" si="347"/>
        <v>44.31</v>
      </c>
      <c r="N2492" s="1508">
        <f t="shared" si="348"/>
        <v>0</v>
      </c>
    </row>
    <row r="2493" spans="1:14" ht="31" outlineLevel="1" x14ac:dyDescent="0.25">
      <c r="A2493" s="1486">
        <f t="shared" si="349"/>
        <v>3</v>
      </c>
      <c r="B2493" s="1491" t="str">
        <f t="shared" si="349"/>
        <v>DPR for “Supply &amp; Installation of energy saving plates for Energy Conservation  at 3X500MW, CSTPS, Chandrapur.”</v>
      </c>
      <c r="C2493" s="1488">
        <f t="shared" si="349"/>
        <v>0</v>
      </c>
      <c r="D2493" s="1413" t="str">
        <f t="shared" si="349"/>
        <v>-</v>
      </c>
      <c r="E2493" s="560">
        <f t="shared" si="349"/>
        <v>25</v>
      </c>
      <c r="F2493" s="1508">
        <f t="shared" si="344"/>
        <v>0</v>
      </c>
      <c r="G2493" s="1508">
        <f t="shared" si="345"/>
        <v>0</v>
      </c>
      <c r="H2493" s="1508">
        <f t="shared" si="346"/>
        <v>0</v>
      </c>
      <c r="I2493" s="1480">
        <v>0</v>
      </c>
      <c r="J2493" s="1480">
        <v>0</v>
      </c>
      <c r="K2493" s="1508"/>
      <c r="L2493" s="1508"/>
      <c r="M2493" s="1509">
        <f t="shared" si="347"/>
        <v>0</v>
      </c>
      <c r="N2493" s="1508">
        <f t="shared" si="348"/>
        <v>0</v>
      </c>
    </row>
    <row r="2494" spans="1:14" ht="31" outlineLevel="1" x14ac:dyDescent="0.25">
      <c r="A2494" s="1492">
        <f t="shared" si="349"/>
        <v>0</v>
      </c>
      <c r="B2494" s="1492" t="str">
        <f t="shared" si="349"/>
        <v>Supply &amp; Installation of energy saving plates for Energy Conservation  at 3X500MW, CSTPS, Chandrapur.</v>
      </c>
      <c r="C2494" s="1488">
        <f t="shared" si="349"/>
        <v>0</v>
      </c>
      <c r="D2494" s="1413" t="str">
        <f t="shared" si="349"/>
        <v>-</v>
      </c>
      <c r="E2494" s="560">
        <f t="shared" si="349"/>
        <v>25</v>
      </c>
      <c r="F2494" s="1508">
        <f t="shared" si="344"/>
        <v>0</v>
      </c>
      <c r="G2494" s="1508">
        <f t="shared" si="345"/>
        <v>0</v>
      </c>
      <c r="H2494" s="1508">
        <f t="shared" si="346"/>
        <v>0</v>
      </c>
      <c r="I2494" s="1480">
        <v>0</v>
      </c>
      <c r="J2494" s="1480">
        <v>0</v>
      </c>
      <c r="K2494" s="1508"/>
      <c r="L2494" s="1508"/>
      <c r="M2494" s="1509">
        <f t="shared" si="347"/>
        <v>0</v>
      </c>
      <c r="N2494" s="1508">
        <f t="shared" si="348"/>
        <v>0</v>
      </c>
    </row>
    <row r="2495" spans="1:14" ht="108.5" outlineLevel="1" x14ac:dyDescent="0.25">
      <c r="A2495" s="1486">
        <f t="shared" si="349"/>
        <v>4</v>
      </c>
      <c r="B2495" s="1491" t="str">
        <f t="shared" si="349"/>
        <v>DPR for "Complete renovation of Chimney elevator ) of Unit-5,6,7" &amp;
Complete revamping of chimney aviation obstruction lights (AOL) &amp; other associated spares installed at unit#5,6&amp;7 CSTPS Chandrapur. &amp;
DPR for “Provision of 11KV supply to Aundha pump house from Unit 5,6&amp;7.”</v>
      </c>
      <c r="C2495" s="1488">
        <f t="shared" si="349"/>
        <v>0</v>
      </c>
      <c r="D2495" s="1413" t="str">
        <f t="shared" si="349"/>
        <v>-</v>
      </c>
      <c r="E2495" s="560">
        <f t="shared" si="349"/>
        <v>38</v>
      </c>
      <c r="F2495" s="1508">
        <f t="shared" si="344"/>
        <v>0</v>
      </c>
      <c r="G2495" s="1508">
        <f t="shared" si="345"/>
        <v>0</v>
      </c>
      <c r="H2495" s="1508">
        <f t="shared" si="346"/>
        <v>0</v>
      </c>
      <c r="I2495" s="1480">
        <v>0</v>
      </c>
      <c r="J2495" s="1480">
        <v>0</v>
      </c>
      <c r="K2495" s="1508"/>
      <c r="L2495" s="1508"/>
      <c r="M2495" s="1509">
        <f t="shared" si="347"/>
        <v>0</v>
      </c>
      <c r="N2495" s="1508">
        <f t="shared" si="348"/>
        <v>0</v>
      </c>
    </row>
    <row r="2496" spans="1:14" ht="46.5" outlineLevel="1" x14ac:dyDescent="0.25">
      <c r="A2496" s="1492">
        <f t="shared" si="349"/>
        <v>0</v>
      </c>
      <c r="B2496" s="1492" t="str">
        <f t="shared" si="349"/>
        <v xml:space="preserve">Complete renovation of Chimney elevator of Unit-5,6,7
</v>
      </c>
      <c r="C2496" s="1488">
        <f t="shared" si="349"/>
        <v>0</v>
      </c>
      <c r="D2496" s="1413" t="str">
        <f t="shared" si="349"/>
        <v>-</v>
      </c>
      <c r="E2496" s="560">
        <f t="shared" si="349"/>
        <v>10</v>
      </c>
      <c r="F2496" s="1508">
        <f t="shared" si="344"/>
        <v>0</v>
      </c>
      <c r="G2496" s="1508">
        <f t="shared" si="345"/>
        <v>0</v>
      </c>
      <c r="H2496" s="1508">
        <f t="shared" si="346"/>
        <v>0</v>
      </c>
      <c r="I2496" s="1480">
        <v>0</v>
      </c>
      <c r="J2496" s="1480">
        <v>0</v>
      </c>
      <c r="K2496" s="1508"/>
      <c r="L2496" s="1508"/>
      <c r="M2496" s="1509">
        <f t="shared" si="347"/>
        <v>0</v>
      </c>
      <c r="N2496" s="1508">
        <f t="shared" si="348"/>
        <v>0</v>
      </c>
    </row>
    <row r="2497" spans="1:14" ht="46.5" outlineLevel="1" x14ac:dyDescent="0.25">
      <c r="A2497" s="1492">
        <f t="shared" si="349"/>
        <v>0</v>
      </c>
      <c r="B2497" s="1492" t="str">
        <f t="shared" si="349"/>
        <v>Complete revamping of chimney aviation obstruction lights (AOL) &amp; other associated spares installed at unit#5,6&amp;7 CSTPS Chandrapur.</v>
      </c>
      <c r="C2497" s="1488">
        <f t="shared" si="349"/>
        <v>0</v>
      </c>
      <c r="D2497" s="1413" t="str">
        <f t="shared" si="349"/>
        <v>-</v>
      </c>
      <c r="E2497" s="560">
        <f t="shared" si="349"/>
        <v>3</v>
      </c>
      <c r="F2497" s="1508">
        <f t="shared" si="344"/>
        <v>0</v>
      </c>
      <c r="G2497" s="1508">
        <f t="shared" si="345"/>
        <v>0</v>
      </c>
      <c r="H2497" s="1508">
        <f t="shared" si="346"/>
        <v>0</v>
      </c>
      <c r="I2497" s="1480">
        <v>3</v>
      </c>
      <c r="J2497" s="1480">
        <v>3</v>
      </c>
      <c r="K2497" s="1508"/>
      <c r="L2497" s="1508"/>
      <c r="M2497" s="1509">
        <f t="shared" si="347"/>
        <v>3</v>
      </c>
      <c r="N2497" s="1508">
        <f t="shared" si="348"/>
        <v>0</v>
      </c>
    </row>
    <row r="2498" spans="1:14" ht="31" outlineLevel="1" x14ac:dyDescent="0.25">
      <c r="A2498" s="1492">
        <f t="shared" si="349"/>
        <v>0</v>
      </c>
      <c r="B2498" s="1492" t="str">
        <f t="shared" si="349"/>
        <v>Provision of 11KV supply to Aundha pump house from U 5,6&amp;7 Station boards.</v>
      </c>
      <c r="C2498" s="1488">
        <f t="shared" si="349"/>
        <v>0</v>
      </c>
      <c r="D2498" s="1413" t="str">
        <f t="shared" si="349"/>
        <v>-</v>
      </c>
      <c r="E2498" s="560">
        <f t="shared" si="349"/>
        <v>25</v>
      </c>
      <c r="F2498" s="1508">
        <f t="shared" si="344"/>
        <v>0</v>
      </c>
      <c r="G2498" s="1508">
        <f t="shared" si="345"/>
        <v>0</v>
      </c>
      <c r="H2498" s="1508">
        <f t="shared" si="346"/>
        <v>0</v>
      </c>
      <c r="I2498" s="1480">
        <v>0</v>
      </c>
      <c r="J2498" s="1480">
        <v>0</v>
      </c>
      <c r="K2498" s="1508"/>
      <c r="L2498" s="1508"/>
      <c r="M2498" s="1509">
        <f t="shared" si="347"/>
        <v>0</v>
      </c>
      <c r="N2498" s="1508">
        <f t="shared" si="348"/>
        <v>0</v>
      </c>
    </row>
    <row r="2499" spans="1:14" ht="62" outlineLevel="1" x14ac:dyDescent="0.25">
      <c r="A2499" s="1486">
        <f t="shared" si="349"/>
        <v>5</v>
      </c>
      <c r="B2499" s="1491" t="str">
        <f t="shared" si="349"/>
        <v xml:space="preserve">DPR for Energy saving by installation of VFD for CEP motors at Unit#5 to 9, CSTPS, Chandrapur.
</v>
      </c>
      <c r="C2499" s="1488">
        <f t="shared" si="349"/>
        <v>0</v>
      </c>
      <c r="D2499" s="1413" t="str">
        <f t="shared" si="349"/>
        <v>-</v>
      </c>
      <c r="E2499" s="560">
        <f t="shared" si="349"/>
        <v>26</v>
      </c>
      <c r="F2499" s="1508">
        <f t="shared" si="344"/>
        <v>0</v>
      </c>
      <c r="G2499" s="1508">
        <f t="shared" si="345"/>
        <v>0</v>
      </c>
      <c r="H2499" s="1508">
        <f t="shared" si="346"/>
        <v>0</v>
      </c>
      <c r="I2499" s="1480">
        <v>0</v>
      </c>
      <c r="J2499" s="1480">
        <v>0</v>
      </c>
      <c r="K2499" s="1508"/>
      <c r="L2499" s="1508"/>
      <c r="M2499" s="1509">
        <f t="shared" si="347"/>
        <v>0</v>
      </c>
      <c r="N2499" s="1508">
        <f t="shared" si="348"/>
        <v>0</v>
      </c>
    </row>
    <row r="2500" spans="1:14" ht="62" outlineLevel="1" x14ac:dyDescent="0.25">
      <c r="A2500" s="1492">
        <f t="shared" ref="A2500:E2515" si="350">A1830</f>
        <v>0</v>
      </c>
      <c r="B2500" s="1492" t="str">
        <f t="shared" si="350"/>
        <v xml:space="preserve">Energy saving by installation of VFD for CEP motors at Unit#5 to 9, CSTPS, Chandrapur.
</v>
      </c>
      <c r="C2500" s="1488">
        <f t="shared" si="350"/>
        <v>0</v>
      </c>
      <c r="D2500" s="1413" t="str">
        <f t="shared" si="350"/>
        <v>-</v>
      </c>
      <c r="E2500" s="560">
        <f t="shared" si="350"/>
        <v>26</v>
      </c>
      <c r="F2500" s="1508">
        <f t="shared" si="344"/>
        <v>0</v>
      </c>
      <c r="G2500" s="1508">
        <f t="shared" si="345"/>
        <v>0</v>
      </c>
      <c r="H2500" s="1508">
        <f t="shared" si="346"/>
        <v>0</v>
      </c>
      <c r="I2500" s="1480">
        <v>0</v>
      </c>
      <c r="J2500" s="1480">
        <v>0</v>
      </c>
      <c r="K2500" s="1508"/>
      <c r="L2500" s="1508"/>
      <c r="M2500" s="1509">
        <f t="shared" si="347"/>
        <v>0</v>
      </c>
      <c r="N2500" s="1508">
        <f t="shared" si="348"/>
        <v>0</v>
      </c>
    </row>
    <row r="2501" spans="1:14" ht="31" outlineLevel="1" x14ac:dyDescent="0.25">
      <c r="A2501" s="1486">
        <f t="shared" si="350"/>
        <v>6</v>
      </c>
      <c r="B2501" s="1491" t="str">
        <f t="shared" si="350"/>
        <v>DPR for Energy saving by installation of VFD for PA Fan &amp; ID Fan  motors at Unit#5 to 9, CSTPS, Chandrapur.</v>
      </c>
      <c r="C2501" s="1488">
        <f t="shared" si="350"/>
        <v>0</v>
      </c>
      <c r="D2501" s="1413" t="str">
        <f t="shared" si="350"/>
        <v>-</v>
      </c>
      <c r="E2501" s="560">
        <f t="shared" si="350"/>
        <v>25</v>
      </c>
      <c r="F2501" s="1508">
        <f t="shared" si="344"/>
        <v>0</v>
      </c>
      <c r="G2501" s="1508">
        <f t="shared" si="345"/>
        <v>0</v>
      </c>
      <c r="H2501" s="1508">
        <f t="shared" si="346"/>
        <v>0</v>
      </c>
      <c r="I2501" s="1480">
        <v>0</v>
      </c>
      <c r="J2501" s="1480">
        <v>0</v>
      </c>
      <c r="K2501" s="1508"/>
      <c r="L2501" s="1508"/>
      <c r="M2501" s="1509">
        <f t="shared" si="347"/>
        <v>0</v>
      </c>
      <c r="N2501" s="1508">
        <f t="shared" si="348"/>
        <v>0</v>
      </c>
    </row>
    <row r="2502" spans="1:14" ht="31" outlineLevel="1" x14ac:dyDescent="0.25">
      <c r="A2502" s="1492">
        <f t="shared" si="350"/>
        <v>0</v>
      </c>
      <c r="B2502" s="1492" t="str">
        <f t="shared" si="350"/>
        <v>Energy saving by installation of VFD for PA Fan &amp; ID Fan  motors at Unit#5 to 9, CSTPS, Chandrapur.</v>
      </c>
      <c r="C2502" s="1488">
        <f t="shared" si="350"/>
        <v>0</v>
      </c>
      <c r="D2502" s="1413" t="str">
        <f t="shared" si="350"/>
        <v>-</v>
      </c>
      <c r="E2502" s="560">
        <f t="shared" si="350"/>
        <v>25</v>
      </c>
      <c r="F2502" s="1508">
        <f t="shared" si="344"/>
        <v>0</v>
      </c>
      <c r="G2502" s="1508">
        <f t="shared" si="345"/>
        <v>0</v>
      </c>
      <c r="H2502" s="1508">
        <f t="shared" si="346"/>
        <v>0</v>
      </c>
      <c r="I2502" s="1480">
        <v>0</v>
      </c>
      <c r="J2502" s="1480">
        <v>0</v>
      </c>
      <c r="K2502" s="1508"/>
      <c r="L2502" s="1508"/>
      <c r="M2502" s="1509">
        <f t="shared" si="347"/>
        <v>0</v>
      </c>
      <c r="N2502" s="1508">
        <f t="shared" si="348"/>
        <v>0</v>
      </c>
    </row>
    <row r="2503" spans="1:14" ht="31" outlineLevel="1" x14ac:dyDescent="0.25">
      <c r="A2503" s="1486">
        <f t="shared" si="350"/>
        <v>7</v>
      </c>
      <c r="B2503" s="1491" t="str">
        <f t="shared" si="350"/>
        <v>DPR for refurbishment of Critical HT &amp; LT board installed at Unit#5,6,&amp;7, CSTPS Chandrapur.</v>
      </c>
      <c r="C2503" s="1488">
        <f t="shared" si="350"/>
        <v>0</v>
      </c>
      <c r="D2503" s="1413" t="str">
        <f t="shared" si="350"/>
        <v>-</v>
      </c>
      <c r="E2503" s="560">
        <f t="shared" si="350"/>
        <v>25</v>
      </c>
      <c r="F2503" s="1508">
        <f t="shared" si="344"/>
        <v>0</v>
      </c>
      <c r="G2503" s="1508">
        <f t="shared" si="345"/>
        <v>0</v>
      </c>
      <c r="H2503" s="1508">
        <f t="shared" si="346"/>
        <v>0</v>
      </c>
      <c r="I2503" s="1480">
        <v>0</v>
      </c>
      <c r="J2503" s="1480">
        <v>0</v>
      </c>
      <c r="K2503" s="1508"/>
      <c r="L2503" s="1508"/>
      <c r="M2503" s="1509">
        <f t="shared" si="347"/>
        <v>0</v>
      </c>
      <c r="N2503" s="1508">
        <f t="shared" si="348"/>
        <v>0</v>
      </c>
    </row>
    <row r="2504" spans="1:14" ht="31" outlineLevel="1" x14ac:dyDescent="0.25">
      <c r="A2504" s="1492">
        <f t="shared" si="350"/>
        <v>0</v>
      </c>
      <c r="B2504" s="1492" t="str">
        <f t="shared" si="350"/>
        <v xml:space="preserve"> Refurbishment of Critical HT &amp; LT board installed at Unit#5,6,&amp;7, CSTPS Chandrapur.</v>
      </c>
      <c r="C2504" s="1488">
        <f t="shared" si="350"/>
        <v>0</v>
      </c>
      <c r="D2504" s="1413" t="str">
        <f t="shared" si="350"/>
        <v>-</v>
      </c>
      <c r="E2504" s="560">
        <f t="shared" si="350"/>
        <v>25</v>
      </c>
      <c r="F2504" s="1508">
        <f t="shared" si="344"/>
        <v>0</v>
      </c>
      <c r="G2504" s="1508">
        <f t="shared" si="345"/>
        <v>0</v>
      </c>
      <c r="H2504" s="1508">
        <f t="shared" si="346"/>
        <v>0</v>
      </c>
      <c r="I2504" s="1480">
        <v>0</v>
      </c>
      <c r="J2504" s="1480">
        <v>0</v>
      </c>
      <c r="K2504" s="1508"/>
      <c r="L2504" s="1508"/>
      <c r="M2504" s="1509">
        <f t="shared" si="347"/>
        <v>0</v>
      </c>
      <c r="N2504" s="1508">
        <f t="shared" si="348"/>
        <v>0</v>
      </c>
    </row>
    <row r="2505" spans="1:14" ht="31" outlineLevel="1" x14ac:dyDescent="0.25">
      <c r="A2505" s="1486">
        <f t="shared" si="350"/>
        <v>8</v>
      </c>
      <c r="B2505" s="1491" t="str">
        <f t="shared" si="350"/>
        <v>Refurbishment of LV bus duct Bus duct of UAT, SAT, station transformer installed at Unit#5,6,&amp;7, CSTPS Chandrapur.</v>
      </c>
      <c r="C2505" s="1488">
        <f t="shared" si="350"/>
        <v>0</v>
      </c>
      <c r="D2505" s="1413" t="str">
        <f t="shared" si="350"/>
        <v>-</v>
      </c>
      <c r="E2505" s="560">
        <f t="shared" si="350"/>
        <v>30</v>
      </c>
      <c r="F2505" s="1508">
        <f t="shared" si="344"/>
        <v>0</v>
      </c>
      <c r="G2505" s="1508">
        <f t="shared" si="345"/>
        <v>0</v>
      </c>
      <c r="H2505" s="1508">
        <f t="shared" si="346"/>
        <v>0</v>
      </c>
      <c r="I2505" s="1480">
        <v>0</v>
      </c>
      <c r="J2505" s="1480">
        <v>0</v>
      </c>
      <c r="K2505" s="1508"/>
      <c r="L2505" s="1508"/>
      <c r="M2505" s="1509">
        <f t="shared" si="347"/>
        <v>0</v>
      </c>
      <c r="N2505" s="1508">
        <f t="shared" si="348"/>
        <v>0</v>
      </c>
    </row>
    <row r="2506" spans="1:14" ht="31" outlineLevel="1" x14ac:dyDescent="0.25">
      <c r="A2506" s="1492">
        <f t="shared" si="350"/>
        <v>0</v>
      </c>
      <c r="B2506" s="1492" t="str">
        <f t="shared" si="350"/>
        <v>Refurbishment of LV bus duct Bus duct of UAT, SAT, station transformer installed at Unit#5,6,&amp;7, CSTPS Chandrapur.</v>
      </c>
      <c r="C2506" s="1488">
        <f t="shared" si="350"/>
        <v>0</v>
      </c>
      <c r="D2506" s="1413" t="str">
        <f t="shared" si="350"/>
        <v>-</v>
      </c>
      <c r="E2506" s="560">
        <f t="shared" si="350"/>
        <v>30</v>
      </c>
      <c r="F2506" s="1508">
        <f t="shared" si="344"/>
        <v>0</v>
      </c>
      <c r="G2506" s="1508">
        <f t="shared" si="345"/>
        <v>0</v>
      </c>
      <c r="H2506" s="1508">
        <f t="shared" si="346"/>
        <v>0</v>
      </c>
      <c r="I2506" s="1480">
        <v>0</v>
      </c>
      <c r="J2506" s="1480">
        <v>0</v>
      </c>
      <c r="K2506" s="1508"/>
      <c r="L2506" s="1508"/>
      <c r="M2506" s="1509">
        <f t="shared" si="347"/>
        <v>0</v>
      </c>
      <c r="N2506" s="1508">
        <f t="shared" si="348"/>
        <v>0</v>
      </c>
    </row>
    <row r="2507" spans="1:14" ht="15.5" outlineLevel="1" x14ac:dyDescent="0.25">
      <c r="A2507" s="1504">
        <f t="shared" si="350"/>
        <v>0</v>
      </c>
      <c r="B2507" s="1504" t="str">
        <f t="shared" si="350"/>
        <v>Instrumentation &amp; Control-II</v>
      </c>
      <c r="C2507" s="1488">
        <f t="shared" si="350"/>
        <v>0</v>
      </c>
      <c r="D2507" s="1413" t="str">
        <f t="shared" si="350"/>
        <v>-</v>
      </c>
      <c r="E2507" s="560">
        <f t="shared" si="350"/>
        <v>0</v>
      </c>
      <c r="F2507" s="1508">
        <f t="shared" si="344"/>
        <v>0</v>
      </c>
      <c r="G2507" s="1508">
        <f t="shared" si="345"/>
        <v>0</v>
      </c>
      <c r="H2507" s="1508">
        <f t="shared" si="346"/>
        <v>0</v>
      </c>
      <c r="I2507" s="1480">
        <v>0</v>
      </c>
      <c r="J2507" s="1480">
        <v>0</v>
      </c>
      <c r="K2507" s="1508"/>
      <c r="L2507" s="1508"/>
      <c r="M2507" s="1509">
        <f t="shared" si="347"/>
        <v>0</v>
      </c>
      <c r="N2507" s="1508">
        <f t="shared" si="348"/>
        <v>0</v>
      </c>
    </row>
    <row r="2508" spans="1:14" ht="31" outlineLevel="1" x14ac:dyDescent="0.25">
      <c r="A2508" s="1486">
        <f t="shared" si="350"/>
        <v>1</v>
      </c>
      <c r="B2508" s="1491" t="str">
        <f t="shared" si="350"/>
        <v>Complete Supply ,Erection and Commissioning DDCMIS system of Unit 7 at CSTPS</v>
      </c>
      <c r="C2508" s="1488">
        <f t="shared" si="350"/>
        <v>0</v>
      </c>
      <c r="D2508" s="1413" t="str">
        <f t="shared" si="350"/>
        <v>-</v>
      </c>
      <c r="E2508" s="560">
        <f t="shared" si="350"/>
        <v>30</v>
      </c>
      <c r="F2508" s="1508">
        <f t="shared" si="344"/>
        <v>0</v>
      </c>
      <c r="G2508" s="1508">
        <f t="shared" si="345"/>
        <v>0</v>
      </c>
      <c r="H2508" s="1508">
        <f t="shared" si="346"/>
        <v>0</v>
      </c>
      <c r="I2508" s="1480">
        <v>0</v>
      </c>
      <c r="J2508" s="1480">
        <v>0</v>
      </c>
      <c r="K2508" s="1508"/>
      <c r="L2508" s="1508"/>
      <c r="M2508" s="1509">
        <f t="shared" si="347"/>
        <v>0</v>
      </c>
      <c r="N2508" s="1508">
        <f t="shared" si="348"/>
        <v>0</v>
      </c>
    </row>
    <row r="2509" spans="1:14" ht="31" outlineLevel="1" x14ac:dyDescent="0.25">
      <c r="A2509" s="1492">
        <f t="shared" si="350"/>
        <v>0</v>
      </c>
      <c r="B2509" s="1492" t="str">
        <f t="shared" si="350"/>
        <v>Complete Supply ,Erection and Commissioning DDCMIS system of Unit 7  at CSTPS</v>
      </c>
      <c r="C2509" s="1488">
        <f t="shared" si="350"/>
        <v>0</v>
      </c>
      <c r="D2509" s="1413" t="str">
        <f t="shared" si="350"/>
        <v>-</v>
      </c>
      <c r="E2509" s="560">
        <f t="shared" si="350"/>
        <v>30</v>
      </c>
      <c r="F2509" s="1508">
        <f t="shared" si="344"/>
        <v>0</v>
      </c>
      <c r="G2509" s="1508">
        <f t="shared" si="345"/>
        <v>0</v>
      </c>
      <c r="H2509" s="1508">
        <f t="shared" si="346"/>
        <v>0</v>
      </c>
      <c r="I2509" s="1480">
        <v>30</v>
      </c>
      <c r="J2509" s="1480">
        <v>30</v>
      </c>
      <c r="K2509" s="1508"/>
      <c r="L2509" s="1508"/>
      <c r="M2509" s="1509">
        <f t="shared" si="347"/>
        <v>30</v>
      </c>
      <c r="N2509" s="1508">
        <f t="shared" si="348"/>
        <v>0</v>
      </c>
    </row>
    <row r="2510" spans="1:14" ht="31" outlineLevel="1" x14ac:dyDescent="0.25">
      <c r="A2510" s="1486">
        <f t="shared" si="350"/>
        <v>2</v>
      </c>
      <c r="B2510" s="1491" t="str">
        <f t="shared" si="350"/>
        <v>Implementation of Flexible Operation Solutions for Unit5,6 &amp;7, CSTPS, Chandrapur</v>
      </c>
      <c r="C2510" s="1488">
        <f t="shared" si="350"/>
        <v>0</v>
      </c>
      <c r="D2510" s="1413" t="str">
        <f t="shared" si="350"/>
        <v>-</v>
      </c>
      <c r="E2510" s="560">
        <f t="shared" si="350"/>
        <v>40</v>
      </c>
      <c r="F2510" s="1508">
        <f t="shared" si="344"/>
        <v>0</v>
      </c>
      <c r="G2510" s="1508">
        <f t="shared" si="345"/>
        <v>0</v>
      </c>
      <c r="H2510" s="1508">
        <f t="shared" si="346"/>
        <v>0</v>
      </c>
      <c r="I2510" s="1480">
        <v>0</v>
      </c>
      <c r="J2510" s="1480">
        <v>0</v>
      </c>
      <c r="K2510" s="1508"/>
      <c r="L2510" s="1508"/>
      <c r="M2510" s="1509">
        <f t="shared" si="347"/>
        <v>0</v>
      </c>
      <c r="N2510" s="1508">
        <f t="shared" si="348"/>
        <v>0</v>
      </c>
    </row>
    <row r="2511" spans="1:14" ht="31" outlineLevel="1" x14ac:dyDescent="0.25">
      <c r="A2511" s="1492">
        <f t="shared" si="350"/>
        <v>0</v>
      </c>
      <c r="B2511" s="1492" t="str">
        <f t="shared" si="350"/>
        <v>Implementation of Flexible Operation Solutions for Unit5,6 &amp;7, CSTPS, Chandrapur</v>
      </c>
      <c r="C2511" s="1488">
        <f t="shared" si="350"/>
        <v>0</v>
      </c>
      <c r="D2511" s="1413" t="str">
        <f t="shared" si="350"/>
        <v>-</v>
      </c>
      <c r="E2511" s="560">
        <f t="shared" si="350"/>
        <v>40</v>
      </c>
      <c r="F2511" s="1508">
        <f t="shared" si="344"/>
        <v>0</v>
      </c>
      <c r="G2511" s="1508">
        <f t="shared" si="345"/>
        <v>0</v>
      </c>
      <c r="H2511" s="1508">
        <f t="shared" si="346"/>
        <v>0</v>
      </c>
      <c r="I2511" s="1480">
        <v>0</v>
      </c>
      <c r="J2511" s="1480">
        <v>0</v>
      </c>
      <c r="K2511" s="1508"/>
      <c r="L2511" s="1508"/>
      <c r="M2511" s="1509">
        <f t="shared" si="347"/>
        <v>0</v>
      </c>
      <c r="N2511" s="1508">
        <f t="shared" si="348"/>
        <v>0</v>
      </c>
    </row>
    <row r="2512" spans="1:14" ht="46.5" outlineLevel="1" x14ac:dyDescent="0.25">
      <c r="A2512" s="1486">
        <f t="shared" si="350"/>
        <v>3</v>
      </c>
      <c r="B2512" s="1491" t="str">
        <f t="shared" si="350"/>
        <v>Supply of sub-assy for ID Fan VFD System&amp;  Energy Management System (EMS) at Stage-III, CSTPS, &amp; Procurement of numerical motor/feeder protection relay</v>
      </c>
      <c r="C2512" s="1488">
        <f t="shared" si="350"/>
        <v>0</v>
      </c>
      <c r="D2512" s="1413" t="str">
        <f t="shared" si="350"/>
        <v>-</v>
      </c>
      <c r="E2512" s="560">
        <f t="shared" si="350"/>
        <v>26.1</v>
      </c>
      <c r="F2512" s="1508">
        <f t="shared" si="344"/>
        <v>0</v>
      </c>
      <c r="G2512" s="1508">
        <f t="shared" si="345"/>
        <v>0</v>
      </c>
      <c r="H2512" s="1508">
        <f t="shared" si="346"/>
        <v>0</v>
      </c>
      <c r="I2512" s="1480">
        <v>0</v>
      </c>
      <c r="J2512" s="1480">
        <v>0</v>
      </c>
      <c r="K2512" s="1508"/>
      <c r="L2512" s="1508"/>
      <c r="M2512" s="1509">
        <f t="shared" si="347"/>
        <v>0</v>
      </c>
      <c r="N2512" s="1508">
        <f t="shared" si="348"/>
        <v>0</v>
      </c>
    </row>
    <row r="2513" spans="1:14" ht="15.5" outlineLevel="1" x14ac:dyDescent="0.25">
      <c r="A2513" s="1492">
        <f t="shared" si="350"/>
        <v>0</v>
      </c>
      <c r="B2513" s="1492" t="str">
        <f t="shared" si="350"/>
        <v>Supply of sub-assy for ID Fan VFD System</v>
      </c>
      <c r="C2513" s="1488">
        <f t="shared" si="350"/>
        <v>0</v>
      </c>
      <c r="D2513" s="1413" t="str">
        <f t="shared" si="350"/>
        <v>-</v>
      </c>
      <c r="E2513" s="560">
        <f t="shared" si="350"/>
        <v>4.5</v>
      </c>
      <c r="F2513" s="1508">
        <f t="shared" si="344"/>
        <v>0</v>
      </c>
      <c r="G2513" s="1508">
        <f t="shared" si="345"/>
        <v>0</v>
      </c>
      <c r="H2513" s="1508">
        <f t="shared" si="346"/>
        <v>0</v>
      </c>
      <c r="I2513" s="1480">
        <v>0</v>
      </c>
      <c r="J2513" s="1480">
        <v>0</v>
      </c>
      <c r="K2513" s="1508"/>
      <c r="L2513" s="1508"/>
      <c r="M2513" s="1509">
        <f t="shared" si="347"/>
        <v>0</v>
      </c>
      <c r="N2513" s="1508">
        <f t="shared" si="348"/>
        <v>0</v>
      </c>
    </row>
    <row r="2514" spans="1:14" ht="31" outlineLevel="1" x14ac:dyDescent="0.25">
      <c r="A2514" s="1492">
        <f t="shared" si="350"/>
        <v>0</v>
      </c>
      <c r="B2514" s="1492" t="str">
        <f t="shared" si="350"/>
        <v>Energy Management System (EMS) at Stage-III, CSTPS, Chandrapur.</v>
      </c>
      <c r="C2514" s="1488">
        <f t="shared" si="350"/>
        <v>0</v>
      </c>
      <c r="D2514" s="1413" t="str">
        <f t="shared" si="350"/>
        <v>-</v>
      </c>
      <c r="E2514" s="560">
        <f t="shared" si="350"/>
        <v>5.5</v>
      </c>
      <c r="F2514" s="1508">
        <f t="shared" si="344"/>
        <v>0</v>
      </c>
      <c r="G2514" s="1508">
        <f t="shared" si="345"/>
        <v>0</v>
      </c>
      <c r="H2514" s="1508">
        <f t="shared" si="346"/>
        <v>0</v>
      </c>
      <c r="I2514" s="1480">
        <v>0</v>
      </c>
      <c r="J2514" s="1480">
        <v>0</v>
      </c>
      <c r="K2514" s="1508"/>
      <c r="L2514" s="1508"/>
      <c r="M2514" s="1509">
        <f t="shared" si="347"/>
        <v>0</v>
      </c>
      <c r="N2514" s="1508">
        <f t="shared" si="348"/>
        <v>0</v>
      </c>
    </row>
    <row r="2515" spans="1:14" ht="15.5" outlineLevel="1" x14ac:dyDescent="0.25">
      <c r="A2515" s="1492">
        <f t="shared" si="350"/>
        <v>0</v>
      </c>
      <c r="B2515" s="1492" t="str">
        <f t="shared" si="350"/>
        <v>Procurement of numerical motor/feeder protection relays</v>
      </c>
      <c r="C2515" s="1488">
        <f t="shared" si="350"/>
        <v>0</v>
      </c>
      <c r="D2515" s="1413" t="str">
        <f t="shared" si="350"/>
        <v>-</v>
      </c>
      <c r="E2515" s="560">
        <f t="shared" si="350"/>
        <v>8.1</v>
      </c>
      <c r="F2515" s="1508">
        <f t="shared" si="344"/>
        <v>0</v>
      </c>
      <c r="G2515" s="1508">
        <f t="shared" si="345"/>
        <v>0</v>
      </c>
      <c r="H2515" s="1508">
        <f t="shared" si="346"/>
        <v>0</v>
      </c>
      <c r="I2515" s="1480">
        <v>0</v>
      </c>
      <c r="J2515" s="1480">
        <v>0</v>
      </c>
      <c r="K2515" s="1508"/>
      <c r="L2515" s="1508"/>
      <c r="M2515" s="1509">
        <f t="shared" si="347"/>
        <v>0</v>
      </c>
      <c r="N2515" s="1508">
        <f t="shared" si="348"/>
        <v>0</v>
      </c>
    </row>
    <row r="2516" spans="1:14" ht="46.5" outlineLevel="1" x14ac:dyDescent="0.25">
      <c r="A2516" s="1492">
        <f t="shared" ref="A2516:E2531" si="351">A1846</f>
        <v>0</v>
      </c>
      <c r="B2516" s="1492" t="str">
        <f t="shared" si="351"/>
        <v>Procurement of portable multi function test kit, Microprocessot based CB TIM, CRM &amp; MVDT, CBO analyser, Vacuum cleaner bottle HV tester</v>
      </c>
      <c r="C2516" s="1488">
        <f t="shared" si="351"/>
        <v>0</v>
      </c>
      <c r="D2516" s="1413" t="str">
        <f t="shared" si="351"/>
        <v>-</v>
      </c>
      <c r="E2516" s="560">
        <f t="shared" si="351"/>
        <v>2</v>
      </c>
      <c r="F2516" s="1508">
        <f t="shared" si="344"/>
        <v>0</v>
      </c>
      <c r="G2516" s="1508">
        <f t="shared" si="345"/>
        <v>0</v>
      </c>
      <c r="H2516" s="1508">
        <f t="shared" si="346"/>
        <v>0</v>
      </c>
      <c r="I2516" s="1480">
        <v>0</v>
      </c>
      <c r="J2516" s="1480">
        <v>0</v>
      </c>
      <c r="K2516" s="1508"/>
      <c r="L2516" s="1508"/>
      <c r="M2516" s="1509">
        <f t="shared" si="347"/>
        <v>0</v>
      </c>
      <c r="N2516" s="1508">
        <f t="shared" si="348"/>
        <v>0</v>
      </c>
    </row>
    <row r="2517" spans="1:14" ht="31" outlineLevel="1" x14ac:dyDescent="0.25">
      <c r="A2517" s="1492">
        <f t="shared" si="351"/>
        <v>0</v>
      </c>
      <c r="B2517" s="1492" t="str">
        <f t="shared" si="351"/>
        <v xml:space="preserve">Replacement of various motorised control actuators at Unit 5, 6  CSTPS,Chandrapur.                              </v>
      </c>
      <c r="C2517" s="1488">
        <f t="shared" si="351"/>
        <v>0</v>
      </c>
      <c r="D2517" s="1413" t="str">
        <f t="shared" si="351"/>
        <v>-</v>
      </c>
      <c r="E2517" s="560">
        <f t="shared" si="351"/>
        <v>6</v>
      </c>
      <c r="F2517" s="1508">
        <f t="shared" si="344"/>
        <v>0</v>
      </c>
      <c r="G2517" s="1508">
        <f t="shared" si="345"/>
        <v>0</v>
      </c>
      <c r="H2517" s="1508">
        <f t="shared" si="346"/>
        <v>0</v>
      </c>
      <c r="I2517" s="1480">
        <v>0</v>
      </c>
      <c r="J2517" s="1480">
        <v>0</v>
      </c>
      <c r="K2517" s="1508"/>
      <c r="L2517" s="1508"/>
      <c r="M2517" s="1509">
        <f t="shared" si="347"/>
        <v>0</v>
      </c>
      <c r="N2517" s="1508">
        <f t="shared" si="348"/>
        <v>0</v>
      </c>
    </row>
    <row r="2518" spans="1:14" ht="62" outlineLevel="1" x14ac:dyDescent="0.25">
      <c r="A2518" s="1486">
        <f t="shared" si="351"/>
        <v>4</v>
      </c>
      <c r="B2518" s="1491" t="str">
        <f t="shared" si="351"/>
        <v>Supply and commissioning of Energy Optimization &amp; Real Time Analysis system software for Auxiliary Power management of power network &amp; Pump performance monitoring system for water pumping stations for Unit#5,6&amp;7, CSTPS, Chandrapur</v>
      </c>
      <c r="C2518" s="1488">
        <f t="shared" si="351"/>
        <v>0</v>
      </c>
      <c r="D2518" s="1413" t="str">
        <f t="shared" si="351"/>
        <v>-</v>
      </c>
      <c r="E2518" s="560">
        <f t="shared" si="351"/>
        <v>26</v>
      </c>
      <c r="F2518" s="1508">
        <f t="shared" si="344"/>
        <v>0</v>
      </c>
      <c r="G2518" s="1508">
        <f t="shared" si="345"/>
        <v>0</v>
      </c>
      <c r="H2518" s="1508">
        <f t="shared" si="346"/>
        <v>0</v>
      </c>
      <c r="I2518" s="1480">
        <v>0</v>
      </c>
      <c r="J2518" s="1480">
        <v>0</v>
      </c>
      <c r="K2518" s="1508"/>
      <c r="L2518" s="1508"/>
      <c r="M2518" s="1509">
        <f t="shared" si="347"/>
        <v>0</v>
      </c>
      <c r="N2518" s="1508">
        <f t="shared" si="348"/>
        <v>0</v>
      </c>
    </row>
    <row r="2519" spans="1:14" ht="46.5" outlineLevel="1" x14ac:dyDescent="0.25">
      <c r="A2519" s="1492">
        <f t="shared" si="351"/>
        <v>0</v>
      </c>
      <c r="B2519" s="1492" t="str">
        <f t="shared" si="351"/>
        <v>Supply and commissioning of Energy Optimization &amp; Real Time Analysis system software for Auxiliary Power management of power network</v>
      </c>
      <c r="C2519" s="1488">
        <f t="shared" si="351"/>
        <v>0</v>
      </c>
      <c r="D2519" s="1413" t="str">
        <f t="shared" si="351"/>
        <v>-</v>
      </c>
      <c r="E2519" s="560">
        <f t="shared" si="351"/>
        <v>9</v>
      </c>
      <c r="F2519" s="1508">
        <f t="shared" si="344"/>
        <v>0</v>
      </c>
      <c r="G2519" s="1508">
        <f t="shared" si="345"/>
        <v>0</v>
      </c>
      <c r="H2519" s="1508">
        <f t="shared" si="346"/>
        <v>0</v>
      </c>
      <c r="I2519" s="1480">
        <v>0</v>
      </c>
      <c r="J2519" s="1480">
        <v>0</v>
      </c>
      <c r="K2519" s="1508"/>
      <c r="L2519" s="1508"/>
      <c r="M2519" s="1509">
        <f t="shared" si="347"/>
        <v>0</v>
      </c>
      <c r="N2519" s="1508">
        <f t="shared" si="348"/>
        <v>0</v>
      </c>
    </row>
    <row r="2520" spans="1:14" ht="46.5" outlineLevel="1" x14ac:dyDescent="0.25">
      <c r="A2520" s="1492">
        <f t="shared" si="351"/>
        <v>0</v>
      </c>
      <c r="B2520" s="1492" t="str">
        <f t="shared" si="351"/>
        <v>Supply and installation of advanced Microprocessor based Pump performance monitoring system for water pumping stations for Unit#5,6&amp;7, CSTPS, Chandrapur</v>
      </c>
      <c r="C2520" s="1488">
        <f t="shared" si="351"/>
        <v>0</v>
      </c>
      <c r="D2520" s="1413" t="str">
        <f t="shared" si="351"/>
        <v>-</v>
      </c>
      <c r="E2520" s="560">
        <f t="shared" si="351"/>
        <v>7</v>
      </c>
      <c r="F2520" s="1508">
        <f t="shared" si="344"/>
        <v>0</v>
      </c>
      <c r="G2520" s="1508">
        <f t="shared" si="345"/>
        <v>0</v>
      </c>
      <c r="H2520" s="1508">
        <f t="shared" si="346"/>
        <v>0</v>
      </c>
      <c r="I2520" s="1480">
        <v>0</v>
      </c>
      <c r="J2520" s="1480">
        <v>0</v>
      </c>
      <c r="K2520" s="1508"/>
      <c r="L2520" s="1508"/>
      <c r="M2520" s="1509">
        <f t="shared" si="347"/>
        <v>0</v>
      </c>
      <c r="N2520" s="1508">
        <f t="shared" si="348"/>
        <v>0</v>
      </c>
    </row>
    <row r="2521" spans="1:14" ht="31" outlineLevel="1" x14ac:dyDescent="0.25">
      <c r="A2521" s="1492">
        <f t="shared" si="351"/>
        <v>0</v>
      </c>
      <c r="B2521" s="1492" t="str">
        <f t="shared" si="351"/>
        <v>Upgradation of Online Connectivity and Environmental Monitoring (OCEMS) System at Unit-5,6&amp;7</v>
      </c>
      <c r="C2521" s="1488">
        <f t="shared" si="351"/>
        <v>0</v>
      </c>
      <c r="D2521" s="1413" t="str">
        <f t="shared" si="351"/>
        <v>-</v>
      </c>
      <c r="E2521" s="560">
        <f t="shared" si="351"/>
        <v>4</v>
      </c>
      <c r="F2521" s="1508">
        <f t="shared" si="344"/>
        <v>0</v>
      </c>
      <c r="G2521" s="1508">
        <f t="shared" si="345"/>
        <v>0</v>
      </c>
      <c r="H2521" s="1508">
        <f t="shared" si="346"/>
        <v>0</v>
      </c>
      <c r="I2521" s="1480">
        <v>0</v>
      </c>
      <c r="J2521" s="1480">
        <v>0</v>
      </c>
      <c r="K2521" s="1508"/>
      <c r="L2521" s="1508"/>
      <c r="M2521" s="1509">
        <f t="shared" si="347"/>
        <v>0</v>
      </c>
      <c r="N2521" s="1508">
        <f t="shared" si="348"/>
        <v>0</v>
      </c>
    </row>
    <row r="2522" spans="1:14" ht="15.5" outlineLevel="1" x14ac:dyDescent="0.25">
      <c r="A2522" s="1492">
        <f t="shared" si="351"/>
        <v>0</v>
      </c>
      <c r="B2522" s="1492" t="str">
        <f t="shared" si="351"/>
        <v xml:space="preserve">Procurement of I&amp;C Testing Labouratory Instruments </v>
      </c>
      <c r="C2522" s="1488">
        <f t="shared" si="351"/>
        <v>0</v>
      </c>
      <c r="D2522" s="1413" t="str">
        <f t="shared" si="351"/>
        <v>-</v>
      </c>
      <c r="E2522" s="560">
        <f t="shared" si="351"/>
        <v>2</v>
      </c>
      <c r="F2522" s="1508">
        <f t="shared" si="344"/>
        <v>0</v>
      </c>
      <c r="G2522" s="1508">
        <f t="shared" si="345"/>
        <v>0</v>
      </c>
      <c r="H2522" s="1508">
        <f t="shared" si="346"/>
        <v>0</v>
      </c>
      <c r="I2522" s="1480">
        <v>0</v>
      </c>
      <c r="J2522" s="1480">
        <v>0</v>
      </c>
      <c r="K2522" s="1508"/>
      <c r="L2522" s="1508"/>
      <c r="M2522" s="1509">
        <f t="shared" si="347"/>
        <v>0</v>
      </c>
      <c r="N2522" s="1508">
        <f t="shared" si="348"/>
        <v>0</v>
      </c>
    </row>
    <row r="2523" spans="1:14" ht="31" outlineLevel="1" x14ac:dyDescent="0.25">
      <c r="A2523" s="1492">
        <f t="shared" si="351"/>
        <v>0</v>
      </c>
      <c r="B2523" s="1492" t="str">
        <f t="shared" si="351"/>
        <v xml:space="preserve">Upgradation of various motorised control actuators at Unit-7,  CSTPS,Chandrapur.                              </v>
      </c>
      <c r="C2523" s="1488">
        <f t="shared" si="351"/>
        <v>0</v>
      </c>
      <c r="D2523" s="1413" t="str">
        <f t="shared" si="351"/>
        <v>-</v>
      </c>
      <c r="E2523" s="560">
        <f t="shared" si="351"/>
        <v>4</v>
      </c>
      <c r="F2523" s="1508">
        <f t="shared" si="344"/>
        <v>0</v>
      </c>
      <c r="G2523" s="1508">
        <f t="shared" si="345"/>
        <v>0</v>
      </c>
      <c r="H2523" s="1508">
        <f t="shared" si="346"/>
        <v>0</v>
      </c>
      <c r="I2523" s="1480">
        <v>0</v>
      </c>
      <c r="J2523" s="1480">
        <v>0</v>
      </c>
      <c r="K2523" s="1508"/>
      <c r="L2523" s="1508"/>
      <c r="M2523" s="1509">
        <f t="shared" si="347"/>
        <v>0</v>
      </c>
      <c r="N2523" s="1508">
        <f t="shared" si="348"/>
        <v>0</v>
      </c>
    </row>
    <row r="2524" spans="1:14" ht="15.5" outlineLevel="1" x14ac:dyDescent="0.25">
      <c r="A2524" s="1504">
        <f t="shared" si="351"/>
        <v>0</v>
      </c>
      <c r="B2524" s="1504" t="str">
        <f t="shared" si="351"/>
        <v>ODP-II</v>
      </c>
      <c r="C2524" s="1488">
        <f t="shared" si="351"/>
        <v>0</v>
      </c>
      <c r="D2524" s="1413" t="str">
        <f t="shared" si="351"/>
        <v>-</v>
      </c>
      <c r="E2524" s="560">
        <f t="shared" si="351"/>
        <v>0</v>
      </c>
      <c r="F2524" s="1508">
        <f t="shared" si="344"/>
        <v>0</v>
      </c>
      <c r="G2524" s="1508">
        <f t="shared" si="345"/>
        <v>0</v>
      </c>
      <c r="H2524" s="1508">
        <f t="shared" si="346"/>
        <v>0</v>
      </c>
      <c r="I2524" s="1480">
        <v>0</v>
      </c>
      <c r="J2524" s="1480">
        <v>0</v>
      </c>
      <c r="K2524" s="1508"/>
      <c r="L2524" s="1508"/>
      <c r="M2524" s="1509">
        <f t="shared" si="347"/>
        <v>0</v>
      </c>
      <c r="N2524" s="1508">
        <f t="shared" si="348"/>
        <v>0</v>
      </c>
    </row>
    <row r="2525" spans="1:14" ht="31" outlineLevel="1" x14ac:dyDescent="0.25">
      <c r="A2525" s="1486">
        <f t="shared" si="351"/>
        <v>1</v>
      </c>
      <c r="B2525" s="1491" t="str">
        <f t="shared" si="351"/>
        <v>Complete reconditioning of Condensate cooling water system, Ash raw water system &amp; fire fightning system of U-5,6 &amp; 7</v>
      </c>
      <c r="C2525" s="1488">
        <f t="shared" si="351"/>
        <v>0</v>
      </c>
      <c r="D2525" s="1413" t="str">
        <f t="shared" si="351"/>
        <v>-</v>
      </c>
      <c r="E2525" s="560">
        <f t="shared" si="351"/>
        <v>92</v>
      </c>
      <c r="F2525" s="1508">
        <f t="shared" si="344"/>
        <v>0</v>
      </c>
      <c r="G2525" s="1508">
        <f t="shared" si="345"/>
        <v>0</v>
      </c>
      <c r="H2525" s="1508">
        <f t="shared" si="346"/>
        <v>0</v>
      </c>
      <c r="I2525" s="1480">
        <v>0</v>
      </c>
      <c r="J2525" s="1480">
        <v>0</v>
      </c>
      <c r="K2525" s="1508"/>
      <c r="L2525" s="1508"/>
      <c r="M2525" s="1509">
        <f t="shared" si="347"/>
        <v>0</v>
      </c>
      <c r="N2525" s="1508">
        <f t="shared" si="348"/>
        <v>0</v>
      </c>
    </row>
    <row r="2526" spans="1:14" ht="15.5" outlineLevel="1" x14ac:dyDescent="0.25">
      <c r="A2526" s="1492">
        <f t="shared" si="351"/>
        <v>0</v>
      </c>
      <c r="B2526" s="1492" t="str">
        <f t="shared" si="351"/>
        <v xml:space="preserve"> Complete reconditioning of cooling tower 5A &amp; 5B of Unit -5. </v>
      </c>
      <c r="C2526" s="1488">
        <f t="shared" si="351"/>
        <v>0</v>
      </c>
      <c r="D2526" s="1413" t="str">
        <f t="shared" si="351"/>
        <v>-</v>
      </c>
      <c r="E2526" s="560">
        <f t="shared" si="351"/>
        <v>45</v>
      </c>
      <c r="F2526" s="1508">
        <f t="shared" si="344"/>
        <v>0</v>
      </c>
      <c r="G2526" s="1508">
        <f t="shared" si="345"/>
        <v>0</v>
      </c>
      <c r="H2526" s="1508">
        <f t="shared" si="346"/>
        <v>0</v>
      </c>
      <c r="I2526" s="1480">
        <v>15</v>
      </c>
      <c r="J2526" s="1480">
        <v>15</v>
      </c>
      <c r="K2526" s="1508"/>
      <c r="L2526" s="1508"/>
      <c r="M2526" s="1509">
        <f t="shared" si="347"/>
        <v>15</v>
      </c>
      <c r="N2526" s="1508">
        <f t="shared" si="348"/>
        <v>0</v>
      </c>
    </row>
    <row r="2527" spans="1:14" ht="46.5" outlineLevel="1" x14ac:dyDescent="0.25">
      <c r="A2527" s="1492">
        <f t="shared" si="351"/>
        <v>0</v>
      </c>
      <c r="B2527" s="1492" t="str">
        <f t="shared" si="351"/>
        <v>Revamping of induced draft Cooling tower - 6A &amp; 6B internals with supply &amp; replacement to improve the performance of Cooling tower of Unit -6 (500MW), CSTPS, Chandrapur</v>
      </c>
      <c r="C2527" s="1488">
        <f t="shared" si="351"/>
        <v>0</v>
      </c>
      <c r="D2527" s="1413" t="str">
        <f t="shared" si="351"/>
        <v>-</v>
      </c>
      <c r="E2527" s="560">
        <f t="shared" si="351"/>
        <v>47</v>
      </c>
      <c r="F2527" s="1508">
        <f t="shared" si="344"/>
        <v>0</v>
      </c>
      <c r="G2527" s="1508">
        <f t="shared" si="345"/>
        <v>0</v>
      </c>
      <c r="H2527" s="1508">
        <f t="shared" si="346"/>
        <v>0</v>
      </c>
      <c r="I2527" s="1480">
        <v>0</v>
      </c>
      <c r="J2527" s="1480">
        <v>0</v>
      </c>
      <c r="K2527" s="1508"/>
      <c r="L2527" s="1508"/>
      <c r="M2527" s="1509">
        <f t="shared" si="347"/>
        <v>0</v>
      </c>
      <c r="N2527" s="1508">
        <f t="shared" si="348"/>
        <v>0</v>
      </c>
    </row>
    <row r="2528" spans="1:14" ht="31" outlineLevel="1" x14ac:dyDescent="0.25">
      <c r="A2528" s="1486">
        <f t="shared" si="351"/>
        <v>2</v>
      </c>
      <c r="B2528" s="1491" t="str">
        <f t="shared" si="351"/>
        <v>Replacement of  Complete pump assembly of CCW pump, ACW pump and other schemes</v>
      </c>
      <c r="C2528" s="1488">
        <f t="shared" si="351"/>
        <v>0</v>
      </c>
      <c r="D2528" s="1413" t="str">
        <f t="shared" si="351"/>
        <v>-</v>
      </c>
      <c r="E2528" s="560">
        <f t="shared" si="351"/>
        <v>121</v>
      </c>
      <c r="F2528" s="1508">
        <f t="shared" si="344"/>
        <v>0</v>
      </c>
      <c r="G2528" s="1508">
        <f t="shared" si="345"/>
        <v>0</v>
      </c>
      <c r="H2528" s="1508">
        <f t="shared" si="346"/>
        <v>0</v>
      </c>
      <c r="I2528" s="1480">
        <v>0</v>
      </c>
      <c r="J2528" s="1480">
        <v>0</v>
      </c>
      <c r="K2528" s="1508"/>
      <c r="L2528" s="1508"/>
      <c r="M2528" s="1509">
        <f t="shared" si="347"/>
        <v>0</v>
      </c>
      <c r="N2528" s="1508">
        <f t="shared" si="348"/>
        <v>0</v>
      </c>
    </row>
    <row r="2529" spans="1:14" ht="31" outlineLevel="1" x14ac:dyDescent="0.25">
      <c r="A2529" s="1492">
        <f t="shared" si="351"/>
        <v>0</v>
      </c>
      <c r="B2529" s="1492" t="str">
        <f t="shared" si="351"/>
        <v>Replacement of  Complete pump assembly of CCW pump installed at U-5,6,7.</v>
      </c>
      <c r="C2529" s="1488">
        <f t="shared" si="351"/>
        <v>0</v>
      </c>
      <c r="D2529" s="1413" t="str">
        <f t="shared" si="351"/>
        <v>-</v>
      </c>
      <c r="E2529" s="560">
        <f t="shared" si="351"/>
        <v>100</v>
      </c>
      <c r="F2529" s="1508">
        <f t="shared" si="344"/>
        <v>0</v>
      </c>
      <c r="G2529" s="1508">
        <f t="shared" si="345"/>
        <v>0</v>
      </c>
      <c r="H2529" s="1508">
        <f t="shared" si="346"/>
        <v>0</v>
      </c>
      <c r="I2529" s="1480">
        <v>20</v>
      </c>
      <c r="J2529" s="1480">
        <v>20</v>
      </c>
      <c r="K2529" s="1508"/>
      <c r="L2529" s="1508"/>
      <c r="M2529" s="1509">
        <f t="shared" si="347"/>
        <v>20</v>
      </c>
      <c r="N2529" s="1508">
        <f t="shared" si="348"/>
        <v>0</v>
      </c>
    </row>
    <row r="2530" spans="1:14" ht="31" outlineLevel="1" x14ac:dyDescent="0.25">
      <c r="A2530" s="1492">
        <f t="shared" si="351"/>
        <v>0</v>
      </c>
      <c r="B2530" s="1492" t="str">
        <f t="shared" si="351"/>
        <v xml:space="preserve"> Replacement of  Complete pump assembly of ACW  pump installed at U-5,6,7.</v>
      </c>
      <c r="C2530" s="1488">
        <f t="shared" si="351"/>
        <v>0</v>
      </c>
      <c r="D2530" s="1413" t="str">
        <f t="shared" si="351"/>
        <v>-</v>
      </c>
      <c r="E2530" s="560">
        <f t="shared" si="351"/>
        <v>11</v>
      </c>
      <c r="F2530" s="1508">
        <f t="shared" si="344"/>
        <v>0</v>
      </c>
      <c r="G2530" s="1508">
        <f t="shared" si="345"/>
        <v>0</v>
      </c>
      <c r="H2530" s="1508">
        <f t="shared" si="346"/>
        <v>0</v>
      </c>
      <c r="I2530" s="1480">
        <v>5.5</v>
      </c>
      <c r="J2530" s="1480">
        <v>5.5</v>
      </c>
      <c r="K2530" s="1508"/>
      <c r="L2530" s="1508"/>
      <c r="M2530" s="1509">
        <f t="shared" si="347"/>
        <v>5.5</v>
      </c>
      <c r="N2530" s="1508">
        <f t="shared" si="348"/>
        <v>0</v>
      </c>
    </row>
    <row r="2531" spans="1:14" ht="31" outlineLevel="1" x14ac:dyDescent="0.25">
      <c r="A2531" s="1492">
        <f t="shared" si="351"/>
        <v>0</v>
      </c>
      <c r="B2531" s="1492" t="str">
        <f t="shared" si="351"/>
        <v xml:space="preserve"> Complete reconditioning of Ash Raw water system &amp; DM/NDM system of U- 7. </v>
      </c>
      <c r="C2531" s="1488">
        <f t="shared" si="351"/>
        <v>0</v>
      </c>
      <c r="D2531" s="1413" t="str">
        <f t="shared" si="351"/>
        <v>-</v>
      </c>
      <c r="E2531" s="560">
        <f t="shared" si="351"/>
        <v>8</v>
      </c>
      <c r="F2531" s="1508">
        <f t="shared" si="344"/>
        <v>0</v>
      </c>
      <c r="G2531" s="1508">
        <f t="shared" si="345"/>
        <v>0</v>
      </c>
      <c r="H2531" s="1508">
        <f t="shared" si="346"/>
        <v>0</v>
      </c>
      <c r="I2531" s="1480">
        <v>5</v>
      </c>
      <c r="J2531" s="1480">
        <v>5</v>
      </c>
      <c r="K2531" s="1508"/>
      <c r="L2531" s="1508"/>
      <c r="M2531" s="1509">
        <f t="shared" si="347"/>
        <v>5</v>
      </c>
      <c r="N2531" s="1508">
        <f t="shared" si="348"/>
        <v>0</v>
      </c>
    </row>
    <row r="2532" spans="1:14" ht="31" outlineLevel="1" x14ac:dyDescent="0.25">
      <c r="A2532" s="1492">
        <f t="shared" ref="A2532:E2547" si="352">A1862</f>
        <v>0</v>
      </c>
      <c r="B2532" s="1492" t="str">
        <f t="shared" si="352"/>
        <v xml:space="preserve">Complete reconditioning of Fire fightning system of Stage -I, II, III. </v>
      </c>
      <c r="C2532" s="1488">
        <f t="shared" si="352"/>
        <v>0</v>
      </c>
      <c r="D2532" s="1413" t="str">
        <f t="shared" si="352"/>
        <v>-</v>
      </c>
      <c r="E2532" s="560">
        <f t="shared" si="352"/>
        <v>2</v>
      </c>
      <c r="F2532" s="1508">
        <f t="shared" ref="F2532:F2595" si="353">F1862+I1862</f>
        <v>0</v>
      </c>
      <c r="G2532" s="1508">
        <f t="shared" ref="G2532:G2595" si="354">G1862+M1862</f>
        <v>0</v>
      </c>
      <c r="H2532" s="1508">
        <f t="shared" si="346"/>
        <v>0</v>
      </c>
      <c r="I2532" s="1480">
        <v>2</v>
      </c>
      <c r="J2532" s="1480">
        <v>2</v>
      </c>
      <c r="K2532" s="1508"/>
      <c r="L2532" s="1508"/>
      <c r="M2532" s="1509">
        <f t="shared" si="347"/>
        <v>2</v>
      </c>
      <c r="N2532" s="1508">
        <f t="shared" si="348"/>
        <v>0</v>
      </c>
    </row>
    <row r="2533" spans="1:14" ht="77.5" outlineLevel="1" x14ac:dyDescent="0.25">
      <c r="A2533" s="1486">
        <f t="shared" si="352"/>
        <v>3</v>
      </c>
      <c r="B2533" s="1491" t="str">
        <f t="shared" si="352"/>
        <v xml:space="preserve">Upgradation of existing DM water system along with supply, erection &amp; Commissioning of PLC panel, Instrumentation, CPVC Pipes &amp; fittings, installed at WTP–500MW, CSTPS, Chandrapur.
</v>
      </c>
      <c r="C2533" s="1488">
        <f t="shared" si="352"/>
        <v>0</v>
      </c>
      <c r="D2533" s="1413" t="str">
        <f t="shared" si="352"/>
        <v>-</v>
      </c>
      <c r="E2533" s="560">
        <f t="shared" si="352"/>
        <v>56</v>
      </c>
      <c r="F2533" s="1508">
        <f t="shared" si="353"/>
        <v>0</v>
      </c>
      <c r="G2533" s="1508">
        <f t="shared" si="354"/>
        <v>0</v>
      </c>
      <c r="H2533" s="1508">
        <f t="shared" si="346"/>
        <v>0</v>
      </c>
      <c r="I2533" s="1480">
        <v>0</v>
      </c>
      <c r="J2533" s="1480">
        <v>0</v>
      </c>
      <c r="K2533" s="1508"/>
      <c r="L2533" s="1508"/>
      <c r="M2533" s="1509">
        <f t="shared" si="347"/>
        <v>0</v>
      </c>
      <c r="N2533" s="1508">
        <f t="shared" si="348"/>
        <v>0</v>
      </c>
    </row>
    <row r="2534" spans="1:14" ht="77.5" outlineLevel="1" x14ac:dyDescent="0.25">
      <c r="A2534" s="1492">
        <f t="shared" si="352"/>
        <v>0</v>
      </c>
      <c r="B2534" s="1492" t="str">
        <f t="shared" si="352"/>
        <v xml:space="preserve">Upgradation of existing DM water system along with supply, erection &amp; Commissioning of PLC panel, Instrumentation, CPVC Pipes &amp; fittings, installed at WTP–500MW, CSTPS, Chandrapur.
</v>
      </c>
      <c r="C2534" s="1488">
        <f t="shared" si="352"/>
        <v>0</v>
      </c>
      <c r="D2534" s="1413" t="str">
        <f t="shared" si="352"/>
        <v>-</v>
      </c>
      <c r="E2534" s="560">
        <f t="shared" si="352"/>
        <v>56</v>
      </c>
      <c r="F2534" s="1508">
        <f t="shared" si="353"/>
        <v>0</v>
      </c>
      <c r="G2534" s="1508">
        <f t="shared" si="354"/>
        <v>0</v>
      </c>
      <c r="H2534" s="1508">
        <f t="shared" si="346"/>
        <v>0</v>
      </c>
      <c r="I2534" s="1480">
        <v>28</v>
      </c>
      <c r="J2534" s="1480">
        <v>28</v>
      </c>
      <c r="K2534" s="1508"/>
      <c r="L2534" s="1508"/>
      <c r="M2534" s="1509">
        <f t="shared" si="347"/>
        <v>28</v>
      </c>
      <c r="N2534" s="1508">
        <f t="shared" si="348"/>
        <v>0</v>
      </c>
    </row>
    <row r="2535" spans="1:14" ht="31" outlineLevel="1" x14ac:dyDescent="0.25">
      <c r="A2535" s="1486">
        <f t="shared" si="352"/>
        <v>4</v>
      </c>
      <c r="B2535" s="1491" t="str">
        <f t="shared" si="352"/>
        <v>Various work for renovation &amp; improvement of ash disposal pipeline system of Unit # 5 &amp; 6 at  CSTPS, Chandrapur.</v>
      </c>
      <c r="C2535" s="1488">
        <f t="shared" si="352"/>
        <v>0</v>
      </c>
      <c r="D2535" s="1413" t="str">
        <f t="shared" si="352"/>
        <v>-</v>
      </c>
      <c r="E2535" s="560">
        <f t="shared" si="352"/>
        <v>58.37</v>
      </c>
      <c r="F2535" s="1508">
        <f t="shared" si="353"/>
        <v>0</v>
      </c>
      <c r="G2535" s="1508">
        <f t="shared" si="354"/>
        <v>0</v>
      </c>
      <c r="H2535" s="1508">
        <f t="shared" si="346"/>
        <v>0</v>
      </c>
      <c r="I2535" s="1480">
        <v>0</v>
      </c>
      <c r="J2535" s="1480">
        <v>0</v>
      </c>
      <c r="K2535" s="1508"/>
      <c r="L2535" s="1508"/>
      <c r="M2535" s="1509">
        <f t="shared" si="347"/>
        <v>0</v>
      </c>
      <c r="N2535" s="1508">
        <f t="shared" si="348"/>
        <v>0</v>
      </c>
    </row>
    <row r="2536" spans="1:14" ht="31" outlineLevel="1" x14ac:dyDescent="0.25">
      <c r="A2536" s="1492">
        <f t="shared" si="352"/>
        <v>0</v>
      </c>
      <c r="B2536" s="1492" t="str">
        <f t="shared" si="352"/>
        <v>Supply, Erection &amp; commissioning of third 400 NB ash slurry disposal pipeline for Unit #5 at CSTPS, Chandrapur</v>
      </c>
      <c r="C2536" s="1488">
        <f t="shared" si="352"/>
        <v>0</v>
      </c>
      <c r="D2536" s="1413" t="str">
        <f t="shared" si="352"/>
        <v>-</v>
      </c>
      <c r="E2536" s="560">
        <f t="shared" si="352"/>
        <v>20.190000000000001</v>
      </c>
      <c r="F2536" s="1508">
        <f t="shared" si="353"/>
        <v>0</v>
      </c>
      <c r="G2536" s="1508">
        <f t="shared" si="354"/>
        <v>0</v>
      </c>
      <c r="H2536" s="1508">
        <f t="shared" si="346"/>
        <v>0</v>
      </c>
      <c r="I2536" s="1480">
        <v>20.190000000000001</v>
      </c>
      <c r="J2536" s="1480">
        <v>20.190000000000001</v>
      </c>
      <c r="K2536" s="1508"/>
      <c r="L2536" s="1508"/>
      <c r="M2536" s="1509">
        <f t="shared" si="347"/>
        <v>20.190000000000001</v>
      </c>
      <c r="N2536" s="1508">
        <f t="shared" si="348"/>
        <v>0</v>
      </c>
    </row>
    <row r="2537" spans="1:14" ht="46.5" outlineLevel="1" x14ac:dyDescent="0.25">
      <c r="A2537" s="1492">
        <f t="shared" si="352"/>
        <v>0</v>
      </c>
      <c r="B2537" s="1492" t="str">
        <f t="shared" si="352"/>
        <v>Supply, Erection, Replacement of 400 NB MSERW pipes of existing Ash disposal pipelines of Unit # 5 &amp; 6 in ‘B’ &amp; ‘C’ zone at CSTPS, Chandrapur.</v>
      </c>
      <c r="C2537" s="1488">
        <f t="shared" si="352"/>
        <v>0</v>
      </c>
      <c r="D2537" s="1413" t="str">
        <f t="shared" si="352"/>
        <v>-</v>
      </c>
      <c r="E2537" s="560">
        <f t="shared" si="352"/>
        <v>38.18</v>
      </c>
      <c r="F2537" s="1508">
        <f t="shared" si="353"/>
        <v>0</v>
      </c>
      <c r="G2537" s="1508">
        <f t="shared" si="354"/>
        <v>0</v>
      </c>
      <c r="H2537" s="1508">
        <f t="shared" si="346"/>
        <v>0</v>
      </c>
      <c r="I2537" s="1480">
        <v>18.809999999999999</v>
      </c>
      <c r="J2537" s="1480">
        <v>18.809999999999999</v>
      </c>
      <c r="K2537" s="1508"/>
      <c r="L2537" s="1508"/>
      <c r="M2537" s="1509">
        <f t="shared" si="347"/>
        <v>18.809999999999999</v>
      </c>
      <c r="N2537" s="1508">
        <f t="shared" si="348"/>
        <v>0</v>
      </c>
    </row>
    <row r="2538" spans="1:14" ht="46.5" outlineLevel="1" x14ac:dyDescent="0.25">
      <c r="A2538" s="1486">
        <f t="shared" si="352"/>
        <v>5</v>
      </c>
      <c r="B2538" s="1491" t="str">
        <f t="shared" si="352"/>
        <v>Design, engineering, supply, installation and commissioning of disposal of bottom ash in under ground mines at Chandrapur area WCL at CSTPS, Chandrapur</v>
      </c>
      <c r="C2538" s="1488">
        <f t="shared" si="352"/>
        <v>0</v>
      </c>
      <c r="D2538" s="1413" t="str">
        <f t="shared" si="352"/>
        <v>-</v>
      </c>
      <c r="E2538" s="560">
        <f t="shared" si="352"/>
        <v>27.55</v>
      </c>
      <c r="F2538" s="1508">
        <f t="shared" si="353"/>
        <v>0</v>
      </c>
      <c r="G2538" s="1508">
        <f t="shared" si="354"/>
        <v>0</v>
      </c>
      <c r="H2538" s="1508">
        <f t="shared" si="346"/>
        <v>0</v>
      </c>
      <c r="I2538" s="1480">
        <v>0</v>
      </c>
      <c r="J2538" s="1480">
        <v>0</v>
      </c>
      <c r="K2538" s="1508"/>
      <c r="L2538" s="1508"/>
      <c r="M2538" s="1509">
        <f t="shared" si="347"/>
        <v>0</v>
      </c>
      <c r="N2538" s="1508">
        <f t="shared" si="348"/>
        <v>0</v>
      </c>
    </row>
    <row r="2539" spans="1:14" ht="46.5" outlineLevel="1" x14ac:dyDescent="0.25">
      <c r="A2539" s="1492">
        <f t="shared" si="352"/>
        <v>0</v>
      </c>
      <c r="B2539" s="1492" t="str">
        <f t="shared" si="352"/>
        <v>Design, engineering, supply, installation and commissioning of disposal of bottom ash in under ground mines at Chandrapur area WCL at CSTPS, Chandrapur</v>
      </c>
      <c r="C2539" s="1488">
        <f t="shared" si="352"/>
        <v>0</v>
      </c>
      <c r="D2539" s="1413" t="str">
        <f t="shared" si="352"/>
        <v>-</v>
      </c>
      <c r="E2539" s="560">
        <f t="shared" si="352"/>
        <v>27.55</v>
      </c>
      <c r="F2539" s="1508">
        <f t="shared" si="353"/>
        <v>0</v>
      </c>
      <c r="G2539" s="1508">
        <f t="shared" si="354"/>
        <v>0</v>
      </c>
      <c r="H2539" s="1508">
        <f t="shared" si="346"/>
        <v>0</v>
      </c>
      <c r="I2539" s="1480">
        <v>17.55</v>
      </c>
      <c r="J2539" s="1480">
        <v>17.55</v>
      </c>
      <c r="K2539" s="1508"/>
      <c r="L2539" s="1508"/>
      <c r="M2539" s="1509">
        <f t="shared" si="347"/>
        <v>17.55</v>
      </c>
      <c r="N2539" s="1508">
        <f t="shared" si="348"/>
        <v>0</v>
      </c>
    </row>
    <row r="2540" spans="1:14" ht="31" outlineLevel="1" x14ac:dyDescent="0.25">
      <c r="A2540" s="1486">
        <f t="shared" si="352"/>
        <v>6</v>
      </c>
      <c r="B2540" s="1491" t="str">
        <f t="shared" si="352"/>
        <v>Supply and replacement of 400 NB MSERW pipe lines of ash disposal system in Ash Handling Plant at CSTPS, Chandrapur.</v>
      </c>
      <c r="C2540" s="1488">
        <f t="shared" si="352"/>
        <v>0</v>
      </c>
      <c r="D2540" s="1413" t="str">
        <f t="shared" si="352"/>
        <v>-</v>
      </c>
      <c r="E2540" s="560">
        <f t="shared" si="352"/>
        <v>81.06</v>
      </c>
      <c r="F2540" s="1508">
        <f t="shared" si="353"/>
        <v>0</v>
      </c>
      <c r="G2540" s="1508">
        <f t="shared" si="354"/>
        <v>0</v>
      </c>
      <c r="H2540" s="1508">
        <f t="shared" si="346"/>
        <v>0</v>
      </c>
      <c r="I2540" s="1480">
        <v>0</v>
      </c>
      <c r="J2540" s="1480">
        <v>0</v>
      </c>
      <c r="K2540" s="1508"/>
      <c r="L2540" s="1508"/>
      <c r="M2540" s="1509">
        <f t="shared" si="347"/>
        <v>0</v>
      </c>
      <c r="N2540" s="1508">
        <f t="shared" si="348"/>
        <v>0</v>
      </c>
    </row>
    <row r="2541" spans="1:14" ht="46.5" outlineLevel="1" x14ac:dyDescent="0.25">
      <c r="A2541" s="1492">
        <f t="shared" si="352"/>
        <v>0</v>
      </c>
      <c r="B2541" s="1492" t="str">
        <f t="shared" si="352"/>
        <v>Procurement and replacement of 400 NB MSERW pipe lines of ash disposal system in Ash Handling Plant at CSTPS, Chandrapur.</v>
      </c>
      <c r="C2541" s="1488">
        <f t="shared" si="352"/>
        <v>0</v>
      </c>
      <c r="D2541" s="1413" t="str">
        <f t="shared" si="352"/>
        <v>-</v>
      </c>
      <c r="E2541" s="560">
        <f t="shared" si="352"/>
        <v>81.06</v>
      </c>
      <c r="F2541" s="1508">
        <f t="shared" si="353"/>
        <v>0</v>
      </c>
      <c r="G2541" s="1508">
        <f t="shared" si="354"/>
        <v>0</v>
      </c>
      <c r="H2541" s="1508">
        <f t="shared" si="346"/>
        <v>0</v>
      </c>
      <c r="I2541" s="1480">
        <v>0</v>
      </c>
      <c r="J2541" s="1480">
        <v>0</v>
      </c>
      <c r="K2541" s="1508"/>
      <c r="L2541" s="1508"/>
      <c r="M2541" s="1509">
        <f t="shared" si="347"/>
        <v>0</v>
      </c>
      <c r="N2541" s="1508">
        <f t="shared" si="348"/>
        <v>0</v>
      </c>
    </row>
    <row r="2542" spans="1:14" ht="15.5" outlineLevel="1" x14ac:dyDescent="0.25">
      <c r="A2542" s="1504">
        <f t="shared" si="352"/>
        <v>0</v>
      </c>
      <c r="B2542" s="1504" t="str">
        <f t="shared" si="352"/>
        <v>WTP-II</v>
      </c>
      <c r="C2542" s="1488">
        <f t="shared" si="352"/>
        <v>0</v>
      </c>
      <c r="D2542" s="1413" t="str">
        <f t="shared" si="352"/>
        <v>-</v>
      </c>
      <c r="E2542" s="560">
        <f t="shared" si="352"/>
        <v>0</v>
      </c>
      <c r="F2542" s="1508">
        <f t="shared" si="353"/>
        <v>0</v>
      </c>
      <c r="G2542" s="1508">
        <f t="shared" si="354"/>
        <v>0</v>
      </c>
      <c r="H2542" s="1508">
        <f t="shared" si="346"/>
        <v>0</v>
      </c>
      <c r="I2542" s="1480">
        <v>0</v>
      </c>
      <c r="J2542" s="1480">
        <v>0</v>
      </c>
      <c r="K2542" s="1508"/>
      <c r="L2542" s="1508"/>
      <c r="M2542" s="1509">
        <f t="shared" si="347"/>
        <v>0</v>
      </c>
      <c r="N2542" s="1508">
        <f t="shared" si="348"/>
        <v>0</v>
      </c>
    </row>
    <row r="2543" spans="1:14" ht="31" outlineLevel="1" x14ac:dyDescent="0.25">
      <c r="A2543" s="1486">
        <f t="shared" si="352"/>
        <v>1</v>
      </c>
      <c r="B2543" s="1491" t="str">
        <f t="shared" si="352"/>
        <v xml:space="preserve">SWAS system &amp; STREAM FILTRATION FOR COOLING WATER SYSTEM </v>
      </c>
      <c r="C2543" s="1488">
        <f t="shared" si="352"/>
        <v>0</v>
      </c>
      <c r="D2543" s="1413" t="str">
        <f t="shared" si="352"/>
        <v>-</v>
      </c>
      <c r="E2543" s="560">
        <f t="shared" si="352"/>
        <v>95.65</v>
      </c>
      <c r="F2543" s="1508">
        <f t="shared" si="353"/>
        <v>0</v>
      </c>
      <c r="G2543" s="1508">
        <f t="shared" si="354"/>
        <v>0</v>
      </c>
      <c r="H2543" s="1508">
        <f t="shared" si="346"/>
        <v>0</v>
      </c>
      <c r="I2543" s="1480">
        <v>0</v>
      </c>
      <c r="J2543" s="1480">
        <v>0</v>
      </c>
      <c r="K2543" s="1508"/>
      <c r="L2543" s="1508"/>
      <c r="M2543" s="1509">
        <f t="shared" si="347"/>
        <v>0</v>
      </c>
      <c r="N2543" s="1508">
        <f t="shared" si="348"/>
        <v>0</v>
      </c>
    </row>
    <row r="2544" spans="1:14" ht="31" outlineLevel="1" x14ac:dyDescent="0.25">
      <c r="A2544" s="1492">
        <f t="shared" si="352"/>
        <v>0</v>
      </c>
      <c r="B2544" s="1492" t="str">
        <f t="shared" si="352"/>
        <v>Revamping of SWAS system at 3 x 500 MW at WTP-II of CSTPS, Chandrapur</v>
      </c>
      <c r="C2544" s="1488">
        <f t="shared" si="352"/>
        <v>0</v>
      </c>
      <c r="D2544" s="1413" t="str">
        <f t="shared" si="352"/>
        <v>-</v>
      </c>
      <c r="E2544" s="560">
        <f t="shared" si="352"/>
        <v>16</v>
      </c>
      <c r="F2544" s="1508">
        <f t="shared" si="353"/>
        <v>0</v>
      </c>
      <c r="G2544" s="1508">
        <f t="shared" si="354"/>
        <v>0</v>
      </c>
      <c r="H2544" s="1508">
        <f t="shared" si="346"/>
        <v>0</v>
      </c>
      <c r="I2544" s="1480">
        <v>0</v>
      </c>
      <c r="J2544" s="1480">
        <v>0</v>
      </c>
      <c r="K2544" s="1508"/>
      <c r="L2544" s="1508"/>
      <c r="M2544" s="1509">
        <f t="shared" si="347"/>
        <v>0</v>
      </c>
      <c r="N2544" s="1508">
        <f t="shared" si="348"/>
        <v>0</v>
      </c>
    </row>
    <row r="2545" spans="1:14" ht="31" outlineLevel="1" x14ac:dyDescent="0.25">
      <c r="A2545" s="1492">
        <f t="shared" si="352"/>
        <v>0</v>
      </c>
      <c r="B2545" s="1492" t="str">
        <f t="shared" si="352"/>
        <v>STREAM FILTRATION FOR COOLING WATER SYSTEM OF UNIT 5,6,7,8 and 9 OF CSTPS CHANDRAPUR</v>
      </c>
      <c r="C2545" s="1488">
        <f t="shared" si="352"/>
        <v>0</v>
      </c>
      <c r="D2545" s="1413" t="str">
        <f t="shared" si="352"/>
        <v>-</v>
      </c>
      <c r="E2545" s="560">
        <f t="shared" si="352"/>
        <v>85.529939999999996</v>
      </c>
      <c r="F2545" s="1508">
        <f t="shared" si="353"/>
        <v>0</v>
      </c>
      <c r="G2545" s="1508">
        <f t="shared" si="354"/>
        <v>0</v>
      </c>
      <c r="H2545" s="1508">
        <f t="shared" si="346"/>
        <v>0</v>
      </c>
      <c r="I2545" s="1480">
        <v>0</v>
      </c>
      <c r="J2545" s="1480">
        <v>0</v>
      </c>
      <c r="K2545" s="1508"/>
      <c r="L2545" s="1508"/>
      <c r="M2545" s="1509">
        <f t="shared" si="347"/>
        <v>0</v>
      </c>
      <c r="N2545" s="1508">
        <f t="shared" si="348"/>
        <v>0</v>
      </c>
    </row>
    <row r="2546" spans="1:14" ht="15.5" outlineLevel="1" x14ac:dyDescent="0.25">
      <c r="A2546" s="1504">
        <f t="shared" si="352"/>
        <v>0</v>
      </c>
      <c r="B2546" s="1504" t="str">
        <f t="shared" si="352"/>
        <v>CHP-B</v>
      </c>
      <c r="C2546" s="1488">
        <f t="shared" si="352"/>
        <v>0</v>
      </c>
      <c r="D2546" s="1413" t="str">
        <f t="shared" si="352"/>
        <v>-</v>
      </c>
      <c r="E2546" s="560">
        <f t="shared" si="352"/>
        <v>0</v>
      </c>
      <c r="F2546" s="1508">
        <f t="shared" si="353"/>
        <v>0</v>
      </c>
      <c r="G2546" s="1508">
        <f t="shared" si="354"/>
        <v>0</v>
      </c>
      <c r="H2546" s="1508">
        <f t="shared" ref="H2546:H2609" si="355">F2546-G2546</f>
        <v>0</v>
      </c>
      <c r="I2546" s="1480">
        <v>0</v>
      </c>
      <c r="J2546" s="1480">
        <v>0</v>
      </c>
      <c r="K2546" s="1508"/>
      <c r="L2546" s="1508"/>
      <c r="M2546" s="1509">
        <f t="shared" ref="M2546:M2609" si="356">SUM(J2546:L2546)</f>
        <v>0</v>
      </c>
      <c r="N2546" s="1508">
        <f t="shared" ref="N2546:N2609" si="357">H2546+I2546-M2546</f>
        <v>0</v>
      </c>
    </row>
    <row r="2547" spans="1:14" ht="46.5" outlineLevel="1" x14ac:dyDescent="0.25">
      <c r="A2547" s="1486">
        <f t="shared" si="352"/>
        <v>1</v>
      </c>
      <c r="B2547" s="1491" t="str">
        <f t="shared" si="352"/>
        <v xml:space="preserve">Renovation of Bunker Hopper of Unit 5&amp;6 along with coal flow system &amp;  Design, Engineering, Manufacturing, Fabrication, Erection and commissioning of Modified Wobbler Feeder at CHPC </v>
      </c>
      <c r="C2547" s="1488">
        <f t="shared" si="352"/>
        <v>0</v>
      </c>
      <c r="D2547" s="1413" t="str">
        <f t="shared" si="352"/>
        <v>-</v>
      </c>
      <c r="E2547" s="560">
        <f t="shared" si="352"/>
        <v>38</v>
      </c>
      <c r="F2547" s="1508">
        <f t="shared" si="353"/>
        <v>0</v>
      </c>
      <c r="G2547" s="1508">
        <f t="shared" si="354"/>
        <v>0</v>
      </c>
      <c r="H2547" s="1508">
        <f t="shared" si="355"/>
        <v>0</v>
      </c>
      <c r="I2547" s="1480">
        <v>0</v>
      </c>
      <c r="J2547" s="1480">
        <v>0</v>
      </c>
      <c r="K2547" s="1508"/>
      <c r="L2547" s="1508"/>
      <c r="M2547" s="1509">
        <f t="shared" si="356"/>
        <v>0</v>
      </c>
      <c r="N2547" s="1508">
        <f t="shared" si="357"/>
        <v>0</v>
      </c>
    </row>
    <row r="2548" spans="1:14" ht="46.5" outlineLevel="1" x14ac:dyDescent="0.25">
      <c r="A2548" s="1492">
        <f t="shared" ref="A2548:E2563" si="358">A1878</f>
        <v>0</v>
      </c>
      <c r="B2548" s="1492" t="str">
        <f t="shared" si="358"/>
        <v>Scheme-1 Work of Modification,Upgradation &amp; renovation of Bunker Hopper of Unit 5&amp;6 along with coal flow system at CSTPS Chandrapur</v>
      </c>
      <c r="C2548" s="1488">
        <f t="shared" si="358"/>
        <v>0</v>
      </c>
      <c r="D2548" s="1413" t="str">
        <f t="shared" si="358"/>
        <v>-</v>
      </c>
      <c r="E2548" s="560">
        <f t="shared" si="358"/>
        <v>16</v>
      </c>
      <c r="F2548" s="1508">
        <f t="shared" si="353"/>
        <v>0</v>
      </c>
      <c r="G2548" s="1508">
        <f t="shared" si="354"/>
        <v>0</v>
      </c>
      <c r="H2548" s="1508">
        <f t="shared" si="355"/>
        <v>0</v>
      </c>
      <c r="I2548" s="1480">
        <v>16</v>
      </c>
      <c r="J2548" s="1480">
        <v>16</v>
      </c>
      <c r="K2548" s="1508"/>
      <c r="L2548" s="1508"/>
      <c r="M2548" s="1509">
        <f t="shared" si="356"/>
        <v>16</v>
      </c>
      <c r="N2548" s="1508">
        <f t="shared" si="357"/>
        <v>0</v>
      </c>
    </row>
    <row r="2549" spans="1:14" ht="31" outlineLevel="1" x14ac:dyDescent="0.25">
      <c r="A2549" s="1492">
        <f t="shared" si="358"/>
        <v>0</v>
      </c>
      <c r="B2549" s="1492" t="str">
        <f t="shared" si="358"/>
        <v>Scheme-2 :- Renovation &amp; up gradation of conveyor gantries &amp; Travelling Tripper of CHPB.</v>
      </c>
      <c r="C2549" s="1488">
        <f t="shared" si="358"/>
        <v>0</v>
      </c>
      <c r="D2549" s="1413" t="str">
        <f t="shared" si="358"/>
        <v>-</v>
      </c>
      <c r="E2549" s="560">
        <f t="shared" si="358"/>
        <v>7</v>
      </c>
      <c r="F2549" s="1508">
        <f t="shared" si="353"/>
        <v>0</v>
      </c>
      <c r="G2549" s="1508">
        <f t="shared" si="354"/>
        <v>0</v>
      </c>
      <c r="H2549" s="1508">
        <f t="shared" si="355"/>
        <v>0</v>
      </c>
      <c r="I2549" s="1480">
        <v>7</v>
      </c>
      <c r="J2549" s="1480">
        <v>7</v>
      </c>
      <c r="K2549" s="1508"/>
      <c r="L2549" s="1508"/>
      <c r="M2549" s="1509">
        <f t="shared" si="356"/>
        <v>7</v>
      </c>
      <c r="N2549" s="1508">
        <f t="shared" si="357"/>
        <v>0</v>
      </c>
    </row>
    <row r="2550" spans="1:14" ht="46.5" outlineLevel="1" x14ac:dyDescent="0.25">
      <c r="A2550" s="1492">
        <f t="shared" si="358"/>
        <v>0</v>
      </c>
      <c r="B2550" s="1492" t="str">
        <f t="shared" si="358"/>
        <v>Scheme-3 :- Design, Engineering, Manufacturing, Fabrication, Erection and commissioning of Modified Wobbler Feeder at CHPC of Unit 6&amp;7 of CSTPS Chandrapur</v>
      </c>
      <c r="C2550" s="1488">
        <f t="shared" si="358"/>
        <v>0</v>
      </c>
      <c r="D2550" s="1413" t="str">
        <f t="shared" si="358"/>
        <v>-</v>
      </c>
      <c r="E2550" s="560">
        <f t="shared" si="358"/>
        <v>5</v>
      </c>
      <c r="F2550" s="1508">
        <f t="shared" si="353"/>
        <v>0</v>
      </c>
      <c r="G2550" s="1508">
        <f t="shared" si="354"/>
        <v>0</v>
      </c>
      <c r="H2550" s="1508">
        <f t="shared" si="355"/>
        <v>0</v>
      </c>
      <c r="I2550" s="1480">
        <v>5</v>
      </c>
      <c r="J2550" s="1480">
        <v>5</v>
      </c>
      <c r="K2550" s="1508"/>
      <c r="L2550" s="1508"/>
      <c r="M2550" s="1509">
        <f t="shared" si="356"/>
        <v>5</v>
      </c>
      <c r="N2550" s="1508">
        <f t="shared" si="357"/>
        <v>0</v>
      </c>
    </row>
    <row r="2551" spans="1:14" ht="31" outlineLevel="1" x14ac:dyDescent="0.25">
      <c r="A2551" s="1486">
        <f t="shared" si="358"/>
        <v>2</v>
      </c>
      <c r="B2551" s="1491" t="str">
        <f t="shared" si="358"/>
        <v xml:space="preserve">installation &amp; commissioning of various LV and MV drives at CHPA &amp; Automation of Control Room of CHPA/B </v>
      </c>
      <c r="C2551" s="1488">
        <f t="shared" si="358"/>
        <v>0</v>
      </c>
      <c r="D2551" s="1413" t="str">
        <f t="shared" si="358"/>
        <v>-</v>
      </c>
      <c r="E2551" s="560">
        <f t="shared" si="358"/>
        <v>75</v>
      </c>
      <c r="F2551" s="1508">
        <f t="shared" si="353"/>
        <v>0</v>
      </c>
      <c r="G2551" s="1508">
        <f t="shared" si="354"/>
        <v>0</v>
      </c>
      <c r="H2551" s="1508">
        <f t="shared" si="355"/>
        <v>0</v>
      </c>
      <c r="I2551" s="1480">
        <v>0</v>
      </c>
      <c r="J2551" s="1480">
        <v>0</v>
      </c>
      <c r="K2551" s="1508"/>
      <c r="L2551" s="1508"/>
      <c r="M2551" s="1509">
        <f t="shared" si="356"/>
        <v>0</v>
      </c>
      <c r="N2551" s="1508">
        <f t="shared" si="357"/>
        <v>0</v>
      </c>
    </row>
    <row r="2552" spans="1:14" ht="31" outlineLevel="1" x14ac:dyDescent="0.25">
      <c r="A2552" s="1492">
        <f t="shared" si="358"/>
        <v>0</v>
      </c>
      <c r="B2552" s="1492" t="str">
        <f t="shared" si="358"/>
        <v>Scheme-1 Design, Engineering, supply, installation &amp; commissioning of various LV and MV drives at CHPA</v>
      </c>
      <c r="C2552" s="1488">
        <f t="shared" si="358"/>
        <v>0</v>
      </c>
      <c r="D2552" s="1413" t="str">
        <f t="shared" si="358"/>
        <v>-</v>
      </c>
      <c r="E2552" s="560">
        <f t="shared" si="358"/>
        <v>39</v>
      </c>
      <c r="F2552" s="1508">
        <f t="shared" si="353"/>
        <v>0</v>
      </c>
      <c r="G2552" s="1508">
        <f t="shared" si="354"/>
        <v>0</v>
      </c>
      <c r="H2552" s="1508">
        <f t="shared" si="355"/>
        <v>0</v>
      </c>
      <c r="I2552" s="1480">
        <v>39</v>
      </c>
      <c r="J2552" s="1480">
        <v>39</v>
      </c>
      <c r="K2552" s="1508"/>
      <c r="L2552" s="1508"/>
      <c r="M2552" s="1509">
        <f t="shared" si="356"/>
        <v>39</v>
      </c>
      <c r="N2552" s="1508">
        <f t="shared" si="357"/>
        <v>0</v>
      </c>
    </row>
    <row r="2553" spans="1:14" ht="15.5" outlineLevel="1" x14ac:dyDescent="0.25">
      <c r="A2553" s="1492">
        <f t="shared" si="358"/>
        <v>0</v>
      </c>
      <c r="B2553" s="1492" t="str">
        <f t="shared" si="358"/>
        <v xml:space="preserve">Scheme-2 Automation of Control Room of CHPA/B </v>
      </c>
      <c r="C2553" s="1488">
        <f t="shared" si="358"/>
        <v>0</v>
      </c>
      <c r="D2553" s="1413" t="str">
        <f t="shared" si="358"/>
        <v>-</v>
      </c>
      <c r="E2553" s="560">
        <f t="shared" si="358"/>
        <v>15</v>
      </c>
      <c r="F2553" s="1508">
        <f t="shared" si="353"/>
        <v>0</v>
      </c>
      <c r="G2553" s="1508">
        <f t="shared" si="354"/>
        <v>0</v>
      </c>
      <c r="H2553" s="1508">
        <f t="shared" si="355"/>
        <v>0</v>
      </c>
      <c r="I2553" s="1480">
        <v>15</v>
      </c>
      <c r="J2553" s="1480">
        <v>15</v>
      </c>
      <c r="K2553" s="1508"/>
      <c r="L2553" s="1508"/>
      <c r="M2553" s="1509">
        <f t="shared" si="356"/>
        <v>15</v>
      </c>
      <c r="N2553" s="1508">
        <f t="shared" si="357"/>
        <v>0</v>
      </c>
    </row>
    <row r="2554" spans="1:14" ht="31" outlineLevel="1" x14ac:dyDescent="0.25">
      <c r="A2554" s="1492">
        <f t="shared" si="358"/>
        <v>0</v>
      </c>
      <c r="B2554" s="1492" t="str">
        <f t="shared" si="358"/>
        <v>Scheme-3 Design, Engineering, supply, installation &amp; commissioning of various MV VFD for Crusher 1,2,3&amp;4 at CHPB</v>
      </c>
      <c r="C2554" s="1488">
        <f t="shared" si="358"/>
        <v>0</v>
      </c>
      <c r="D2554" s="1413" t="str">
        <f t="shared" si="358"/>
        <v>-</v>
      </c>
      <c r="E2554" s="560">
        <f t="shared" si="358"/>
        <v>11</v>
      </c>
      <c r="F2554" s="1508">
        <f t="shared" si="353"/>
        <v>0</v>
      </c>
      <c r="G2554" s="1508">
        <f t="shared" si="354"/>
        <v>0</v>
      </c>
      <c r="H2554" s="1508">
        <f t="shared" si="355"/>
        <v>0</v>
      </c>
      <c r="I2554" s="1480">
        <v>11</v>
      </c>
      <c r="J2554" s="1480">
        <v>11</v>
      </c>
      <c r="K2554" s="1508"/>
      <c r="L2554" s="1508"/>
      <c r="M2554" s="1509">
        <f t="shared" si="356"/>
        <v>11</v>
      </c>
      <c r="N2554" s="1508">
        <f t="shared" si="357"/>
        <v>0</v>
      </c>
    </row>
    <row r="2555" spans="1:14" ht="31" outlineLevel="1" x14ac:dyDescent="0.25">
      <c r="A2555" s="1492">
        <f t="shared" si="358"/>
        <v>0</v>
      </c>
      <c r="B2555" s="1492" t="str">
        <f t="shared" si="358"/>
        <v>Scheme-4:- Renovation modernization of 11 KV PMCC Board at Sub-Station-2 of CHPB</v>
      </c>
      <c r="C2555" s="1488">
        <f t="shared" si="358"/>
        <v>0</v>
      </c>
      <c r="D2555" s="1413" t="str">
        <f t="shared" si="358"/>
        <v>-</v>
      </c>
      <c r="E2555" s="560">
        <f t="shared" si="358"/>
        <v>10</v>
      </c>
      <c r="F2555" s="1508">
        <f t="shared" si="353"/>
        <v>0</v>
      </c>
      <c r="G2555" s="1508">
        <f t="shared" si="354"/>
        <v>0</v>
      </c>
      <c r="H2555" s="1508">
        <f t="shared" si="355"/>
        <v>0</v>
      </c>
      <c r="I2555" s="1480">
        <v>10</v>
      </c>
      <c r="J2555" s="1480">
        <v>10</v>
      </c>
      <c r="K2555" s="1508"/>
      <c r="L2555" s="1508"/>
      <c r="M2555" s="1509">
        <f t="shared" si="356"/>
        <v>10</v>
      </c>
      <c r="N2555" s="1508">
        <f t="shared" si="357"/>
        <v>0</v>
      </c>
    </row>
    <row r="2556" spans="1:14" ht="46.5" outlineLevel="1" x14ac:dyDescent="0.25">
      <c r="A2556" s="1486">
        <f t="shared" si="358"/>
        <v>3</v>
      </c>
      <c r="B2556" s="1491" t="str">
        <f t="shared" si="358"/>
        <v>Renovation &amp; Upgrdation of Bunker lift &amp; Desgin, Engineering, supply, installation &amp; commissioning of Energy chain system at various locations of CHPB &amp; CHPC</v>
      </c>
      <c r="C2556" s="1488">
        <f t="shared" si="358"/>
        <v>0</v>
      </c>
      <c r="D2556" s="1413" t="str">
        <f t="shared" si="358"/>
        <v>-</v>
      </c>
      <c r="E2556" s="560">
        <f t="shared" si="358"/>
        <v>29</v>
      </c>
      <c r="F2556" s="1508">
        <f t="shared" si="353"/>
        <v>0</v>
      </c>
      <c r="G2556" s="1508">
        <f t="shared" si="354"/>
        <v>0</v>
      </c>
      <c r="H2556" s="1508">
        <f t="shared" si="355"/>
        <v>0</v>
      </c>
      <c r="I2556" s="1480">
        <v>0</v>
      </c>
      <c r="J2556" s="1480">
        <v>0</v>
      </c>
      <c r="K2556" s="1508"/>
      <c r="L2556" s="1508"/>
      <c r="M2556" s="1509">
        <f t="shared" si="356"/>
        <v>0</v>
      </c>
      <c r="N2556" s="1508">
        <f t="shared" si="357"/>
        <v>0</v>
      </c>
    </row>
    <row r="2557" spans="1:14" ht="31" outlineLevel="1" x14ac:dyDescent="0.25">
      <c r="A2557" s="1492">
        <f t="shared" si="358"/>
        <v>0</v>
      </c>
      <c r="B2557" s="1492" t="str">
        <f t="shared" si="358"/>
        <v>Scheme-1: Renovation &amp; Upgrdation of Bunker lift of Unit 5,6&amp;7 of CHPB</v>
      </c>
      <c r="C2557" s="1488">
        <f t="shared" si="358"/>
        <v>0</v>
      </c>
      <c r="D2557" s="1413" t="str">
        <f t="shared" si="358"/>
        <v>-</v>
      </c>
      <c r="E2557" s="560">
        <f t="shared" si="358"/>
        <v>9</v>
      </c>
      <c r="F2557" s="1508">
        <f t="shared" si="353"/>
        <v>0</v>
      </c>
      <c r="G2557" s="1508">
        <f t="shared" si="354"/>
        <v>0</v>
      </c>
      <c r="H2557" s="1508">
        <f t="shared" si="355"/>
        <v>0</v>
      </c>
      <c r="I2557" s="1480">
        <v>9</v>
      </c>
      <c r="J2557" s="1480">
        <v>9</v>
      </c>
      <c r="K2557" s="1508"/>
      <c r="L2557" s="1508"/>
      <c r="M2557" s="1509">
        <f t="shared" si="356"/>
        <v>9</v>
      </c>
      <c r="N2557" s="1508">
        <f t="shared" si="357"/>
        <v>0</v>
      </c>
    </row>
    <row r="2558" spans="1:14" ht="46.5" outlineLevel="1" x14ac:dyDescent="0.25">
      <c r="A2558" s="1492">
        <f t="shared" si="358"/>
        <v>0</v>
      </c>
      <c r="B2558" s="1492" t="str">
        <f t="shared" si="358"/>
        <v>Scheme-2:- Desgin, Engineering, supply, installation &amp; commissioning of Energy chain system at various locations of CHPB &amp; CHPC</v>
      </c>
      <c r="C2558" s="1488">
        <f t="shared" si="358"/>
        <v>0</v>
      </c>
      <c r="D2558" s="1413" t="str">
        <f t="shared" si="358"/>
        <v>-</v>
      </c>
      <c r="E2558" s="560">
        <f t="shared" si="358"/>
        <v>20</v>
      </c>
      <c r="F2558" s="1508">
        <f t="shared" si="353"/>
        <v>0</v>
      </c>
      <c r="G2558" s="1508">
        <f t="shared" si="354"/>
        <v>0</v>
      </c>
      <c r="H2558" s="1508">
        <f t="shared" si="355"/>
        <v>0</v>
      </c>
      <c r="I2558" s="1480">
        <v>20</v>
      </c>
      <c r="J2558" s="1480">
        <v>20</v>
      </c>
      <c r="K2558" s="1508"/>
      <c r="L2558" s="1508"/>
      <c r="M2558" s="1509">
        <f t="shared" si="356"/>
        <v>20</v>
      </c>
      <c r="N2558" s="1508">
        <f t="shared" si="357"/>
        <v>0</v>
      </c>
    </row>
    <row r="2559" spans="1:14" ht="31" outlineLevel="1" x14ac:dyDescent="0.25">
      <c r="A2559" s="1486">
        <f t="shared" si="358"/>
        <v>4</v>
      </c>
      <c r="B2559" s="1491" t="str">
        <f t="shared" si="358"/>
        <v xml:space="preserve">Upgradation of old ropeway, BC-108 A/B, installation of coal pile thermal monitoring system for stack pile of CHPA/B. </v>
      </c>
      <c r="C2559" s="1488">
        <f t="shared" si="358"/>
        <v>0</v>
      </c>
      <c r="D2559" s="1413" t="str">
        <f t="shared" si="358"/>
        <v>-</v>
      </c>
      <c r="E2559" s="560">
        <f t="shared" si="358"/>
        <v>29</v>
      </c>
      <c r="F2559" s="1508">
        <f t="shared" si="353"/>
        <v>0</v>
      </c>
      <c r="G2559" s="1508">
        <f t="shared" si="354"/>
        <v>0</v>
      </c>
      <c r="H2559" s="1508">
        <f t="shared" si="355"/>
        <v>0</v>
      </c>
      <c r="I2559" s="1480">
        <v>0</v>
      </c>
      <c r="J2559" s="1480">
        <v>0</v>
      </c>
      <c r="K2559" s="1508"/>
      <c r="L2559" s="1508"/>
      <c r="M2559" s="1509">
        <f t="shared" si="356"/>
        <v>0</v>
      </c>
      <c r="N2559" s="1508">
        <f t="shared" si="357"/>
        <v>0</v>
      </c>
    </row>
    <row r="2560" spans="1:14" ht="31" outlineLevel="1" x14ac:dyDescent="0.25">
      <c r="A2560" s="1492">
        <f t="shared" si="358"/>
        <v>0</v>
      </c>
      <c r="B2560" s="1492" t="str">
        <f t="shared" si="358"/>
        <v>Scheme-1 Work of Renovation &amp; upgradation of Ventilation system of CHPA&amp;CHPB.</v>
      </c>
      <c r="C2560" s="1488">
        <f t="shared" si="358"/>
        <v>0</v>
      </c>
      <c r="D2560" s="1413" t="str">
        <f t="shared" si="358"/>
        <v>-</v>
      </c>
      <c r="E2560" s="560">
        <f t="shared" si="358"/>
        <v>8</v>
      </c>
      <c r="F2560" s="1508">
        <f t="shared" si="353"/>
        <v>0</v>
      </c>
      <c r="G2560" s="1508">
        <f t="shared" si="354"/>
        <v>0</v>
      </c>
      <c r="H2560" s="1508">
        <f t="shared" si="355"/>
        <v>0</v>
      </c>
      <c r="I2560" s="1480">
        <v>8</v>
      </c>
      <c r="J2560" s="1480">
        <v>8</v>
      </c>
      <c r="K2560" s="1508"/>
      <c r="L2560" s="1508"/>
      <c r="M2560" s="1509">
        <f t="shared" si="356"/>
        <v>8</v>
      </c>
      <c r="N2560" s="1508">
        <f t="shared" si="357"/>
        <v>0</v>
      </c>
    </row>
    <row r="2561" spans="1:14" ht="46.5" outlineLevel="1" x14ac:dyDescent="0.25">
      <c r="A2561" s="1492">
        <f t="shared" si="358"/>
        <v>0</v>
      </c>
      <c r="B2561" s="1492" t="str">
        <f t="shared" si="358"/>
        <v>Scheme-2: Design, Engineering, Supply, fabrication, Erection, installation &amp; commissioning of modified take up arrangement for BC 108A/B of CHPB.</v>
      </c>
      <c r="C2561" s="1488">
        <f t="shared" si="358"/>
        <v>0</v>
      </c>
      <c r="D2561" s="1413" t="str">
        <f t="shared" si="358"/>
        <v>-</v>
      </c>
      <c r="E2561" s="560">
        <f t="shared" si="358"/>
        <v>4</v>
      </c>
      <c r="F2561" s="1508">
        <f t="shared" si="353"/>
        <v>0</v>
      </c>
      <c r="G2561" s="1508">
        <f t="shared" si="354"/>
        <v>0</v>
      </c>
      <c r="H2561" s="1508">
        <f t="shared" si="355"/>
        <v>0</v>
      </c>
      <c r="I2561" s="1480">
        <v>4</v>
      </c>
      <c r="J2561" s="1480">
        <v>4</v>
      </c>
      <c r="K2561" s="1508"/>
      <c r="L2561" s="1508"/>
      <c r="M2561" s="1509">
        <f t="shared" si="356"/>
        <v>4</v>
      </c>
      <c r="N2561" s="1508">
        <f t="shared" si="357"/>
        <v>0</v>
      </c>
    </row>
    <row r="2562" spans="1:14" ht="31" outlineLevel="1" x14ac:dyDescent="0.25">
      <c r="A2562" s="1492">
        <f t="shared" si="358"/>
        <v>0</v>
      </c>
      <c r="B2562" s="1492" t="str">
        <f t="shared" si="358"/>
        <v>Scheme-3: Design, Engineering, supply &amp; installation of coal pile thermal monitoring system for stack pile of CHPA/B.</v>
      </c>
      <c r="C2562" s="1488">
        <f t="shared" si="358"/>
        <v>0</v>
      </c>
      <c r="D2562" s="1413" t="str">
        <f t="shared" si="358"/>
        <v>-</v>
      </c>
      <c r="E2562" s="560">
        <f t="shared" si="358"/>
        <v>8</v>
      </c>
      <c r="F2562" s="1508">
        <f t="shared" si="353"/>
        <v>0</v>
      </c>
      <c r="G2562" s="1508">
        <f t="shared" si="354"/>
        <v>0</v>
      </c>
      <c r="H2562" s="1508">
        <f t="shared" si="355"/>
        <v>0</v>
      </c>
      <c r="I2562" s="1480">
        <v>5</v>
      </c>
      <c r="J2562" s="1480">
        <v>5</v>
      </c>
      <c r="K2562" s="1508"/>
      <c r="L2562" s="1508"/>
      <c r="M2562" s="1509">
        <f t="shared" si="356"/>
        <v>5</v>
      </c>
      <c r="N2562" s="1508">
        <f t="shared" si="357"/>
        <v>0</v>
      </c>
    </row>
    <row r="2563" spans="1:14" ht="31" outlineLevel="1" x14ac:dyDescent="0.25">
      <c r="A2563" s="1492">
        <f t="shared" si="358"/>
        <v>0</v>
      </c>
      <c r="B2563" s="1492" t="str">
        <f t="shared" si="358"/>
        <v>Scheme-3: Design, Engineering, supply &amp; installation of Belt Tear Detector system for belt conveyor system of CHPB.</v>
      </c>
      <c r="C2563" s="1488">
        <f t="shared" si="358"/>
        <v>0</v>
      </c>
      <c r="D2563" s="1413" t="str">
        <f t="shared" si="358"/>
        <v>-</v>
      </c>
      <c r="E2563" s="560">
        <f t="shared" si="358"/>
        <v>4</v>
      </c>
      <c r="F2563" s="1508">
        <f t="shared" si="353"/>
        <v>0</v>
      </c>
      <c r="G2563" s="1508">
        <f t="shared" si="354"/>
        <v>0</v>
      </c>
      <c r="H2563" s="1508">
        <f t="shared" si="355"/>
        <v>0</v>
      </c>
      <c r="I2563" s="1480">
        <v>4</v>
      </c>
      <c r="J2563" s="1480">
        <v>4</v>
      </c>
      <c r="K2563" s="1508"/>
      <c r="L2563" s="1508"/>
      <c r="M2563" s="1509">
        <f t="shared" si="356"/>
        <v>4</v>
      </c>
      <c r="N2563" s="1508">
        <f t="shared" si="357"/>
        <v>0</v>
      </c>
    </row>
    <row r="2564" spans="1:14" ht="31" outlineLevel="1" x14ac:dyDescent="0.25">
      <c r="A2564" s="1492">
        <f t="shared" ref="A2564:E2579" si="359">A1894</f>
        <v>0</v>
      </c>
      <c r="B2564" s="1492" t="str">
        <f t="shared" si="359"/>
        <v>Scheme-4: Capacity Enhancement of Belt Conveyor Drives of CHPB by upgrdation of conveyor drvie system.</v>
      </c>
      <c r="C2564" s="1488">
        <f t="shared" si="359"/>
        <v>0</v>
      </c>
      <c r="D2564" s="1413" t="str">
        <f t="shared" si="359"/>
        <v>-</v>
      </c>
      <c r="E2564" s="560">
        <f t="shared" si="359"/>
        <v>5</v>
      </c>
      <c r="F2564" s="1508">
        <f t="shared" si="353"/>
        <v>0</v>
      </c>
      <c r="G2564" s="1508">
        <f t="shared" si="354"/>
        <v>0</v>
      </c>
      <c r="H2564" s="1508">
        <f t="shared" si="355"/>
        <v>0</v>
      </c>
      <c r="I2564" s="1480">
        <v>5</v>
      </c>
      <c r="J2564" s="1480">
        <v>5</v>
      </c>
      <c r="K2564" s="1508"/>
      <c r="L2564" s="1508"/>
      <c r="M2564" s="1509">
        <f t="shared" si="356"/>
        <v>5</v>
      </c>
      <c r="N2564" s="1508">
        <f t="shared" si="357"/>
        <v>0</v>
      </c>
    </row>
    <row r="2565" spans="1:14" ht="15.5" outlineLevel="1" x14ac:dyDescent="0.25">
      <c r="A2565" s="1486">
        <f t="shared" si="359"/>
        <v>5</v>
      </c>
      <c r="B2565" s="1491" t="str">
        <f t="shared" si="359"/>
        <v>Modification &amp; upgradation in Railway Track network of CSTPS</v>
      </c>
      <c r="C2565" s="1488">
        <f t="shared" si="359"/>
        <v>0</v>
      </c>
      <c r="D2565" s="1413" t="str">
        <f t="shared" si="359"/>
        <v>-</v>
      </c>
      <c r="E2565" s="560">
        <f t="shared" si="359"/>
        <v>29</v>
      </c>
      <c r="F2565" s="1508">
        <f t="shared" si="353"/>
        <v>0</v>
      </c>
      <c r="G2565" s="1508">
        <f t="shared" si="354"/>
        <v>0</v>
      </c>
      <c r="H2565" s="1508">
        <f t="shared" si="355"/>
        <v>0</v>
      </c>
      <c r="I2565" s="1480">
        <v>0</v>
      </c>
      <c r="J2565" s="1480">
        <v>0</v>
      </c>
      <c r="K2565" s="1508"/>
      <c r="L2565" s="1508"/>
      <c r="M2565" s="1509">
        <f t="shared" si="356"/>
        <v>0</v>
      </c>
      <c r="N2565" s="1508">
        <f t="shared" si="357"/>
        <v>0</v>
      </c>
    </row>
    <row r="2566" spans="1:14" ht="62" outlineLevel="1" x14ac:dyDescent="0.25">
      <c r="A2566" s="1492">
        <f t="shared" si="359"/>
        <v>0</v>
      </c>
      <c r="B2566" s="1492" t="str">
        <f t="shared" si="359"/>
        <v xml:space="preserve">Scheme-1: Work of Modification &amp; upgradation in Railway Track network of CSTPS by Provision of additional take off &amp; cutoff point for CHPD and empty formation at WT outhaul in CSTPS Railway Siding. </v>
      </c>
      <c r="C2566" s="1488">
        <f t="shared" si="359"/>
        <v>0</v>
      </c>
      <c r="D2566" s="1413" t="str">
        <f t="shared" si="359"/>
        <v>-</v>
      </c>
      <c r="E2566" s="560">
        <f t="shared" si="359"/>
        <v>14</v>
      </c>
      <c r="F2566" s="1508">
        <f t="shared" si="353"/>
        <v>0</v>
      </c>
      <c r="G2566" s="1508">
        <f t="shared" si="354"/>
        <v>0</v>
      </c>
      <c r="H2566" s="1508">
        <f t="shared" si="355"/>
        <v>0</v>
      </c>
      <c r="I2566" s="1480">
        <v>0</v>
      </c>
      <c r="J2566" s="1480">
        <v>0</v>
      </c>
      <c r="K2566" s="1508"/>
      <c r="L2566" s="1508"/>
      <c r="M2566" s="1509">
        <f t="shared" si="356"/>
        <v>0</v>
      </c>
      <c r="N2566" s="1508">
        <f t="shared" si="357"/>
        <v>0</v>
      </c>
    </row>
    <row r="2567" spans="1:14" ht="46.5" outlineLevel="1" x14ac:dyDescent="0.25">
      <c r="A2567" s="1492">
        <f t="shared" si="359"/>
        <v>0</v>
      </c>
      <c r="B2567" s="1492" t="str">
        <f t="shared" si="359"/>
        <v>Scheme-1: Work of Modification &amp; upgradation in Railway Track network of CSTPS by Complete Track Renewal of old BG rail with other allied works in CSTPS Railway Siding.</v>
      </c>
      <c r="C2567" s="1488">
        <f t="shared" si="359"/>
        <v>0</v>
      </c>
      <c r="D2567" s="1413" t="str">
        <f t="shared" si="359"/>
        <v>-</v>
      </c>
      <c r="E2567" s="560">
        <f t="shared" si="359"/>
        <v>15</v>
      </c>
      <c r="F2567" s="1508">
        <f t="shared" si="353"/>
        <v>0</v>
      </c>
      <c r="G2567" s="1508">
        <f t="shared" si="354"/>
        <v>0</v>
      </c>
      <c r="H2567" s="1508">
        <f t="shared" si="355"/>
        <v>0</v>
      </c>
      <c r="I2567" s="1480">
        <v>0</v>
      </c>
      <c r="J2567" s="1480">
        <v>0</v>
      </c>
      <c r="K2567" s="1508"/>
      <c r="L2567" s="1508"/>
      <c r="M2567" s="1509">
        <f t="shared" si="356"/>
        <v>0</v>
      </c>
      <c r="N2567" s="1508">
        <f t="shared" si="357"/>
        <v>0</v>
      </c>
    </row>
    <row r="2568" spans="1:14" ht="46.5" outlineLevel="1" x14ac:dyDescent="0.25">
      <c r="A2568" s="1486">
        <f t="shared" si="359"/>
        <v>6</v>
      </c>
      <c r="B2568" s="1491" t="str">
        <f t="shared" si="359"/>
        <v>extension of Pipe Conveyor System from Padmapur Loading Station to Coal Handling Plant-C of Unit 5,6&amp;7 at CSTPS Chandrapur.</v>
      </c>
      <c r="C2568" s="1488">
        <f t="shared" si="359"/>
        <v>0</v>
      </c>
      <c r="D2568" s="1413" t="str">
        <f t="shared" si="359"/>
        <v>-</v>
      </c>
      <c r="E2568" s="560">
        <f t="shared" si="359"/>
        <v>100</v>
      </c>
      <c r="F2568" s="1508">
        <f t="shared" si="353"/>
        <v>0</v>
      </c>
      <c r="G2568" s="1508">
        <f t="shared" si="354"/>
        <v>0</v>
      </c>
      <c r="H2568" s="1508">
        <f t="shared" si="355"/>
        <v>0</v>
      </c>
      <c r="I2568" s="1480">
        <v>0</v>
      </c>
      <c r="J2568" s="1480">
        <v>0</v>
      </c>
      <c r="K2568" s="1508"/>
      <c r="L2568" s="1508"/>
      <c r="M2568" s="1509">
        <f t="shared" si="356"/>
        <v>0</v>
      </c>
      <c r="N2568" s="1508">
        <f t="shared" si="357"/>
        <v>0</v>
      </c>
    </row>
    <row r="2569" spans="1:14" ht="46.5" outlineLevel="1" x14ac:dyDescent="0.25">
      <c r="A2569" s="1492">
        <f t="shared" si="359"/>
        <v>0</v>
      </c>
      <c r="B2569" s="1492" t="str">
        <f t="shared" si="359"/>
        <v>Scheme-1: Augmentation of extension of Pipe Conveyor System from Padmapur Loading Station to Coal Handling Plant-C of Unit 5,6&amp;7 at CSTPS Chandrapur.</v>
      </c>
      <c r="C2569" s="1488">
        <f t="shared" si="359"/>
        <v>0</v>
      </c>
      <c r="D2569" s="1413" t="str">
        <f t="shared" si="359"/>
        <v>-</v>
      </c>
      <c r="E2569" s="560">
        <f t="shared" si="359"/>
        <v>100</v>
      </c>
      <c r="F2569" s="1508">
        <f t="shared" si="353"/>
        <v>0</v>
      </c>
      <c r="G2569" s="1508">
        <f t="shared" si="354"/>
        <v>0</v>
      </c>
      <c r="H2569" s="1508">
        <f t="shared" si="355"/>
        <v>0</v>
      </c>
      <c r="I2569" s="1480">
        <v>0</v>
      </c>
      <c r="J2569" s="1480">
        <v>0</v>
      </c>
      <c r="K2569" s="1508"/>
      <c r="L2569" s="1508"/>
      <c r="M2569" s="1509">
        <f t="shared" si="356"/>
        <v>0</v>
      </c>
      <c r="N2569" s="1508">
        <f t="shared" si="357"/>
        <v>0</v>
      </c>
    </row>
    <row r="2570" spans="1:14" ht="15.5" outlineLevel="1" x14ac:dyDescent="0.25">
      <c r="A2570" s="1504">
        <f t="shared" si="359"/>
        <v>0</v>
      </c>
      <c r="B2570" s="1504" t="str">
        <f t="shared" si="359"/>
        <v>CHP-C</v>
      </c>
      <c r="C2570" s="1488">
        <f t="shared" si="359"/>
        <v>0</v>
      </c>
      <c r="D2570" s="1413" t="str">
        <f t="shared" si="359"/>
        <v>-</v>
      </c>
      <c r="E2570" s="560">
        <f t="shared" si="359"/>
        <v>0</v>
      </c>
      <c r="F2570" s="1508">
        <f t="shared" si="353"/>
        <v>0</v>
      </c>
      <c r="G2570" s="1508">
        <f t="shared" si="354"/>
        <v>0</v>
      </c>
      <c r="H2570" s="1508">
        <f t="shared" si="355"/>
        <v>0</v>
      </c>
      <c r="I2570" s="1480">
        <v>0</v>
      </c>
      <c r="J2570" s="1480">
        <v>0</v>
      </c>
      <c r="K2570" s="1508"/>
      <c r="L2570" s="1508"/>
      <c r="M2570" s="1509">
        <f t="shared" si="356"/>
        <v>0</v>
      </c>
      <c r="N2570" s="1508">
        <f t="shared" si="357"/>
        <v>0</v>
      </c>
    </row>
    <row r="2571" spans="1:14" ht="31" outlineLevel="1" x14ac:dyDescent="0.25">
      <c r="A2571" s="1486">
        <f t="shared" si="359"/>
        <v>1</v>
      </c>
      <c r="B2571" s="1491" t="str">
        <f t="shared" si="359"/>
        <v>Design, Engineering, supply, Erection and commissioning of new fire fighting system at Pipe conveyor of CSTPS, Chandrapur</v>
      </c>
      <c r="C2571" s="1488">
        <f t="shared" si="359"/>
        <v>0</v>
      </c>
      <c r="D2571" s="1413" t="str">
        <f t="shared" si="359"/>
        <v>-</v>
      </c>
      <c r="E2571" s="560">
        <f t="shared" si="359"/>
        <v>25</v>
      </c>
      <c r="F2571" s="1508">
        <f t="shared" si="353"/>
        <v>0</v>
      </c>
      <c r="G2571" s="1508">
        <f t="shared" si="354"/>
        <v>0</v>
      </c>
      <c r="H2571" s="1508">
        <f t="shared" si="355"/>
        <v>0</v>
      </c>
      <c r="I2571" s="1480">
        <v>0</v>
      </c>
      <c r="J2571" s="1480">
        <v>0</v>
      </c>
      <c r="K2571" s="1508"/>
      <c r="L2571" s="1508"/>
      <c r="M2571" s="1509">
        <f t="shared" si="356"/>
        <v>0</v>
      </c>
      <c r="N2571" s="1508">
        <f t="shared" si="357"/>
        <v>0</v>
      </c>
    </row>
    <row r="2572" spans="1:14" ht="31" outlineLevel="1" x14ac:dyDescent="0.25">
      <c r="A2572" s="1492">
        <f t="shared" si="359"/>
        <v>0</v>
      </c>
      <c r="B2572" s="1492" t="str">
        <f t="shared" si="359"/>
        <v>Design, Engineering, supply, Erection and commissioning of new fire fighting system at Pipe conveyor of CSTPS, Chandrapur</v>
      </c>
      <c r="C2572" s="1488">
        <f t="shared" si="359"/>
        <v>0</v>
      </c>
      <c r="D2572" s="1413" t="str">
        <f t="shared" si="359"/>
        <v>-</v>
      </c>
      <c r="E2572" s="560">
        <f t="shared" si="359"/>
        <v>25</v>
      </c>
      <c r="F2572" s="1508">
        <f t="shared" si="353"/>
        <v>0</v>
      </c>
      <c r="G2572" s="1508">
        <f t="shared" si="354"/>
        <v>0</v>
      </c>
      <c r="H2572" s="1508">
        <f t="shared" si="355"/>
        <v>0</v>
      </c>
      <c r="I2572" s="1480">
        <v>25</v>
      </c>
      <c r="J2572" s="1480">
        <v>0</v>
      </c>
      <c r="K2572" s="1508"/>
      <c r="L2572" s="1508"/>
      <c r="M2572" s="1509">
        <f t="shared" si="356"/>
        <v>0</v>
      </c>
      <c r="N2572" s="1508">
        <f t="shared" si="357"/>
        <v>25</v>
      </c>
    </row>
    <row r="2573" spans="1:14" ht="31" outlineLevel="1" x14ac:dyDescent="0.25">
      <c r="A2573" s="1486">
        <f t="shared" si="359"/>
        <v>2</v>
      </c>
      <c r="B2573" s="1491" t="str">
        <f t="shared" si="359"/>
        <v>Reliability &amp; availability improvement of coal transportation by Procurement of UTS (BOBR) Wagons for CHP</v>
      </c>
      <c r="C2573" s="1488">
        <f t="shared" si="359"/>
        <v>0</v>
      </c>
      <c r="D2573" s="1413" t="str">
        <f t="shared" si="359"/>
        <v>-</v>
      </c>
      <c r="E2573" s="560">
        <f t="shared" si="359"/>
        <v>15</v>
      </c>
      <c r="F2573" s="1508">
        <f t="shared" si="353"/>
        <v>0</v>
      </c>
      <c r="G2573" s="1508">
        <f t="shared" si="354"/>
        <v>0</v>
      </c>
      <c r="H2573" s="1508">
        <f t="shared" si="355"/>
        <v>0</v>
      </c>
      <c r="I2573" s="1480">
        <v>0</v>
      </c>
      <c r="J2573" s="1480">
        <v>0</v>
      </c>
      <c r="K2573" s="1508"/>
      <c r="L2573" s="1508"/>
      <c r="M2573" s="1509">
        <f t="shared" si="356"/>
        <v>0</v>
      </c>
      <c r="N2573" s="1508">
        <f t="shared" si="357"/>
        <v>0</v>
      </c>
    </row>
    <row r="2574" spans="1:14" ht="31" outlineLevel="1" x14ac:dyDescent="0.25">
      <c r="A2574" s="1492">
        <f t="shared" si="359"/>
        <v>0</v>
      </c>
      <c r="B2574" s="1492" t="str">
        <f t="shared" si="359"/>
        <v>Reliability &amp; availability improvement of coal transportation by Procurement of UTS (BOBR) Wagons for CHP</v>
      </c>
      <c r="C2574" s="1488">
        <f t="shared" si="359"/>
        <v>0</v>
      </c>
      <c r="D2574" s="1413" t="str">
        <f t="shared" si="359"/>
        <v>-</v>
      </c>
      <c r="E2574" s="560">
        <f t="shared" si="359"/>
        <v>15</v>
      </c>
      <c r="F2574" s="1508">
        <f t="shared" si="353"/>
        <v>0</v>
      </c>
      <c r="G2574" s="1508">
        <f t="shared" si="354"/>
        <v>0</v>
      </c>
      <c r="H2574" s="1508">
        <f t="shared" si="355"/>
        <v>0</v>
      </c>
      <c r="I2574" s="1480">
        <v>0</v>
      </c>
      <c r="J2574" s="1480">
        <v>0</v>
      </c>
      <c r="K2574" s="1508"/>
      <c r="L2574" s="1508"/>
      <c r="M2574" s="1509">
        <f t="shared" si="356"/>
        <v>0</v>
      </c>
      <c r="N2574" s="1508">
        <f t="shared" si="357"/>
        <v>0</v>
      </c>
    </row>
    <row r="2575" spans="1:14" ht="31" outlineLevel="1" x14ac:dyDescent="0.25">
      <c r="A2575" s="1486">
        <f t="shared" si="359"/>
        <v>3</v>
      </c>
      <c r="B2575" s="1491" t="str">
        <f t="shared" si="359"/>
        <v>Reliability &amp; availability improvement by replacement of set of internals for Paddle feeders</v>
      </c>
      <c r="C2575" s="1488">
        <f t="shared" si="359"/>
        <v>0</v>
      </c>
      <c r="D2575" s="1413" t="str">
        <f t="shared" si="359"/>
        <v>-</v>
      </c>
      <c r="E2575" s="560">
        <f t="shared" si="359"/>
        <v>6</v>
      </c>
      <c r="F2575" s="1508">
        <f t="shared" si="353"/>
        <v>0</v>
      </c>
      <c r="G2575" s="1508">
        <f t="shared" si="354"/>
        <v>0</v>
      </c>
      <c r="H2575" s="1508">
        <f t="shared" si="355"/>
        <v>0</v>
      </c>
      <c r="I2575" s="1480">
        <v>0</v>
      </c>
      <c r="J2575" s="1480">
        <v>0</v>
      </c>
      <c r="K2575" s="1508"/>
      <c r="L2575" s="1508"/>
      <c r="M2575" s="1509">
        <f t="shared" si="356"/>
        <v>0</v>
      </c>
      <c r="N2575" s="1508">
        <f t="shared" si="357"/>
        <v>0</v>
      </c>
    </row>
    <row r="2576" spans="1:14" ht="31" outlineLevel="1" x14ac:dyDescent="0.25">
      <c r="A2576" s="1492">
        <f t="shared" si="359"/>
        <v>0</v>
      </c>
      <c r="B2576" s="1492" t="str">
        <f t="shared" si="359"/>
        <v>Reliability &amp; availability improvement by replacement of set of internals for Paddle feeders</v>
      </c>
      <c r="C2576" s="1488">
        <f t="shared" si="359"/>
        <v>0</v>
      </c>
      <c r="D2576" s="1413" t="str">
        <f t="shared" si="359"/>
        <v>-</v>
      </c>
      <c r="E2576" s="560">
        <f t="shared" si="359"/>
        <v>6</v>
      </c>
      <c r="F2576" s="1508">
        <f t="shared" si="353"/>
        <v>0</v>
      </c>
      <c r="G2576" s="1508">
        <f t="shared" si="354"/>
        <v>0</v>
      </c>
      <c r="H2576" s="1508">
        <f t="shared" si="355"/>
        <v>0</v>
      </c>
      <c r="I2576" s="1480">
        <v>6</v>
      </c>
      <c r="J2576" s="1480">
        <v>0</v>
      </c>
      <c r="K2576" s="1508"/>
      <c r="L2576" s="1508"/>
      <c r="M2576" s="1509">
        <f t="shared" si="356"/>
        <v>0</v>
      </c>
      <c r="N2576" s="1508">
        <f t="shared" si="357"/>
        <v>6</v>
      </c>
    </row>
    <row r="2577" spans="1:14" ht="31" outlineLevel="1" x14ac:dyDescent="0.25">
      <c r="A2577" s="1486">
        <f t="shared" si="359"/>
        <v>4</v>
      </c>
      <c r="B2577" s="1491" t="str">
        <f t="shared" si="359"/>
        <v>Reliability &amp; availability improvement by replacement of transfer chutes at CHP-C</v>
      </c>
      <c r="C2577" s="1488">
        <f t="shared" si="359"/>
        <v>0</v>
      </c>
      <c r="D2577" s="1413" t="str">
        <f t="shared" si="359"/>
        <v>-</v>
      </c>
      <c r="E2577" s="560">
        <f t="shared" si="359"/>
        <v>10</v>
      </c>
      <c r="F2577" s="1508">
        <f t="shared" si="353"/>
        <v>0</v>
      </c>
      <c r="G2577" s="1508">
        <f t="shared" si="354"/>
        <v>0</v>
      </c>
      <c r="H2577" s="1508">
        <f t="shared" si="355"/>
        <v>0</v>
      </c>
      <c r="I2577" s="1480">
        <v>0</v>
      </c>
      <c r="J2577" s="1480">
        <v>0</v>
      </c>
      <c r="K2577" s="1508"/>
      <c r="L2577" s="1508"/>
      <c r="M2577" s="1509">
        <f t="shared" si="356"/>
        <v>0</v>
      </c>
      <c r="N2577" s="1508">
        <f t="shared" si="357"/>
        <v>0</v>
      </c>
    </row>
    <row r="2578" spans="1:14" ht="31" outlineLevel="1" x14ac:dyDescent="0.25">
      <c r="A2578" s="1492">
        <f t="shared" si="359"/>
        <v>0</v>
      </c>
      <c r="B2578" s="1492" t="str">
        <f t="shared" si="359"/>
        <v>Reliability &amp; availability improvement by replacement of transfer chutes at CHP-C</v>
      </c>
      <c r="C2578" s="1488">
        <f t="shared" si="359"/>
        <v>0</v>
      </c>
      <c r="D2578" s="1413" t="str">
        <f t="shared" si="359"/>
        <v>-</v>
      </c>
      <c r="E2578" s="560">
        <f t="shared" si="359"/>
        <v>10</v>
      </c>
      <c r="F2578" s="1508">
        <f t="shared" si="353"/>
        <v>0</v>
      </c>
      <c r="G2578" s="1508">
        <f t="shared" si="354"/>
        <v>0</v>
      </c>
      <c r="H2578" s="1508">
        <f t="shared" si="355"/>
        <v>0</v>
      </c>
      <c r="I2578" s="1480">
        <v>0</v>
      </c>
      <c r="J2578" s="1480">
        <v>0</v>
      </c>
      <c r="K2578" s="1508"/>
      <c r="L2578" s="1508"/>
      <c r="M2578" s="1509">
        <f t="shared" si="356"/>
        <v>0</v>
      </c>
      <c r="N2578" s="1508">
        <f t="shared" si="357"/>
        <v>0</v>
      </c>
    </row>
    <row r="2579" spans="1:14" ht="15.5" outlineLevel="1" x14ac:dyDescent="0.25">
      <c r="A2579" s="1504">
        <f t="shared" si="359"/>
        <v>0</v>
      </c>
      <c r="B2579" s="1504" t="str">
        <f t="shared" si="359"/>
        <v>Civil U#3  to U#7</v>
      </c>
      <c r="C2579" s="1488">
        <f t="shared" si="359"/>
        <v>0</v>
      </c>
      <c r="D2579" s="1413" t="str">
        <f t="shared" si="359"/>
        <v>-</v>
      </c>
      <c r="E2579" s="560">
        <f t="shared" si="359"/>
        <v>0</v>
      </c>
      <c r="F2579" s="1508">
        <f t="shared" si="353"/>
        <v>0</v>
      </c>
      <c r="G2579" s="1508">
        <f t="shared" si="354"/>
        <v>0</v>
      </c>
      <c r="H2579" s="1508">
        <f t="shared" si="355"/>
        <v>0</v>
      </c>
      <c r="I2579" s="1480">
        <v>0</v>
      </c>
      <c r="J2579" s="1480">
        <v>0</v>
      </c>
      <c r="K2579" s="1508"/>
      <c r="L2579" s="1508"/>
      <c r="M2579" s="1509">
        <f t="shared" si="356"/>
        <v>0</v>
      </c>
      <c r="N2579" s="1508">
        <f t="shared" si="357"/>
        <v>0</v>
      </c>
    </row>
    <row r="2580" spans="1:14" ht="31" outlineLevel="1" x14ac:dyDescent="0.25">
      <c r="A2580" s="1486">
        <f t="shared" ref="A2580:E2595" si="360">A1910</f>
        <v>1</v>
      </c>
      <c r="B2580" s="1491" t="str">
        <f t="shared" si="360"/>
        <v xml:space="preserve">Provision for Scientific storage of coal reject and leachate collection system at CSTPS, Chandrapur </v>
      </c>
      <c r="C2580" s="1488">
        <f t="shared" si="360"/>
        <v>0</v>
      </c>
      <c r="D2580" s="1413" t="str">
        <f t="shared" si="360"/>
        <v>-</v>
      </c>
      <c r="E2580" s="560">
        <f t="shared" si="360"/>
        <v>37.57</v>
      </c>
      <c r="F2580" s="1508">
        <f t="shared" si="353"/>
        <v>0</v>
      </c>
      <c r="G2580" s="1508">
        <f t="shared" si="354"/>
        <v>0</v>
      </c>
      <c r="H2580" s="1508">
        <f t="shared" si="355"/>
        <v>0</v>
      </c>
      <c r="I2580" s="1480">
        <v>0</v>
      </c>
      <c r="J2580" s="1480">
        <v>0</v>
      </c>
      <c r="K2580" s="1508"/>
      <c r="L2580" s="1508"/>
      <c r="M2580" s="1509">
        <f t="shared" si="356"/>
        <v>0</v>
      </c>
      <c r="N2580" s="1508">
        <f t="shared" si="357"/>
        <v>0</v>
      </c>
    </row>
    <row r="2581" spans="1:14" ht="31" outlineLevel="1" x14ac:dyDescent="0.25">
      <c r="A2581" s="1492">
        <f t="shared" si="360"/>
        <v>0</v>
      </c>
      <c r="B2581" s="1492" t="str">
        <f t="shared" si="360"/>
        <v>Provision for Scientific storage of coal reject and leachate collection system at CSTPS, Chandrapur</v>
      </c>
      <c r="C2581" s="1488">
        <f t="shared" si="360"/>
        <v>0</v>
      </c>
      <c r="D2581" s="1413" t="str">
        <f t="shared" si="360"/>
        <v>-</v>
      </c>
      <c r="E2581" s="560">
        <f t="shared" si="360"/>
        <v>37.57</v>
      </c>
      <c r="F2581" s="1508">
        <f t="shared" si="353"/>
        <v>0</v>
      </c>
      <c r="G2581" s="1508">
        <f t="shared" si="354"/>
        <v>0</v>
      </c>
      <c r="H2581" s="1508">
        <f t="shared" si="355"/>
        <v>0</v>
      </c>
      <c r="I2581" s="1480">
        <v>10</v>
      </c>
      <c r="J2581" s="1480">
        <v>10</v>
      </c>
      <c r="K2581" s="1508"/>
      <c r="L2581" s="1508"/>
      <c r="M2581" s="1509">
        <f t="shared" si="356"/>
        <v>10</v>
      </c>
      <c r="N2581" s="1508">
        <f t="shared" si="357"/>
        <v>0</v>
      </c>
    </row>
    <row r="2582" spans="1:14" ht="31" outlineLevel="1" x14ac:dyDescent="0.25">
      <c r="A2582" s="1486">
        <f t="shared" si="360"/>
        <v>2</v>
      </c>
      <c r="B2582" s="1491" t="str">
        <f t="shared" si="360"/>
        <v xml:space="preserve">Infrastructure  development scheme for improvement of CHP at CSTPS, Chandrapur </v>
      </c>
      <c r="C2582" s="1488">
        <f t="shared" si="360"/>
        <v>0</v>
      </c>
      <c r="D2582" s="1413" t="str">
        <f t="shared" si="360"/>
        <v>-</v>
      </c>
      <c r="E2582" s="560">
        <f t="shared" si="360"/>
        <v>47.15</v>
      </c>
      <c r="F2582" s="1508">
        <f t="shared" si="353"/>
        <v>0</v>
      </c>
      <c r="G2582" s="1508">
        <f t="shared" si="354"/>
        <v>0</v>
      </c>
      <c r="H2582" s="1508">
        <f t="shared" si="355"/>
        <v>0</v>
      </c>
      <c r="I2582" s="1480">
        <v>0</v>
      </c>
      <c r="J2582" s="1480">
        <v>0</v>
      </c>
      <c r="K2582" s="1508"/>
      <c r="L2582" s="1508"/>
      <c r="M2582" s="1509">
        <f t="shared" si="356"/>
        <v>0</v>
      </c>
      <c r="N2582" s="1508">
        <f t="shared" si="357"/>
        <v>0</v>
      </c>
    </row>
    <row r="2583" spans="1:14" ht="46.5" outlineLevel="1" x14ac:dyDescent="0.25">
      <c r="A2583" s="1492">
        <f t="shared" si="360"/>
        <v>0</v>
      </c>
      <c r="B2583" s="1492" t="str">
        <f t="shared" si="360"/>
        <v xml:space="preserve">Construction of RCC platform facility for Coal storage &amp; transportation in CHP-B STACKER I &amp; II area (500MW) at CSTPS, Chandrapur </v>
      </c>
      <c r="C2583" s="1488">
        <f t="shared" si="360"/>
        <v>0</v>
      </c>
      <c r="D2583" s="1413" t="str">
        <f t="shared" si="360"/>
        <v>-</v>
      </c>
      <c r="E2583" s="560">
        <f t="shared" si="360"/>
        <v>47.15</v>
      </c>
      <c r="F2583" s="1508">
        <f t="shared" si="353"/>
        <v>0</v>
      </c>
      <c r="G2583" s="1508">
        <f t="shared" si="354"/>
        <v>0</v>
      </c>
      <c r="H2583" s="1508">
        <f t="shared" si="355"/>
        <v>0</v>
      </c>
      <c r="I2583" s="1480">
        <v>15</v>
      </c>
      <c r="J2583" s="1480">
        <v>15</v>
      </c>
      <c r="K2583" s="1508"/>
      <c r="L2583" s="1508"/>
      <c r="M2583" s="1509">
        <f t="shared" si="356"/>
        <v>15</v>
      </c>
      <c r="N2583" s="1508">
        <f t="shared" si="357"/>
        <v>0</v>
      </c>
    </row>
    <row r="2584" spans="1:14" ht="31" outlineLevel="1" x14ac:dyDescent="0.25">
      <c r="A2584" s="1486">
        <f t="shared" si="360"/>
        <v>3</v>
      </c>
      <c r="B2584" s="1491" t="str">
        <f t="shared" si="360"/>
        <v>Contruction of cement concrete roads in CHP area at CSTPS, Chandrapur</v>
      </c>
      <c r="C2584" s="1488">
        <f t="shared" si="360"/>
        <v>0</v>
      </c>
      <c r="D2584" s="1413" t="str">
        <f t="shared" si="360"/>
        <v>-</v>
      </c>
      <c r="E2584" s="560">
        <f t="shared" si="360"/>
        <v>27.05</v>
      </c>
      <c r="F2584" s="1508">
        <f t="shared" si="353"/>
        <v>0</v>
      </c>
      <c r="G2584" s="1508">
        <f t="shared" si="354"/>
        <v>0</v>
      </c>
      <c r="H2584" s="1508">
        <f t="shared" si="355"/>
        <v>0</v>
      </c>
      <c r="I2584" s="1480">
        <v>0</v>
      </c>
      <c r="J2584" s="1480">
        <v>0</v>
      </c>
      <c r="K2584" s="1508"/>
      <c r="L2584" s="1508"/>
      <c r="M2584" s="1509">
        <f t="shared" si="356"/>
        <v>0</v>
      </c>
      <c r="N2584" s="1508">
        <f t="shared" si="357"/>
        <v>0</v>
      </c>
    </row>
    <row r="2585" spans="1:14" ht="31" outlineLevel="1" x14ac:dyDescent="0.25">
      <c r="A2585" s="1492">
        <f t="shared" si="360"/>
        <v>0</v>
      </c>
      <c r="B2585" s="1492" t="str">
        <f t="shared" si="360"/>
        <v>Contruction of cement concrete roads in CHP area at CSTPS, Chandrapur</v>
      </c>
      <c r="C2585" s="1488">
        <f t="shared" si="360"/>
        <v>0</v>
      </c>
      <c r="D2585" s="1413" t="str">
        <f t="shared" si="360"/>
        <v>-</v>
      </c>
      <c r="E2585" s="560">
        <f t="shared" si="360"/>
        <v>27.05</v>
      </c>
      <c r="F2585" s="1508">
        <f t="shared" si="353"/>
        <v>0</v>
      </c>
      <c r="G2585" s="1508">
        <f t="shared" si="354"/>
        <v>0</v>
      </c>
      <c r="H2585" s="1508">
        <f t="shared" si="355"/>
        <v>0</v>
      </c>
      <c r="I2585" s="1480">
        <v>15</v>
      </c>
      <c r="J2585" s="1480">
        <v>15</v>
      </c>
      <c r="K2585" s="1508"/>
      <c r="L2585" s="1508"/>
      <c r="M2585" s="1509">
        <f t="shared" si="356"/>
        <v>15</v>
      </c>
      <c r="N2585" s="1508">
        <f t="shared" si="357"/>
        <v>0</v>
      </c>
    </row>
    <row r="2586" spans="1:14" ht="31" outlineLevel="1" x14ac:dyDescent="0.25">
      <c r="A2586" s="1486">
        <f t="shared" si="360"/>
        <v>4</v>
      </c>
      <c r="B2586" s="1491" t="str">
        <f t="shared" si="360"/>
        <v>Arresting Leakages by  water proofing treatment in main Plant &amp; ancillary buildings  at CSTPS, Chandrapur.</v>
      </c>
      <c r="C2586" s="1488">
        <f t="shared" si="360"/>
        <v>0</v>
      </c>
      <c r="D2586" s="1413" t="str">
        <f t="shared" si="360"/>
        <v>-</v>
      </c>
      <c r="E2586" s="560">
        <f t="shared" si="360"/>
        <v>30</v>
      </c>
      <c r="F2586" s="1508">
        <f t="shared" si="353"/>
        <v>0</v>
      </c>
      <c r="G2586" s="1508">
        <f t="shared" si="354"/>
        <v>0</v>
      </c>
      <c r="H2586" s="1508">
        <f t="shared" si="355"/>
        <v>0</v>
      </c>
      <c r="I2586" s="1480">
        <v>0</v>
      </c>
      <c r="J2586" s="1480">
        <v>0</v>
      </c>
      <c r="K2586" s="1508"/>
      <c r="L2586" s="1508"/>
      <c r="M2586" s="1509">
        <f t="shared" si="356"/>
        <v>0</v>
      </c>
      <c r="N2586" s="1508">
        <f t="shared" si="357"/>
        <v>0</v>
      </c>
    </row>
    <row r="2587" spans="1:14" ht="62" outlineLevel="1" x14ac:dyDescent="0.25">
      <c r="A2587" s="1492">
        <f t="shared" si="360"/>
        <v>0</v>
      </c>
      <c r="B2587" s="1492" t="str">
        <f t="shared" si="360"/>
        <v xml:space="preserve">A)- water proofing treatment in Control room of WTP-I area.
(B)- water proofing treatment inControl room of WTP-II area.
(C)-  water proofing treatment in Control room of CT Fan area 
(D)- water proofing treatment in   Main Plant area. </v>
      </c>
      <c r="C2587" s="1488">
        <f t="shared" si="360"/>
        <v>0</v>
      </c>
      <c r="D2587" s="1413" t="str">
        <f t="shared" si="360"/>
        <v>-</v>
      </c>
      <c r="E2587" s="560">
        <f t="shared" si="360"/>
        <v>30</v>
      </c>
      <c r="F2587" s="1508">
        <f t="shared" si="353"/>
        <v>0</v>
      </c>
      <c r="G2587" s="1508">
        <f t="shared" si="354"/>
        <v>0</v>
      </c>
      <c r="H2587" s="1508">
        <f t="shared" si="355"/>
        <v>0</v>
      </c>
      <c r="I2587" s="1480">
        <v>15</v>
      </c>
      <c r="J2587" s="1480">
        <v>15</v>
      </c>
      <c r="K2587" s="1508"/>
      <c r="L2587" s="1508"/>
      <c r="M2587" s="1509">
        <f t="shared" si="356"/>
        <v>15</v>
      </c>
      <c r="N2587" s="1508">
        <f t="shared" si="357"/>
        <v>0</v>
      </c>
    </row>
    <row r="2588" spans="1:14" ht="15.5" outlineLevel="1" x14ac:dyDescent="0.25">
      <c r="A2588" s="1486">
        <f t="shared" si="360"/>
        <v>5</v>
      </c>
      <c r="B2588" s="1491" t="str">
        <f t="shared" si="360"/>
        <v>Structural strengthening of Unit 3&amp; 4 at CSTPS, Chandrapur</v>
      </c>
      <c r="C2588" s="1488">
        <f t="shared" si="360"/>
        <v>0</v>
      </c>
      <c r="D2588" s="1413" t="str">
        <f t="shared" si="360"/>
        <v>-</v>
      </c>
      <c r="E2588" s="560">
        <f t="shared" si="360"/>
        <v>40</v>
      </c>
      <c r="F2588" s="1508">
        <f t="shared" si="353"/>
        <v>0</v>
      </c>
      <c r="G2588" s="1508">
        <f t="shared" si="354"/>
        <v>0</v>
      </c>
      <c r="H2588" s="1508">
        <f t="shared" si="355"/>
        <v>0</v>
      </c>
      <c r="I2588" s="1480">
        <v>0</v>
      </c>
      <c r="J2588" s="1480">
        <v>0</v>
      </c>
      <c r="K2588" s="1508"/>
      <c r="L2588" s="1508"/>
      <c r="M2588" s="1509">
        <f t="shared" si="356"/>
        <v>0</v>
      </c>
      <c r="N2588" s="1508">
        <f t="shared" si="357"/>
        <v>0</v>
      </c>
    </row>
    <row r="2589" spans="1:14" ht="15.5" outlineLevel="1" x14ac:dyDescent="0.25">
      <c r="A2589" s="1492">
        <f t="shared" si="360"/>
        <v>0</v>
      </c>
      <c r="B2589" s="1492" t="str">
        <f t="shared" si="360"/>
        <v>Structural strengthening of Unit 3&amp; 4 at CSTPS, Chandrapur</v>
      </c>
      <c r="C2589" s="1488">
        <f t="shared" si="360"/>
        <v>0</v>
      </c>
      <c r="D2589" s="1413" t="str">
        <f t="shared" si="360"/>
        <v>-</v>
      </c>
      <c r="E2589" s="560">
        <f t="shared" si="360"/>
        <v>30</v>
      </c>
      <c r="F2589" s="1508">
        <f t="shared" si="353"/>
        <v>0</v>
      </c>
      <c r="G2589" s="1508">
        <f t="shared" si="354"/>
        <v>0</v>
      </c>
      <c r="H2589" s="1508">
        <f t="shared" si="355"/>
        <v>0</v>
      </c>
      <c r="I2589" s="1480">
        <v>15</v>
      </c>
      <c r="J2589" s="1480">
        <v>15</v>
      </c>
      <c r="K2589" s="1508"/>
      <c r="L2589" s="1508"/>
      <c r="M2589" s="1509">
        <f t="shared" si="356"/>
        <v>15</v>
      </c>
      <c r="N2589" s="1508">
        <f t="shared" si="357"/>
        <v>0</v>
      </c>
    </row>
    <row r="2590" spans="1:14" ht="15.5" outlineLevel="1" x14ac:dyDescent="0.25">
      <c r="A2590" s="1492">
        <f t="shared" si="360"/>
        <v>0</v>
      </c>
      <c r="B2590" s="1492" t="str">
        <f t="shared" si="360"/>
        <v>Structural strengthening of CHP-A buildings</v>
      </c>
      <c r="C2590" s="1488">
        <f t="shared" si="360"/>
        <v>0</v>
      </c>
      <c r="D2590" s="1413" t="str">
        <f t="shared" si="360"/>
        <v>-</v>
      </c>
      <c r="E2590" s="560">
        <f t="shared" si="360"/>
        <v>10</v>
      </c>
      <c r="F2590" s="1508">
        <f t="shared" si="353"/>
        <v>0</v>
      </c>
      <c r="G2590" s="1508">
        <f t="shared" si="354"/>
        <v>0</v>
      </c>
      <c r="H2590" s="1508">
        <f t="shared" si="355"/>
        <v>0</v>
      </c>
      <c r="I2590" s="1480">
        <v>6</v>
      </c>
      <c r="J2590" s="1480">
        <v>6</v>
      </c>
      <c r="K2590" s="1508"/>
      <c r="L2590" s="1508"/>
      <c r="M2590" s="1509">
        <f t="shared" si="356"/>
        <v>6</v>
      </c>
      <c r="N2590" s="1508">
        <f t="shared" si="357"/>
        <v>0</v>
      </c>
    </row>
    <row r="2591" spans="1:14" ht="31" outlineLevel="1" x14ac:dyDescent="0.25">
      <c r="A2591" s="1486">
        <f t="shared" si="360"/>
        <v>6</v>
      </c>
      <c r="B2591" s="1491" t="str">
        <f t="shared" si="360"/>
        <v>Infrastructure Deveolpment of CSTPS colony at CSTPS Chandrapur .</v>
      </c>
      <c r="C2591" s="1488">
        <f t="shared" si="360"/>
        <v>0</v>
      </c>
      <c r="D2591" s="1413" t="str">
        <f t="shared" si="360"/>
        <v>-</v>
      </c>
      <c r="E2591" s="560">
        <f t="shared" si="360"/>
        <v>67.900000000000006</v>
      </c>
      <c r="F2591" s="1508">
        <f t="shared" si="353"/>
        <v>0</v>
      </c>
      <c r="G2591" s="1508">
        <f t="shared" si="354"/>
        <v>0</v>
      </c>
      <c r="H2591" s="1508">
        <f t="shared" si="355"/>
        <v>0</v>
      </c>
      <c r="I2591" s="1480">
        <v>0</v>
      </c>
      <c r="J2591" s="1480">
        <v>0</v>
      </c>
      <c r="K2591" s="1508"/>
      <c r="L2591" s="1508"/>
      <c r="M2591" s="1509">
        <f t="shared" si="356"/>
        <v>0</v>
      </c>
      <c r="N2591" s="1508">
        <f t="shared" si="357"/>
        <v>0</v>
      </c>
    </row>
    <row r="2592" spans="1:14" ht="31" outlineLevel="1" x14ac:dyDescent="0.25">
      <c r="A2592" s="1492">
        <f t="shared" si="360"/>
        <v>0</v>
      </c>
      <c r="B2592" s="1492" t="str">
        <f t="shared" si="360"/>
        <v>i- Construction of new ESR (Elevated Storage Reservoir) at CSTPS Chandrapur</v>
      </c>
      <c r="C2592" s="1488">
        <f t="shared" si="360"/>
        <v>0</v>
      </c>
      <c r="D2592" s="1413" t="str">
        <f t="shared" si="360"/>
        <v>-</v>
      </c>
      <c r="E2592" s="560">
        <f t="shared" si="360"/>
        <v>3.78</v>
      </c>
      <c r="F2592" s="1508">
        <f t="shared" si="353"/>
        <v>0</v>
      </c>
      <c r="G2592" s="1508">
        <f t="shared" si="354"/>
        <v>0</v>
      </c>
      <c r="H2592" s="1508">
        <f t="shared" si="355"/>
        <v>0</v>
      </c>
      <c r="I2592" s="1480">
        <v>3.78</v>
      </c>
      <c r="J2592" s="1480">
        <v>3.78</v>
      </c>
      <c r="K2592" s="1508"/>
      <c r="L2592" s="1508"/>
      <c r="M2592" s="1509">
        <f t="shared" si="356"/>
        <v>3.78</v>
      </c>
      <c r="N2592" s="1508">
        <f t="shared" si="357"/>
        <v>0</v>
      </c>
    </row>
    <row r="2593" spans="1:14" ht="31" outlineLevel="1" x14ac:dyDescent="0.25">
      <c r="A2593" s="1492">
        <f t="shared" si="360"/>
        <v>0</v>
      </c>
      <c r="B2593" s="1492" t="str">
        <f t="shared" si="360"/>
        <v>ii- Providing &amp; Rerouting of existing water supply pipe line at CSTPS Chandrapur</v>
      </c>
      <c r="C2593" s="1488">
        <f t="shared" si="360"/>
        <v>0</v>
      </c>
      <c r="D2593" s="1413" t="str">
        <f t="shared" si="360"/>
        <v>-</v>
      </c>
      <c r="E2593" s="560">
        <f t="shared" si="360"/>
        <v>4.05</v>
      </c>
      <c r="F2593" s="1508">
        <f t="shared" si="353"/>
        <v>0</v>
      </c>
      <c r="G2593" s="1508">
        <f t="shared" si="354"/>
        <v>0</v>
      </c>
      <c r="H2593" s="1508">
        <f t="shared" si="355"/>
        <v>0</v>
      </c>
      <c r="I2593" s="1480">
        <v>4.05</v>
      </c>
      <c r="J2593" s="1480">
        <v>4.05</v>
      </c>
      <c r="K2593" s="1508"/>
      <c r="L2593" s="1508"/>
      <c r="M2593" s="1509">
        <f t="shared" si="356"/>
        <v>4.05</v>
      </c>
      <c r="N2593" s="1508">
        <f t="shared" si="357"/>
        <v>0</v>
      </c>
    </row>
    <row r="2594" spans="1:14" ht="31" outlineLevel="1" x14ac:dyDescent="0.25">
      <c r="A2594" s="1492">
        <f t="shared" si="360"/>
        <v>0</v>
      </c>
      <c r="B2594" s="1492" t="str">
        <f t="shared" si="360"/>
        <v>iii- Providing &amp; Rerouting of esiting sewer line at CSTPS colony Chandrapur</v>
      </c>
      <c r="C2594" s="1488">
        <f t="shared" si="360"/>
        <v>0</v>
      </c>
      <c r="D2594" s="1413" t="str">
        <f t="shared" si="360"/>
        <v>-</v>
      </c>
      <c r="E2594" s="560">
        <f t="shared" si="360"/>
        <v>7.01</v>
      </c>
      <c r="F2594" s="1508">
        <f t="shared" si="353"/>
        <v>0</v>
      </c>
      <c r="G2594" s="1508">
        <f t="shared" si="354"/>
        <v>0</v>
      </c>
      <c r="H2594" s="1508">
        <f t="shared" si="355"/>
        <v>0</v>
      </c>
      <c r="I2594" s="1480">
        <v>7.01</v>
      </c>
      <c r="J2594" s="1480">
        <v>7.01</v>
      </c>
      <c r="K2594" s="1508"/>
      <c r="L2594" s="1508"/>
      <c r="M2594" s="1509">
        <f t="shared" si="356"/>
        <v>7.01</v>
      </c>
      <c r="N2594" s="1508">
        <f t="shared" si="357"/>
        <v>0</v>
      </c>
    </row>
    <row r="2595" spans="1:14" ht="31" outlineLevel="1" x14ac:dyDescent="0.25">
      <c r="A2595" s="1492">
        <f t="shared" si="360"/>
        <v>0</v>
      </c>
      <c r="B2595" s="1492" t="str">
        <f t="shared" si="360"/>
        <v>iv- Providing water proofing treatment to terrace slab of residential building aaat CSTPS colony Chandrapur</v>
      </c>
      <c r="C2595" s="1488">
        <f t="shared" si="360"/>
        <v>0</v>
      </c>
      <c r="D2595" s="1413" t="str">
        <f t="shared" si="360"/>
        <v>-</v>
      </c>
      <c r="E2595" s="560">
        <f t="shared" si="360"/>
        <v>6.34</v>
      </c>
      <c r="F2595" s="1508">
        <f t="shared" si="353"/>
        <v>0</v>
      </c>
      <c r="G2595" s="1508">
        <f t="shared" si="354"/>
        <v>0</v>
      </c>
      <c r="H2595" s="1508">
        <f t="shared" si="355"/>
        <v>0</v>
      </c>
      <c r="I2595" s="1480">
        <v>6.34</v>
      </c>
      <c r="J2595" s="1480">
        <v>6.34</v>
      </c>
      <c r="K2595" s="1508"/>
      <c r="L2595" s="1508"/>
      <c r="M2595" s="1509">
        <f t="shared" si="356"/>
        <v>6.34</v>
      </c>
      <c r="N2595" s="1508">
        <f t="shared" si="357"/>
        <v>0</v>
      </c>
    </row>
    <row r="2596" spans="1:14" ht="31" outlineLevel="1" x14ac:dyDescent="0.25">
      <c r="A2596" s="1492">
        <f t="shared" ref="A2596:E2611" si="361">A1926</f>
        <v>0</v>
      </c>
      <c r="B2596" s="1492" t="str">
        <f t="shared" si="361"/>
        <v>v- Construction of storm water drain along major and internal road of CSTPS colony at Chnadrapur</v>
      </c>
      <c r="C2596" s="1488">
        <f t="shared" si="361"/>
        <v>0</v>
      </c>
      <c r="D2596" s="1413" t="str">
        <f t="shared" si="361"/>
        <v>-</v>
      </c>
      <c r="E2596" s="560">
        <f t="shared" si="361"/>
        <v>16.86</v>
      </c>
      <c r="F2596" s="1508">
        <f t="shared" ref="F2596:F2659" si="362">F1926+I1926</f>
        <v>0</v>
      </c>
      <c r="G2596" s="1508">
        <f t="shared" ref="G2596:G2659" si="363">G1926+M1926</f>
        <v>0</v>
      </c>
      <c r="H2596" s="1508">
        <f t="shared" si="355"/>
        <v>0</v>
      </c>
      <c r="I2596" s="1480">
        <v>8.43</v>
      </c>
      <c r="J2596" s="1480">
        <v>8.43</v>
      </c>
      <c r="K2596" s="1508"/>
      <c r="L2596" s="1508"/>
      <c r="M2596" s="1509">
        <f t="shared" si="356"/>
        <v>8.43</v>
      </c>
      <c r="N2596" s="1508">
        <f t="shared" si="357"/>
        <v>0</v>
      </c>
    </row>
    <row r="2597" spans="1:14" ht="31" outlineLevel="1" x14ac:dyDescent="0.25">
      <c r="A2597" s="1492">
        <f t="shared" si="361"/>
        <v>0</v>
      </c>
      <c r="B2597" s="1492" t="str">
        <f t="shared" si="361"/>
        <v>vi-Improvement of existing major and internal Bitumen   road of CSTPS colony  by Bituminous treatment  at  CSTPS Chandrapur</v>
      </c>
      <c r="C2597" s="1488">
        <f t="shared" si="361"/>
        <v>0</v>
      </c>
      <c r="D2597" s="1413" t="str">
        <f t="shared" si="361"/>
        <v>-</v>
      </c>
      <c r="E2597" s="560">
        <f t="shared" si="361"/>
        <v>29.81</v>
      </c>
      <c r="F2597" s="1508">
        <f t="shared" si="362"/>
        <v>0</v>
      </c>
      <c r="G2597" s="1508">
        <f t="shared" si="363"/>
        <v>0</v>
      </c>
      <c r="H2597" s="1508">
        <f t="shared" si="355"/>
        <v>0</v>
      </c>
      <c r="I2597" s="1480">
        <v>14.904999999999999</v>
      </c>
      <c r="J2597" s="1480">
        <v>14.904999999999999</v>
      </c>
      <c r="K2597" s="1508"/>
      <c r="L2597" s="1508"/>
      <c r="M2597" s="1509">
        <f t="shared" si="356"/>
        <v>14.904999999999999</v>
      </c>
      <c r="N2597" s="1508">
        <f t="shared" si="357"/>
        <v>0</v>
      </c>
    </row>
    <row r="2598" spans="1:14" ht="31" outlineLevel="1" x14ac:dyDescent="0.25">
      <c r="A2598" s="1486">
        <f t="shared" si="361"/>
        <v>7</v>
      </c>
      <c r="B2598" s="1491" t="str">
        <f t="shared" si="361"/>
        <v>Renovation of residential buildings , Public building , Road and other allied civil works in CSTPS colony at Chandrapur</v>
      </c>
      <c r="C2598" s="1488">
        <f t="shared" si="361"/>
        <v>0</v>
      </c>
      <c r="D2598" s="1413" t="str">
        <f t="shared" si="361"/>
        <v>-</v>
      </c>
      <c r="E2598" s="560">
        <f t="shared" si="361"/>
        <v>209</v>
      </c>
      <c r="F2598" s="1508">
        <f t="shared" si="362"/>
        <v>0</v>
      </c>
      <c r="G2598" s="1508">
        <f t="shared" si="363"/>
        <v>0</v>
      </c>
      <c r="H2598" s="1508">
        <f t="shared" si="355"/>
        <v>0</v>
      </c>
      <c r="I2598" s="1480">
        <v>0</v>
      </c>
      <c r="J2598" s="1480">
        <v>0</v>
      </c>
      <c r="K2598" s="1508"/>
      <c r="L2598" s="1508"/>
      <c r="M2598" s="1509">
        <f t="shared" si="356"/>
        <v>0</v>
      </c>
      <c r="N2598" s="1508">
        <f t="shared" si="357"/>
        <v>0</v>
      </c>
    </row>
    <row r="2599" spans="1:14" ht="31" outlineLevel="1" x14ac:dyDescent="0.25">
      <c r="A2599" s="1492">
        <f t="shared" si="361"/>
        <v>0</v>
      </c>
      <c r="B2599" s="1492" t="str">
        <f t="shared" si="361"/>
        <v>i- Renovation and Beautification of residential building ( Type A, B, C, D, E and F)  Phase -II at CSTPS Chnadrapur</v>
      </c>
      <c r="C2599" s="1488">
        <f t="shared" si="361"/>
        <v>0</v>
      </c>
      <c r="D2599" s="1413" t="str">
        <f t="shared" si="361"/>
        <v>-</v>
      </c>
      <c r="E2599" s="560">
        <f t="shared" si="361"/>
        <v>132</v>
      </c>
      <c r="F2599" s="1508">
        <f t="shared" si="362"/>
        <v>0</v>
      </c>
      <c r="G2599" s="1508">
        <f t="shared" si="363"/>
        <v>0</v>
      </c>
      <c r="H2599" s="1508">
        <f t="shared" si="355"/>
        <v>0</v>
      </c>
      <c r="I2599" s="1480">
        <v>0</v>
      </c>
      <c r="J2599" s="1480">
        <v>0</v>
      </c>
      <c r="K2599" s="1508"/>
      <c r="L2599" s="1508"/>
      <c r="M2599" s="1509">
        <f t="shared" si="356"/>
        <v>0</v>
      </c>
      <c r="N2599" s="1508">
        <f t="shared" si="357"/>
        <v>0</v>
      </c>
    </row>
    <row r="2600" spans="1:14" ht="15.5" outlineLevel="1" x14ac:dyDescent="0.25">
      <c r="A2600" s="1492">
        <f t="shared" si="361"/>
        <v>0</v>
      </c>
      <c r="B2600" s="1492" t="str">
        <f t="shared" si="361"/>
        <v>ii-Renovation of old and new market at CSTPS Chandrapur</v>
      </c>
      <c r="C2600" s="1488">
        <f t="shared" si="361"/>
        <v>0</v>
      </c>
      <c r="D2600" s="1413" t="str">
        <f t="shared" si="361"/>
        <v>-</v>
      </c>
      <c r="E2600" s="560">
        <f t="shared" si="361"/>
        <v>2</v>
      </c>
      <c r="F2600" s="1508">
        <f t="shared" si="362"/>
        <v>0</v>
      </c>
      <c r="G2600" s="1508">
        <f t="shared" si="363"/>
        <v>0</v>
      </c>
      <c r="H2600" s="1508">
        <f t="shared" si="355"/>
        <v>0</v>
      </c>
      <c r="I2600" s="1480">
        <v>0</v>
      </c>
      <c r="J2600" s="1480">
        <v>0</v>
      </c>
      <c r="K2600" s="1508"/>
      <c r="L2600" s="1508"/>
      <c r="M2600" s="1509">
        <f t="shared" si="356"/>
        <v>0</v>
      </c>
      <c r="N2600" s="1508">
        <f t="shared" si="357"/>
        <v>0</v>
      </c>
    </row>
    <row r="2601" spans="1:14" ht="31" outlineLevel="1" x14ac:dyDescent="0.25">
      <c r="A2601" s="1492">
        <f t="shared" si="361"/>
        <v>0</v>
      </c>
      <c r="B2601" s="1492" t="str">
        <f t="shared" si="361"/>
        <v>iii-Improvement of exsiting Main road by Cement Concrte road  in colony at CSTPS Chandrapur</v>
      </c>
      <c r="C2601" s="1488">
        <f t="shared" si="361"/>
        <v>0</v>
      </c>
      <c r="D2601" s="1413" t="str">
        <f t="shared" si="361"/>
        <v>-</v>
      </c>
      <c r="E2601" s="560">
        <f t="shared" si="361"/>
        <v>55</v>
      </c>
      <c r="F2601" s="1508">
        <f t="shared" si="362"/>
        <v>0</v>
      </c>
      <c r="G2601" s="1508">
        <f t="shared" si="363"/>
        <v>0</v>
      </c>
      <c r="H2601" s="1508">
        <f t="shared" si="355"/>
        <v>0</v>
      </c>
      <c r="I2601" s="1480">
        <v>0</v>
      </c>
      <c r="J2601" s="1480">
        <v>0</v>
      </c>
      <c r="K2601" s="1508"/>
      <c r="L2601" s="1508"/>
      <c r="M2601" s="1509">
        <f t="shared" si="356"/>
        <v>0</v>
      </c>
      <c r="N2601" s="1508">
        <f t="shared" si="357"/>
        <v>0</v>
      </c>
    </row>
    <row r="2602" spans="1:14" ht="31" outlineLevel="1" x14ac:dyDescent="0.25">
      <c r="A2602" s="1492">
        <f t="shared" si="361"/>
        <v>0</v>
      </c>
      <c r="B2602" s="1492" t="str">
        <f t="shared" si="361"/>
        <v>iv-Renovation of Civil and Electrical Maint office building at CSTPS Chandrapur.</v>
      </c>
      <c r="C2602" s="1488">
        <f t="shared" si="361"/>
        <v>0</v>
      </c>
      <c r="D2602" s="1413" t="str">
        <f t="shared" si="361"/>
        <v>-</v>
      </c>
      <c r="E2602" s="560">
        <f t="shared" si="361"/>
        <v>1.5</v>
      </c>
      <c r="F2602" s="1508">
        <f t="shared" si="362"/>
        <v>0</v>
      </c>
      <c r="G2602" s="1508">
        <f t="shared" si="363"/>
        <v>0</v>
      </c>
      <c r="H2602" s="1508">
        <f t="shared" si="355"/>
        <v>0</v>
      </c>
      <c r="I2602" s="1480">
        <v>0</v>
      </c>
      <c r="J2602" s="1480">
        <v>0</v>
      </c>
      <c r="K2602" s="1508"/>
      <c r="L2602" s="1508"/>
      <c r="M2602" s="1509">
        <f t="shared" si="356"/>
        <v>0</v>
      </c>
      <c r="N2602" s="1508">
        <f t="shared" si="357"/>
        <v>0</v>
      </c>
    </row>
    <row r="2603" spans="1:14" ht="31" outlineLevel="1" x14ac:dyDescent="0.25">
      <c r="A2603" s="1492">
        <f t="shared" si="361"/>
        <v>0</v>
      </c>
      <c r="B2603" s="1492" t="str">
        <f t="shared" si="361"/>
        <v xml:space="preserve">v- Renoavtion of Post office building and Bank Building at CSTPS Chandrapur </v>
      </c>
      <c r="C2603" s="1488">
        <f t="shared" si="361"/>
        <v>0</v>
      </c>
      <c r="D2603" s="1413" t="str">
        <f t="shared" si="361"/>
        <v>-</v>
      </c>
      <c r="E2603" s="560">
        <f t="shared" si="361"/>
        <v>1.5</v>
      </c>
      <c r="F2603" s="1508">
        <f t="shared" si="362"/>
        <v>0</v>
      </c>
      <c r="G2603" s="1508">
        <f t="shared" si="363"/>
        <v>0</v>
      </c>
      <c r="H2603" s="1508">
        <f t="shared" si="355"/>
        <v>0</v>
      </c>
      <c r="I2603" s="1480">
        <v>0</v>
      </c>
      <c r="J2603" s="1480">
        <v>0</v>
      </c>
      <c r="K2603" s="1508"/>
      <c r="L2603" s="1508"/>
      <c r="M2603" s="1509">
        <f t="shared" si="356"/>
        <v>0</v>
      </c>
      <c r="N2603" s="1508">
        <f t="shared" si="357"/>
        <v>0</v>
      </c>
    </row>
    <row r="2604" spans="1:14" ht="15.5" outlineLevel="1" x14ac:dyDescent="0.25">
      <c r="A2604" s="1492">
        <f t="shared" si="361"/>
        <v>0</v>
      </c>
      <c r="B2604" s="1492" t="str">
        <f t="shared" si="361"/>
        <v>vi- Renovation fo Erai Dam guest House at CSTPS Chandrapur</v>
      </c>
      <c r="C2604" s="1488">
        <f t="shared" si="361"/>
        <v>0</v>
      </c>
      <c r="D2604" s="1413" t="str">
        <f t="shared" si="361"/>
        <v>-</v>
      </c>
      <c r="E2604" s="560">
        <f t="shared" si="361"/>
        <v>2</v>
      </c>
      <c r="F2604" s="1508">
        <f t="shared" si="362"/>
        <v>0</v>
      </c>
      <c r="G2604" s="1508">
        <f t="shared" si="363"/>
        <v>0</v>
      </c>
      <c r="H2604" s="1508">
        <f t="shared" si="355"/>
        <v>0</v>
      </c>
      <c r="I2604" s="1480">
        <v>0</v>
      </c>
      <c r="J2604" s="1480">
        <v>0</v>
      </c>
      <c r="K2604" s="1508"/>
      <c r="L2604" s="1508"/>
      <c r="M2604" s="1509">
        <f t="shared" si="356"/>
        <v>0</v>
      </c>
      <c r="N2604" s="1508">
        <f t="shared" si="357"/>
        <v>0</v>
      </c>
    </row>
    <row r="2605" spans="1:14" ht="31" outlineLevel="1" x14ac:dyDescent="0.25">
      <c r="A2605" s="1492">
        <f t="shared" si="361"/>
        <v>0</v>
      </c>
      <c r="B2605" s="1492" t="str">
        <f t="shared" si="361"/>
        <v>vii- Improvement of Erai dam approch road by Bituminous treatment at CSTPS Chnadrapur</v>
      </c>
      <c r="C2605" s="1488">
        <f t="shared" si="361"/>
        <v>0</v>
      </c>
      <c r="D2605" s="1413" t="str">
        <f t="shared" si="361"/>
        <v>-</v>
      </c>
      <c r="E2605" s="560">
        <f t="shared" si="361"/>
        <v>15</v>
      </c>
      <c r="F2605" s="1508">
        <f t="shared" si="362"/>
        <v>0</v>
      </c>
      <c r="G2605" s="1508">
        <f t="shared" si="363"/>
        <v>0</v>
      </c>
      <c r="H2605" s="1508">
        <f t="shared" si="355"/>
        <v>0</v>
      </c>
      <c r="I2605" s="1480">
        <v>0</v>
      </c>
      <c r="J2605" s="1480">
        <v>0</v>
      </c>
      <c r="K2605" s="1508"/>
      <c r="L2605" s="1508"/>
      <c r="M2605" s="1509">
        <f t="shared" si="356"/>
        <v>0</v>
      </c>
      <c r="N2605" s="1508">
        <f t="shared" si="357"/>
        <v>0</v>
      </c>
    </row>
    <row r="2606" spans="1:14" ht="46.5" outlineLevel="1" x14ac:dyDescent="0.25">
      <c r="A2606" s="1486">
        <f t="shared" si="361"/>
        <v>8</v>
      </c>
      <c r="B2606" s="1491" t="str">
        <f t="shared" si="361"/>
        <v>Construction of new residential building ,Hospital Building ,Chemmary Building,security office building  and allied civil work infrastructure in colony at CSTPS Chandrapur</v>
      </c>
      <c r="C2606" s="1488">
        <f t="shared" si="361"/>
        <v>0</v>
      </c>
      <c r="D2606" s="1413" t="str">
        <f t="shared" si="361"/>
        <v>-</v>
      </c>
      <c r="E2606" s="560">
        <f t="shared" si="361"/>
        <v>76.25</v>
      </c>
      <c r="F2606" s="1508">
        <f t="shared" si="362"/>
        <v>0</v>
      </c>
      <c r="G2606" s="1508">
        <f t="shared" si="363"/>
        <v>0</v>
      </c>
      <c r="H2606" s="1508">
        <f t="shared" si="355"/>
        <v>0</v>
      </c>
      <c r="I2606" s="1480">
        <v>0</v>
      </c>
      <c r="J2606" s="1480">
        <v>0</v>
      </c>
      <c r="K2606" s="1508"/>
      <c r="L2606" s="1508"/>
      <c r="M2606" s="1509">
        <f t="shared" si="356"/>
        <v>0</v>
      </c>
      <c r="N2606" s="1508">
        <f t="shared" si="357"/>
        <v>0</v>
      </c>
    </row>
    <row r="2607" spans="1:14" ht="31" outlineLevel="1" x14ac:dyDescent="0.25">
      <c r="A2607" s="1492">
        <f t="shared" si="361"/>
        <v>0</v>
      </c>
      <c r="B2607" s="1492" t="str">
        <f t="shared" si="361"/>
        <v>i- Construction of new residential staff quarter of A, B ,C D and E type  building in colony at CSTPS Chandrapur</v>
      </c>
      <c r="C2607" s="1488">
        <f t="shared" si="361"/>
        <v>0</v>
      </c>
      <c r="D2607" s="1413" t="str">
        <f t="shared" si="361"/>
        <v>-</v>
      </c>
      <c r="E2607" s="560">
        <f t="shared" si="361"/>
        <v>60</v>
      </c>
      <c r="F2607" s="1508">
        <f t="shared" si="362"/>
        <v>0</v>
      </c>
      <c r="G2607" s="1508">
        <f t="shared" si="363"/>
        <v>0</v>
      </c>
      <c r="H2607" s="1508">
        <f t="shared" si="355"/>
        <v>0</v>
      </c>
      <c r="I2607" s="1480">
        <v>0</v>
      </c>
      <c r="J2607" s="1480">
        <v>0</v>
      </c>
      <c r="K2607" s="1508"/>
      <c r="L2607" s="1508"/>
      <c r="M2607" s="1509">
        <f t="shared" si="356"/>
        <v>0</v>
      </c>
      <c r="N2607" s="1508">
        <f t="shared" si="357"/>
        <v>0</v>
      </c>
    </row>
    <row r="2608" spans="1:14" ht="15.5" outlineLevel="1" x14ac:dyDescent="0.25">
      <c r="A2608" s="1492">
        <f t="shared" si="361"/>
        <v>0</v>
      </c>
      <c r="B2608" s="1492" t="str">
        <f t="shared" si="361"/>
        <v>ii-Construction of New Hospital Building at CSTSP Chandrapur</v>
      </c>
      <c r="C2608" s="1488">
        <f t="shared" si="361"/>
        <v>0</v>
      </c>
      <c r="D2608" s="1413" t="str">
        <f t="shared" si="361"/>
        <v>-</v>
      </c>
      <c r="E2608" s="560">
        <f t="shared" si="361"/>
        <v>2</v>
      </c>
      <c r="F2608" s="1508">
        <f t="shared" si="362"/>
        <v>0</v>
      </c>
      <c r="G2608" s="1508">
        <f t="shared" si="363"/>
        <v>0</v>
      </c>
      <c r="H2608" s="1508">
        <f t="shared" si="355"/>
        <v>0</v>
      </c>
      <c r="I2608" s="1480">
        <v>0</v>
      </c>
      <c r="J2608" s="1480">
        <v>0</v>
      </c>
      <c r="K2608" s="1508"/>
      <c r="L2608" s="1508"/>
      <c r="M2608" s="1509">
        <f t="shared" si="356"/>
        <v>0</v>
      </c>
      <c r="N2608" s="1508">
        <f t="shared" si="357"/>
        <v>0</v>
      </c>
    </row>
    <row r="2609" spans="1:14" ht="31" outlineLevel="1" x14ac:dyDescent="0.25">
      <c r="A2609" s="1492">
        <f t="shared" si="361"/>
        <v>0</v>
      </c>
      <c r="B2609" s="1492" t="str">
        <f t="shared" si="361"/>
        <v>iii-Construction of new Chummary Building at CSTPS Chandrapur</v>
      </c>
      <c r="C2609" s="1488">
        <f t="shared" si="361"/>
        <v>0</v>
      </c>
      <c r="D2609" s="1413" t="str">
        <f t="shared" si="361"/>
        <v>-</v>
      </c>
      <c r="E2609" s="560">
        <f t="shared" si="361"/>
        <v>7.5</v>
      </c>
      <c r="F2609" s="1508">
        <f t="shared" si="362"/>
        <v>0</v>
      </c>
      <c r="G2609" s="1508">
        <f t="shared" si="363"/>
        <v>0</v>
      </c>
      <c r="H2609" s="1508">
        <f t="shared" si="355"/>
        <v>0</v>
      </c>
      <c r="I2609" s="1480">
        <v>0</v>
      </c>
      <c r="J2609" s="1480">
        <v>0</v>
      </c>
      <c r="K2609" s="1508"/>
      <c r="L2609" s="1508"/>
      <c r="M2609" s="1509">
        <f t="shared" si="356"/>
        <v>0</v>
      </c>
      <c r="N2609" s="1508">
        <f t="shared" si="357"/>
        <v>0</v>
      </c>
    </row>
    <row r="2610" spans="1:14" ht="31" outlineLevel="1" x14ac:dyDescent="0.25">
      <c r="A2610" s="1492">
        <f t="shared" si="361"/>
        <v>0</v>
      </c>
      <c r="B2610" s="1492" t="str">
        <f t="shared" si="361"/>
        <v>iv-Construction of new security office and check post at various location in colony at CSTPS Chandrapur</v>
      </c>
      <c r="C2610" s="1488">
        <f t="shared" si="361"/>
        <v>0</v>
      </c>
      <c r="D2610" s="1413" t="str">
        <f t="shared" si="361"/>
        <v>-</v>
      </c>
      <c r="E2610" s="560">
        <f t="shared" si="361"/>
        <v>0.75</v>
      </c>
      <c r="F2610" s="1508">
        <f t="shared" si="362"/>
        <v>0</v>
      </c>
      <c r="G2610" s="1508">
        <f t="shared" si="363"/>
        <v>0</v>
      </c>
      <c r="H2610" s="1508">
        <f t="shared" ref="H2610:H2673" si="364">F2610-G2610</f>
        <v>0</v>
      </c>
      <c r="I2610" s="1480">
        <v>0</v>
      </c>
      <c r="J2610" s="1480">
        <v>0</v>
      </c>
      <c r="K2610" s="1508"/>
      <c r="L2610" s="1508"/>
      <c r="M2610" s="1509">
        <f t="shared" ref="M2610:M2673" si="365">SUM(J2610:L2610)</f>
        <v>0</v>
      </c>
      <c r="N2610" s="1508">
        <f t="shared" ref="N2610:N2673" si="366">H2610+I2610-M2610</f>
        <v>0</v>
      </c>
    </row>
    <row r="2611" spans="1:14" ht="31" outlineLevel="1" x14ac:dyDescent="0.25">
      <c r="A2611" s="1492">
        <f t="shared" si="361"/>
        <v>0</v>
      </c>
      <c r="B2611" s="1492" t="str">
        <f t="shared" si="361"/>
        <v>v-Construction of swimming pool in colony at CSTPS Chandrapur</v>
      </c>
      <c r="C2611" s="1488">
        <f t="shared" si="361"/>
        <v>0</v>
      </c>
      <c r="D2611" s="1413" t="str">
        <f t="shared" si="361"/>
        <v>-</v>
      </c>
      <c r="E2611" s="560">
        <f t="shared" si="361"/>
        <v>2</v>
      </c>
      <c r="F2611" s="1508">
        <f t="shared" si="362"/>
        <v>0</v>
      </c>
      <c r="G2611" s="1508">
        <f t="shared" si="363"/>
        <v>0</v>
      </c>
      <c r="H2611" s="1508">
        <f t="shared" si="364"/>
        <v>0</v>
      </c>
      <c r="I2611" s="1480">
        <v>0</v>
      </c>
      <c r="J2611" s="1480">
        <v>0</v>
      </c>
      <c r="K2611" s="1508"/>
      <c r="L2611" s="1508"/>
      <c r="M2611" s="1509">
        <f t="shared" si="365"/>
        <v>0</v>
      </c>
      <c r="N2611" s="1508">
        <f t="shared" si="366"/>
        <v>0</v>
      </c>
    </row>
    <row r="2612" spans="1:14" ht="46.5" outlineLevel="1" x14ac:dyDescent="0.25">
      <c r="A2612" s="1492">
        <f t="shared" ref="A2612:E2627" si="367">A1942</f>
        <v>0</v>
      </c>
      <c r="B2612" s="1492" t="str">
        <f t="shared" si="367"/>
        <v>vii-Providing new drinking water supply DI- pipe line  300 mm dia .for domestic water supply to rsidential colony at CSTPS Chandrapur.</v>
      </c>
      <c r="C2612" s="1488">
        <f t="shared" si="367"/>
        <v>0</v>
      </c>
      <c r="D2612" s="1413" t="str">
        <f t="shared" si="367"/>
        <v>-</v>
      </c>
      <c r="E2612" s="560">
        <f t="shared" si="367"/>
        <v>2</v>
      </c>
      <c r="F2612" s="1508">
        <f t="shared" si="362"/>
        <v>0</v>
      </c>
      <c r="G2612" s="1508">
        <f t="shared" si="363"/>
        <v>0</v>
      </c>
      <c r="H2612" s="1508">
        <f t="shared" si="364"/>
        <v>0</v>
      </c>
      <c r="I2612" s="1480">
        <v>0</v>
      </c>
      <c r="J2612" s="1480">
        <v>0</v>
      </c>
      <c r="K2612" s="1508"/>
      <c r="L2612" s="1508"/>
      <c r="M2612" s="1509">
        <f t="shared" si="365"/>
        <v>0</v>
      </c>
      <c r="N2612" s="1508">
        <f t="shared" si="366"/>
        <v>0</v>
      </c>
    </row>
    <row r="2613" spans="1:14" ht="31" outlineLevel="1" x14ac:dyDescent="0.25">
      <c r="A2613" s="1492">
        <f t="shared" si="367"/>
        <v>0</v>
      </c>
      <c r="B2613" s="1492" t="str">
        <f t="shared" si="367"/>
        <v>viii-Rain water Harvesting system to residential building at CSTPS Chandrapur.</v>
      </c>
      <c r="C2613" s="1488">
        <f t="shared" si="367"/>
        <v>0</v>
      </c>
      <c r="D2613" s="1413" t="str">
        <f t="shared" si="367"/>
        <v>-</v>
      </c>
      <c r="E2613" s="560">
        <f t="shared" si="367"/>
        <v>2</v>
      </c>
      <c r="F2613" s="1508">
        <f t="shared" si="362"/>
        <v>0</v>
      </c>
      <c r="G2613" s="1508">
        <f t="shared" si="363"/>
        <v>0</v>
      </c>
      <c r="H2613" s="1508">
        <f t="shared" si="364"/>
        <v>0</v>
      </c>
      <c r="I2613" s="1480">
        <v>0</v>
      </c>
      <c r="J2613" s="1480">
        <v>0</v>
      </c>
      <c r="K2613" s="1508"/>
      <c r="L2613" s="1508"/>
      <c r="M2613" s="1509">
        <f t="shared" si="365"/>
        <v>0</v>
      </c>
      <c r="N2613" s="1508">
        <f t="shared" si="366"/>
        <v>0</v>
      </c>
    </row>
    <row r="2614" spans="1:14" ht="15.5" outlineLevel="1" x14ac:dyDescent="0.25">
      <c r="A2614" s="1486">
        <f t="shared" si="367"/>
        <v>9</v>
      </c>
      <c r="B2614" s="1491" t="str">
        <f t="shared" si="367"/>
        <v>Renovation of public utility building of CSTPS, Chandrapur</v>
      </c>
      <c r="C2614" s="1488">
        <f t="shared" si="367"/>
        <v>0</v>
      </c>
      <c r="D2614" s="1413" t="str">
        <f t="shared" si="367"/>
        <v>-</v>
      </c>
      <c r="E2614" s="560">
        <f t="shared" si="367"/>
        <v>29.950000000000003</v>
      </c>
      <c r="F2614" s="1508">
        <f t="shared" si="362"/>
        <v>0</v>
      </c>
      <c r="G2614" s="1508">
        <f t="shared" si="363"/>
        <v>0</v>
      </c>
      <c r="H2614" s="1508">
        <f t="shared" si="364"/>
        <v>0</v>
      </c>
      <c r="I2614" s="1480">
        <v>0</v>
      </c>
      <c r="J2614" s="1480">
        <v>0</v>
      </c>
      <c r="K2614" s="1508"/>
      <c r="L2614" s="1508"/>
      <c r="M2614" s="1509">
        <f t="shared" si="365"/>
        <v>0</v>
      </c>
      <c r="N2614" s="1508">
        <f t="shared" si="366"/>
        <v>0</v>
      </c>
    </row>
    <row r="2615" spans="1:14" ht="15.5" outlineLevel="1" x14ac:dyDescent="0.25">
      <c r="A2615" s="1492">
        <f t="shared" si="367"/>
        <v>0</v>
      </c>
      <c r="B2615" s="1492" t="str">
        <f t="shared" si="367"/>
        <v>Renovation and interior decoration of Hirai guest house</v>
      </c>
      <c r="C2615" s="1488">
        <f t="shared" si="367"/>
        <v>0</v>
      </c>
      <c r="D2615" s="1413" t="str">
        <f t="shared" si="367"/>
        <v>-</v>
      </c>
      <c r="E2615" s="560">
        <f t="shared" si="367"/>
        <v>7.51</v>
      </c>
      <c r="F2615" s="1508">
        <f t="shared" si="362"/>
        <v>0</v>
      </c>
      <c r="G2615" s="1508">
        <f t="shared" si="363"/>
        <v>0</v>
      </c>
      <c r="H2615" s="1508">
        <f t="shared" si="364"/>
        <v>0</v>
      </c>
      <c r="I2615" s="1480">
        <v>3.7549999999999999</v>
      </c>
      <c r="J2615" s="1480">
        <v>3.7549999999999999</v>
      </c>
      <c r="K2615" s="1508"/>
      <c r="L2615" s="1508"/>
      <c r="M2615" s="1509">
        <f t="shared" si="365"/>
        <v>3.7549999999999999</v>
      </c>
      <c r="N2615" s="1508">
        <f t="shared" si="366"/>
        <v>0</v>
      </c>
    </row>
    <row r="2616" spans="1:14" ht="31" outlineLevel="1" x14ac:dyDescent="0.25">
      <c r="A2616" s="1492">
        <f t="shared" si="367"/>
        <v>0</v>
      </c>
      <c r="B2616" s="1492" t="str">
        <f t="shared" si="367"/>
        <v>Renovation and interior decoration of existing chummery guest house</v>
      </c>
      <c r="C2616" s="1488">
        <f t="shared" si="367"/>
        <v>0</v>
      </c>
      <c r="D2616" s="1413" t="str">
        <f t="shared" si="367"/>
        <v>-</v>
      </c>
      <c r="E2616" s="560">
        <f t="shared" si="367"/>
        <v>12.22</v>
      </c>
      <c r="F2616" s="1508">
        <f t="shared" si="362"/>
        <v>0</v>
      </c>
      <c r="G2616" s="1508">
        <f t="shared" si="363"/>
        <v>0</v>
      </c>
      <c r="H2616" s="1508">
        <f t="shared" si="364"/>
        <v>0</v>
      </c>
      <c r="I2616" s="1480">
        <v>6.11</v>
      </c>
      <c r="J2616" s="1480">
        <v>6.11</v>
      </c>
      <c r="K2616" s="1508"/>
      <c r="L2616" s="1508"/>
      <c r="M2616" s="1509">
        <f t="shared" si="365"/>
        <v>6.11</v>
      </c>
      <c r="N2616" s="1508">
        <f t="shared" si="366"/>
        <v>0</v>
      </c>
    </row>
    <row r="2617" spans="1:14" ht="31" outlineLevel="1" x14ac:dyDescent="0.25">
      <c r="A2617" s="1492">
        <f t="shared" si="367"/>
        <v>0</v>
      </c>
      <c r="B2617" s="1492" t="str">
        <f t="shared" si="367"/>
        <v>Renovation and interior decoration of existing Erai dam guest house</v>
      </c>
      <c r="C2617" s="1488">
        <f t="shared" si="367"/>
        <v>0</v>
      </c>
      <c r="D2617" s="1413" t="str">
        <f t="shared" si="367"/>
        <v>-</v>
      </c>
      <c r="E2617" s="560">
        <f t="shared" si="367"/>
        <v>6.65</v>
      </c>
      <c r="F2617" s="1508">
        <f t="shared" si="362"/>
        <v>0</v>
      </c>
      <c r="G2617" s="1508">
        <f t="shared" si="363"/>
        <v>0</v>
      </c>
      <c r="H2617" s="1508">
        <f t="shared" si="364"/>
        <v>0</v>
      </c>
      <c r="I2617" s="1480">
        <v>3.3250000000000002</v>
      </c>
      <c r="J2617" s="1480">
        <v>3.3250000000000002</v>
      </c>
      <c r="K2617" s="1508"/>
      <c r="L2617" s="1508"/>
      <c r="M2617" s="1509">
        <f t="shared" si="365"/>
        <v>3.3250000000000002</v>
      </c>
      <c r="N2617" s="1508">
        <f t="shared" si="366"/>
        <v>0</v>
      </c>
    </row>
    <row r="2618" spans="1:14" ht="46.5" outlineLevel="1" x14ac:dyDescent="0.25">
      <c r="A2618" s="1492">
        <f t="shared" si="367"/>
        <v>0</v>
      </c>
      <c r="B2618" s="1492" t="str">
        <f t="shared" si="367"/>
        <v xml:space="preserve">Work of interior decoration by proding stop cabin arrangement and other internal architechture decorative work for RP section of admin building </v>
      </c>
      <c r="C2618" s="1488">
        <f t="shared" si="367"/>
        <v>0</v>
      </c>
      <c r="D2618" s="1413" t="str">
        <f t="shared" si="367"/>
        <v>-</v>
      </c>
      <c r="E2618" s="560">
        <f t="shared" si="367"/>
        <v>3.57</v>
      </c>
      <c r="F2618" s="1508">
        <f t="shared" si="362"/>
        <v>0</v>
      </c>
      <c r="G2618" s="1508">
        <f t="shared" si="363"/>
        <v>0</v>
      </c>
      <c r="H2618" s="1508">
        <f t="shared" si="364"/>
        <v>0</v>
      </c>
      <c r="I2618" s="1480">
        <v>1.7849999999999999</v>
      </c>
      <c r="J2618" s="1480">
        <v>1.7849999999999999</v>
      </c>
      <c r="K2618" s="1508"/>
      <c r="L2618" s="1508"/>
      <c r="M2618" s="1509">
        <f t="shared" si="365"/>
        <v>1.7849999999999999</v>
      </c>
      <c r="N2618" s="1508">
        <f t="shared" si="366"/>
        <v>0</v>
      </c>
    </row>
    <row r="2619" spans="1:14" ht="15.5" outlineLevel="1" x14ac:dyDescent="0.25">
      <c r="A2619" s="1486">
        <f t="shared" si="367"/>
        <v>10</v>
      </c>
      <c r="B2619" s="1491" t="str">
        <f t="shared" si="367"/>
        <v>R&amp;M/LE for Identified Thermal units of MSPGCL</v>
      </c>
      <c r="C2619" s="1488">
        <f t="shared" si="367"/>
        <v>0</v>
      </c>
      <c r="D2619" s="1413" t="str">
        <f t="shared" si="367"/>
        <v>-</v>
      </c>
      <c r="E2619" s="560">
        <f t="shared" si="367"/>
        <v>400</v>
      </c>
      <c r="F2619" s="1508">
        <f t="shared" si="362"/>
        <v>0</v>
      </c>
      <c r="G2619" s="1508">
        <f t="shared" si="363"/>
        <v>0</v>
      </c>
      <c r="H2619" s="1508">
        <f t="shared" si="364"/>
        <v>0</v>
      </c>
      <c r="I2619" s="1480">
        <v>0</v>
      </c>
      <c r="J2619" s="1480">
        <v>0</v>
      </c>
      <c r="K2619" s="1508"/>
      <c r="L2619" s="1508"/>
      <c r="M2619" s="1509">
        <f t="shared" si="365"/>
        <v>0</v>
      </c>
      <c r="N2619" s="1508">
        <f t="shared" si="366"/>
        <v>0</v>
      </c>
    </row>
    <row r="2620" spans="1:14" ht="15.5" outlineLevel="1" x14ac:dyDescent="0.25">
      <c r="A2620" s="1492">
        <f t="shared" si="367"/>
        <v>0</v>
      </c>
      <c r="B2620" s="1492" t="str">
        <f t="shared" si="367"/>
        <v>R&amp;M/LE for Identified Thermal units of MSPGCL, CSTPS U-3</v>
      </c>
      <c r="C2620" s="1488">
        <f t="shared" si="367"/>
        <v>0</v>
      </c>
      <c r="D2620" s="1413" t="str">
        <f t="shared" si="367"/>
        <v>-</v>
      </c>
      <c r="E2620" s="560">
        <f t="shared" si="367"/>
        <v>293</v>
      </c>
      <c r="F2620" s="1508">
        <f t="shared" si="362"/>
        <v>0</v>
      </c>
      <c r="G2620" s="1508">
        <f t="shared" si="363"/>
        <v>0</v>
      </c>
      <c r="H2620" s="1508">
        <f t="shared" si="364"/>
        <v>0</v>
      </c>
      <c r="I2620" s="1480">
        <v>0</v>
      </c>
      <c r="J2620" s="1480">
        <v>0</v>
      </c>
      <c r="K2620" s="1508"/>
      <c r="L2620" s="1508"/>
      <c r="M2620" s="1509">
        <f t="shared" si="365"/>
        <v>0</v>
      </c>
      <c r="N2620" s="1508">
        <f t="shared" si="366"/>
        <v>0</v>
      </c>
    </row>
    <row r="2621" spans="1:14" ht="15.5" outlineLevel="1" x14ac:dyDescent="0.25">
      <c r="A2621" s="1492">
        <f t="shared" si="367"/>
        <v>0</v>
      </c>
      <c r="B2621" s="1492" t="str">
        <f t="shared" si="367"/>
        <v>R&amp;M/LE for Identified Thermal units of MSPGCL, CSTPS U-4</v>
      </c>
      <c r="C2621" s="1488">
        <f t="shared" si="367"/>
        <v>0</v>
      </c>
      <c r="D2621" s="1413" t="str">
        <f t="shared" si="367"/>
        <v>-</v>
      </c>
      <c r="E2621" s="560">
        <f t="shared" si="367"/>
        <v>300</v>
      </c>
      <c r="F2621" s="1508">
        <f t="shared" si="362"/>
        <v>0</v>
      </c>
      <c r="G2621" s="1508">
        <f t="shared" si="363"/>
        <v>0</v>
      </c>
      <c r="H2621" s="1508">
        <f t="shared" si="364"/>
        <v>0</v>
      </c>
      <c r="I2621" s="1480">
        <v>0</v>
      </c>
      <c r="J2621" s="1480">
        <v>0</v>
      </c>
      <c r="K2621" s="1508"/>
      <c r="L2621" s="1508"/>
      <c r="M2621" s="1509">
        <f t="shared" si="365"/>
        <v>0</v>
      </c>
      <c r="N2621" s="1508">
        <f t="shared" si="366"/>
        <v>0</v>
      </c>
    </row>
    <row r="2622" spans="1:14" ht="15.5" outlineLevel="1" x14ac:dyDescent="0.25">
      <c r="A2622" s="1486">
        <f t="shared" si="367"/>
        <v>11</v>
      </c>
      <c r="B2622" s="1491" t="str">
        <f t="shared" si="367"/>
        <v xml:space="preserve">CHP Improvement Schemes </v>
      </c>
      <c r="C2622" s="1488">
        <f t="shared" si="367"/>
        <v>0</v>
      </c>
      <c r="D2622" s="1413" t="str">
        <f t="shared" si="367"/>
        <v>-</v>
      </c>
      <c r="E2622" s="560">
        <f t="shared" si="367"/>
        <v>100</v>
      </c>
      <c r="F2622" s="1508">
        <f t="shared" si="362"/>
        <v>0</v>
      </c>
      <c r="G2622" s="1508">
        <f t="shared" si="363"/>
        <v>0</v>
      </c>
      <c r="H2622" s="1508">
        <f t="shared" si="364"/>
        <v>0</v>
      </c>
      <c r="I2622" s="1480">
        <v>0</v>
      </c>
      <c r="J2622" s="1480">
        <v>0</v>
      </c>
      <c r="K2622" s="1508"/>
      <c r="L2622" s="1508"/>
      <c r="M2622" s="1509">
        <f t="shared" si="365"/>
        <v>0</v>
      </c>
      <c r="N2622" s="1508">
        <f t="shared" si="366"/>
        <v>0</v>
      </c>
    </row>
    <row r="2623" spans="1:14" ht="15.5" outlineLevel="1" x14ac:dyDescent="0.25">
      <c r="A2623" s="1492">
        <f t="shared" si="367"/>
        <v>0</v>
      </c>
      <c r="B2623" s="1492" t="str">
        <f t="shared" si="367"/>
        <v>CHP Improvement Schemes at CHP-A, B, C</v>
      </c>
      <c r="C2623" s="1488">
        <f t="shared" si="367"/>
        <v>0</v>
      </c>
      <c r="D2623" s="1413" t="str">
        <f t="shared" si="367"/>
        <v>-</v>
      </c>
      <c r="E2623" s="560">
        <f t="shared" si="367"/>
        <v>100</v>
      </c>
      <c r="F2623" s="1508">
        <f t="shared" si="362"/>
        <v>0</v>
      </c>
      <c r="G2623" s="1508">
        <f t="shared" si="363"/>
        <v>0</v>
      </c>
      <c r="H2623" s="1508">
        <f t="shared" si="364"/>
        <v>0</v>
      </c>
      <c r="I2623" s="1480">
        <v>0</v>
      </c>
      <c r="J2623" s="1480">
        <v>0</v>
      </c>
      <c r="K2623" s="1508"/>
      <c r="L2623" s="1508"/>
      <c r="M2623" s="1509">
        <f t="shared" si="365"/>
        <v>0</v>
      </c>
      <c r="N2623" s="1508">
        <f t="shared" si="366"/>
        <v>0</v>
      </c>
    </row>
    <row r="2624" spans="1:14" ht="15.5" outlineLevel="1" x14ac:dyDescent="0.25">
      <c r="A2624" s="1486">
        <f t="shared" si="367"/>
        <v>12</v>
      </c>
      <c r="B2624" s="1491" t="str">
        <f t="shared" si="367"/>
        <v>Developlment &amp; Upgradation of SAP for MSPGCL</v>
      </c>
      <c r="C2624" s="1488">
        <f t="shared" si="367"/>
        <v>0</v>
      </c>
      <c r="D2624" s="1413" t="str">
        <f t="shared" si="367"/>
        <v>-</v>
      </c>
      <c r="E2624" s="560">
        <f t="shared" si="367"/>
        <v>200</v>
      </c>
      <c r="F2624" s="1508">
        <f t="shared" si="362"/>
        <v>0</v>
      </c>
      <c r="G2624" s="1508">
        <f t="shared" si="363"/>
        <v>0</v>
      </c>
      <c r="H2624" s="1508">
        <f t="shared" si="364"/>
        <v>0</v>
      </c>
      <c r="I2624" s="1480">
        <v>0</v>
      </c>
      <c r="J2624" s="1480">
        <v>0</v>
      </c>
      <c r="K2624" s="1508"/>
      <c r="L2624" s="1508"/>
      <c r="M2624" s="1509">
        <f t="shared" si="365"/>
        <v>0</v>
      </c>
      <c r="N2624" s="1508">
        <f t="shared" si="366"/>
        <v>0</v>
      </c>
    </row>
    <row r="2625" spans="1:14" ht="15.5" outlineLevel="1" x14ac:dyDescent="0.25">
      <c r="A2625" s="1492">
        <f t="shared" si="367"/>
        <v>0</v>
      </c>
      <c r="B2625" s="1492" t="str">
        <f t="shared" si="367"/>
        <v>Developlment &amp; Upgradation of SAP for MSPGCL</v>
      </c>
      <c r="C2625" s="1488">
        <f t="shared" si="367"/>
        <v>0</v>
      </c>
      <c r="D2625" s="1413" t="str">
        <f t="shared" si="367"/>
        <v>-</v>
      </c>
      <c r="E2625" s="560">
        <f t="shared" si="367"/>
        <v>200</v>
      </c>
      <c r="F2625" s="1508">
        <f t="shared" si="362"/>
        <v>0</v>
      </c>
      <c r="G2625" s="1508">
        <f t="shared" si="363"/>
        <v>0</v>
      </c>
      <c r="H2625" s="1508">
        <f t="shared" si="364"/>
        <v>0</v>
      </c>
      <c r="I2625" s="1480">
        <v>200</v>
      </c>
      <c r="J2625" s="1480">
        <v>200</v>
      </c>
      <c r="K2625" s="1508"/>
      <c r="L2625" s="1508"/>
      <c r="M2625" s="1509">
        <f t="shared" si="365"/>
        <v>200</v>
      </c>
      <c r="N2625" s="1508">
        <f t="shared" si="366"/>
        <v>0</v>
      </c>
    </row>
    <row r="2626" spans="1:14" ht="62" outlineLevel="1" x14ac:dyDescent="0.25">
      <c r="A2626" s="1486">
        <f t="shared" si="367"/>
        <v>13</v>
      </c>
      <c r="B2626" s="1491" t="str">
        <f t="shared" si="367"/>
        <v>Design, supply, installation and commissioning of Smart Energy Efficienient Illumination System for safety precautions and proving suitable working conditions  at stg-II &amp; III, CSTPS, Chandrapur</v>
      </c>
      <c r="C2626" s="1488">
        <f t="shared" si="367"/>
        <v>0</v>
      </c>
      <c r="D2626" s="1413" t="str">
        <f t="shared" si="367"/>
        <v>-</v>
      </c>
      <c r="E2626" s="560">
        <f t="shared" si="367"/>
        <v>42</v>
      </c>
      <c r="F2626" s="1508">
        <f t="shared" si="362"/>
        <v>0</v>
      </c>
      <c r="G2626" s="1508">
        <f t="shared" si="363"/>
        <v>0</v>
      </c>
      <c r="H2626" s="1508">
        <f t="shared" si="364"/>
        <v>0</v>
      </c>
      <c r="I2626" s="1480">
        <v>0</v>
      </c>
      <c r="J2626" s="1480">
        <v>0</v>
      </c>
      <c r="K2626" s="1508"/>
      <c r="L2626" s="1508"/>
      <c r="M2626" s="1509">
        <f t="shared" si="365"/>
        <v>0</v>
      </c>
      <c r="N2626" s="1508">
        <f t="shared" si="366"/>
        <v>0</v>
      </c>
    </row>
    <row r="2627" spans="1:14" ht="62" outlineLevel="1" x14ac:dyDescent="0.25">
      <c r="A2627" s="1492">
        <f t="shared" si="367"/>
        <v>0</v>
      </c>
      <c r="B2627" s="1492" t="str">
        <f t="shared" si="367"/>
        <v>Design, supply, installation and commissioning of Smart Energy Efficienient Illumination System for safety precautions and proving suitable working conditions  at stg-II &amp; III, CSTPS, Chandrapur</v>
      </c>
      <c r="C2627" s="1488">
        <f t="shared" si="367"/>
        <v>0</v>
      </c>
      <c r="D2627" s="1413" t="str">
        <f t="shared" si="367"/>
        <v>-</v>
      </c>
      <c r="E2627" s="560">
        <f t="shared" si="367"/>
        <v>42</v>
      </c>
      <c r="F2627" s="1508">
        <f t="shared" si="362"/>
        <v>0</v>
      </c>
      <c r="G2627" s="1508">
        <f t="shared" si="363"/>
        <v>0</v>
      </c>
      <c r="H2627" s="1508">
        <f t="shared" si="364"/>
        <v>0</v>
      </c>
      <c r="I2627" s="1480">
        <v>42</v>
      </c>
      <c r="J2627" s="1480">
        <v>42</v>
      </c>
      <c r="K2627" s="1508"/>
      <c r="L2627" s="1508"/>
      <c r="M2627" s="1509">
        <f t="shared" si="365"/>
        <v>42</v>
      </c>
      <c r="N2627" s="1508">
        <f t="shared" si="366"/>
        <v>0</v>
      </c>
    </row>
    <row r="2628" spans="1:14" ht="15.5" outlineLevel="1" x14ac:dyDescent="0.25">
      <c r="A2628" s="1486">
        <f t="shared" ref="A2628:E2643" si="368">A1958</f>
        <v>14</v>
      </c>
      <c r="B2628" s="1491" t="str">
        <f t="shared" si="368"/>
        <v>Implementation of Flexible Operation Solutions  (U-3,4)</v>
      </c>
      <c r="C2628" s="1488">
        <f t="shared" si="368"/>
        <v>0</v>
      </c>
      <c r="D2628" s="1413" t="str">
        <f t="shared" si="368"/>
        <v>-</v>
      </c>
      <c r="E2628" s="560">
        <f t="shared" si="368"/>
        <v>25</v>
      </c>
      <c r="F2628" s="1508">
        <f t="shared" si="362"/>
        <v>0</v>
      </c>
      <c r="G2628" s="1508">
        <f t="shared" si="363"/>
        <v>0</v>
      </c>
      <c r="H2628" s="1508">
        <f t="shared" si="364"/>
        <v>0</v>
      </c>
      <c r="I2628" s="1480">
        <v>0</v>
      </c>
      <c r="J2628" s="1480">
        <v>0</v>
      </c>
      <c r="K2628" s="1508"/>
      <c r="L2628" s="1508"/>
      <c r="M2628" s="1509">
        <f t="shared" si="365"/>
        <v>0</v>
      </c>
      <c r="N2628" s="1508">
        <f t="shared" si="366"/>
        <v>0</v>
      </c>
    </row>
    <row r="2629" spans="1:14" ht="15.5" outlineLevel="1" x14ac:dyDescent="0.25">
      <c r="A2629" s="1492">
        <f t="shared" si="368"/>
        <v>0</v>
      </c>
      <c r="B2629" s="1492" t="str">
        <f t="shared" si="368"/>
        <v>Implementation of Flexible Operation Solutions (U-3,4)</v>
      </c>
      <c r="C2629" s="1488">
        <f t="shared" si="368"/>
        <v>0</v>
      </c>
      <c r="D2629" s="1413" t="str">
        <f t="shared" si="368"/>
        <v>-</v>
      </c>
      <c r="E2629" s="560">
        <f t="shared" si="368"/>
        <v>25</v>
      </c>
      <c r="F2629" s="1508">
        <f t="shared" si="362"/>
        <v>0</v>
      </c>
      <c r="G2629" s="1508">
        <f t="shared" si="363"/>
        <v>0</v>
      </c>
      <c r="H2629" s="1508">
        <f t="shared" si="364"/>
        <v>0</v>
      </c>
      <c r="I2629" s="1480">
        <v>25</v>
      </c>
      <c r="J2629" s="1480">
        <v>25</v>
      </c>
      <c r="K2629" s="1508"/>
      <c r="L2629" s="1508"/>
      <c r="M2629" s="1509">
        <f t="shared" si="365"/>
        <v>25</v>
      </c>
      <c r="N2629" s="1508">
        <f t="shared" si="366"/>
        <v>0</v>
      </c>
    </row>
    <row r="2630" spans="1:14" ht="15.5" outlineLevel="1" x14ac:dyDescent="0.25">
      <c r="A2630" s="1486">
        <f t="shared" si="368"/>
        <v>15</v>
      </c>
      <c r="B2630" s="1491" t="str">
        <f t="shared" si="368"/>
        <v>DPR for ash utilisation cell- infrastructure development</v>
      </c>
      <c r="C2630" s="1488">
        <f t="shared" si="368"/>
        <v>0</v>
      </c>
      <c r="D2630" s="1413" t="str">
        <f t="shared" si="368"/>
        <v>-</v>
      </c>
      <c r="E2630" s="560">
        <f t="shared" si="368"/>
        <v>278.5</v>
      </c>
      <c r="F2630" s="1508">
        <f t="shared" si="362"/>
        <v>0</v>
      </c>
      <c r="G2630" s="1508">
        <f t="shared" si="363"/>
        <v>0</v>
      </c>
      <c r="H2630" s="1508">
        <f t="shared" si="364"/>
        <v>0</v>
      </c>
      <c r="I2630" s="1480">
        <v>0</v>
      </c>
      <c r="J2630" s="1480">
        <v>0</v>
      </c>
      <c r="K2630" s="1508"/>
      <c r="L2630" s="1508"/>
      <c r="M2630" s="1509">
        <f t="shared" si="365"/>
        <v>0</v>
      </c>
      <c r="N2630" s="1508">
        <f t="shared" si="366"/>
        <v>0</v>
      </c>
    </row>
    <row r="2631" spans="1:14" ht="31" outlineLevel="1" x14ac:dyDescent="0.25">
      <c r="A2631" s="1492">
        <f t="shared" si="368"/>
        <v>0</v>
      </c>
      <c r="B2631" s="1492" t="str">
        <f t="shared" si="368"/>
        <v>DPR for development of infrastructure for loading and dispatch of fly ash through Railway Wagons, CSTPS, Chandrapur</v>
      </c>
      <c r="C2631" s="1488">
        <f t="shared" si="368"/>
        <v>0</v>
      </c>
      <c r="D2631" s="1413" t="str">
        <f t="shared" si="368"/>
        <v>-</v>
      </c>
      <c r="E2631" s="560">
        <f t="shared" si="368"/>
        <v>268</v>
      </c>
      <c r="F2631" s="1508">
        <f t="shared" si="362"/>
        <v>0</v>
      </c>
      <c r="G2631" s="1508">
        <f t="shared" si="363"/>
        <v>0</v>
      </c>
      <c r="H2631" s="1508">
        <f t="shared" si="364"/>
        <v>0</v>
      </c>
      <c r="I2631" s="1480">
        <v>200</v>
      </c>
      <c r="J2631" s="1480">
        <v>200</v>
      </c>
      <c r="K2631" s="1508"/>
      <c r="L2631" s="1508"/>
      <c r="M2631" s="1509">
        <f t="shared" si="365"/>
        <v>200</v>
      </c>
      <c r="N2631" s="1508">
        <f t="shared" si="366"/>
        <v>0</v>
      </c>
    </row>
    <row r="2632" spans="1:14" ht="31" outlineLevel="1" x14ac:dyDescent="0.25">
      <c r="A2632" s="1492">
        <f t="shared" si="368"/>
        <v>0</v>
      </c>
      <c r="B2632" s="1492" t="str">
        <f t="shared" si="368"/>
        <v>Disposal of bottom ash for stowing of u/g mines of Chandrapur Area by installing direct pipeline from CSTPS to WCL</v>
      </c>
      <c r="C2632" s="1488">
        <f t="shared" si="368"/>
        <v>0</v>
      </c>
      <c r="D2632" s="1413" t="str">
        <f t="shared" si="368"/>
        <v>-</v>
      </c>
      <c r="E2632" s="560">
        <f t="shared" si="368"/>
        <v>10</v>
      </c>
      <c r="F2632" s="1508">
        <f t="shared" si="362"/>
        <v>0</v>
      </c>
      <c r="G2632" s="1508">
        <f t="shared" si="363"/>
        <v>0</v>
      </c>
      <c r="H2632" s="1508">
        <f t="shared" si="364"/>
        <v>0</v>
      </c>
      <c r="I2632" s="1480">
        <v>10</v>
      </c>
      <c r="J2632" s="1480">
        <v>10</v>
      </c>
      <c r="K2632" s="1508"/>
      <c r="L2632" s="1508"/>
      <c r="M2632" s="1509">
        <f t="shared" si="365"/>
        <v>10</v>
      </c>
      <c r="N2632" s="1508">
        <f t="shared" si="366"/>
        <v>0</v>
      </c>
    </row>
    <row r="2633" spans="1:14" ht="46.5" outlineLevel="1" x14ac:dyDescent="0.25">
      <c r="A2633" s="1492">
        <f t="shared" si="368"/>
        <v>0</v>
      </c>
      <c r="B2633" s="1492" t="str">
        <f t="shared" si="368"/>
        <v>Design, supply, installation, testing and commissioning of 100 MT 16X3 Mtr. electronic weigh bridge system, for weighment and dispatch of Pond Ash from Ash bund, CSTPS, Chandrapur</v>
      </c>
      <c r="C2633" s="1488">
        <f t="shared" si="368"/>
        <v>0</v>
      </c>
      <c r="D2633" s="1413" t="str">
        <f t="shared" si="368"/>
        <v>-</v>
      </c>
      <c r="E2633" s="560">
        <f t="shared" si="368"/>
        <v>0.5</v>
      </c>
      <c r="F2633" s="1508">
        <f t="shared" si="362"/>
        <v>0</v>
      </c>
      <c r="G2633" s="1508">
        <f t="shared" si="363"/>
        <v>0</v>
      </c>
      <c r="H2633" s="1508">
        <f t="shared" si="364"/>
        <v>0</v>
      </c>
      <c r="I2633" s="1480">
        <v>0.5</v>
      </c>
      <c r="J2633" s="1480">
        <v>0.5</v>
      </c>
      <c r="K2633" s="1508"/>
      <c r="L2633" s="1508"/>
      <c r="M2633" s="1509">
        <f t="shared" si="365"/>
        <v>0.5</v>
      </c>
      <c r="N2633" s="1508">
        <f t="shared" si="366"/>
        <v>0</v>
      </c>
    </row>
    <row r="2634" spans="1:14" ht="15.5" outlineLevel="1" x14ac:dyDescent="0.25">
      <c r="A2634" s="1486">
        <f t="shared" si="368"/>
        <v>16</v>
      </c>
      <c r="B2634" s="1491" t="str">
        <f t="shared" si="368"/>
        <v>Up-gradation Schemes for CAAQM Stations &amp; NABL Laboratory</v>
      </c>
      <c r="C2634" s="1488">
        <f t="shared" si="368"/>
        <v>0</v>
      </c>
      <c r="D2634" s="1413" t="str">
        <f t="shared" si="368"/>
        <v>-</v>
      </c>
      <c r="E2634" s="560">
        <f t="shared" si="368"/>
        <v>25</v>
      </c>
      <c r="F2634" s="1508">
        <f t="shared" si="362"/>
        <v>0</v>
      </c>
      <c r="G2634" s="1508">
        <f t="shared" si="363"/>
        <v>0</v>
      </c>
      <c r="H2634" s="1508">
        <f t="shared" si="364"/>
        <v>0</v>
      </c>
      <c r="I2634" s="1480">
        <v>0</v>
      </c>
      <c r="J2634" s="1480">
        <v>0</v>
      </c>
      <c r="K2634" s="1508"/>
      <c r="L2634" s="1508"/>
      <c r="M2634" s="1509">
        <f t="shared" si="365"/>
        <v>0</v>
      </c>
      <c r="N2634" s="1508">
        <f t="shared" si="366"/>
        <v>0</v>
      </c>
    </row>
    <row r="2635" spans="1:14" ht="15.5" outlineLevel="1" x14ac:dyDescent="0.25">
      <c r="A2635" s="1492">
        <f t="shared" si="368"/>
        <v>0</v>
      </c>
      <c r="B2635" s="1492" t="str">
        <f t="shared" si="368"/>
        <v>Up-gradation Schemes for CAAQM Stations &amp; NABL Laboratory</v>
      </c>
      <c r="C2635" s="1488">
        <f t="shared" si="368"/>
        <v>0</v>
      </c>
      <c r="D2635" s="1413" t="str">
        <f t="shared" si="368"/>
        <v>-</v>
      </c>
      <c r="E2635" s="560">
        <f t="shared" si="368"/>
        <v>25</v>
      </c>
      <c r="F2635" s="1508">
        <f t="shared" si="362"/>
        <v>0</v>
      </c>
      <c r="G2635" s="1508">
        <f t="shared" si="363"/>
        <v>0</v>
      </c>
      <c r="H2635" s="1508">
        <f t="shared" si="364"/>
        <v>0</v>
      </c>
      <c r="I2635" s="1480">
        <v>0</v>
      </c>
      <c r="J2635" s="1480">
        <v>0</v>
      </c>
      <c r="K2635" s="1508"/>
      <c r="L2635" s="1508"/>
      <c r="M2635" s="1509">
        <f t="shared" si="365"/>
        <v>0</v>
      </c>
      <c r="N2635" s="1508">
        <f t="shared" si="366"/>
        <v>0</v>
      </c>
    </row>
    <row r="2636" spans="1:14" ht="62" outlineLevel="1" x14ac:dyDescent="0.25">
      <c r="A2636" s="1486">
        <f t="shared" si="368"/>
        <v>17</v>
      </c>
      <c r="B2636" s="1491" t="str">
        <f t="shared" si="368"/>
        <v>Comprehensive Strategies for Environmental Sustainability at CSTPS: Implementing Zero Discharge Policies and Pollution Control Measures for Effective Water Body Management and Hazard Prevention</v>
      </c>
      <c r="C2636" s="1488">
        <f t="shared" si="368"/>
        <v>0</v>
      </c>
      <c r="D2636" s="1413" t="str">
        <f t="shared" si="368"/>
        <v>-</v>
      </c>
      <c r="E2636" s="560">
        <f t="shared" si="368"/>
        <v>27.6</v>
      </c>
      <c r="F2636" s="1508">
        <f t="shared" si="362"/>
        <v>0</v>
      </c>
      <c r="G2636" s="1508">
        <f t="shared" si="363"/>
        <v>0</v>
      </c>
      <c r="H2636" s="1508">
        <f t="shared" si="364"/>
        <v>0</v>
      </c>
      <c r="I2636" s="1480">
        <v>0</v>
      </c>
      <c r="J2636" s="1480">
        <v>0</v>
      </c>
      <c r="K2636" s="1508"/>
      <c r="L2636" s="1508"/>
      <c r="M2636" s="1509">
        <f t="shared" si="365"/>
        <v>0</v>
      </c>
      <c r="N2636" s="1508">
        <f t="shared" si="366"/>
        <v>0</v>
      </c>
    </row>
    <row r="2637" spans="1:14" ht="62" outlineLevel="1" x14ac:dyDescent="0.25">
      <c r="A2637" s="1492">
        <f t="shared" si="368"/>
        <v>0</v>
      </c>
      <c r="B2637" s="1492" t="str">
        <f t="shared" si="368"/>
        <v>Upgrading Settling tank near the Coal Reject Area: Installation of Settling Tank Liners and Enhanced Upgraded Pump House Systems to Prevent Acidic Water Seepage into the Ranvendli Nallah which connected to the ERAI River.</v>
      </c>
      <c r="C2637" s="1488">
        <f t="shared" si="368"/>
        <v>0</v>
      </c>
      <c r="D2637" s="1413" t="str">
        <f t="shared" si="368"/>
        <v>-</v>
      </c>
      <c r="E2637" s="560">
        <f t="shared" si="368"/>
        <v>8.9</v>
      </c>
      <c r="F2637" s="1508">
        <f t="shared" si="362"/>
        <v>0</v>
      </c>
      <c r="G2637" s="1508">
        <f t="shared" si="363"/>
        <v>0</v>
      </c>
      <c r="H2637" s="1508">
        <f t="shared" si="364"/>
        <v>0</v>
      </c>
      <c r="I2637" s="1480">
        <v>0</v>
      </c>
      <c r="J2637" s="1480">
        <v>0</v>
      </c>
      <c r="K2637" s="1508"/>
      <c r="L2637" s="1508"/>
      <c r="M2637" s="1509">
        <f t="shared" si="365"/>
        <v>0</v>
      </c>
      <c r="N2637" s="1508">
        <f t="shared" si="366"/>
        <v>0</v>
      </c>
    </row>
    <row r="2638" spans="1:14" ht="46.5" outlineLevel="1" x14ac:dyDescent="0.25">
      <c r="A2638" s="1492">
        <f t="shared" si="368"/>
        <v>0</v>
      </c>
      <c r="B2638" s="1492" t="str">
        <f t="shared" si="368"/>
        <v>Implementation of Zero Water Discharge Solutions: Design, Construction, and Commissioning of New Pump Houses for ETP 1 and ETP 2 to Enhance Capacity for Effective Water Recovery</v>
      </c>
      <c r="C2638" s="1488">
        <f t="shared" si="368"/>
        <v>0</v>
      </c>
      <c r="D2638" s="1413" t="str">
        <f t="shared" si="368"/>
        <v>-</v>
      </c>
      <c r="E2638" s="560">
        <f t="shared" si="368"/>
        <v>10.82</v>
      </c>
      <c r="F2638" s="1508">
        <f t="shared" si="362"/>
        <v>0</v>
      </c>
      <c r="G2638" s="1508">
        <f t="shared" si="363"/>
        <v>0</v>
      </c>
      <c r="H2638" s="1508">
        <f t="shared" si="364"/>
        <v>0</v>
      </c>
      <c r="I2638" s="1480">
        <v>0</v>
      </c>
      <c r="J2638" s="1480">
        <v>0</v>
      </c>
      <c r="K2638" s="1508"/>
      <c r="L2638" s="1508"/>
      <c r="M2638" s="1509">
        <f t="shared" si="365"/>
        <v>0</v>
      </c>
      <c r="N2638" s="1508">
        <f t="shared" si="366"/>
        <v>0</v>
      </c>
    </row>
    <row r="2639" spans="1:14" ht="62" outlineLevel="1" x14ac:dyDescent="0.25">
      <c r="A2639" s="1492">
        <f t="shared" si="368"/>
        <v>0</v>
      </c>
      <c r="B2639" s="1492" t="str">
        <f t="shared" si="368"/>
        <v>Underground Ash Disposal Pipeline Management: Design, Construction, and Installation of Filter Beds Along Ash Disposal Pipelines for Improved Environmental Protection of Water Bodies from Ingress into the Erai River</v>
      </c>
      <c r="C2639" s="1488">
        <f t="shared" si="368"/>
        <v>0</v>
      </c>
      <c r="D2639" s="1413" t="str">
        <f t="shared" si="368"/>
        <v>-</v>
      </c>
      <c r="E2639" s="560">
        <f t="shared" si="368"/>
        <v>7.88</v>
      </c>
      <c r="F2639" s="1508">
        <f t="shared" si="362"/>
        <v>0</v>
      </c>
      <c r="G2639" s="1508">
        <f t="shared" si="363"/>
        <v>0</v>
      </c>
      <c r="H2639" s="1508">
        <f t="shared" si="364"/>
        <v>0</v>
      </c>
      <c r="I2639" s="1480">
        <v>0</v>
      </c>
      <c r="J2639" s="1480">
        <v>0</v>
      </c>
      <c r="K2639" s="1508"/>
      <c r="L2639" s="1508"/>
      <c r="M2639" s="1509">
        <f t="shared" si="365"/>
        <v>0</v>
      </c>
      <c r="N2639" s="1508">
        <f t="shared" si="366"/>
        <v>0</v>
      </c>
    </row>
    <row r="2640" spans="1:14" ht="15.5" outlineLevel="1" x14ac:dyDescent="0.25">
      <c r="A2640" s="1486">
        <f t="shared" si="368"/>
        <v>18</v>
      </c>
      <c r="B2640" s="1491" t="str">
        <f t="shared" si="368"/>
        <v>Ash bund peripheral road</v>
      </c>
      <c r="C2640" s="1488">
        <f t="shared" si="368"/>
        <v>0</v>
      </c>
      <c r="D2640" s="1413" t="str">
        <f t="shared" si="368"/>
        <v>-</v>
      </c>
      <c r="E2640" s="560">
        <f t="shared" si="368"/>
        <v>120</v>
      </c>
      <c r="F2640" s="1508">
        <f t="shared" si="362"/>
        <v>0</v>
      </c>
      <c r="G2640" s="1508">
        <f t="shared" si="363"/>
        <v>0</v>
      </c>
      <c r="H2640" s="1508">
        <f t="shared" si="364"/>
        <v>0</v>
      </c>
      <c r="I2640" s="1480">
        <v>0</v>
      </c>
      <c r="J2640" s="1480">
        <v>0</v>
      </c>
      <c r="K2640" s="1508"/>
      <c r="L2640" s="1508"/>
      <c r="M2640" s="1509">
        <f t="shared" si="365"/>
        <v>0</v>
      </c>
      <c r="N2640" s="1508">
        <f t="shared" si="366"/>
        <v>0</v>
      </c>
    </row>
    <row r="2641" spans="1:14" ht="15.5" outlineLevel="1" x14ac:dyDescent="0.25">
      <c r="A2641" s="1492">
        <f t="shared" si="368"/>
        <v>0</v>
      </c>
      <c r="B2641" s="1492" t="str">
        <f t="shared" si="368"/>
        <v>Ash bund peripheral road</v>
      </c>
      <c r="C2641" s="1488">
        <f t="shared" si="368"/>
        <v>0</v>
      </c>
      <c r="D2641" s="1413" t="str">
        <f t="shared" si="368"/>
        <v>-</v>
      </c>
      <c r="E2641" s="560">
        <f t="shared" si="368"/>
        <v>120</v>
      </c>
      <c r="F2641" s="1508">
        <f t="shared" si="362"/>
        <v>0</v>
      </c>
      <c r="G2641" s="1508">
        <f t="shared" si="363"/>
        <v>0</v>
      </c>
      <c r="H2641" s="1508">
        <f t="shared" si="364"/>
        <v>0</v>
      </c>
      <c r="I2641" s="1480">
        <v>0</v>
      </c>
      <c r="J2641" s="1480">
        <v>0</v>
      </c>
      <c r="K2641" s="1508"/>
      <c r="L2641" s="1508"/>
      <c r="M2641" s="1509">
        <f t="shared" si="365"/>
        <v>0</v>
      </c>
      <c r="N2641" s="1508">
        <f t="shared" si="366"/>
        <v>0</v>
      </c>
    </row>
    <row r="2642" spans="1:14" ht="15.5" outlineLevel="1" x14ac:dyDescent="0.25">
      <c r="A2642" s="1486">
        <f t="shared" si="368"/>
        <v>19</v>
      </c>
      <c r="B2642" s="1491" t="str">
        <f t="shared" si="368"/>
        <v>Construction of peripheral nallah</v>
      </c>
      <c r="C2642" s="1488">
        <f t="shared" si="368"/>
        <v>0</v>
      </c>
      <c r="D2642" s="1413" t="str">
        <f t="shared" si="368"/>
        <v>-</v>
      </c>
      <c r="E2642" s="560">
        <f t="shared" si="368"/>
        <v>100</v>
      </c>
      <c r="F2642" s="1508">
        <f t="shared" si="362"/>
        <v>0</v>
      </c>
      <c r="G2642" s="1508">
        <f t="shared" si="363"/>
        <v>0</v>
      </c>
      <c r="H2642" s="1508">
        <f t="shared" si="364"/>
        <v>0</v>
      </c>
      <c r="I2642" s="1480">
        <v>0</v>
      </c>
      <c r="J2642" s="1480">
        <v>0</v>
      </c>
      <c r="K2642" s="1508"/>
      <c r="L2642" s="1508"/>
      <c r="M2642" s="1509">
        <f t="shared" si="365"/>
        <v>0</v>
      </c>
      <c r="N2642" s="1508">
        <f t="shared" si="366"/>
        <v>0</v>
      </c>
    </row>
    <row r="2643" spans="1:14" ht="15.5" outlineLevel="1" x14ac:dyDescent="0.25">
      <c r="A2643" s="1492">
        <f t="shared" si="368"/>
        <v>0</v>
      </c>
      <c r="B2643" s="1492" t="str">
        <f t="shared" si="368"/>
        <v>Construction of peripheral nallah</v>
      </c>
      <c r="C2643" s="1488">
        <f t="shared" si="368"/>
        <v>0</v>
      </c>
      <c r="D2643" s="1413" t="str">
        <f t="shared" si="368"/>
        <v>-</v>
      </c>
      <c r="E2643" s="560">
        <f t="shared" si="368"/>
        <v>100</v>
      </c>
      <c r="F2643" s="1508">
        <f t="shared" si="362"/>
        <v>0</v>
      </c>
      <c r="G2643" s="1508">
        <f t="shared" si="363"/>
        <v>0</v>
      </c>
      <c r="H2643" s="1508">
        <f t="shared" si="364"/>
        <v>0</v>
      </c>
      <c r="I2643" s="1480">
        <v>0</v>
      </c>
      <c r="J2643" s="1480">
        <v>0</v>
      </c>
      <c r="K2643" s="1508"/>
      <c r="L2643" s="1508"/>
      <c r="M2643" s="1509">
        <f t="shared" si="365"/>
        <v>0</v>
      </c>
      <c r="N2643" s="1508">
        <f t="shared" si="366"/>
        <v>0</v>
      </c>
    </row>
    <row r="2644" spans="1:14" ht="15.5" outlineLevel="1" x14ac:dyDescent="0.25">
      <c r="A2644" s="1486">
        <f t="shared" ref="A2644:E2659" si="369">A1974</f>
        <v>20</v>
      </c>
      <c r="B2644" s="1491" t="str">
        <f t="shared" si="369"/>
        <v>Construction of concrete Roads with drains at colony</v>
      </c>
      <c r="C2644" s="1488">
        <f t="shared" si="369"/>
        <v>0</v>
      </c>
      <c r="D2644" s="1413" t="str">
        <f t="shared" si="369"/>
        <v>-</v>
      </c>
      <c r="E2644" s="560">
        <f t="shared" si="369"/>
        <v>110</v>
      </c>
      <c r="F2644" s="1508">
        <f t="shared" si="362"/>
        <v>0</v>
      </c>
      <c r="G2644" s="1508">
        <f t="shared" si="363"/>
        <v>0</v>
      </c>
      <c r="H2644" s="1508">
        <f t="shared" si="364"/>
        <v>0</v>
      </c>
      <c r="I2644" s="1480">
        <v>0</v>
      </c>
      <c r="J2644" s="1480">
        <v>0</v>
      </c>
      <c r="K2644" s="1508"/>
      <c r="L2644" s="1508"/>
      <c r="M2644" s="1509">
        <f t="shared" si="365"/>
        <v>0</v>
      </c>
      <c r="N2644" s="1508">
        <f t="shared" si="366"/>
        <v>0</v>
      </c>
    </row>
    <row r="2645" spans="1:14" ht="15.5" outlineLevel="1" x14ac:dyDescent="0.25">
      <c r="A2645" s="1492">
        <f t="shared" si="369"/>
        <v>0</v>
      </c>
      <c r="B2645" s="1492" t="str">
        <f t="shared" si="369"/>
        <v>Construction of concrete Roads with drains at colony</v>
      </c>
      <c r="C2645" s="1488">
        <f t="shared" si="369"/>
        <v>0</v>
      </c>
      <c r="D2645" s="1413" t="str">
        <f t="shared" si="369"/>
        <v>-</v>
      </c>
      <c r="E2645" s="560">
        <f t="shared" si="369"/>
        <v>110</v>
      </c>
      <c r="F2645" s="1508">
        <f t="shared" si="362"/>
        <v>0</v>
      </c>
      <c r="G2645" s="1508">
        <f t="shared" si="363"/>
        <v>0</v>
      </c>
      <c r="H2645" s="1508">
        <f t="shared" si="364"/>
        <v>0</v>
      </c>
      <c r="I2645" s="1480">
        <v>0</v>
      </c>
      <c r="J2645" s="1480">
        <v>0</v>
      </c>
      <c r="K2645" s="1508"/>
      <c r="L2645" s="1508"/>
      <c r="M2645" s="1509">
        <f t="shared" si="365"/>
        <v>0</v>
      </c>
      <c r="N2645" s="1508">
        <f t="shared" si="366"/>
        <v>0</v>
      </c>
    </row>
    <row r="2646" spans="1:14" ht="15.5" outlineLevel="1" x14ac:dyDescent="0.25">
      <c r="A2646" s="1486">
        <f t="shared" si="369"/>
        <v>21</v>
      </c>
      <c r="B2646" s="1491" t="str">
        <f t="shared" si="369"/>
        <v>Fugitive emisson reduction techniques</v>
      </c>
      <c r="C2646" s="1488">
        <f t="shared" si="369"/>
        <v>0</v>
      </c>
      <c r="D2646" s="1413" t="str">
        <f t="shared" si="369"/>
        <v>-</v>
      </c>
      <c r="E2646" s="560">
        <f t="shared" si="369"/>
        <v>50</v>
      </c>
      <c r="F2646" s="1508">
        <f t="shared" si="362"/>
        <v>0</v>
      </c>
      <c r="G2646" s="1508">
        <f t="shared" si="363"/>
        <v>0</v>
      </c>
      <c r="H2646" s="1508">
        <f t="shared" si="364"/>
        <v>0</v>
      </c>
      <c r="I2646" s="1480">
        <v>0</v>
      </c>
      <c r="J2646" s="1480">
        <v>0</v>
      </c>
      <c r="K2646" s="1508"/>
      <c r="L2646" s="1508"/>
      <c r="M2646" s="1509">
        <f t="shared" si="365"/>
        <v>0</v>
      </c>
      <c r="N2646" s="1508">
        <f t="shared" si="366"/>
        <v>0</v>
      </c>
    </row>
    <row r="2647" spans="1:14" ht="15.5" outlineLevel="1" x14ac:dyDescent="0.25">
      <c r="A2647" s="1492">
        <f t="shared" si="369"/>
        <v>0</v>
      </c>
      <c r="B2647" s="1492" t="str">
        <f t="shared" si="369"/>
        <v>Fugitive emisson reduction schemes</v>
      </c>
      <c r="C2647" s="1488">
        <f t="shared" si="369"/>
        <v>0</v>
      </c>
      <c r="D2647" s="1413" t="str">
        <f t="shared" si="369"/>
        <v>-</v>
      </c>
      <c r="E2647" s="560">
        <f t="shared" si="369"/>
        <v>50</v>
      </c>
      <c r="F2647" s="1508">
        <f t="shared" si="362"/>
        <v>0</v>
      </c>
      <c r="G2647" s="1508">
        <f t="shared" si="363"/>
        <v>0</v>
      </c>
      <c r="H2647" s="1508">
        <f t="shared" si="364"/>
        <v>0</v>
      </c>
      <c r="I2647" s="1480">
        <v>0</v>
      </c>
      <c r="J2647" s="1480">
        <v>0</v>
      </c>
      <c r="K2647" s="1508"/>
      <c r="L2647" s="1508"/>
      <c r="M2647" s="1509">
        <f t="shared" si="365"/>
        <v>0</v>
      </c>
      <c r="N2647" s="1508">
        <f t="shared" si="366"/>
        <v>0</v>
      </c>
    </row>
    <row r="2648" spans="1:14" ht="15.5" outlineLevel="1" x14ac:dyDescent="0.25">
      <c r="A2648" s="1453">
        <f t="shared" si="369"/>
        <v>0</v>
      </c>
      <c r="B2648" s="96">
        <f t="shared" si="369"/>
        <v>0</v>
      </c>
      <c r="C2648" s="1453">
        <f t="shared" si="369"/>
        <v>0</v>
      </c>
      <c r="D2648" s="1503" t="str">
        <f t="shared" si="369"/>
        <v>-</v>
      </c>
      <c r="E2648" s="560">
        <f t="shared" si="369"/>
        <v>0</v>
      </c>
      <c r="F2648" s="1508">
        <f t="shared" si="362"/>
        <v>0</v>
      </c>
      <c r="G2648" s="1508">
        <f t="shared" si="363"/>
        <v>0</v>
      </c>
      <c r="H2648" s="1508">
        <f t="shared" si="364"/>
        <v>0</v>
      </c>
      <c r="I2648" s="1480">
        <v>0</v>
      </c>
      <c r="J2648" s="1480">
        <v>0</v>
      </c>
      <c r="K2648" s="1508"/>
      <c r="L2648" s="1508"/>
      <c r="M2648" s="1509">
        <f t="shared" si="365"/>
        <v>0</v>
      </c>
      <c r="N2648" s="1508">
        <f t="shared" si="366"/>
        <v>0</v>
      </c>
    </row>
    <row r="2649" spans="1:14" ht="15.5" outlineLevel="1" x14ac:dyDescent="0.25">
      <c r="A2649" s="1488">
        <f t="shared" si="369"/>
        <v>0</v>
      </c>
      <c r="B2649" s="1492">
        <f t="shared" si="369"/>
        <v>0</v>
      </c>
      <c r="C2649" s="1488">
        <f t="shared" si="369"/>
        <v>0</v>
      </c>
      <c r="D2649" s="1413" t="str">
        <f t="shared" si="369"/>
        <v>-</v>
      </c>
      <c r="E2649" s="560">
        <f t="shared" si="369"/>
        <v>0</v>
      </c>
      <c r="F2649" s="1508">
        <f t="shared" si="362"/>
        <v>0</v>
      </c>
      <c r="G2649" s="1508">
        <f t="shared" si="363"/>
        <v>0</v>
      </c>
      <c r="H2649" s="1508">
        <f t="shared" si="364"/>
        <v>0</v>
      </c>
      <c r="I2649" s="1480">
        <v>0</v>
      </c>
      <c r="J2649" s="1480">
        <v>0</v>
      </c>
      <c r="K2649" s="1508"/>
      <c r="L2649" s="1508"/>
      <c r="M2649" s="1509">
        <f t="shared" si="365"/>
        <v>0</v>
      </c>
      <c r="N2649" s="1508">
        <f t="shared" si="366"/>
        <v>0</v>
      </c>
    </row>
    <row r="2650" spans="1:14" ht="15.5" outlineLevel="1" x14ac:dyDescent="0.25">
      <c r="A2650" s="1505">
        <f t="shared" si="369"/>
        <v>0</v>
      </c>
      <c r="B2650" s="1492">
        <f t="shared" si="369"/>
        <v>0</v>
      </c>
      <c r="C2650" s="1505">
        <f t="shared" si="369"/>
        <v>0</v>
      </c>
      <c r="D2650" s="1503" t="str">
        <f t="shared" si="369"/>
        <v>-</v>
      </c>
      <c r="E2650" s="560">
        <f t="shared" si="369"/>
        <v>0</v>
      </c>
      <c r="F2650" s="1508">
        <f t="shared" si="362"/>
        <v>0</v>
      </c>
      <c r="G2650" s="1508">
        <f t="shared" si="363"/>
        <v>0</v>
      </c>
      <c r="H2650" s="1508">
        <f t="shared" si="364"/>
        <v>0</v>
      </c>
      <c r="I2650" s="1480">
        <v>0</v>
      </c>
      <c r="J2650" s="1480">
        <v>0</v>
      </c>
      <c r="K2650" s="1508"/>
      <c r="L2650" s="1508"/>
      <c r="M2650" s="1509">
        <f t="shared" si="365"/>
        <v>0</v>
      </c>
      <c r="N2650" s="1508">
        <f t="shared" si="366"/>
        <v>0</v>
      </c>
    </row>
    <row r="2651" spans="1:14" ht="15.5" outlineLevel="1" x14ac:dyDescent="0.25">
      <c r="A2651" s="1453">
        <f t="shared" si="369"/>
        <v>0</v>
      </c>
      <c r="B2651" s="1389" t="str">
        <f t="shared" si="369"/>
        <v>B) Non-DPR Schemes</v>
      </c>
      <c r="C2651" s="1453">
        <f t="shared" si="369"/>
        <v>0</v>
      </c>
      <c r="D2651" s="1503" t="str">
        <f t="shared" si="369"/>
        <v>-</v>
      </c>
      <c r="E2651" s="560">
        <f t="shared" si="369"/>
        <v>0</v>
      </c>
      <c r="F2651" s="1508">
        <f t="shared" si="362"/>
        <v>0</v>
      </c>
      <c r="G2651" s="1508">
        <f t="shared" si="363"/>
        <v>0</v>
      </c>
      <c r="H2651" s="1508">
        <f t="shared" si="364"/>
        <v>0</v>
      </c>
      <c r="I2651" s="1480">
        <v>0</v>
      </c>
      <c r="J2651" s="1480">
        <v>0</v>
      </c>
      <c r="K2651" s="1508"/>
      <c r="L2651" s="1508"/>
      <c r="M2651" s="1509">
        <f t="shared" si="365"/>
        <v>0</v>
      </c>
      <c r="N2651" s="1508">
        <f t="shared" si="366"/>
        <v>0</v>
      </c>
    </row>
    <row r="2652" spans="1:14" ht="15.5" outlineLevel="1" x14ac:dyDescent="0.25">
      <c r="A2652" s="1488">
        <f t="shared" si="369"/>
        <v>1</v>
      </c>
      <c r="B2652" s="1492" t="str">
        <f t="shared" si="369"/>
        <v>GENERAL ASSET</v>
      </c>
      <c r="C2652" s="1488">
        <f t="shared" si="369"/>
        <v>0</v>
      </c>
      <c r="D2652" s="1413" t="str">
        <f t="shared" si="369"/>
        <v>-</v>
      </c>
      <c r="E2652" s="560">
        <f t="shared" si="369"/>
        <v>20</v>
      </c>
      <c r="F2652" s="1508">
        <f t="shared" si="362"/>
        <v>6.8761807089999998</v>
      </c>
      <c r="G2652" s="1508">
        <f t="shared" si="363"/>
        <v>6.8761807089999998</v>
      </c>
      <c r="H2652" s="1508">
        <f t="shared" si="364"/>
        <v>0</v>
      </c>
      <c r="I2652" s="1480">
        <v>1.5</v>
      </c>
      <c r="J2652" s="1480">
        <v>1.5</v>
      </c>
      <c r="K2652" s="1508"/>
      <c r="L2652" s="1508"/>
      <c r="M2652" s="1509">
        <f t="shared" si="365"/>
        <v>1.5</v>
      </c>
      <c r="N2652" s="1508">
        <f t="shared" si="366"/>
        <v>0</v>
      </c>
    </row>
    <row r="2653" spans="1:14" ht="15.5" outlineLevel="1" x14ac:dyDescent="0.25">
      <c r="A2653" s="1488">
        <f t="shared" si="369"/>
        <v>2</v>
      </c>
      <c r="B2653" s="1492" t="str">
        <f t="shared" si="369"/>
        <v>M/S GEO-MILLER arbitration amount</v>
      </c>
      <c r="C2653" s="1488">
        <f t="shared" si="369"/>
        <v>0</v>
      </c>
      <c r="D2653" s="1413" t="str">
        <f t="shared" si="369"/>
        <v>-</v>
      </c>
      <c r="E2653" s="560">
        <f t="shared" si="369"/>
        <v>1.3764700000000001</v>
      </c>
      <c r="F2653" s="1508">
        <f t="shared" si="362"/>
        <v>0.68823500000000004</v>
      </c>
      <c r="G2653" s="1508">
        <f t="shared" si="363"/>
        <v>0.68823500000000004</v>
      </c>
      <c r="H2653" s="1508">
        <f t="shared" si="364"/>
        <v>0</v>
      </c>
      <c r="I2653" s="1480">
        <v>0</v>
      </c>
      <c r="J2653" s="1480">
        <v>0</v>
      </c>
      <c r="K2653" s="1508"/>
      <c r="L2653" s="1508"/>
      <c r="M2653" s="1509">
        <f t="shared" si="365"/>
        <v>0</v>
      </c>
      <c r="N2653" s="1508">
        <f t="shared" si="366"/>
        <v>0</v>
      </c>
    </row>
    <row r="2654" spans="1:14" ht="15.5" outlineLevel="1" x14ac:dyDescent="0.25">
      <c r="A2654" s="1488">
        <f t="shared" si="369"/>
        <v>3</v>
      </c>
      <c r="B2654" s="1492" t="str">
        <f t="shared" si="369"/>
        <v xml:space="preserve"> CM Reject Handling Sys Macawber Breakey</v>
      </c>
      <c r="C2654" s="1488">
        <f t="shared" si="369"/>
        <v>0</v>
      </c>
      <c r="D2654" s="1413" t="str">
        <f t="shared" si="369"/>
        <v>-</v>
      </c>
      <c r="E2654" s="560">
        <f t="shared" si="369"/>
        <v>3.1821571</v>
      </c>
      <c r="F2654" s="1508">
        <f t="shared" si="362"/>
        <v>0</v>
      </c>
      <c r="G2654" s="1508">
        <f t="shared" si="363"/>
        <v>0</v>
      </c>
      <c r="H2654" s="1508">
        <f t="shared" si="364"/>
        <v>0</v>
      </c>
      <c r="I2654" s="1480">
        <v>0</v>
      </c>
      <c r="J2654" s="1480">
        <v>0</v>
      </c>
      <c r="K2654" s="1508"/>
      <c r="L2654" s="1508"/>
      <c r="M2654" s="1509">
        <f t="shared" si="365"/>
        <v>0</v>
      </c>
      <c r="N2654" s="1508">
        <f t="shared" si="366"/>
        <v>0</v>
      </c>
    </row>
    <row r="2655" spans="1:14" ht="62" outlineLevel="1" x14ac:dyDescent="0.25">
      <c r="A2655" s="1488">
        <f t="shared" si="369"/>
        <v>4</v>
      </c>
      <c r="B2655" s="1492" t="str">
        <f t="shared" si="369"/>
        <v xml:space="preserve">Work of Design, Engineering, manufacturing, supply, erection &amp;  commissioning of interconnection conveyor belt Elecon stack yard of CHPA of U-3 &amp; U-4 to Belt Conveyor 105-A/B at CHP-B of Unit 5, 6 &amp; 7 at CSTPS Chandrapur ((Non-DPR) </v>
      </c>
      <c r="C2655" s="1488">
        <f t="shared" si="369"/>
        <v>0</v>
      </c>
      <c r="D2655" s="1413" t="str">
        <f t="shared" si="369"/>
        <v>-</v>
      </c>
      <c r="E2655" s="560">
        <f t="shared" si="369"/>
        <v>4.8622366000000001</v>
      </c>
      <c r="F2655" s="1508">
        <f t="shared" si="362"/>
        <v>4.8622366000000001</v>
      </c>
      <c r="G2655" s="1508">
        <f t="shared" si="363"/>
        <v>4.8622366000000001</v>
      </c>
      <c r="H2655" s="1508">
        <f t="shared" si="364"/>
        <v>0</v>
      </c>
      <c r="I2655" s="1480">
        <v>0</v>
      </c>
      <c r="J2655" s="1480">
        <v>0</v>
      </c>
      <c r="K2655" s="1508"/>
      <c r="L2655" s="1508"/>
      <c r="M2655" s="1509">
        <f t="shared" si="365"/>
        <v>0</v>
      </c>
      <c r="N2655" s="1508">
        <f t="shared" si="366"/>
        <v>0</v>
      </c>
    </row>
    <row r="2656" spans="1:14" ht="46.5" outlineLevel="1" x14ac:dyDescent="0.25">
      <c r="A2656" s="1488">
        <f t="shared" si="369"/>
        <v>5</v>
      </c>
      <c r="B2656" s="1492" t="str">
        <f t="shared" si="369"/>
        <v>Non Dpr The Work of Upgradation/Renovation of Track Hopper Unloading Conveyor system with allied works in CHPB of Unit-5, 6&amp;7 at CSTPS Chandrapur</v>
      </c>
      <c r="C2656" s="1488">
        <f t="shared" si="369"/>
        <v>0</v>
      </c>
      <c r="D2656" s="1413" t="str">
        <f t="shared" si="369"/>
        <v>-</v>
      </c>
      <c r="E2656" s="560">
        <f t="shared" si="369"/>
        <v>4.7420485000000001</v>
      </c>
      <c r="F2656" s="1508">
        <f t="shared" si="362"/>
        <v>4.7420485000000001</v>
      </c>
      <c r="G2656" s="1508">
        <f t="shared" si="363"/>
        <v>4.7420485000000001</v>
      </c>
      <c r="H2656" s="1508">
        <f t="shared" si="364"/>
        <v>0</v>
      </c>
      <c r="I2656" s="1480">
        <v>0</v>
      </c>
      <c r="J2656" s="1480">
        <v>0</v>
      </c>
      <c r="K2656" s="1508"/>
      <c r="L2656" s="1508"/>
      <c r="M2656" s="1509">
        <f t="shared" si="365"/>
        <v>0</v>
      </c>
      <c r="N2656" s="1508">
        <f t="shared" si="366"/>
        <v>0</v>
      </c>
    </row>
    <row r="2657" spans="1:14" ht="46.5" outlineLevel="1" x14ac:dyDescent="0.25">
      <c r="A2657" s="1488">
        <f t="shared" si="369"/>
        <v>6</v>
      </c>
      <c r="B2657" s="1492" t="str">
        <f t="shared" si="369"/>
        <v>Non DPR scheme for “The Work of Upgradation of Belt Conveyor 107A/B by replacement of conveyor deck structure with allied works in CHPB of Unit-5, 6&amp;7 at CSTPS Chandrapur</v>
      </c>
      <c r="C2657" s="1488">
        <f t="shared" si="369"/>
        <v>0</v>
      </c>
      <c r="D2657" s="1413" t="str">
        <f t="shared" si="369"/>
        <v>-</v>
      </c>
      <c r="E2657" s="560">
        <f t="shared" si="369"/>
        <v>4.51</v>
      </c>
      <c r="F2657" s="1508">
        <f t="shared" si="362"/>
        <v>4.5085439999999997</v>
      </c>
      <c r="G2657" s="1508">
        <f t="shared" si="363"/>
        <v>4.5085439999999997</v>
      </c>
      <c r="H2657" s="1508">
        <f t="shared" si="364"/>
        <v>0</v>
      </c>
      <c r="I2657" s="1480">
        <v>0</v>
      </c>
      <c r="J2657" s="1480">
        <v>0</v>
      </c>
      <c r="K2657" s="1508"/>
      <c r="L2657" s="1508"/>
      <c r="M2657" s="1509">
        <f t="shared" si="365"/>
        <v>0</v>
      </c>
      <c r="N2657" s="1508">
        <f t="shared" si="366"/>
        <v>0</v>
      </c>
    </row>
    <row r="2658" spans="1:14" ht="46.5" outlineLevel="1" x14ac:dyDescent="0.25">
      <c r="A2658" s="1488">
        <f t="shared" si="369"/>
        <v>7</v>
      </c>
      <c r="B2658" s="1492" t="str">
        <f t="shared" si="369"/>
        <v>Non-DPR: Supply, installation &amp; commissioning of oil cooled over band magnetic separators for various conveyor belts of CHP-B &amp; CHP-C, CSTPS, Chandrapur</v>
      </c>
      <c r="C2658" s="1488">
        <f t="shared" si="369"/>
        <v>0</v>
      </c>
      <c r="D2658" s="1413" t="str">
        <f t="shared" si="369"/>
        <v>-</v>
      </c>
      <c r="E2658" s="560">
        <f t="shared" si="369"/>
        <v>3.45</v>
      </c>
      <c r="F2658" s="1508">
        <f t="shared" si="362"/>
        <v>3.4450571999999999</v>
      </c>
      <c r="G2658" s="1508">
        <f t="shared" si="363"/>
        <v>3.4450571999999999</v>
      </c>
      <c r="H2658" s="1508">
        <f t="shared" si="364"/>
        <v>0</v>
      </c>
      <c r="I2658" s="1480">
        <v>0</v>
      </c>
      <c r="J2658" s="1480">
        <v>0</v>
      </c>
      <c r="K2658" s="1508"/>
      <c r="L2658" s="1508"/>
      <c r="M2658" s="1509">
        <f t="shared" si="365"/>
        <v>0</v>
      </c>
      <c r="N2658" s="1508">
        <f t="shared" si="366"/>
        <v>0</v>
      </c>
    </row>
    <row r="2659" spans="1:14" ht="62" outlineLevel="1" x14ac:dyDescent="0.25">
      <c r="A2659" s="1488">
        <f t="shared" si="369"/>
        <v>8</v>
      </c>
      <c r="B2659" s="1492" t="str">
        <f t="shared" si="369"/>
        <v>Various preventive works to avoid Tiger movement and animals in CSTPS colony premises Up-gradation od existing periphery compound wall by avoiding barbed wire and concertina fencing and allied works in the colony at CSTPS, Chandrapur</v>
      </c>
      <c r="C2659" s="1488">
        <f t="shared" si="369"/>
        <v>0</v>
      </c>
      <c r="D2659" s="1413" t="str">
        <f t="shared" si="369"/>
        <v>-</v>
      </c>
      <c r="E2659" s="560">
        <f t="shared" si="369"/>
        <v>6.41</v>
      </c>
      <c r="F2659" s="1508">
        <f t="shared" si="362"/>
        <v>3.6119999999999997</v>
      </c>
      <c r="G2659" s="1508">
        <f t="shared" si="363"/>
        <v>3.6119999999999997</v>
      </c>
      <c r="H2659" s="1508">
        <f t="shared" si="364"/>
        <v>0</v>
      </c>
      <c r="I2659" s="1480">
        <v>0</v>
      </c>
      <c r="J2659" s="1480">
        <v>0</v>
      </c>
      <c r="K2659" s="1508"/>
      <c r="L2659" s="1508"/>
      <c r="M2659" s="1509">
        <f t="shared" si="365"/>
        <v>0</v>
      </c>
      <c r="N2659" s="1508">
        <f t="shared" si="366"/>
        <v>0</v>
      </c>
    </row>
    <row r="2660" spans="1:14" ht="46.5" outlineLevel="1" x14ac:dyDescent="0.25">
      <c r="A2660" s="1488">
        <f t="shared" ref="A2660:E2675" si="370">A1990</f>
        <v>9</v>
      </c>
      <c r="B2660" s="1492" t="str">
        <f t="shared" si="370"/>
        <v>Repairing, revamping and modification of existing alarm and protection system from fire and providing rapid extinguishing CA system at 500 MW Unit # 5 &amp; 6 CSTPS</v>
      </c>
      <c r="C2660" s="1488">
        <f t="shared" si="370"/>
        <v>0</v>
      </c>
      <c r="D2660" s="1413" t="str">
        <f t="shared" si="370"/>
        <v>-</v>
      </c>
      <c r="E2660" s="560">
        <f t="shared" si="370"/>
        <v>7.95</v>
      </c>
      <c r="F2660" s="1508">
        <f t="shared" ref="F2660:F2684" si="371">F1990+I1990</f>
        <v>7.9500000000000011</v>
      </c>
      <c r="G2660" s="1508">
        <f t="shared" ref="G2660:G2684" si="372">G1990+M1990</f>
        <v>0</v>
      </c>
      <c r="H2660" s="1508">
        <f t="shared" si="364"/>
        <v>7.9500000000000011</v>
      </c>
      <c r="I2660" s="1480">
        <v>0</v>
      </c>
      <c r="J2660" s="1480">
        <v>7.9500000000000011</v>
      </c>
      <c r="K2660" s="1508"/>
      <c r="L2660" s="1508"/>
      <c r="M2660" s="1509">
        <f t="shared" si="365"/>
        <v>7.9500000000000011</v>
      </c>
      <c r="N2660" s="1508">
        <f t="shared" si="366"/>
        <v>0</v>
      </c>
    </row>
    <row r="2661" spans="1:14" ht="62" outlineLevel="1" x14ac:dyDescent="0.25">
      <c r="A2661" s="1488">
        <f t="shared" si="370"/>
        <v>10</v>
      </c>
      <c r="B2661" s="1506" t="str">
        <f t="shared" si="370"/>
        <v>NON-Detailed Project Report for the Work of Upgradation/Renovation of Crusher House of CHPB of Unit-5, 6&amp;7 at CSTPS Chandrapur (benefit U-8,9 by short conveyor coal stacking in catering emergency)</v>
      </c>
      <c r="C2661" s="1488">
        <f t="shared" si="370"/>
        <v>0</v>
      </c>
      <c r="D2661" s="1413" t="str">
        <f t="shared" si="370"/>
        <v>-</v>
      </c>
      <c r="E2661" s="560">
        <f t="shared" si="370"/>
        <v>4.7</v>
      </c>
      <c r="F2661" s="1508">
        <f t="shared" si="371"/>
        <v>1.8274607199999999</v>
      </c>
      <c r="G2661" s="1508">
        <f t="shared" si="372"/>
        <v>1.8274607199999999</v>
      </c>
      <c r="H2661" s="1508">
        <f t="shared" si="364"/>
        <v>0</v>
      </c>
      <c r="I2661" s="1480">
        <v>0</v>
      </c>
      <c r="J2661" s="1480">
        <v>0</v>
      </c>
      <c r="K2661" s="1508"/>
      <c r="L2661" s="1508"/>
      <c r="M2661" s="1509">
        <f t="shared" si="365"/>
        <v>0</v>
      </c>
      <c r="N2661" s="1508">
        <f t="shared" si="366"/>
        <v>0</v>
      </c>
    </row>
    <row r="2662" spans="1:14" ht="46.5" outlineLevel="1" x14ac:dyDescent="0.25">
      <c r="A2662" s="1488">
        <f t="shared" si="370"/>
        <v>11</v>
      </c>
      <c r="B2662" s="1492" t="str">
        <f t="shared" si="370"/>
        <v>Work of Up-gradation/Renovation of Bunkering Conveyor system with allied works in CHPA of Unit-3&amp;4 at CSTPS Chandrapur</v>
      </c>
      <c r="C2662" s="1488">
        <f t="shared" si="370"/>
        <v>0</v>
      </c>
      <c r="D2662" s="1413" t="str">
        <f t="shared" si="370"/>
        <v>-</v>
      </c>
      <c r="E2662" s="560">
        <f t="shared" si="370"/>
        <v>4.6024180000000001</v>
      </c>
      <c r="F2662" s="1508">
        <f t="shared" si="371"/>
        <v>4.6024180000000001</v>
      </c>
      <c r="G2662" s="1508">
        <f t="shared" si="372"/>
        <v>4.6024180000000001</v>
      </c>
      <c r="H2662" s="1508">
        <f t="shared" si="364"/>
        <v>0</v>
      </c>
      <c r="I2662" s="1480">
        <v>0</v>
      </c>
      <c r="J2662" s="1480">
        <v>0</v>
      </c>
      <c r="K2662" s="1508"/>
      <c r="L2662" s="1508"/>
      <c r="M2662" s="1509">
        <f t="shared" si="365"/>
        <v>0</v>
      </c>
      <c r="N2662" s="1508">
        <f t="shared" si="366"/>
        <v>0</v>
      </c>
    </row>
    <row r="2663" spans="1:14" ht="46.5" outlineLevel="1" x14ac:dyDescent="0.25">
      <c r="A2663" s="1488">
        <f t="shared" si="370"/>
        <v>12</v>
      </c>
      <c r="B2663" s="1492" t="str">
        <f t="shared" si="370"/>
        <v>Non-Detailed Project Report for the up-gradation of existing belt type gravimetric coal feeders to gravimetric rotary weigh coal feeders of unit- 7, at CSTPS, Chandrapur</v>
      </c>
      <c r="C2663" s="1488">
        <f t="shared" si="370"/>
        <v>0</v>
      </c>
      <c r="D2663" s="1413" t="str">
        <f t="shared" si="370"/>
        <v>-</v>
      </c>
      <c r="E2663" s="560">
        <f t="shared" si="370"/>
        <v>7.2510000000000003</v>
      </c>
      <c r="F2663" s="1508">
        <f t="shared" si="371"/>
        <v>7.2509395000000003</v>
      </c>
      <c r="G2663" s="1508">
        <f t="shared" si="372"/>
        <v>7.2509395000000003</v>
      </c>
      <c r="H2663" s="1508">
        <f t="shared" si="364"/>
        <v>0</v>
      </c>
      <c r="I2663" s="1480">
        <v>0</v>
      </c>
      <c r="J2663" s="1480">
        <v>0</v>
      </c>
      <c r="K2663" s="1508"/>
      <c r="L2663" s="1508"/>
      <c r="M2663" s="1509">
        <f t="shared" si="365"/>
        <v>0</v>
      </c>
      <c r="N2663" s="1508">
        <f t="shared" si="366"/>
        <v>0</v>
      </c>
    </row>
    <row r="2664" spans="1:14" ht="31" outlineLevel="1" x14ac:dyDescent="0.25">
      <c r="A2664" s="1488">
        <f t="shared" si="370"/>
        <v>14</v>
      </c>
      <c r="B2664" s="1492" t="str">
        <f t="shared" si="370"/>
        <v>Non DPR scheme for the procurement of Girth Gear Assembly for BBD-4772 coal mill unit-7</v>
      </c>
      <c r="C2664" s="1488">
        <f t="shared" si="370"/>
        <v>0</v>
      </c>
      <c r="D2664" s="1413" t="str">
        <f t="shared" si="370"/>
        <v>-</v>
      </c>
      <c r="E2664" s="560">
        <f t="shared" si="370"/>
        <v>5.27</v>
      </c>
      <c r="F2664" s="1508">
        <f t="shared" si="371"/>
        <v>5.27</v>
      </c>
      <c r="G2664" s="1508">
        <f t="shared" si="372"/>
        <v>5.27</v>
      </c>
      <c r="H2664" s="1508">
        <f t="shared" si="364"/>
        <v>0</v>
      </c>
      <c r="I2664" s="1480">
        <v>0</v>
      </c>
      <c r="J2664" s="1480">
        <v>0</v>
      </c>
      <c r="K2664" s="1508"/>
      <c r="L2664" s="1508"/>
      <c r="M2664" s="1509">
        <f t="shared" si="365"/>
        <v>0</v>
      </c>
      <c r="N2664" s="1508">
        <f t="shared" si="366"/>
        <v>0</v>
      </c>
    </row>
    <row r="2665" spans="1:14" ht="62" outlineLevel="1" x14ac:dyDescent="0.25">
      <c r="A2665" s="1488">
        <f t="shared" si="370"/>
        <v>15</v>
      </c>
      <c r="B2665" s="1492" t="str">
        <f t="shared" si="370"/>
        <v>Non DPR Supply of Sub-Assemblies for KBL -make Auxiliary cooling water pump, Model BHR-70 &amp; BHR 60-30 deg. installed at Auxiliary cooling water system of U- 5 to 7 at ODP-II, CSTPS, Chandrapur.</v>
      </c>
      <c r="C2665" s="1488">
        <f t="shared" si="370"/>
        <v>0</v>
      </c>
      <c r="D2665" s="1413" t="str">
        <f t="shared" si="370"/>
        <v>-</v>
      </c>
      <c r="E2665" s="560">
        <f t="shared" si="370"/>
        <v>5.61</v>
      </c>
      <c r="F2665" s="1508">
        <f t="shared" si="371"/>
        <v>5.5874359760000001</v>
      </c>
      <c r="G2665" s="1508">
        <f t="shared" si="372"/>
        <v>5.5874359760000001</v>
      </c>
      <c r="H2665" s="1508">
        <f t="shared" si="364"/>
        <v>0</v>
      </c>
      <c r="I2665" s="1480">
        <v>0</v>
      </c>
      <c r="J2665" s="1480">
        <v>0</v>
      </c>
      <c r="K2665" s="1508"/>
      <c r="L2665" s="1508"/>
      <c r="M2665" s="1509">
        <f t="shared" si="365"/>
        <v>0</v>
      </c>
      <c r="N2665" s="1508">
        <f t="shared" si="366"/>
        <v>0</v>
      </c>
    </row>
    <row r="2666" spans="1:14" ht="46.5" outlineLevel="1" x14ac:dyDescent="0.25">
      <c r="A2666" s="1488">
        <f t="shared" si="370"/>
        <v>16</v>
      </c>
      <c r="B2666" s="1492" t="str">
        <f t="shared" si="370"/>
        <v>Procurement of Primary and Secondary Air Pre-heater Baskets for Unit-5, Chandrapur STPS, 500MW through OEM basis from M/s. BHEL</v>
      </c>
      <c r="C2666" s="1488">
        <f t="shared" si="370"/>
        <v>0</v>
      </c>
      <c r="D2666" s="1413" t="str">
        <f t="shared" si="370"/>
        <v>-</v>
      </c>
      <c r="E2666" s="560">
        <f t="shared" si="370"/>
        <v>9.09</v>
      </c>
      <c r="F2666" s="1508">
        <f t="shared" si="371"/>
        <v>9.09</v>
      </c>
      <c r="G2666" s="1508">
        <f t="shared" si="372"/>
        <v>9.09</v>
      </c>
      <c r="H2666" s="1508">
        <f t="shared" si="364"/>
        <v>0</v>
      </c>
      <c r="I2666" s="1480">
        <v>0</v>
      </c>
      <c r="J2666" s="1480">
        <v>0</v>
      </c>
      <c r="K2666" s="1508"/>
      <c r="L2666" s="1508"/>
      <c r="M2666" s="1509">
        <f t="shared" si="365"/>
        <v>0</v>
      </c>
      <c r="N2666" s="1508">
        <f t="shared" si="366"/>
        <v>0</v>
      </c>
    </row>
    <row r="2667" spans="1:14" ht="46.5" outlineLevel="1" x14ac:dyDescent="0.25">
      <c r="A2667" s="1488">
        <f t="shared" si="370"/>
        <v>17</v>
      </c>
      <c r="B2667" s="1492" t="str">
        <f t="shared" si="370"/>
        <v>Restoration of Operational efficiency and improvement in useful life of spare HP turbine Module of 500MW Unit-5,6 CSTPS chandrapur by Refurbishement</v>
      </c>
      <c r="C2667" s="1488">
        <f t="shared" si="370"/>
        <v>0</v>
      </c>
      <c r="D2667" s="1413" t="str">
        <f t="shared" si="370"/>
        <v>-</v>
      </c>
      <c r="E2667" s="560">
        <f t="shared" si="370"/>
        <v>9.9499999999999993</v>
      </c>
      <c r="F2667" s="1508">
        <f t="shared" si="371"/>
        <v>9.9499999999999993</v>
      </c>
      <c r="G2667" s="1508">
        <f t="shared" si="372"/>
        <v>9.9499999999999993</v>
      </c>
      <c r="H2667" s="1508">
        <f t="shared" si="364"/>
        <v>0</v>
      </c>
      <c r="I2667" s="1480">
        <v>0</v>
      </c>
      <c r="J2667" s="1480">
        <v>0</v>
      </c>
      <c r="K2667" s="1508"/>
      <c r="L2667" s="1508"/>
      <c r="M2667" s="1509">
        <f t="shared" si="365"/>
        <v>0</v>
      </c>
      <c r="N2667" s="1508">
        <f t="shared" si="366"/>
        <v>0</v>
      </c>
    </row>
    <row r="2668" spans="1:14" ht="46.5" outlineLevel="1" x14ac:dyDescent="0.25">
      <c r="A2668" s="1488">
        <f t="shared" si="370"/>
        <v>18</v>
      </c>
      <c r="B2668" s="1492" t="str">
        <f t="shared" si="370"/>
        <v>Work of Upgradation/Renovation of Crusher House &amp; Track Hopper Unloading System of CHPC of Unit-6&amp;7 CSTPS Chandrapur</v>
      </c>
      <c r="C2668" s="1488">
        <f t="shared" si="370"/>
        <v>0</v>
      </c>
      <c r="D2668" s="1413" t="str">
        <f t="shared" si="370"/>
        <v>-</v>
      </c>
      <c r="E2668" s="560">
        <f t="shared" si="370"/>
        <v>4.9000000000000004</v>
      </c>
      <c r="F2668" s="1508">
        <f t="shared" si="371"/>
        <v>4.9000000000000004</v>
      </c>
      <c r="G2668" s="1508">
        <f t="shared" si="372"/>
        <v>4.9000000000000004</v>
      </c>
      <c r="H2668" s="1508">
        <f t="shared" si="364"/>
        <v>0</v>
      </c>
      <c r="I2668" s="1480">
        <v>0</v>
      </c>
      <c r="J2668" s="1480">
        <v>0</v>
      </c>
      <c r="K2668" s="1508"/>
      <c r="L2668" s="1508"/>
      <c r="M2668" s="1509">
        <f t="shared" si="365"/>
        <v>0</v>
      </c>
      <c r="N2668" s="1508">
        <f t="shared" si="366"/>
        <v>0</v>
      </c>
    </row>
    <row r="2669" spans="1:14" ht="46.5" outlineLevel="1" x14ac:dyDescent="0.25">
      <c r="A2669" s="1488">
        <f t="shared" si="370"/>
        <v>19</v>
      </c>
      <c r="B2669" s="1492" t="str">
        <f t="shared" si="370"/>
        <v>Non – DPR: Design, supply, erection, installation, testing and commissioning of boiler goods lift in place of existing old lifts installed at Unit#6,7 500MW CSTPS, Chandrapur </v>
      </c>
      <c r="C2669" s="1488">
        <f t="shared" si="370"/>
        <v>0</v>
      </c>
      <c r="D2669" s="1413" t="str">
        <f t="shared" si="370"/>
        <v>-</v>
      </c>
      <c r="E2669" s="560">
        <f t="shared" si="370"/>
        <v>3.66</v>
      </c>
      <c r="F2669" s="1508">
        <f t="shared" si="371"/>
        <v>3.66</v>
      </c>
      <c r="G2669" s="1508">
        <f t="shared" si="372"/>
        <v>3.66</v>
      </c>
      <c r="H2669" s="1508">
        <f t="shared" si="364"/>
        <v>0</v>
      </c>
      <c r="I2669" s="1480">
        <v>0</v>
      </c>
      <c r="J2669" s="1480">
        <v>0</v>
      </c>
      <c r="K2669" s="1508"/>
      <c r="L2669" s="1508"/>
      <c r="M2669" s="1509">
        <f t="shared" si="365"/>
        <v>0</v>
      </c>
      <c r="N2669" s="1508">
        <f t="shared" si="366"/>
        <v>0</v>
      </c>
    </row>
    <row r="2670" spans="1:14" ht="31" outlineLevel="1" x14ac:dyDescent="0.25">
      <c r="A2670" s="1488">
        <f t="shared" si="370"/>
        <v>20</v>
      </c>
      <c r="B2670" s="1492" t="str">
        <f t="shared" si="370"/>
        <v>Work of refurbishment of Flender make KMS 850 gear box of XRP-1043 coal mill unit 5&amp;6 at CSTPS, Chandrapur</v>
      </c>
      <c r="C2670" s="1488">
        <f t="shared" si="370"/>
        <v>0</v>
      </c>
      <c r="D2670" s="1413" t="str">
        <f t="shared" si="370"/>
        <v>-</v>
      </c>
      <c r="E2670" s="560">
        <f t="shared" si="370"/>
        <v>4.37</v>
      </c>
      <c r="F2670" s="1508">
        <f t="shared" si="371"/>
        <v>4.37</v>
      </c>
      <c r="G2670" s="1508">
        <f t="shared" si="372"/>
        <v>4.37</v>
      </c>
      <c r="H2670" s="1508">
        <f t="shared" si="364"/>
        <v>0</v>
      </c>
      <c r="I2670" s="1480">
        <v>0</v>
      </c>
      <c r="J2670" s="1480">
        <v>0</v>
      </c>
      <c r="K2670" s="1508"/>
      <c r="L2670" s="1508"/>
      <c r="M2670" s="1509">
        <f t="shared" si="365"/>
        <v>0</v>
      </c>
      <c r="N2670" s="1508">
        <f t="shared" si="366"/>
        <v>0</v>
      </c>
    </row>
    <row r="2671" spans="1:14" ht="77.5" outlineLevel="1" x14ac:dyDescent="0.25">
      <c r="A2671" s="1488">
        <f t="shared" si="370"/>
        <v>21</v>
      </c>
      <c r="B2671" s="1492" t="str">
        <f t="shared" si="370"/>
        <v>Work of renovation of take up trestle structure of BC-105A2/BC-105B and trestle near TP-104, Modification of MS fixtures for the work of various auxiliary replacement at various sites and other allied works in CHP-B (M2) at CSTPS Chandrapur, as NonDPR Scheme.</v>
      </c>
      <c r="C2671" s="1488">
        <f t="shared" si="370"/>
        <v>0</v>
      </c>
      <c r="D2671" s="1413" t="str">
        <f t="shared" si="370"/>
        <v>-</v>
      </c>
      <c r="E2671" s="560">
        <f t="shared" si="370"/>
        <v>2.2400000000000002</v>
      </c>
      <c r="F2671" s="1508">
        <f t="shared" si="371"/>
        <v>0</v>
      </c>
      <c r="G2671" s="1508">
        <f t="shared" si="372"/>
        <v>0</v>
      </c>
      <c r="H2671" s="1508">
        <f t="shared" si="364"/>
        <v>0</v>
      </c>
      <c r="I2671" s="1480">
        <v>2.2400000000000002</v>
      </c>
      <c r="J2671" s="1480">
        <v>2.2400000000000002</v>
      </c>
      <c r="K2671" s="1508"/>
      <c r="L2671" s="1508"/>
      <c r="M2671" s="1509">
        <f t="shared" si="365"/>
        <v>2.2400000000000002</v>
      </c>
      <c r="N2671" s="1508">
        <f t="shared" si="366"/>
        <v>0</v>
      </c>
    </row>
    <row r="2672" spans="1:14" ht="31" outlineLevel="1" x14ac:dyDescent="0.25">
      <c r="A2672" s="1488">
        <f t="shared" si="370"/>
        <v>22</v>
      </c>
      <c r="B2672" s="1492" t="str">
        <f t="shared" si="370"/>
        <v>Non DPR scheme for upgradation and life enhancements of BC-1AB_BC-4AB at CHP-A, CSTPS, Chandrapur</v>
      </c>
      <c r="C2672" s="1488">
        <f t="shared" si="370"/>
        <v>0</v>
      </c>
      <c r="D2672" s="1413" t="str">
        <f t="shared" si="370"/>
        <v>-</v>
      </c>
      <c r="E2672" s="560">
        <f t="shared" si="370"/>
        <v>1.6</v>
      </c>
      <c r="F2672" s="1508">
        <f t="shared" si="371"/>
        <v>0</v>
      </c>
      <c r="G2672" s="1508">
        <f t="shared" si="372"/>
        <v>0</v>
      </c>
      <c r="H2672" s="1508">
        <f t="shared" si="364"/>
        <v>0</v>
      </c>
      <c r="I2672" s="1480">
        <v>1.6</v>
      </c>
      <c r="J2672" s="1480">
        <v>1.6</v>
      </c>
      <c r="K2672" s="1508"/>
      <c r="L2672" s="1508"/>
      <c r="M2672" s="1509">
        <f t="shared" si="365"/>
        <v>1.6</v>
      </c>
      <c r="N2672" s="1508">
        <f t="shared" si="366"/>
        <v>0</v>
      </c>
    </row>
    <row r="2673" spans="1:14" ht="31" outlineLevel="1" x14ac:dyDescent="0.25">
      <c r="A2673" s="1488">
        <f t="shared" si="370"/>
        <v>23</v>
      </c>
      <c r="B2673" s="1492" t="str">
        <f t="shared" si="370"/>
        <v>THE PROCUREMENT AND REPLACEMENT OF AIR PREHEATER BASKETS ASSEMBLIES AT UNIT-6 AT CSTPS, CHANDRAPUR</v>
      </c>
      <c r="C2673" s="1488">
        <f t="shared" si="370"/>
        <v>0</v>
      </c>
      <c r="D2673" s="1413" t="str">
        <f t="shared" si="370"/>
        <v>-</v>
      </c>
      <c r="E2673" s="560">
        <f t="shared" si="370"/>
        <v>9.01</v>
      </c>
      <c r="F2673" s="1508">
        <f t="shared" si="371"/>
        <v>9.01</v>
      </c>
      <c r="G2673" s="1508">
        <f t="shared" si="372"/>
        <v>9.01</v>
      </c>
      <c r="H2673" s="1508">
        <f t="shared" si="364"/>
        <v>0</v>
      </c>
      <c r="I2673" s="1480">
        <v>0</v>
      </c>
      <c r="J2673" s="1480">
        <v>0</v>
      </c>
      <c r="K2673" s="1508"/>
      <c r="L2673" s="1508"/>
      <c r="M2673" s="1509">
        <f t="shared" si="365"/>
        <v>0</v>
      </c>
      <c r="N2673" s="1508">
        <f t="shared" si="366"/>
        <v>0</v>
      </c>
    </row>
    <row r="2674" spans="1:14" ht="46.5" outlineLevel="1" x14ac:dyDescent="0.25">
      <c r="A2674" s="1488">
        <f t="shared" si="370"/>
        <v>24</v>
      </c>
      <c r="B2674" s="1492" t="str">
        <f t="shared" si="370"/>
        <v>NonDPR: Procurement of cartridge for boiler feed pump of 500MW U#7 and parallel shaft gear box for boiler feed pump of 500MW Unit-5 &amp;6 CSTPS, Chandrapur</v>
      </c>
      <c r="C2674" s="1488">
        <f t="shared" si="370"/>
        <v>0</v>
      </c>
      <c r="D2674" s="1413" t="str">
        <f t="shared" si="370"/>
        <v>-</v>
      </c>
      <c r="E2674" s="560">
        <f t="shared" si="370"/>
        <v>2.57</v>
      </c>
      <c r="F2674" s="1508">
        <f t="shared" si="371"/>
        <v>0.55000000000000004</v>
      </c>
      <c r="G2674" s="1508">
        <f t="shared" si="372"/>
        <v>0.55000000000000004</v>
      </c>
      <c r="H2674" s="1508">
        <f>F2674-G2674</f>
        <v>0</v>
      </c>
      <c r="I2674" s="1480">
        <v>2.02</v>
      </c>
      <c r="J2674" s="1480">
        <v>2.02</v>
      </c>
      <c r="K2674" s="1508"/>
      <c r="L2674" s="1508"/>
      <c r="M2674" s="1509">
        <f>SUM(J2674:L2674)</f>
        <v>2.02</v>
      </c>
      <c r="N2674" s="1508">
        <f>H2674+I2674-M2674</f>
        <v>0</v>
      </c>
    </row>
    <row r="2675" spans="1:14" ht="31" outlineLevel="1" x14ac:dyDescent="0.25">
      <c r="A2675" s="1488">
        <f t="shared" si="370"/>
        <v>25</v>
      </c>
      <c r="B2675" s="1492" t="str">
        <f t="shared" si="370"/>
        <v>Replacement of FD &amp; ID Fan IGV Actuators &amp; Electronic Controllers in 500 MW Unit-5 &amp; 6 at CSTPS, Chandrapur</v>
      </c>
      <c r="C2675" s="1488">
        <f t="shared" si="370"/>
        <v>0</v>
      </c>
      <c r="D2675" s="1413" t="str">
        <f t="shared" si="370"/>
        <v>-</v>
      </c>
      <c r="E2675" s="560">
        <f t="shared" si="370"/>
        <v>4.2</v>
      </c>
      <c r="F2675" s="1508">
        <f t="shared" si="371"/>
        <v>0</v>
      </c>
      <c r="G2675" s="1508">
        <f t="shared" si="372"/>
        <v>0</v>
      </c>
      <c r="H2675" s="1508">
        <f>F2675-G2675</f>
        <v>0</v>
      </c>
      <c r="I2675" s="1480">
        <v>4.2</v>
      </c>
      <c r="J2675" s="1480">
        <v>4.2</v>
      </c>
      <c r="K2675" s="1508"/>
      <c r="L2675" s="1508"/>
      <c r="M2675" s="1509">
        <f>SUM(J2675:L2675)</f>
        <v>4.2</v>
      </c>
      <c r="N2675" s="1508">
        <f>H2675+I2675-M2675</f>
        <v>0</v>
      </c>
    </row>
    <row r="2676" spans="1:14" ht="77.5" outlineLevel="1" x14ac:dyDescent="0.25">
      <c r="A2676" s="1488">
        <f t="shared" ref="A2676:E2684" si="373">A2006</f>
        <v>26</v>
      </c>
      <c r="B2676" s="1492" t="str">
        <f t="shared" si="373"/>
        <v>Non DPR for Work of Repairing and Strengthening of Coal Mill structure, Replacement of MS grating and painting of structural supports, columns, and platform supports of at various locations Coal Mill, Boiler and ESP of Unit-5, 6 and 7 at CSTPS Chandrapur.</v>
      </c>
      <c r="C2676" s="1488">
        <f t="shared" si="373"/>
        <v>0</v>
      </c>
      <c r="D2676" s="1413" t="str">
        <f t="shared" si="373"/>
        <v>-</v>
      </c>
      <c r="E2676" s="560">
        <f t="shared" si="373"/>
        <v>2.1</v>
      </c>
      <c r="F2676" s="1508">
        <f t="shared" si="371"/>
        <v>2.1</v>
      </c>
      <c r="G2676" s="1508">
        <f t="shared" si="372"/>
        <v>2.1</v>
      </c>
      <c r="H2676" s="1508">
        <f>F2676-G2676</f>
        <v>0</v>
      </c>
      <c r="I2676" s="1480">
        <v>0</v>
      </c>
      <c r="J2676" s="1480">
        <v>0</v>
      </c>
      <c r="K2676" s="1508"/>
      <c r="L2676" s="1508"/>
      <c r="M2676" s="1509">
        <f>SUM(J2676:L2676)</f>
        <v>0</v>
      </c>
      <c r="N2676" s="1508">
        <f>H2676+I2676-M2676</f>
        <v>0</v>
      </c>
    </row>
    <row r="2677" spans="1:14" ht="62" outlineLevel="1" x14ac:dyDescent="0.25">
      <c r="A2677" s="1488">
        <f t="shared" si="373"/>
        <v>27</v>
      </c>
      <c r="B2677" s="1492" t="str">
        <f t="shared" si="373"/>
        <v>Administrative approval under Non DPR scheme for“The Work of Up-gradation / Renovation and life enhancement of Conveyor system BC-6ABC with allied works in CHP-A of Unit-3&amp;4 at CSTPS Chandrapur”</v>
      </c>
      <c r="C2677" s="1488">
        <f t="shared" si="373"/>
        <v>0</v>
      </c>
      <c r="D2677" s="1413" t="str">
        <f t="shared" si="373"/>
        <v>-</v>
      </c>
      <c r="E2677" s="560">
        <f t="shared" si="373"/>
        <v>4.55</v>
      </c>
      <c r="F2677" s="1508">
        <f t="shared" si="371"/>
        <v>0</v>
      </c>
      <c r="G2677" s="1508">
        <f t="shared" si="372"/>
        <v>0</v>
      </c>
      <c r="H2677" s="1508">
        <f>F2677-G2677</f>
        <v>0</v>
      </c>
      <c r="I2677" s="1480">
        <v>4.55</v>
      </c>
      <c r="J2677" s="1480">
        <v>4.55</v>
      </c>
      <c r="K2677" s="1508"/>
      <c r="L2677" s="1508"/>
      <c r="M2677" s="1509">
        <f>SUM(J2677:L2677)</f>
        <v>4.55</v>
      </c>
      <c r="N2677" s="1508">
        <f>H2677+I2677-M2677</f>
        <v>0</v>
      </c>
    </row>
    <row r="2678" spans="1:14" ht="62" outlineLevel="1" x14ac:dyDescent="0.25">
      <c r="A2678" s="1488">
        <f t="shared" si="373"/>
        <v>28</v>
      </c>
      <c r="B2678" s="1492" t="str">
        <f t="shared" si="373"/>
        <v>Supply Erection and commissioning of Institu type SOX, NOX Analyzer along with remote calibration facility and connectivity to CPCB and MPCB as per latest CPCB Guidelines for Unit-3&amp;4, CSTPS.</v>
      </c>
      <c r="C2678" s="1488">
        <f t="shared" si="373"/>
        <v>0</v>
      </c>
      <c r="D2678" s="1413" t="str">
        <f t="shared" si="373"/>
        <v>-</v>
      </c>
      <c r="E2678" s="560">
        <f t="shared" si="373"/>
        <v>0.97</v>
      </c>
      <c r="F2678" s="1508">
        <f t="shared" si="371"/>
        <v>0</v>
      </c>
      <c r="G2678" s="1508">
        <f t="shared" si="372"/>
        <v>0</v>
      </c>
      <c r="H2678" s="1508">
        <f>F2678-G2678</f>
        <v>0</v>
      </c>
      <c r="I2678" s="1480">
        <v>0.97</v>
      </c>
      <c r="J2678" s="1480">
        <v>0.97</v>
      </c>
      <c r="K2678" s="1508"/>
      <c r="L2678" s="1508"/>
      <c r="M2678" s="1509">
        <f>SUM(J2678:L2678)</f>
        <v>0.97</v>
      </c>
      <c r="N2678" s="1508">
        <f>H2678+I2678-M2678</f>
        <v>0</v>
      </c>
    </row>
    <row r="2679" spans="1:14" ht="62" outlineLevel="1" x14ac:dyDescent="0.25">
      <c r="A2679" s="1488">
        <f t="shared" si="373"/>
        <v>29</v>
      </c>
      <c r="B2679" s="1492" t="str">
        <f t="shared" si="373"/>
        <v>Work of Renovation &amp; Upgradation of Receipt &amp; Dispatch Yard of Railway Siding of CSTPS by provision of Various Standard Infrastructure facilities at R&amp;D yard in Coal Handling Plant of CSTPS Chandrapur</v>
      </c>
      <c r="C2679" s="1488">
        <f t="shared" si="373"/>
        <v>0</v>
      </c>
      <c r="D2679" s="1413" t="str">
        <f t="shared" si="373"/>
        <v>-</v>
      </c>
      <c r="E2679" s="560">
        <f t="shared" si="373"/>
        <v>7.89</v>
      </c>
      <c r="F2679" s="1508">
        <f t="shared" si="371"/>
        <v>0</v>
      </c>
      <c r="G2679" s="1508">
        <f t="shared" si="372"/>
        <v>0</v>
      </c>
      <c r="H2679" s="1508">
        <f t="shared" ref="H2679:H2684" si="374">F2679-G2679</f>
        <v>0</v>
      </c>
      <c r="I2679" s="1480">
        <v>7.89</v>
      </c>
      <c r="J2679" s="1480">
        <v>7.89</v>
      </c>
      <c r="K2679" s="1508"/>
      <c r="L2679" s="1508"/>
      <c r="M2679" s="1509">
        <f t="shared" ref="M2679:M2684" si="375">SUM(J2679:L2679)</f>
        <v>7.89</v>
      </c>
      <c r="N2679" s="1508">
        <f t="shared" ref="N2679:N2684" si="376">H2679+I2679-M2679</f>
        <v>0</v>
      </c>
    </row>
    <row r="2680" spans="1:14" ht="46.5" outlineLevel="1" x14ac:dyDescent="0.25">
      <c r="A2680" s="1488">
        <f t="shared" si="373"/>
        <v>30</v>
      </c>
      <c r="B2680" s="1492" t="str">
        <f t="shared" si="373"/>
        <v>Supply, Installation and Commissioning of MV VFD panel along with integrated online cell redundancy technology with VFD bypass feature arrangement for conveyors 103 A &amp; B of CHP-B.</v>
      </c>
      <c r="C2680" s="1488">
        <f t="shared" si="373"/>
        <v>0</v>
      </c>
      <c r="D2680" s="1413" t="str">
        <f t="shared" si="373"/>
        <v>-</v>
      </c>
      <c r="E2680" s="560">
        <f t="shared" si="373"/>
        <v>5.44</v>
      </c>
      <c r="F2680" s="1508">
        <f t="shared" si="371"/>
        <v>0</v>
      </c>
      <c r="G2680" s="1508">
        <f t="shared" si="372"/>
        <v>0</v>
      </c>
      <c r="H2680" s="1508">
        <f t="shared" si="374"/>
        <v>0</v>
      </c>
      <c r="I2680" s="1480">
        <v>5.44</v>
      </c>
      <c r="J2680" s="1480">
        <v>5.44</v>
      </c>
      <c r="K2680" s="1508"/>
      <c r="L2680" s="1508"/>
      <c r="M2680" s="1509">
        <f t="shared" si="375"/>
        <v>5.44</v>
      </c>
      <c r="N2680" s="1508">
        <f t="shared" si="376"/>
        <v>0</v>
      </c>
    </row>
    <row r="2681" spans="1:14" ht="15.5" outlineLevel="1" x14ac:dyDescent="0.25">
      <c r="A2681" s="1488">
        <f t="shared" si="373"/>
        <v>31</v>
      </c>
      <c r="B2681" s="1492" t="str">
        <f t="shared" si="373"/>
        <v>Replacement of LTSH assemblies in U- 5</v>
      </c>
      <c r="C2681" s="1488">
        <f t="shared" si="373"/>
        <v>0</v>
      </c>
      <c r="D2681" s="1413" t="str">
        <f t="shared" si="373"/>
        <v>-</v>
      </c>
      <c r="E2681" s="560">
        <f t="shared" si="373"/>
        <v>1.3756576</v>
      </c>
      <c r="F2681" s="1508">
        <f t="shared" si="371"/>
        <v>1.3756576</v>
      </c>
      <c r="G2681" s="1508">
        <f t="shared" si="372"/>
        <v>1.3756576</v>
      </c>
      <c r="H2681" s="1508">
        <f t="shared" si="374"/>
        <v>0</v>
      </c>
      <c r="I2681" s="1480">
        <v>0</v>
      </c>
      <c r="J2681" s="1480">
        <v>0</v>
      </c>
      <c r="K2681" s="1508"/>
      <c r="L2681" s="1508"/>
      <c r="M2681" s="1509">
        <f t="shared" si="375"/>
        <v>0</v>
      </c>
      <c r="N2681" s="1508">
        <f t="shared" si="376"/>
        <v>0</v>
      </c>
    </row>
    <row r="2682" spans="1:14" ht="15.5" outlineLevel="1" x14ac:dyDescent="0.25">
      <c r="A2682" s="1488">
        <f t="shared" si="373"/>
        <v>32</v>
      </c>
      <c r="B2682" s="1492" t="str">
        <f t="shared" si="373"/>
        <v>Replacement of complete Z-panels in unit- 5</v>
      </c>
      <c r="C2682" s="1488">
        <f t="shared" si="373"/>
        <v>0</v>
      </c>
      <c r="D2682" s="1413" t="str">
        <f t="shared" si="373"/>
        <v>-</v>
      </c>
      <c r="E2682" s="560">
        <f t="shared" si="373"/>
        <v>0.82545579999999996</v>
      </c>
      <c r="F2682" s="1508">
        <f t="shared" si="371"/>
        <v>0.82545579999999996</v>
      </c>
      <c r="G2682" s="1508">
        <f t="shared" si="372"/>
        <v>0.82545579999999996</v>
      </c>
      <c r="H2682" s="1508">
        <f t="shared" si="374"/>
        <v>0</v>
      </c>
      <c r="I2682" s="1480">
        <v>0</v>
      </c>
      <c r="J2682" s="1480">
        <v>0</v>
      </c>
      <c r="K2682" s="1508"/>
      <c r="L2682" s="1508"/>
      <c r="M2682" s="1509">
        <f t="shared" si="375"/>
        <v>0</v>
      </c>
      <c r="N2682" s="1508">
        <f t="shared" si="376"/>
        <v>0</v>
      </c>
    </row>
    <row r="2683" spans="1:14" ht="31" outlineLevel="1" x14ac:dyDescent="0.25">
      <c r="A2683" s="1488">
        <f t="shared" si="373"/>
        <v>33</v>
      </c>
      <c r="B2683" s="1492" t="str">
        <f t="shared" si="373"/>
        <v>MODIFICATION AND RESTORATION OF APH OUTLET TO ESP INLET DUCTS AT U#3 (210MW)</v>
      </c>
      <c r="C2683" s="1488">
        <f t="shared" si="373"/>
        <v>0</v>
      </c>
      <c r="D2683" s="1413" t="str">
        <f t="shared" si="373"/>
        <v>-</v>
      </c>
      <c r="E2683" s="560">
        <f t="shared" si="373"/>
        <v>10.3</v>
      </c>
      <c r="F2683" s="1508">
        <f t="shared" si="371"/>
        <v>7.5</v>
      </c>
      <c r="G2683" s="1508">
        <f t="shared" si="372"/>
        <v>7.5</v>
      </c>
      <c r="H2683" s="1508">
        <f t="shared" si="374"/>
        <v>0</v>
      </c>
      <c r="I2683" s="1480">
        <v>2.8</v>
      </c>
      <c r="J2683" s="1480">
        <v>2.8</v>
      </c>
      <c r="K2683" s="1508"/>
      <c r="L2683" s="1508"/>
      <c r="M2683" s="1509">
        <f t="shared" si="375"/>
        <v>2.8</v>
      </c>
      <c r="N2683" s="1508">
        <f t="shared" si="376"/>
        <v>0</v>
      </c>
    </row>
    <row r="2684" spans="1:14" ht="62.5" outlineLevel="1" thickBot="1" x14ac:dyDescent="0.3">
      <c r="A2684" s="1488">
        <f t="shared" si="373"/>
        <v>34</v>
      </c>
      <c r="B2684" s="1492" t="str">
        <f t="shared" si="373"/>
        <v xml:space="preserve">Supply, Installation, Testing, Commissioning for complete solution and comprehensive protection and monitoring package along with retrofit of allied accessories for Generator Transformers for 3 X 500 MW Unit#5,6&amp;7 </v>
      </c>
      <c r="C2684" s="1488">
        <f t="shared" si="373"/>
        <v>0</v>
      </c>
      <c r="D2684" s="1413" t="str">
        <f t="shared" si="373"/>
        <v>-</v>
      </c>
      <c r="E2684" s="560">
        <f t="shared" si="373"/>
        <v>5.62</v>
      </c>
      <c r="F2684" s="1508">
        <f t="shared" si="371"/>
        <v>0</v>
      </c>
      <c r="G2684" s="1508">
        <f t="shared" si="372"/>
        <v>0</v>
      </c>
      <c r="H2684" s="1508">
        <f t="shared" si="374"/>
        <v>0</v>
      </c>
      <c r="I2684" s="1480">
        <v>5.62</v>
      </c>
      <c r="J2684" s="1480">
        <v>5.62</v>
      </c>
      <c r="K2684" s="1508"/>
      <c r="L2684" s="1508"/>
      <c r="M2684" s="1509">
        <f t="shared" si="375"/>
        <v>5.62</v>
      </c>
      <c r="N2684" s="1508">
        <f t="shared" si="376"/>
        <v>0</v>
      </c>
    </row>
    <row r="2685" spans="1:14" ht="15.5" thickBot="1" x14ac:dyDescent="0.3">
      <c r="A2685" s="1428"/>
      <c r="B2685" s="1429" t="str">
        <f>B2015</f>
        <v>Total</v>
      </c>
      <c r="C2685" s="1430"/>
      <c r="D2685" s="1431"/>
      <c r="E2685" s="1507"/>
      <c r="F2685" s="1507">
        <f t="shared" ref="F2685:N2685" si="377">SUM(F2020:F2684)</f>
        <v>1728.5968966413557</v>
      </c>
      <c r="G2685" s="1507">
        <f t="shared" si="377"/>
        <v>1645.2707927453559</v>
      </c>
      <c r="H2685" s="1507">
        <f t="shared" si="377"/>
        <v>83.326103896000021</v>
      </c>
      <c r="I2685" s="1507">
        <f t="shared" si="377"/>
        <v>2952.5171966759999</v>
      </c>
      <c r="J2685" s="1507">
        <f t="shared" si="377"/>
        <v>2335.8957236679989</v>
      </c>
      <c r="K2685" s="1507">
        <f t="shared" si="377"/>
        <v>0</v>
      </c>
      <c r="L2685" s="1507">
        <f t="shared" si="377"/>
        <v>0</v>
      </c>
      <c r="M2685" s="1507">
        <f t="shared" si="377"/>
        <v>2335.8957236679989</v>
      </c>
      <c r="N2685" s="1507">
        <f t="shared" si="377"/>
        <v>699.94757690400013</v>
      </c>
    </row>
    <row r="2687" spans="1:14" x14ac:dyDescent="0.25">
      <c r="A2687" s="1419"/>
      <c r="B2687" s="569" t="s">
        <v>970</v>
      </c>
      <c r="C2687" s="1474"/>
      <c r="D2687" s="1475"/>
      <c r="E2687" s="320"/>
      <c r="F2687" s="320"/>
      <c r="G2687" s="320"/>
      <c r="H2687" s="320"/>
      <c r="I2687" s="320"/>
      <c r="J2687" s="320"/>
      <c r="K2687" s="320"/>
      <c r="L2687" s="320"/>
      <c r="M2687" s="320"/>
      <c r="N2687" s="320"/>
    </row>
    <row r="2688" spans="1:14" outlineLevel="1" x14ac:dyDescent="0.25">
      <c r="A2688" s="131"/>
      <c r="B2688" s="1389" t="str">
        <f t="shared" ref="B2688:B2689" si="378">B2018</f>
        <v>a) DPR Schemes</v>
      </c>
      <c r="C2688" s="166"/>
      <c r="D2688" s="166"/>
      <c r="E2688" s="320"/>
      <c r="F2688" s="320"/>
      <c r="G2688" s="320"/>
      <c r="H2688" s="320"/>
      <c r="I2688" s="320"/>
      <c r="J2688" s="320"/>
      <c r="K2688" s="320"/>
      <c r="L2688" s="320"/>
      <c r="M2688" s="320"/>
      <c r="N2688" s="320"/>
    </row>
    <row r="2689" spans="1:16" outlineLevel="1" x14ac:dyDescent="0.25">
      <c r="A2689" s="131"/>
      <c r="B2689" s="1476" t="str">
        <f t="shared" si="378"/>
        <v>(i) In Principally Approved By MERC</v>
      </c>
      <c r="C2689" s="166"/>
      <c r="D2689" s="166"/>
      <c r="E2689" s="320"/>
      <c r="F2689" s="320"/>
      <c r="G2689" s="320"/>
      <c r="H2689" s="320"/>
      <c r="I2689" s="320"/>
      <c r="J2689" s="320"/>
      <c r="K2689" s="320"/>
      <c r="L2689" s="320"/>
      <c r="M2689" s="320"/>
      <c r="N2689" s="320"/>
    </row>
    <row r="2690" spans="1:16" ht="15.5" outlineLevel="1" x14ac:dyDescent="0.25">
      <c r="A2690" s="1477">
        <f t="shared" ref="A2690:E2705" si="379">A2020</f>
        <v>1</v>
      </c>
      <c r="B2690" s="1478" t="str">
        <f t="shared" si="379"/>
        <v>Boiler &amp; Turbine Improvement</v>
      </c>
      <c r="C2690" s="1477" t="str">
        <f t="shared" si="379"/>
        <v>MERC/CAPEX/20102011/01755</v>
      </c>
      <c r="D2690" s="1479">
        <f t="shared" si="379"/>
        <v>40507</v>
      </c>
      <c r="E2690" s="1383">
        <f t="shared" si="379"/>
        <v>181.82700000000003</v>
      </c>
      <c r="F2690" s="1480">
        <f t="shared" ref="F2690:F2753" si="380">F2020+I2020</f>
        <v>0</v>
      </c>
      <c r="G2690" s="1480">
        <f t="shared" ref="G2690:G2753" si="381">G2020+M2020</f>
        <v>0</v>
      </c>
      <c r="H2690" s="1480">
        <f>F2690-G2690</f>
        <v>0</v>
      </c>
      <c r="I2690" s="1480">
        <v>0</v>
      </c>
      <c r="J2690" s="1480">
        <v>0</v>
      </c>
      <c r="K2690" s="1480"/>
      <c r="L2690" s="1480"/>
      <c r="M2690" s="1480">
        <f>SUM(J2690:L2690)</f>
        <v>0</v>
      </c>
      <c r="N2690" s="1480">
        <f>H2690+I2690-M2690</f>
        <v>0</v>
      </c>
      <c r="O2690" s="1481">
        <f t="shared" ref="O2690:O2753" si="382">MAX(0,IF(M2690=0,0,IF(G2690+M2690&lt;E2690,M2690,E2690-G2690)))</f>
        <v>0</v>
      </c>
      <c r="P2690" s="1427">
        <f t="shared" ref="P2690:P2753" si="383">M2690-O2690</f>
        <v>0</v>
      </c>
    </row>
    <row r="2691" spans="1:16" ht="31" outlineLevel="1" x14ac:dyDescent="0.25">
      <c r="A2691" s="1482">
        <f t="shared" si="379"/>
        <v>1.1000000000000001</v>
      </c>
      <c r="B2691" s="1483" t="str">
        <f t="shared" si="379"/>
        <v>Installation of Sonic soot blowers for unit 5, 6 and  7 - Sonic soot blowers will be installed in LTSH and Eco zones (48 nos)</v>
      </c>
      <c r="C2691" s="1482" t="str">
        <f t="shared" si="379"/>
        <v>MERC/CAPEX/20102011/01755</v>
      </c>
      <c r="D2691" s="1390">
        <f t="shared" si="379"/>
        <v>40507</v>
      </c>
      <c r="E2691" s="560">
        <f t="shared" si="379"/>
        <v>1.06</v>
      </c>
      <c r="F2691" s="1508">
        <f t="shared" si="380"/>
        <v>0.44763439999999999</v>
      </c>
      <c r="G2691" s="1508">
        <f t="shared" si="381"/>
        <v>0.44763439999999999</v>
      </c>
      <c r="H2691" s="1508">
        <f t="shared" ref="H2691:H2754" si="384">F2691-G2691</f>
        <v>0</v>
      </c>
      <c r="I2691" s="1480">
        <v>0</v>
      </c>
      <c r="J2691" s="1480">
        <v>0</v>
      </c>
      <c r="K2691" s="1508"/>
      <c r="L2691" s="1508"/>
      <c r="M2691" s="1509">
        <f t="shared" ref="M2691:M2754" si="385">SUM(J2691:L2691)</f>
        <v>0</v>
      </c>
      <c r="N2691" s="1508">
        <f t="shared" ref="N2691:N2754" si="386">H2691+I2691-M2691</f>
        <v>0</v>
      </c>
      <c r="O2691" s="1481">
        <f t="shared" si="382"/>
        <v>0</v>
      </c>
      <c r="P2691" s="1427">
        <f t="shared" si="383"/>
        <v>0</v>
      </c>
    </row>
    <row r="2692" spans="1:16" ht="46.5" outlineLevel="1" x14ac:dyDescent="0.25">
      <c r="A2692" s="1482">
        <f t="shared" si="379"/>
        <v>1.2</v>
      </c>
      <c r="B2692" s="1483" t="str">
        <f t="shared" si="379"/>
        <v>Installation of smart soot blower system for unit 5 and 6 boiler (Smart cannons- 8 nos, sealing and cooling air fans – 8 nos, heat flux sensors- 32 nos, HP pump – 1 no</v>
      </c>
      <c r="C2692" s="1482" t="str">
        <f t="shared" si="379"/>
        <v>MERC/CAPEX/20102011/01755</v>
      </c>
      <c r="D2692" s="1390">
        <f t="shared" si="379"/>
        <v>40507</v>
      </c>
      <c r="E2692" s="560">
        <f t="shared" si="379"/>
        <v>11.8</v>
      </c>
      <c r="F2692" s="1508">
        <f t="shared" si="380"/>
        <v>0</v>
      </c>
      <c r="G2692" s="1508">
        <f t="shared" si="381"/>
        <v>0</v>
      </c>
      <c r="H2692" s="1508">
        <f t="shared" si="384"/>
        <v>0</v>
      </c>
      <c r="I2692" s="1480">
        <v>0</v>
      </c>
      <c r="J2692" s="1480">
        <v>0</v>
      </c>
      <c r="K2692" s="1508"/>
      <c r="L2692" s="1508"/>
      <c r="M2692" s="1509">
        <f t="shared" si="385"/>
        <v>0</v>
      </c>
      <c r="N2692" s="1508">
        <f t="shared" si="386"/>
        <v>0</v>
      </c>
      <c r="O2692" s="1481">
        <f t="shared" si="382"/>
        <v>0</v>
      </c>
      <c r="P2692" s="1427">
        <f t="shared" si="383"/>
        <v>0</v>
      </c>
    </row>
    <row r="2693" spans="1:16" ht="62" outlineLevel="1" x14ac:dyDescent="0.25">
      <c r="A2693" s="1482">
        <f t="shared" si="379"/>
        <v>1.3</v>
      </c>
      <c r="B2693" s="1483" t="str">
        <f t="shared" si="379"/>
        <v>Total Replacement of boiler skin and air duct insulation of unit 3 to 7 (Ribbed aluminium cladding – 2000 m2, GI cladding, U bonded rock wool mattresses 100 mm thick )(consists of two schemes)</v>
      </c>
      <c r="C2693" s="1482" t="str">
        <f t="shared" si="379"/>
        <v>MERC/CAPEX/20102011/01755</v>
      </c>
      <c r="D2693" s="1390">
        <f t="shared" si="379"/>
        <v>40507</v>
      </c>
      <c r="E2693" s="560">
        <f t="shared" si="379"/>
        <v>12.3</v>
      </c>
      <c r="F2693" s="1508">
        <f t="shared" si="380"/>
        <v>10.016599048</v>
      </c>
      <c r="G2693" s="1508">
        <f t="shared" si="381"/>
        <v>10.016599048000002</v>
      </c>
      <c r="H2693" s="1508">
        <f t="shared" si="384"/>
        <v>0</v>
      </c>
      <c r="I2693" s="1480">
        <v>0</v>
      </c>
      <c r="J2693" s="1480">
        <v>0</v>
      </c>
      <c r="K2693" s="1508"/>
      <c r="L2693" s="1508"/>
      <c r="M2693" s="1509">
        <f t="shared" si="385"/>
        <v>0</v>
      </c>
      <c r="N2693" s="1508">
        <f t="shared" si="386"/>
        <v>0</v>
      </c>
      <c r="O2693" s="1481">
        <f t="shared" si="382"/>
        <v>0</v>
      </c>
      <c r="P2693" s="1427">
        <f t="shared" si="383"/>
        <v>0</v>
      </c>
    </row>
    <row r="2694" spans="1:16" ht="77.5" outlineLevel="1" x14ac:dyDescent="0.25">
      <c r="A2694" s="1482">
        <f t="shared" si="379"/>
        <v>1.4</v>
      </c>
      <c r="B2694" s="1483" t="str">
        <f t="shared" si="379"/>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2694" s="1482" t="str">
        <f t="shared" si="379"/>
        <v>MERC/CAPEX/20102011/01755</v>
      </c>
      <c r="D2694" s="1390">
        <f t="shared" si="379"/>
        <v>40507</v>
      </c>
      <c r="E2694" s="560">
        <f t="shared" si="379"/>
        <v>7.52</v>
      </c>
      <c r="F2694" s="1508">
        <f t="shared" si="380"/>
        <v>3.8601695880000002</v>
      </c>
      <c r="G2694" s="1508">
        <f t="shared" si="381"/>
        <v>3.8601695880000002</v>
      </c>
      <c r="H2694" s="1508">
        <f t="shared" si="384"/>
        <v>0</v>
      </c>
      <c r="I2694" s="1480">
        <v>0</v>
      </c>
      <c r="J2694" s="1480">
        <v>0</v>
      </c>
      <c r="K2694" s="1508"/>
      <c r="L2694" s="1508"/>
      <c r="M2694" s="1509">
        <f t="shared" si="385"/>
        <v>0</v>
      </c>
      <c r="N2694" s="1508">
        <f t="shared" si="386"/>
        <v>0</v>
      </c>
      <c r="O2694" s="1481">
        <f t="shared" si="382"/>
        <v>0</v>
      </c>
      <c r="P2694" s="1427">
        <f t="shared" si="383"/>
        <v>0</v>
      </c>
    </row>
    <row r="2695" spans="1:16" ht="46.5" outlineLevel="1" x14ac:dyDescent="0.25">
      <c r="A2695" s="1482">
        <f t="shared" si="379"/>
        <v>1.5</v>
      </c>
      <c r="B2695" s="1483" t="str">
        <f t="shared" si="379"/>
        <v>Replacement of ECO coils with gas velocity profiles and erosion control devices for Unit 1 to 6 (U7 middle eco- 69 assemblies, U5&amp;6 middle and lower eco- 65 assemblies each)</v>
      </c>
      <c r="C2695" s="1482" t="str">
        <f t="shared" si="379"/>
        <v>MERC/CAPEX/20102011/01755</v>
      </c>
      <c r="D2695" s="1390">
        <f t="shared" si="379"/>
        <v>40507</v>
      </c>
      <c r="E2695" s="560">
        <f t="shared" si="379"/>
        <v>43.2</v>
      </c>
      <c r="F2695" s="1508">
        <f t="shared" si="380"/>
        <v>56.159367274552196</v>
      </c>
      <c r="G2695" s="1508">
        <f t="shared" si="381"/>
        <v>56.159367274552196</v>
      </c>
      <c r="H2695" s="1508">
        <f t="shared" si="384"/>
        <v>0</v>
      </c>
      <c r="I2695" s="1480">
        <v>0</v>
      </c>
      <c r="J2695" s="1480">
        <v>0</v>
      </c>
      <c r="K2695" s="1508"/>
      <c r="L2695" s="1508"/>
      <c r="M2695" s="1509">
        <f t="shared" si="385"/>
        <v>0</v>
      </c>
      <c r="N2695" s="1508">
        <f t="shared" si="386"/>
        <v>0</v>
      </c>
      <c r="O2695" s="1481">
        <f t="shared" si="382"/>
        <v>0</v>
      </c>
      <c r="P2695" s="1427">
        <f t="shared" si="383"/>
        <v>0</v>
      </c>
    </row>
    <row r="2696" spans="1:16" ht="46.5" outlineLevel="1" x14ac:dyDescent="0.25">
      <c r="A2696" s="1482">
        <f t="shared" si="379"/>
        <v>1.6</v>
      </c>
      <c r="B2696" s="1483" t="str">
        <f t="shared" si="379"/>
        <v>Replacement of LTSH coils with improved tube materials, gas velocity profiles and erosion control devices for unit 3 to 7 (U5&amp;6 LTSH terminal tubes – 58 assemblies)</v>
      </c>
      <c r="C2696" s="1482" t="str">
        <f t="shared" si="379"/>
        <v>MERC/CAPEX/20102011/01755</v>
      </c>
      <c r="D2696" s="1390">
        <f t="shared" si="379"/>
        <v>40507</v>
      </c>
      <c r="E2696" s="560">
        <f t="shared" si="379"/>
        <v>23.4</v>
      </c>
      <c r="F2696" s="1508">
        <f t="shared" si="380"/>
        <v>12.917271588999998</v>
      </c>
      <c r="G2696" s="1508">
        <f t="shared" si="381"/>
        <v>12.917271589</v>
      </c>
      <c r="H2696" s="1508">
        <f t="shared" si="384"/>
        <v>0</v>
      </c>
      <c r="I2696" s="1480">
        <v>0</v>
      </c>
      <c r="J2696" s="1480">
        <v>0</v>
      </c>
      <c r="K2696" s="1508"/>
      <c r="L2696" s="1508"/>
      <c r="M2696" s="1509">
        <f t="shared" si="385"/>
        <v>0</v>
      </c>
      <c r="N2696" s="1508">
        <f t="shared" si="386"/>
        <v>0</v>
      </c>
      <c r="O2696" s="1481">
        <f t="shared" si="382"/>
        <v>0</v>
      </c>
      <c r="P2696" s="1427">
        <f t="shared" si="383"/>
        <v>0</v>
      </c>
    </row>
    <row r="2697" spans="1:16" ht="31" outlineLevel="1" x14ac:dyDescent="0.25">
      <c r="A2697" s="1482">
        <f t="shared" si="379"/>
        <v>1.7</v>
      </c>
      <c r="B2697" s="1483" t="str">
        <f t="shared" si="379"/>
        <v>Replacement of RH platens for Unit 5 &amp; 6 (unit 5- 46 coils, unit 6- 28 coils)</v>
      </c>
      <c r="C2697" s="1482" t="str">
        <f t="shared" si="379"/>
        <v>MERC/CAPEX/20102011/01755</v>
      </c>
      <c r="D2697" s="1390">
        <f t="shared" si="379"/>
        <v>40507</v>
      </c>
      <c r="E2697" s="560">
        <f t="shared" si="379"/>
        <v>27.6</v>
      </c>
      <c r="F2697" s="1508">
        <f t="shared" si="380"/>
        <v>11.3681175</v>
      </c>
      <c r="G2697" s="1508">
        <f t="shared" si="381"/>
        <v>11.3681175</v>
      </c>
      <c r="H2697" s="1508">
        <f t="shared" si="384"/>
        <v>0</v>
      </c>
      <c r="I2697" s="1480">
        <v>0</v>
      </c>
      <c r="J2697" s="1480">
        <v>0</v>
      </c>
      <c r="K2697" s="1508"/>
      <c r="L2697" s="1508"/>
      <c r="M2697" s="1509">
        <f t="shared" si="385"/>
        <v>0</v>
      </c>
      <c r="N2697" s="1508">
        <f t="shared" si="386"/>
        <v>0</v>
      </c>
      <c r="O2697" s="1481">
        <f t="shared" si="382"/>
        <v>0</v>
      </c>
      <c r="P2697" s="1427">
        <f t="shared" si="383"/>
        <v>0</v>
      </c>
    </row>
    <row r="2698" spans="1:16" ht="46.5" outlineLevel="1" x14ac:dyDescent="0.25">
      <c r="A2698" s="1482">
        <f t="shared" si="379"/>
        <v>1.8</v>
      </c>
      <c r="B2698" s="1483" t="str">
        <f t="shared" si="379"/>
        <v>Gas proportioning dampers, flue gas, primary and secondary air dampers should be retrofitted with cold hardened material (SAH dampers- 4 nos)</v>
      </c>
      <c r="C2698" s="1482" t="str">
        <f t="shared" si="379"/>
        <v>MERC/CAPEX/20102011/01755</v>
      </c>
      <c r="D2698" s="1390">
        <f t="shared" si="379"/>
        <v>40507</v>
      </c>
      <c r="E2698" s="560">
        <f t="shared" si="379"/>
        <v>1.43</v>
      </c>
      <c r="F2698" s="1508">
        <f t="shared" si="380"/>
        <v>1.8769309999999999</v>
      </c>
      <c r="G2698" s="1508">
        <f t="shared" si="381"/>
        <v>1.8769309999999999</v>
      </c>
      <c r="H2698" s="1508">
        <f t="shared" si="384"/>
        <v>0</v>
      </c>
      <c r="I2698" s="1480">
        <v>0</v>
      </c>
      <c r="J2698" s="1480">
        <v>0</v>
      </c>
      <c r="K2698" s="1508"/>
      <c r="L2698" s="1508"/>
      <c r="M2698" s="1509">
        <f t="shared" si="385"/>
        <v>0</v>
      </c>
      <c r="N2698" s="1508">
        <f t="shared" si="386"/>
        <v>0</v>
      </c>
      <c r="O2698" s="1481">
        <f t="shared" si="382"/>
        <v>0</v>
      </c>
      <c r="P2698" s="1427">
        <f t="shared" si="383"/>
        <v>0</v>
      </c>
    </row>
    <row r="2699" spans="1:16" ht="93" outlineLevel="1" x14ac:dyDescent="0.25">
      <c r="A2699" s="1484">
        <f t="shared" si="379"/>
        <v>1.9</v>
      </c>
      <c r="B2699" s="1485" t="str">
        <f t="shared" si="379"/>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2699" s="1482" t="str">
        <f t="shared" si="379"/>
        <v>MERC/CAPEX/20102011/01755</v>
      </c>
      <c r="D2699" s="1390">
        <f t="shared" si="379"/>
        <v>40507</v>
      </c>
      <c r="E2699" s="560">
        <f t="shared" si="379"/>
        <v>3.5</v>
      </c>
      <c r="F2699" s="1508">
        <f t="shared" si="380"/>
        <v>4.2488259999999993</v>
      </c>
      <c r="G2699" s="1508">
        <f t="shared" si="381"/>
        <v>4.2488259999999993</v>
      </c>
      <c r="H2699" s="1508">
        <f t="shared" si="384"/>
        <v>0</v>
      </c>
      <c r="I2699" s="1480">
        <v>0</v>
      </c>
      <c r="J2699" s="1480">
        <v>0</v>
      </c>
      <c r="K2699" s="1508"/>
      <c r="L2699" s="1508"/>
      <c r="M2699" s="1509">
        <f t="shared" si="385"/>
        <v>0</v>
      </c>
      <c r="N2699" s="1508">
        <f t="shared" si="386"/>
        <v>0</v>
      </c>
      <c r="O2699" s="1481">
        <f t="shared" si="382"/>
        <v>0</v>
      </c>
      <c r="P2699" s="1427">
        <f t="shared" si="383"/>
        <v>0</v>
      </c>
    </row>
    <row r="2700" spans="1:16" ht="62" outlineLevel="1" x14ac:dyDescent="0.25">
      <c r="A2700" s="1482" t="str">
        <f t="shared" si="379"/>
        <v>1.10</v>
      </c>
      <c r="B2700" s="1483" t="str">
        <f t="shared" si="379"/>
        <v>Reducing the pressure drop across APH in Unit 5, 6 and 7 (CFD analysis and design modification in APH inlet duct, Manufacture and supply and erection of carbide overlay divertet plates – 600 m2</v>
      </c>
      <c r="C2700" s="1482" t="str">
        <f t="shared" si="379"/>
        <v>MERC/CAPEX/20102011/01755</v>
      </c>
      <c r="D2700" s="1390">
        <f t="shared" si="379"/>
        <v>40507</v>
      </c>
      <c r="E2700" s="560">
        <f t="shared" si="379"/>
        <v>2</v>
      </c>
      <c r="F2700" s="1508">
        <f t="shared" si="380"/>
        <v>2.0468280000000001</v>
      </c>
      <c r="G2700" s="1508">
        <f t="shared" si="381"/>
        <v>2.0468280000000001</v>
      </c>
      <c r="H2700" s="1508">
        <f t="shared" si="384"/>
        <v>0</v>
      </c>
      <c r="I2700" s="1480">
        <v>0</v>
      </c>
      <c r="J2700" s="1480">
        <v>0</v>
      </c>
      <c r="K2700" s="1508"/>
      <c r="L2700" s="1508"/>
      <c r="M2700" s="1509">
        <f t="shared" si="385"/>
        <v>0</v>
      </c>
      <c r="N2700" s="1508">
        <f t="shared" si="386"/>
        <v>0</v>
      </c>
      <c r="O2700" s="1481">
        <f t="shared" si="382"/>
        <v>0</v>
      </c>
      <c r="P2700" s="1427">
        <f t="shared" si="383"/>
        <v>0</v>
      </c>
    </row>
    <row r="2701" spans="1:16" ht="15.5" outlineLevel="1" x14ac:dyDescent="0.25">
      <c r="A2701" s="1482">
        <f t="shared" si="379"/>
        <v>1.1100000000000001</v>
      </c>
      <c r="B2701" s="1483" t="str">
        <f t="shared" si="379"/>
        <v>Reducing the pressure drop across ESP</v>
      </c>
      <c r="C2701" s="1482" t="str">
        <f t="shared" si="379"/>
        <v>MERC/CAPEX/20102011/01755</v>
      </c>
      <c r="D2701" s="1390">
        <f t="shared" si="379"/>
        <v>40507</v>
      </c>
      <c r="E2701" s="560">
        <f t="shared" si="379"/>
        <v>0</v>
      </c>
      <c r="F2701" s="1508">
        <f t="shared" si="380"/>
        <v>0</v>
      </c>
      <c r="G2701" s="1508">
        <f t="shared" si="381"/>
        <v>0</v>
      </c>
      <c r="H2701" s="1508">
        <f t="shared" si="384"/>
        <v>0</v>
      </c>
      <c r="I2701" s="1480">
        <v>0</v>
      </c>
      <c r="J2701" s="1480">
        <v>0</v>
      </c>
      <c r="K2701" s="1508"/>
      <c r="L2701" s="1508"/>
      <c r="M2701" s="1509">
        <f t="shared" si="385"/>
        <v>0</v>
      </c>
      <c r="N2701" s="1508">
        <f t="shared" si="386"/>
        <v>0</v>
      </c>
      <c r="O2701" s="1481">
        <f t="shared" si="382"/>
        <v>0</v>
      </c>
      <c r="P2701" s="1427">
        <f t="shared" si="383"/>
        <v>0</v>
      </c>
    </row>
    <row r="2702" spans="1:16" ht="31" outlineLevel="1" x14ac:dyDescent="0.25">
      <c r="A2702" s="1482">
        <f t="shared" si="379"/>
        <v>1.1200000000000001</v>
      </c>
      <c r="B2702" s="1483" t="str">
        <f t="shared" si="379"/>
        <v>Replacement  of CT fan blades from GRP to FRP and resizing the motor to 75 kw</v>
      </c>
      <c r="C2702" s="1482" t="str">
        <f t="shared" si="379"/>
        <v>MERC/CAPEX/20102011/01755</v>
      </c>
      <c r="D2702" s="1390">
        <f t="shared" si="379"/>
        <v>40507</v>
      </c>
      <c r="E2702" s="560">
        <f t="shared" si="379"/>
        <v>2.9129999999999998</v>
      </c>
      <c r="F2702" s="1508">
        <f t="shared" si="380"/>
        <v>1.6187437680000003</v>
      </c>
      <c r="G2702" s="1508">
        <f t="shared" si="381"/>
        <v>1.6187437679999999</v>
      </c>
      <c r="H2702" s="1508">
        <f t="shared" si="384"/>
        <v>0</v>
      </c>
      <c r="I2702" s="1480">
        <v>0</v>
      </c>
      <c r="J2702" s="1480">
        <v>0</v>
      </c>
      <c r="K2702" s="1508"/>
      <c r="L2702" s="1508"/>
      <c r="M2702" s="1509">
        <f t="shared" si="385"/>
        <v>0</v>
      </c>
      <c r="N2702" s="1508">
        <f t="shared" si="386"/>
        <v>0</v>
      </c>
      <c r="O2702" s="1481">
        <f t="shared" si="382"/>
        <v>0</v>
      </c>
      <c r="P2702" s="1427">
        <f t="shared" si="383"/>
        <v>0</v>
      </c>
    </row>
    <row r="2703" spans="1:16" ht="31" outlineLevel="1" x14ac:dyDescent="0.25">
      <c r="A2703" s="1482">
        <f t="shared" si="379"/>
        <v>1.1299999999999999</v>
      </c>
      <c r="B2703" s="1483" t="str">
        <f t="shared" si="379"/>
        <v>Improving the BFP efficiency by overhauling of pump and motors for unit 3 &amp;4</v>
      </c>
      <c r="C2703" s="1482" t="str">
        <f t="shared" si="379"/>
        <v>MERC/CAPEX/20102011/01755</v>
      </c>
      <c r="D2703" s="1390">
        <f t="shared" si="379"/>
        <v>40507</v>
      </c>
      <c r="E2703" s="560">
        <f t="shared" si="379"/>
        <v>15</v>
      </c>
      <c r="F2703" s="1508">
        <f t="shared" si="380"/>
        <v>14.851620102999998</v>
      </c>
      <c r="G2703" s="1508">
        <f t="shared" si="381"/>
        <v>14.851620102999998</v>
      </c>
      <c r="H2703" s="1508">
        <f t="shared" si="384"/>
        <v>0</v>
      </c>
      <c r="I2703" s="1480">
        <v>0</v>
      </c>
      <c r="J2703" s="1480">
        <v>0</v>
      </c>
      <c r="K2703" s="1508"/>
      <c r="L2703" s="1508"/>
      <c r="M2703" s="1509">
        <f t="shared" si="385"/>
        <v>0</v>
      </c>
      <c r="N2703" s="1508">
        <f t="shared" si="386"/>
        <v>0</v>
      </c>
      <c r="O2703" s="1481">
        <f t="shared" si="382"/>
        <v>0</v>
      </c>
      <c r="P2703" s="1427">
        <f t="shared" si="383"/>
        <v>0</v>
      </c>
    </row>
    <row r="2704" spans="1:16" ht="31" outlineLevel="1" x14ac:dyDescent="0.25">
      <c r="A2704" s="1482">
        <f t="shared" si="379"/>
        <v>1.1399999999999999</v>
      </c>
      <c r="B2704" s="1483" t="str">
        <f t="shared" si="379"/>
        <v>During the next capital overhaul, restoration of the steam paths through steam path audits for unit 1 to 7</v>
      </c>
      <c r="C2704" s="1482" t="str">
        <f t="shared" si="379"/>
        <v>MERC/CAPEX/20102011/01755</v>
      </c>
      <c r="D2704" s="1390">
        <f t="shared" si="379"/>
        <v>40507</v>
      </c>
      <c r="E2704" s="560">
        <f t="shared" si="379"/>
        <v>4.6040000000000001</v>
      </c>
      <c r="F2704" s="1508">
        <f t="shared" si="380"/>
        <v>8.9775599999999997E-2</v>
      </c>
      <c r="G2704" s="1508">
        <f t="shared" si="381"/>
        <v>8.9775599999999997E-2</v>
      </c>
      <c r="H2704" s="1508">
        <f t="shared" si="384"/>
        <v>0</v>
      </c>
      <c r="I2704" s="1480">
        <v>0</v>
      </c>
      <c r="J2704" s="1480">
        <v>0</v>
      </c>
      <c r="K2704" s="1508"/>
      <c r="L2704" s="1508"/>
      <c r="M2704" s="1509">
        <f t="shared" si="385"/>
        <v>0</v>
      </c>
      <c r="N2704" s="1508">
        <f t="shared" si="386"/>
        <v>0</v>
      </c>
      <c r="O2704" s="1481">
        <f t="shared" si="382"/>
        <v>0</v>
      </c>
      <c r="P2704" s="1427">
        <f t="shared" si="383"/>
        <v>0</v>
      </c>
    </row>
    <row r="2705" spans="1:16" ht="31" outlineLevel="1" x14ac:dyDescent="0.25">
      <c r="A2705" s="1482">
        <f t="shared" si="379"/>
        <v>1.1499999999999999</v>
      </c>
      <c r="B2705" s="1483" t="str">
        <f t="shared" si="379"/>
        <v>Continuous monitoring system for CO in the furnace and flue gas ducting zone for Unit 3 to 7</v>
      </c>
      <c r="C2705" s="1482" t="str">
        <f t="shared" si="379"/>
        <v>MERC/CAPEX/20102011/01755</v>
      </c>
      <c r="D2705" s="1390">
        <f t="shared" si="379"/>
        <v>40507</v>
      </c>
      <c r="E2705" s="560">
        <f t="shared" si="379"/>
        <v>10.5</v>
      </c>
      <c r="F2705" s="1508">
        <f t="shared" si="380"/>
        <v>0</v>
      </c>
      <c r="G2705" s="1508">
        <f t="shared" si="381"/>
        <v>0</v>
      </c>
      <c r="H2705" s="1508">
        <f t="shared" si="384"/>
        <v>0</v>
      </c>
      <c r="I2705" s="1480">
        <v>0</v>
      </c>
      <c r="J2705" s="1480">
        <v>0</v>
      </c>
      <c r="K2705" s="1508"/>
      <c r="L2705" s="1508"/>
      <c r="M2705" s="1509">
        <f t="shared" si="385"/>
        <v>0</v>
      </c>
      <c r="N2705" s="1508">
        <f t="shared" si="386"/>
        <v>0</v>
      </c>
      <c r="O2705" s="1481">
        <f t="shared" si="382"/>
        <v>0</v>
      </c>
      <c r="P2705" s="1427">
        <f t="shared" si="383"/>
        <v>0</v>
      </c>
    </row>
    <row r="2706" spans="1:16" ht="31" outlineLevel="1" x14ac:dyDescent="0.25">
      <c r="A2706" s="1482">
        <f t="shared" ref="A2706:E2721" si="387">A2036</f>
        <v>1.1599999999999999</v>
      </c>
      <c r="B2706" s="1483" t="str">
        <f t="shared" si="387"/>
        <v>Oxygen measurement must be introduced at APH inlet and after ID fan outlet  for unit 1 to 7</v>
      </c>
      <c r="C2706" s="1482" t="str">
        <f t="shared" si="387"/>
        <v>MERC/CAPEX/20102011/01755</v>
      </c>
      <c r="D2706" s="1390">
        <f t="shared" si="387"/>
        <v>40507</v>
      </c>
      <c r="E2706" s="560">
        <f t="shared" si="387"/>
        <v>4.91</v>
      </c>
      <c r="F2706" s="1508">
        <f t="shared" si="380"/>
        <v>3.543640452</v>
      </c>
      <c r="G2706" s="1508">
        <f t="shared" si="381"/>
        <v>3.543640452</v>
      </c>
      <c r="H2706" s="1508">
        <f t="shared" si="384"/>
        <v>0</v>
      </c>
      <c r="I2706" s="1480">
        <v>0</v>
      </c>
      <c r="J2706" s="1480">
        <v>0</v>
      </c>
      <c r="K2706" s="1508"/>
      <c r="L2706" s="1508"/>
      <c r="M2706" s="1509">
        <f t="shared" si="385"/>
        <v>0</v>
      </c>
      <c r="N2706" s="1508">
        <f t="shared" si="386"/>
        <v>0</v>
      </c>
      <c r="O2706" s="1481">
        <f t="shared" si="382"/>
        <v>0</v>
      </c>
      <c r="P2706" s="1427">
        <f t="shared" si="383"/>
        <v>0</v>
      </c>
    </row>
    <row r="2707" spans="1:16" ht="15.5" outlineLevel="1" x14ac:dyDescent="0.25">
      <c r="A2707" s="1482">
        <f t="shared" si="387"/>
        <v>0</v>
      </c>
      <c r="B2707" s="1483" t="str">
        <f t="shared" si="387"/>
        <v>IDC</v>
      </c>
      <c r="C2707" s="1482" t="str">
        <f t="shared" si="387"/>
        <v>MERC/CAPEX/20102011/01755</v>
      </c>
      <c r="D2707" s="1390">
        <f t="shared" si="387"/>
        <v>40507</v>
      </c>
      <c r="E2707" s="560">
        <f t="shared" si="387"/>
        <v>10.09</v>
      </c>
      <c r="F2707" s="1508">
        <f t="shared" si="380"/>
        <v>0</v>
      </c>
      <c r="G2707" s="1508">
        <f t="shared" si="381"/>
        <v>0</v>
      </c>
      <c r="H2707" s="1508">
        <f t="shared" si="384"/>
        <v>0</v>
      </c>
      <c r="I2707" s="1480">
        <v>0</v>
      </c>
      <c r="J2707" s="1480">
        <v>0</v>
      </c>
      <c r="K2707" s="1508"/>
      <c r="L2707" s="1508"/>
      <c r="M2707" s="1509">
        <f t="shared" si="385"/>
        <v>0</v>
      </c>
      <c r="N2707" s="1508">
        <f t="shared" si="386"/>
        <v>0</v>
      </c>
      <c r="O2707" s="1481">
        <f t="shared" si="382"/>
        <v>0</v>
      </c>
      <c r="P2707" s="1427">
        <f t="shared" si="383"/>
        <v>0</v>
      </c>
    </row>
    <row r="2708" spans="1:16" ht="15.5" outlineLevel="1" x14ac:dyDescent="0.25">
      <c r="A2708" s="1477">
        <f t="shared" si="387"/>
        <v>2</v>
      </c>
      <c r="B2708" s="1478" t="str">
        <f t="shared" si="387"/>
        <v>Input source Measurement</v>
      </c>
      <c r="C2708" s="1486" t="str">
        <f t="shared" si="387"/>
        <v>MERC/CAPEX/20112012/00925</v>
      </c>
      <c r="D2708" s="1487">
        <f t="shared" si="387"/>
        <v>40730</v>
      </c>
      <c r="E2708" s="1383">
        <f t="shared" si="387"/>
        <v>20.990099999999998</v>
      </c>
      <c r="F2708" s="1480">
        <f t="shared" si="380"/>
        <v>0</v>
      </c>
      <c r="G2708" s="1480">
        <f t="shared" si="381"/>
        <v>0</v>
      </c>
      <c r="H2708" s="1480">
        <f t="shared" si="384"/>
        <v>0</v>
      </c>
      <c r="I2708" s="1480">
        <v>0</v>
      </c>
      <c r="J2708" s="1480">
        <v>0</v>
      </c>
      <c r="K2708" s="1480"/>
      <c r="L2708" s="1480"/>
      <c r="M2708" s="1480">
        <f t="shared" si="385"/>
        <v>0</v>
      </c>
      <c r="N2708" s="1480">
        <f t="shared" si="386"/>
        <v>0</v>
      </c>
      <c r="O2708" s="1481">
        <f t="shared" si="382"/>
        <v>0</v>
      </c>
      <c r="P2708" s="1427">
        <f t="shared" si="383"/>
        <v>0</v>
      </c>
    </row>
    <row r="2709" spans="1:16" ht="46.5" outlineLevel="1" x14ac:dyDescent="0.25">
      <c r="A2709" s="1482">
        <f t="shared" si="387"/>
        <v>2.1</v>
      </c>
      <c r="B2709" s="1483" t="str">
        <f t="shared" si="387"/>
        <v>Installation of Guided wave radar type level indicators for all fuel oil tanks of unit-1 to 7 DTFA 15 tanks and MTFA 15 tanks (total 30 tanks)</v>
      </c>
      <c r="C2709" s="1482" t="str">
        <f t="shared" si="387"/>
        <v>MERC/CAPEX/20112012/00925</v>
      </c>
      <c r="D2709" s="1390">
        <f t="shared" si="387"/>
        <v>40730</v>
      </c>
      <c r="E2709" s="560">
        <f t="shared" si="387"/>
        <v>1.0398000000000001</v>
      </c>
      <c r="F2709" s="1508">
        <f t="shared" si="380"/>
        <v>0.70700000000000007</v>
      </c>
      <c r="G2709" s="1508">
        <f t="shared" si="381"/>
        <v>0.70700000000000007</v>
      </c>
      <c r="H2709" s="1508">
        <f t="shared" si="384"/>
        <v>0</v>
      </c>
      <c r="I2709" s="1480">
        <v>0</v>
      </c>
      <c r="J2709" s="1480">
        <v>0</v>
      </c>
      <c r="K2709" s="1508"/>
      <c r="L2709" s="1508"/>
      <c r="M2709" s="1509">
        <f t="shared" si="385"/>
        <v>0</v>
      </c>
      <c r="N2709" s="1508">
        <f t="shared" si="386"/>
        <v>0</v>
      </c>
      <c r="O2709" s="1481">
        <f t="shared" si="382"/>
        <v>0</v>
      </c>
      <c r="P2709" s="1427">
        <f t="shared" si="383"/>
        <v>0</v>
      </c>
    </row>
    <row r="2710" spans="1:16" ht="31" outlineLevel="1" x14ac:dyDescent="0.25">
      <c r="A2710" s="1482">
        <f t="shared" si="387"/>
        <v>2.2000000000000002</v>
      </c>
      <c r="B2710" s="1483" t="str">
        <f t="shared" si="387"/>
        <v>Installation of mass based oil flow meters with provision for continuous digital transfer (20 transmitters)</v>
      </c>
      <c r="C2710" s="1482" t="str">
        <f t="shared" si="387"/>
        <v>MERC/CAPEX/20112012/00925</v>
      </c>
      <c r="D2710" s="1390">
        <f t="shared" si="387"/>
        <v>40730</v>
      </c>
      <c r="E2710" s="560">
        <f t="shared" si="387"/>
        <v>3.1379999999999999</v>
      </c>
      <c r="F2710" s="1508">
        <f t="shared" si="380"/>
        <v>0</v>
      </c>
      <c r="G2710" s="1508">
        <f t="shared" si="381"/>
        <v>0</v>
      </c>
      <c r="H2710" s="1508">
        <f t="shared" si="384"/>
        <v>0</v>
      </c>
      <c r="I2710" s="1480">
        <v>0</v>
      </c>
      <c r="J2710" s="1480">
        <v>0</v>
      </c>
      <c r="K2710" s="1508"/>
      <c r="L2710" s="1508"/>
      <c r="M2710" s="1509">
        <f t="shared" si="385"/>
        <v>0</v>
      </c>
      <c r="N2710" s="1508">
        <f t="shared" si="386"/>
        <v>0</v>
      </c>
      <c r="O2710" s="1481">
        <f t="shared" si="382"/>
        <v>0</v>
      </c>
      <c r="P2710" s="1427">
        <f t="shared" si="383"/>
        <v>0</v>
      </c>
    </row>
    <row r="2711" spans="1:16" ht="31" outlineLevel="1" x14ac:dyDescent="0.25">
      <c r="A2711" s="1482">
        <f t="shared" si="387"/>
        <v>2.2999999999999998</v>
      </c>
      <c r="B2711" s="1483" t="str">
        <f t="shared" si="387"/>
        <v>Installation of 54 Nos. of ultrasonic type Flow measurement transmitters for water consumption monitoring</v>
      </c>
      <c r="C2711" s="1482" t="str">
        <f t="shared" si="387"/>
        <v>MERC/CAPEX/20112012/00925</v>
      </c>
      <c r="D2711" s="1390">
        <f t="shared" si="387"/>
        <v>40730</v>
      </c>
      <c r="E2711" s="560">
        <f t="shared" si="387"/>
        <v>3.0657000000000001</v>
      </c>
      <c r="F2711" s="1508">
        <f t="shared" si="380"/>
        <v>1.7642598999999999</v>
      </c>
      <c r="G2711" s="1508">
        <f t="shared" si="381"/>
        <v>1.7642598999999999</v>
      </c>
      <c r="H2711" s="1508">
        <f t="shared" si="384"/>
        <v>0</v>
      </c>
      <c r="I2711" s="1480">
        <v>0</v>
      </c>
      <c r="J2711" s="1480">
        <v>0</v>
      </c>
      <c r="K2711" s="1508"/>
      <c r="L2711" s="1508"/>
      <c r="M2711" s="1509">
        <f t="shared" si="385"/>
        <v>0</v>
      </c>
      <c r="N2711" s="1508">
        <f t="shared" si="386"/>
        <v>0</v>
      </c>
      <c r="O2711" s="1481">
        <f t="shared" si="382"/>
        <v>0</v>
      </c>
      <c r="P2711" s="1427">
        <f t="shared" si="383"/>
        <v>0</v>
      </c>
    </row>
    <row r="2712" spans="1:16" ht="31" outlineLevel="1" x14ac:dyDescent="0.25">
      <c r="A2712" s="1482">
        <f t="shared" si="387"/>
        <v>2.4</v>
      </c>
      <c r="B2712" s="1483" t="str">
        <f t="shared" si="387"/>
        <v>Trivector Meters for Auxiliary power measurement of GT (7 Nos).</v>
      </c>
      <c r="C2712" s="1488" t="str">
        <f t="shared" si="387"/>
        <v>MERC/CAPEX/20112012/00925</v>
      </c>
      <c r="D2712" s="1413">
        <f t="shared" si="387"/>
        <v>40730</v>
      </c>
      <c r="E2712" s="560">
        <f t="shared" si="387"/>
        <v>2.1100000000000001E-2</v>
      </c>
      <c r="F2712" s="1508">
        <f t="shared" si="380"/>
        <v>0</v>
      </c>
      <c r="G2712" s="1508">
        <f t="shared" si="381"/>
        <v>0</v>
      </c>
      <c r="H2712" s="1508">
        <f t="shared" si="384"/>
        <v>0</v>
      </c>
      <c r="I2712" s="1480">
        <v>0</v>
      </c>
      <c r="J2712" s="1480">
        <v>0</v>
      </c>
      <c r="K2712" s="1508"/>
      <c r="L2712" s="1508"/>
      <c r="M2712" s="1509">
        <f t="shared" si="385"/>
        <v>0</v>
      </c>
      <c r="N2712" s="1508">
        <f t="shared" si="386"/>
        <v>0</v>
      </c>
      <c r="O2712" s="1481">
        <f t="shared" si="382"/>
        <v>0</v>
      </c>
      <c r="P2712" s="1427">
        <f t="shared" si="383"/>
        <v>0</v>
      </c>
    </row>
    <row r="2713" spans="1:16" ht="31" outlineLevel="1" x14ac:dyDescent="0.25">
      <c r="A2713" s="1482">
        <f t="shared" si="387"/>
        <v>2.5</v>
      </c>
      <c r="B2713" s="1483" t="str">
        <f t="shared" si="387"/>
        <v>Standard Meters for Auxiliary power measurement for sp. Consumption of Auxiliary transformer, Limbs and auxiliaries.</v>
      </c>
      <c r="C2713" s="1482" t="str">
        <f t="shared" si="387"/>
        <v>MERC/CAPEX/20112012/00925</v>
      </c>
      <c r="D2713" s="1390">
        <f t="shared" si="387"/>
        <v>40730</v>
      </c>
      <c r="E2713" s="560">
        <f t="shared" si="387"/>
        <v>0.49540000000000001</v>
      </c>
      <c r="F2713" s="1508">
        <f t="shared" si="380"/>
        <v>0.29783999999999999</v>
      </c>
      <c r="G2713" s="1508">
        <f t="shared" si="381"/>
        <v>0.29783999999999999</v>
      </c>
      <c r="H2713" s="1508">
        <f t="shared" si="384"/>
        <v>0</v>
      </c>
      <c r="I2713" s="1480">
        <v>0</v>
      </c>
      <c r="J2713" s="1480">
        <v>0</v>
      </c>
      <c r="K2713" s="1508"/>
      <c r="L2713" s="1508"/>
      <c r="M2713" s="1509">
        <f t="shared" si="385"/>
        <v>0</v>
      </c>
      <c r="N2713" s="1508">
        <f t="shared" si="386"/>
        <v>0</v>
      </c>
      <c r="O2713" s="1481">
        <f t="shared" si="382"/>
        <v>0</v>
      </c>
      <c r="P2713" s="1427">
        <f t="shared" si="383"/>
        <v>0</v>
      </c>
    </row>
    <row r="2714" spans="1:16" ht="15.5" outlineLevel="1" x14ac:dyDescent="0.25">
      <c r="A2714" s="1482">
        <f t="shared" si="387"/>
        <v>2.6</v>
      </c>
      <c r="B2714" s="1483" t="str">
        <f t="shared" si="387"/>
        <v>Belt weighers (28 Nos.)</v>
      </c>
      <c r="C2714" s="1482" t="str">
        <f t="shared" si="387"/>
        <v>MERC/CAPEX/20112012/00925</v>
      </c>
      <c r="D2714" s="1390">
        <f t="shared" si="387"/>
        <v>40730</v>
      </c>
      <c r="E2714" s="560">
        <f t="shared" si="387"/>
        <v>3.3195999999999999</v>
      </c>
      <c r="F2714" s="1508">
        <f t="shared" si="380"/>
        <v>0</v>
      </c>
      <c r="G2714" s="1508">
        <f t="shared" si="381"/>
        <v>0</v>
      </c>
      <c r="H2714" s="1508">
        <f t="shared" si="384"/>
        <v>0</v>
      </c>
      <c r="I2714" s="1480">
        <v>0</v>
      </c>
      <c r="J2714" s="1480">
        <v>0</v>
      </c>
      <c r="K2714" s="1508"/>
      <c r="L2714" s="1508"/>
      <c r="M2714" s="1509">
        <f t="shared" si="385"/>
        <v>0</v>
      </c>
      <c r="N2714" s="1508">
        <f t="shared" si="386"/>
        <v>0</v>
      </c>
      <c r="O2714" s="1481">
        <f t="shared" si="382"/>
        <v>0</v>
      </c>
      <c r="P2714" s="1427">
        <f t="shared" si="383"/>
        <v>0</v>
      </c>
    </row>
    <row r="2715" spans="1:16" ht="15.5" outlineLevel="1" x14ac:dyDescent="0.25">
      <c r="A2715" s="1482">
        <f t="shared" si="387"/>
        <v>2.7</v>
      </c>
      <c r="B2715" s="1483" t="str">
        <f t="shared" si="387"/>
        <v>In motion weigh bridge (10 Nos).</v>
      </c>
      <c r="C2715" s="1482" t="str">
        <f t="shared" si="387"/>
        <v>MERC/CAPEX/20112012/00925</v>
      </c>
      <c r="D2715" s="1390">
        <f t="shared" si="387"/>
        <v>40730</v>
      </c>
      <c r="E2715" s="560">
        <f t="shared" si="387"/>
        <v>4.5396000000000001</v>
      </c>
      <c r="F2715" s="1508">
        <f t="shared" si="380"/>
        <v>0.19084200000000001</v>
      </c>
      <c r="G2715" s="1508">
        <f t="shared" si="381"/>
        <v>0.19084200000000001</v>
      </c>
      <c r="H2715" s="1508">
        <f t="shared" si="384"/>
        <v>0</v>
      </c>
      <c r="I2715" s="1480">
        <v>0</v>
      </c>
      <c r="J2715" s="1480">
        <v>0</v>
      </c>
      <c r="K2715" s="1508"/>
      <c r="L2715" s="1508"/>
      <c r="M2715" s="1509">
        <f t="shared" si="385"/>
        <v>0</v>
      </c>
      <c r="N2715" s="1508">
        <f t="shared" si="386"/>
        <v>0</v>
      </c>
      <c r="O2715" s="1481">
        <f t="shared" si="382"/>
        <v>0</v>
      </c>
      <c r="P2715" s="1427">
        <f t="shared" si="383"/>
        <v>0</v>
      </c>
    </row>
    <row r="2716" spans="1:16" ht="15.5" outlineLevel="1" x14ac:dyDescent="0.25">
      <c r="A2716" s="1482">
        <f t="shared" si="387"/>
        <v>2.8</v>
      </c>
      <c r="B2716" s="1483" t="str">
        <f t="shared" si="387"/>
        <v>Bunker level transmitters (50 Nos.)</v>
      </c>
      <c r="C2716" s="1482" t="str">
        <f t="shared" si="387"/>
        <v>MERC/CAPEX/20112012/00925</v>
      </c>
      <c r="D2716" s="1390">
        <f t="shared" si="387"/>
        <v>40730</v>
      </c>
      <c r="E2716" s="560">
        <f t="shared" si="387"/>
        <v>2.5285000000000002</v>
      </c>
      <c r="F2716" s="1508">
        <f t="shared" si="380"/>
        <v>0</v>
      </c>
      <c r="G2716" s="1508">
        <f t="shared" si="381"/>
        <v>0</v>
      </c>
      <c r="H2716" s="1508">
        <f t="shared" si="384"/>
        <v>0</v>
      </c>
      <c r="I2716" s="1480">
        <v>0</v>
      </c>
      <c r="J2716" s="1480">
        <v>0</v>
      </c>
      <c r="K2716" s="1508"/>
      <c r="L2716" s="1508"/>
      <c r="M2716" s="1509">
        <f t="shared" si="385"/>
        <v>0</v>
      </c>
      <c r="N2716" s="1508">
        <f t="shared" si="386"/>
        <v>0</v>
      </c>
      <c r="O2716" s="1481">
        <f t="shared" si="382"/>
        <v>0</v>
      </c>
      <c r="P2716" s="1427">
        <f t="shared" si="383"/>
        <v>0</v>
      </c>
    </row>
    <row r="2717" spans="1:16" ht="15.5" outlineLevel="1" x14ac:dyDescent="0.25">
      <c r="A2717" s="1482">
        <f t="shared" si="387"/>
        <v>2.9</v>
      </c>
      <c r="B2717" s="1483" t="str">
        <f t="shared" si="387"/>
        <v>Flap Gate sensors (120 Nos.)</v>
      </c>
      <c r="C2717" s="1482" t="str">
        <f t="shared" si="387"/>
        <v>MERC/CAPEX/20112012/00925</v>
      </c>
      <c r="D2717" s="1390">
        <f t="shared" si="387"/>
        <v>40730</v>
      </c>
      <c r="E2717" s="560">
        <f t="shared" si="387"/>
        <v>0.1225</v>
      </c>
      <c r="F2717" s="1508">
        <f t="shared" si="380"/>
        <v>0</v>
      </c>
      <c r="G2717" s="1508">
        <f t="shared" si="381"/>
        <v>0</v>
      </c>
      <c r="H2717" s="1508">
        <f t="shared" si="384"/>
        <v>0</v>
      </c>
      <c r="I2717" s="1480">
        <v>0</v>
      </c>
      <c r="J2717" s="1480">
        <v>0</v>
      </c>
      <c r="K2717" s="1508"/>
      <c r="L2717" s="1508"/>
      <c r="M2717" s="1509">
        <f t="shared" si="385"/>
        <v>0</v>
      </c>
      <c r="N2717" s="1508">
        <f t="shared" si="386"/>
        <v>0</v>
      </c>
      <c r="O2717" s="1481">
        <f t="shared" si="382"/>
        <v>0</v>
      </c>
      <c r="P2717" s="1427">
        <f t="shared" si="383"/>
        <v>0</v>
      </c>
    </row>
    <row r="2718" spans="1:16" ht="15.5" outlineLevel="1" x14ac:dyDescent="0.25">
      <c r="A2718" s="1482" t="str">
        <f t="shared" si="387"/>
        <v>2.10</v>
      </c>
      <c r="B2718" s="1483" t="str">
        <f t="shared" si="387"/>
        <v>PLC (20 Nos)</v>
      </c>
      <c r="C2718" s="1482" t="str">
        <f t="shared" si="387"/>
        <v>MERC/CAPEX/20112012/00925</v>
      </c>
      <c r="D2718" s="1390">
        <f t="shared" si="387"/>
        <v>40730</v>
      </c>
      <c r="E2718" s="560">
        <f t="shared" si="387"/>
        <v>0.5333</v>
      </c>
      <c r="F2718" s="1508">
        <f t="shared" si="380"/>
        <v>0</v>
      </c>
      <c r="G2718" s="1508">
        <f t="shared" si="381"/>
        <v>0</v>
      </c>
      <c r="H2718" s="1508">
        <f t="shared" si="384"/>
        <v>0</v>
      </c>
      <c r="I2718" s="1480">
        <v>0</v>
      </c>
      <c r="J2718" s="1480">
        <v>0</v>
      </c>
      <c r="K2718" s="1508"/>
      <c r="L2718" s="1508"/>
      <c r="M2718" s="1509">
        <f t="shared" si="385"/>
        <v>0</v>
      </c>
      <c r="N2718" s="1508">
        <f t="shared" si="386"/>
        <v>0</v>
      </c>
      <c r="O2718" s="1481">
        <f t="shared" si="382"/>
        <v>0</v>
      </c>
      <c r="P2718" s="1427">
        <f t="shared" si="383"/>
        <v>0</v>
      </c>
    </row>
    <row r="2719" spans="1:16" ht="15.5" outlineLevel="1" x14ac:dyDescent="0.25">
      <c r="A2719" s="1482">
        <f t="shared" si="387"/>
        <v>2.11</v>
      </c>
      <c r="B2719" s="1483" t="str">
        <f t="shared" si="387"/>
        <v>Cables (20,000 meters estimated)</v>
      </c>
      <c r="C2719" s="1482" t="str">
        <f t="shared" si="387"/>
        <v>MERC/CAPEX/20112012/00925</v>
      </c>
      <c r="D2719" s="1390">
        <f t="shared" si="387"/>
        <v>40730</v>
      </c>
      <c r="E2719" s="560">
        <f t="shared" si="387"/>
        <v>1.0216000000000001</v>
      </c>
      <c r="F2719" s="1508">
        <f t="shared" si="380"/>
        <v>0</v>
      </c>
      <c r="G2719" s="1508">
        <f t="shared" si="381"/>
        <v>0</v>
      </c>
      <c r="H2719" s="1508">
        <f t="shared" si="384"/>
        <v>0</v>
      </c>
      <c r="I2719" s="1480">
        <v>0</v>
      </c>
      <c r="J2719" s="1480">
        <v>0</v>
      </c>
      <c r="K2719" s="1508"/>
      <c r="L2719" s="1508"/>
      <c r="M2719" s="1509">
        <f t="shared" si="385"/>
        <v>0</v>
      </c>
      <c r="N2719" s="1508">
        <f t="shared" si="386"/>
        <v>0</v>
      </c>
      <c r="O2719" s="1481">
        <f t="shared" si="382"/>
        <v>0</v>
      </c>
      <c r="P2719" s="1427">
        <f t="shared" si="383"/>
        <v>0</v>
      </c>
    </row>
    <row r="2720" spans="1:16" ht="15.5" outlineLevel="1" x14ac:dyDescent="0.25">
      <c r="A2720" s="1482">
        <f t="shared" si="387"/>
        <v>0</v>
      </c>
      <c r="B2720" s="1483" t="str">
        <f t="shared" si="387"/>
        <v>IDC</v>
      </c>
      <c r="C2720" s="1482" t="str">
        <f t="shared" si="387"/>
        <v>MERC/CAPEX/20112012/00925</v>
      </c>
      <c r="D2720" s="1390">
        <f t="shared" si="387"/>
        <v>40730</v>
      </c>
      <c r="E2720" s="560">
        <f t="shared" si="387"/>
        <v>1.165</v>
      </c>
      <c r="F2720" s="1508">
        <f t="shared" si="380"/>
        <v>0</v>
      </c>
      <c r="G2720" s="1508">
        <f t="shared" si="381"/>
        <v>0</v>
      </c>
      <c r="H2720" s="1508">
        <f t="shared" si="384"/>
        <v>0</v>
      </c>
      <c r="I2720" s="1480">
        <v>0</v>
      </c>
      <c r="J2720" s="1480">
        <v>0</v>
      </c>
      <c r="K2720" s="1508"/>
      <c r="L2720" s="1508"/>
      <c r="M2720" s="1509">
        <f t="shared" si="385"/>
        <v>0</v>
      </c>
      <c r="N2720" s="1508">
        <f t="shared" si="386"/>
        <v>0</v>
      </c>
      <c r="O2720" s="1481">
        <f t="shared" si="382"/>
        <v>0</v>
      </c>
      <c r="P2720" s="1427">
        <f t="shared" si="383"/>
        <v>0</v>
      </c>
    </row>
    <row r="2721" spans="1:16" ht="15.5" outlineLevel="1" x14ac:dyDescent="0.25">
      <c r="A2721" s="1489">
        <f t="shared" si="387"/>
        <v>3</v>
      </c>
      <c r="B2721" s="1490" t="str">
        <f t="shared" si="387"/>
        <v>ESP Restoration/Refurbishment</v>
      </c>
      <c r="C2721" s="1477" t="str">
        <f t="shared" si="387"/>
        <v>MERC/CAPEX/20112012/00939</v>
      </c>
      <c r="D2721" s="1479">
        <f t="shared" si="387"/>
        <v>40731</v>
      </c>
      <c r="E2721" s="1383">
        <f t="shared" si="387"/>
        <v>53.989999999999995</v>
      </c>
      <c r="F2721" s="1480">
        <f t="shared" si="380"/>
        <v>0</v>
      </c>
      <c r="G2721" s="1480">
        <f t="shared" si="381"/>
        <v>0</v>
      </c>
      <c r="H2721" s="1480">
        <f t="shared" si="384"/>
        <v>0</v>
      </c>
      <c r="I2721" s="1480">
        <v>0</v>
      </c>
      <c r="J2721" s="1480">
        <v>0</v>
      </c>
      <c r="K2721" s="1480"/>
      <c r="L2721" s="1480"/>
      <c r="M2721" s="1480">
        <f t="shared" si="385"/>
        <v>0</v>
      </c>
      <c r="N2721" s="1480">
        <f t="shared" si="386"/>
        <v>0</v>
      </c>
      <c r="O2721" s="1481">
        <f t="shared" si="382"/>
        <v>0</v>
      </c>
      <c r="P2721" s="1427">
        <f t="shared" si="383"/>
        <v>0</v>
      </c>
    </row>
    <row r="2722" spans="1:16" ht="31" outlineLevel="1" x14ac:dyDescent="0.25">
      <c r="A2722" s="1484">
        <f t="shared" ref="A2722:E2737" si="388">A2052</f>
        <v>3.1</v>
      </c>
      <c r="B2722" s="1485" t="str">
        <f t="shared" si="388"/>
        <v xml:space="preserve">Replacement of all emitting coils and collecting plates of U#5 ESP of all four pass of field 2nd, 3rd &amp; 4th </v>
      </c>
      <c r="C2722" s="1482" t="str">
        <f t="shared" si="388"/>
        <v>MERC/CAPEX/20112012/00939</v>
      </c>
      <c r="D2722" s="1390">
        <f t="shared" si="388"/>
        <v>40731</v>
      </c>
      <c r="E2722" s="560">
        <f t="shared" si="388"/>
        <v>11.7</v>
      </c>
      <c r="F2722" s="1508">
        <f t="shared" si="380"/>
        <v>8.6202149769999998</v>
      </c>
      <c r="G2722" s="1508">
        <f t="shared" si="381"/>
        <v>8.6202149769999998</v>
      </c>
      <c r="H2722" s="1508">
        <f t="shared" si="384"/>
        <v>0</v>
      </c>
      <c r="I2722" s="1480">
        <v>0</v>
      </c>
      <c r="J2722" s="1480">
        <v>0</v>
      </c>
      <c r="K2722" s="1508"/>
      <c r="L2722" s="1508"/>
      <c r="M2722" s="1509">
        <f t="shared" si="385"/>
        <v>0</v>
      </c>
      <c r="N2722" s="1508">
        <f t="shared" si="386"/>
        <v>0</v>
      </c>
      <c r="O2722" s="1481">
        <f t="shared" si="382"/>
        <v>0</v>
      </c>
      <c r="P2722" s="1427">
        <f t="shared" si="383"/>
        <v>0</v>
      </c>
    </row>
    <row r="2723" spans="1:16" ht="31" outlineLevel="1" x14ac:dyDescent="0.25">
      <c r="A2723" s="1484">
        <f t="shared" si="388"/>
        <v>3.2</v>
      </c>
      <c r="B2723" s="1485" t="str">
        <f t="shared" si="388"/>
        <v>Replacement of all emitting coils and collecting plates of all four pass of field 1 to 4, U#6 ESP</v>
      </c>
      <c r="C2723" s="1482" t="str">
        <f t="shared" si="388"/>
        <v>MERC/CAPEX/20112012/00939</v>
      </c>
      <c r="D2723" s="1390">
        <f t="shared" si="388"/>
        <v>40731</v>
      </c>
      <c r="E2723" s="560">
        <f t="shared" si="388"/>
        <v>15.6</v>
      </c>
      <c r="F2723" s="1508">
        <f t="shared" si="380"/>
        <v>12.555251865000001</v>
      </c>
      <c r="G2723" s="1508">
        <f t="shared" si="381"/>
        <v>12.555251865000001</v>
      </c>
      <c r="H2723" s="1508">
        <f t="shared" si="384"/>
        <v>0</v>
      </c>
      <c r="I2723" s="1480">
        <v>0</v>
      </c>
      <c r="J2723" s="1480">
        <v>0</v>
      </c>
      <c r="K2723" s="1508"/>
      <c r="L2723" s="1508"/>
      <c r="M2723" s="1509">
        <f t="shared" si="385"/>
        <v>0</v>
      </c>
      <c r="N2723" s="1508">
        <f t="shared" si="386"/>
        <v>0</v>
      </c>
      <c r="O2723" s="1481">
        <f t="shared" si="382"/>
        <v>0</v>
      </c>
      <c r="P2723" s="1427">
        <f t="shared" si="383"/>
        <v>0</v>
      </c>
    </row>
    <row r="2724" spans="1:16" ht="31" outlineLevel="1" x14ac:dyDescent="0.25">
      <c r="A2724" s="1484">
        <f t="shared" si="388"/>
        <v>3.3</v>
      </c>
      <c r="B2724" s="1485" t="str">
        <f t="shared" si="388"/>
        <v xml:space="preserve">Replacement of all emitting coils and collecting plates of all four pass of field 1 to 4, U#7 ESP </v>
      </c>
      <c r="C2724" s="1482" t="str">
        <f t="shared" si="388"/>
        <v>MERC/CAPEX/20112012/00939</v>
      </c>
      <c r="D2724" s="1390">
        <f t="shared" si="388"/>
        <v>40731</v>
      </c>
      <c r="E2724" s="560">
        <f t="shared" si="388"/>
        <v>16.02</v>
      </c>
      <c r="F2724" s="1508">
        <f t="shared" si="380"/>
        <v>13.189855725000001</v>
      </c>
      <c r="G2724" s="1508">
        <f t="shared" si="381"/>
        <v>13.085278921</v>
      </c>
      <c r="H2724" s="1508">
        <f t="shared" si="384"/>
        <v>0.10457680400000058</v>
      </c>
      <c r="I2724" s="1480">
        <v>0</v>
      </c>
      <c r="J2724" s="1480">
        <v>0</v>
      </c>
      <c r="K2724" s="1508"/>
      <c r="L2724" s="1508"/>
      <c r="M2724" s="1509">
        <f t="shared" si="385"/>
        <v>0</v>
      </c>
      <c r="N2724" s="1508">
        <f t="shared" si="386"/>
        <v>0.10457680400000058</v>
      </c>
      <c r="O2724" s="1481">
        <f t="shared" si="382"/>
        <v>0</v>
      </c>
      <c r="P2724" s="1427">
        <f t="shared" si="383"/>
        <v>0</v>
      </c>
    </row>
    <row r="2725" spans="1:16" ht="31" outlineLevel="1" x14ac:dyDescent="0.25">
      <c r="A2725" s="1484">
        <f t="shared" si="388"/>
        <v>3.4</v>
      </c>
      <c r="B2725" s="1485" t="str">
        <f t="shared" si="388"/>
        <v>Ash evacuation system on existing dummy hoppers of Flue gas duct from APH outlet to ESP inlet of U#5 &amp; 6.</v>
      </c>
      <c r="C2725" s="1482" t="str">
        <f t="shared" si="388"/>
        <v>MERC/CAPEX/20112012/00939</v>
      </c>
      <c r="D2725" s="1390">
        <f t="shared" si="388"/>
        <v>40731</v>
      </c>
      <c r="E2725" s="560">
        <f t="shared" si="388"/>
        <v>0.95</v>
      </c>
      <c r="F2725" s="1508">
        <f t="shared" si="380"/>
        <v>0.92199359999999997</v>
      </c>
      <c r="G2725" s="1508">
        <f t="shared" si="381"/>
        <v>0.92199359999999997</v>
      </c>
      <c r="H2725" s="1508">
        <f t="shared" si="384"/>
        <v>0</v>
      </c>
      <c r="I2725" s="1480">
        <v>0</v>
      </c>
      <c r="J2725" s="1480">
        <v>0</v>
      </c>
      <c r="K2725" s="1508"/>
      <c r="L2725" s="1508"/>
      <c r="M2725" s="1509">
        <f t="shared" si="385"/>
        <v>0</v>
      </c>
      <c r="N2725" s="1508">
        <f t="shared" si="386"/>
        <v>0</v>
      </c>
      <c r="O2725" s="1481">
        <f t="shared" si="382"/>
        <v>0</v>
      </c>
      <c r="P2725" s="1427">
        <f t="shared" si="383"/>
        <v>0</v>
      </c>
    </row>
    <row r="2726" spans="1:16" ht="15.5" outlineLevel="1" x14ac:dyDescent="0.25">
      <c r="A2726" s="1484">
        <f t="shared" si="388"/>
        <v>0</v>
      </c>
      <c r="B2726" s="1485" t="str">
        <f t="shared" si="388"/>
        <v>IDC</v>
      </c>
      <c r="C2726" s="1482" t="str">
        <f t="shared" si="388"/>
        <v>MERC/CAPEX/20112012/00939</v>
      </c>
      <c r="D2726" s="1390">
        <f t="shared" si="388"/>
        <v>40731</v>
      </c>
      <c r="E2726" s="560">
        <f t="shared" si="388"/>
        <v>9.7200000000000006</v>
      </c>
      <c r="F2726" s="1508">
        <f t="shared" si="380"/>
        <v>3.8649799999999998E-2</v>
      </c>
      <c r="G2726" s="1508">
        <f t="shared" si="381"/>
        <v>3.8649799999999998E-2</v>
      </c>
      <c r="H2726" s="1508">
        <f t="shared" si="384"/>
        <v>0</v>
      </c>
      <c r="I2726" s="1480">
        <v>0</v>
      </c>
      <c r="J2726" s="1480">
        <v>0</v>
      </c>
      <c r="K2726" s="1508"/>
      <c r="L2726" s="1508"/>
      <c r="M2726" s="1509">
        <f t="shared" si="385"/>
        <v>0</v>
      </c>
      <c r="N2726" s="1508">
        <f t="shared" si="386"/>
        <v>0</v>
      </c>
      <c r="O2726" s="1481">
        <f t="shared" si="382"/>
        <v>0</v>
      </c>
      <c r="P2726" s="1427">
        <f t="shared" si="383"/>
        <v>0</v>
      </c>
    </row>
    <row r="2727" spans="1:16" ht="15.5" outlineLevel="1" x14ac:dyDescent="0.25">
      <c r="A2727" s="1486">
        <f t="shared" si="388"/>
        <v>4</v>
      </c>
      <c r="B2727" s="1491" t="str">
        <f t="shared" si="388"/>
        <v>Control &amp; Instrumentation up-gradation of CSTPS Unit 5 &amp; 6</v>
      </c>
      <c r="C2727" s="1486" t="str">
        <f t="shared" si="388"/>
        <v>MERC/CAPEX/20112012/01908</v>
      </c>
      <c r="D2727" s="1487">
        <f t="shared" si="388"/>
        <v>40850</v>
      </c>
      <c r="E2727" s="1383">
        <f t="shared" si="388"/>
        <v>57.7</v>
      </c>
      <c r="F2727" s="1480">
        <f t="shared" si="380"/>
        <v>0</v>
      </c>
      <c r="G2727" s="1480">
        <f t="shared" si="381"/>
        <v>0</v>
      </c>
      <c r="H2727" s="1480">
        <f t="shared" si="384"/>
        <v>0</v>
      </c>
      <c r="I2727" s="1480">
        <v>0</v>
      </c>
      <c r="J2727" s="1480">
        <v>0</v>
      </c>
      <c r="K2727" s="1480"/>
      <c r="L2727" s="1480"/>
      <c r="M2727" s="1480">
        <f t="shared" si="385"/>
        <v>0</v>
      </c>
      <c r="N2727" s="1480">
        <f t="shared" si="386"/>
        <v>0</v>
      </c>
      <c r="O2727" s="1481">
        <f t="shared" si="382"/>
        <v>0</v>
      </c>
      <c r="P2727" s="1427">
        <f t="shared" si="383"/>
        <v>0</v>
      </c>
    </row>
    <row r="2728" spans="1:16" ht="15.5" outlineLevel="1" x14ac:dyDescent="0.25">
      <c r="A2728" s="1488">
        <f t="shared" si="388"/>
        <v>4.0999999999999996</v>
      </c>
      <c r="B2728" s="1492" t="str">
        <f t="shared" si="388"/>
        <v>Control &amp; Instrumentation up-gradation of CSTPS Unit 5</v>
      </c>
      <c r="C2728" s="1488" t="str">
        <f t="shared" si="388"/>
        <v>MERC/CAPEX/20112012/01908</v>
      </c>
      <c r="D2728" s="1413">
        <f t="shared" si="388"/>
        <v>40850</v>
      </c>
      <c r="E2728" s="560">
        <f t="shared" si="388"/>
        <v>26.1</v>
      </c>
      <c r="F2728" s="1508">
        <f t="shared" si="380"/>
        <v>26.1</v>
      </c>
      <c r="G2728" s="1508">
        <f t="shared" si="381"/>
        <v>26.1</v>
      </c>
      <c r="H2728" s="1508">
        <f t="shared" si="384"/>
        <v>0</v>
      </c>
      <c r="I2728" s="1480">
        <v>0</v>
      </c>
      <c r="J2728" s="1480">
        <v>0</v>
      </c>
      <c r="K2728" s="1508"/>
      <c r="L2728" s="1508"/>
      <c r="M2728" s="1509">
        <f t="shared" si="385"/>
        <v>0</v>
      </c>
      <c r="N2728" s="1508">
        <f t="shared" si="386"/>
        <v>0</v>
      </c>
      <c r="O2728" s="1481">
        <f t="shared" si="382"/>
        <v>0</v>
      </c>
      <c r="P2728" s="1427">
        <f t="shared" si="383"/>
        <v>0</v>
      </c>
    </row>
    <row r="2729" spans="1:16" ht="15.5" outlineLevel="1" x14ac:dyDescent="0.25">
      <c r="A2729" s="1488">
        <f t="shared" si="388"/>
        <v>4.2</v>
      </c>
      <c r="B2729" s="1492" t="str">
        <f t="shared" si="388"/>
        <v>Control &amp; Instrumentation up-gradation of CSTPS Unit 6</v>
      </c>
      <c r="C2729" s="1488" t="str">
        <f t="shared" si="388"/>
        <v>MERC/CAPEX/20112012/01908</v>
      </c>
      <c r="D2729" s="1413">
        <f t="shared" si="388"/>
        <v>40850</v>
      </c>
      <c r="E2729" s="560">
        <f t="shared" si="388"/>
        <v>26.1</v>
      </c>
      <c r="F2729" s="1508">
        <f t="shared" si="380"/>
        <v>26.1</v>
      </c>
      <c r="G2729" s="1508">
        <f t="shared" si="381"/>
        <v>26.1</v>
      </c>
      <c r="H2729" s="1508">
        <f t="shared" si="384"/>
        <v>0</v>
      </c>
      <c r="I2729" s="1480">
        <v>0</v>
      </c>
      <c r="J2729" s="1480">
        <v>0</v>
      </c>
      <c r="K2729" s="1508"/>
      <c r="L2729" s="1508"/>
      <c r="M2729" s="1509">
        <f t="shared" si="385"/>
        <v>0</v>
      </c>
      <c r="N2729" s="1508">
        <f t="shared" si="386"/>
        <v>0</v>
      </c>
      <c r="O2729" s="1481">
        <f t="shared" si="382"/>
        <v>0</v>
      </c>
      <c r="P2729" s="1427">
        <f t="shared" si="383"/>
        <v>0</v>
      </c>
    </row>
    <row r="2730" spans="1:16" ht="15.5" outlineLevel="1" x14ac:dyDescent="0.25">
      <c r="A2730" s="1484">
        <f t="shared" si="388"/>
        <v>0</v>
      </c>
      <c r="B2730" s="1485" t="str">
        <f t="shared" si="388"/>
        <v>IDC</v>
      </c>
      <c r="C2730" s="1482" t="str">
        <f t="shared" si="388"/>
        <v>MERC/CAPEX/20112012/01908</v>
      </c>
      <c r="D2730" s="1390">
        <f t="shared" si="388"/>
        <v>40850</v>
      </c>
      <c r="E2730" s="560">
        <f t="shared" si="388"/>
        <v>5.5</v>
      </c>
      <c r="F2730" s="1508">
        <f t="shared" si="380"/>
        <v>0</v>
      </c>
      <c r="G2730" s="1508">
        <f t="shared" si="381"/>
        <v>0</v>
      </c>
      <c r="H2730" s="1508">
        <f t="shared" si="384"/>
        <v>0</v>
      </c>
      <c r="I2730" s="1480">
        <v>0</v>
      </c>
      <c r="J2730" s="1480">
        <v>0</v>
      </c>
      <c r="K2730" s="1508"/>
      <c r="L2730" s="1508"/>
      <c r="M2730" s="1509">
        <f t="shared" si="385"/>
        <v>0</v>
      </c>
      <c r="N2730" s="1508">
        <f t="shared" si="386"/>
        <v>0</v>
      </c>
      <c r="O2730" s="1481">
        <f t="shared" si="382"/>
        <v>0</v>
      </c>
      <c r="P2730" s="1427">
        <f t="shared" si="383"/>
        <v>0</v>
      </c>
    </row>
    <row r="2731" spans="1:16" ht="31" outlineLevel="1" x14ac:dyDescent="0.25">
      <c r="A2731" s="1477">
        <f t="shared" si="388"/>
        <v>5</v>
      </c>
      <c r="B2731" s="1478" t="str">
        <f t="shared" si="388"/>
        <v>Alternate water supply Scheme for Chandrapur T.P.S as a crisis management scheme</v>
      </c>
      <c r="C2731" s="1477" t="str">
        <f t="shared" si="388"/>
        <v>MERC/CAPEX/20112012/02443</v>
      </c>
      <c r="D2731" s="1479">
        <f t="shared" si="388"/>
        <v>40911</v>
      </c>
      <c r="E2731" s="1383">
        <f t="shared" si="388"/>
        <v>229.4</v>
      </c>
      <c r="F2731" s="1480">
        <f t="shared" si="380"/>
        <v>0</v>
      </c>
      <c r="G2731" s="1480">
        <f t="shared" si="381"/>
        <v>0</v>
      </c>
      <c r="H2731" s="1480">
        <f t="shared" si="384"/>
        <v>0</v>
      </c>
      <c r="I2731" s="1480">
        <v>0</v>
      </c>
      <c r="J2731" s="1480">
        <v>0</v>
      </c>
      <c r="K2731" s="1480"/>
      <c r="L2731" s="1480"/>
      <c r="M2731" s="1480">
        <f t="shared" si="385"/>
        <v>0</v>
      </c>
      <c r="N2731" s="1480">
        <f t="shared" si="386"/>
        <v>0</v>
      </c>
      <c r="O2731" s="1481">
        <f t="shared" si="382"/>
        <v>0</v>
      </c>
      <c r="P2731" s="1427">
        <f t="shared" si="383"/>
        <v>0</v>
      </c>
    </row>
    <row r="2732" spans="1:16" ht="31" outlineLevel="1" x14ac:dyDescent="0.25">
      <c r="A2732" s="1482">
        <f t="shared" si="388"/>
        <v>5.0999999999999996</v>
      </c>
      <c r="B2732" s="1483" t="str">
        <f t="shared" si="388"/>
        <v>Alternate water supply Scheme for Chandrapur T.P.S as a crisis management scheme</v>
      </c>
      <c r="C2732" s="1482" t="str">
        <f t="shared" si="388"/>
        <v>MERC/CAPEX/20112012/02443</v>
      </c>
      <c r="D2732" s="1390">
        <f t="shared" si="388"/>
        <v>40911</v>
      </c>
      <c r="E2732" s="560">
        <f t="shared" si="388"/>
        <v>229.4</v>
      </c>
      <c r="F2732" s="1508">
        <f t="shared" si="380"/>
        <v>0</v>
      </c>
      <c r="G2732" s="1508">
        <f t="shared" si="381"/>
        <v>0</v>
      </c>
      <c r="H2732" s="1508">
        <f t="shared" si="384"/>
        <v>0</v>
      </c>
      <c r="I2732" s="1480">
        <v>0</v>
      </c>
      <c r="J2732" s="1480">
        <v>0</v>
      </c>
      <c r="K2732" s="1508"/>
      <c r="L2732" s="1508"/>
      <c r="M2732" s="1509">
        <f t="shared" si="385"/>
        <v>0</v>
      </c>
      <c r="N2732" s="1508">
        <f t="shared" si="386"/>
        <v>0</v>
      </c>
      <c r="O2732" s="1481">
        <f t="shared" si="382"/>
        <v>0</v>
      </c>
      <c r="P2732" s="1427">
        <f t="shared" si="383"/>
        <v>0</v>
      </c>
    </row>
    <row r="2733" spans="1:16" ht="62" outlineLevel="1" x14ac:dyDescent="0.25">
      <c r="A2733" s="1486">
        <f t="shared" si="388"/>
        <v>6</v>
      </c>
      <c r="B2733" s="1491" t="str">
        <f t="shared" si="388"/>
        <v>Complete Track Renovation (CTR) work of rail track from Chandrapur Vivekanand Nagar railway stations to exchange yard and bulb line of BOBR at CSTPS siding maintained by railway authority</v>
      </c>
      <c r="C2733" s="1486" t="str">
        <f t="shared" si="388"/>
        <v>MERC/CAPEX/20122013/00818</v>
      </c>
      <c r="D2733" s="1487">
        <f t="shared" si="388"/>
        <v>41100</v>
      </c>
      <c r="E2733" s="1383">
        <f t="shared" si="388"/>
        <v>16.77</v>
      </c>
      <c r="F2733" s="1480">
        <f t="shared" si="380"/>
        <v>0</v>
      </c>
      <c r="G2733" s="1480">
        <f t="shared" si="381"/>
        <v>0</v>
      </c>
      <c r="H2733" s="1480">
        <f t="shared" si="384"/>
        <v>0</v>
      </c>
      <c r="I2733" s="1480">
        <v>0</v>
      </c>
      <c r="J2733" s="1480">
        <v>0</v>
      </c>
      <c r="K2733" s="1480"/>
      <c r="L2733" s="1480"/>
      <c r="M2733" s="1480">
        <f t="shared" si="385"/>
        <v>0</v>
      </c>
      <c r="N2733" s="1480">
        <f t="shared" si="386"/>
        <v>0</v>
      </c>
      <c r="O2733" s="1481">
        <f t="shared" si="382"/>
        <v>0</v>
      </c>
      <c r="P2733" s="1427">
        <f t="shared" si="383"/>
        <v>0</v>
      </c>
    </row>
    <row r="2734" spans="1:16" ht="62" outlineLevel="1" x14ac:dyDescent="0.25">
      <c r="A2734" s="1488">
        <f t="shared" si="388"/>
        <v>6.1</v>
      </c>
      <c r="B2734" s="1492" t="str">
        <f t="shared" si="388"/>
        <v>Complete Track Renovation (CTR) work of rail track from Chandrapur Vivekanand Nagar railway stations to exchange yard and bulb line of BOBR at CSTPS siding maintained by railway authority</v>
      </c>
      <c r="C2734" s="1488" t="str">
        <f t="shared" si="388"/>
        <v>MERC/CAPEX/20122013/00818</v>
      </c>
      <c r="D2734" s="1413">
        <f t="shared" si="388"/>
        <v>41100</v>
      </c>
      <c r="E2734" s="560">
        <f t="shared" si="388"/>
        <v>16.77</v>
      </c>
      <c r="F2734" s="1508">
        <f t="shared" si="380"/>
        <v>16.77</v>
      </c>
      <c r="G2734" s="1508">
        <f t="shared" si="381"/>
        <v>16.77</v>
      </c>
      <c r="H2734" s="1508">
        <f t="shared" si="384"/>
        <v>0</v>
      </c>
      <c r="I2734" s="1480">
        <v>0</v>
      </c>
      <c r="J2734" s="1480">
        <v>0</v>
      </c>
      <c r="K2734" s="1508"/>
      <c r="L2734" s="1508"/>
      <c r="M2734" s="1509">
        <f t="shared" si="385"/>
        <v>0</v>
      </c>
      <c r="N2734" s="1508">
        <f t="shared" si="386"/>
        <v>0</v>
      </c>
      <c r="O2734" s="1481">
        <f t="shared" si="382"/>
        <v>0</v>
      </c>
      <c r="P2734" s="1427">
        <f t="shared" si="383"/>
        <v>0</v>
      </c>
    </row>
    <row r="2735" spans="1:16" ht="31" outlineLevel="1" x14ac:dyDescent="0.25">
      <c r="A2735" s="1477">
        <f t="shared" si="388"/>
        <v>7</v>
      </c>
      <c r="B2735" s="1478" t="str">
        <f t="shared" si="388"/>
        <v>Construction of additional IDCT to improve performance of existing condenser cooling system of CSTPS Unit 5 &amp; 6</v>
      </c>
      <c r="C2735" s="1477" t="str">
        <f t="shared" si="388"/>
        <v>MERC/CAPEX/20122013/00827</v>
      </c>
      <c r="D2735" s="1479">
        <f t="shared" si="388"/>
        <v>41100</v>
      </c>
      <c r="E2735" s="1383">
        <f t="shared" si="388"/>
        <v>29.28</v>
      </c>
      <c r="F2735" s="1480">
        <f t="shared" si="380"/>
        <v>0</v>
      </c>
      <c r="G2735" s="1480">
        <f t="shared" si="381"/>
        <v>0</v>
      </c>
      <c r="H2735" s="1480">
        <f t="shared" si="384"/>
        <v>0</v>
      </c>
      <c r="I2735" s="1480">
        <v>0</v>
      </c>
      <c r="J2735" s="1480">
        <v>0</v>
      </c>
      <c r="K2735" s="1480"/>
      <c r="L2735" s="1480"/>
      <c r="M2735" s="1480">
        <f t="shared" si="385"/>
        <v>0</v>
      </c>
      <c r="N2735" s="1480">
        <f t="shared" si="386"/>
        <v>0</v>
      </c>
      <c r="O2735" s="1481">
        <f t="shared" si="382"/>
        <v>0</v>
      </c>
      <c r="P2735" s="1427">
        <f t="shared" si="383"/>
        <v>0</v>
      </c>
    </row>
    <row r="2736" spans="1:16" ht="15.5" outlineLevel="1" x14ac:dyDescent="0.25">
      <c r="A2736" s="1482">
        <f t="shared" si="388"/>
        <v>7.1</v>
      </c>
      <c r="B2736" s="1483" t="str">
        <f t="shared" si="388"/>
        <v>Construction for U#5</v>
      </c>
      <c r="C2736" s="1482" t="str">
        <f t="shared" si="388"/>
        <v>MERC/CAPEX/20122013/00827</v>
      </c>
      <c r="D2736" s="1390">
        <f t="shared" si="388"/>
        <v>41100</v>
      </c>
      <c r="E2736" s="560">
        <f t="shared" si="388"/>
        <v>11.2318</v>
      </c>
      <c r="F2736" s="1508">
        <f t="shared" si="380"/>
        <v>19.378237200000001</v>
      </c>
      <c r="G2736" s="1508">
        <f t="shared" si="381"/>
        <v>19.378237200000001</v>
      </c>
      <c r="H2736" s="1508">
        <f t="shared" si="384"/>
        <v>0</v>
      </c>
      <c r="I2736" s="1480">
        <v>0</v>
      </c>
      <c r="J2736" s="1480">
        <v>0</v>
      </c>
      <c r="K2736" s="1508"/>
      <c r="L2736" s="1508"/>
      <c r="M2736" s="1509">
        <f t="shared" si="385"/>
        <v>0</v>
      </c>
      <c r="N2736" s="1508">
        <f t="shared" si="386"/>
        <v>0</v>
      </c>
      <c r="O2736" s="1481">
        <f t="shared" si="382"/>
        <v>0</v>
      </c>
      <c r="P2736" s="1427">
        <f t="shared" si="383"/>
        <v>0</v>
      </c>
    </row>
    <row r="2737" spans="1:16" ht="15.5" outlineLevel="1" x14ac:dyDescent="0.25">
      <c r="A2737" s="1482">
        <f t="shared" si="388"/>
        <v>7.2</v>
      </c>
      <c r="B2737" s="1483" t="str">
        <f t="shared" si="388"/>
        <v>Construction for U#6</v>
      </c>
      <c r="C2737" s="1482" t="str">
        <f t="shared" si="388"/>
        <v>MERC/CAPEX/20122013/00827</v>
      </c>
      <c r="D2737" s="1390">
        <f t="shared" si="388"/>
        <v>41100</v>
      </c>
      <c r="E2737" s="560">
        <f t="shared" si="388"/>
        <v>14.968</v>
      </c>
      <c r="F2737" s="1508">
        <f t="shared" si="380"/>
        <v>23.1898537</v>
      </c>
      <c r="G2737" s="1508">
        <f t="shared" si="381"/>
        <v>23.1898537</v>
      </c>
      <c r="H2737" s="1508">
        <f t="shared" si="384"/>
        <v>0</v>
      </c>
      <c r="I2737" s="1480">
        <v>0</v>
      </c>
      <c r="J2737" s="1480">
        <v>0</v>
      </c>
      <c r="K2737" s="1508"/>
      <c r="L2737" s="1508"/>
      <c r="M2737" s="1509">
        <f t="shared" si="385"/>
        <v>0</v>
      </c>
      <c r="N2737" s="1508">
        <f t="shared" si="386"/>
        <v>0</v>
      </c>
      <c r="O2737" s="1481">
        <f t="shared" si="382"/>
        <v>0</v>
      </c>
      <c r="P2737" s="1427">
        <f t="shared" si="383"/>
        <v>0</v>
      </c>
    </row>
    <row r="2738" spans="1:16" ht="15.5" outlineLevel="1" x14ac:dyDescent="0.25">
      <c r="A2738" s="1482">
        <f t="shared" ref="A2738:E2753" si="389">A2068</f>
        <v>0</v>
      </c>
      <c r="B2738" s="1483" t="str">
        <f t="shared" si="389"/>
        <v>IDC</v>
      </c>
      <c r="C2738" s="1482" t="str">
        <f t="shared" si="389"/>
        <v>MERC/CAPEX/20122013/00827</v>
      </c>
      <c r="D2738" s="1390">
        <f t="shared" si="389"/>
        <v>41100</v>
      </c>
      <c r="E2738" s="560">
        <f t="shared" si="389"/>
        <v>3.0802000000000014</v>
      </c>
      <c r="F2738" s="1508">
        <f t="shared" si="380"/>
        <v>0</v>
      </c>
      <c r="G2738" s="1508">
        <f t="shared" si="381"/>
        <v>0</v>
      </c>
      <c r="H2738" s="1508">
        <f t="shared" si="384"/>
        <v>0</v>
      </c>
      <c r="I2738" s="1480">
        <v>0</v>
      </c>
      <c r="J2738" s="1480">
        <v>0</v>
      </c>
      <c r="K2738" s="1508"/>
      <c r="L2738" s="1508"/>
      <c r="M2738" s="1509">
        <f t="shared" si="385"/>
        <v>0</v>
      </c>
      <c r="N2738" s="1508">
        <f t="shared" si="386"/>
        <v>0</v>
      </c>
      <c r="O2738" s="1481">
        <f t="shared" si="382"/>
        <v>0</v>
      </c>
      <c r="P2738" s="1427">
        <f t="shared" si="383"/>
        <v>0</v>
      </c>
    </row>
    <row r="2739" spans="1:16" ht="15.5" outlineLevel="1" x14ac:dyDescent="0.25">
      <c r="A2739" s="1477">
        <f t="shared" si="389"/>
        <v>8</v>
      </c>
      <c r="B2739" s="1478" t="str">
        <f t="shared" si="389"/>
        <v>Upgradation of IDCT Unit 5</v>
      </c>
      <c r="C2739" s="1477" t="str">
        <f t="shared" si="389"/>
        <v>MERC/CAPEX/20122013/00914</v>
      </c>
      <c r="D2739" s="1479">
        <f t="shared" si="389"/>
        <v>41108</v>
      </c>
      <c r="E2739" s="1383">
        <f t="shared" si="389"/>
        <v>18.2</v>
      </c>
      <c r="F2739" s="1480">
        <f t="shared" si="380"/>
        <v>0</v>
      </c>
      <c r="G2739" s="1480">
        <f t="shared" si="381"/>
        <v>0</v>
      </c>
      <c r="H2739" s="1480">
        <f t="shared" si="384"/>
        <v>0</v>
      </c>
      <c r="I2739" s="1480">
        <v>0</v>
      </c>
      <c r="J2739" s="1480">
        <v>0</v>
      </c>
      <c r="K2739" s="1480"/>
      <c r="L2739" s="1480"/>
      <c r="M2739" s="1480">
        <f t="shared" si="385"/>
        <v>0</v>
      </c>
      <c r="N2739" s="1480">
        <f t="shared" si="386"/>
        <v>0</v>
      </c>
      <c r="O2739" s="1481">
        <f t="shared" si="382"/>
        <v>0</v>
      </c>
      <c r="P2739" s="1427">
        <f t="shared" si="383"/>
        <v>0</v>
      </c>
    </row>
    <row r="2740" spans="1:16" ht="15.5" outlineLevel="1" x14ac:dyDescent="0.25">
      <c r="A2740" s="1482">
        <f t="shared" si="389"/>
        <v>8.1</v>
      </c>
      <c r="B2740" s="1483" t="str">
        <f t="shared" si="389"/>
        <v>Cooling Tower IDCT for Unit-5A</v>
      </c>
      <c r="C2740" s="1482" t="str">
        <f t="shared" si="389"/>
        <v>MERC/CAPEX/20122013/00914</v>
      </c>
      <c r="D2740" s="1390">
        <f t="shared" si="389"/>
        <v>41108</v>
      </c>
      <c r="E2740" s="560">
        <f t="shared" si="389"/>
        <v>8.5</v>
      </c>
      <c r="F2740" s="1508">
        <f t="shared" si="380"/>
        <v>0</v>
      </c>
      <c r="G2740" s="1508">
        <f t="shared" si="381"/>
        <v>0</v>
      </c>
      <c r="H2740" s="1508">
        <f t="shared" si="384"/>
        <v>0</v>
      </c>
      <c r="I2740" s="1480">
        <v>0</v>
      </c>
      <c r="J2740" s="1480">
        <v>0</v>
      </c>
      <c r="K2740" s="1508"/>
      <c r="L2740" s="1508"/>
      <c r="M2740" s="1509">
        <f t="shared" si="385"/>
        <v>0</v>
      </c>
      <c r="N2740" s="1508">
        <f t="shared" si="386"/>
        <v>0</v>
      </c>
      <c r="O2740" s="1481">
        <f t="shared" si="382"/>
        <v>0</v>
      </c>
      <c r="P2740" s="1427">
        <f t="shared" si="383"/>
        <v>0</v>
      </c>
    </row>
    <row r="2741" spans="1:16" ht="15.5" outlineLevel="1" x14ac:dyDescent="0.25">
      <c r="A2741" s="1482">
        <f t="shared" si="389"/>
        <v>8.1999999999999993</v>
      </c>
      <c r="B2741" s="1483" t="str">
        <f t="shared" si="389"/>
        <v>Cooling Tower IDCT for Unit-5B</v>
      </c>
      <c r="C2741" s="1482" t="str">
        <f t="shared" si="389"/>
        <v>MERC/CAPEX/20122013/00914</v>
      </c>
      <c r="D2741" s="1390">
        <f t="shared" si="389"/>
        <v>41108</v>
      </c>
      <c r="E2741" s="560">
        <f t="shared" si="389"/>
        <v>8.5</v>
      </c>
      <c r="F2741" s="1508">
        <f t="shared" si="380"/>
        <v>0</v>
      </c>
      <c r="G2741" s="1508">
        <f t="shared" si="381"/>
        <v>0</v>
      </c>
      <c r="H2741" s="1508">
        <f t="shared" si="384"/>
        <v>0</v>
      </c>
      <c r="I2741" s="1480">
        <v>0</v>
      </c>
      <c r="J2741" s="1480">
        <v>0</v>
      </c>
      <c r="K2741" s="1508"/>
      <c r="L2741" s="1508"/>
      <c r="M2741" s="1509">
        <f t="shared" si="385"/>
        <v>0</v>
      </c>
      <c r="N2741" s="1508">
        <f t="shared" si="386"/>
        <v>0</v>
      </c>
      <c r="O2741" s="1481">
        <f t="shared" si="382"/>
        <v>0</v>
      </c>
      <c r="P2741" s="1427">
        <f t="shared" si="383"/>
        <v>0</v>
      </c>
    </row>
    <row r="2742" spans="1:16" ht="15.5" outlineLevel="1" x14ac:dyDescent="0.25">
      <c r="A2742" s="1482">
        <f t="shared" si="389"/>
        <v>0</v>
      </c>
      <c r="B2742" s="1483" t="str">
        <f t="shared" si="389"/>
        <v>IDC</v>
      </c>
      <c r="C2742" s="1482" t="str">
        <f t="shared" si="389"/>
        <v>MERC/CAPEX/20122013/00914</v>
      </c>
      <c r="D2742" s="1390">
        <f t="shared" si="389"/>
        <v>41108</v>
      </c>
      <c r="E2742" s="560">
        <f t="shared" si="389"/>
        <v>1.2</v>
      </c>
      <c r="F2742" s="1508">
        <f t="shared" si="380"/>
        <v>0</v>
      </c>
      <c r="G2742" s="1508">
        <f t="shared" si="381"/>
        <v>0</v>
      </c>
      <c r="H2742" s="1508">
        <f t="shared" si="384"/>
        <v>0</v>
      </c>
      <c r="I2742" s="1480">
        <v>0</v>
      </c>
      <c r="J2742" s="1480">
        <v>0</v>
      </c>
      <c r="K2742" s="1508"/>
      <c r="L2742" s="1508"/>
      <c r="M2742" s="1509">
        <f t="shared" si="385"/>
        <v>0</v>
      </c>
      <c r="N2742" s="1508">
        <f t="shared" si="386"/>
        <v>0</v>
      </c>
      <c r="O2742" s="1481">
        <f t="shared" si="382"/>
        <v>0</v>
      </c>
      <c r="P2742" s="1427">
        <f t="shared" si="383"/>
        <v>0</v>
      </c>
    </row>
    <row r="2743" spans="1:16" ht="31" outlineLevel="1" x14ac:dyDescent="0.25">
      <c r="A2743" s="1477">
        <f t="shared" si="389"/>
        <v>9</v>
      </c>
      <c r="B2743" s="1478" t="str">
        <f t="shared" si="389"/>
        <v>LPT Retrofit at Chandrapur TPS Units 3 &amp; 4</v>
      </c>
      <c r="C2743" s="1477" t="str">
        <f t="shared" si="389"/>
        <v>MERC/TECH 1/CAPEX/20132014/00823</v>
      </c>
      <c r="D2743" s="1479">
        <f t="shared" si="389"/>
        <v>41464</v>
      </c>
      <c r="E2743" s="1383">
        <f t="shared" si="389"/>
        <v>107.8364</v>
      </c>
      <c r="F2743" s="1480">
        <f t="shared" si="380"/>
        <v>0</v>
      </c>
      <c r="G2743" s="1480">
        <f t="shared" si="381"/>
        <v>0</v>
      </c>
      <c r="H2743" s="1480">
        <f t="shared" si="384"/>
        <v>0</v>
      </c>
      <c r="I2743" s="1480">
        <v>0</v>
      </c>
      <c r="J2743" s="1480">
        <v>0</v>
      </c>
      <c r="K2743" s="1480"/>
      <c r="L2743" s="1480"/>
      <c r="M2743" s="1480">
        <f t="shared" si="385"/>
        <v>0</v>
      </c>
      <c r="N2743" s="1480">
        <f t="shared" si="386"/>
        <v>0</v>
      </c>
      <c r="O2743" s="1481">
        <f t="shared" si="382"/>
        <v>0</v>
      </c>
      <c r="P2743" s="1427">
        <f t="shared" si="383"/>
        <v>0</v>
      </c>
    </row>
    <row r="2744" spans="1:16" ht="46.5" outlineLevel="1" x14ac:dyDescent="0.25">
      <c r="A2744" s="1482">
        <f t="shared" si="389"/>
        <v>9.1</v>
      </c>
      <c r="B2744" s="1483" t="str">
        <f t="shared" si="389"/>
        <v xml:space="preserve">Design, Engineering, Supply and Retrofitting of LP Cylinder with Modified Bladed rotor without Bauman’s Stages, diaphragms, liners, Gland sealing and exhaust hood spray. (total 2 units) </v>
      </c>
      <c r="C2744" s="1482" t="str">
        <f t="shared" si="389"/>
        <v>MERC/TECH 1/CAPEX/20132014/00823</v>
      </c>
      <c r="D2744" s="1390">
        <f t="shared" si="389"/>
        <v>41464</v>
      </c>
      <c r="E2744" s="560">
        <f t="shared" si="389"/>
        <v>101.8526</v>
      </c>
      <c r="F2744" s="1508">
        <f t="shared" si="380"/>
        <v>0</v>
      </c>
      <c r="G2744" s="1508">
        <f t="shared" si="381"/>
        <v>0</v>
      </c>
      <c r="H2744" s="1508">
        <f t="shared" si="384"/>
        <v>0</v>
      </c>
      <c r="I2744" s="1480">
        <v>0</v>
      </c>
      <c r="J2744" s="1480">
        <v>0</v>
      </c>
      <c r="K2744" s="1508"/>
      <c r="L2744" s="1508"/>
      <c r="M2744" s="1509">
        <f t="shared" si="385"/>
        <v>0</v>
      </c>
      <c r="N2744" s="1508">
        <f t="shared" si="386"/>
        <v>0</v>
      </c>
      <c r="O2744" s="1481">
        <f t="shared" si="382"/>
        <v>0</v>
      </c>
      <c r="P2744" s="1427">
        <f t="shared" si="383"/>
        <v>0</v>
      </c>
    </row>
    <row r="2745" spans="1:16" ht="31" outlineLevel="1" x14ac:dyDescent="0.25">
      <c r="A2745" s="1482">
        <f t="shared" si="389"/>
        <v>0</v>
      </c>
      <c r="B2745" s="1483" t="str">
        <f t="shared" si="389"/>
        <v>IDC</v>
      </c>
      <c r="C2745" s="1482" t="str">
        <f t="shared" si="389"/>
        <v>MERC/TECH 1/CAPEX/20132014/00823</v>
      </c>
      <c r="D2745" s="1390">
        <f t="shared" si="389"/>
        <v>41464</v>
      </c>
      <c r="E2745" s="560">
        <f t="shared" si="389"/>
        <v>5.9837999999999996</v>
      </c>
      <c r="F2745" s="1508">
        <f t="shared" si="380"/>
        <v>0</v>
      </c>
      <c r="G2745" s="1508">
        <f t="shared" si="381"/>
        <v>0</v>
      </c>
      <c r="H2745" s="1508">
        <f t="shared" si="384"/>
        <v>0</v>
      </c>
      <c r="I2745" s="1480">
        <v>0</v>
      </c>
      <c r="J2745" s="1480">
        <v>0</v>
      </c>
      <c r="K2745" s="1508"/>
      <c r="L2745" s="1508"/>
      <c r="M2745" s="1509">
        <f t="shared" si="385"/>
        <v>0</v>
      </c>
      <c r="N2745" s="1508">
        <f t="shared" si="386"/>
        <v>0</v>
      </c>
      <c r="O2745" s="1481">
        <f t="shared" si="382"/>
        <v>0</v>
      </c>
      <c r="P2745" s="1427">
        <f t="shared" si="383"/>
        <v>0</v>
      </c>
    </row>
    <row r="2746" spans="1:16" ht="15.5" outlineLevel="1" x14ac:dyDescent="0.25">
      <c r="A2746" s="1489">
        <f t="shared" si="389"/>
        <v>10</v>
      </c>
      <c r="B2746" s="1490" t="str">
        <f t="shared" si="389"/>
        <v>Modification in Ash Handling Plant at Chandrapur TPS unit 5 &amp; 6</v>
      </c>
      <c r="C2746" s="1477" t="str">
        <f t="shared" si="389"/>
        <v>MERC/CAPEX/20122013/02104</v>
      </c>
      <c r="D2746" s="1479">
        <f t="shared" si="389"/>
        <v>41281</v>
      </c>
      <c r="E2746" s="1383">
        <f t="shared" si="389"/>
        <v>15.25</v>
      </c>
      <c r="F2746" s="1480">
        <f t="shared" si="380"/>
        <v>0</v>
      </c>
      <c r="G2746" s="1480">
        <f t="shared" si="381"/>
        <v>0</v>
      </c>
      <c r="H2746" s="1480">
        <f t="shared" si="384"/>
        <v>0</v>
      </c>
      <c r="I2746" s="1480">
        <v>0</v>
      </c>
      <c r="J2746" s="1480">
        <v>0</v>
      </c>
      <c r="K2746" s="1480"/>
      <c r="L2746" s="1480"/>
      <c r="M2746" s="1480">
        <f t="shared" si="385"/>
        <v>0</v>
      </c>
      <c r="N2746" s="1480">
        <f t="shared" si="386"/>
        <v>0</v>
      </c>
      <c r="O2746" s="1481">
        <f t="shared" si="382"/>
        <v>0</v>
      </c>
      <c r="P2746" s="1427">
        <f t="shared" si="383"/>
        <v>0</v>
      </c>
    </row>
    <row r="2747" spans="1:16" ht="15.5" outlineLevel="1" x14ac:dyDescent="0.25">
      <c r="A2747" s="1484">
        <f t="shared" si="389"/>
        <v>10.1</v>
      </c>
      <c r="B2747" s="1485" t="str">
        <f t="shared" si="389"/>
        <v>Complete series replacement in U-5 &amp; 6</v>
      </c>
      <c r="C2747" s="1482" t="str">
        <f t="shared" si="389"/>
        <v>MERC/CAPEX/20122013/02104</v>
      </c>
      <c r="D2747" s="1390">
        <f t="shared" si="389"/>
        <v>41281</v>
      </c>
      <c r="E2747" s="560">
        <f t="shared" si="389"/>
        <v>7.12</v>
      </c>
      <c r="F2747" s="1508">
        <f t="shared" si="380"/>
        <v>1.4079700719999999</v>
      </c>
      <c r="G2747" s="1508">
        <f t="shared" si="381"/>
        <v>1.4079700719999999</v>
      </c>
      <c r="H2747" s="1508">
        <f t="shared" si="384"/>
        <v>0</v>
      </c>
      <c r="I2747" s="1480">
        <v>0</v>
      </c>
      <c r="J2747" s="1480">
        <v>0</v>
      </c>
      <c r="K2747" s="1508"/>
      <c r="L2747" s="1508"/>
      <c r="M2747" s="1509">
        <f t="shared" si="385"/>
        <v>0</v>
      </c>
      <c r="N2747" s="1508">
        <f t="shared" si="386"/>
        <v>0</v>
      </c>
      <c r="O2747" s="1481">
        <f t="shared" si="382"/>
        <v>0</v>
      </c>
      <c r="P2747" s="1427">
        <f t="shared" si="383"/>
        <v>0</v>
      </c>
    </row>
    <row r="2748" spans="1:16" ht="15.5" outlineLevel="1" x14ac:dyDescent="0.25">
      <c r="A2748" s="1484">
        <f t="shared" si="389"/>
        <v>10.199999999999999</v>
      </c>
      <c r="B2748" s="1485" t="str">
        <f t="shared" si="389"/>
        <v>Extension of ash lines inside ash bund (9000 Rmt)</v>
      </c>
      <c r="C2748" s="1482" t="str">
        <f t="shared" si="389"/>
        <v>MERC/CAPEX/20122013/02104</v>
      </c>
      <c r="D2748" s="1390">
        <f t="shared" si="389"/>
        <v>41281</v>
      </c>
      <c r="E2748" s="560">
        <f t="shared" si="389"/>
        <v>3.03</v>
      </c>
      <c r="F2748" s="1508">
        <f t="shared" si="380"/>
        <v>2.4823816700000001</v>
      </c>
      <c r="G2748" s="1508">
        <f t="shared" si="381"/>
        <v>2.4823816700000001</v>
      </c>
      <c r="H2748" s="1508">
        <f t="shared" si="384"/>
        <v>0</v>
      </c>
      <c r="I2748" s="1480">
        <v>0</v>
      </c>
      <c r="J2748" s="1480">
        <v>0</v>
      </c>
      <c r="K2748" s="1508"/>
      <c r="L2748" s="1508"/>
      <c r="M2748" s="1509">
        <f t="shared" si="385"/>
        <v>0</v>
      </c>
      <c r="N2748" s="1508">
        <f t="shared" si="386"/>
        <v>0</v>
      </c>
      <c r="O2748" s="1481">
        <f t="shared" si="382"/>
        <v>0</v>
      </c>
      <c r="P2748" s="1427">
        <f t="shared" si="383"/>
        <v>0</v>
      </c>
    </row>
    <row r="2749" spans="1:16" ht="15.5" outlineLevel="1" x14ac:dyDescent="0.25">
      <c r="A2749" s="1484">
        <f t="shared" si="389"/>
        <v>10.3</v>
      </c>
      <c r="B2749" s="1485" t="str">
        <f t="shared" si="389"/>
        <v>Replacement ash line worn out pipes</v>
      </c>
      <c r="C2749" s="1482" t="str">
        <f t="shared" si="389"/>
        <v>MERC/CAPEX/20122013/02104</v>
      </c>
      <c r="D2749" s="1390">
        <f t="shared" si="389"/>
        <v>41281</v>
      </c>
      <c r="E2749" s="560">
        <f t="shared" si="389"/>
        <v>3.6</v>
      </c>
      <c r="F2749" s="1508">
        <f t="shared" si="380"/>
        <v>4.4210943270000005</v>
      </c>
      <c r="G2749" s="1508">
        <f t="shared" si="381"/>
        <v>4.4210943270000005</v>
      </c>
      <c r="H2749" s="1508">
        <f t="shared" si="384"/>
        <v>0</v>
      </c>
      <c r="I2749" s="1480">
        <v>0</v>
      </c>
      <c r="J2749" s="1480">
        <v>0</v>
      </c>
      <c r="K2749" s="1508"/>
      <c r="L2749" s="1508"/>
      <c r="M2749" s="1509">
        <f t="shared" si="385"/>
        <v>0</v>
      </c>
      <c r="N2749" s="1508">
        <f t="shared" si="386"/>
        <v>0</v>
      </c>
      <c r="O2749" s="1481">
        <f t="shared" si="382"/>
        <v>0</v>
      </c>
      <c r="P2749" s="1427">
        <f t="shared" si="383"/>
        <v>0</v>
      </c>
    </row>
    <row r="2750" spans="1:16" ht="15.5" outlineLevel="1" x14ac:dyDescent="0.25">
      <c r="A2750" s="1484">
        <f t="shared" si="389"/>
        <v>0</v>
      </c>
      <c r="B2750" s="1485" t="str">
        <f t="shared" si="389"/>
        <v>IDC</v>
      </c>
      <c r="C2750" s="1482" t="str">
        <f t="shared" si="389"/>
        <v>MERC/CAPEX/20122013/02104</v>
      </c>
      <c r="D2750" s="1390">
        <f t="shared" si="389"/>
        <v>41281</v>
      </c>
      <c r="E2750" s="560">
        <f t="shared" si="389"/>
        <v>1.5</v>
      </c>
      <c r="F2750" s="1508">
        <f t="shared" si="380"/>
        <v>0</v>
      </c>
      <c r="G2750" s="1508">
        <f t="shared" si="381"/>
        <v>0</v>
      </c>
      <c r="H2750" s="1508">
        <f t="shared" si="384"/>
        <v>0</v>
      </c>
      <c r="I2750" s="1480">
        <v>0</v>
      </c>
      <c r="J2750" s="1480">
        <v>0</v>
      </c>
      <c r="K2750" s="1508"/>
      <c r="L2750" s="1508"/>
      <c r="M2750" s="1509">
        <f t="shared" si="385"/>
        <v>0</v>
      </c>
      <c r="N2750" s="1508">
        <f t="shared" si="386"/>
        <v>0</v>
      </c>
      <c r="O2750" s="1481">
        <f t="shared" si="382"/>
        <v>0</v>
      </c>
      <c r="P2750" s="1427">
        <f t="shared" si="383"/>
        <v>0</v>
      </c>
    </row>
    <row r="2751" spans="1:16" ht="31" outlineLevel="1" x14ac:dyDescent="0.25">
      <c r="A2751" s="1477">
        <f t="shared" si="389"/>
        <v>11</v>
      </c>
      <c r="B2751" s="1478" t="str">
        <f t="shared" si="389"/>
        <v>Fully Integrated Security Surveillance System</v>
      </c>
      <c r="C2751" s="1477" t="str">
        <f t="shared" si="389"/>
        <v>MERC/TECH 1/CAPEX/20122013/00190</v>
      </c>
      <c r="D2751" s="1479">
        <f t="shared" si="389"/>
        <v>41382</v>
      </c>
      <c r="E2751" s="1383">
        <f t="shared" si="389"/>
        <v>54.197924999999991</v>
      </c>
      <c r="F2751" s="1480">
        <f t="shared" si="380"/>
        <v>0</v>
      </c>
      <c r="G2751" s="1480">
        <f t="shared" si="381"/>
        <v>0</v>
      </c>
      <c r="H2751" s="1480">
        <f t="shared" si="384"/>
        <v>0</v>
      </c>
      <c r="I2751" s="1480">
        <v>0</v>
      </c>
      <c r="J2751" s="1480">
        <v>0</v>
      </c>
      <c r="K2751" s="1480"/>
      <c r="L2751" s="1480"/>
      <c r="M2751" s="1480">
        <f t="shared" si="385"/>
        <v>0</v>
      </c>
      <c r="N2751" s="1480">
        <f t="shared" si="386"/>
        <v>0</v>
      </c>
      <c r="O2751" s="1481">
        <f t="shared" si="382"/>
        <v>0</v>
      </c>
      <c r="P2751" s="1427">
        <f t="shared" si="383"/>
        <v>0</v>
      </c>
    </row>
    <row r="2752" spans="1:16" ht="31" outlineLevel="1" x14ac:dyDescent="0.25">
      <c r="A2752" s="1482">
        <f t="shared" si="389"/>
        <v>11.1</v>
      </c>
      <c r="B2752" s="1483" t="str">
        <f t="shared" si="389"/>
        <v xml:space="preserve">Long range cameras </v>
      </c>
      <c r="C2752" s="1482" t="str">
        <f t="shared" si="389"/>
        <v>MERC/TECH 1/CAPEX/20122013/00190</v>
      </c>
      <c r="D2752" s="1390">
        <f t="shared" si="389"/>
        <v>41382</v>
      </c>
      <c r="E2752" s="560">
        <f t="shared" si="389"/>
        <v>12.3</v>
      </c>
      <c r="F2752" s="1508">
        <f t="shared" si="380"/>
        <v>0</v>
      </c>
      <c r="G2752" s="1508">
        <f t="shared" si="381"/>
        <v>0</v>
      </c>
      <c r="H2752" s="1508">
        <f t="shared" si="384"/>
        <v>0</v>
      </c>
      <c r="I2752" s="1480">
        <v>0</v>
      </c>
      <c r="J2752" s="1480">
        <v>0</v>
      </c>
      <c r="K2752" s="1508"/>
      <c r="L2752" s="1508"/>
      <c r="M2752" s="1509">
        <f t="shared" si="385"/>
        <v>0</v>
      </c>
      <c r="N2752" s="1508">
        <f t="shared" si="386"/>
        <v>0</v>
      </c>
      <c r="O2752" s="1481">
        <f t="shared" si="382"/>
        <v>0</v>
      </c>
      <c r="P2752" s="1427">
        <f t="shared" si="383"/>
        <v>0</v>
      </c>
    </row>
    <row r="2753" spans="1:16" ht="31" outlineLevel="1" x14ac:dyDescent="0.25">
      <c r="A2753" s="1482">
        <f t="shared" si="389"/>
        <v>11.2</v>
      </c>
      <c r="B2753" s="1483" t="str">
        <f t="shared" si="389"/>
        <v xml:space="preserve">Laser fence sensors/buried cable </v>
      </c>
      <c r="C2753" s="1482" t="str">
        <f t="shared" si="389"/>
        <v>MERC/TECH 1/CAPEX/20122013/00190</v>
      </c>
      <c r="D2753" s="1390">
        <f t="shared" si="389"/>
        <v>41382</v>
      </c>
      <c r="E2753" s="560">
        <f t="shared" si="389"/>
        <v>6.1</v>
      </c>
      <c r="F2753" s="1508">
        <f t="shared" si="380"/>
        <v>0</v>
      </c>
      <c r="G2753" s="1508">
        <f t="shared" si="381"/>
        <v>0</v>
      </c>
      <c r="H2753" s="1508">
        <f t="shared" si="384"/>
        <v>0</v>
      </c>
      <c r="I2753" s="1480">
        <v>0</v>
      </c>
      <c r="J2753" s="1480">
        <v>0</v>
      </c>
      <c r="K2753" s="1508"/>
      <c r="L2753" s="1508"/>
      <c r="M2753" s="1509">
        <f t="shared" si="385"/>
        <v>0</v>
      </c>
      <c r="N2753" s="1508">
        <f t="shared" si="386"/>
        <v>0</v>
      </c>
      <c r="O2753" s="1481">
        <f t="shared" si="382"/>
        <v>0</v>
      </c>
      <c r="P2753" s="1427">
        <f t="shared" si="383"/>
        <v>0</v>
      </c>
    </row>
    <row r="2754" spans="1:16" ht="31" outlineLevel="1" x14ac:dyDescent="0.25">
      <c r="A2754" s="1482">
        <f t="shared" ref="A2754:E2769" si="390">A2084</f>
        <v>11.3</v>
      </c>
      <c r="B2754" s="1483" t="str">
        <f t="shared" si="390"/>
        <v xml:space="preserve">PTZ/fixed cameras </v>
      </c>
      <c r="C2754" s="1482" t="str">
        <f t="shared" si="390"/>
        <v>MERC/TECH 1/CAPEX/20122013/00190</v>
      </c>
      <c r="D2754" s="1390">
        <f t="shared" si="390"/>
        <v>41382</v>
      </c>
      <c r="E2754" s="560">
        <f t="shared" si="390"/>
        <v>8.0749999999999993</v>
      </c>
      <c r="F2754" s="1508">
        <f t="shared" ref="F2754:F2817" si="391">F2084+I2084</f>
        <v>0</v>
      </c>
      <c r="G2754" s="1508">
        <f t="shared" ref="G2754:G2817" si="392">G2084+M2084</f>
        <v>0</v>
      </c>
      <c r="H2754" s="1508">
        <f t="shared" si="384"/>
        <v>0</v>
      </c>
      <c r="I2754" s="1480">
        <v>0</v>
      </c>
      <c r="J2754" s="1480">
        <v>0</v>
      </c>
      <c r="K2754" s="1508"/>
      <c r="L2754" s="1508"/>
      <c r="M2754" s="1509">
        <f t="shared" si="385"/>
        <v>0</v>
      </c>
      <c r="N2754" s="1508">
        <f t="shared" si="386"/>
        <v>0</v>
      </c>
      <c r="O2754" s="1481">
        <f t="shared" ref="O2754:O2817" si="393">MAX(0,IF(M2754=0,0,IF(G2754+M2754&lt;E2754,M2754,E2754-G2754)))</f>
        <v>0</v>
      </c>
      <c r="P2754" s="1427">
        <f t="shared" ref="P2754:P2817" si="394">M2754-O2754</f>
        <v>0</v>
      </c>
    </row>
    <row r="2755" spans="1:16" ht="31" outlineLevel="1" x14ac:dyDescent="0.25">
      <c r="A2755" s="1482">
        <f t="shared" si="390"/>
        <v>11.4</v>
      </c>
      <c r="B2755" s="1483" t="str">
        <f t="shared" si="390"/>
        <v xml:space="preserve">Command &amp; control /video wall </v>
      </c>
      <c r="C2755" s="1482" t="str">
        <f t="shared" si="390"/>
        <v>MERC/TECH 1/CAPEX/20122013/00190</v>
      </c>
      <c r="D2755" s="1390">
        <f t="shared" si="390"/>
        <v>41382</v>
      </c>
      <c r="E2755" s="560">
        <f t="shared" si="390"/>
        <v>16</v>
      </c>
      <c r="F2755" s="1508">
        <f t="shared" si="391"/>
        <v>0</v>
      </c>
      <c r="G2755" s="1508">
        <f t="shared" si="392"/>
        <v>0</v>
      </c>
      <c r="H2755" s="1508">
        <f t="shared" ref="H2755:H2818" si="395">F2755-G2755</f>
        <v>0</v>
      </c>
      <c r="I2755" s="1480">
        <v>0</v>
      </c>
      <c r="J2755" s="1480">
        <v>0</v>
      </c>
      <c r="K2755" s="1508"/>
      <c r="L2755" s="1508"/>
      <c r="M2755" s="1509">
        <f t="shared" ref="M2755:M2818" si="396">SUM(J2755:L2755)</f>
        <v>0</v>
      </c>
      <c r="N2755" s="1508">
        <f t="shared" ref="N2755:N2818" si="397">H2755+I2755-M2755</f>
        <v>0</v>
      </c>
      <c r="O2755" s="1481">
        <f t="shared" si="393"/>
        <v>0</v>
      </c>
      <c r="P2755" s="1427">
        <f t="shared" si="394"/>
        <v>0</v>
      </c>
    </row>
    <row r="2756" spans="1:16" ht="31" outlineLevel="1" x14ac:dyDescent="0.25">
      <c r="A2756" s="1482">
        <f t="shared" si="390"/>
        <v>11.5</v>
      </c>
      <c r="B2756" s="1483" t="str">
        <f t="shared" si="390"/>
        <v xml:space="preserve">Communication </v>
      </c>
      <c r="C2756" s="1482" t="str">
        <f t="shared" si="390"/>
        <v>MERC/TECH 1/CAPEX/20122013/00190</v>
      </c>
      <c r="D2756" s="1390">
        <f t="shared" si="390"/>
        <v>41382</v>
      </c>
      <c r="E2756" s="560">
        <f t="shared" si="390"/>
        <v>0.45950000000000002</v>
      </c>
      <c r="F2756" s="1508">
        <f t="shared" si="391"/>
        <v>0</v>
      </c>
      <c r="G2756" s="1508">
        <f t="shared" si="392"/>
        <v>0</v>
      </c>
      <c r="H2756" s="1508">
        <f t="shared" si="395"/>
        <v>0</v>
      </c>
      <c r="I2756" s="1480">
        <v>0</v>
      </c>
      <c r="J2756" s="1480">
        <v>0</v>
      </c>
      <c r="K2756" s="1508"/>
      <c r="L2756" s="1508"/>
      <c r="M2756" s="1509">
        <f t="shared" si="396"/>
        <v>0</v>
      </c>
      <c r="N2756" s="1508">
        <f t="shared" si="397"/>
        <v>0</v>
      </c>
      <c r="O2756" s="1481">
        <f t="shared" si="393"/>
        <v>0</v>
      </c>
      <c r="P2756" s="1427">
        <f t="shared" si="394"/>
        <v>0</v>
      </c>
    </row>
    <row r="2757" spans="1:16" ht="31" outlineLevel="1" x14ac:dyDescent="0.25">
      <c r="A2757" s="1482">
        <f t="shared" si="390"/>
        <v>11.6</v>
      </c>
      <c r="B2757" s="1483" t="str">
        <f t="shared" si="390"/>
        <v>RFID</v>
      </c>
      <c r="C2757" s="1482" t="str">
        <f t="shared" si="390"/>
        <v>MERC/TECH 1/CAPEX/20122013/00190</v>
      </c>
      <c r="D2757" s="1390">
        <f t="shared" si="390"/>
        <v>41382</v>
      </c>
      <c r="E2757" s="560">
        <f t="shared" si="390"/>
        <v>0.83</v>
      </c>
      <c r="F2757" s="1508">
        <f t="shared" si="391"/>
        <v>0</v>
      </c>
      <c r="G2757" s="1508">
        <f t="shared" si="392"/>
        <v>0</v>
      </c>
      <c r="H2757" s="1508">
        <f t="shared" si="395"/>
        <v>0</v>
      </c>
      <c r="I2757" s="1480">
        <v>0</v>
      </c>
      <c r="J2757" s="1480">
        <v>0</v>
      </c>
      <c r="K2757" s="1508"/>
      <c r="L2757" s="1508"/>
      <c r="M2757" s="1509">
        <f t="shared" si="396"/>
        <v>0</v>
      </c>
      <c r="N2757" s="1508">
        <f t="shared" si="397"/>
        <v>0</v>
      </c>
      <c r="O2757" s="1481">
        <f t="shared" si="393"/>
        <v>0</v>
      </c>
      <c r="P2757" s="1427">
        <f t="shared" si="394"/>
        <v>0</v>
      </c>
    </row>
    <row r="2758" spans="1:16" ht="31" outlineLevel="1" x14ac:dyDescent="0.25">
      <c r="A2758" s="1482">
        <f t="shared" si="390"/>
        <v>11.7</v>
      </c>
      <c r="B2758" s="1483" t="str">
        <f t="shared" si="390"/>
        <v>LPR</v>
      </c>
      <c r="C2758" s="1482" t="str">
        <f t="shared" si="390"/>
        <v>MERC/TECH 1/CAPEX/20122013/00190</v>
      </c>
      <c r="D2758" s="1390">
        <f t="shared" si="390"/>
        <v>41382</v>
      </c>
      <c r="E2758" s="560">
        <f t="shared" si="390"/>
        <v>0.6</v>
      </c>
      <c r="F2758" s="1508">
        <f t="shared" si="391"/>
        <v>0</v>
      </c>
      <c r="G2758" s="1508">
        <f t="shared" si="392"/>
        <v>0</v>
      </c>
      <c r="H2758" s="1508">
        <f t="shared" si="395"/>
        <v>0</v>
      </c>
      <c r="I2758" s="1480">
        <v>0</v>
      </c>
      <c r="J2758" s="1480">
        <v>0</v>
      </c>
      <c r="K2758" s="1508"/>
      <c r="L2758" s="1508"/>
      <c r="M2758" s="1509">
        <f t="shared" si="396"/>
        <v>0</v>
      </c>
      <c r="N2758" s="1508">
        <f t="shared" si="397"/>
        <v>0</v>
      </c>
      <c r="O2758" s="1481">
        <f t="shared" si="393"/>
        <v>0</v>
      </c>
      <c r="P2758" s="1427">
        <f t="shared" si="394"/>
        <v>0</v>
      </c>
    </row>
    <row r="2759" spans="1:16" ht="31" outlineLevel="1" x14ac:dyDescent="0.25">
      <c r="A2759" s="1482">
        <f t="shared" si="390"/>
        <v>11.8</v>
      </c>
      <c r="B2759" s="1483" t="str">
        <f t="shared" si="390"/>
        <v xml:space="preserve">Electricals/networking </v>
      </c>
      <c r="C2759" s="1482" t="str">
        <f t="shared" si="390"/>
        <v>MERC/TECH 1/CAPEX/20122013/00190</v>
      </c>
      <c r="D2759" s="1390">
        <f t="shared" si="390"/>
        <v>41382</v>
      </c>
      <c r="E2759" s="560">
        <f t="shared" si="390"/>
        <v>2.8674249999999999</v>
      </c>
      <c r="F2759" s="1508">
        <f t="shared" si="391"/>
        <v>0</v>
      </c>
      <c r="G2759" s="1508">
        <f t="shared" si="392"/>
        <v>0</v>
      </c>
      <c r="H2759" s="1508">
        <f t="shared" si="395"/>
        <v>0</v>
      </c>
      <c r="I2759" s="1480">
        <v>0</v>
      </c>
      <c r="J2759" s="1480">
        <v>0</v>
      </c>
      <c r="K2759" s="1508"/>
      <c r="L2759" s="1508"/>
      <c r="M2759" s="1509">
        <f t="shared" si="396"/>
        <v>0</v>
      </c>
      <c r="N2759" s="1508">
        <f t="shared" si="397"/>
        <v>0</v>
      </c>
      <c r="O2759" s="1481">
        <f t="shared" si="393"/>
        <v>0</v>
      </c>
      <c r="P2759" s="1427">
        <f t="shared" si="394"/>
        <v>0</v>
      </c>
    </row>
    <row r="2760" spans="1:16" ht="31" outlineLevel="1" x14ac:dyDescent="0.25">
      <c r="A2760" s="1482">
        <f t="shared" si="390"/>
        <v>11.9</v>
      </c>
      <c r="B2760" s="1483" t="str">
        <f t="shared" si="390"/>
        <v xml:space="preserve">Infrastructure </v>
      </c>
      <c r="C2760" s="1482" t="str">
        <f t="shared" si="390"/>
        <v>MERC/TECH 1/CAPEX/20122013/00190</v>
      </c>
      <c r="D2760" s="1390">
        <f t="shared" si="390"/>
        <v>41382</v>
      </c>
      <c r="E2760" s="560">
        <f t="shared" si="390"/>
        <v>3.8959999999999999</v>
      </c>
      <c r="F2760" s="1508">
        <f t="shared" si="391"/>
        <v>0</v>
      </c>
      <c r="G2760" s="1508">
        <f t="shared" si="392"/>
        <v>0</v>
      </c>
      <c r="H2760" s="1508">
        <f t="shared" si="395"/>
        <v>0</v>
      </c>
      <c r="I2760" s="1480">
        <v>0</v>
      </c>
      <c r="J2760" s="1480">
        <v>0</v>
      </c>
      <c r="K2760" s="1508"/>
      <c r="L2760" s="1508"/>
      <c r="M2760" s="1509">
        <f t="shared" si="396"/>
        <v>0</v>
      </c>
      <c r="N2760" s="1508">
        <f t="shared" si="397"/>
        <v>0</v>
      </c>
      <c r="O2760" s="1481">
        <f t="shared" si="393"/>
        <v>0</v>
      </c>
      <c r="P2760" s="1427">
        <f t="shared" si="394"/>
        <v>0</v>
      </c>
    </row>
    <row r="2761" spans="1:16" ht="31" outlineLevel="1" x14ac:dyDescent="0.25">
      <c r="A2761" s="1482">
        <f t="shared" si="390"/>
        <v>0</v>
      </c>
      <c r="B2761" s="1483" t="str">
        <f t="shared" si="390"/>
        <v>IDC</v>
      </c>
      <c r="C2761" s="1482" t="str">
        <f t="shared" si="390"/>
        <v>MERC/TECH 1/CAPEX/20122013/00190</v>
      </c>
      <c r="D2761" s="1390">
        <f t="shared" si="390"/>
        <v>41382</v>
      </c>
      <c r="E2761" s="560">
        <f t="shared" si="390"/>
        <v>3.07</v>
      </c>
      <c r="F2761" s="1508">
        <f t="shared" si="391"/>
        <v>0</v>
      </c>
      <c r="G2761" s="1508">
        <f t="shared" si="392"/>
        <v>0</v>
      </c>
      <c r="H2761" s="1508">
        <f t="shared" si="395"/>
        <v>0</v>
      </c>
      <c r="I2761" s="1480">
        <v>0</v>
      </c>
      <c r="J2761" s="1480">
        <v>0</v>
      </c>
      <c r="K2761" s="1508"/>
      <c r="L2761" s="1508"/>
      <c r="M2761" s="1509">
        <f t="shared" si="396"/>
        <v>0</v>
      </c>
      <c r="N2761" s="1508">
        <f t="shared" si="397"/>
        <v>0</v>
      </c>
      <c r="O2761" s="1481">
        <f t="shared" si="393"/>
        <v>0</v>
      </c>
      <c r="P2761" s="1427">
        <f t="shared" si="394"/>
        <v>0</v>
      </c>
    </row>
    <row r="2762" spans="1:16" ht="31" outlineLevel="1" x14ac:dyDescent="0.25">
      <c r="A2762" s="1489">
        <f t="shared" si="390"/>
        <v>12</v>
      </c>
      <c r="B2762" s="1490" t="str">
        <f t="shared" si="390"/>
        <v>Revamping of existing SWAS installed at U#1 to 4 and commissioning of new  (AFGC) System of U#5&amp;7</v>
      </c>
      <c r="C2762" s="1486" t="str">
        <f t="shared" si="390"/>
        <v>MERC/TECH 1/CAPEX/20132014/01366</v>
      </c>
      <c r="D2762" s="1487">
        <f t="shared" si="390"/>
        <v>41551</v>
      </c>
      <c r="E2762" s="1383">
        <f t="shared" si="390"/>
        <v>10.083855999999999</v>
      </c>
      <c r="F2762" s="1480">
        <f t="shared" si="391"/>
        <v>0</v>
      </c>
      <c r="G2762" s="1480">
        <f t="shared" si="392"/>
        <v>0</v>
      </c>
      <c r="H2762" s="1480">
        <f t="shared" si="395"/>
        <v>0</v>
      </c>
      <c r="I2762" s="1480">
        <v>0</v>
      </c>
      <c r="J2762" s="1480">
        <v>0</v>
      </c>
      <c r="K2762" s="1480"/>
      <c r="L2762" s="1480"/>
      <c r="M2762" s="1480">
        <f t="shared" si="396"/>
        <v>0</v>
      </c>
      <c r="N2762" s="1480">
        <f t="shared" si="397"/>
        <v>0</v>
      </c>
      <c r="O2762" s="1481">
        <f t="shared" si="393"/>
        <v>0</v>
      </c>
      <c r="P2762" s="1427">
        <f t="shared" si="394"/>
        <v>0</v>
      </c>
    </row>
    <row r="2763" spans="1:16" ht="31" outlineLevel="1" x14ac:dyDescent="0.25">
      <c r="A2763" s="1484">
        <f t="shared" si="390"/>
        <v>12.1</v>
      </c>
      <c r="B2763" s="1485" t="str">
        <f t="shared" si="390"/>
        <v>AFGC U 5,7</v>
      </c>
      <c r="C2763" s="1482" t="str">
        <f t="shared" si="390"/>
        <v>MERC/TECH 1/CAPEX/20132014/01366</v>
      </c>
      <c r="D2763" s="1390">
        <f t="shared" si="390"/>
        <v>41551</v>
      </c>
      <c r="E2763" s="560">
        <f t="shared" si="390"/>
        <v>2.08</v>
      </c>
      <c r="F2763" s="1508">
        <f t="shared" si="391"/>
        <v>2.0369565389999997</v>
      </c>
      <c r="G2763" s="1508">
        <f t="shared" si="392"/>
        <v>2.0369565389999997</v>
      </c>
      <c r="H2763" s="1508">
        <f t="shared" si="395"/>
        <v>0</v>
      </c>
      <c r="I2763" s="1480">
        <v>0</v>
      </c>
      <c r="J2763" s="1480">
        <v>0</v>
      </c>
      <c r="K2763" s="1508"/>
      <c r="L2763" s="1508"/>
      <c r="M2763" s="1509">
        <f t="shared" si="396"/>
        <v>0</v>
      </c>
      <c r="N2763" s="1508">
        <f t="shared" si="397"/>
        <v>0</v>
      </c>
      <c r="O2763" s="1481">
        <f t="shared" si="393"/>
        <v>0</v>
      </c>
      <c r="P2763" s="1427">
        <f t="shared" si="394"/>
        <v>0</v>
      </c>
    </row>
    <row r="2764" spans="1:16" ht="31" outlineLevel="1" x14ac:dyDescent="0.25">
      <c r="A2764" s="1484">
        <f t="shared" si="390"/>
        <v>12.2</v>
      </c>
      <c r="B2764" s="1485" t="str">
        <f t="shared" si="390"/>
        <v>Dismantling and revamping of Sample panels of Unit 1 to 4. (4 Nos.)</v>
      </c>
      <c r="C2764" s="1488" t="str">
        <f t="shared" si="390"/>
        <v>MERC/TECH 1/CAPEX/20132014/01366</v>
      </c>
      <c r="D2764" s="1413">
        <f t="shared" si="390"/>
        <v>41551</v>
      </c>
      <c r="E2764" s="560">
        <f t="shared" si="390"/>
        <v>7.1338559999999998</v>
      </c>
      <c r="F2764" s="1508">
        <f t="shared" si="391"/>
        <v>5</v>
      </c>
      <c r="G2764" s="1508">
        <f t="shared" si="392"/>
        <v>5</v>
      </c>
      <c r="H2764" s="1508">
        <f t="shared" si="395"/>
        <v>0</v>
      </c>
      <c r="I2764" s="1480">
        <v>0</v>
      </c>
      <c r="J2764" s="1480">
        <v>0</v>
      </c>
      <c r="K2764" s="1508"/>
      <c r="L2764" s="1508"/>
      <c r="M2764" s="1509">
        <f t="shared" si="396"/>
        <v>0</v>
      </c>
      <c r="N2764" s="1508">
        <f t="shared" si="397"/>
        <v>0</v>
      </c>
      <c r="O2764" s="1481">
        <f t="shared" si="393"/>
        <v>0</v>
      </c>
      <c r="P2764" s="1427">
        <f t="shared" si="394"/>
        <v>0</v>
      </c>
    </row>
    <row r="2765" spans="1:16" ht="31" outlineLevel="1" x14ac:dyDescent="0.25">
      <c r="A2765" s="1484">
        <f t="shared" si="390"/>
        <v>0</v>
      </c>
      <c r="B2765" s="1485" t="str">
        <f t="shared" si="390"/>
        <v>IDC</v>
      </c>
      <c r="C2765" s="1482" t="str">
        <f t="shared" si="390"/>
        <v>MERC/TECH 1/CAPEX/20132014/01366</v>
      </c>
      <c r="D2765" s="1390">
        <f t="shared" si="390"/>
        <v>41551</v>
      </c>
      <c r="E2765" s="560">
        <f t="shared" si="390"/>
        <v>0.87</v>
      </c>
      <c r="F2765" s="1508">
        <f t="shared" si="391"/>
        <v>0</v>
      </c>
      <c r="G2765" s="1508">
        <f t="shared" si="392"/>
        <v>0</v>
      </c>
      <c r="H2765" s="1508">
        <f t="shared" si="395"/>
        <v>0</v>
      </c>
      <c r="I2765" s="1480">
        <v>0</v>
      </c>
      <c r="J2765" s="1480">
        <v>0</v>
      </c>
      <c r="K2765" s="1508"/>
      <c r="L2765" s="1508"/>
      <c r="M2765" s="1509">
        <f t="shared" si="396"/>
        <v>0</v>
      </c>
      <c r="N2765" s="1508">
        <f t="shared" si="397"/>
        <v>0</v>
      </c>
      <c r="O2765" s="1481">
        <f t="shared" si="393"/>
        <v>0</v>
      </c>
      <c r="P2765" s="1427">
        <f t="shared" si="394"/>
        <v>0</v>
      </c>
    </row>
    <row r="2766" spans="1:16" ht="31" outlineLevel="1" x14ac:dyDescent="0.25">
      <c r="A2766" s="1477">
        <f t="shared" si="390"/>
        <v>13</v>
      </c>
      <c r="B2766" s="1478" t="str">
        <f t="shared" si="390"/>
        <v>Replacements Platen Super Heater &amp; Eco Additional of U-5 &amp; U-6 and Upper &amp; Lower LTSH &amp; Eco Bottom assemblies of U-7</v>
      </c>
      <c r="C2766" s="1477" t="str">
        <f t="shared" si="390"/>
        <v>MERC/TECH 1/CAPEX/20132014/01936</v>
      </c>
      <c r="D2766" s="1479">
        <f t="shared" si="390"/>
        <v>41647</v>
      </c>
      <c r="E2766" s="1383">
        <f t="shared" si="390"/>
        <v>76.570000000000007</v>
      </c>
      <c r="F2766" s="1480">
        <f t="shared" si="391"/>
        <v>0</v>
      </c>
      <c r="G2766" s="1480">
        <f t="shared" si="392"/>
        <v>0</v>
      </c>
      <c r="H2766" s="1480">
        <f t="shared" si="395"/>
        <v>0</v>
      </c>
      <c r="I2766" s="1480">
        <v>0</v>
      </c>
      <c r="J2766" s="1480">
        <v>0</v>
      </c>
      <c r="K2766" s="1480"/>
      <c r="L2766" s="1480"/>
      <c r="M2766" s="1480">
        <f t="shared" si="396"/>
        <v>0</v>
      </c>
      <c r="N2766" s="1480">
        <f t="shared" si="397"/>
        <v>0</v>
      </c>
      <c r="O2766" s="1481">
        <f t="shared" si="393"/>
        <v>0</v>
      </c>
      <c r="P2766" s="1427">
        <f t="shared" si="394"/>
        <v>0</v>
      </c>
    </row>
    <row r="2767" spans="1:16" ht="31" outlineLevel="1" x14ac:dyDescent="0.25">
      <c r="A2767" s="1482">
        <f t="shared" si="390"/>
        <v>13.1</v>
      </c>
      <c r="B2767" s="1483" t="str">
        <f t="shared" si="390"/>
        <v>Platen super heater assemblies – 24 nos each for Unit-5 &amp; 6(2 sets)</v>
      </c>
      <c r="C2767" s="1482" t="str">
        <f t="shared" si="390"/>
        <v>MERC/TECH 1/CAPEX/20132014/01936</v>
      </c>
      <c r="D2767" s="1390">
        <f t="shared" si="390"/>
        <v>41647</v>
      </c>
      <c r="E2767" s="560">
        <f t="shared" si="390"/>
        <v>32.76</v>
      </c>
      <c r="F2767" s="1508">
        <f t="shared" si="391"/>
        <v>11.660929755000002</v>
      </c>
      <c r="G2767" s="1508">
        <f t="shared" si="392"/>
        <v>11.660929755000002</v>
      </c>
      <c r="H2767" s="1508">
        <f t="shared" si="395"/>
        <v>0</v>
      </c>
      <c r="I2767" s="1480">
        <v>0</v>
      </c>
      <c r="J2767" s="1480">
        <v>0</v>
      </c>
      <c r="K2767" s="1508"/>
      <c r="L2767" s="1508"/>
      <c r="M2767" s="1509">
        <f t="shared" si="396"/>
        <v>0</v>
      </c>
      <c r="N2767" s="1508">
        <f t="shared" si="397"/>
        <v>0</v>
      </c>
      <c r="O2767" s="1481">
        <f t="shared" si="393"/>
        <v>0</v>
      </c>
      <c r="P2767" s="1427">
        <f t="shared" si="394"/>
        <v>0</v>
      </c>
    </row>
    <row r="2768" spans="1:16" ht="31" outlineLevel="1" x14ac:dyDescent="0.25">
      <c r="A2768" s="1482">
        <f t="shared" si="390"/>
        <v>13.2</v>
      </c>
      <c r="B2768" s="1483" t="str">
        <f t="shared" si="390"/>
        <v>Economizer additional  Assemblies along with cassette baffles – 65 Nos. each for unit-  5 &amp; 6  (2Set )</v>
      </c>
      <c r="C2768" s="1482" t="str">
        <f t="shared" si="390"/>
        <v>MERC/TECH 1/CAPEX/20132014/01936</v>
      </c>
      <c r="D2768" s="1390">
        <f t="shared" si="390"/>
        <v>41647</v>
      </c>
      <c r="E2768" s="560">
        <f t="shared" si="390"/>
        <v>3.88</v>
      </c>
      <c r="F2768" s="1508">
        <f t="shared" si="391"/>
        <v>3.5012203659999996</v>
      </c>
      <c r="G2768" s="1508">
        <f t="shared" si="392"/>
        <v>3.5012203659999996</v>
      </c>
      <c r="H2768" s="1508">
        <f t="shared" si="395"/>
        <v>0</v>
      </c>
      <c r="I2768" s="1480">
        <v>0</v>
      </c>
      <c r="J2768" s="1480">
        <v>0</v>
      </c>
      <c r="K2768" s="1508"/>
      <c r="L2768" s="1508"/>
      <c r="M2768" s="1509">
        <f t="shared" si="396"/>
        <v>0</v>
      </c>
      <c r="N2768" s="1508">
        <f t="shared" si="397"/>
        <v>0</v>
      </c>
      <c r="O2768" s="1481">
        <f t="shared" si="393"/>
        <v>0</v>
      </c>
      <c r="P2768" s="1427">
        <f t="shared" si="394"/>
        <v>0</v>
      </c>
    </row>
    <row r="2769" spans="1:16" ht="31" outlineLevel="1" x14ac:dyDescent="0.25">
      <c r="A2769" s="1482">
        <f t="shared" si="390"/>
        <v>13.3</v>
      </c>
      <c r="B2769" s="1483" t="str">
        <f t="shared" si="390"/>
        <v>Upper LTSH  Assemblies along with cassette baffles – 62 Nos. each for unit – 7 (1 Set)</v>
      </c>
      <c r="C2769" s="1482" t="str">
        <f t="shared" si="390"/>
        <v>MERC/TECH 1/CAPEX/20132014/01936</v>
      </c>
      <c r="D2769" s="1390">
        <f t="shared" si="390"/>
        <v>41647</v>
      </c>
      <c r="E2769" s="560">
        <f t="shared" si="390"/>
        <v>9.81</v>
      </c>
      <c r="F2769" s="1508">
        <f t="shared" si="391"/>
        <v>4.9252947999999996</v>
      </c>
      <c r="G2769" s="1508">
        <f t="shared" si="392"/>
        <v>4.9252947999999996</v>
      </c>
      <c r="H2769" s="1508">
        <f t="shared" si="395"/>
        <v>0</v>
      </c>
      <c r="I2769" s="1480">
        <v>0</v>
      </c>
      <c r="J2769" s="1480">
        <v>0</v>
      </c>
      <c r="K2769" s="1508"/>
      <c r="L2769" s="1508"/>
      <c r="M2769" s="1509">
        <f t="shared" si="396"/>
        <v>0</v>
      </c>
      <c r="N2769" s="1508">
        <f t="shared" si="397"/>
        <v>0</v>
      </c>
      <c r="O2769" s="1481">
        <f t="shared" si="393"/>
        <v>0</v>
      </c>
      <c r="P2769" s="1427">
        <f t="shared" si="394"/>
        <v>0</v>
      </c>
    </row>
    <row r="2770" spans="1:16" ht="31" outlineLevel="1" x14ac:dyDescent="0.25">
      <c r="A2770" s="1482">
        <f t="shared" ref="A2770:E2785" si="398">A2100</f>
        <v>13.4</v>
      </c>
      <c r="B2770" s="1483" t="str">
        <f t="shared" si="398"/>
        <v>Lower LTSH  Assemblies along with cassette baffles  – 62Nos. for unit – 7 (1 Set)</v>
      </c>
      <c r="C2770" s="1482" t="str">
        <f t="shared" si="398"/>
        <v>MERC/TECH 1/CAPEX/20132014/01936</v>
      </c>
      <c r="D2770" s="1390">
        <f t="shared" si="398"/>
        <v>41647</v>
      </c>
      <c r="E2770" s="560">
        <f t="shared" si="398"/>
        <v>4.76</v>
      </c>
      <c r="F2770" s="1508">
        <f t="shared" si="391"/>
        <v>2.7667891</v>
      </c>
      <c r="G2770" s="1508">
        <f t="shared" si="392"/>
        <v>2.7667891</v>
      </c>
      <c r="H2770" s="1508">
        <f t="shared" si="395"/>
        <v>0</v>
      </c>
      <c r="I2770" s="1480">
        <v>0</v>
      </c>
      <c r="J2770" s="1480">
        <v>0</v>
      </c>
      <c r="K2770" s="1508"/>
      <c r="L2770" s="1508"/>
      <c r="M2770" s="1509">
        <f t="shared" si="396"/>
        <v>0</v>
      </c>
      <c r="N2770" s="1508">
        <f t="shared" si="397"/>
        <v>0</v>
      </c>
      <c r="O2770" s="1481">
        <f t="shared" si="393"/>
        <v>0</v>
      </c>
      <c r="P2770" s="1427">
        <f t="shared" si="394"/>
        <v>0</v>
      </c>
    </row>
    <row r="2771" spans="1:16" ht="31" outlineLevel="1" x14ac:dyDescent="0.25">
      <c r="A2771" s="1482">
        <f t="shared" si="398"/>
        <v>13.5</v>
      </c>
      <c r="B2771" s="1483" t="str">
        <f t="shared" si="398"/>
        <v>Lower Eco + Eco additional along with cassette baffles  for Unit-7</v>
      </c>
      <c r="C2771" s="1482" t="str">
        <f t="shared" si="398"/>
        <v>MERC/TECH 1/CAPEX/20132014/01936</v>
      </c>
      <c r="D2771" s="1390">
        <f t="shared" si="398"/>
        <v>41647</v>
      </c>
      <c r="E2771" s="560">
        <f t="shared" si="398"/>
        <v>13.41</v>
      </c>
      <c r="F2771" s="1508">
        <f t="shared" si="391"/>
        <v>6.3205716000000001</v>
      </c>
      <c r="G2771" s="1508">
        <f t="shared" si="392"/>
        <v>6.3205716000000001</v>
      </c>
      <c r="H2771" s="1508">
        <f t="shared" si="395"/>
        <v>0</v>
      </c>
      <c r="I2771" s="1480">
        <v>0</v>
      </c>
      <c r="J2771" s="1480">
        <v>0</v>
      </c>
      <c r="K2771" s="1508"/>
      <c r="L2771" s="1508"/>
      <c r="M2771" s="1509">
        <f t="shared" si="396"/>
        <v>0</v>
      </c>
      <c r="N2771" s="1508">
        <f t="shared" si="397"/>
        <v>0</v>
      </c>
      <c r="O2771" s="1481">
        <f t="shared" si="393"/>
        <v>0</v>
      </c>
      <c r="P2771" s="1427">
        <f t="shared" si="394"/>
        <v>0</v>
      </c>
    </row>
    <row r="2772" spans="1:16" ht="31" outlineLevel="1" x14ac:dyDescent="0.25">
      <c r="A2772" s="1482">
        <f t="shared" si="398"/>
        <v>13.6</v>
      </c>
      <c r="B2772" s="1483" t="str">
        <f t="shared" si="398"/>
        <v>Work Cost for Replacement of above Assemblies.</v>
      </c>
      <c r="C2772" s="1482" t="str">
        <f t="shared" si="398"/>
        <v>MERC/TECH 1/CAPEX/20132014/01936</v>
      </c>
      <c r="D2772" s="1390">
        <f t="shared" si="398"/>
        <v>41647</v>
      </c>
      <c r="E2772" s="560">
        <f t="shared" si="398"/>
        <v>5.05</v>
      </c>
      <c r="F2772" s="1508">
        <f t="shared" si="391"/>
        <v>0</v>
      </c>
      <c r="G2772" s="1508">
        <f t="shared" si="392"/>
        <v>0</v>
      </c>
      <c r="H2772" s="1508">
        <f t="shared" si="395"/>
        <v>0</v>
      </c>
      <c r="I2772" s="1480">
        <v>0</v>
      </c>
      <c r="J2772" s="1480">
        <v>0</v>
      </c>
      <c r="K2772" s="1508"/>
      <c r="L2772" s="1508"/>
      <c r="M2772" s="1509">
        <f t="shared" si="396"/>
        <v>0</v>
      </c>
      <c r="N2772" s="1508">
        <f t="shared" si="397"/>
        <v>0</v>
      </c>
      <c r="O2772" s="1481">
        <f t="shared" si="393"/>
        <v>0</v>
      </c>
      <c r="P2772" s="1427">
        <f t="shared" si="394"/>
        <v>0</v>
      </c>
    </row>
    <row r="2773" spans="1:16" ht="31" outlineLevel="1" x14ac:dyDescent="0.25">
      <c r="A2773" s="1482">
        <f t="shared" si="398"/>
        <v>0</v>
      </c>
      <c r="B2773" s="1483" t="str">
        <f t="shared" si="398"/>
        <v>IDC</v>
      </c>
      <c r="C2773" s="1482" t="str">
        <f t="shared" si="398"/>
        <v>MERC/TECH 1/CAPEX/20132014/01936</v>
      </c>
      <c r="D2773" s="1390">
        <f t="shared" si="398"/>
        <v>41647</v>
      </c>
      <c r="E2773" s="560">
        <f t="shared" si="398"/>
        <v>6.9</v>
      </c>
      <c r="F2773" s="1508">
        <f t="shared" si="391"/>
        <v>0</v>
      </c>
      <c r="G2773" s="1508">
        <f t="shared" si="392"/>
        <v>0</v>
      </c>
      <c r="H2773" s="1508">
        <f t="shared" si="395"/>
        <v>0</v>
      </c>
      <c r="I2773" s="1480">
        <v>0</v>
      </c>
      <c r="J2773" s="1480">
        <v>0</v>
      </c>
      <c r="K2773" s="1508"/>
      <c r="L2773" s="1508"/>
      <c r="M2773" s="1509">
        <f t="shared" si="396"/>
        <v>0</v>
      </c>
      <c r="N2773" s="1508">
        <f t="shared" si="397"/>
        <v>0</v>
      </c>
      <c r="O2773" s="1481">
        <f t="shared" si="393"/>
        <v>0</v>
      </c>
      <c r="P2773" s="1427">
        <f t="shared" si="394"/>
        <v>0</v>
      </c>
    </row>
    <row r="2774" spans="1:16" ht="31" outlineLevel="1" x14ac:dyDescent="0.25">
      <c r="A2774" s="1477">
        <f t="shared" si="398"/>
        <v>14</v>
      </c>
      <c r="B2774" s="1478" t="str">
        <f t="shared" si="398"/>
        <v>Procurement of Complete IPT Module for 500MW Unit-7 and Fully Bladed Rotor for LP Turbine of 500 MW Unit-5, 6, &amp; 7</v>
      </c>
      <c r="C2774" s="1477" t="str">
        <f t="shared" si="398"/>
        <v>MERC/TECH 1/CAPEX/20132014/01334</v>
      </c>
      <c r="D2774" s="1479">
        <f t="shared" si="398"/>
        <v>41548</v>
      </c>
      <c r="E2774" s="1383">
        <f t="shared" si="398"/>
        <v>83.823654699999992</v>
      </c>
      <c r="F2774" s="1480">
        <f t="shared" si="391"/>
        <v>0</v>
      </c>
      <c r="G2774" s="1480">
        <f t="shared" si="392"/>
        <v>0</v>
      </c>
      <c r="H2774" s="1480">
        <f t="shared" si="395"/>
        <v>0</v>
      </c>
      <c r="I2774" s="1480">
        <v>0</v>
      </c>
      <c r="J2774" s="1480">
        <v>0</v>
      </c>
      <c r="K2774" s="1480"/>
      <c r="L2774" s="1480"/>
      <c r="M2774" s="1480">
        <f t="shared" si="396"/>
        <v>0</v>
      </c>
      <c r="N2774" s="1480">
        <f t="shared" si="397"/>
        <v>0</v>
      </c>
      <c r="O2774" s="1481">
        <f t="shared" si="393"/>
        <v>0</v>
      </c>
      <c r="P2774" s="1427">
        <f t="shared" si="394"/>
        <v>0</v>
      </c>
    </row>
    <row r="2775" spans="1:16" ht="46.5" outlineLevel="1" x14ac:dyDescent="0.25">
      <c r="A2775" s="1482">
        <f t="shared" si="398"/>
        <v>14.1</v>
      </c>
      <c r="B2775" s="1483" t="str">
        <f t="shared" si="398"/>
        <v>IPT Module complete Type-M30-63 with advance class blading suitable for 500 MW Chandrapur Unit-7, Khaperkheda 1x500, Bhusawal 2x500</v>
      </c>
      <c r="C2775" s="1482" t="str">
        <f t="shared" si="398"/>
        <v>MERC/TECH 1/CAPEX/20132014/01334</v>
      </c>
      <c r="D2775" s="1390">
        <f t="shared" si="398"/>
        <v>41548</v>
      </c>
      <c r="E2775" s="560">
        <f t="shared" si="398"/>
        <v>48.039384900000002</v>
      </c>
      <c r="F2775" s="1508">
        <f t="shared" si="391"/>
        <v>48.039384900000002</v>
      </c>
      <c r="G2775" s="1508">
        <f t="shared" si="392"/>
        <v>48.039384900000002</v>
      </c>
      <c r="H2775" s="1508">
        <f t="shared" si="395"/>
        <v>0</v>
      </c>
      <c r="I2775" s="1480">
        <v>0</v>
      </c>
      <c r="J2775" s="1480">
        <v>0</v>
      </c>
      <c r="K2775" s="1508"/>
      <c r="L2775" s="1508"/>
      <c r="M2775" s="1509">
        <f t="shared" si="396"/>
        <v>0</v>
      </c>
      <c r="N2775" s="1508">
        <f t="shared" si="397"/>
        <v>0</v>
      </c>
      <c r="O2775" s="1481">
        <f t="shared" si="393"/>
        <v>0</v>
      </c>
      <c r="P2775" s="1427">
        <f t="shared" si="394"/>
        <v>0</v>
      </c>
    </row>
    <row r="2776" spans="1:16" ht="31" outlineLevel="1" x14ac:dyDescent="0.25">
      <c r="A2776" s="1482">
        <f t="shared" si="398"/>
        <v>14.2</v>
      </c>
      <c r="B2776" s="1483" t="str">
        <f t="shared" si="398"/>
        <v>Fully bladed dynamically balanced LP Rotor for 500 MW Units-5,6 &amp;7 at Chandrapur STPS</v>
      </c>
      <c r="C2776" s="1482" t="str">
        <f t="shared" si="398"/>
        <v>MERC/TECH 1/CAPEX/20132014/01334</v>
      </c>
      <c r="D2776" s="1390">
        <f t="shared" si="398"/>
        <v>41548</v>
      </c>
      <c r="E2776" s="560">
        <f t="shared" si="398"/>
        <v>35.784269799999997</v>
      </c>
      <c r="F2776" s="1508">
        <f t="shared" si="391"/>
        <v>35.784269799999997</v>
      </c>
      <c r="G2776" s="1508">
        <f t="shared" si="392"/>
        <v>35.784269799999997</v>
      </c>
      <c r="H2776" s="1508">
        <f t="shared" si="395"/>
        <v>0</v>
      </c>
      <c r="I2776" s="1480">
        <v>0</v>
      </c>
      <c r="J2776" s="1480">
        <v>0</v>
      </c>
      <c r="K2776" s="1508"/>
      <c r="L2776" s="1508"/>
      <c r="M2776" s="1509">
        <f t="shared" si="396"/>
        <v>0</v>
      </c>
      <c r="N2776" s="1508">
        <f t="shared" si="397"/>
        <v>0</v>
      </c>
      <c r="O2776" s="1481">
        <f t="shared" si="393"/>
        <v>0</v>
      </c>
      <c r="P2776" s="1427">
        <f t="shared" si="394"/>
        <v>0</v>
      </c>
    </row>
    <row r="2777" spans="1:16" ht="31" outlineLevel="1" x14ac:dyDescent="0.25">
      <c r="A2777" s="1477">
        <f t="shared" si="398"/>
        <v>15</v>
      </c>
      <c r="B2777" s="1478" t="str">
        <f t="shared" si="398"/>
        <v>Performance Improvement of Air Preheater Unit 1 &amp; 2 CSTPS Chandrapur</v>
      </c>
      <c r="C2777" s="1477" t="str">
        <f t="shared" si="398"/>
        <v>MERC/TECH 1/CAPEX/20132014/01431</v>
      </c>
      <c r="D2777" s="1479">
        <f t="shared" si="398"/>
        <v>41565</v>
      </c>
      <c r="E2777" s="1383">
        <f t="shared" si="398"/>
        <v>11.1699751</v>
      </c>
      <c r="F2777" s="1480">
        <f t="shared" si="391"/>
        <v>0</v>
      </c>
      <c r="G2777" s="1480">
        <f t="shared" si="392"/>
        <v>0</v>
      </c>
      <c r="H2777" s="1480">
        <f t="shared" si="395"/>
        <v>0</v>
      </c>
      <c r="I2777" s="1480">
        <v>0</v>
      </c>
      <c r="J2777" s="1480">
        <v>0</v>
      </c>
      <c r="K2777" s="1480"/>
      <c r="L2777" s="1480"/>
      <c r="M2777" s="1480">
        <f t="shared" si="396"/>
        <v>0</v>
      </c>
      <c r="N2777" s="1480">
        <f t="shared" si="397"/>
        <v>0</v>
      </c>
      <c r="O2777" s="1481">
        <f t="shared" si="393"/>
        <v>0</v>
      </c>
      <c r="P2777" s="1427">
        <f t="shared" si="394"/>
        <v>0</v>
      </c>
    </row>
    <row r="2778" spans="1:16" ht="31" outlineLevel="1" x14ac:dyDescent="0.25">
      <c r="A2778" s="1482">
        <f t="shared" si="398"/>
        <v>15.1</v>
      </c>
      <c r="B2778" s="1483" t="str">
        <f t="shared" si="398"/>
        <v xml:space="preserve">supply of MSERW / high frequency induction welding tubes for Air pre-heater in Unit 1&amp;2 </v>
      </c>
      <c r="C2778" s="1482" t="str">
        <f t="shared" si="398"/>
        <v>MERC/TECH 1/CAPEX/20132014/01431</v>
      </c>
      <c r="D2778" s="1390">
        <f t="shared" si="398"/>
        <v>41565</v>
      </c>
      <c r="E2778" s="560">
        <f t="shared" si="398"/>
        <v>8.8553540000000002</v>
      </c>
      <c r="F2778" s="1508">
        <f t="shared" si="391"/>
        <v>0</v>
      </c>
      <c r="G2778" s="1508">
        <f t="shared" si="392"/>
        <v>0</v>
      </c>
      <c r="H2778" s="1508">
        <f t="shared" si="395"/>
        <v>0</v>
      </c>
      <c r="I2778" s="1480">
        <v>0</v>
      </c>
      <c r="J2778" s="1480">
        <v>0</v>
      </c>
      <c r="K2778" s="1508"/>
      <c r="L2778" s="1508"/>
      <c r="M2778" s="1509">
        <f t="shared" si="396"/>
        <v>0</v>
      </c>
      <c r="N2778" s="1508">
        <f t="shared" si="397"/>
        <v>0</v>
      </c>
      <c r="O2778" s="1481">
        <f t="shared" si="393"/>
        <v>0</v>
      </c>
      <c r="P2778" s="1427">
        <f t="shared" si="394"/>
        <v>0</v>
      </c>
    </row>
    <row r="2779" spans="1:16" ht="31" outlineLevel="1" x14ac:dyDescent="0.25">
      <c r="A2779" s="1482">
        <f t="shared" si="398"/>
        <v>15.2</v>
      </c>
      <c r="B2779" s="1483" t="str">
        <f t="shared" si="398"/>
        <v xml:space="preserve">Compete Replacement of the air heater tubes in top ,intermediate and bottom bank(LHS and RHS) of unit 1 &amp; 2 </v>
      </c>
      <c r="C2779" s="1482" t="str">
        <f t="shared" si="398"/>
        <v>MERC/TECH 1/CAPEX/20132014/01431</v>
      </c>
      <c r="D2779" s="1390">
        <f t="shared" si="398"/>
        <v>41565</v>
      </c>
      <c r="E2779" s="560">
        <f t="shared" si="398"/>
        <v>2.14452</v>
      </c>
      <c r="F2779" s="1508">
        <f t="shared" si="391"/>
        <v>0</v>
      </c>
      <c r="G2779" s="1508">
        <f t="shared" si="392"/>
        <v>0</v>
      </c>
      <c r="H2779" s="1508">
        <f t="shared" si="395"/>
        <v>0</v>
      </c>
      <c r="I2779" s="1480">
        <v>0</v>
      </c>
      <c r="J2779" s="1480">
        <v>0</v>
      </c>
      <c r="K2779" s="1508"/>
      <c r="L2779" s="1508"/>
      <c r="M2779" s="1509">
        <f t="shared" si="396"/>
        <v>0</v>
      </c>
      <c r="N2779" s="1508">
        <f t="shared" si="397"/>
        <v>0</v>
      </c>
      <c r="O2779" s="1481">
        <f t="shared" si="393"/>
        <v>0</v>
      </c>
      <c r="P2779" s="1427">
        <f t="shared" si="394"/>
        <v>0</v>
      </c>
    </row>
    <row r="2780" spans="1:16" ht="31" outlineLevel="1" x14ac:dyDescent="0.25">
      <c r="A2780" s="1482">
        <f t="shared" si="398"/>
        <v>0</v>
      </c>
      <c r="B2780" s="1483" t="str">
        <f t="shared" si="398"/>
        <v>IDC</v>
      </c>
      <c r="C2780" s="1482" t="str">
        <f t="shared" si="398"/>
        <v>MERC/TECH 1/CAPEX/20132014/01431</v>
      </c>
      <c r="D2780" s="1390">
        <f t="shared" si="398"/>
        <v>41565</v>
      </c>
      <c r="E2780" s="560">
        <f t="shared" si="398"/>
        <v>0.17010110000000001</v>
      </c>
      <c r="F2780" s="1508">
        <f t="shared" si="391"/>
        <v>0</v>
      </c>
      <c r="G2780" s="1508">
        <f t="shared" si="392"/>
        <v>0</v>
      </c>
      <c r="H2780" s="1508">
        <f t="shared" si="395"/>
        <v>0</v>
      </c>
      <c r="I2780" s="1480">
        <v>0</v>
      </c>
      <c r="J2780" s="1480">
        <v>0</v>
      </c>
      <c r="K2780" s="1508"/>
      <c r="L2780" s="1508"/>
      <c r="M2780" s="1509">
        <f t="shared" si="396"/>
        <v>0</v>
      </c>
      <c r="N2780" s="1508">
        <f t="shared" si="397"/>
        <v>0</v>
      </c>
      <c r="O2780" s="1481">
        <f t="shared" si="393"/>
        <v>0</v>
      </c>
      <c r="P2780" s="1427">
        <f t="shared" si="394"/>
        <v>0</v>
      </c>
    </row>
    <row r="2781" spans="1:16" ht="31" outlineLevel="1" x14ac:dyDescent="0.25">
      <c r="A2781" s="1477">
        <f t="shared" si="398"/>
        <v>16</v>
      </c>
      <c r="B2781" s="1478" t="str">
        <f t="shared" si="398"/>
        <v>Procurement &amp; Replacement of heating elements (baskets) of primary and secondary air pre-heaters of unit # 5 &amp; 6</v>
      </c>
      <c r="C2781" s="1477" t="str">
        <f t="shared" si="398"/>
        <v>MERC/TECH 1/CAPEX/20142015/00432</v>
      </c>
      <c r="D2781" s="1479">
        <f t="shared" si="398"/>
        <v>41792</v>
      </c>
      <c r="E2781" s="1383">
        <f t="shared" si="398"/>
        <v>11.7446</v>
      </c>
      <c r="F2781" s="1480">
        <f t="shared" si="391"/>
        <v>0</v>
      </c>
      <c r="G2781" s="1480">
        <f t="shared" si="392"/>
        <v>0</v>
      </c>
      <c r="H2781" s="1480">
        <f t="shared" si="395"/>
        <v>0</v>
      </c>
      <c r="I2781" s="1480">
        <v>0</v>
      </c>
      <c r="J2781" s="1480">
        <v>0</v>
      </c>
      <c r="K2781" s="1480"/>
      <c r="L2781" s="1480"/>
      <c r="M2781" s="1480">
        <f t="shared" si="396"/>
        <v>0</v>
      </c>
      <c r="N2781" s="1480">
        <f t="shared" si="397"/>
        <v>0</v>
      </c>
      <c r="O2781" s="1481">
        <f t="shared" si="393"/>
        <v>0</v>
      </c>
      <c r="P2781" s="1427">
        <f t="shared" si="394"/>
        <v>0</v>
      </c>
    </row>
    <row r="2782" spans="1:16" ht="31" outlineLevel="1" x14ac:dyDescent="0.25">
      <c r="A2782" s="1482">
        <f t="shared" si="398"/>
        <v>16.100000000000001</v>
      </c>
      <c r="B2782" s="1483" t="str">
        <f t="shared" si="398"/>
        <v>Primary  &amp;  Secondary Air Pre-heater baskets hot end, intermediate  &amp; cold end (2 sets) for U-5 (Including works cost)</v>
      </c>
      <c r="C2782" s="1482" t="str">
        <f t="shared" si="398"/>
        <v>MERC/TECH 1/CAPEX/20142015/00432</v>
      </c>
      <c r="D2782" s="1390">
        <f t="shared" si="398"/>
        <v>41792</v>
      </c>
      <c r="E2782" s="560">
        <f t="shared" si="398"/>
        <v>5.5023</v>
      </c>
      <c r="F2782" s="1508">
        <f t="shared" si="391"/>
        <v>4.2318929900000004</v>
      </c>
      <c r="G2782" s="1508">
        <f t="shared" si="392"/>
        <v>4.2318929900000004</v>
      </c>
      <c r="H2782" s="1508">
        <f t="shared" si="395"/>
        <v>0</v>
      </c>
      <c r="I2782" s="1480">
        <v>0</v>
      </c>
      <c r="J2782" s="1480">
        <v>0</v>
      </c>
      <c r="K2782" s="1508"/>
      <c r="L2782" s="1508"/>
      <c r="M2782" s="1509">
        <f t="shared" si="396"/>
        <v>0</v>
      </c>
      <c r="N2782" s="1508">
        <f t="shared" si="397"/>
        <v>0</v>
      </c>
      <c r="O2782" s="1481">
        <f t="shared" si="393"/>
        <v>0</v>
      </c>
      <c r="P2782" s="1427">
        <f t="shared" si="394"/>
        <v>0</v>
      </c>
    </row>
    <row r="2783" spans="1:16" ht="31" outlineLevel="1" x14ac:dyDescent="0.25">
      <c r="A2783" s="1482">
        <f t="shared" si="398"/>
        <v>16.2</v>
      </c>
      <c r="B2783" s="1483" t="str">
        <f t="shared" si="398"/>
        <v>Primary  &amp;  Secondary Air Pre-heater baskets hot end, intermediate  &amp; cold end (2 sets) for U-6 (Including works cost)</v>
      </c>
      <c r="C2783" s="1482" t="str">
        <f t="shared" si="398"/>
        <v>MERC/TECH 1/CAPEX/20142015/00432</v>
      </c>
      <c r="D2783" s="1390">
        <f t="shared" si="398"/>
        <v>41792</v>
      </c>
      <c r="E2783" s="560">
        <f t="shared" si="398"/>
        <v>5.5023</v>
      </c>
      <c r="F2783" s="1508">
        <f t="shared" si="391"/>
        <v>4.5024009140000008</v>
      </c>
      <c r="G2783" s="1508">
        <f t="shared" si="392"/>
        <v>4.5024009140000008</v>
      </c>
      <c r="H2783" s="1508">
        <f t="shared" si="395"/>
        <v>0</v>
      </c>
      <c r="I2783" s="1480">
        <v>0</v>
      </c>
      <c r="J2783" s="1480">
        <v>0</v>
      </c>
      <c r="K2783" s="1508"/>
      <c r="L2783" s="1508"/>
      <c r="M2783" s="1509">
        <f t="shared" si="396"/>
        <v>0</v>
      </c>
      <c r="N2783" s="1508">
        <f t="shared" si="397"/>
        <v>0</v>
      </c>
      <c r="O2783" s="1481">
        <f t="shared" si="393"/>
        <v>0</v>
      </c>
      <c r="P2783" s="1427">
        <f t="shared" si="394"/>
        <v>0</v>
      </c>
    </row>
    <row r="2784" spans="1:16" ht="31" outlineLevel="1" x14ac:dyDescent="0.25">
      <c r="A2784" s="1482">
        <f t="shared" si="398"/>
        <v>0</v>
      </c>
      <c r="B2784" s="1483" t="str">
        <f t="shared" si="398"/>
        <v>IDC</v>
      </c>
      <c r="C2784" s="1482" t="str">
        <f t="shared" si="398"/>
        <v>MERC/TECH 1/CAPEX/20142015/00432</v>
      </c>
      <c r="D2784" s="1390">
        <f t="shared" si="398"/>
        <v>41792</v>
      </c>
      <c r="E2784" s="560">
        <f t="shared" si="398"/>
        <v>0.74</v>
      </c>
      <c r="F2784" s="1508">
        <f t="shared" si="391"/>
        <v>0</v>
      </c>
      <c r="G2784" s="1508">
        <f t="shared" si="392"/>
        <v>0</v>
      </c>
      <c r="H2784" s="1508">
        <f t="shared" si="395"/>
        <v>0</v>
      </c>
      <c r="I2784" s="1480">
        <v>0</v>
      </c>
      <c r="J2784" s="1480">
        <v>0</v>
      </c>
      <c r="K2784" s="1508"/>
      <c r="L2784" s="1508"/>
      <c r="M2784" s="1509">
        <f t="shared" si="396"/>
        <v>0</v>
      </c>
      <c r="N2784" s="1508">
        <f t="shared" si="397"/>
        <v>0</v>
      </c>
      <c r="O2784" s="1481">
        <f t="shared" si="393"/>
        <v>0</v>
      </c>
      <c r="P2784" s="1427">
        <f t="shared" si="394"/>
        <v>0</v>
      </c>
    </row>
    <row r="2785" spans="1:16" ht="31" outlineLevel="1" x14ac:dyDescent="0.25">
      <c r="A2785" s="1486">
        <f t="shared" si="398"/>
        <v>17</v>
      </c>
      <c r="B2785" s="1491" t="str">
        <f t="shared" si="398"/>
        <v>Procurement of moving blades for LP Turbine, Control Fluid Pumps &amp; AOP of 500MW Unit 5,6 &amp;7</v>
      </c>
      <c r="C2785" s="1486" t="str">
        <f t="shared" si="398"/>
        <v>MERC/TECH 1/CAPEX/20142015/0010</v>
      </c>
      <c r="D2785" s="1487">
        <f t="shared" si="398"/>
        <v>41928</v>
      </c>
      <c r="E2785" s="1383">
        <f t="shared" si="398"/>
        <v>19.310244699999998</v>
      </c>
      <c r="F2785" s="1480">
        <f t="shared" si="391"/>
        <v>0</v>
      </c>
      <c r="G2785" s="1480">
        <f t="shared" si="392"/>
        <v>0</v>
      </c>
      <c r="H2785" s="1480">
        <f t="shared" si="395"/>
        <v>0</v>
      </c>
      <c r="I2785" s="1480">
        <v>0</v>
      </c>
      <c r="J2785" s="1480">
        <v>0</v>
      </c>
      <c r="K2785" s="1480"/>
      <c r="L2785" s="1480"/>
      <c r="M2785" s="1480">
        <f t="shared" si="396"/>
        <v>0</v>
      </c>
      <c r="N2785" s="1480">
        <f t="shared" si="397"/>
        <v>0</v>
      </c>
      <c r="O2785" s="1481">
        <f t="shared" si="393"/>
        <v>0</v>
      </c>
      <c r="P2785" s="1427">
        <f t="shared" si="394"/>
        <v>0</v>
      </c>
    </row>
    <row r="2786" spans="1:16" ht="62" outlineLevel="1" x14ac:dyDescent="0.25">
      <c r="A2786" s="1488">
        <f t="shared" ref="A2786:E2801" si="399">A2116</f>
        <v>17.100000000000001</v>
      </c>
      <c r="B2786" s="1492" t="str">
        <f t="shared" si="399"/>
        <v>Moving blades for LPT—2L
Moving blades for LPT—2R
Moving blades for LPT—3L
Moving blades for LPT—3R</v>
      </c>
      <c r="C2786" s="1488" t="str">
        <f t="shared" si="399"/>
        <v>MERC/TECH 1/CAPEX/20142015/0010</v>
      </c>
      <c r="D2786" s="1413">
        <f t="shared" si="399"/>
        <v>41928</v>
      </c>
      <c r="E2786" s="560">
        <f t="shared" si="399"/>
        <v>13.5092</v>
      </c>
      <c r="F2786" s="1508">
        <f t="shared" si="391"/>
        <v>5.3885199799999999</v>
      </c>
      <c r="G2786" s="1508">
        <f t="shared" si="392"/>
        <v>5.3885199799999999</v>
      </c>
      <c r="H2786" s="1508">
        <f t="shared" si="395"/>
        <v>0</v>
      </c>
      <c r="I2786" s="1480">
        <v>0</v>
      </c>
      <c r="J2786" s="1480">
        <v>0</v>
      </c>
      <c r="K2786" s="1508"/>
      <c r="L2786" s="1508"/>
      <c r="M2786" s="1509">
        <f t="shared" si="396"/>
        <v>0</v>
      </c>
      <c r="N2786" s="1508">
        <f t="shared" si="397"/>
        <v>0</v>
      </c>
      <c r="O2786" s="1481">
        <f t="shared" si="393"/>
        <v>0</v>
      </c>
      <c r="P2786" s="1427">
        <f t="shared" si="394"/>
        <v>0</v>
      </c>
    </row>
    <row r="2787" spans="1:16" ht="93" outlineLevel="1" x14ac:dyDescent="0.25">
      <c r="A2787" s="1488">
        <f t="shared" si="399"/>
        <v>17.2</v>
      </c>
      <c r="B2787" s="1492" t="str">
        <f t="shared" si="399"/>
        <v>1. Control Fluid Pump for 500 MW Unit-5&amp;6_KSB Make- Type : WKVM 100/1+4
2. Control Fluid Pump for 500 MW Unit-7_KSB Make- Type : WKVM 80/1+3
3. Aux. Oil Pump for Main Turbine of 500 MW Unit-5,6&amp; 7
KSB Make- Type : ETA 150-50VL</v>
      </c>
      <c r="C2787" s="1488" t="str">
        <f t="shared" si="399"/>
        <v>MERC/TECH 1/CAPEX/20142015/0010</v>
      </c>
      <c r="D2787" s="1413">
        <f t="shared" si="399"/>
        <v>41928</v>
      </c>
      <c r="E2787" s="560">
        <f t="shared" si="399"/>
        <v>4.5510447000000003</v>
      </c>
      <c r="F2787" s="1508">
        <f t="shared" si="391"/>
        <v>7.2470200000000009</v>
      </c>
      <c r="G2787" s="1508">
        <f t="shared" si="392"/>
        <v>7.2470200000000009</v>
      </c>
      <c r="H2787" s="1508">
        <f t="shared" si="395"/>
        <v>0</v>
      </c>
      <c r="I2787" s="1480">
        <v>0</v>
      </c>
      <c r="J2787" s="1480">
        <v>0</v>
      </c>
      <c r="K2787" s="1508"/>
      <c r="L2787" s="1508"/>
      <c r="M2787" s="1509">
        <f t="shared" si="396"/>
        <v>0</v>
      </c>
      <c r="N2787" s="1508">
        <f t="shared" si="397"/>
        <v>0</v>
      </c>
      <c r="O2787" s="1481">
        <f t="shared" si="393"/>
        <v>0</v>
      </c>
      <c r="P2787" s="1427">
        <f t="shared" si="394"/>
        <v>0</v>
      </c>
    </row>
    <row r="2788" spans="1:16" ht="31" outlineLevel="1" x14ac:dyDescent="0.25">
      <c r="A2788" s="1482">
        <f t="shared" si="399"/>
        <v>0</v>
      </c>
      <c r="B2788" s="1483" t="str">
        <f t="shared" si="399"/>
        <v>IDC</v>
      </c>
      <c r="C2788" s="1482" t="str">
        <f t="shared" si="399"/>
        <v>MERC/TECH 1/CAPEX/20142015/0010</v>
      </c>
      <c r="D2788" s="1390">
        <f t="shared" si="399"/>
        <v>41928</v>
      </c>
      <c r="E2788" s="560">
        <f t="shared" si="399"/>
        <v>1.25</v>
      </c>
      <c r="F2788" s="1508">
        <f t="shared" si="391"/>
        <v>0</v>
      </c>
      <c r="G2788" s="1508">
        <f t="shared" si="392"/>
        <v>0</v>
      </c>
      <c r="H2788" s="1508">
        <f t="shared" si="395"/>
        <v>0</v>
      </c>
      <c r="I2788" s="1480">
        <v>0</v>
      </c>
      <c r="J2788" s="1480">
        <v>0</v>
      </c>
      <c r="K2788" s="1508"/>
      <c r="L2788" s="1508"/>
      <c r="M2788" s="1509">
        <f t="shared" si="396"/>
        <v>0</v>
      </c>
      <c r="N2788" s="1508">
        <f t="shared" si="397"/>
        <v>0</v>
      </c>
      <c r="O2788" s="1481">
        <f t="shared" si="393"/>
        <v>0</v>
      </c>
      <c r="P2788" s="1427">
        <f t="shared" si="394"/>
        <v>0</v>
      </c>
    </row>
    <row r="2789" spans="1:16" ht="31" outlineLevel="1" x14ac:dyDescent="0.25">
      <c r="A2789" s="1477">
        <f t="shared" si="399"/>
        <v>18</v>
      </c>
      <c r="B2789" s="1478" t="str">
        <f t="shared" si="399"/>
        <v>Procurement of Gear Box &amp; Wear Resistance liners for coal mills of Unit#5&amp;6 &amp; Supply of Gear Box for Coal Mills of Unit#7</v>
      </c>
      <c r="C2789" s="1477" t="str">
        <f t="shared" si="399"/>
        <v>MERC/TECH 1/CAPEX/20142015/01220</v>
      </c>
      <c r="D2789" s="1479">
        <f t="shared" si="399"/>
        <v>41968</v>
      </c>
      <c r="E2789" s="1383">
        <f t="shared" si="399"/>
        <v>11.914453259999998</v>
      </c>
      <c r="F2789" s="1480">
        <f t="shared" si="391"/>
        <v>0</v>
      </c>
      <c r="G2789" s="1480">
        <f t="shared" si="392"/>
        <v>0</v>
      </c>
      <c r="H2789" s="1480">
        <f t="shared" si="395"/>
        <v>0</v>
      </c>
      <c r="I2789" s="1480">
        <v>0</v>
      </c>
      <c r="J2789" s="1480">
        <v>0</v>
      </c>
      <c r="K2789" s="1480"/>
      <c r="L2789" s="1480"/>
      <c r="M2789" s="1480">
        <f t="shared" si="396"/>
        <v>0</v>
      </c>
      <c r="N2789" s="1480">
        <f t="shared" si="397"/>
        <v>0</v>
      </c>
      <c r="O2789" s="1481">
        <f t="shared" si="393"/>
        <v>0</v>
      </c>
      <c r="P2789" s="1427">
        <f t="shared" si="394"/>
        <v>0</v>
      </c>
    </row>
    <row r="2790" spans="1:16" ht="62" outlineLevel="1" x14ac:dyDescent="0.25">
      <c r="A2790" s="1482">
        <f t="shared" si="399"/>
        <v>18.100000000000001</v>
      </c>
      <c r="B2790" s="1483" t="str">
        <f t="shared" si="399"/>
        <v>Complete bevel gear stage consisting of pinion with part nos 100, 106, 107, 109, 110, 158, 159 and gear with part nos 102, 401, 402, 12 X 403 of Flender make Bocholt KMS 850 Gear Boxes of XRP-1043 Coal Mill in Unit#5&amp;6.</v>
      </c>
      <c r="C2790" s="1482" t="str">
        <f t="shared" si="399"/>
        <v>MERC/TECH 1/CAPEX/20142015/01220</v>
      </c>
      <c r="D2790" s="1390">
        <f t="shared" si="399"/>
        <v>41968</v>
      </c>
      <c r="E2790" s="560">
        <f t="shared" si="399"/>
        <v>4.4387999999999996</v>
      </c>
      <c r="F2790" s="1508">
        <f t="shared" si="391"/>
        <v>1.621920096</v>
      </c>
      <c r="G2790" s="1508">
        <f t="shared" si="392"/>
        <v>1.621920096</v>
      </c>
      <c r="H2790" s="1508">
        <f t="shared" si="395"/>
        <v>0</v>
      </c>
      <c r="I2790" s="1480">
        <v>0</v>
      </c>
      <c r="J2790" s="1480">
        <v>0</v>
      </c>
      <c r="K2790" s="1508"/>
      <c r="L2790" s="1508"/>
      <c r="M2790" s="1509">
        <f t="shared" si="396"/>
        <v>0</v>
      </c>
      <c r="N2790" s="1508">
        <f t="shared" si="397"/>
        <v>0</v>
      </c>
      <c r="O2790" s="1481">
        <f t="shared" si="393"/>
        <v>0</v>
      </c>
      <c r="P2790" s="1427">
        <f t="shared" si="394"/>
        <v>0</v>
      </c>
    </row>
    <row r="2791" spans="1:16" ht="31" outlineLevel="1" x14ac:dyDescent="0.25">
      <c r="A2791" s="1482">
        <f t="shared" si="399"/>
        <v>18.2</v>
      </c>
      <c r="B2791" s="1483" t="str">
        <f t="shared" si="399"/>
        <v>Manufacturing, Supply and Application of Wear Resistance Liners inside the mill body of XRP 1043 Coal Mill in unit-5&amp;6</v>
      </c>
      <c r="C2791" s="1482" t="str">
        <f t="shared" si="399"/>
        <v>MERC/TECH 1/CAPEX/20142015/01220</v>
      </c>
      <c r="D2791" s="1390">
        <f t="shared" si="399"/>
        <v>41968</v>
      </c>
      <c r="E2791" s="560">
        <f t="shared" si="399"/>
        <v>2.2756532600000003</v>
      </c>
      <c r="F2791" s="1508">
        <f t="shared" si="391"/>
        <v>2.2756532600000003</v>
      </c>
      <c r="G2791" s="1508">
        <f t="shared" si="392"/>
        <v>2.2756532600000003</v>
      </c>
      <c r="H2791" s="1508">
        <f t="shared" si="395"/>
        <v>0</v>
      </c>
      <c r="I2791" s="1480">
        <v>0</v>
      </c>
      <c r="J2791" s="1480">
        <v>0</v>
      </c>
      <c r="K2791" s="1508"/>
      <c r="L2791" s="1508"/>
      <c r="M2791" s="1509">
        <f t="shared" si="396"/>
        <v>0</v>
      </c>
      <c r="N2791" s="1508">
        <f t="shared" si="397"/>
        <v>0</v>
      </c>
      <c r="O2791" s="1481">
        <f t="shared" si="393"/>
        <v>0</v>
      </c>
      <c r="P2791" s="1427">
        <f t="shared" si="394"/>
        <v>0</v>
      </c>
    </row>
    <row r="2792" spans="1:16" ht="62" outlineLevel="1" x14ac:dyDescent="0.25">
      <c r="A2792" s="1482">
        <f t="shared" si="399"/>
        <v>18.3</v>
      </c>
      <c r="B2792" s="1483" t="str">
        <f t="shared" si="399"/>
        <v>Complete Gear Box type H2C630 without coupling, without lubrication unit. As per order CMD ref: 20/0900212-GA Dwg No 524932 and as per attached list for main reducer gear box of coal mill BBD 4772 in Unit#7.</v>
      </c>
      <c r="C2792" s="1482" t="str">
        <f t="shared" si="399"/>
        <v>MERC/TECH 1/CAPEX/20142015/01220</v>
      </c>
      <c r="D2792" s="1390">
        <f t="shared" si="399"/>
        <v>41968</v>
      </c>
      <c r="E2792" s="560">
        <f t="shared" si="399"/>
        <v>4.4664999999999999</v>
      </c>
      <c r="F2792" s="1508">
        <f t="shared" si="391"/>
        <v>2.2257651389999999</v>
      </c>
      <c r="G2792" s="1508">
        <f t="shared" si="392"/>
        <v>2.2257651389999999</v>
      </c>
      <c r="H2792" s="1508">
        <f t="shared" si="395"/>
        <v>0</v>
      </c>
      <c r="I2792" s="1480">
        <v>0</v>
      </c>
      <c r="J2792" s="1480">
        <v>0</v>
      </c>
      <c r="K2792" s="1508"/>
      <c r="L2792" s="1508"/>
      <c r="M2792" s="1509">
        <f t="shared" si="396"/>
        <v>0</v>
      </c>
      <c r="N2792" s="1508">
        <f t="shared" si="397"/>
        <v>0</v>
      </c>
      <c r="O2792" s="1481">
        <f t="shared" si="393"/>
        <v>0</v>
      </c>
      <c r="P2792" s="1427">
        <f t="shared" si="394"/>
        <v>0</v>
      </c>
    </row>
    <row r="2793" spans="1:16" ht="31" outlineLevel="1" x14ac:dyDescent="0.25">
      <c r="A2793" s="1482">
        <f t="shared" si="399"/>
        <v>0</v>
      </c>
      <c r="B2793" s="1483" t="str">
        <f t="shared" si="399"/>
        <v>IDC</v>
      </c>
      <c r="C2793" s="1482" t="str">
        <f t="shared" si="399"/>
        <v>MERC/TECH 1/CAPEX/20142015/01220</v>
      </c>
      <c r="D2793" s="1390">
        <f t="shared" si="399"/>
        <v>41968</v>
      </c>
      <c r="E2793" s="560">
        <f t="shared" si="399"/>
        <v>0.73350000000000004</v>
      </c>
      <c r="F2793" s="1508">
        <f t="shared" si="391"/>
        <v>0</v>
      </c>
      <c r="G2793" s="1508">
        <f t="shared" si="392"/>
        <v>0</v>
      </c>
      <c r="H2793" s="1508">
        <f t="shared" si="395"/>
        <v>0</v>
      </c>
      <c r="I2793" s="1480">
        <v>0</v>
      </c>
      <c r="J2793" s="1480">
        <v>0</v>
      </c>
      <c r="K2793" s="1508"/>
      <c r="L2793" s="1508"/>
      <c r="M2793" s="1509">
        <f t="shared" si="396"/>
        <v>0</v>
      </c>
      <c r="N2793" s="1508">
        <f t="shared" si="397"/>
        <v>0</v>
      </c>
      <c r="O2793" s="1481">
        <f t="shared" si="393"/>
        <v>0</v>
      </c>
      <c r="P2793" s="1427">
        <f t="shared" si="394"/>
        <v>0</v>
      </c>
    </row>
    <row r="2794" spans="1:16" ht="31" outlineLevel="1" x14ac:dyDescent="0.25">
      <c r="A2794" s="1477">
        <f t="shared" si="399"/>
        <v>19</v>
      </c>
      <c r="B2794" s="1478" t="str">
        <f t="shared" si="399"/>
        <v>Procurement &amp; Replacement of Condenser tubes for 500MW Unit-6 &amp; BFP cartridge for Unit 5, 6 &amp; 7</v>
      </c>
      <c r="C2794" s="1477" t="str">
        <f t="shared" si="399"/>
        <v>MERC/TECH 1/CAPEX/20142015/00950</v>
      </c>
      <c r="D2794" s="1479">
        <f t="shared" si="399"/>
        <v>41893</v>
      </c>
      <c r="E2794" s="1383">
        <f t="shared" si="399"/>
        <v>13.163734</v>
      </c>
      <c r="F2794" s="1480">
        <f t="shared" si="391"/>
        <v>0</v>
      </c>
      <c r="G2794" s="1480">
        <f t="shared" si="392"/>
        <v>0</v>
      </c>
      <c r="H2794" s="1480">
        <f t="shared" si="395"/>
        <v>0</v>
      </c>
      <c r="I2794" s="1480">
        <v>0</v>
      </c>
      <c r="J2794" s="1480">
        <v>0</v>
      </c>
      <c r="K2794" s="1480"/>
      <c r="L2794" s="1480"/>
      <c r="M2794" s="1480">
        <f t="shared" si="396"/>
        <v>0</v>
      </c>
      <c r="N2794" s="1480">
        <f t="shared" si="397"/>
        <v>0</v>
      </c>
      <c r="O2794" s="1481">
        <f t="shared" si="393"/>
        <v>0</v>
      </c>
      <c r="P2794" s="1427">
        <f t="shared" si="394"/>
        <v>0</v>
      </c>
    </row>
    <row r="2795" spans="1:16" ht="31" outlineLevel="1" x14ac:dyDescent="0.25">
      <c r="A2795" s="1482">
        <f t="shared" si="399"/>
        <v>19.100000000000001</v>
      </c>
      <c r="B2795" s="1483" t="str">
        <f t="shared" si="399"/>
        <v>Procurement of Cartridge Assembly for Boiler Feed Pump type FK 4E 36</v>
      </c>
      <c r="C2795" s="1482" t="str">
        <f t="shared" si="399"/>
        <v>MERC/TECH 1/CAPEX/20142015/00950</v>
      </c>
      <c r="D2795" s="1390">
        <f t="shared" si="399"/>
        <v>41893</v>
      </c>
      <c r="E2795" s="560">
        <f t="shared" si="399"/>
        <v>4.87</v>
      </c>
      <c r="F2795" s="1508">
        <f t="shared" si="391"/>
        <v>2.8937499999999998</v>
      </c>
      <c r="G2795" s="1508">
        <f t="shared" si="392"/>
        <v>2.8937499999999998</v>
      </c>
      <c r="H2795" s="1508">
        <f t="shared" si="395"/>
        <v>0</v>
      </c>
      <c r="I2795" s="1480">
        <v>0</v>
      </c>
      <c r="J2795" s="1480">
        <v>0</v>
      </c>
      <c r="K2795" s="1508"/>
      <c r="L2795" s="1508"/>
      <c r="M2795" s="1509">
        <f t="shared" si="396"/>
        <v>0</v>
      </c>
      <c r="N2795" s="1508">
        <f t="shared" si="397"/>
        <v>0</v>
      </c>
      <c r="O2795" s="1481">
        <f t="shared" si="393"/>
        <v>0</v>
      </c>
      <c r="P2795" s="1427">
        <f t="shared" si="394"/>
        <v>0</v>
      </c>
    </row>
    <row r="2796" spans="1:16" ht="31" outlineLevel="1" x14ac:dyDescent="0.25">
      <c r="A2796" s="1482">
        <f t="shared" si="399"/>
        <v>19.2</v>
      </c>
      <c r="B2796" s="1483" t="str">
        <f t="shared" si="399"/>
        <v>Procurement &amp; Replacement of Condenser tubes for 500MW Unit-6</v>
      </c>
      <c r="C2796" s="1482" t="str">
        <f t="shared" si="399"/>
        <v>MERC/TECH 1/CAPEX/20142015/00950</v>
      </c>
      <c r="D2796" s="1390">
        <f t="shared" si="399"/>
        <v>41893</v>
      </c>
      <c r="E2796" s="560">
        <f t="shared" si="399"/>
        <v>7.0937340000000004</v>
      </c>
      <c r="F2796" s="1508">
        <f t="shared" si="391"/>
        <v>6.1698368290000003</v>
      </c>
      <c r="G2796" s="1508">
        <f t="shared" si="392"/>
        <v>6.1698368290000003</v>
      </c>
      <c r="H2796" s="1508">
        <f t="shared" si="395"/>
        <v>0</v>
      </c>
      <c r="I2796" s="1480">
        <v>0</v>
      </c>
      <c r="J2796" s="1480">
        <v>0</v>
      </c>
      <c r="K2796" s="1508"/>
      <c r="L2796" s="1508"/>
      <c r="M2796" s="1509">
        <f t="shared" si="396"/>
        <v>0</v>
      </c>
      <c r="N2796" s="1508">
        <f t="shared" si="397"/>
        <v>0</v>
      </c>
      <c r="O2796" s="1481">
        <f t="shared" si="393"/>
        <v>0</v>
      </c>
      <c r="P2796" s="1427">
        <f t="shared" si="394"/>
        <v>0</v>
      </c>
    </row>
    <row r="2797" spans="1:16" ht="31" outlineLevel="1" x14ac:dyDescent="0.25">
      <c r="A2797" s="1482">
        <f t="shared" si="399"/>
        <v>0</v>
      </c>
      <c r="B2797" s="1483" t="str">
        <f t="shared" si="399"/>
        <v>IDC</v>
      </c>
      <c r="C2797" s="1482" t="str">
        <f t="shared" si="399"/>
        <v>MERC/TECH 1/CAPEX/20142015/00950</v>
      </c>
      <c r="D2797" s="1390">
        <f t="shared" si="399"/>
        <v>41893</v>
      </c>
      <c r="E2797" s="560">
        <f t="shared" si="399"/>
        <v>1.2</v>
      </c>
      <c r="F2797" s="1508">
        <f t="shared" si="391"/>
        <v>0</v>
      </c>
      <c r="G2797" s="1508">
        <f t="shared" si="392"/>
        <v>0</v>
      </c>
      <c r="H2797" s="1508">
        <f t="shared" si="395"/>
        <v>0</v>
      </c>
      <c r="I2797" s="1480">
        <v>0</v>
      </c>
      <c r="J2797" s="1480">
        <v>0</v>
      </c>
      <c r="K2797" s="1508"/>
      <c r="L2797" s="1508"/>
      <c r="M2797" s="1509">
        <f t="shared" si="396"/>
        <v>0</v>
      </c>
      <c r="N2797" s="1508">
        <f t="shared" si="397"/>
        <v>0</v>
      </c>
      <c r="O2797" s="1481">
        <f t="shared" si="393"/>
        <v>0</v>
      </c>
      <c r="P2797" s="1427">
        <f t="shared" si="394"/>
        <v>0</v>
      </c>
    </row>
    <row r="2798" spans="1:16" ht="31" outlineLevel="1" x14ac:dyDescent="0.25">
      <c r="A2798" s="1477">
        <f t="shared" si="399"/>
        <v>20</v>
      </c>
      <c r="B2798" s="1478" t="str">
        <f t="shared" si="399"/>
        <v>210/500 MW CHP performance improvement</v>
      </c>
      <c r="C2798" s="1477" t="str">
        <f t="shared" si="399"/>
        <v>MERC/Cell No. 1/CAPEX/ 20152016/00634</v>
      </c>
      <c r="D2798" s="1479">
        <f t="shared" si="399"/>
        <v>42256</v>
      </c>
      <c r="E2798" s="1383">
        <f t="shared" si="399"/>
        <v>16.303000000000001</v>
      </c>
      <c r="F2798" s="1480">
        <f t="shared" si="391"/>
        <v>0</v>
      </c>
      <c r="G2798" s="1480">
        <f t="shared" si="392"/>
        <v>0</v>
      </c>
      <c r="H2798" s="1480">
        <f t="shared" si="395"/>
        <v>0</v>
      </c>
      <c r="I2798" s="1480">
        <v>0</v>
      </c>
      <c r="J2798" s="1480">
        <v>0</v>
      </c>
      <c r="K2798" s="1480"/>
      <c r="L2798" s="1480"/>
      <c r="M2798" s="1480">
        <f t="shared" si="396"/>
        <v>0</v>
      </c>
      <c r="N2798" s="1480">
        <f t="shared" si="397"/>
        <v>0</v>
      </c>
      <c r="O2798" s="1481">
        <f t="shared" si="393"/>
        <v>0</v>
      </c>
      <c r="P2798" s="1427">
        <f t="shared" si="394"/>
        <v>0</v>
      </c>
    </row>
    <row r="2799" spans="1:16" ht="31" outlineLevel="1" x14ac:dyDescent="0.25">
      <c r="A2799" s="1482">
        <f t="shared" si="399"/>
        <v>20.100000000000001</v>
      </c>
      <c r="B2799" s="1483" t="str">
        <f t="shared" si="399"/>
        <v>Provision of over band suspended magnets for CHP-C.</v>
      </c>
      <c r="C2799" s="1482" t="str">
        <f t="shared" si="399"/>
        <v>MERC/Cell No. 1/CAPEX/ 20152016/00634</v>
      </c>
      <c r="D2799" s="1390">
        <f t="shared" si="399"/>
        <v>42256</v>
      </c>
      <c r="E2799" s="560">
        <f t="shared" si="399"/>
        <v>1.077</v>
      </c>
      <c r="F2799" s="1508">
        <f t="shared" si="391"/>
        <v>0.90834481999999994</v>
      </c>
      <c r="G2799" s="1508">
        <f t="shared" si="392"/>
        <v>0.90834481999999994</v>
      </c>
      <c r="H2799" s="1508">
        <f t="shared" si="395"/>
        <v>0</v>
      </c>
      <c r="I2799" s="1480">
        <v>0</v>
      </c>
      <c r="J2799" s="1480">
        <v>0</v>
      </c>
      <c r="K2799" s="1508"/>
      <c r="L2799" s="1508"/>
      <c r="M2799" s="1509">
        <f t="shared" si="396"/>
        <v>0</v>
      </c>
      <c r="N2799" s="1508">
        <f t="shared" si="397"/>
        <v>0</v>
      </c>
      <c r="O2799" s="1481">
        <f t="shared" si="393"/>
        <v>0</v>
      </c>
      <c r="P2799" s="1427">
        <f t="shared" si="394"/>
        <v>0</v>
      </c>
    </row>
    <row r="2800" spans="1:16" ht="62" outlineLevel="1" x14ac:dyDescent="0.25">
      <c r="A2800" s="1482">
        <f t="shared" si="399"/>
        <v>20.2</v>
      </c>
      <c r="B2800" s="1483" t="str">
        <f t="shared" si="399"/>
        <v>1. Procurement of HT contactor for bunkering side auxiliary at CHP B
2. Procurement of HT contactor for unloading side Critical Auxiliary at CHP-B</v>
      </c>
      <c r="C2800" s="1482" t="str">
        <f t="shared" si="399"/>
        <v>MERC/Cell No. 1/CAPEX/ 20152016/00634</v>
      </c>
      <c r="D2800" s="1390">
        <f t="shared" si="399"/>
        <v>42256</v>
      </c>
      <c r="E2800" s="560">
        <f t="shared" si="399"/>
        <v>5.7590000000000003</v>
      </c>
      <c r="F2800" s="1508">
        <f t="shared" si="391"/>
        <v>2.894304</v>
      </c>
      <c r="G2800" s="1508">
        <f t="shared" si="392"/>
        <v>2.894304</v>
      </c>
      <c r="H2800" s="1508">
        <f t="shared" si="395"/>
        <v>0</v>
      </c>
      <c r="I2800" s="1480">
        <v>0</v>
      </c>
      <c r="J2800" s="1480">
        <v>0</v>
      </c>
      <c r="K2800" s="1508"/>
      <c r="L2800" s="1508"/>
      <c r="M2800" s="1509">
        <f t="shared" si="396"/>
        <v>0</v>
      </c>
      <c r="N2800" s="1508">
        <f t="shared" si="397"/>
        <v>0</v>
      </c>
      <c r="O2800" s="1481">
        <f t="shared" si="393"/>
        <v>0</v>
      </c>
      <c r="P2800" s="1427">
        <f t="shared" si="394"/>
        <v>0</v>
      </c>
    </row>
    <row r="2801" spans="1:16" ht="31" outlineLevel="1" x14ac:dyDescent="0.25">
      <c r="A2801" s="1482">
        <f t="shared" si="399"/>
        <v>20.3</v>
      </c>
      <c r="B2801" s="1483" t="str">
        <f t="shared" si="399"/>
        <v>Bulldozer BD-155</v>
      </c>
      <c r="C2801" s="1482" t="str">
        <f t="shared" si="399"/>
        <v>MERC/Cell No. 1/CAPEX/ 20152016/00634</v>
      </c>
      <c r="D2801" s="1390">
        <f t="shared" si="399"/>
        <v>42256</v>
      </c>
      <c r="E2801" s="560">
        <f t="shared" si="399"/>
        <v>5.12</v>
      </c>
      <c r="F2801" s="1508">
        <f t="shared" si="391"/>
        <v>7.9707386820000004</v>
      </c>
      <c r="G2801" s="1508">
        <f t="shared" si="392"/>
        <v>7.9707386820000004</v>
      </c>
      <c r="H2801" s="1508">
        <f t="shared" si="395"/>
        <v>0</v>
      </c>
      <c r="I2801" s="1480">
        <v>0</v>
      </c>
      <c r="J2801" s="1480">
        <v>0</v>
      </c>
      <c r="K2801" s="1508"/>
      <c r="L2801" s="1508"/>
      <c r="M2801" s="1509">
        <f t="shared" si="396"/>
        <v>0</v>
      </c>
      <c r="N2801" s="1508">
        <f t="shared" si="397"/>
        <v>0</v>
      </c>
      <c r="O2801" s="1481">
        <f t="shared" si="393"/>
        <v>0</v>
      </c>
      <c r="P2801" s="1427">
        <f t="shared" si="394"/>
        <v>0</v>
      </c>
    </row>
    <row r="2802" spans="1:16" ht="31" outlineLevel="1" x14ac:dyDescent="0.25">
      <c r="A2802" s="1482">
        <f t="shared" ref="A2802:E2817" si="400">A2132</f>
        <v>20.399999999999999</v>
      </c>
      <c r="B2802" s="1483" t="str">
        <f t="shared" si="400"/>
        <v>Modification of wagon tippler CHP-A</v>
      </c>
      <c r="C2802" s="1482" t="str">
        <f t="shared" si="400"/>
        <v>MERC/Cell No. 1/CAPEX/ 20152016/00634</v>
      </c>
      <c r="D2802" s="1390">
        <f t="shared" si="400"/>
        <v>42256</v>
      </c>
      <c r="E2802" s="560">
        <f t="shared" si="400"/>
        <v>3.8969999999999998</v>
      </c>
      <c r="F2802" s="1508">
        <f t="shared" si="391"/>
        <v>4.488435977</v>
      </c>
      <c r="G2802" s="1508">
        <f t="shared" si="392"/>
        <v>4.488435977</v>
      </c>
      <c r="H2802" s="1508">
        <f t="shared" si="395"/>
        <v>0</v>
      </c>
      <c r="I2802" s="1480">
        <v>0</v>
      </c>
      <c r="J2802" s="1480">
        <v>0</v>
      </c>
      <c r="K2802" s="1508"/>
      <c r="L2802" s="1508"/>
      <c r="M2802" s="1509">
        <f t="shared" si="396"/>
        <v>0</v>
      </c>
      <c r="N2802" s="1508">
        <f t="shared" si="397"/>
        <v>0</v>
      </c>
      <c r="O2802" s="1481">
        <f t="shared" si="393"/>
        <v>0</v>
      </c>
      <c r="P2802" s="1427">
        <f t="shared" si="394"/>
        <v>0</v>
      </c>
    </row>
    <row r="2803" spans="1:16" ht="31" outlineLevel="1" x14ac:dyDescent="0.25">
      <c r="A2803" s="1482">
        <f t="shared" si="400"/>
        <v>0</v>
      </c>
      <c r="B2803" s="1483" t="str">
        <f t="shared" si="400"/>
        <v>IDC</v>
      </c>
      <c r="C2803" s="1482" t="str">
        <f t="shared" si="400"/>
        <v>MERC/Cell No. 1/CAPEX/ 20152016/00634</v>
      </c>
      <c r="D2803" s="1390">
        <f t="shared" si="400"/>
        <v>42256</v>
      </c>
      <c r="E2803" s="560">
        <f t="shared" si="400"/>
        <v>0.45</v>
      </c>
      <c r="F2803" s="1508">
        <f t="shared" si="391"/>
        <v>0</v>
      </c>
      <c r="G2803" s="1508">
        <f t="shared" si="392"/>
        <v>0</v>
      </c>
      <c r="H2803" s="1508">
        <f t="shared" si="395"/>
        <v>0</v>
      </c>
      <c r="I2803" s="1480">
        <v>0</v>
      </c>
      <c r="J2803" s="1480">
        <v>0</v>
      </c>
      <c r="K2803" s="1508"/>
      <c r="L2803" s="1508"/>
      <c r="M2803" s="1509">
        <f t="shared" si="396"/>
        <v>0</v>
      </c>
      <c r="N2803" s="1508">
        <f t="shared" si="397"/>
        <v>0</v>
      </c>
      <c r="O2803" s="1481">
        <f t="shared" si="393"/>
        <v>0</v>
      </c>
      <c r="P2803" s="1427">
        <f t="shared" si="394"/>
        <v>0</v>
      </c>
    </row>
    <row r="2804" spans="1:16" ht="15.5" outlineLevel="1" x14ac:dyDescent="0.25">
      <c r="A2804" s="1489">
        <f t="shared" si="400"/>
        <v>21</v>
      </c>
      <c r="B2804" s="1490" t="str">
        <f t="shared" si="400"/>
        <v>Improvement in Electrical Systems</v>
      </c>
      <c r="C2804" s="1477" t="str">
        <f t="shared" si="400"/>
        <v>MERC/CAPEX/20162017/00192</v>
      </c>
      <c r="D2804" s="1479">
        <f t="shared" si="400"/>
        <v>42500</v>
      </c>
      <c r="E2804" s="1383">
        <f t="shared" si="400"/>
        <v>10.499999999999998</v>
      </c>
      <c r="F2804" s="1480">
        <f t="shared" si="391"/>
        <v>0</v>
      </c>
      <c r="G2804" s="1480">
        <f t="shared" si="392"/>
        <v>0</v>
      </c>
      <c r="H2804" s="1480">
        <f t="shared" si="395"/>
        <v>0</v>
      </c>
      <c r="I2804" s="1480">
        <v>0</v>
      </c>
      <c r="J2804" s="1480">
        <v>0</v>
      </c>
      <c r="K2804" s="1480"/>
      <c r="L2804" s="1480"/>
      <c r="M2804" s="1480">
        <f t="shared" si="396"/>
        <v>0</v>
      </c>
      <c r="N2804" s="1480">
        <f t="shared" si="397"/>
        <v>0</v>
      </c>
      <c r="O2804" s="1481">
        <f t="shared" si="393"/>
        <v>0</v>
      </c>
      <c r="P2804" s="1427">
        <f t="shared" si="394"/>
        <v>0</v>
      </c>
    </row>
    <row r="2805" spans="1:16" ht="31" outlineLevel="1" x14ac:dyDescent="0.25">
      <c r="A2805" s="1484">
        <f t="shared" si="400"/>
        <v>21.1</v>
      </c>
      <c r="B2805" s="1485" t="str">
        <f t="shared" si="400"/>
        <v>Station Battery set 1 &amp; 2 of 220V, 2190  AH Capacity (2V X 110 Cells) New type Make- Exide</v>
      </c>
      <c r="C2805" s="1482" t="str">
        <f t="shared" si="400"/>
        <v>MERC/CAPEX/20162017/00192</v>
      </c>
      <c r="D2805" s="1390">
        <f t="shared" si="400"/>
        <v>42500</v>
      </c>
      <c r="E2805" s="560">
        <f t="shared" si="400"/>
        <v>2.71</v>
      </c>
      <c r="F2805" s="1508">
        <f t="shared" si="391"/>
        <v>3.7130741999999999</v>
      </c>
      <c r="G2805" s="1508">
        <f t="shared" si="392"/>
        <v>3.7130741</v>
      </c>
      <c r="H2805" s="1508">
        <f t="shared" si="395"/>
        <v>9.9999999836342113E-8</v>
      </c>
      <c r="I2805" s="1480">
        <v>0</v>
      </c>
      <c r="J2805" s="1480">
        <v>0</v>
      </c>
      <c r="K2805" s="1508"/>
      <c r="L2805" s="1508"/>
      <c r="M2805" s="1509">
        <f t="shared" si="396"/>
        <v>0</v>
      </c>
      <c r="N2805" s="1508">
        <f t="shared" si="397"/>
        <v>9.9999999836342113E-8</v>
      </c>
      <c r="O2805" s="1481">
        <f t="shared" si="393"/>
        <v>0</v>
      </c>
      <c r="P2805" s="1427">
        <f t="shared" si="394"/>
        <v>0</v>
      </c>
    </row>
    <row r="2806" spans="1:16" ht="31" outlineLevel="1" x14ac:dyDescent="0.25">
      <c r="A2806" s="1484">
        <f t="shared" si="400"/>
        <v>21.2</v>
      </c>
      <c r="B2806" s="1485" t="str">
        <f t="shared" si="400"/>
        <v>The G1 &amp; G2 Battery sets of 24V, 1825AH Capacity (13 Nos. cells X 2= 26 Nos. cells) plantetype Make- Exide</v>
      </c>
      <c r="C2806" s="1482" t="str">
        <f t="shared" si="400"/>
        <v>MERC/CAPEX/20162017/00192</v>
      </c>
      <c r="D2806" s="1390">
        <f t="shared" si="400"/>
        <v>42500</v>
      </c>
      <c r="E2806" s="560">
        <f t="shared" si="400"/>
        <v>0.55000000000000004</v>
      </c>
      <c r="F2806" s="1508">
        <f t="shared" si="391"/>
        <v>0.53016459999999999</v>
      </c>
      <c r="G2806" s="1508">
        <f t="shared" si="392"/>
        <v>0.53016459999999999</v>
      </c>
      <c r="H2806" s="1508">
        <f t="shared" si="395"/>
        <v>0</v>
      </c>
      <c r="I2806" s="1480">
        <v>0</v>
      </c>
      <c r="J2806" s="1480">
        <v>0</v>
      </c>
      <c r="K2806" s="1508"/>
      <c r="L2806" s="1508"/>
      <c r="M2806" s="1509">
        <f t="shared" si="396"/>
        <v>0</v>
      </c>
      <c r="N2806" s="1508">
        <f t="shared" si="397"/>
        <v>0</v>
      </c>
      <c r="O2806" s="1481">
        <f t="shared" si="393"/>
        <v>0</v>
      </c>
      <c r="P2806" s="1427">
        <f t="shared" si="394"/>
        <v>0</v>
      </c>
    </row>
    <row r="2807" spans="1:16" ht="31" outlineLevel="1" x14ac:dyDescent="0.25">
      <c r="A2807" s="1484">
        <f t="shared" si="400"/>
        <v>21.3</v>
      </c>
      <c r="B2807" s="1485" t="str">
        <f t="shared" si="400"/>
        <v>Replacement of 6.6 KV HT breakers at Ash Handling Plant by 6.6 KV SF6 contactors  suitable for frequent ON/OFFs.</v>
      </c>
      <c r="C2807" s="1482" t="str">
        <f t="shared" si="400"/>
        <v>MERC/CAPEX/20162017/00192</v>
      </c>
      <c r="D2807" s="1390">
        <f t="shared" si="400"/>
        <v>42500</v>
      </c>
      <c r="E2807" s="560">
        <f t="shared" si="400"/>
        <v>3.12</v>
      </c>
      <c r="F2807" s="1508">
        <f t="shared" si="391"/>
        <v>3.5539240080000001</v>
      </c>
      <c r="G2807" s="1508">
        <f t="shared" si="392"/>
        <v>3.5539240080000001</v>
      </c>
      <c r="H2807" s="1508">
        <f t="shared" si="395"/>
        <v>0</v>
      </c>
      <c r="I2807" s="1480">
        <v>0</v>
      </c>
      <c r="J2807" s="1480">
        <v>0</v>
      </c>
      <c r="K2807" s="1508"/>
      <c r="L2807" s="1508"/>
      <c r="M2807" s="1509">
        <f t="shared" si="396"/>
        <v>0</v>
      </c>
      <c r="N2807" s="1508">
        <f t="shared" si="397"/>
        <v>0</v>
      </c>
      <c r="O2807" s="1481">
        <f t="shared" si="393"/>
        <v>0</v>
      </c>
      <c r="P2807" s="1427">
        <f t="shared" si="394"/>
        <v>0</v>
      </c>
    </row>
    <row r="2808" spans="1:16" ht="15.5" outlineLevel="1" x14ac:dyDescent="0.25">
      <c r="A2808" s="1484">
        <f t="shared" si="400"/>
        <v>21.4</v>
      </c>
      <c r="B2808" s="1485" t="str">
        <f t="shared" si="400"/>
        <v>Micro-processor based flame scanners at Unit#3&amp;4 (210 MW)</v>
      </c>
      <c r="C2808" s="1482" t="str">
        <f t="shared" si="400"/>
        <v>MERC/CAPEX/20162017/00192</v>
      </c>
      <c r="D2808" s="1390">
        <f t="shared" si="400"/>
        <v>42500</v>
      </c>
      <c r="E2808" s="560">
        <f t="shared" si="400"/>
        <v>2.34</v>
      </c>
      <c r="F2808" s="1508">
        <f t="shared" si="391"/>
        <v>3.3241367359999998</v>
      </c>
      <c r="G2808" s="1508">
        <f t="shared" si="392"/>
        <v>3.3241367359999998</v>
      </c>
      <c r="H2808" s="1508">
        <f t="shared" si="395"/>
        <v>0</v>
      </c>
      <c r="I2808" s="1480">
        <v>0</v>
      </c>
      <c r="J2808" s="1480">
        <v>0</v>
      </c>
      <c r="K2808" s="1508"/>
      <c r="L2808" s="1508"/>
      <c r="M2808" s="1509">
        <f t="shared" si="396"/>
        <v>0</v>
      </c>
      <c r="N2808" s="1508">
        <f t="shared" si="397"/>
        <v>0</v>
      </c>
      <c r="O2808" s="1481">
        <f t="shared" si="393"/>
        <v>0</v>
      </c>
      <c r="P2808" s="1427">
        <f t="shared" si="394"/>
        <v>0</v>
      </c>
    </row>
    <row r="2809" spans="1:16" ht="46.5" outlineLevel="1" x14ac:dyDescent="0.25">
      <c r="A2809" s="1484">
        <f t="shared" si="400"/>
        <v>21.5</v>
      </c>
      <c r="B2809" s="1485" t="str">
        <f t="shared" si="400"/>
        <v>Supply, erection and commissioning of Generator Protection scheme as per enclosed material schedule and scope of work for Unit-6</v>
      </c>
      <c r="C2809" s="1482" t="str">
        <f t="shared" si="400"/>
        <v>MERC/CAPEX/20162017/00192</v>
      </c>
      <c r="D2809" s="1390">
        <f t="shared" si="400"/>
        <v>42500</v>
      </c>
      <c r="E2809" s="560">
        <f t="shared" si="400"/>
        <v>1.03</v>
      </c>
      <c r="F2809" s="1508">
        <f t="shared" si="391"/>
        <v>1.1915800000000001</v>
      </c>
      <c r="G2809" s="1508">
        <f t="shared" si="392"/>
        <v>1.1915800000000001</v>
      </c>
      <c r="H2809" s="1508">
        <f t="shared" si="395"/>
        <v>0</v>
      </c>
      <c r="I2809" s="1480">
        <v>0</v>
      </c>
      <c r="J2809" s="1480">
        <v>0</v>
      </c>
      <c r="K2809" s="1508"/>
      <c r="L2809" s="1508"/>
      <c r="M2809" s="1509">
        <f t="shared" si="396"/>
        <v>0</v>
      </c>
      <c r="N2809" s="1508">
        <f t="shared" si="397"/>
        <v>0</v>
      </c>
      <c r="O2809" s="1481">
        <f t="shared" si="393"/>
        <v>0</v>
      </c>
      <c r="P2809" s="1427">
        <f t="shared" si="394"/>
        <v>0</v>
      </c>
    </row>
    <row r="2810" spans="1:16" ht="15.5" outlineLevel="1" x14ac:dyDescent="0.25">
      <c r="A2810" s="1484">
        <f t="shared" si="400"/>
        <v>0</v>
      </c>
      <c r="B2810" s="1485" t="str">
        <f t="shared" si="400"/>
        <v>IDC</v>
      </c>
      <c r="C2810" s="1482" t="str">
        <f t="shared" si="400"/>
        <v>MERC/CAPEX/20162017/00192</v>
      </c>
      <c r="D2810" s="1390">
        <f t="shared" si="400"/>
        <v>42500</v>
      </c>
      <c r="E2810" s="560">
        <f t="shared" si="400"/>
        <v>0.75</v>
      </c>
      <c r="F2810" s="1508">
        <f t="shared" si="391"/>
        <v>0</v>
      </c>
      <c r="G2810" s="1508">
        <f t="shared" si="392"/>
        <v>0</v>
      </c>
      <c r="H2810" s="1508">
        <f t="shared" si="395"/>
        <v>0</v>
      </c>
      <c r="I2810" s="1480">
        <v>0</v>
      </c>
      <c r="J2810" s="1480">
        <v>0</v>
      </c>
      <c r="K2810" s="1508"/>
      <c r="L2810" s="1508"/>
      <c r="M2810" s="1509">
        <f t="shared" si="396"/>
        <v>0</v>
      </c>
      <c r="N2810" s="1508">
        <f t="shared" si="397"/>
        <v>0</v>
      </c>
      <c r="O2810" s="1481">
        <f t="shared" si="393"/>
        <v>0</v>
      </c>
      <c r="P2810" s="1427">
        <f t="shared" si="394"/>
        <v>0</v>
      </c>
    </row>
    <row r="2811" spans="1:16" ht="31" outlineLevel="1" x14ac:dyDescent="0.25">
      <c r="A2811" s="1489">
        <f t="shared" si="400"/>
        <v>22</v>
      </c>
      <c r="B2811" s="1490" t="str">
        <f t="shared" si="400"/>
        <v>Implementation of MPCB related ESP performance Improvement schemes at Chandrapur STPS Unit 3 to 7</v>
      </c>
      <c r="C2811" s="1486" t="str">
        <f t="shared" si="400"/>
        <v>MERC/CAPEX/20152016/00420</v>
      </c>
      <c r="D2811" s="1487">
        <f t="shared" si="400"/>
        <v>42584</v>
      </c>
      <c r="E2811" s="1383">
        <f t="shared" si="400"/>
        <v>18.170000000000002</v>
      </c>
      <c r="F2811" s="1480">
        <f t="shared" si="391"/>
        <v>0</v>
      </c>
      <c r="G2811" s="1480">
        <f t="shared" si="392"/>
        <v>0</v>
      </c>
      <c r="H2811" s="1480">
        <f t="shared" si="395"/>
        <v>0</v>
      </c>
      <c r="I2811" s="1480">
        <v>0</v>
      </c>
      <c r="J2811" s="1480">
        <v>0</v>
      </c>
      <c r="K2811" s="1480"/>
      <c r="L2811" s="1480"/>
      <c r="M2811" s="1480">
        <f t="shared" si="396"/>
        <v>0</v>
      </c>
      <c r="N2811" s="1480">
        <f t="shared" si="397"/>
        <v>0</v>
      </c>
      <c r="O2811" s="1481">
        <f t="shared" si="393"/>
        <v>0</v>
      </c>
      <c r="P2811" s="1427">
        <f t="shared" si="394"/>
        <v>0</v>
      </c>
    </row>
    <row r="2812" spans="1:16" ht="31" outlineLevel="1" x14ac:dyDescent="0.25">
      <c r="A2812" s="1484">
        <f t="shared" si="400"/>
        <v>22.1</v>
      </c>
      <c r="B2812" s="1485" t="str">
        <f t="shared" si="400"/>
        <v>Supply of internals of ESP. ( model-2FAA-5 X 32-13290-2) 1st &amp; 2nd fields in Unit #3 &amp; Works</v>
      </c>
      <c r="C2812" s="1488" t="str">
        <f t="shared" si="400"/>
        <v>MERC/CAPEX/20152016/00420</v>
      </c>
      <c r="D2812" s="1413">
        <f t="shared" si="400"/>
        <v>42584</v>
      </c>
      <c r="E2812" s="560">
        <f t="shared" si="400"/>
        <v>4.6100000000000003</v>
      </c>
      <c r="F2812" s="1508">
        <f t="shared" si="391"/>
        <v>3.9121787139999999</v>
      </c>
      <c r="G2812" s="1508">
        <f t="shared" si="392"/>
        <v>3.9121787139999999</v>
      </c>
      <c r="H2812" s="1508">
        <f t="shared" si="395"/>
        <v>0</v>
      </c>
      <c r="I2812" s="1480">
        <v>0</v>
      </c>
      <c r="J2812" s="1480">
        <v>0</v>
      </c>
      <c r="K2812" s="1508"/>
      <c r="L2812" s="1508"/>
      <c r="M2812" s="1509">
        <f t="shared" si="396"/>
        <v>0</v>
      </c>
      <c r="N2812" s="1508">
        <f t="shared" si="397"/>
        <v>0</v>
      </c>
      <c r="O2812" s="1481">
        <f t="shared" si="393"/>
        <v>0</v>
      </c>
      <c r="P2812" s="1427">
        <f t="shared" si="394"/>
        <v>0</v>
      </c>
    </row>
    <row r="2813" spans="1:16" ht="31" outlineLevel="1" x14ac:dyDescent="0.25">
      <c r="A2813" s="1484">
        <f t="shared" si="400"/>
        <v>22.2</v>
      </c>
      <c r="B2813" s="1485" t="str">
        <f t="shared" si="400"/>
        <v>Supply of internals of ESP. ( model-2FAA-5 X 32-13290-2) 1st &amp; 2nd fields in Unit #4 &amp; Works</v>
      </c>
      <c r="C2813" s="1488" t="str">
        <f t="shared" si="400"/>
        <v>MERC/CAPEX/20152016/00420</v>
      </c>
      <c r="D2813" s="1413">
        <f t="shared" si="400"/>
        <v>42584</v>
      </c>
      <c r="E2813" s="560">
        <f t="shared" si="400"/>
        <v>4.6100000000000003</v>
      </c>
      <c r="F2813" s="1508">
        <f t="shared" si="391"/>
        <v>4.6100000000000003</v>
      </c>
      <c r="G2813" s="1508">
        <f t="shared" si="392"/>
        <v>4.6100000000000003</v>
      </c>
      <c r="H2813" s="1508">
        <f t="shared" si="395"/>
        <v>0</v>
      </c>
      <c r="I2813" s="1480">
        <v>0</v>
      </c>
      <c r="J2813" s="1480">
        <v>0</v>
      </c>
      <c r="K2813" s="1508"/>
      <c r="L2813" s="1508"/>
      <c r="M2813" s="1509">
        <f t="shared" si="396"/>
        <v>0</v>
      </c>
      <c r="N2813" s="1508">
        <f t="shared" si="397"/>
        <v>0</v>
      </c>
      <c r="O2813" s="1481">
        <f t="shared" si="393"/>
        <v>0</v>
      </c>
      <c r="P2813" s="1427">
        <f t="shared" si="394"/>
        <v>0</v>
      </c>
    </row>
    <row r="2814" spans="1:16" ht="31" outlineLevel="1" x14ac:dyDescent="0.25">
      <c r="A2814" s="1484">
        <f t="shared" si="400"/>
        <v>22.3</v>
      </c>
      <c r="B2814" s="1485" t="str">
        <f t="shared" si="400"/>
        <v>Installation of SOx/ NOx analyzers for unit-3 to 7 along with all required hardware and software (Statutory requirement).</v>
      </c>
      <c r="C2814" s="1482" t="str">
        <f t="shared" si="400"/>
        <v>MERC/CAPEX/20152016/00420</v>
      </c>
      <c r="D2814" s="1390">
        <f t="shared" si="400"/>
        <v>42584</v>
      </c>
      <c r="E2814" s="560">
        <f t="shared" si="400"/>
        <v>2.98</v>
      </c>
      <c r="F2814" s="1508">
        <f t="shared" si="391"/>
        <v>1.37732225</v>
      </c>
      <c r="G2814" s="1508">
        <f t="shared" si="392"/>
        <v>1.37732225</v>
      </c>
      <c r="H2814" s="1508">
        <f t="shared" si="395"/>
        <v>0</v>
      </c>
      <c r="I2814" s="1480">
        <v>0</v>
      </c>
      <c r="J2814" s="1480">
        <v>0</v>
      </c>
      <c r="K2814" s="1508"/>
      <c r="L2814" s="1508"/>
      <c r="M2814" s="1509">
        <f t="shared" si="396"/>
        <v>0</v>
      </c>
      <c r="N2814" s="1508">
        <f t="shared" si="397"/>
        <v>0</v>
      </c>
      <c r="O2814" s="1481">
        <f t="shared" si="393"/>
        <v>0</v>
      </c>
      <c r="P2814" s="1427">
        <f t="shared" si="394"/>
        <v>0</v>
      </c>
    </row>
    <row r="2815" spans="1:16" ht="62" outlineLevel="1" x14ac:dyDescent="0.25">
      <c r="A2815" s="1484">
        <f t="shared" si="400"/>
        <v>22.4</v>
      </c>
      <c r="B2815" s="1485" t="str">
        <f t="shared" si="400"/>
        <v>Design, Engineering, Supply, Erection and Commissioning of High pressure MIST/FOG Generating System at Track hopper, WT 1 &amp; 2 of 500MW, Crusher House, Transfer Points &amp; Bunker house of 500MW</v>
      </c>
      <c r="C2815" s="1488" t="str">
        <f t="shared" si="400"/>
        <v>MERC/CAPEX/20152016/00420</v>
      </c>
      <c r="D2815" s="1413">
        <f t="shared" si="400"/>
        <v>42584</v>
      </c>
      <c r="E2815" s="560">
        <f t="shared" si="400"/>
        <v>5.37</v>
      </c>
      <c r="F2815" s="1508">
        <f t="shared" si="391"/>
        <v>4.5728099999999996</v>
      </c>
      <c r="G2815" s="1508">
        <f t="shared" si="392"/>
        <v>4.5728099999999996</v>
      </c>
      <c r="H2815" s="1508">
        <f t="shared" si="395"/>
        <v>0</v>
      </c>
      <c r="I2815" s="1480">
        <v>0</v>
      </c>
      <c r="J2815" s="1480">
        <v>0</v>
      </c>
      <c r="K2815" s="1508"/>
      <c r="L2815" s="1508"/>
      <c r="M2815" s="1509">
        <f t="shared" si="396"/>
        <v>0</v>
      </c>
      <c r="N2815" s="1508">
        <f t="shared" si="397"/>
        <v>0</v>
      </c>
      <c r="O2815" s="1481">
        <f t="shared" si="393"/>
        <v>0</v>
      </c>
      <c r="P2815" s="1427">
        <f t="shared" si="394"/>
        <v>0</v>
      </c>
    </row>
    <row r="2816" spans="1:16" ht="15.5" outlineLevel="1" x14ac:dyDescent="0.25">
      <c r="A2816" s="1484">
        <f t="shared" si="400"/>
        <v>0</v>
      </c>
      <c r="B2816" s="1485" t="str">
        <f t="shared" si="400"/>
        <v>IDC</v>
      </c>
      <c r="C2816" s="1482" t="str">
        <f t="shared" si="400"/>
        <v>MERC/CAPEX/20152016/00420</v>
      </c>
      <c r="D2816" s="1390">
        <f t="shared" si="400"/>
        <v>42584</v>
      </c>
      <c r="E2816" s="560">
        <f t="shared" si="400"/>
        <v>0.6</v>
      </c>
      <c r="F2816" s="1508">
        <f t="shared" si="391"/>
        <v>0</v>
      </c>
      <c r="G2816" s="1508">
        <f t="shared" si="392"/>
        <v>0</v>
      </c>
      <c r="H2816" s="1508">
        <f t="shared" si="395"/>
        <v>0</v>
      </c>
      <c r="I2816" s="1480">
        <v>0</v>
      </c>
      <c r="J2816" s="1480">
        <v>0</v>
      </c>
      <c r="K2816" s="1508"/>
      <c r="L2816" s="1508"/>
      <c r="M2816" s="1509">
        <f t="shared" si="396"/>
        <v>0</v>
      </c>
      <c r="N2816" s="1508">
        <f t="shared" si="397"/>
        <v>0</v>
      </c>
      <c r="O2816" s="1481">
        <f t="shared" si="393"/>
        <v>0</v>
      </c>
      <c r="P2816" s="1427">
        <f t="shared" si="394"/>
        <v>0</v>
      </c>
    </row>
    <row r="2817" spans="1:16" ht="15.5" outlineLevel="1" x14ac:dyDescent="0.25">
      <c r="A2817" s="1477">
        <f t="shared" si="400"/>
        <v>23</v>
      </c>
      <c r="B2817" s="1478" t="str">
        <f t="shared" si="400"/>
        <v>Performance Improvement &amp; Life enhancement of 500MW CHP-B</v>
      </c>
      <c r="C2817" s="1477" t="str">
        <f t="shared" si="400"/>
        <v>MERC/CAPEX/20162017/01067</v>
      </c>
      <c r="D2817" s="1479">
        <f t="shared" si="400"/>
        <v>42702</v>
      </c>
      <c r="E2817" s="1383">
        <f t="shared" si="400"/>
        <v>18.78</v>
      </c>
      <c r="F2817" s="1480">
        <f t="shared" si="391"/>
        <v>0</v>
      </c>
      <c r="G2817" s="1480">
        <f t="shared" si="392"/>
        <v>0</v>
      </c>
      <c r="H2817" s="1480">
        <f t="shared" si="395"/>
        <v>0</v>
      </c>
      <c r="I2817" s="1480">
        <v>0</v>
      </c>
      <c r="J2817" s="1480">
        <v>0</v>
      </c>
      <c r="K2817" s="1480"/>
      <c r="L2817" s="1480"/>
      <c r="M2817" s="1480">
        <f t="shared" si="396"/>
        <v>0</v>
      </c>
      <c r="N2817" s="1480">
        <f t="shared" si="397"/>
        <v>0</v>
      </c>
      <c r="O2817" s="1481">
        <f t="shared" si="393"/>
        <v>0</v>
      </c>
      <c r="P2817" s="1427">
        <f t="shared" si="394"/>
        <v>0</v>
      </c>
    </row>
    <row r="2818" spans="1:16" ht="15.5" outlineLevel="1" x14ac:dyDescent="0.25">
      <c r="A2818" s="1482">
        <f t="shared" ref="A2818:E2833" si="401">A2148</f>
        <v>23.1</v>
      </c>
      <c r="B2818" s="1483" t="str">
        <f t="shared" si="401"/>
        <v>Life Enhancement of Stacker reclaimer of CHP-B.</v>
      </c>
      <c r="C2818" s="1482" t="str">
        <f t="shared" si="401"/>
        <v>MERC/CAPEX/20162017/01067</v>
      </c>
      <c r="D2818" s="1390">
        <f t="shared" si="401"/>
        <v>42702</v>
      </c>
      <c r="E2818" s="560">
        <f t="shared" si="401"/>
        <v>5.76</v>
      </c>
      <c r="F2818" s="1508">
        <f t="shared" ref="F2818:F2881" si="402">F2148+I2148</f>
        <v>5.2949505139999999</v>
      </c>
      <c r="G2818" s="1508">
        <f t="shared" ref="G2818:G2881" si="403">G2148+M2148</f>
        <v>5.2949505139999999</v>
      </c>
      <c r="H2818" s="1508">
        <f t="shared" si="395"/>
        <v>0</v>
      </c>
      <c r="I2818" s="1480">
        <v>0</v>
      </c>
      <c r="J2818" s="1480">
        <v>0</v>
      </c>
      <c r="K2818" s="1508"/>
      <c r="L2818" s="1508"/>
      <c r="M2818" s="1509">
        <f t="shared" si="396"/>
        <v>0</v>
      </c>
      <c r="N2818" s="1508">
        <f t="shared" si="397"/>
        <v>0</v>
      </c>
      <c r="O2818" s="1481">
        <f t="shared" ref="O2818:O2881" si="404">MAX(0,IF(M2818=0,0,IF(G2818+M2818&lt;E2818,M2818,E2818-G2818)))</f>
        <v>0</v>
      </c>
      <c r="P2818" s="1427">
        <f t="shared" ref="P2818:P2881" si="405">M2818-O2818</f>
        <v>0</v>
      </c>
    </row>
    <row r="2819" spans="1:16" ht="31" outlineLevel="1" x14ac:dyDescent="0.25">
      <c r="A2819" s="1482">
        <f t="shared" si="401"/>
        <v>23.2</v>
      </c>
      <c r="B2819" s="1483" t="str">
        <f t="shared" si="401"/>
        <v>Renovation including replacement of hydraulic system of paddle feeder with up gradations at CHPB.</v>
      </c>
      <c r="C2819" s="1482" t="str">
        <f t="shared" si="401"/>
        <v>MERC/CAPEX/20162017/01067</v>
      </c>
      <c r="D2819" s="1390">
        <f t="shared" si="401"/>
        <v>42702</v>
      </c>
      <c r="E2819" s="560">
        <f t="shared" si="401"/>
        <v>2.19</v>
      </c>
      <c r="F2819" s="1508">
        <f t="shared" si="402"/>
        <v>2.3147547999999998</v>
      </c>
      <c r="G2819" s="1508">
        <f t="shared" si="403"/>
        <v>2.3147547999999998</v>
      </c>
      <c r="H2819" s="1508">
        <f t="shared" ref="H2819:H2874" si="406">F2819-G2819</f>
        <v>0</v>
      </c>
      <c r="I2819" s="1480">
        <v>0</v>
      </c>
      <c r="J2819" s="1480">
        <v>0</v>
      </c>
      <c r="K2819" s="1508"/>
      <c r="L2819" s="1508"/>
      <c r="M2819" s="1509">
        <f t="shared" ref="M2819:M2874" si="407">SUM(J2819:L2819)</f>
        <v>0</v>
      </c>
      <c r="N2819" s="1508">
        <f t="shared" ref="N2819:N2874" si="408">H2819+I2819-M2819</f>
        <v>0</v>
      </c>
      <c r="O2819" s="1481">
        <f t="shared" si="404"/>
        <v>0</v>
      </c>
      <c r="P2819" s="1427">
        <f t="shared" si="405"/>
        <v>0</v>
      </c>
    </row>
    <row r="2820" spans="1:16" ht="31" outlineLevel="1" x14ac:dyDescent="0.25">
      <c r="A2820" s="1482">
        <f t="shared" si="401"/>
        <v>23.3</v>
      </c>
      <c r="B2820" s="1483" t="str">
        <f t="shared" si="401"/>
        <v>Renovation of hydraulic system of wagon tippler and side arm charger with procurement of its essential spares at CHPB.</v>
      </c>
      <c r="C2820" s="1482" t="str">
        <f t="shared" si="401"/>
        <v>MERC/CAPEX/20162017/01067</v>
      </c>
      <c r="D2820" s="1390">
        <f t="shared" si="401"/>
        <v>42702</v>
      </c>
      <c r="E2820" s="560">
        <f t="shared" si="401"/>
        <v>10.33</v>
      </c>
      <c r="F2820" s="1508">
        <f t="shared" si="402"/>
        <v>11.7941</v>
      </c>
      <c r="G2820" s="1508">
        <f t="shared" si="403"/>
        <v>11.7941</v>
      </c>
      <c r="H2820" s="1508">
        <f t="shared" si="406"/>
        <v>0</v>
      </c>
      <c r="I2820" s="1480">
        <v>0</v>
      </c>
      <c r="J2820" s="1480">
        <v>0</v>
      </c>
      <c r="K2820" s="1508"/>
      <c r="L2820" s="1508"/>
      <c r="M2820" s="1509">
        <f t="shared" si="407"/>
        <v>0</v>
      </c>
      <c r="N2820" s="1508">
        <f t="shared" si="408"/>
        <v>0</v>
      </c>
      <c r="O2820" s="1481">
        <f t="shared" si="404"/>
        <v>0</v>
      </c>
      <c r="P2820" s="1427">
        <f t="shared" si="405"/>
        <v>0</v>
      </c>
    </row>
    <row r="2821" spans="1:16" ht="15.5" outlineLevel="1" x14ac:dyDescent="0.25">
      <c r="A2821" s="1482">
        <f t="shared" si="401"/>
        <v>0</v>
      </c>
      <c r="B2821" s="1483" t="str">
        <f t="shared" si="401"/>
        <v>IDC</v>
      </c>
      <c r="C2821" s="1482" t="str">
        <f t="shared" si="401"/>
        <v>MERC/CAPEX/20162017/01067</v>
      </c>
      <c r="D2821" s="1390">
        <f t="shared" si="401"/>
        <v>42702</v>
      </c>
      <c r="E2821" s="560">
        <f t="shared" si="401"/>
        <v>0.5</v>
      </c>
      <c r="F2821" s="1508">
        <f t="shared" si="402"/>
        <v>0</v>
      </c>
      <c r="G2821" s="1508">
        <f t="shared" si="403"/>
        <v>0</v>
      </c>
      <c r="H2821" s="1508">
        <f t="shared" si="406"/>
        <v>0</v>
      </c>
      <c r="I2821" s="1480">
        <v>0</v>
      </c>
      <c r="J2821" s="1480">
        <v>0</v>
      </c>
      <c r="K2821" s="1508"/>
      <c r="L2821" s="1508"/>
      <c r="M2821" s="1509">
        <f t="shared" si="407"/>
        <v>0</v>
      </c>
      <c r="N2821" s="1508">
        <f t="shared" si="408"/>
        <v>0</v>
      </c>
      <c r="O2821" s="1481">
        <f t="shared" si="404"/>
        <v>0</v>
      </c>
      <c r="P2821" s="1427">
        <f t="shared" si="405"/>
        <v>0</v>
      </c>
    </row>
    <row r="2822" spans="1:16" ht="31" outlineLevel="1" x14ac:dyDescent="0.25">
      <c r="A2822" s="1477">
        <f t="shared" si="401"/>
        <v>24</v>
      </c>
      <c r="B2822" s="1478" t="str">
        <f t="shared" si="401"/>
        <v>Retrofitting of existing circuit breakers at Chandrapur STPS Unit-3, 4, 5, 6 and ODP-II</v>
      </c>
      <c r="C2822" s="1477" t="str">
        <f t="shared" si="401"/>
        <v>MERC/CAPEX/20162017/01475</v>
      </c>
      <c r="D2822" s="1479">
        <f t="shared" si="401"/>
        <v>42772</v>
      </c>
      <c r="E2822" s="1383">
        <f t="shared" si="401"/>
        <v>13.700000000000001</v>
      </c>
      <c r="F2822" s="1480">
        <f t="shared" si="402"/>
        <v>0</v>
      </c>
      <c r="G2822" s="1480">
        <f t="shared" si="403"/>
        <v>0</v>
      </c>
      <c r="H2822" s="1480">
        <f t="shared" si="406"/>
        <v>0</v>
      </c>
      <c r="I2822" s="1480">
        <v>0</v>
      </c>
      <c r="J2822" s="1480">
        <v>0</v>
      </c>
      <c r="K2822" s="1480"/>
      <c r="L2822" s="1480"/>
      <c r="M2822" s="1480">
        <f t="shared" si="407"/>
        <v>0</v>
      </c>
      <c r="N2822" s="1480">
        <f t="shared" si="408"/>
        <v>0</v>
      </c>
      <c r="O2822" s="1481">
        <f t="shared" si="404"/>
        <v>0</v>
      </c>
      <c r="P2822" s="1427">
        <f t="shared" si="405"/>
        <v>0</v>
      </c>
    </row>
    <row r="2823" spans="1:16" ht="31" outlineLevel="1" x14ac:dyDescent="0.25">
      <c r="A2823" s="1482">
        <f t="shared" si="401"/>
        <v>24.1</v>
      </c>
      <c r="B2823" s="1483" t="str">
        <f t="shared" si="401"/>
        <v>Retrofitting of existing Circuit breakers of AHP motor feeders at Unit # 5 &amp; 6</v>
      </c>
      <c r="C2823" s="1482" t="str">
        <f t="shared" si="401"/>
        <v>MERC/CAPEX/20162017/01475</v>
      </c>
      <c r="D2823" s="1390">
        <f t="shared" si="401"/>
        <v>42772</v>
      </c>
      <c r="E2823" s="560">
        <f t="shared" si="401"/>
        <v>3.25</v>
      </c>
      <c r="F2823" s="1508">
        <f t="shared" si="402"/>
        <v>3.8744195499999998</v>
      </c>
      <c r="G2823" s="1508">
        <f t="shared" si="403"/>
        <v>3.8744195500000003</v>
      </c>
      <c r="H2823" s="1508">
        <f t="shared" si="406"/>
        <v>0</v>
      </c>
      <c r="I2823" s="1480">
        <v>0</v>
      </c>
      <c r="J2823" s="1480">
        <v>0</v>
      </c>
      <c r="K2823" s="1508"/>
      <c r="L2823" s="1508"/>
      <c r="M2823" s="1509">
        <f t="shared" si="407"/>
        <v>0</v>
      </c>
      <c r="N2823" s="1508">
        <f t="shared" si="408"/>
        <v>0</v>
      </c>
      <c r="O2823" s="1481">
        <f t="shared" si="404"/>
        <v>0</v>
      </c>
      <c r="P2823" s="1427">
        <f t="shared" si="405"/>
        <v>0</v>
      </c>
    </row>
    <row r="2824" spans="1:16" ht="31" outlineLevel="1" x14ac:dyDescent="0.25">
      <c r="A2824" s="1482">
        <f t="shared" si="401"/>
        <v>24.2</v>
      </c>
      <c r="B2824" s="1483" t="str">
        <f t="shared" si="401"/>
        <v>Retrofitting of existing Circuit breakers installed at Unit Boards at Unit –5  &amp; Aundha Pump House (ODP-II)</v>
      </c>
      <c r="C2824" s="1482" t="str">
        <f t="shared" si="401"/>
        <v>MERC/CAPEX/20162017/01475</v>
      </c>
      <c r="D2824" s="1390">
        <f t="shared" si="401"/>
        <v>42772</v>
      </c>
      <c r="E2824" s="560">
        <f t="shared" si="401"/>
        <v>3.46</v>
      </c>
      <c r="F2824" s="1508">
        <f t="shared" si="402"/>
        <v>3.5522795499999997</v>
      </c>
      <c r="G2824" s="1508">
        <f t="shared" si="403"/>
        <v>3.5522795500000002</v>
      </c>
      <c r="H2824" s="1508">
        <f t="shared" si="406"/>
        <v>0</v>
      </c>
      <c r="I2824" s="1480">
        <v>0</v>
      </c>
      <c r="J2824" s="1480">
        <v>0</v>
      </c>
      <c r="K2824" s="1508"/>
      <c r="L2824" s="1508"/>
      <c r="M2824" s="1509">
        <f t="shared" si="407"/>
        <v>0</v>
      </c>
      <c r="N2824" s="1508">
        <f t="shared" si="408"/>
        <v>0</v>
      </c>
      <c r="O2824" s="1481">
        <f t="shared" si="404"/>
        <v>0</v>
      </c>
      <c r="P2824" s="1427">
        <f t="shared" si="405"/>
        <v>0</v>
      </c>
    </row>
    <row r="2825" spans="1:16" ht="31" outlineLevel="1" x14ac:dyDescent="0.25">
      <c r="A2825" s="1482">
        <f t="shared" si="401"/>
        <v>24.3</v>
      </c>
      <c r="B2825" s="1483" t="str">
        <f t="shared" si="401"/>
        <v xml:space="preserve">Retrofitting of existing Circuit breakers installed at Unit Boards at Unit –3&amp;4 </v>
      </c>
      <c r="C2825" s="1482" t="str">
        <f t="shared" si="401"/>
        <v>MERC/CAPEX/20162017/01475</v>
      </c>
      <c r="D2825" s="1390">
        <f t="shared" si="401"/>
        <v>42772</v>
      </c>
      <c r="E2825" s="560">
        <f t="shared" si="401"/>
        <v>6.19</v>
      </c>
      <c r="F2825" s="1508">
        <f t="shared" si="402"/>
        <v>4.5767479</v>
      </c>
      <c r="G2825" s="1508">
        <f t="shared" si="403"/>
        <v>4.5767479</v>
      </c>
      <c r="H2825" s="1508">
        <f t="shared" si="406"/>
        <v>0</v>
      </c>
      <c r="I2825" s="1480">
        <v>0</v>
      </c>
      <c r="J2825" s="1480">
        <v>0</v>
      </c>
      <c r="K2825" s="1508"/>
      <c r="L2825" s="1508"/>
      <c r="M2825" s="1509">
        <f t="shared" si="407"/>
        <v>0</v>
      </c>
      <c r="N2825" s="1508">
        <f t="shared" si="408"/>
        <v>0</v>
      </c>
      <c r="O2825" s="1481">
        <f t="shared" si="404"/>
        <v>0</v>
      </c>
      <c r="P2825" s="1427">
        <f t="shared" si="405"/>
        <v>0</v>
      </c>
    </row>
    <row r="2826" spans="1:16" ht="15.5" outlineLevel="1" x14ac:dyDescent="0.25">
      <c r="A2826" s="1482">
        <f t="shared" si="401"/>
        <v>0</v>
      </c>
      <c r="B2826" s="1483" t="str">
        <f t="shared" si="401"/>
        <v>IDC</v>
      </c>
      <c r="C2826" s="1482" t="str">
        <f t="shared" si="401"/>
        <v>MERC/CAPEX/20162017/01475</v>
      </c>
      <c r="D2826" s="1390">
        <f t="shared" si="401"/>
        <v>42772</v>
      </c>
      <c r="E2826" s="560">
        <f t="shared" si="401"/>
        <v>0.8</v>
      </c>
      <c r="F2826" s="1508">
        <f t="shared" si="402"/>
        <v>0</v>
      </c>
      <c r="G2826" s="1508">
        <f t="shared" si="403"/>
        <v>0</v>
      </c>
      <c r="H2826" s="1508">
        <f t="shared" si="406"/>
        <v>0</v>
      </c>
      <c r="I2826" s="1480">
        <v>0</v>
      </c>
      <c r="J2826" s="1480">
        <v>0</v>
      </c>
      <c r="K2826" s="1508"/>
      <c r="L2826" s="1508"/>
      <c r="M2826" s="1509">
        <f t="shared" si="407"/>
        <v>0</v>
      </c>
      <c r="N2826" s="1508">
        <f t="shared" si="408"/>
        <v>0</v>
      </c>
      <c r="O2826" s="1481">
        <f t="shared" si="404"/>
        <v>0</v>
      </c>
      <c r="P2826" s="1427">
        <f t="shared" si="405"/>
        <v>0</v>
      </c>
    </row>
    <row r="2827" spans="1:16" ht="31" outlineLevel="1" x14ac:dyDescent="0.25">
      <c r="A2827" s="1489">
        <f t="shared" si="401"/>
        <v>25</v>
      </c>
      <c r="B2827" s="1490" t="str">
        <f t="shared" si="401"/>
        <v>Construction of Quarter Guard, Bachelor Accomodation &amp; Allied Structures in Phase I &amp; II for Induction of CISF Security</v>
      </c>
      <c r="C2827" s="1477" t="str">
        <f t="shared" si="401"/>
        <v>MERC/CAPEX/20162017/01269</v>
      </c>
      <c r="D2827" s="1479">
        <f t="shared" si="401"/>
        <v>42737</v>
      </c>
      <c r="E2827" s="1383">
        <f t="shared" si="401"/>
        <v>14.686</v>
      </c>
      <c r="F2827" s="1480">
        <f t="shared" si="402"/>
        <v>0</v>
      </c>
      <c r="G2827" s="1480">
        <f t="shared" si="403"/>
        <v>0</v>
      </c>
      <c r="H2827" s="1480">
        <f t="shared" si="406"/>
        <v>0</v>
      </c>
      <c r="I2827" s="1480">
        <v>0</v>
      </c>
      <c r="J2827" s="1480">
        <v>0</v>
      </c>
      <c r="K2827" s="1480"/>
      <c r="L2827" s="1480"/>
      <c r="M2827" s="1480">
        <f t="shared" si="407"/>
        <v>0</v>
      </c>
      <c r="N2827" s="1480">
        <f t="shared" si="408"/>
        <v>0</v>
      </c>
      <c r="O2827" s="1481">
        <f t="shared" si="404"/>
        <v>0</v>
      </c>
      <c r="P2827" s="1427">
        <f t="shared" si="405"/>
        <v>0</v>
      </c>
    </row>
    <row r="2828" spans="1:16" ht="31" outlineLevel="1" x14ac:dyDescent="0.25">
      <c r="A2828" s="1484">
        <f t="shared" si="401"/>
        <v>25.1</v>
      </c>
      <c r="B2828" s="1485" t="str">
        <f t="shared" si="401"/>
        <v>Construction of Quarter Guard, Bachelor Accomodation &amp; Allied Structures in Phase I &amp; II for Induction of CISF Security</v>
      </c>
      <c r="C2828" s="1482" t="str">
        <f t="shared" si="401"/>
        <v>MERC/CAPEX/20162017/01269</v>
      </c>
      <c r="D2828" s="1390">
        <f t="shared" si="401"/>
        <v>42737</v>
      </c>
      <c r="E2828" s="560">
        <f t="shared" si="401"/>
        <v>14.686</v>
      </c>
      <c r="F2828" s="1508">
        <f t="shared" si="402"/>
        <v>14.690374417000001</v>
      </c>
      <c r="G2828" s="1508">
        <f t="shared" si="403"/>
        <v>14.690374417000001</v>
      </c>
      <c r="H2828" s="1508">
        <f t="shared" si="406"/>
        <v>0</v>
      </c>
      <c r="I2828" s="1480">
        <v>0</v>
      </c>
      <c r="J2828" s="1480">
        <v>0</v>
      </c>
      <c r="K2828" s="1508"/>
      <c r="L2828" s="1508"/>
      <c r="M2828" s="1509">
        <f t="shared" si="407"/>
        <v>0</v>
      </c>
      <c r="N2828" s="1508">
        <f t="shared" si="408"/>
        <v>0</v>
      </c>
      <c r="O2828" s="1481">
        <f t="shared" si="404"/>
        <v>0</v>
      </c>
      <c r="P2828" s="1427">
        <f t="shared" si="405"/>
        <v>0</v>
      </c>
    </row>
    <row r="2829" spans="1:16" ht="31" outlineLevel="1" x14ac:dyDescent="0.25">
      <c r="A2829" s="1489">
        <f t="shared" si="401"/>
        <v>26</v>
      </c>
      <c r="B2829" s="1490" t="str">
        <f t="shared" si="401"/>
        <v>Pipe Conveyor System for Transporting Coal from Bhatadi Coal Mine to Chandrapur STPS.</v>
      </c>
      <c r="C2829" s="1477" t="str">
        <f t="shared" si="401"/>
        <v>MERC/CAPEX/20172018/4171</v>
      </c>
      <c r="D2829" s="1479">
        <f t="shared" si="401"/>
        <v>42986</v>
      </c>
      <c r="E2829" s="1383">
        <f t="shared" si="401"/>
        <v>196.26</v>
      </c>
      <c r="F2829" s="1480">
        <f t="shared" si="402"/>
        <v>0</v>
      </c>
      <c r="G2829" s="1480">
        <f t="shared" si="403"/>
        <v>0</v>
      </c>
      <c r="H2829" s="1480">
        <f t="shared" si="406"/>
        <v>0</v>
      </c>
      <c r="I2829" s="1480">
        <v>0</v>
      </c>
      <c r="J2829" s="1480">
        <v>0</v>
      </c>
      <c r="K2829" s="1480"/>
      <c r="L2829" s="1480"/>
      <c r="M2829" s="1480">
        <f t="shared" si="407"/>
        <v>0</v>
      </c>
      <c r="N2829" s="1480">
        <f t="shared" si="408"/>
        <v>0</v>
      </c>
      <c r="O2829" s="1481">
        <f t="shared" si="404"/>
        <v>0</v>
      </c>
      <c r="P2829" s="1427">
        <f t="shared" si="405"/>
        <v>0</v>
      </c>
    </row>
    <row r="2830" spans="1:16" ht="31" outlineLevel="1" x14ac:dyDescent="0.25">
      <c r="A2830" s="1484">
        <f t="shared" si="401"/>
        <v>26.1</v>
      </c>
      <c r="B2830" s="1485" t="str">
        <f t="shared" si="401"/>
        <v>Pipe Conveyor System for Transporting Coal from Bhatadi Coal Mine to Chandrapur STPS.</v>
      </c>
      <c r="C2830" s="1482" t="str">
        <f t="shared" si="401"/>
        <v>MERC/CAPEX/20172018/4171</v>
      </c>
      <c r="D2830" s="1390">
        <f t="shared" si="401"/>
        <v>42986</v>
      </c>
      <c r="E2830" s="560">
        <f t="shared" si="401"/>
        <v>196.26</v>
      </c>
      <c r="F2830" s="1508">
        <f t="shared" si="402"/>
        <v>256.81526693500001</v>
      </c>
      <c r="G2830" s="1508">
        <f t="shared" si="403"/>
        <v>256.81526693500001</v>
      </c>
      <c r="H2830" s="1508">
        <f t="shared" si="406"/>
        <v>0</v>
      </c>
      <c r="I2830" s="1480">
        <v>0</v>
      </c>
      <c r="J2830" s="1480">
        <v>0</v>
      </c>
      <c r="K2830" s="1508"/>
      <c r="L2830" s="1508"/>
      <c r="M2830" s="1509">
        <f t="shared" si="407"/>
        <v>0</v>
      </c>
      <c r="N2830" s="1508">
        <f t="shared" si="408"/>
        <v>0</v>
      </c>
      <c r="O2830" s="1481">
        <f t="shared" si="404"/>
        <v>0</v>
      </c>
      <c r="P2830" s="1427">
        <f t="shared" si="405"/>
        <v>0</v>
      </c>
    </row>
    <row r="2831" spans="1:16" ht="31" outlineLevel="1" x14ac:dyDescent="0.25">
      <c r="A2831" s="1477">
        <f t="shared" si="401"/>
        <v>27</v>
      </c>
      <c r="B2831" s="1478" t="str">
        <f t="shared" si="401"/>
        <v>Procurement &amp; replacement of Economizer upper assemblies of Unit-5,6 &amp; hot Reheater coil complete set of Unit-3 of CSTPS</v>
      </c>
      <c r="C2831" s="1477" t="str">
        <f t="shared" si="401"/>
        <v>MERC/CAPEX/20172018/4071</v>
      </c>
      <c r="D2831" s="1479">
        <f t="shared" si="401"/>
        <v>42965</v>
      </c>
      <c r="E2831" s="1403">
        <f t="shared" si="401"/>
        <v>25.27</v>
      </c>
      <c r="F2831" s="1510">
        <f t="shared" si="402"/>
        <v>0</v>
      </c>
      <c r="G2831" s="1510">
        <f t="shared" si="403"/>
        <v>0</v>
      </c>
      <c r="H2831" s="1510">
        <f t="shared" si="406"/>
        <v>0</v>
      </c>
      <c r="I2831" s="1480">
        <v>0</v>
      </c>
      <c r="J2831" s="1480">
        <v>0</v>
      </c>
      <c r="K2831" s="1510"/>
      <c r="L2831" s="1510"/>
      <c r="M2831" s="1510">
        <f t="shared" si="407"/>
        <v>0</v>
      </c>
      <c r="N2831" s="1510">
        <f t="shared" si="408"/>
        <v>0</v>
      </c>
      <c r="O2831" s="1481">
        <f t="shared" si="404"/>
        <v>0</v>
      </c>
      <c r="P2831" s="1427">
        <f t="shared" si="405"/>
        <v>0</v>
      </c>
    </row>
    <row r="2832" spans="1:16" ht="31" outlineLevel="1" x14ac:dyDescent="0.25">
      <c r="A2832" s="1482">
        <f t="shared" si="401"/>
        <v>27.1</v>
      </c>
      <c r="B2832" s="1483" t="str">
        <f t="shared" si="401"/>
        <v>supply &amp; replacement of Economizer Upper Assemblies of unit no.5 &amp; 6</v>
      </c>
      <c r="C2832" s="1482" t="str">
        <f t="shared" si="401"/>
        <v>MERC/CAPEX/20172018/4071</v>
      </c>
      <c r="D2832" s="1390">
        <f t="shared" si="401"/>
        <v>42965</v>
      </c>
      <c r="E2832" s="560">
        <f t="shared" si="401"/>
        <v>18.25</v>
      </c>
      <c r="F2832" s="1508">
        <f t="shared" si="402"/>
        <v>8.2829930689999998</v>
      </c>
      <c r="G2832" s="1508">
        <f t="shared" si="403"/>
        <v>8.2829930689999998</v>
      </c>
      <c r="H2832" s="1508">
        <f t="shared" si="406"/>
        <v>0</v>
      </c>
      <c r="I2832" s="1480">
        <v>0</v>
      </c>
      <c r="J2832" s="1480">
        <v>0</v>
      </c>
      <c r="K2832" s="1508"/>
      <c r="L2832" s="1508"/>
      <c r="M2832" s="1509">
        <f t="shared" si="407"/>
        <v>0</v>
      </c>
      <c r="N2832" s="1508">
        <f t="shared" si="408"/>
        <v>0</v>
      </c>
      <c r="O2832" s="1481">
        <f t="shared" si="404"/>
        <v>0</v>
      </c>
      <c r="P2832" s="1427">
        <f t="shared" si="405"/>
        <v>0</v>
      </c>
    </row>
    <row r="2833" spans="1:16" ht="31" outlineLevel="1" x14ac:dyDescent="0.25">
      <c r="A2833" s="1482">
        <f t="shared" si="401"/>
        <v>27.2</v>
      </c>
      <c r="B2833" s="1483" t="str">
        <f t="shared" si="401"/>
        <v>Supply &amp; replacement of hot reheater coil complete set of Unit-3.</v>
      </c>
      <c r="C2833" s="1482" t="str">
        <f t="shared" si="401"/>
        <v>MERC/CAPEX/20172018/4071</v>
      </c>
      <c r="D2833" s="1390">
        <f t="shared" si="401"/>
        <v>42965</v>
      </c>
      <c r="E2833" s="560">
        <f t="shared" si="401"/>
        <v>6.72</v>
      </c>
      <c r="F2833" s="1508">
        <f t="shared" si="402"/>
        <v>6.0757019999999997</v>
      </c>
      <c r="G2833" s="1508">
        <f t="shared" si="403"/>
        <v>6.0757019999999997</v>
      </c>
      <c r="H2833" s="1508">
        <f t="shared" si="406"/>
        <v>0</v>
      </c>
      <c r="I2833" s="1480">
        <v>0</v>
      </c>
      <c r="J2833" s="1480">
        <v>0</v>
      </c>
      <c r="K2833" s="1508"/>
      <c r="L2833" s="1508"/>
      <c r="M2833" s="1509">
        <f t="shared" si="407"/>
        <v>0</v>
      </c>
      <c r="N2833" s="1508">
        <f t="shared" si="408"/>
        <v>0</v>
      </c>
      <c r="O2833" s="1481">
        <f t="shared" si="404"/>
        <v>0</v>
      </c>
      <c r="P2833" s="1427">
        <f t="shared" si="405"/>
        <v>0</v>
      </c>
    </row>
    <row r="2834" spans="1:16" ht="15.5" outlineLevel="1" x14ac:dyDescent="0.25">
      <c r="A2834" s="1482">
        <f t="shared" ref="A2834:E2849" si="409">A2164</f>
        <v>0</v>
      </c>
      <c r="B2834" s="1483" t="str">
        <f t="shared" si="409"/>
        <v>IDC</v>
      </c>
      <c r="C2834" s="1482" t="str">
        <f t="shared" si="409"/>
        <v>MERC/CAPEX/20172018/4071</v>
      </c>
      <c r="D2834" s="1390">
        <f t="shared" si="409"/>
        <v>42965</v>
      </c>
      <c r="E2834" s="560">
        <f t="shared" si="409"/>
        <v>0.3</v>
      </c>
      <c r="F2834" s="1508">
        <f t="shared" si="402"/>
        <v>0</v>
      </c>
      <c r="G2834" s="1508">
        <f t="shared" si="403"/>
        <v>0</v>
      </c>
      <c r="H2834" s="1508">
        <f t="shared" si="406"/>
        <v>0</v>
      </c>
      <c r="I2834" s="1480">
        <v>0</v>
      </c>
      <c r="J2834" s="1480">
        <v>0</v>
      </c>
      <c r="K2834" s="1508"/>
      <c r="L2834" s="1508"/>
      <c r="M2834" s="1509">
        <f t="shared" si="407"/>
        <v>0</v>
      </c>
      <c r="N2834" s="1508">
        <f t="shared" si="408"/>
        <v>0</v>
      </c>
      <c r="O2834" s="1481">
        <f t="shared" si="404"/>
        <v>0</v>
      </c>
      <c r="P2834" s="1427">
        <f t="shared" si="405"/>
        <v>0</v>
      </c>
    </row>
    <row r="2835" spans="1:16" ht="46.5" outlineLevel="1" x14ac:dyDescent="0.25">
      <c r="A2835" s="1477">
        <f t="shared" si="409"/>
        <v>28</v>
      </c>
      <c r="B2835" s="1478" t="str">
        <f t="shared" si="409"/>
        <v xml:space="preserve">Replacement of H2 Generator with new Hydrogen Generator (Non Asbestos Design), procurement of 3-phase TR sets for stage II &amp; other electrical items for ORC at Chandrapur STPS.” </v>
      </c>
      <c r="C2835" s="1486" t="str">
        <f t="shared" si="409"/>
        <v>MERC/CAPEX/20172018/4686</v>
      </c>
      <c r="D2835" s="1487">
        <f t="shared" si="409"/>
        <v>43054</v>
      </c>
      <c r="E2835" s="1383">
        <f t="shared" si="409"/>
        <v>12.456</v>
      </c>
      <c r="F2835" s="1480">
        <f t="shared" si="402"/>
        <v>0</v>
      </c>
      <c r="G2835" s="1480">
        <f t="shared" si="403"/>
        <v>0</v>
      </c>
      <c r="H2835" s="1480">
        <f t="shared" si="406"/>
        <v>0</v>
      </c>
      <c r="I2835" s="1480">
        <v>0</v>
      </c>
      <c r="J2835" s="1480">
        <v>0</v>
      </c>
      <c r="K2835" s="1480"/>
      <c r="L2835" s="1480"/>
      <c r="M2835" s="1480">
        <f t="shared" si="407"/>
        <v>0</v>
      </c>
      <c r="N2835" s="1480">
        <f t="shared" si="408"/>
        <v>0</v>
      </c>
      <c r="O2835" s="1481">
        <f t="shared" si="404"/>
        <v>0</v>
      </c>
      <c r="P2835" s="1427">
        <f t="shared" si="405"/>
        <v>0</v>
      </c>
    </row>
    <row r="2836" spans="1:16" ht="31" outlineLevel="1" x14ac:dyDescent="0.25">
      <c r="A2836" s="1482">
        <f t="shared" si="409"/>
        <v>28.1</v>
      </c>
      <c r="B2836" s="1483" t="str">
        <f t="shared" si="409"/>
        <v>Supply, Installation &amp; Commissioning of   Hydrogen Generator Model : HMXT 200 (Non Asbestos Design)</v>
      </c>
      <c r="C2836" s="1482" t="str">
        <f t="shared" si="409"/>
        <v>MERC/CAPEX/20172018/4686</v>
      </c>
      <c r="D2836" s="1390">
        <f t="shared" si="409"/>
        <v>43054</v>
      </c>
      <c r="E2836" s="560">
        <f t="shared" si="409"/>
        <v>10.36</v>
      </c>
      <c r="F2836" s="1508">
        <f t="shared" si="402"/>
        <v>11.5757999</v>
      </c>
      <c r="G2836" s="1508">
        <f t="shared" si="403"/>
        <v>11.5757999</v>
      </c>
      <c r="H2836" s="1508">
        <f t="shared" si="406"/>
        <v>0</v>
      </c>
      <c r="I2836" s="1480">
        <v>0</v>
      </c>
      <c r="J2836" s="1480">
        <v>0</v>
      </c>
      <c r="K2836" s="1508"/>
      <c r="L2836" s="1508"/>
      <c r="M2836" s="1509">
        <f t="shared" si="407"/>
        <v>0</v>
      </c>
      <c r="N2836" s="1508">
        <f t="shared" si="408"/>
        <v>0</v>
      </c>
      <c r="O2836" s="1481">
        <f t="shared" si="404"/>
        <v>0</v>
      </c>
      <c r="P2836" s="1427">
        <f t="shared" si="405"/>
        <v>0</v>
      </c>
    </row>
    <row r="2837" spans="1:16" ht="31" outlineLevel="1" x14ac:dyDescent="0.25">
      <c r="A2837" s="1482">
        <f t="shared" si="409"/>
        <v>28.2</v>
      </c>
      <c r="B2837" s="1483" t="str">
        <f t="shared" si="409"/>
        <v>Supply of 3 phase high frequency T-R sets for replacement of T-R sets of ESP Stg-II</v>
      </c>
      <c r="C2837" s="1488" t="str">
        <f t="shared" si="409"/>
        <v>MERC/CAPEX/20172018/4686</v>
      </c>
      <c r="D2837" s="1413">
        <f t="shared" si="409"/>
        <v>43054</v>
      </c>
      <c r="E2837" s="560">
        <f t="shared" si="409"/>
        <v>0.63</v>
      </c>
      <c r="F2837" s="1508">
        <f t="shared" si="402"/>
        <v>0</v>
      </c>
      <c r="G2837" s="1508">
        <f t="shared" si="403"/>
        <v>0</v>
      </c>
      <c r="H2837" s="1508">
        <f t="shared" si="406"/>
        <v>0</v>
      </c>
      <c r="I2837" s="1480">
        <v>0</v>
      </c>
      <c r="J2837" s="1480">
        <v>0</v>
      </c>
      <c r="K2837" s="1508"/>
      <c r="L2837" s="1508"/>
      <c r="M2837" s="1509">
        <f t="shared" si="407"/>
        <v>0</v>
      </c>
      <c r="N2837" s="1508">
        <f t="shared" si="408"/>
        <v>0</v>
      </c>
      <c r="O2837" s="1481">
        <f t="shared" si="404"/>
        <v>0</v>
      </c>
      <c r="P2837" s="1427">
        <f t="shared" si="405"/>
        <v>0</v>
      </c>
    </row>
    <row r="2838" spans="1:16" ht="31" outlineLevel="1" x14ac:dyDescent="0.25">
      <c r="A2838" s="1482">
        <f t="shared" si="409"/>
        <v>28.3</v>
      </c>
      <c r="B2838" s="1483" t="str">
        <f t="shared" si="409"/>
        <v>Replacement of HPSV High Mast Towers by Stadium LED  High Mast at ORC ground CSTPS Chandrapur</v>
      </c>
      <c r="C2838" s="1482" t="str">
        <f t="shared" si="409"/>
        <v>MERC/CAPEX/20172018/4686</v>
      </c>
      <c r="D2838" s="1390">
        <f t="shared" si="409"/>
        <v>43054</v>
      </c>
      <c r="E2838" s="560">
        <f t="shared" si="409"/>
        <v>0.53600000000000003</v>
      </c>
      <c r="F2838" s="1508">
        <f t="shared" si="402"/>
        <v>0.51656219999999997</v>
      </c>
      <c r="G2838" s="1508">
        <f t="shared" si="403"/>
        <v>0.51656219999999997</v>
      </c>
      <c r="H2838" s="1508">
        <f t="shared" si="406"/>
        <v>0</v>
      </c>
      <c r="I2838" s="1480">
        <v>0</v>
      </c>
      <c r="J2838" s="1480">
        <v>0</v>
      </c>
      <c r="K2838" s="1508"/>
      <c r="L2838" s="1508"/>
      <c r="M2838" s="1509">
        <f t="shared" si="407"/>
        <v>0</v>
      </c>
      <c r="N2838" s="1508">
        <f t="shared" si="408"/>
        <v>0</v>
      </c>
      <c r="O2838" s="1481">
        <f t="shared" si="404"/>
        <v>0</v>
      </c>
      <c r="P2838" s="1427">
        <f t="shared" si="405"/>
        <v>0</v>
      </c>
    </row>
    <row r="2839" spans="1:16" ht="15.5" outlineLevel="1" x14ac:dyDescent="0.25">
      <c r="A2839" s="1482">
        <f t="shared" si="409"/>
        <v>0</v>
      </c>
      <c r="B2839" s="1483" t="str">
        <f t="shared" si="409"/>
        <v>IDC</v>
      </c>
      <c r="C2839" s="1482" t="str">
        <f t="shared" si="409"/>
        <v>MERC/CAPEX/20172018/4686</v>
      </c>
      <c r="D2839" s="1390">
        <f t="shared" si="409"/>
        <v>43054</v>
      </c>
      <c r="E2839" s="560">
        <f t="shared" si="409"/>
        <v>0.93</v>
      </c>
      <c r="F2839" s="1508">
        <f t="shared" si="402"/>
        <v>0</v>
      </c>
      <c r="G2839" s="1508">
        <f t="shared" si="403"/>
        <v>0</v>
      </c>
      <c r="H2839" s="1508">
        <f t="shared" si="406"/>
        <v>0</v>
      </c>
      <c r="I2839" s="1480">
        <v>0</v>
      </c>
      <c r="J2839" s="1480">
        <v>0</v>
      </c>
      <c r="K2839" s="1508"/>
      <c r="L2839" s="1508"/>
      <c r="M2839" s="1509">
        <f t="shared" si="407"/>
        <v>0</v>
      </c>
      <c r="N2839" s="1508">
        <f t="shared" si="408"/>
        <v>0</v>
      </c>
      <c r="O2839" s="1481">
        <f t="shared" si="404"/>
        <v>0</v>
      </c>
      <c r="P2839" s="1427">
        <f t="shared" si="405"/>
        <v>0</v>
      </c>
    </row>
    <row r="2840" spans="1:16" ht="46.5" outlineLevel="1" x14ac:dyDescent="0.25">
      <c r="A2840" s="1477">
        <f t="shared" si="409"/>
        <v>29</v>
      </c>
      <c r="B2840" s="1478" t="str">
        <f t="shared" si="409"/>
        <v>Procurement of Boiler Feed Booster Pumps to improve availability &amp; performance of feed system, moving blades for LPT &amp; Condenser Tubes of (3 x 500 MW) Units at Chandrapur STPS</v>
      </c>
      <c r="C2840" s="1477" t="str">
        <f t="shared" si="409"/>
        <v>MERC/CAPEX/20172018/0272</v>
      </c>
      <c r="D2840" s="1479">
        <f t="shared" si="409"/>
        <v>43154</v>
      </c>
      <c r="E2840" s="1383">
        <f t="shared" si="409"/>
        <v>15.489999999999998</v>
      </c>
      <c r="F2840" s="1480">
        <f t="shared" si="402"/>
        <v>0</v>
      </c>
      <c r="G2840" s="1480">
        <f t="shared" si="403"/>
        <v>0</v>
      </c>
      <c r="H2840" s="1480">
        <f t="shared" si="406"/>
        <v>0</v>
      </c>
      <c r="I2840" s="1480">
        <v>0</v>
      </c>
      <c r="J2840" s="1480">
        <v>0</v>
      </c>
      <c r="K2840" s="1480"/>
      <c r="L2840" s="1480"/>
      <c r="M2840" s="1480">
        <f t="shared" si="407"/>
        <v>0</v>
      </c>
      <c r="N2840" s="1480">
        <f t="shared" si="408"/>
        <v>0</v>
      </c>
      <c r="O2840" s="1481">
        <f t="shared" si="404"/>
        <v>0</v>
      </c>
      <c r="P2840" s="1427">
        <f t="shared" si="405"/>
        <v>0</v>
      </c>
    </row>
    <row r="2841" spans="1:16" ht="46.5" outlineLevel="1" x14ac:dyDescent="0.25">
      <c r="A2841" s="1482">
        <f t="shared" si="409"/>
        <v>29.1</v>
      </c>
      <c r="B2841" s="1483" t="str">
        <f t="shared" si="409"/>
        <v>Procurement of Boiler Feed Booster pumps to improve availability and performance of Feed system of 500 MW Unit-5, 6 &amp; 7 at CSTPS, Chandrapur</v>
      </c>
      <c r="C2841" s="1482" t="str">
        <f t="shared" si="409"/>
        <v>MERC/CAPEX/20172018/0272</v>
      </c>
      <c r="D2841" s="1390">
        <f t="shared" si="409"/>
        <v>43154</v>
      </c>
      <c r="E2841" s="560">
        <f t="shared" si="409"/>
        <v>2.0099999999999998</v>
      </c>
      <c r="F2841" s="1508">
        <f t="shared" si="402"/>
        <v>2.1150194</v>
      </c>
      <c r="G2841" s="1508">
        <f t="shared" si="403"/>
        <v>2.1150194</v>
      </c>
      <c r="H2841" s="1508">
        <f t="shared" si="406"/>
        <v>0</v>
      </c>
      <c r="I2841" s="1480">
        <v>0</v>
      </c>
      <c r="J2841" s="1480">
        <v>0</v>
      </c>
      <c r="K2841" s="1508"/>
      <c r="L2841" s="1508"/>
      <c r="M2841" s="1509">
        <f t="shared" si="407"/>
        <v>0</v>
      </c>
      <c r="N2841" s="1508">
        <f t="shared" si="408"/>
        <v>0</v>
      </c>
      <c r="O2841" s="1481">
        <f t="shared" si="404"/>
        <v>0</v>
      </c>
      <c r="P2841" s="1427">
        <f t="shared" si="405"/>
        <v>0</v>
      </c>
    </row>
    <row r="2842" spans="1:16" ht="31" outlineLevel="1" x14ac:dyDescent="0.25">
      <c r="A2842" s="1482">
        <f t="shared" si="409"/>
        <v>29.2</v>
      </c>
      <c r="B2842" s="1483" t="str">
        <f t="shared" si="409"/>
        <v>Procurement of moving blades for 500 MW Unit-5, 6 &amp; 7 LPT at CSTPS, Chandrapur</v>
      </c>
      <c r="C2842" s="1482" t="str">
        <f t="shared" si="409"/>
        <v>MERC/CAPEX/20172018/0272</v>
      </c>
      <c r="D2842" s="1390">
        <f t="shared" si="409"/>
        <v>43154</v>
      </c>
      <c r="E2842" s="560">
        <f t="shared" si="409"/>
        <v>3.34</v>
      </c>
      <c r="F2842" s="1508">
        <f t="shared" si="402"/>
        <v>1.9274450000000001</v>
      </c>
      <c r="G2842" s="1508">
        <f t="shared" si="403"/>
        <v>1.9274450000000001</v>
      </c>
      <c r="H2842" s="1508">
        <f t="shared" si="406"/>
        <v>0</v>
      </c>
      <c r="I2842" s="1480">
        <v>0</v>
      </c>
      <c r="J2842" s="1480">
        <v>0</v>
      </c>
      <c r="K2842" s="1508"/>
      <c r="L2842" s="1508"/>
      <c r="M2842" s="1509">
        <f t="shared" si="407"/>
        <v>0</v>
      </c>
      <c r="N2842" s="1508">
        <f t="shared" si="408"/>
        <v>0</v>
      </c>
      <c r="O2842" s="1481">
        <f t="shared" si="404"/>
        <v>0</v>
      </c>
      <c r="P2842" s="1427">
        <f t="shared" si="405"/>
        <v>0</v>
      </c>
    </row>
    <row r="2843" spans="1:16" ht="31" outlineLevel="1" x14ac:dyDescent="0.25">
      <c r="A2843" s="1482">
        <f t="shared" si="409"/>
        <v>29.3</v>
      </c>
      <c r="B2843" s="1483" t="str">
        <f t="shared" si="409"/>
        <v>Procurement &amp; Replacement of Condenser Tubes in 500MW, Unit-7 at CSTPS, Chandrapur</v>
      </c>
      <c r="C2843" s="1482" t="str">
        <f t="shared" si="409"/>
        <v>MERC/CAPEX/20172018/0272</v>
      </c>
      <c r="D2843" s="1390">
        <f t="shared" si="409"/>
        <v>43154</v>
      </c>
      <c r="E2843" s="560">
        <f t="shared" si="409"/>
        <v>9.02</v>
      </c>
      <c r="F2843" s="1508">
        <f t="shared" si="402"/>
        <v>8.8301990999999997</v>
      </c>
      <c r="G2843" s="1508">
        <f t="shared" si="403"/>
        <v>8.8301990999999997</v>
      </c>
      <c r="H2843" s="1508">
        <f t="shared" si="406"/>
        <v>0</v>
      </c>
      <c r="I2843" s="1480">
        <v>0</v>
      </c>
      <c r="J2843" s="1480">
        <v>0</v>
      </c>
      <c r="K2843" s="1508"/>
      <c r="L2843" s="1508"/>
      <c r="M2843" s="1509">
        <f t="shared" si="407"/>
        <v>0</v>
      </c>
      <c r="N2843" s="1508">
        <f t="shared" si="408"/>
        <v>0</v>
      </c>
      <c r="O2843" s="1481">
        <f t="shared" si="404"/>
        <v>0</v>
      </c>
      <c r="P2843" s="1427">
        <f t="shared" si="405"/>
        <v>0</v>
      </c>
    </row>
    <row r="2844" spans="1:16" ht="15.5" outlineLevel="1" x14ac:dyDescent="0.25">
      <c r="A2844" s="1482">
        <f t="shared" si="409"/>
        <v>0</v>
      </c>
      <c r="B2844" s="1483" t="str">
        <f t="shared" si="409"/>
        <v>IDC</v>
      </c>
      <c r="C2844" s="1482" t="str">
        <f t="shared" si="409"/>
        <v>MERC/CAPEX/20172018/0272</v>
      </c>
      <c r="D2844" s="1390">
        <f t="shared" si="409"/>
        <v>43154</v>
      </c>
      <c r="E2844" s="560">
        <f t="shared" si="409"/>
        <v>1.1200000000000001</v>
      </c>
      <c r="F2844" s="1508">
        <f t="shared" si="402"/>
        <v>0</v>
      </c>
      <c r="G2844" s="1508">
        <f t="shared" si="403"/>
        <v>0</v>
      </c>
      <c r="H2844" s="1508">
        <f t="shared" si="406"/>
        <v>0</v>
      </c>
      <c r="I2844" s="1480">
        <v>0</v>
      </c>
      <c r="J2844" s="1480">
        <v>0</v>
      </c>
      <c r="K2844" s="1508"/>
      <c r="L2844" s="1508"/>
      <c r="M2844" s="1509">
        <f t="shared" si="407"/>
        <v>0</v>
      </c>
      <c r="N2844" s="1508">
        <f t="shared" si="408"/>
        <v>0</v>
      </c>
      <c r="O2844" s="1481">
        <f t="shared" si="404"/>
        <v>0</v>
      </c>
      <c r="P2844" s="1427">
        <f t="shared" si="405"/>
        <v>0</v>
      </c>
    </row>
    <row r="2845" spans="1:16" ht="15.5" outlineLevel="1" x14ac:dyDescent="0.25">
      <c r="A2845" s="1489">
        <f t="shared" si="409"/>
        <v>30</v>
      </c>
      <c r="B2845" s="1490" t="str">
        <f t="shared" si="409"/>
        <v>Renovation &amp; Beautification of Colony at Chandrapur STPS</v>
      </c>
      <c r="C2845" s="1486" t="str">
        <f t="shared" si="409"/>
        <v>MERC/CAPEX/20182019/0644</v>
      </c>
      <c r="D2845" s="1487">
        <f t="shared" si="409"/>
        <v>43238</v>
      </c>
      <c r="E2845" s="1383">
        <f t="shared" si="409"/>
        <v>117.57</v>
      </c>
      <c r="F2845" s="1480">
        <f t="shared" si="402"/>
        <v>0</v>
      </c>
      <c r="G2845" s="1480">
        <f t="shared" si="403"/>
        <v>0</v>
      </c>
      <c r="H2845" s="1480">
        <f t="shared" si="406"/>
        <v>0</v>
      </c>
      <c r="I2845" s="1480">
        <v>0</v>
      </c>
      <c r="J2845" s="1480">
        <v>0</v>
      </c>
      <c r="K2845" s="1480"/>
      <c r="L2845" s="1480"/>
      <c r="M2845" s="1480">
        <f t="shared" si="407"/>
        <v>0</v>
      </c>
      <c r="N2845" s="1480">
        <f t="shared" si="408"/>
        <v>0</v>
      </c>
      <c r="O2845" s="1481">
        <f t="shared" si="404"/>
        <v>0</v>
      </c>
      <c r="P2845" s="1427">
        <f t="shared" si="405"/>
        <v>0</v>
      </c>
    </row>
    <row r="2846" spans="1:16" ht="31" outlineLevel="1" x14ac:dyDescent="0.25">
      <c r="A2846" s="1484">
        <f t="shared" si="409"/>
        <v>30.1</v>
      </c>
      <c r="B2846" s="1485" t="str">
        <f t="shared" si="409"/>
        <v>Face- lifting and Renovation of staff quarters &amp; related work at CSTPS, Chandrapur</v>
      </c>
      <c r="C2846" s="1482" t="str">
        <f t="shared" si="409"/>
        <v>MERC/CAPEX/20182019/0644</v>
      </c>
      <c r="D2846" s="1390">
        <f t="shared" si="409"/>
        <v>43238</v>
      </c>
      <c r="E2846" s="560">
        <f t="shared" si="409"/>
        <v>82.6</v>
      </c>
      <c r="F2846" s="1508">
        <f t="shared" si="402"/>
        <v>82.6</v>
      </c>
      <c r="G2846" s="1508">
        <f t="shared" si="403"/>
        <v>82.6</v>
      </c>
      <c r="H2846" s="1508">
        <f t="shared" si="406"/>
        <v>0</v>
      </c>
      <c r="I2846" s="1480">
        <v>0</v>
      </c>
      <c r="J2846" s="1480">
        <v>0</v>
      </c>
      <c r="K2846" s="1508"/>
      <c r="L2846" s="1508"/>
      <c r="M2846" s="1509">
        <f t="shared" si="407"/>
        <v>0</v>
      </c>
      <c r="N2846" s="1508">
        <f t="shared" si="408"/>
        <v>0</v>
      </c>
      <c r="O2846" s="1481">
        <f t="shared" si="404"/>
        <v>0</v>
      </c>
      <c r="P2846" s="1427">
        <f t="shared" si="405"/>
        <v>0</v>
      </c>
    </row>
    <row r="2847" spans="1:16" ht="15.5" outlineLevel="1" x14ac:dyDescent="0.25">
      <c r="A2847" s="1484">
        <f t="shared" si="409"/>
        <v>30.2</v>
      </c>
      <c r="B2847" s="1485" t="str">
        <f t="shared" si="409"/>
        <v>Colony Internal Roads at CSTPS, Chandrapur</v>
      </c>
      <c r="C2847" s="1482" t="str">
        <f t="shared" si="409"/>
        <v>MERC/CAPEX/20182019/0644</v>
      </c>
      <c r="D2847" s="1390">
        <f t="shared" si="409"/>
        <v>43238</v>
      </c>
      <c r="E2847" s="560">
        <f t="shared" si="409"/>
        <v>7.08</v>
      </c>
      <c r="F2847" s="1508">
        <f t="shared" si="402"/>
        <v>7.08</v>
      </c>
      <c r="G2847" s="1508">
        <f t="shared" si="403"/>
        <v>7.08</v>
      </c>
      <c r="H2847" s="1508">
        <f t="shared" si="406"/>
        <v>0</v>
      </c>
      <c r="I2847" s="1480">
        <v>0</v>
      </c>
      <c r="J2847" s="1480">
        <v>0</v>
      </c>
      <c r="K2847" s="1508"/>
      <c r="L2847" s="1508"/>
      <c r="M2847" s="1509">
        <f t="shared" si="407"/>
        <v>0</v>
      </c>
      <c r="N2847" s="1508">
        <f t="shared" si="408"/>
        <v>0</v>
      </c>
      <c r="O2847" s="1481">
        <f t="shared" si="404"/>
        <v>0</v>
      </c>
      <c r="P2847" s="1427">
        <f t="shared" si="405"/>
        <v>0</v>
      </c>
    </row>
    <row r="2848" spans="1:16" ht="31" outlineLevel="1" x14ac:dyDescent="0.25">
      <c r="A2848" s="1484">
        <f t="shared" si="409"/>
        <v>30.3</v>
      </c>
      <c r="B2848" s="1485" t="str">
        <f t="shared" si="409"/>
        <v>Development of existing open spaces and Garden at CSTPS, Chandrapur</v>
      </c>
      <c r="C2848" s="1488" t="str">
        <f t="shared" si="409"/>
        <v>MERC/CAPEX/20182019/0644</v>
      </c>
      <c r="D2848" s="1413">
        <f t="shared" si="409"/>
        <v>43238</v>
      </c>
      <c r="E2848" s="560">
        <f t="shared" si="409"/>
        <v>4.72</v>
      </c>
      <c r="F2848" s="1508">
        <f t="shared" si="402"/>
        <v>4.72</v>
      </c>
      <c r="G2848" s="1508">
        <f t="shared" si="403"/>
        <v>4.72</v>
      </c>
      <c r="H2848" s="1508">
        <f t="shared" si="406"/>
        <v>0</v>
      </c>
      <c r="I2848" s="1480">
        <v>0</v>
      </c>
      <c r="J2848" s="1480">
        <v>0</v>
      </c>
      <c r="K2848" s="1508"/>
      <c r="L2848" s="1508"/>
      <c r="M2848" s="1509">
        <f t="shared" si="407"/>
        <v>0</v>
      </c>
      <c r="N2848" s="1508">
        <f t="shared" si="408"/>
        <v>0</v>
      </c>
      <c r="O2848" s="1481">
        <f t="shared" si="404"/>
        <v>0</v>
      </c>
      <c r="P2848" s="1427">
        <f t="shared" si="405"/>
        <v>0</v>
      </c>
    </row>
    <row r="2849" spans="1:16" ht="46.5" outlineLevel="1" x14ac:dyDescent="0.25">
      <c r="A2849" s="1484">
        <f t="shared" si="409"/>
        <v>30.4</v>
      </c>
      <c r="B2849" s="1485" t="str">
        <f t="shared" si="409"/>
        <v>Renovation of club building /community building and providing new swimming pool and other misc works including Architectural and Consultancy Charges at CSTPS, Chandrapur</v>
      </c>
      <c r="C2849" s="1488" t="str">
        <f t="shared" si="409"/>
        <v>MERC/CAPEX/20182019/0644</v>
      </c>
      <c r="D2849" s="1413">
        <f t="shared" si="409"/>
        <v>43238</v>
      </c>
      <c r="E2849" s="560">
        <f t="shared" si="409"/>
        <v>15.34</v>
      </c>
      <c r="F2849" s="1508">
        <f t="shared" si="402"/>
        <v>15.34</v>
      </c>
      <c r="G2849" s="1508">
        <f t="shared" si="403"/>
        <v>15.34</v>
      </c>
      <c r="H2849" s="1508">
        <f t="shared" si="406"/>
        <v>0</v>
      </c>
      <c r="I2849" s="1480">
        <v>0</v>
      </c>
      <c r="J2849" s="1480">
        <v>0</v>
      </c>
      <c r="K2849" s="1508"/>
      <c r="L2849" s="1508"/>
      <c r="M2849" s="1509">
        <f t="shared" si="407"/>
        <v>0</v>
      </c>
      <c r="N2849" s="1508">
        <f t="shared" si="408"/>
        <v>0</v>
      </c>
      <c r="O2849" s="1481">
        <f t="shared" si="404"/>
        <v>0</v>
      </c>
      <c r="P2849" s="1427">
        <f t="shared" si="405"/>
        <v>0</v>
      </c>
    </row>
    <row r="2850" spans="1:16" ht="15.5" outlineLevel="1" x14ac:dyDescent="0.25">
      <c r="A2850" s="1484">
        <f t="shared" ref="A2850:E2865" si="410">A2180</f>
        <v>0</v>
      </c>
      <c r="B2850" s="1485" t="str">
        <f t="shared" si="410"/>
        <v>IDC</v>
      </c>
      <c r="C2850" s="1482" t="str">
        <f t="shared" si="410"/>
        <v>MERC/CAPEX/20182019/0644</v>
      </c>
      <c r="D2850" s="1390">
        <f t="shared" si="410"/>
        <v>43238</v>
      </c>
      <c r="E2850" s="560">
        <f t="shared" si="410"/>
        <v>7.83</v>
      </c>
      <c r="F2850" s="1508">
        <f t="shared" si="402"/>
        <v>10.9403115</v>
      </c>
      <c r="G2850" s="1508">
        <f t="shared" si="403"/>
        <v>10.9403115</v>
      </c>
      <c r="H2850" s="1508">
        <f t="shared" si="406"/>
        <v>0</v>
      </c>
      <c r="I2850" s="1480">
        <v>0</v>
      </c>
      <c r="J2850" s="1480">
        <v>0</v>
      </c>
      <c r="K2850" s="1508"/>
      <c r="L2850" s="1508"/>
      <c r="M2850" s="1509">
        <f t="shared" si="407"/>
        <v>0</v>
      </c>
      <c r="N2850" s="1508">
        <f t="shared" si="408"/>
        <v>0</v>
      </c>
      <c r="O2850" s="1481">
        <f t="shared" si="404"/>
        <v>0</v>
      </c>
      <c r="P2850" s="1427">
        <f t="shared" si="405"/>
        <v>0</v>
      </c>
    </row>
    <row r="2851" spans="1:16" ht="15.5" outlineLevel="1" x14ac:dyDescent="0.25">
      <c r="A2851" s="1486">
        <f t="shared" si="410"/>
        <v>31</v>
      </c>
      <c r="B2851" s="1491" t="str">
        <f t="shared" si="410"/>
        <v>Fully Integrated Security Surveillance System</v>
      </c>
      <c r="C2851" s="1486" t="str">
        <f t="shared" si="410"/>
        <v>MERC/CAPEX/2018-19/066</v>
      </c>
      <c r="D2851" s="1487">
        <f t="shared" si="410"/>
        <v>43529</v>
      </c>
      <c r="E2851" s="1383">
        <f t="shared" si="410"/>
        <v>76.410000000000025</v>
      </c>
      <c r="F2851" s="1480">
        <f t="shared" si="402"/>
        <v>0</v>
      </c>
      <c r="G2851" s="1480">
        <f t="shared" si="403"/>
        <v>0</v>
      </c>
      <c r="H2851" s="1480">
        <f t="shared" si="406"/>
        <v>0</v>
      </c>
      <c r="I2851" s="1480">
        <v>0</v>
      </c>
      <c r="J2851" s="1480">
        <v>0</v>
      </c>
      <c r="K2851" s="1480"/>
      <c r="L2851" s="1480"/>
      <c r="M2851" s="1480">
        <f t="shared" si="407"/>
        <v>0</v>
      </c>
      <c r="N2851" s="1480">
        <f t="shared" si="408"/>
        <v>0</v>
      </c>
      <c r="O2851" s="1481">
        <f t="shared" si="404"/>
        <v>0</v>
      </c>
      <c r="P2851" s="1427">
        <f t="shared" si="405"/>
        <v>0</v>
      </c>
    </row>
    <row r="2852" spans="1:16" ht="15.5" outlineLevel="1" x14ac:dyDescent="0.25">
      <c r="A2852" s="1488">
        <f t="shared" si="410"/>
        <v>31.1</v>
      </c>
      <c r="B2852" s="1492" t="str">
        <f t="shared" si="410"/>
        <v>CLOSE CIRCUIT TELEVISION SYSTEM (CCTV), MOBILE DVR</v>
      </c>
      <c r="C2852" s="1488" t="str">
        <f t="shared" si="410"/>
        <v>MERC/CAPEX/2018-19/066</v>
      </c>
      <c r="D2852" s="1413">
        <f t="shared" si="410"/>
        <v>43529</v>
      </c>
      <c r="E2852" s="560">
        <f t="shared" si="410"/>
        <v>24.03</v>
      </c>
      <c r="F2852" s="1508">
        <f t="shared" si="402"/>
        <v>24.03</v>
      </c>
      <c r="G2852" s="1508">
        <f t="shared" si="403"/>
        <v>24.03</v>
      </c>
      <c r="H2852" s="1508">
        <f t="shared" si="406"/>
        <v>0</v>
      </c>
      <c r="I2852" s="1480">
        <v>0</v>
      </c>
      <c r="J2852" s="1480">
        <v>0</v>
      </c>
      <c r="K2852" s="1508"/>
      <c r="L2852" s="1508"/>
      <c r="M2852" s="1509">
        <f t="shared" si="407"/>
        <v>0</v>
      </c>
      <c r="N2852" s="1508">
        <f t="shared" si="408"/>
        <v>0</v>
      </c>
      <c r="O2852" s="1481">
        <f t="shared" si="404"/>
        <v>0</v>
      </c>
      <c r="P2852" s="1427">
        <f t="shared" si="405"/>
        <v>0</v>
      </c>
    </row>
    <row r="2853" spans="1:16" ht="15.5" outlineLevel="1" x14ac:dyDescent="0.25">
      <c r="A2853" s="1488">
        <f t="shared" si="410"/>
        <v>31.2</v>
      </c>
      <c r="B2853" s="1492" t="str">
        <f t="shared" si="410"/>
        <v>FIRE ALARM SYSTEM</v>
      </c>
      <c r="C2853" s="1488" t="str">
        <f t="shared" si="410"/>
        <v>MERC/CAPEX/2018-19/066</v>
      </c>
      <c r="D2853" s="1413">
        <f t="shared" si="410"/>
        <v>43529</v>
      </c>
      <c r="E2853" s="560">
        <f t="shared" si="410"/>
        <v>4.33</v>
      </c>
      <c r="F2853" s="1508">
        <f t="shared" si="402"/>
        <v>4.33</v>
      </c>
      <c r="G2853" s="1508">
        <f t="shared" si="403"/>
        <v>4.33</v>
      </c>
      <c r="H2853" s="1508">
        <f t="shared" si="406"/>
        <v>0</v>
      </c>
      <c r="I2853" s="1480">
        <v>0</v>
      </c>
      <c r="J2853" s="1480">
        <v>0</v>
      </c>
      <c r="K2853" s="1508"/>
      <c r="L2853" s="1508"/>
      <c r="M2853" s="1509">
        <f t="shared" si="407"/>
        <v>0</v>
      </c>
      <c r="N2853" s="1508">
        <f t="shared" si="408"/>
        <v>0</v>
      </c>
      <c r="O2853" s="1481">
        <f t="shared" si="404"/>
        <v>0</v>
      </c>
      <c r="P2853" s="1427">
        <f t="shared" si="405"/>
        <v>0</v>
      </c>
    </row>
    <row r="2854" spans="1:16" ht="15.5" outlineLevel="1" x14ac:dyDescent="0.25">
      <c r="A2854" s="1488">
        <f t="shared" si="410"/>
        <v>31.3</v>
      </c>
      <c r="B2854" s="1492" t="str">
        <f t="shared" si="410"/>
        <v>ACCESS CONTROL SYSTEM</v>
      </c>
      <c r="C2854" s="1488" t="str">
        <f t="shared" si="410"/>
        <v>MERC/CAPEX/2018-19/066</v>
      </c>
      <c r="D2854" s="1413">
        <f t="shared" si="410"/>
        <v>43529</v>
      </c>
      <c r="E2854" s="560">
        <f t="shared" si="410"/>
        <v>0.48</v>
      </c>
      <c r="F2854" s="1508">
        <f t="shared" si="402"/>
        <v>0.48</v>
      </c>
      <c r="G2854" s="1508">
        <f t="shared" si="403"/>
        <v>0.48</v>
      </c>
      <c r="H2854" s="1508">
        <f t="shared" si="406"/>
        <v>0</v>
      </c>
      <c r="I2854" s="1480">
        <v>0</v>
      </c>
      <c r="J2854" s="1480">
        <v>0</v>
      </c>
      <c r="K2854" s="1508"/>
      <c r="L2854" s="1508"/>
      <c r="M2854" s="1509">
        <f t="shared" si="407"/>
        <v>0</v>
      </c>
      <c r="N2854" s="1508">
        <f t="shared" si="408"/>
        <v>0</v>
      </c>
      <c r="O2854" s="1481">
        <f t="shared" si="404"/>
        <v>0</v>
      </c>
      <c r="P2854" s="1427">
        <f t="shared" si="405"/>
        <v>0</v>
      </c>
    </row>
    <row r="2855" spans="1:16" ht="15.5" outlineLevel="1" x14ac:dyDescent="0.25">
      <c r="A2855" s="1488">
        <f t="shared" si="410"/>
        <v>31.4</v>
      </c>
      <c r="B2855" s="1492" t="str">
        <f t="shared" si="410"/>
        <v>EPABX</v>
      </c>
      <c r="C2855" s="1488" t="str">
        <f t="shared" si="410"/>
        <v>MERC/CAPEX/2018-19/066</v>
      </c>
      <c r="D2855" s="1413">
        <f t="shared" si="410"/>
        <v>43529</v>
      </c>
      <c r="E2855" s="560">
        <f t="shared" si="410"/>
        <v>1.93</v>
      </c>
      <c r="F2855" s="1508">
        <f t="shared" si="402"/>
        <v>1.93</v>
      </c>
      <c r="G2855" s="1508">
        <f t="shared" si="403"/>
        <v>1.93</v>
      </c>
      <c r="H2855" s="1508">
        <f t="shared" si="406"/>
        <v>0</v>
      </c>
      <c r="I2855" s="1480">
        <v>0</v>
      </c>
      <c r="J2855" s="1480">
        <v>0</v>
      </c>
      <c r="K2855" s="1508"/>
      <c r="L2855" s="1508"/>
      <c r="M2855" s="1509">
        <f t="shared" si="407"/>
        <v>0</v>
      </c>
      <c r="N2855" s="1508">
        <f t="shared" si="408"/>
        <v>0</v>
      </c>
      <c r="O2855" s="1481">
        <f t="shared" si="404"/>
        <v>0</v>
      </c>
      <c r="P2855" s="1427">
        <f t="shared" si="405"/>
        <v>0</v>
      </c>
    </row>
    <row r="2856" spans="1:16" ht="15.5" outlineLevel="1" x14ac:dyDescent="0.25">
      <c r="A2856" s="1488">
        <f t="shared" si="410"/>
        <v>31.5</v>
      </c>
      <c r="B2856" s="1492" t="str">
        <f t="shared" si="410"/>
        <v>RADIO COMMUNICATION AND CONNECTIVITY (Wireless)</v>
      </c>
      <c r="C2856" s="1488" t="str">
        <f t="shared" si="410"/>
        <v>MERC/CAPEX/2018-19/066</v>
      </c>
      <c r="D2856" s="1413">
        <f t="shared" si="410"/>
        <v>43529</v>
      </c>
      <c r="E2856" s="560">
        <f t="shared" si="410"/>
        <v>1.76</v>
      </c>
      <c r="F2856" s="1508">
        <f t="shared" si="402"/>
        <v>1.76</v>
      </c>
      <c r="G2856" s="1508">
        <f t="shared" si="403"/>
        <v>1.76</v>
      </c>
      <c r="H2856" s="1508">
        <f t="shared" si="406"/>
        <v>0</v>
      </c>
      <c r="I2856" s="1480">
        <v>0</v>
      </c>
      <c r="J2856" s="1480">
        <v>0</v>
      </c>
      <c r="K2856" s="1508"/>
      <c r="L2856" s="1508"/>
      <c r="M2856" s="1509">
        <f t="shared" si="407"/>
        <v>0</v>
      </c>
      <c r="N2856" s="1508">
        <f t="shared" si="408"/>
        <v>0</v>
      </c>
      <c r="O2856" s="1481">
        <f t="shared" si="404"/>
        <v>0</v>
      </c>
      <c r="P2856" s="1427">
        <f t="shared" si="405"/>
        <v>0</v>
      </c>
    </row>
    <row r="2857" spans="1:16" ht="15.5" outlineLevel="1" x14ac:dyDescent="0.25">
      <c r="A2857" s="1488">
        <f t="shared" si="410"/>
        <v>31.6</v>
      </c>
      <c r="B2857" s="1492" t="str">
        <f t="shared" si="410"/>
        <v>ENTRY MANAGEMENT SYSTEM, TRUCK TRACKING SYSTEM</v>
      </c>
      <c r="C2857" s="1488" t="str">
        <f t="shared" si="410"/>
        <v>MERC/CAPEX/2018-19/066</v>
      </c>
      <c r="D2857" s="1413">
        <f t="shared" si="410"/>
        <v>43529</v>
      </c>
      <c r="E2857" s="560">
        <f t="shared" si="410"/>
        <v>1.25</v>
      </c>
      <c r="F2857" s="1508">
        <f t="shared" si="402"/>
        <v>1.25</v>
      </c>
      <c r="G2857" s="1508">
        <f t="shared" si="403"/>
        <v>1.25</v>
      </c>
      <c r="H2857" s="1508">
        <f t="shared" si="406"/>
        <v>0</v>
      </c>
      <c r="I2857" s="1480">
        <v>0</v>
      </c>
      <c r="J2857" s="1480">
        <v>0</v>
      </c>
      <c r="K2857" s="1508"/>
      <c r="L2857" s="1508"/>
      <c r="M2857" s="1509">
        <f t="shared" si="407"/>
        <v>0</v>
      </c>
      <c r="N2857" s="1508">
        <f t="shared" si="408"/>
        <v>0</v>
      </c>
      <c r="O2857" s="1481">
        <f t="shared" si="404"/>
        <v>0</v>
      </c>
      <c r="P2857" s="1427">
        <f t="shared" si="405"/>
        <v>0</v>
      </c>
    </row>
    <row r="2858" spans="1:16" ht="15.5" outlineLevel="1" x14ac:dyDescent="0.25">
      <c r="A2858" s="1488">
        <f t="shared" si="410"/>
        <v>31.7</v>
      </c>
      <c r="B2858" s="1492" t="str">
        <f t="shared" si="410"/>
        <v>NETWORKING</v>
      </c>
      <c r="C2858" s="1488" t="str">
        <f t="shared" si="410"/>
        <v>MERC/CAPEX/2018-19/066</v>
      </c>
      <c r="D2858" s="1413">
        <f t="shared" si="410"/>
        <v>43529</v>
      </c>
      <c r="E2858" s="560">
        <f t="shared" si="410"/>
        <v>9.35</v>
      </c>
      <c r="F2858" s="1508">
        <f t="shared" si="402"/>
        <v>9.35</v>
      </c>
      <c r="G2858" s="1508">
        <f t="shared" si="403"/>
        <v>9.35</v>
      </c>
      <c r="H2858" s="1508">
        <f t="shared" si="406"/>
        <v>0</v>
      </c>
      <c r="I2858" s="1480">
        <v>0</v>
      </c>
      <c r="J2858" s="1480">
        <v>0</v>
      </c>
      <c r="K2858" s="1508"/>
      <c r="L2858" s="1508"/>
      <c r="M2858" s="1509">
        <f t="shared" si="407"/>
        <v>0</v>
      </c>
      <c r="N2858" s="1508">
        <f t="shared" si="408"/>
        <v>0</v>
      </c>
      <c r="O2858" s="1481">
        <f t="shared" si="404"/>
        <v>0</v>
      </c>
      <c r="P2858" s="1427">
        <f t="shared" si="405"/>
        <v>0</v>
      </c>
    </row>
    <row r="2859" spans="1:16" ht="15.5" outlineLevel="1" x14ac:dyDescent="0.25">
      <c r="A2859" s="1488">
        <f t="shared" si="410"/>
        <v>31.8</v>
      </c>
      <c r="B2859" s="1492" t="str">
        <f t="shared" si="410"/>
        <v>MESSAGE DISPLAY SYSTEM</v>
      </c>
      <c r="C2859" s="1488" t="str">
        <f t="shared" si="410"/>
        <v>MERC/CAPEX/2018-19/066</v>
      </c>
      <c r="D2859" s="1413">
        <f t="shared" si="410"/>
        <v>43529</v>
      </c>
      <c r="E2859" s="560">
        <f t="shared" si="410"/>
        <v>0.31</v>
      </c>
      <c r="F2859" s="1508">
        <f t="shared" si="402"/>
        <v>0.31</v>
      </c>
      <c r="G2859" s="1508">
        <f t="shared" si="403"/>
        <v>0.31</v>
      </c>
      <c r="H2859" s="1508">
        <f t="shared" si="406"/>
        <v>0</v>
      </c>
      <c r="I2859" s="1480">
        <v>0</v>
      </c>
      <c r="J2859" s="1480">
        <v>0</v>
      </c>
      <c r="K2859" s="1508"/>
      <c r="L2859" s="1508"/>
      <c r="M2859" s="1509">
        <f t="shared" si="407"/>
        <v>0</v>
      </c>
      <c r="N2859" s="1508">
        <f t="shared" si="408"/>
        <v>0</v>
      </c>
      <c r="O2859" s="1481">
        <f t="shared" si="404"/>
        <v>0</v>
      </c>
      <c r="P2859" s="1427">
        <f t="shared" si="405"/>
        <v>0</v>
      </c>
    </row>
    <row r="2860" spans="1:16" ht="15.5" outlineLevel="1" x14ac:dyDescent="0.25">
      <c r="A2860" s="1488">
        <f t="shared" si="410"/>
        <v>31.9</v>
      </c>
      <c r="B2860" s="1492" t="str">
        <f t="shared" si="410"/>
        <v>IP PA SYSTEM</v>
      </c>
      <c r="C2860" s="1488" t="str">
        <f t="shared" si="410"/>
        <v>MERC/CAPEX/2018-19/066</v>
      </c>
      <c r="D2860" s="1413">
        <f t="shared" si="410"/>
        <v>43529</v>
      </c>
      <c r="E2860" s="560">
        <f t="shared" si="410"/>
        <v>2.74</v>
      </c>
      <c r="F2860" s="1508">
        <f t="shared" si="402"/>
        <v>2.74</v>
      </c>
      <c r="G2860" s="1508">
        <f t="shared" si="403"/>
        <v>2.74</v>
      </c>
      <c r="H2860" s="1508">
        <f t="shared" si="406"/>
        <v>0</v>
      </c>
      <c r="I2860" s="1480">
        <v>0</v>
      </c>
      <c r="J2860" s="1480">
        <v>0</v>
      </c>
      <c r="K2860" s="1508"/>
      <c r="L2860" s="1508"/>
      <c r="M2860" s="1509">
        <f t="shared" si="407"/>
        <v>0</v>
      </c>
      <c r="N2860" s="1508">
        <f t="shared" si="408"/>
        <v>0</v>
      </c>
      <c r="O2860" s="1481">
        <f t="shared" si="404"/>
        <v>0</v>
      </c>
      <c r="P2860" s="1427">
        <f t="shared" si="405"/>
        <v>0</v>
      </c>
    </row>
    <row r="2861" spans="1:16" ht="15.5" outlineLevel="1" x14ac:dyDescent="0.25">
      <c r="A2861" s="1488" t="str">
        <f t="shared" si="410"/>
        <v>31.10</v>
      </c>
      <c r="B2861" s="1492" t="str">
        <f t="shared" si="410"/>
        <v>TOWERS, EARTHING /POLES, CONDUITING, DIGGING</v>
      </c>
      <c r="C2861" s="1488" t="str">
        <f t="shared" si="410"/>
        <v>MERC/CAPEX/2018-19/066</v>
      </c>
      <c r="D2861" s="1413">
        <f t="shared" si="410"/>
        <v>43529</v>
      </c>
      <c r="E2861" s="560">
        <f t="shared" si="410"/>
        <v>7.63</v>
      </c>
      <c r="F2861" s="1508">
        <f t="shared" si="402"/>
        <v>7.63</v>
      </c>
      <c r="G2861" s="1508">
        <f t="shared" si="403"/>
        <v>7.63</v>
      </c>
      <c r="H2861" s="1508">
        <f t="shared" si="406"/>
        <v>0</v>
      </c>
      <c r="I2861" s="1480">
        <v>0</v>
      </c>
      <c r="J2861" s="1480">
        <v>0</v>
      </c>
      <c r="K2861" s="1508"/>
      <c r="L2861" s="1508"/>
      <c r="M2861" s="1509">
        <f t="shared" si="407"/>
        <v>0</v>
      </c>
      <c r="N2861" s="1508">
        <f t="shared" si="408"/>
        <v>0</v>
      </c>
      <c r="O2861" s="1481">
        <f t="shared" si="404"/>
        <v>0</v>
      </c>
      <c r="P2861" s="1427">
        <f t="shared" si="405"/>
        <v>0</v>
      </c>
    </row>
    <row r="2862" spans="1:16" ht="46.5" outlineLevel="1" x14ac:dyDescent="0.25">
      <c r="A2862" s="1488">
        <f t="shared" si="410"/>
        <v>31.11</v>
      </c>
      <c r="B2862" s="1492" t="str">
        <f t="shared" si="410"/>
        <v>RDBMS, SERVER, WORKSTATIONS, IN CON. ROOM WITH FURINITURE DOCUMENTATION, CAMERA &amp; ANALYTICS LICENSES</v>
      </c>
      <c r="C2862" s="1488" t="str">
        <f t="shared" si="410"/>
        <v>MERC/CAPEX/2018-19/066</v>
      </c>
      <c r="D2862" s="1413">
        <f t="shared" si="410"/>
        <v>43529</v>
      </c>
      <c r="E2862" s="560">
        <f t="shared" si="410"/>
        <v>18.670000000000002</v>
      </c>
      <c r="F2862" s="1508">
        <f t="shared" si="402"/>
        <v>18.670000000000002</v>
      </c>
      <c r="G2862" s="1508">
        <f t="shared" si="403"/>
        <v>18.670000000000002</v>
      </c>
      <c r="H2862" s="1508">
        <f t="shared" si="406"/>
        <v>0</v>
      </c>
      <c r="I2862" s="1480">
        <v>0</v>
      </c>
      <c r="J2862" s="1480">
        <v>0</v>
      </c>
      <c r="K2862" s="1508"/>
      <c r="L2862" s="1508"/>
      <c r="M2862" s="1509">
        <f t="shared" si="407"/>
        <v>0</v>
      </c>
      <c r="N2862" s="1508">
        <f t="shared" si="408"/>
        <v>0</v>
      </c>
      <c r="O2862" s="1481">
        <f t="shared" si="404"/>
        <v>0</v>
      </c>
      <c r="P2862" s="1427">
        <f t="shared" si="405"/>
        <v>0</v>
      </c>
    </row>
    <row r="2863" spans="1:16" ht="15.5" outlineLevel="1" x14ac:dyDescent="0.25">
      <c r="A2863" s="1488">
        <f t="shared" si="410"/>
        <v>31.12</v>
      </c>
      <c r="B2863" s="1492" t="str">
        <f t="shared" si="410"/>
        <v>ADDITIONAL CIVIL WORK</v>
      </c>
      <c r="C2863" s="1488" t="str">
        <f t="shared" si="410"/>
        <v>MERC/CAPEX/2018-19/066</v>
      </c>
      <c r="D2863" s="1413">
        <f t="shared" si="410"/>
        <v>43529</v>
      </c>
      <c r="E2863" s="560">
        <f t="shared" si="410"/>
        <v>3.93</v>
      </c>
      <c r="F2863" s="1508">
        <f t="shared" si="402"/>
        <v>3.93</v>
      </c>
      <c r="G2863" s="1508">
        <f t="shared" si="403"/>
        <v>3.93</v>
      </c>
      <c r="H2863" s="1508">
        <f t="shared" si="406"/>
        <v>0</v>
      </c>
      <c r="I2863" s="1480">
        <v>0</v>
      </c>
      <c r="J2863" s="1480">
        <v>0</v>
      </c>
      <c r="K2863" s="1508"/>
      <c r="L2863" s="1508"/>
      <c r="M2863" s="1509">
        <f t="shared" si="407"/>
        <v>0</v>
      </c>
      <c r="N2863" s="1508">
        <f t="shared" si="408"/>
        <v>0</v>
      </c>
      <c r="O2863" s="1481">
        <f t="shared" si="404"/>
        <v>0</v>
      </c>
      <c r="P2863" s="1427">
        <f t="shared" si="405"/>
        <v>0</v>
      </c>
    </row>
    <row r="2864" spans="1:16" ht="46.5" outlineLevel="1" x14ac:dyDescent="0.25">
      <c r="A2864" s="1486">
        <f t="shared" si="410"/>
        <v>32</v>
      </c>
      <c r="B2864" s="1491" t="str">
        <f t="shared" si="410"/>
        <v>Provision of VFD panel along with bypasses arrangement for HT/LT conveyors &amp; automation of control room at Coal Handling Plant-B</v>
      </c>
      <c r="C2864" s="1486" t="str">
        <f t="shared" si="410"/>
        <v>MERC/CAPEX/20182019/1240</v>
      </c>
      <c r="D2864" s="1487">
        <f t="shared" si="410"/>
        <v>43363</v>
      </c>
      <c r="E2864" s="1383">
        <f t="shared" si="410"/>
        <v>38.629999999999995</v>
      </c>
      <c r="F2864" s="1480">
        <f t="shared" si="402"/>
        <v>0</v>
      </c>
      <c r="G2864" s="1480">
        <f t="shared" si="403"/>
        <v>0</v>
      </c>
      <c r="H2864" s="1480">
        <f t="shared" si="406"/>
        <v>0</v>
      </c>
      <c r="I2864" s="1480">
        <v>0</v>
      </c>
      <c r="J2864" s="1480">
        <v>0</v>
      </c>
      <c r="K2864" s="1480"/>
      <c r="L2864" s="1480"/>
      <c r="M2864" s="1480">
        <f t="shared" si="407"/>
        <v>0</v>
      </c>
      <c r="N2864" s="1480">
        <f t="shared" si="408"/>
        <v>0</v>
      </c>
      <c r="O2864" s="1481">
        <f t="shared" si="404"/>
        <v>0</v>
      </c>
      <c r="P2864" s="1427">
        <f t="shared" si="405"/>
        <v>0</v>
      </c>
    </row>
    <row r="2865" spans="1:16" ht="46.5" outlineLevel="1" x14ac:dyDescent="0.25">
      <c r="A2865" s="1488">
        <f t="shared" si="410"/>
        <v>32.1</v>
      </c>
      <c r="B2865" s="1492" t="str">
        <f t="shared" si="410"/>
        <v>Procurement, Installation and commissioning of MV/LT VFD panel along with bypass arrangement for HT/LT Conveyors of CHP-B</v>
      </c>
      <c r="C2865" s="1488" t="str">
        <f t="shared" si="410"/>
        <v>MERC/CAPEX/20182019/1240</v>
      </c>
      <c r="D2865" s="1413">
        <f t="shared" si="410"/>
        <v>43363</v>
      </c>
      <c r="E2865" s="560">
        <f t="shared" si="410"/>
        <v>32.56</v>
      </c>
      <c r="F2865" s="1508">
        <f t="shared" si="402"/>
        <v>32.56</v>
      </c>
      <c r="G2865" s="1508">
        <f t="shared" si="403"/>
        <v>32.56</v>
      </c>
      <c r="H2865" s="1508">
        <f t="shared" si="406"/>
        <v>0</v>
      </c>
      <c r="I2865" s="1480">
        <v>0</v>
      </c>
      <c r="J2865" s="1480">
        <v>0</v>
      </c>
      <c r="K2865" s="1508"/>
      <c r="L2865" s="1508"/>
      <c r="M2865" s="1509">
        <f t="shared" si="407"/>
        <v>0</v>
      </c>
      <c r="N2865" s="1508">
        <f t="shared" si="408"/>
        <v>0</v>
      </c>
      <c r="O2865" s="1481">
        <f t="shared" si="404"/>
        <v>0</v>
      </c>
      <c r="P2865" s="1427">
        <f t="shared" si="405"/>
        <v>0</v>
      </c>
    </row>
    <row r="2866" spans="1:16" ht="15.5" outlineLevel="1" x14ac:dyDescent="0.25">
      <c r="A2866" s="1488">
        <f t="shared" ref="A2866:E2881" si="411">A2196</f>
        <v>32.200000000000003</v>
      </c>
      <c r="B2866" s="1492" t="str">
        <f t="shared" si="411"/>
        <v>Automation of Control Room of CHP-B Using PLC System</v>
      </c>
      <c r="C2866" s="1488" t="str">
        <f t="shared" si="411"/>
        <v>MERC/CAPEX/20182019/1240</v>
      </c>
      <c r="D2866" s="1413">
        <f t="shared" si="411"/>
        <v>43363</v>
      </c>
      <c r="E2866" s="560">
        <f t="shared" si="411"/>
        <v>4.91</v>
      </c>
      <c r="F2866" s="1508">
        <f t="shared" si="402"/>
        <v>0</v>
      </c>
      <c r="G2866" s="1508">
        <f t="shared" si="403"/>
        <v>0</v>
      </c>
      <c r="H2866" s="1508">
        <f t="shared" si="406"/>
        <v>0</v>
      </c>
      <c r="I2866" s="1480">
        <v>8</v>
      </c>
      <c r="J2866" s="1480">
        <v>8</v>
      </c>
      <c r="K2866" s="1508"/>
      <c r="L2866" s="1508"/>
      <c r="M2866" s="1509">
        <f t="shared" si="407"/>
        <v>8</v>
      </c>
      <c r="N2866" s="1508">
        <f t="shared" si="408"/>
        <v>0</v>
      </c>
      <c r="O2866" s="1481">
        <f t="shared" si="404"/>
        <v>4.91</v>
      </c>
      <c r="P2866" s="1427">
        <f t="shared" si="405"/>
        <v>3.09</v>
      </c>
    </row>
    <row r="2867" spans="1:16" ht="15.5" outlineLevel="1" x14ac:dyDescent="0.25">
      <c r="A2867" s="1482">
        <f t="shared" si="411"/>
        <v>0</v>
      </c>
      <c r="B2867" s="1483" t="str">
        <f t="shared" si="411"/>
        <v>IDC</v>
      </c>
      <c r="C2867" s="1482" t="str">
        <f t="shared" si="411"/>
        <v>MERC/CAPEX/20182019/1240</v>
      </c>
      <c r="D2867" s="1390">
        <f t="shared" si="411"/>
        <v>43363</v>
      </c>
      <c r="E2867" s="560">
        <f t="shared" si="411"/>
        <v>1.1599999999999999</v>
      </c>
      <c r="F2867" s="1508">
        <f t="shared" si="402"/>
        <v>0</v>
      </c>
      <c r="G2867" s="1508">
        <f t="shared" si="403"/>
        <v>0</v>
      </c>
      <c r="H2867" s="1508">
        <f t="shared" si="406"/>
        <v>0</v>
      </c>
      <c r="I2867" s="1480">
        <v>0</v>
      </c>
      <c r="J2867" s="1480">
        <v>0</v>
      </c>
      <c r="K2867" s="1508"/>
      <c r="L2867" s="1508"/>
      <c r="M2867" s="1509">
        <f t="shared" si="407"/>
        <v>0</v>
      </c>
      <c r="N2867" s="1508">
        <f t="shared" si="408"/>
        <v>0</v>
      </c>
      <c r="O2867" s="1481">
        <f t="shared" si="404"/>
        <v>0</v>
      </c>
      <c r="P2867" s="1427">
        <f t="shared" si="405"/>
        <v>0</v>
      </c>
    </row>
    <row r="2868" spans="1:16" ht="31" outlineLevel="1" x14ac:dyDescent="0.25">
      <c r="A2868" s="1486">
        <f t="shared" si="411"/>
        <v>33</v>
      </c>
      <c r="B2868" s="1491" t="str">
        <f t="shared" si="411"/>
        <v>Complete Track Renewal (CTR)/Renovation of existing Broad Gauge Railway Siding of 500MW Yard in CSTPS</v>
      </c>
      <c r="C2868" s="1486" t="str">
        <f t="shared" si="411"/>
        <v>MERC/CAPEX/2019-2020/362</v>
      </c>
      <c r="D2868" s="1487">
        <f t="shared" si="411"/>
        <v>43657</v>
      </c>
      <c r="E2868" s="1383">
        <f t="shared" si="411"/>
        <v>15.22025</v>
      </c>
      <c r="F2868" s="1480">
        <f t="shared" si="402"/>
        <v>0</v>
      </c>
      <c r="G2868" s="1480">
        <f t="shared" si="403"/>
        <v>0</v>
      </c>
      <c r="H2868" s="1480">
        <f t="shared" si="406"/>
        <v>0</v>
      </c>
      <c r="I2868" s="1480">
        <v>0</v>
      </c>
      <c r="J2868" s="1480">
        <v>0</v>
      </c>
      <c r="K2868" s="1480"/>
      <c r="L2868" s="1480"/>
      <c r="M2868" s="1480">
        <f t="shared" si="407"/>
        <v>0</v>
      </c>
      <c r="N2868" s="1480">
        <f t="shared" si="408"/>
        <v>0</v>
      </c>
      <c r="O2868" s="1481">
        <f t="shared" si="404"/>
        <v>0</v>
      </c>
      <c r="P2868" s="1427">
        <f t="shared" si="405"/>
        <v>0</v>
      </c>
    </row>
    <row r="2869" spans="1:16" ht="31" outlineLevel="1" x14ac:dyDescent="0.25">
      <c r="A2869" s="1488">
        <f t="shared" si="411"/>
        <v>33.1</v>
      </c>
      <c r="B2869" s="1492" t="str">
        <f t="shared" si="411"/>
        <v>Complete Track Renewal (CTR)/Renovation of existing Broad Gauge Railway Siding of 500MW Yard in CSTPS</v>
      </c>
      <c r="C2869" s="1488" t="str">
        <f t="shared" si="411"/>
        <v>MERC/CAPEX/2019-2020/362</v>
      </c>
      <c r="D2869" s="1413">
        <f t="shared" si="411"/>
        <v>43657</v>
      </c>
      <c r="E2869" s="560">
        <f t="shared" si="411"/>
        <v>14.20025</v>
      </c>
      <c r="F2869" s="1508">
        <f t="shared" si="402"/>
        <v>16.899999999999999</v>
      </c>
      <c r="G2869" s="1508">
        <f t="shared" si="403"/>
        <v>16.899999999999999</v>
      </c>
      <c r="H2869" s="1508">
        <f t="shared" si="406"/>
        <v>0</v>
      </c>
      <c r="I2869" s="1480">
        <v>0</v>
      </c>
      <c r="J2869" s="1480">
        <v>0</v>
      </c>
      <c r="K2869" s="1508"/>
      <c r="L2869" s="1508"/>
      <c r="M2869" s="1509">
        <f t="shared" si="407"/>
        <v>0</v>
      </c>
      <c r="N2869" s="1508">
        <f t="shared" si="408"/>
        <v>0</v>
      </c>
      <c r="O2869" s="1481">
        <f t="shared" si="404"/>
        <v>0</v>
      </c>
      <c r="P2869" s="1427">
        <f t="shared" si="405"/>
        <v>0</v>
      </c>
    </row>
    <row r="2870" spans="1:16" ht="15.5" outlineLevel="1" x14ac:dyDescent="0.25">
      <c r="A2870" s="1482">
        <f t="shared" si="411"/>
        <v>0</v>
      </c>
      <c r="B2870" s="1483" t="str">
        <f t="shared" si="411"/>
        <v>IDC</v>
      </c>
      <c r="C2870" s="1482" t="str">
        <f t="shared" si="411"/>
        <v>MERC/CAPEX/2019-2020/362</v>
      </c>
      <c r="D2870" s="1390">
        <f t="shared" si="411"/>
        <v>43657</v>
      </c>
      <c r="E2870" s="560">
        <f t="shared" si="411"/>
        <v>1.02</v>
      </c>
      <c r="F2870" s="1508">
        <f t="shared" si="402"/>
        <v>0</v>
      </c>
      <c r="G2870" s="1508">
        <f t="shared" si="403"/>
        <v>0</v>
      </c>
      <c r="H2870" s="1508">
        <f t="shared" si="406"/>
        <v>0</v>
      </c>
      <c r="I2870" s="1480">
        <v>0</v>
      </c>
      <c r="J2870" s="1480">
        <v>0</v>
      </c>
      <c r="K2870" s="1508"/>
      <c r="L2870" s="1508"/>
      <c r="M2870" s="1509">
        <f t="shared" si="407"/>
        <v>0</v>
      </c>
      <c r="N2870" s="1508">
        <f t="shared" si="408"/>
        <v>0</v>
      </c>
      <c r="O2870" s="1481">
        <f t="shared" si="404"/>
        <v>0</v>
      </c>
      <c r="P2870" s="1427">
        <f t="shared" si="405"/>
        <v>0</v>
      </c>
    </row>
    <row r="2871" spans="1:16" ht="31" outlineLevel="1" x14ac:dyDescent="0.25">
      <c r="A2871" s="1486">
        <f t="shared" si="411"/>
        <v>34</v>
      </c>
      <c r="B2871" s="1491" t="str">
        <f t="shared" si="411"/>
        <v>Procurement of Spare Generator Rotor along with one set of Bearings for Unit # 5, 6 &amp; 7 CSTPS, Chandrapur</v>
      </c>
      <c r="C2871" s="1486" t="str">
        <f t="shared" si="411"/>
        <v>MERC/CAPEX/2019-2020/129</v>
      </c>
      <c r="D2871" s="1487">
        <f t="shared" si="411"/>
        <v>43588</v>
      </c>
      <c r="E2871" s="1383">
        <f t="shared" si="411"/>
        <v>41.469115199999997</v>
      </c>
      <c r="F2871" s="1480">
        <f t="shared" si="402"/>
        <v>0</v>
      </c>
      <c r="G2871" s="1480">
        <f t="shared" si="403"/>
        <v>0</v>
      </c>
      <c r="H2871" s="1480">
        <f t="shared" si="406"/>
        <v>0</v>
      </c>
      <c r="I2871" s="1480">
        <v>0</v>
      </c>
      <c r="J2871" s="1480">
        <v>0</v>
      </c>
      <c r="K2871" s="1480"/>
      <c r="L2871" s="1480"/>
      <c r="M2871" s="1480">
        <f t="shared" si="407"/>
        <v>0</v>
      </c>
      <c r="N2871" s="1480">
        <f t="shared" si="408"/>
        <v>0</v>
      </c>
      <c r="O2871" s="1481">
        <f t="shared" si="404"/>
        <v>0</v>
      </c>
      <c r="P2871" s="1427">
        <f t="shared" si="405"/>
        <v>0</v>
      </c>
    </row>
    <row r="2872" spans="1:16" ht="46.5" outlineLevel="1" x14ac:dyDescent="0.25">
      <c r="A2872" s="1488">
        <f t="shared" si="411"/>
        <v>34.1</v>
      </c>
      <c r="B2872" s="1492" t="str">
        <f t="shared" si="411"/>
        <v xml:space="preserve">Generator Rotor suitable for THDF 115/59
One Set of Bearings (Comprising of 2 nos. of bearings)
</v>
      </c>
      <c r="C2872" s="1488" t="str">
        <f t="shared" si="411"/>
        <v>MERC/CAPEX/2019-2020/129</v>
      </c>
      <c r="D2872" s="1413">
        <f t="shared" si="411"/>
        <v>43588</v>
      </c>
      <c r="E2872" s="560">
        <f t="shared" si="411"/>
        <v>40.359115199999998</v>
      </c>
      <c r="F2872" s="1508">
        <f t="shared" si="402"/>
        <v>42.189589900000001</v>
      </c>
      <c r="G2872" s="1508">
        <f t="shared" si="403"/>
        <v>42.189589900000001</v>
      </c>
      <c r="H2872" s="1508">
        <f t="shared" si="406"/>
        <v>0</v>
      </c>
      <c r="I2872" s="1480">
        <v>0</v>
      </c>
      <c r="J2872" s="1480">
        <v>0</v>
      </c>
      <c r="K2872" s="1508"/>
      <c r="L2872" s="1508"/>
      <c r="M2872" s="1509">
        <f t="shared" si="407"/>
        <v>0</v>
      </c>
      <c r="N2872" s="1508">
        <f t="shared" si="408"/>
        <v>0</v>
      </c>
      <c r="O2872" s="1481">
        <f t="shared" si="404"/>
        <v>0</v>
      </c>
      <c r="P2872" s="1427">
        <f t="shared" si="405"/>
        <v>0</v>
      </c>
    </row>
    <row r="2873" spans="1:16" ht="15.5" outlineLevel="1" x14ac:dyDescent="0.25">
      <c r="A2873" s="1482">
        <f t="shared" si="411"/>
        <v>0</v>
      </c>
      <c r="B2873" s="1483" t="str">
        <f t="shared" si="411"/>
        <v>IDC</v>
      </c>
      <c r="C2873" s="1482" t="str">
        <f t="shared" si="411"/>
        <v>MERC/CAPEX/2019-2020/129</v>
      </c>
      <c r="D2873" s="1390">
        <f t="shared" si="411"/>
        <v>43588</v>
      </c>
      <c r="E2873" s="560">
        <f t="shared" si="411"/>
        <v>1.1100000000000001</v>
      </c>
      <c r="F2873" s="1508">
        <f t="shared" si="402"/>
        <v>0</v>
      </c>
      <c r="G2873" s="1508">
        <f t="shared" si="403"/>
        <v>0</v>
      </c>
      <c r="H2873" s="1508">
        <f t="shared" si="406"/>
        <v>0</v>
      </c>
      <c r="I2873" s="1480">
        <v>0</v>
      </c>
      <c r="J2873" s="1480">
        <v>0</v>
      </c>
      <c r="K2873" s="1508"/>
      <c r="L2873" s="1508"/>
      <c r="M2873" s="1509">
        <f t="shared" si="407"/>
        <v>0</v>
      </c>
      <c r="N2873" s="1508">
        <f t="shared" si="408"/>
        <v>0</v>
      </c>
      <c r="O2873" s="1481">
        <f t="shared" si="404"/>
        <v>0</v>
      </c>
      <c r="P2873" s="1427">
        <f t="shared" si="405"/>
        <v>0</v>
      </c>
    </row>
    <row r="2874" spans="1:16" ht="31" outlineLevel="1" x14ac:dyDescent="0.25">
      <c r="A2874" s="1477">
        <f t="shared" si="411"/>
        <v>35</v>
      </c>
      <c r="B2874" s="1478" t="str">
        <f t="shared" si="411"/>
        <v>Procurement of 2 NOS. OF 3100 HP, WDG-3A Locomotives for CSTPS, Chandrapur</v>
      </c>
      <c r="C2874" s="1486" t="str">
        <f t="shared" si="411"/>
        <v>MERC/CAPEX/2019-2020/1214</v>
      </c>
      <c r="D2874" s="1487">
        <f t="shared" si="411"/>
        <v>43822</v>
      </c>
      <c r="E2874" s="1383">
        <f t="shared" si="411"/>
        <v>22.05</v>
      </c>
      <c r="F2874" s="1480">
        <f t="shared" si="402"/>
        <v>0</v>
      </c>
      <c r="G2874" s="1480">
        <f t="shared" si="403"/>
        <v>0</v>
      </c>
      <c r="H2874" s="1480">
        <f t="shared" si="406"/>
        <v>0</v>
      </c>
      <c r="I2874" s="1480">
        <v>0</v>
      </c>
      <c r="J2874" s="1480">
        <v>0</v>
      </c>
      <c r="K2874" s="1480"/>
      <c r="L2874" s="1480"/>
      <c r="M2874" s="1480">
        <f t="shared" si="407"/>
        <v>0</v>
      </c>
      <c r="N2874" s="1480">
        <f t="shared" si="408"/>
        <v>0</v>
      </c>
      <c r="O2874" s="1481">
        <f t="shared" si="404"/>
        <v>0</v>
      </c>
      <c r="P2874" s="1427">
        <f t="shared" si="405"/>
        <v>0</v>
      </c>
    </row>
    <row r="2875" spans="1:16" ht="31" outlineLevel="1" x14ac:dyDescent="0.25">
      <c r="A2875" s="1482">
        <f t="shared" si="411"/>
        <v>35.1</v>
      </c>
      <c r="B2875" s="1483" t="str">
        <f t="shared" si="411"/>
        <v>Procurement of 2 NOS. OF 3100 HP, WDG-3A Locomotives for CSTPS, Chandrapur</v>
      </c>
      <c r="C2875" s="1488" t="str">
        <f t="shared" si="411"/>
        <v>MERC/CAPEX/2019-2020/1214</v>
      </c>
      <c r="D2875" s="1413">
        <f t="shared" si="411"/>
        <v>43822</v>
      </c>
      <c r="E2875" s="1383">
        <f t="shared" si="411"/>
        <v>21.66</v>
      </c>
      <c r="F2875" s="1480">
        <f t="shared" si="402"/>
        <v>22.854784800000001</v>
      </c>
      <c r="G2875" s="1480">
        <f t="shared" si="403"/>
        <v>22.854784800000001</v>
      </c>
      <c r="H2875" s="1480">
        <f>F2875-G2875</f>
        <v>0</v>
      </c>
      <c r="I2875" s="1480">
        <v>0</v>
      </c>
      <c r="J2875" s="1480">
        <v>0</v>
      </c>
      <c r="K2875" s="1480"/>
      <c r="L2875" s="1480"/>
      <c r="M2875" s="1480">
        <f>SUM(J2875:L2875)</f>
        <v>0</v>
      </c>
      <c r="N2875" s="1480">
        <f>H2875+I2875-M2875</f>
        <v>0</v>
      </c>
      <c r="O2875" s="1481">
        <f t="shared" si="404"/>
        <v>0</v>
      </c>
      <c r="P2875" s="1427">
        <f t="shared" si="405"/>
        <v>0</v>
      </c>
    </row>
    <row r="2876" spans="1:16" ht="15.5" outlineLevel="1" x14ac:dyDescent="0.25">
      <c r="A2876" s="1482">
        <f t="shared" si="411"/>
        <v>0</v>
      </c>
      <c r="B2876" s="1483" t="str">
        <f t="shared" si="411"/>
        <v>IDC</v>
      </c>
      <c r="C2876" s="1482" t="str">
        <f t="shared" si="411"/>
        <v>MERC/CAPEX/2019-2020/1214</v>
      </c>
      <c r="D2876" s="1390">
        <f t="shared" si="411"/>
        <v>43822</v>
      </c>
      <c r="E2876" s="560">
        <f t="shared" si="411"/>
        <v>0.39</v>
      </c>
      <c r="F2876" s="1508">
        <f t="shared" si="402"/>
        <v>0</v>
      </c>
      <c r="G2876" s="1508">
        <f t="shared" si="403"/>
        <v>0</v>
      </c>
      <c r="H2876" s="1508">
        <f t="shared" ref="H2876:H2939" si="412">F2876-G2876</f>
        <v>0</v>
      </c>
      <c r="I2876" s="1480">
        <v>0</v>
      </c>
      <c r="J2876" s="1480">
        <v>0</v>
      </c>
      <c r="K2876" s="1508"/>
      <c r="L2876" s="1508"/>
      <c r="M2876" s="1509">
        <f t="shared" ref="M2876:M2932" si="413">SUM(J2876:L2876)</f>
        <v>0</v>
      </c>
      <c r="N2876" s="1508">
        <f t="shared" ref="N2876:N2939" si="414">H2876+I2876-M2876</f>
        <v>0</v>
      </c>
      <c r="O2876" s="1481">
        <f t="shared" si="404"/>
        <v>0</v>
      </c>
      <c r="P2876" s="1427">
        <f t="shared" si="405"/>
        <v>0</v>
      </c>
    </row>
    <row r="2877" spans="1:16" ht="46.5" outlineLevel="1" x14ac:dyDescent="0.25">
      <c r="A2877" s="1486">
        <f t="shared" si="411"/>
        <v>36</v>
      </c>
      <c r="B2877" s="1491" t="str">
        <f t="shared" si="411"/>
        <v>Replacement of 220 V Station Battery Sets &amp; UPS Battery Sets of Unit# 5 &amp; 6 and 24 V G1 G2 Battery sets of Unit# 5, 6 &amp; 7 for 500MW Stage-III CSTPS.</v>
      </c>
      <c r="C2877" s="1486" t="str">
        <f t="shared" si="411"/>
        <v>MERC/CAPEX/2020-2021/WFH/SBR/32</v>
      </c>
      <c r="D2877" s="1487">
        <f t="shared" si="411"/>
        <v>44104</v>
      </c>
      <c r="E2877" s="1383">
        <f t="shared" si="411"/>
        <v>18.559999999999999</v>
      </c>
      <c r="F2877" s="1480">
        <f t="shared" si="402"/>
        <v>0</v>
      </c>
      <c r="G2877" s="1480">
        <f t="shared" si="403"/>
        <v>0</v>
      </c>
      <c r="H2877" s="1480">
        <f t="shared" si="412"/>
        <v>0</v>
      </c>
      <c r="I2877" s="1480">
        <v>0</v>
      </c>
      <c r="J2877" s="1480">
        <v>0</v>
      </c>
      <c r="K2877" s="1480"/>
      <c r="L2877" s="1480"/>
      <c r="M2877" s="1480">
        <f t="shared" si="413"/>
        <v>0</v>
      </c>
      <c r="N2877" s="1480">
        <f t="shared" si="414"/>
        <v>0</v>
      </c>
      <c r="O2877" s="1481">
        <f t="shared" si="404"/>
        <v>0</v>
      </c>
      <c r="P2877" s="1427">
        <f t="shared" si="405"/>
        <v>0</v>
      </c>
    </row>
    <row r="2878" spans="1:16" ht="46.5" outlineLevel="1" x14ac:dyDescent="0.25">
      <c r="A2878" s="1488">
        <f t="shared" si="411"/>
        <v>36.1</v>
      </c>
      <c r="B2878" s="1492" t="str">
        <f t="shared" si="411"/>
        <v>Replacement of 220 V Station Battery Sets &amp; UPS Battery Sets of Unit# 5 &amp; 6 and 24 V G1 G2 Battery sets of Unit# 5, 6 &amp; 7 for 500MW Stage-III, CSTPS.</v>
      </c>
      <c r="C2878" s="1488" t="str">
        <f t="shared" si="411"/>
        <v>MERC/CAPEX/2020-2021/WFH/SBR/32</v>
      </c>
      <c r="D2878" s="1413">
        <f t="shared" si="411"/>
        <v>44104</v>
      </c>
      <c r="E2878" s="560">
        <f t="shared" si="411"/>
        <v>18.32</v>
      </c>
      <c r="F2878" s="1508">
        <f t="shared" si="402"/>
        <v>18.32</v>
      </c>
      <c r="G2878" s="1508">
        <f t="shared" si="403"/>
        <v>18.32</v>
      </c>
      <c r="H2878" s="1508">
        <f t="shared" si="412"/>
        <v>0</v>
      </c>
      <c r="I2878" s="1480">
        <v>0</v>
      </c>
      <c r="J2878" s="1480">
        <v>0</v>
      </c>
      <c r="K2878" s="1508"/>
      <c r="L2878" s="1508"/>
      <c r="M2878" s="1509">
        <f t="shared" si="413"/>
        <v>0</v>
      </c>
      <c r="N2878" s="1508">
        <f t="shared" si="414"/>
        <v>0</v>
      </c>
      <c r="O2878" s="1481">
        <f t="shared" si="404"/>
        <v>0</v>
      </c>
      <c r="P2878" s="1427">
        <f t="shared" si="405"/>
        <v>0</v>
      </c>
    </row>
    <row r="2879" spans="1:16" ht="31" outlineLevel="1" x14ac:dyDescent="0.25">
      <c r="A2879" s="1482">
        <f t="shared" si="411"/>
        <v>0</v>
      </c>
      <c r="B2879" s="1483" t="str">
        <f t="shared" si="411"/>
        <v>IDC</v>
      </c>
      <c r="C2879" s="1482" t="str">
        <f t="shared" si="411"/>
        <v>MERC/CAPEX/2020-2021/WFH/SBR/32</v>
      </c>
      <c r="D2879" s="1390">
        <f t="shared" si="411"/>
        <v>44104</v>
      </c>
      <c r="E2879" s="560">
        <f t="shared" si="411"/>
        <v>0.24</v>
      </c>
      <c r="F2879" s="1508">
        <f t="shared" si="402"/>
        <v>0</v>
      </c>
      <c r="G2879" s="1508">
        <f t="shared" si="403"/>
        <v>0</v>
      </c>
      <c r="H2879" s="1508">
        <f t="shared" si="412"/>
        <v>0</v>
      </c>
      <c r="I2879" s="1480">
        <v>0</v>
      </c>
      <c r="J2879" s="1480">
        <v>0</v>
      </c>
      <c r="K2879" s="1508"/>
      <c r="L2879" s="1508"/>
      <c r="M2879" s="1509">
        <f t="shared" si="413"/>
        <v>0</v>
      </c>
      <c r="N2879" s="1508">
        <f t="shared" si="414"/>
        <v>0</v>
      </c>
      <c r="O2879" s="1481">
        <f t="shared" si="404"/>
        <v>0</v>
      </c>
      <c r="P2879" s="1427">
        <f t="shared" si="405"/>
        <v>0</v>
      </c>
    </row>
    <row r="2880" spans="1:16" ht="46.5" outlineLevel="1" x14ac:dyDescent="0.25">
      <c r="A2880" s="1486">
        <f t="shared" si="411"/>
        <v>37</v>
      </c>
      <c r="B2880" s="1491" t="str">
        <f t="shared" si="411"/>
        <v>Flue Gas Desulphurization (FGD) System for 500 MW UnitS (Total 8 Nos) of MSPGCL
(Chandrapur Unit # 5-7)</v>
      </c>
      <c r="C2880" s="1486" t="str">
        <f t="shared" si="411"/>
        <v>MERC/CAPEX/2020-2021/WFH/SBR/43</v>
      </c>
      <c r="D2880" s="1487">
        <f t="shared" si="411"/>
        <v>44179</v>
      </c>
      <c r="E2880" s="1383">
        <f t="shared" si="411"/>
        <v>656.25</v>
      </c>
      <c r="F2880" s="1480">
        <f t="shared" si="402"/>
        <v>0</v>
      </c>
      <c r="G2880" s="1480">
        <f t="shared" si="403"/>
        <v>0</v>
      </c>
      <c r="H2880" s="1480">
        <f t="shared" si="412"/>
        <v>0</v>
      </c>
      <c r="I2880" s="1480">
        <v>0</v>
      </c>
      <c r="J2880" s="1480">
        <v>0</v>
      </c>
      <c r="K2880" s="1480"/>
      <c r="L2880" s="1480"/>
      <c r="M2880" s="1480">
        <f t="shared" si="413"/>
        <v>0</v>
      </c>
      <c r="N2880" s="1480">
        <f t="shared" si="414"/>
        <v>0</v>
      </c>
      <c r="O2880" s="1481">
        <f t="shared" si="404"/>
        <v>0</v>
      </c>
      <c r="P2880" s="1427">
        <f t="shared" si="405"/>
        <v>0</v>
      </c>
    </row>
    <row r="2881" spans="1:16" ht="46.5" outlineLevel="1" x14ac:dyDescent="0.25">
      <c r="A2881" s="1488">
        <f t="shared" si="411"/>
        <v>37.1</v>
      </c>
      <c r="B2881" s="1492" t="str">
        <f t="shared" si="411"/>
        <v>Flue Gas Desulphurization (FGD) System for 500 MW UnitS (Total 8 Nos) of MSPGCL
(Chandrapur Unit # 5-7)</v>
      </c>
      <c r="C2881" s="1488" t="str">
        <f t="shared" si="411"/>
        <v>MERC/CAPEX/2020-2021/WFH/SBR/43</v>
      </c>
      <c r="D2881" s="1413">
        <f t="shared" si="411"/>
        <v>44179</v>
      </c>
      <c r="E2881" s="560">
        <f t="shared" si="411"/>
        <v>602.58000000000004</v>
      </c>
      <c r="F2881" s="1508">
        <f t="shared" si="402"/>
        <v>837.6</v>
      </c>
      <c r="G2881" s="1508">
        <f t="shared" si="403"/>
        <v>0</v>
      </c>
      <c r="H2881" s="1508">
        <f t="shared" si="412"/>
        <v>837.6</v>
      </c>
      <c r="I2881" s="1480">
        <v>358.97</v>
      </c>
      <c r="J2881" s="1480">
        <v>0</v>
      </c>
      <c r="K2881" s="1508"/>
      <c r="L2881" s="1508"/>
      <c r="M2881" s="1509">
        <f t="shared" si="413"/>
        <v>0</v>
      </c>
      <c r="N2881" s="1508">
        <f t="shared" si="414"/>
        <v>1196.5700000000002</v>
      </c>
      <c r="O2881" s="1481">
        <f t="shared" si="404"/>
        <v>0</v>
      </c>
      <c r="P2881" s="1427">
        <f t="shared" si="405"/>
        <v>0</v>
      </c>
    </row>
    <row r="2882" spans="1:16" ht="31" outlineLevel="1" x14ac:dyDescent="0.25">
      <c r="A2882" s="1488">
        <f t="shared" ref="A2882:E2897" si="415">A2212</f>
        <v>0</v>
      </c>
      <c r="B2882" s="1492" t="str">
        <f t="shared" si="415"/>
        <v>IDC</v>
      </c>
      <c r="C2882" s="1488" t="str">
        <f t="shared" si="415"/>
        <v>MERC/CAPEX/2020-2021/WFH/SBR/43</v>
      </c>
      <c r="D2882" s="1413">
        <f t="shared" si="415"/>
        <v>44179</v>
      </c>
      <c r="E2882" s="560">
        <f t="shared" si="415"/>
        <v>53.67</v>
      </c>
      <c r="F2882" s="1508">
        <f t="shared" ref="F2882:F2945" si="416">F2212+I2212</f>
        <v>0</v>
      </c>
      <c r="G2882" s="1508">
        <f t="shared" ref="G2882:G2945" si="417">G2212+M2212</f>
        <v>0</v>
      </c>
      <c r="H2882" s="1508">
        <f t="shared" si="412"/>
        <v>0</v>
      </c>
      <c r="I2882" s="1480">
        <v>0</v>
      </c>
      <c r="J2882" s="1480">
        <v>0</v>
      </c>
      <c r="K2882" s="1508"/>
      <c r="L2882" s="1508"/>
      <c r="M2882" s="1509">
        <f t="shared" si="413"/>
        <v>0</v>
      </c>
      <c r="N2882" s="1508">
        <f t="shared" si="414"/>
        <v>0</v>
      </c>
      <c r="O2882" s="1481">
        <f t="shared" ref="O2882:O2932" si="418">MAX(0,IF(M2882=0,0,IF(G2882+M2882&lt;E2882,M2882,E2882-G2882)))</f>
        <v>0</v>
      </c>
      <c r="P2882" s="1427">
        <f t="shared" ref="P2882:P2932" si="419">M2882-O2882</f>
        <v>0</v>
      </c>
    </row>
    <row r="2883" spans="1:16" ht="31" outlineLevel="1" x14ac:dyDescent="0.25">
      <c r="A2883" s="1486">
        <f t="shared" si="415"/>
        <v>38</v>
      </c>
      <c r="B2883" s="1491" t="str">
        <f t="shared" si="415"/>
        <v>Replacement of ECO and LTSH coils to Unit-4 Chandrapur (Parli DPR)</v>
      </c>
      <c r="C2883" s="1486" t="str">
        <f t="shared" si="415"/>
        <v xml:space="preserve">MERC/TECH1/CAPEX/20142015/01526 </v>
      </c>
      <c r="D2883" s="1487">
        <f t="shared" si="415"/>
        <v>42033</v>
      </c>
      <c r="E2883" s="1383">
        <f t="shared" si="415"/>
        <v>10</v>
      </c>
      <c r="F2883" s="1480">
        <f t="shared" si="416"/>
        <v>0</v>
      </c>
      <c r="G2883" s="1480">
        <f t="shared" si="417"/>
        <v>0</v>
      </c>
      <c r="H2883" s="1480">
        <f t="shared" si="412"/>
        <v>0</v>
      </c>
      <c r="I2883" s="1480">
        <v>0</v>
      </c>
      <c r="J2883" s="1480">
        <v>0</v>
      </c>
      <c r="K2883" s="1480"/>
      <c r="L2883" s="1480"/>
      <c r="M2883" s="1480">
        <f t="shared" si="413"/>
        <v>0</v>
      </c>
      <c r="N2883" s="1480">
        <f t="shared" si="414"/>
        <v>0</v>
      </c>
      <c r="O2883" s="1481">
        <f t="shared" si="418"/>
        <v>0</v>
      </c>
      <c r="P2883" s="1427">
        <f t="shared" si="419"/>
        <v>0</v>
      </c>
    </row>
    <row r="2884" spans="1:16" ht="31" outlineLevel="1" x14ac:dyDescent="0.25">
      <c r="A2884" s="1488">
        <f t="shared" si="415"/>
        <v>0</v>
      </c>
      <c r="B2884" s="1492" t="str">
        <f t="shared" si="415"/>
        <v>Replacement of ECO and LTSH coils to Unit-4 Chandrapur</v>
      </c>
      <c r="C2884" s="1493" t="str">
        <f t="shared" si="415"/>
        <v xml:space="preserve">MERC/TECH1/CAPEX/20142015/01526 </v>
      </c>
      <c r="D2884" s="1494">
        <f t="shared" si="415"/>
        <v>42033</v>
      </c>
      <c r="E2884" s="560">
        <f t="shared" si="415"/>
        <v>9.4</v>
      </c>
      <c r="F2884" s="1508">
        <f t="shared" si="416"/>
        <v>9.3998608000000008</v>
      </c>
      <c r="G2884" s="1508">
        <f t="shared" si="417"/>
        <v>9.3998608000000008</v>
      </c>
      <c r="H2884" s="1508">
        <f t="shared" si="412"/>
        <v>0</v>
      </c>
      <c r="I2884" s="1480">
        <v>0</v>
      </c>
      <c r="J2884" s="1480">
        <v>0</v>
      </c>
      <c r="K2884" s="1508"/>
      <c r="L2884" s="1508"/>
      <c r="M2884" s="1509">
        <f t="shared" si="413"/>
        <v>0</v>
      </c>
      <c r="N2884" s="1508">
        <f t="shared" si="414"/>
        <v>0</v>
      </c>
      <c r="O2884" s="1481">
        <f t="shared" si="418"/>
        <v>0</v>
      </c>
      <c r="P2884" s="1427">
        <f t="shared" si="419"/>
        <v>0</v>
      </c>
    </row>
    <row r="2885" spans="1:16" ht="31" outlineLevel="1" x14ac:dyDescent="0.25">
      <c r="A2885" s="1488">
        <f t="shared" si="415"/>
        <v>0</v>
      </c>
      <c r="B2885" s="1492" t="str">
        <f t="shared" si="415"/>
        <v>IDC</v>
      </c>
      <c r="C2885" s="1493" t="str">
        <f t="shared" si="415"/>
        <v xml:space="preserve">MERC/TECH1/CAPEX/20142015/01526 </v>
      </c>
      <c r="D2885" s="1494">
        <f t="shared" si="415"/>
        <v>42033</v>
      </c>
      <c r="E2885" s="560">
        <f t="shared" si="415"/>
        <v>0.6</v>
      </c>
      <c r="F2885" s="1508">
        <f t="shared" si="416"/>
        <v>0</v>
      </c>
      <c r="G2885" s="1508">
        <f t="shared" si="417"/>
        <v>0</v>
      </c>
      <c r="H2885" s="1508">
        <f t="shared" si="412"/>
        <v>0</v>
      </c>
      <c r="I2885" s="1480">
        <v>0</v>
      </c>
      <c r="J2885" s="1480">
        <v>0</v>
      </c>
      <c r="K2885" s="1508"/>
      <c r="L2885" s="1508"/>
      <c r="M2885" s="1509">
        <f t="shared" si="413"/>
        <v>0</v>
      </c>
      <c r="N2885" s="1508">
        <f t="shared" si="414"/>
        <v>0</v>
      </c>
      <c r="O2885" s="1481">
        <f t="shared" si="418"/>
        <v>0</v>
      </c>
      <c r="P2885" s="1427">
        <f t="shared" si="419"/>
        <v>0</v>
      </c>
    </row>
    <row r="2886" spans="1:16" ht="31" outlineLevel="1" x14ac:dyDescent="0.25">
      <c r="A2886" s="1486">
        <f t="shared" si="415"/>
        <v>39</v>
      </c>
      <c r="B2886" s="1491" t="str">
        <f t="shared" si="415"/>
        <v>Supply of complete gear box assembly for XRP-1043 coal mill at U-5 &amp;  U-6 for FY 2019-20 &amp; FY 20-21 at CSTPS, Chandrapur</v>
      </c>
      <c r="C2886" s="1486" t="str">
        <f t="shared" si="415"/>
        <v>MERC/CAPEX/2020-2021/WFH/SBR/05</v>
      </c>
      <c r="D2886" s="1487">
        <f t="shared" si="415"/>
        <v>44335</v>
      </c>
      <c r="E2886" s="1383">
        <f t="shared" si="415"/>
        <v>21.53</v>
      </c>
      <c r="F2886" s="1480">
        <f t="shared" si="416"/>
        <v>0</v>
      </c>
      <c r="G2886" s="1480">
        <f t="shared" si="417"/>
        <v>0</v>
      </c>
      <c r="H2886" s="1480">
        <f t="shared" si="412"/>
        <v>0</v>
      </c>
      <c r="I2886" s="1480">
        <v>0</v>
      </c>
      <c r="J2886" s="1480">
        <v>0</v>
      </c>
      <c r="K2886" s="1480"/>
      <c r="L2886" s="1480"/>
      <c r="M2886" s="1480">
        <f t="shared" si="413"/>
        <v>0</v>
      </c>
      <c r="N2886" s="1480">
        <f t="shared" si="414"/>
        <v>0</v>
      </c>
      <c r="O2886" s="1481">
        <f t="shared" si="418"/>
        <v>0</v>
      </c>
      <c r="P2886" s="1427">
        <f t="shared" si="419"/>
        <v>0</v>
      </c>
    </row>
    <row r="2887" spans="1:16" ht="77.5" outlineLevel="1" x14ac:dyDescent="0.25">
      <c r="A2887" s="1488">
        <f t="shared" si="415"/>
        <v>39.1</v>
      </c>
      <c r="B2887" s="1492" t="str">
        <f t="shared" si="415"/>
        <v>Supply of complete gear box assembly for XRP-1043coal mill unit
5&amp;6and complete lub oil system of XRP-1043Coal Mill in Unit-5&amp;6.
(Qty. 02 nos. one for each unit)</v>
      </c>
      <c r="C2887" s="1488" t="str">
        <f t="shared" si="415"/>
        <v>MERC/CAPEX/2020-2021/WFH/SBR/05</v>
      </c>
      <c r="D2887" s="1413">
        <f t="shared" si="415"/>
        <v>44335</v>
      </c>
      <c r="E2887" s="560">
        <f t="shared" si="415"/>
        <v>21.02</v>
      </c>
      <c r="F2887" s="1508">
        <f t="shared" si="416"/>
        <v>9.9520900000000001</v>
      </c>
      <c r="G2887" s="1508">
        <f t="shared" si="417"/>
        <v>9.9520900000000001</v>
      </c>
      <c r="H2887" s="1508">
        <f t="shared" si="412"/>
        <v>0</v>
      </c>
      <c r="I2887" s="1480">
        <v>0</v>
      </c>
      <c r="J2887" s="1480">
        <v>0</v>
      </c>
      <c r="K2887" s="1508"/>
      <c r="L2887" s="1508"/>
      <c r="M2887" s="1509">
        <f t="shared" si="413"/>
        <v>0</v>
      </c>
      <c r="N2887" s="1508">
        <f t="shared" si="414"/>
        <v>0</v>
      </c>
      <c r="O2887" s="1481">
        <f t="shared" si="418"/>
        <v>0</v>
      </c>
      <c r="P2887" s="1427">
        <f t="shared" si="419"/>
        <v>0</v>
      </c>
    </row>
    <row r="2888" spans="1:16" ht="31" outlineLevel="1" x14ac:dyDescent="0.25">
      <c r="A2888" s="1488">
        <f t="shared" si="415"/>
        <v>0</v>
      </c>
      <c r="B2888" s="1492" t="str">
        <f t="shared" si="415"/>
        <v>IDC</v>
      </c>
      <c r="C2888" s="1488" t="str">
        <f t="shared" si="415"/>
        <v>MERC/CAPEX/2020-2021/WFH/SBR/05</v>
      </c>
      <c r="D2888" s="1413">
        <f t="shared" si="415"/>
        <v>44335</v>
      </c>
      <c r="E2888" s="560">
        <f t="shared" si="415"/>
        <v>0.51</v>
      </c>
      <c r="F2888" s="1508">
        <f t="shared" si="416"/>
        <v>0</v>
      </c>
      <c r="G2888" s="1508">
        <f t="shared" si="417"/>
        <v>0</v>
      </c>
      <c r="H2888" s="1508">
        <f t="shared" si="412"/>
        <v>0</v>
      </c>
      <c r="I2888" s="1480">
        <v>0</v>
      </c>
      <c r="J2888" s="1480">
        <v>0</v>
      </c>
      <c r="K2888" s="1508"/>
      <c r="L2888" s="1508"/>
      <c r="M2888" s="1509">
        <f t="shared" si="413"/>
        <v>0</v>
      </c>
      <c r="N2888" s="1508">
        <f t="shared" si="414"/>
        <v>0</v>
      </c>
      <c r="O2888" s="1481">
        <f t="shared" si="418"/>
        <v>0</v>
      </c>
      <c r="P2888" s="1427">
        <f t="shared" si="419"/>
        <v>0</v>
      </c>
    </row>
    <row r="2889" spans="1:16" ht="31" outlineLevel="1" x14ac:dyDescent="0.25">
      <c r="A2889" s="1477" t="str">
        <f t="shared" si="415"/>
        <v>HO
DPR 1</v>
      </c>
      <c r="B2889" s="1478" t="str">
        <f t="shared" si="415"/>
        <v>AFGC/DFGC SYSTEM 210MW</v>
      </c>
      <c r="C2889" s="1477" t="str">
        <f t="shared" si="415"/>
        <v>MERC/CAP/DPR/10/07/1149</v>
      </c>
      <c r="D2889" s="1479">
        <f t="shared" si="415"/>
        <v>39232</v>
      </c>
      <c r="E2889" s="1383">
        <f t="shared" si="415"/>
        <v>9.6</v>
      </c>
      <c r="F2889" s="1480">
        <f t="shared" si="416"/>
        <v>0</v>
      </c>
      <c r="G2889" s="1480">
        <f t="shared" si="417"/>
        <v>0</v>
      </c>
      <c r="H2889" s="1480">
        <f t="shared" si="412"/>
        <v>0</v>
      </c>
      <c r="I2889" s="1480">
        <v>0</v>
      </c>
      <c r="J2889" s="1480">
        <v>0</v>
      </c>
      <c r="K2889" s="1480"/>
      <c r="L2889" s="1480"/>
      <c r="M2889" s="1480">
        <f t="shared" si="413"/>
        <v>0</v>
      </c>
      <c r="N2889" s="1480">
        <f t="shared" si="414"/>
        <v>0</v>
      </c>
      <c r="O2889" s="1481">
        <f t="shared" si="418"/>
        <v>0</v>
      </c>
      <c r="P2889" s="1427">
        <f t="shared" si="419"/>
        <v>0</v>
      </c>
    </row>
    <row r="2890" spans="1:16" ht="31" outlineLevel="1" x14ac:dyDescent="0.25">
      <c r="A2890" s="1482" t="str">
        <f t="shared" si="415"/>
        <v>HO
DPR 1.1</v>
      </c>
      <c r="B2890" s="1483" t="str">
        <f t="shared" si="415"/>
        <v>CSTPS U-1,2&amp;4</v>
      </c>
      <c r="C2890" s="1482" t="str">
        <f t="shared" si="415"/>
        <v>MERC/CAP/DPR/10/07/1149</v>
      </c>
      <c r="D2890" s="1390">
        <f t="shared" si="415"/>
        <v>39232</v>
      </c>
      <c r="E2890" s="560">
        <f t="shared" si="415"/>
        <v>9.6</v>
      </c>
      <c r="F2890" s="1508">
        <f t="shared" si="416"/>
        <v>4.9831317769999997</v>
      </c>
      <c r="G2890" s="1508">
        <f t="shared" si="417"/>
        <v>4.9831317769999997</v>
      </c>
      <c r="H2890" s="1508">
        <f t="shared" si="412"/>
        <v>0</v>
      </c>
      <c r="I2890" s="1480">
        <v>0</v>
      </c>
      <c r="J2890" s="1480">
        <v>0</v>
      </c>
      <c r="K2890" s="1508"/>
      <c r="L2890" s="1508"/>
      <c r="M2890" s="1509">
        <f t="shared" si="413"/>
        <v>0</v>
      </c>
      <c r="N2890" s="1508">
        <f t="shared" si="414"/>
        <v>0</v>
      </c>
      <c r="O2890" s="1481">
        <f t="shared" si="418"/>
        <v>0</v>
      </c>
      <c r="P2890" s="1427">
        <f t="shared" si="419"/>
        <v>0</v>
      </c>
    </row>
    <row r="2891" spans="1:16" ht="31" outlineLevel="1" x14ac:dyDescent="0.25">
      <c r="A2891" s="1477" t="str">
        <f t="shared" si="415"/>
        <v>HO
DPR 4</v>
      </c>
      <c r="B2891" s="1478" t="str">
        <f t="shared" si="415"/>
        <v>Construction of coal platform for Chandrapur TPS, Khaperkheda TPS &amp; Parli TPS</v>
      </c>
      <c r="C2891" s="1477" t="str">
        <f t="shared" si="415"/>
        <v>MERC/TECH 1/CAPEX/20132014/00827</v>
      </c>
      <c r="D2891" s="1479">
        <f t="shared" si="415"/>
        <v>41464</v>
      </c>
      <c r="E2891" s="1383">
        <f t="shared" si="415"/>
        <v>10.36</v>
      </c>
      <c r="F2891" s="1480">
        <f t="shared" si="416"/>
        <v>0</v>
      </c>
      <c r="G2891" s="1480">
        <f t="shared" si="417"/>
        <v>0</v>
      </c>
      <c r="H2891" s="1480">
        <f t="shared" si="412"/>
        <v>0</v>
      </c>
      <c r="I2891" s="1480">
        <v>0</v>
      </c>
      <c r="J2891" s="1480">
        <v>0</v>
      </c>
      <c r="K2891" s="1480"/>
      <c r="L2891" s="1480"/>
      <c r="M2891" s="1480">
        <f t="shared" si="413"/>
        <v>0</v>
      </c>
      <c r="N2891" s="1480">
        <f t="shared" si="414"/>
        <v>0</v>
      </c>
      <c r="O2891" s="1481">
        <f t="shared" si="418"/>
        <v>0</v>
      </c>
      <c r="P2891" s="1427">
        <f t="shared" si="419"/>
        <v>0</v>
      </c>
    </row>
    <row r="2892" spans="1:16" ht="31" outlineLevel="1" x14ac:dyDescent="0.25">
      <c r="A2892" s="1482" t="str">
        <f t="shared" si="415"/>
        <v>HO
DPR 4.1</v>
      </c>
      <c r="B2892" s="1483" t="str">
        <f t="shared" si="415"/>
        <v>Chandrapur TPS</v>
      </c>
      <c r="C2892" s="1482" t="str">
        <f t="shared" si="415"/>
        <v>MERC/TECH 1/CAPEX/20132014/00827</v>
      </c>
      <c r="D2892" s="1390">
        <f t="shared" si="415"/>
        <v>41464</v>
      </c>
      <c r="E2892" s="560">
        <f t="shared" si="415"/>
        <v>10.36</v>
      </c>
      <c r="F2892" s="1508">
        <f t="shared" si="416"/>
        <v>0</v>
      </c>
      <c r="G2892" s="1508">
        <f t="shared" si="417"/>
        <v>0</v>
      </c>
      <c r="H2892" s="1508">
        <f t="shared" si="412"/>
        <v>0</v>
      </c>
      <c r="I2892" s="1480">
        <v>0</v>
      </c>
      <c r="J2892" s="1480">
        <v>0</v>
      </c>
      <c r="K2892" s="1508"/>
      <c r="L2892" s="1508"/>
      <c r="M2892" s="1509">
        <f t="shared" si="413"/>
        <v>0</v>
      </c>
      <c r="N2892" s="1508">
        <f t="shared" si="414"/>
        <v>0</v>
      </c>
      <c r="O2892" s="1481">
        <f t="shared" si="418"/>
        <v>0</v>
      </c>
      <c r="P2892" s="1427">
        <f t="shared" si="419"/>
        <v>0</v>
      </c>
    </row>
    <row r="2893" spans="1:16" ht="31" outlineLevel="1" x14ac:dyDescent="0.25">
      <c r="A2893" s="1482">
        <f t="shared" si="415"/>
        <v>0</v>
      </c>
      <c r="B2893" s="1483" t="str">
        <f t="shared" si="415"/>
        <v>IDC</v>
      </c>
      <c r="C2893" s="1482" t="str">
        <f t="shared" si="415"/>
        <v>MERC/TECH 1/CAPEX/20132014/00827</v>
      </c>
      <c r="D2893" s="1390">
        <f t="shared" si="415"/>
        <v>41464</v>
      </c>
      <c r="E2893" s="560">
        <f t="shared" si="415"/>
        <v>0</v>
      </c>
      <c r="F2893" s="1508">
        <f t="shared" si="416"/>
        <v>0</v>
      </c>
      <c r="G2893" s="1508">
        <f t="shared" si="417"/>
        <v>0</v>
      </c>
      <c r="H2893" s="1508">
        <f t="shared" si="412"/>
        <v>0</v>
      </c>
      <c r="I2893" s="1480">
        <v>0</v>
      </c>
      <c r="J2893" s="1480">
        <v>0</v>
      </c>
      <c r="K2893" s="1508"/>
      <c r="L2893" s="1508"/>
      <c r="M2893" s="1509">
        <f t="shared" si="413"/>
        <v>0</v>
      </c>
      <c r="N2893" s="1508">
        <f t="shared" si="414"/>
        <v>0</v>
      </c>
      <c r="O2893" s="1481">
        <f t="shared" si="418"/>
        <v>0</v>
      </c>
      <c r="P2893" s="1427">
        <f t="shared" si="419"/>
        <v>0</v>
      </c>
    </row>
    <row r="2894" spans="1:16" ht="46.5" outlineLevel="1" x14ac:dyDescent="0.25">
      <c r="A2894" s="1477" t="str">
        <f t="shared" si="415"/>
        <v>HO
DPR 5</v>
      </c>
      <c r="B2894" s="1478" t="str">
        <f t="shared" si="415"/>
        <v>Procurement of energy efficient HT motors at Bhusawal TPS, Koradi TPS, Chandrapur TPS, khaperkheda TPS, Parli TPS &amp; Paras TPS as insurance spares</v>
      </c>
      <c r="C2894" s="1477" t="str">
        <f t="shared" si="415"/>
        <v>MERC/TECH 1/CAPEX/20142015/01218</v>
      </c>
      <c r="D2894" s="1479">
        <f t="shared" si="415"/>
        <v>41968</v>
      </c>
      <c r="E2894" s="1383">
        <f t="shared" si="415"/>
        <v>16.956</v>
      </c>
      <c r="F2894" s="1480">
        <f t="shared" si="416"/>
        <v>0</v>
      </c>
      <c r="G2894" s="1480">
        <f t="shared" si="417"/>
        <v>0</v>
      </c>
      <c r="H2894" s="1480">
        <f t="shared" si="412"/>
        <v>0</v>
      </c>
      <c r="I2894" s="1480">
        <v>0</v>
      </c>
      <c r="J2894" s="1480">
        <v>0</v>
      </c>
      <c r="K2894" s="1480"/>
      <c r="L2894" s="1480"/>
      <c r="M2894" s="1480">
        <f t="shared" si="413"/>
        <v>0</v>
      </c>
      <c r="N2894" s="1480">
        <f t="shared" si="414"/>
        <v>0</v>
      </c>
      <c r="O2894" s="1481">
        <f t="shared" si="418"/>
        <v>0</v>
      </c>
      <c r="P2894" s="1427">
        <f t="shared" si="419"/>
        <v>0</v>
      </c>
    </row>
    <row r="2895" spans="1:16" ht="46.5" outlineLevel="1" x14ac:dyDescent="0.25">
      <c r="A2895" s="1482" t="str">
        <f t="shared" si="415"/>
        <v>HO
DPR 5.3a</v>
      </c>
      <c r="B2895" s="1483" t="str">
        <f t="shared" si="415"/>
        <v>CSTPS (U-3/4, 210 MW, 7Nos)</v>
      </c>
      <c r="C2895" s="1482" t="str">
        <f t="shared" si="415"/>
        <v>MERC/TECH 1/CAPEX/20142015/01218</v>
      </c>
      <c r="D2895" s="1390">
        <f t="shared" si="415"/>
        <v>41968</v>
      </c>
      <c r="E2895" s="560">
        <f t="shared" si="415"/>
        <v>5.7060000000000004</v>
      </c>
      <c r="F2895" s="1508">
        <f t="shared" si="416"/>
        <v>0.90661499000000001</v>
      </c>
      <c r="G2895" s="1508">
        <f t="shared" si="417"/>
        <v>0.90661499000000001</v>
      </c>
      <c r="H2895" s="1508">
        <f t="shared" si="412"/>
        <v>0</v>
      </c>
      <c r="I2895" s="1480">
        <v>0</v>
      </c>
      <c r="J2895" s="1480">
        <v>0</v>
      </c>
      <c r="K2895" s="1508"/>
      <c r="L2895" s="1508"/>
      <c r="M2895" s="1509">
        <f t="shared" si="413"/>
        <v>0</v>
      </c>
      <c r="N2895" s="1508">
        <f t="shared" si="414"/>
        <v>0</v>
      </c>
      <c r="O2895" s="1481">
        <f t="shared" si="418"/>
        <v>0</v>
      </c>
      <c r="P2895" s="1427">
        <f t="shared" si="419"/>
        <v>0</v>
      </c>
    </row>
    <row r="2896" spans="1:16" ht="46.5" outlineLevel="1" x14ac:dyDescent="0.25">
      <c r="A2896" s="1482" t="str">
        <f t="shared" si="415"/>
        <v>HO
DPR 5.3b</v>
      </c>
      <c r="B2896" s="1483" t="str">
        <f t="shared" si="415"/>
        <v>CSTPS (U-5/6/7, 500 MW, 11Nos)</v>
      </c>
      <c r="C2896" s="1482" t="str">
        <f t="shared" si="415"/>
        <v>MERC/TECH 1/CAPEX/20142015/01218</v>
      </c>
      <c r="D2896" s="1390">
        <f t="shared" si="415"/>
        <v>41968</v>
      </c>
      <c r="E2896" s="560">
        <f t="shared" si="415"/>
        <v>11.25</v>
      </c>
      <c r="F2896" s="1508">
        <f t="shared" si="416"/>
        <v>5.7542039999999997</v>
      </c>
      <c r="G2896" s="1508">
        <f t="shared" si="417"/>
        <v>5.7542039999999997</v>
      </c>
      <c r="H2896" s="1508">
        <f t="shared" si="412"/>
        <v>0</v>
      </c>
      <c r="I2896" s="1480">
        <v>0</v>
      </c>
      <c r="J2896" s="1480">
        <v>0</v>
      </c>
      <c r="K2896" s="1508"/>
      <c r="L2896" s="1508"/>
      <c r="M2896" s="1509">
        <f t="shared" si="413"/>
        <v>0</v>
      </c>
      <c r="N2896" s="1508">
        <f t="shared" si="414"/>
        <v>0</v>
      </c>
      <c r="O2896" s="1481">
        <f t="shared" si="418"/>
        <v>0</v>
      </c>
      <c r="P2896" s="1427">
        <f t="shared" si="419"/>
        <v>0</v>
      </c>
    </row>
    <row r="2897" spans="1:16" ht="46.5" outlineLevel="1" x14ac:dyDescent="0.25">
      <c r="A2897" s="1477" t="str">
        <f t="shared" si="415"/>
        <v>HO
DPR 6</v>
      </c>
      <c r="B2897" s="1478" t="str">
        <f t="shared" si="415"/>
        <v>Supply, Installation, Commissioning and Operation &amp; Maintenance Services of Continuous Ambient Air Quality Monitoring Stations (CAAQMS) at various TPS</v>
      </c>
      <c r="C2897" s="1477" t="str">
        <f t="shared" si="415"/>
        <v>MERC/CAPEX/20162017/00423</v>
      </c>
      <c r="D2897" s="1479">
        <f t="shared" si="415"/>
        <v>42585</v>
      </c>
      <c r="E2897" s="1383">
        <f t="shared" si="415"/>
        <v>1.3257526714285714</v>
      </c>
      <c r="F2897" s="1480">
        <f t="shared" si="416"/>
        <v>0</v>
      </c>
      <c r="G2897" s="1480">
        <f t="shared" si="417"/>
        <v>0</v>
      </c>
      <c r="H2897" s="1480">
        <f t="shared" si="412"/>
        <v>0</v>
      </c>
      <c r="I2897" s="1480">
        <v>0</v>
      </c>
      <c r="J2897" s="1480">
        <v>0</v>
      </c>
      <c r="K2897" s="1480"/>
      <c r="L2897" s="1480"/>
      <c r="M2897" s="1480">
        <f t="shared" si="413"/>
        <v>0</v>
      </c>
      <c r="N2897" s="1480">
        <f t="shared" si="414"/>
        <v>0</v>
      </c>
      <c r="O2897" s="1481">
        <f t="shared" si="418"/>
        <v>0</v>
      </c>
      <c r="P2897" s="1427">
        <f t="shared" si="419"/>
        <v>0</v>
      </c>
    </row>
    <row r="2898" spans="1:16" ht="31" outlineLevel="1" x14ac:dyDescent="0.25">
      <c r="A2898" s="1482" t="str">
        <f t="shared" ref="A2898:E2913" si="420">A2228</f>
        <v>HO
DPR 6.1</v>
      </c>
      <c r="B2898" s="1483" t="str">
        <f t="shared" si="420"/>
        <v>CSTPS (U-1 to 7) ( 1 Nos.)</v>
      </c>
      <c r="C2898" s="1482" t="str">
        <f t="shared" si="420"/>
        <v>MERC/CAPEX/20162017/00423</v>
      </c>
      <c r="D2898" s="1390">
        <f t="shared" si="420"/>
        <v>42585</v>
      </c>
      <c r="E2898" s="560">
        <f t="shared" si="420"/>
        <v>1.3257526714285714</v>
      </c>
      <c r="F2898" s="1508">
        <f t="shared" si="416"/>
        <v>0</v>
      </c>
      <c r="G2898" s="1508">
        <f t="shared" si="417"/>
        <v>0</v>
      </c>
      <c r="H2898" s="1508">
        <f t="shared" si="412"/>
        <v>0</v>
      </c>
      <c r="I2898" s="1480">
        <v>0</v>
      </c>
      <c r="J2898" s="1480">
        <v>0</v>
      </c>
      <c r="K2898" s="1508"/>
      <c r="L2898" s="1508"/>
      <c r="M2898" s="1509">
        <f t="shared" si="413"/>
        <v>0</v>
      </c>
      <c r="N2898" s="1508">
        <f t="shared" si="414"/>
        <v>0</v>
      </c>
      <c r="O2898" s="1481">
        <f t="shared" si="418"/>
        <v>0</v>
      </c>
      <c r="P2898" s="1427">
        <f t="shared" si="419"/>
        <v>0</v>
      </c>
    </row>
    <row r="2899" spans="1:16" ht="31" outlineLevel="1" x14ac:dyDescent="0.25">
      <c r="A2899" s="1486" t="str">
        <f t="shared" si="420"/>
        <v>HO
DPR 7</v>
      </c>
      <c r="B2899" s="1491" t="str">
        <f t="shared" si="420"/>
        <v>Installation of Real Time Online Coal-Ash Analyzer at various TPS</v>
      </c>
      <c r="C2899" s="1477" t="str">
        <f t="shared" si="420"/>
        <v>MERC/CAPEX/20162017/00774</v>
      </c>
      <c r="D2899" s="1479">
        <f t="shared" si="420"/>
        <v>42643</v>
      </c>
      <c r="E2899" s="1383">
        <f t="shared" si="420"/>
        <v>7.0965999999999996</v>
      </c>
      <c r="F2899" s="1480">
        <f t="shared" si="416"/>
        <v>0</v>
      </c>
      <c r="G2899" s="1480">
        <f t="shared" si="417"/>
        <v>0</v>
      </c>
      <c r="H2899" s="1480">
        <f t="shared" si="412"/>
        <v>0</v>
      </c>
      <c r="I2899" s="1480">
        <v>0</v>
      </c>
      <c r="J2899" s="1480">
        <v>0</v>
      </c>
      <c r="K2899" s="1480"/>
      <c r="L2899" s="1480"/>
      <c r="M2899" s="1480">
        <f t="shared" si="413"/>
        <v>0</v>
      </c>
      <c r="N2899" s="1480">
        <f t="shared" si="414"/>
        <v>0</v>
      </c>
      <c r="O2899" s="1481">
        <f t="shared" si="418"/>
        <v>0</v>
      </c>
      <c r="P2899" s="1427">
        <f t="shared" si="419"/>
        <v>0</v>
      </c>
    </row>
    <row r="2900" spans="1:16" ht="31" outlineLevel="1" x14ac:dyDescent="0.25">
      <c r="A2900" s="1488" t="str">
        <f t="shared" si="420"/>
        <v>HO
DPR 7.1</v>
      </c>
      <c r="B2900" s="1492" t="str">
        <f t="shared" si="420"/>
        <v>Chandrapur STPS</v>
      </c>
      <c r="C2900" s="1482" t="str">
        <f t="shared" si="420"/>
        <v>MERC/CAPEX/20162017/00774</v>
      </c>
      <c r="D2900" s="1390">
        <f t="shared" si="420"/>
        <v>42643</v>
      </c>
      <c r="E2900" s="560">
        <f t="shared" si="420"/>
        <v>7.0965999999999996</v>
      </c>
      <c r="F2900" s="1508">
        <f t="shared" si="416"/>
        <v>7.0965999999999996</v>
      </c>
      <c r="G2900" s="1508">
        <f t="shared" si="417"/>
        <v>7.0965999999999996</v>
      </c>
      <c r="H2900" s="1508">
        <f t="shared" si="412"/>
        <v>0</v>
      </c>
      <c r="I2900" s="1480">
        <v>0</v>
      </c>
      <c r="J2900" s="1480">
        <v>0</v>
      </c>
      <c r="K2900" s="1508"/>
      <c r="L2900" s="1508"/>
      <c r="M2900" s="1509">
        <f t="shared" si="413"/>
        <v>0</v>
      </c>
      <c r="N2900" s="1508">
        <f t="shared" si="414"/>
        <v>0</v>
      </c>
      <c r="O2900" s="1481">
        <f t="shared" si="418"/>
        <v>0</v>
      </c>
      <c r="P2900" s="1427">
        <f t="shared" si="419"/>
        <v>0</v>
      </c>
    </row>
    <row r="2901" spans="1:16" ht="31" outlineLevel="1" x14ac:dyDescent="0.25">
      <c r="A2901" s="1489" t="str">
        <f t="shared" si="420"/>
        <v>HO
DPR 8</v>
      </c>
      <c r="B2901" s="1490" t="str">
        <f t="shared" si="420"/>
        <v>Replacement of Fire Tenders at Various Power Stations of Mahagenco</v>
      </c>
      <c r="C2901" s="1477" t="str">
        <f t="shared" si="420"/>
        <v>MERC/CAPEX/20172018/4653</v>
      </c>
      <c r="D2901" s="1479">
        <f t="shared" si="420"/>
        <v>43052</v>
      </c>
      <c r="E2901" s="1383">
        <f t="shared" si="420"/>
        <v>4.1500000000000004</v>
      </c>
      <c r="F2901" s="1480">
        <f t="shared" si="416"/>
        <v>0</v>
      </c>
      <c r="G2901" s="1480">
        <f t="shared" si="417"/>
        <v>0</v>
      </c>
      <c r="H2901" s="1480">
        <f t="shared" si="412"/>
        <v>0</v>
      </c>
      <c r="I2901" s="1480">
        <v>0</v>
      </c>
      <c r="J2901" s="1480">
        <v>0</v>
      </c>
      <c r="K2901" s="1480"/>
      <c r="L2901" s="1480"/>
      <c r="M2901" s="1480">
        <f t="shared" si="413"/>
        <v>0</v>
      </c>
      <c r="N2901" s="1480">
        <f t="shared" si="414"/>
        <v>0</v>
      </c>
      <c r="O2901" s="1481">
        <f t="shared" si="418"/>
        <v>0</v>
      </c>
      <c r="P2901" s="1427">
        <f t="shared" si="419"/>
        <v>0</v>
      </c>
    </row>
    <row r="2902" spans="1:16" ht="31" outlineLevel="1" x14ac:dyDescent="0.25">
      <c r="A2902" s="1484" t="str">
        <f t="shared" si="420"/>
        <v>HO
DPR 8.1</v>
      </c>
      <c r="B2902" s="1485" t="str">
        <f t="shared" si="420"/>
        <v>Advance Multipurpose Fire Tender for CSTPS</v>
      </c>
      <c r="C2902" s="1482" t="str">
        <f t="shared" si="420"/>
        <v>MERC/CAPEX/20172018/4653</v>
      </c>
      <c r="D2902" s="1390">
        <f t="shared" si="420"/>
        <v>43052</v>
      </c>
      <c r="E2902" s="560">
        <f t="shared" si="420"/>
        <v>2.9</v>
      </c>
      <c r="F2902" s="1508">
        <f t="shared" si="416"/>
        <v>0.26772339999999994</v>
      </c>
      <c r="G2902" s="1508">
        <f t="shared" si="417"/>
        <v>0.2677234</v>
      </c>
      <c r="H2902" s="1508">
        <f t="shared" si="412"/>
        <v>0</v>
      </c>
      <c r="I2902" s="1480">
        <v>0</v>
      </c>
      <c r="J2902" s="1480">
        <v>0</v>
      </c>
      <c r="K2902" s="1508"/>
      <c r="L2902" s="1508"/>
      <c r="M2902" s="1509">
        <f t="shared" si="413"/>
        <v>0</v>
      </c>
      <c r="N2902" s="1508">
        <f t="shared" si="414"/>
        <v>0</v>
      </c>
      <c r="O2902" s="1481">
        <f t="shared" si="418"/>
        <v>0</v>
      </c>
      <c r="P2902" s="1427">
        <f t="shared" si="419"/>
        <v>0</v>
      </c>
    </row>
    <row r="2903" spans="1:16" ht="31" outlineLevel="1" x14ac:dyDescent="0.25">
      <c r="A2903" s="1484" t="str">
        <f t="shared" si="420"/>
        <v>HO
DPR 8.2</v>
      </c>
      <c r="B2903" s="1485" t="str">
        <f t="shared" si="420"/>
        <v>Normal Multipurpose Fire Tender for CSTPS</v>
      </c>
      <c r="C2903" s="1482" t="str">
        <f t="shared" si="420"/>
        <v>MERC/CAPEX/20172018/4653</v>
      </c>
      <c r="D2903" s="1390">
        <f t="shared" si="420"/>
        <v>43052</v>
      </c>
      <c r="E2903" s="560">
        <f t="shared" si="420"/>
        <v>1.25</v>
      </c>
      <c r="F2903" s="1508">
        <f t="shared" si="416"/>
        <v>2.1846524010000001</v>
      </c>
      <c r="G2903" s="1508">
        <f t="shared" si="417"/>
        <v>2.1846524010000001</v>
      </c>
      <c r="H2903" s="1508">
        <f t="shared" si="412"/>
        <v>0</v>
      </c>
      <c r="I2903" s="1480">
        <v>0</v>
      </c>
      <c r="J2903" s="1480">
        <v>0</v>
      </c>
      <c r="K2903" s="1508"/>
      <c r="L2903" s="1508"/>
      <c r="M2903" s="1509">
        <f t="shared" si="413"/>
        <v>0</v>
      </c>
      <c r="N2903" s="1508">
        <f t="shared" si="414"/>
        <v>0</v>
      </c>
      <c r="O2903" s="1481">
        <f t="shared" si="418"/>
        <v>0</v>
      </c>
      <c r="P2903" s="1427">
        <f t="shared" si="419"/>
        <v>0</v>
      </c>
    </row>
    <row r="2904" spans="1:16" ht="15.5" outlineLevel="1" x14ac:dyDescent="0.25">
      <c r="A2904" s="1484">
        <f t="shared" si="420"/>
        <v>0</v>
      </c>
      <c r="B2904" s="1485" t="str">
        <f t="shared" si="420"/>
        <v>IDC</v>
      </c>
      <c r="C2904" s="1482" t="str">
        <f t="shared" si="420"/>
        <v>MERC/CAPEX/20172018/4653</v>
      </c>
      <c r="D2904" s="1390">
        <f t="shared" si="420"/>
        <v>43052</v>
      </c>
      <c r="E2904" s="560">
        <f t="shared" si="420"/>
        <v>0</v>
      </c>
      <c r="F2904" s="1508">
        <f t="shared" si="416"/>
        <v>0</v>
      </c>
      <c r="G2904" s="1508">
        <f t="shared" si="417"/>
        <v>0</v>
      </c>
      <c r="H2904" s="1508">
        <f t="shared" si="412"/>
        <v>0</v>
      </c>
      <c r="I2904" s="1480">
        <v>0</v>
      </c>
      <c r="J2904" s="1480">
        <v>0</v>
      </c>
      <c r="K2904" s="1508"/>
      <c r="L2904" s="1508"/>
      <c r="M2904" s="1509">
        <f t="shared" si="413"/>
        <v>0</v>
      </c>
      <c r="N2904" s="1508">
        <f t="shared" si="414"/>
        <v>0</v>
      </c>
      <c r="O2904" s="1481">
        <f t="shared" si="418"/>
        <v>0</v>
      </c>
      <c r="P2904" s="1427">
        <f t="shared" si="419"/>
        <v>0</v>
      </c>
    </row>
    <row r="2905" spans="1:16" ht="31" outlineLevel="1" x14ac:dyDescent="0.25">
      <c r="A2905" s="1489" t="str">
        <f t="shared" si="420"/>
        <v>HO
DPR 10</v>
      </c>
      <c r="B2905" s="1490" t="str">
        <f t="shared" si="420"/>
        <v>Implementation of IB recommendations- Civil works at various TPS of Mahagenco</v>
      </c>
      <c r="C2905" s="1486" t="str">
        <f t="shared" si="420"/>
        <v>MERC/CAPEX/20172018/0177</v>
      </c>
      <c r="D2905" s="1487">
        <f t="shared" si="420"/>
        <v>43137</v>
      </c>
      <c r="E2905" s="1383">
        <f t="shared" si="420"/>
        <v>9.0741999999999994</v>
      </c>
      <c r="F2905" s="1480">
        <f t="shared" si="416"/>
        <v>0</v>
      </c>
      <c r="G2905" s="1480">
        <f t="shared" si="417"/>
        <v>0</v>
      </c>
      <c r="H2905" s="1480">
        <f t="shared" si="412"/>
        <v>0</v>
      </c>
      <c r="I2905" s="1480">
        <v>0</v>
      </c>
      <c r="J2905" s="1480">
        <v>0</v>
      </c>
      <c r="K2905" s="1480"/>
      <c r="L2905" s="1480"/>
      <c r="M2905" s="1480">
        <f t="shared" si="413"/>
        <v>0</v>
      </c>
      <c r="N2905" s="1480">
        <f t="shared" si="414"/>
        <v>0</v>
      </c>
      <c r="O2905" s="1481">
        <f t="shared" si="418"/>
        <v>0</v>
      </c>
      <c r="P2905" s="1427">
        <f t="shared" si="419"/>
        <v>0</v>
      </c>
    </row>
    <row r="2906" spans="1:16" ht="46.5" outlineLevel="1" x14ac:dyDescent="0.25">
      <c r="A2906" s="1484" t="str">
        <f t="shared" si="420"/>
        <v>HO
DPR 10.1</v>
      </c>
      <c r="B2906" s="1485" t="str">
        <f t="shared" si="420"/>
        <v>CSTPS Chandrapur</v>
      </c>
      <c r="C2906" s="1488" t="str">
        <f t="shared" si="420"/>
        <v>MERC/CAPEX/20172018/0177</v>
      </c>
      <c r="D2906" s="1413">
        <f t="shared" si="420"/>
        <v>43137</v>
      </c>
      <c r="E2906" s="560">
        <f t="shared" si="420"/>
        <v>9.0741999999999994</v>
      </c>
      <c r="F2906" s="1508">
        <f t="shared" si="416"/>
        <v>9.6122519690000008</v>
      </c>
      <c r="G2906" s="1508">
        <f t="shared" si="417"/>
        <v>9.6122519690000008</v>
      </c>
      <c r="H2906" s="1508">
        <f t="shared" si="412"/>
        <v>0</v>
      </c>
      <c r="I2906" s="1480">
        <v>0</v>
      </c>
      <c r="J2906" s="1480">
        <v>0</v>
      </c>
      <c r="K2906" s="1508"/>
      <c r="L2906" s="1508"/>
      <c r="M2906" s="1509">
        <f t="shared" si="413"/>
        <v>0</v>
      </c>
      <c r="N2906" s="1508">
        <f t="shared" si="414"/>
        <v>0</v>
      </c>
      <c r="O2906" s="1481">
        <f t="shared" si="418"/>
        <v>0</v>
      </c>
      <c r="P2906" s="1427">
        <f t="shared" si="419"/>
        <v>0</v>
      </c>
    </row>
    <row r="2907" spans="1:16" ht="31" outlineLevel="1" x14ac:dyDescent="0.25">
      <c r="A2907" s="1489" t="str">
        <f t="shared" si="420"/>
        <v>HO
DPR 15</v>
      </c>
      <c r="B2907" s="1490" t="str">
        <f t="shared" si="420"/>
        <v>Procurement &amp; Replacement of Complete Sets of Air Pre-heater Baskets at Nashik, Parli &amp; Chandrapur TPS of Mahagenco</v>
      </c>
      <c r="C2907" s="1477" t="str">
        <f t="shared" si="420"/>
        <v>MERC/CAPEX/2019-2020/643</v>
      </c>
      <c r="D2907" s="1479">
        <f t="shared" si="420"/>
        <v>43703</v>
      </c>
      <c r="E2907" s="1383">
        <f t="shared" si="420"/>
        <v>11.13</v>
      </c>
      <c r="F2907" s="1480">
        <f t="shared" si="416"/>
        <v>0</v>
      </c>
      <c r="G2907" s="1480">
        <f t="shared" si="417"/>
        <v>0</v>
      </c>
      <c r="H2907" s="1480">
        <f t="shared" si="412"/>
        <v>0</v>
      </c>
      <c r="I2907" s="1480">
        <v>0</v>
      </c>
      <c r="J2907" s="1480">
        <v>0</v>
      </c>
      <c r="K2907" s="1480"/>
      <c r="L2907" s="1480"/>
      <c r="M2907" s="1480">
        <f t="shared" si="413"/>
        <v>0</v>
      </c>
      <c r="N2907" s="1480">
        <f t="shared" si="414"/>
        <v>0</v>
      </c>
      <c r="O2907" s="1481">
        <f t="shared" si="418"/>
        <v>0</v>
      </c>
      <c r="P2907" s="1427">
        <f t="shared" si="419"/>
        <v>0</v>
      </c>
    </row>
    <row r="2908" spans="1:16" ht="46.5" outlineLevel="1" x14ac:dyDescent="0.25">
      <c r="A2908" s="1484" t="str">
        <f t="shared" si="420"/>
        <v>HO
DPR 15.2</v>
      </c>
      <c r="B2908" s="1485" t="str">
        <f t="shared" si="420"/>
        <v>Procurement of Complete set of assembly of baskets for air preheater of type tri-sector APH in27 VI(T) 80”CSTPS unit No-4 (210MW). (2 Sets Per Unit)</v>
      </c>
      <c r="C2908" s="1482" t="str">
        <f t="shared" si="420"/>
        <v>MERC/CAPEX/2019-2020/643</v>
      </c>
      <c r="D2908" s="1390">
        <f t="shared" si="420"/>
        <v>43703</v>
      </c>
      <c r="E2908" s="560">
        <f t="shared" si="420"/>
        <v>1.73</v>
      </c>
      <c r="F2908" s="1508">
        <f t="shared" si="416"/>
        <v>1.6959658</v>
      </c>
      <c r="G2908" s="1508">
        <f t="shared" si="417"/>
        <v>1.6959658</v>
      </c>
      <c r="H2908" s="1508">
        <f t="shared" si="412"/>
        <v>0</v>
      </c>
      <c r="I2908" s="1480">
        <v>0</v>
      </c>
      <c r="J2908" s="1480">
        <v>0</v>
      </c>
      <c r="K2908" s="1508"/>
      <c r="L2908" s="1508"/>
      <c r="M2908" s="1509">
        <f t="shared" si="413"/>
        <v>0</v>
      </c>
      <c r="N2908" s="1508">
        <f t="shared" si="414"/>
        <v>0</v>
      </c>
      <c r="O2908" s="1481">
        <f t="shared" si="418"/>
        <v>0</v>
      </c>
      <c r="P2908" s="1427">
        <f t="shared" si="419"/>
        <v>0</v>
      </c>
    </row>
    <row r="2909" spans="1:16" ht="46.5" outlineLevel="1" x14ac:dyDescent="0.25">
      <c r="A2909" s="1484" t="str">
        <f t="shared" si="420"/>
        <v>HO
DPR 15.4</v>
      </c>
      <c r="B2909" s="1485" t="str">
        <f t="shared" si="420"/>
        <v>Procurement of Complete set of assembly of baskets for air preheater of type bi-sector APH “BI-SECTOR 27VI 1250(1400)”in CSTPS unit no. 5 &amp; 6 (500MW). (4 Sets Per Unit)</v>
      </c>
      <c r="C2909" s="1482" t="str">
        <f t="shared" si="420"/>
        <v>MERC/CAPEX/2019-2020/643</v>
      </c>
      <c r="D2909" s="1390">
        <f t="shared" si="420"/>
        <v>43703</v>
      </c>
      <c r="E2909" s="560">
        <f t="shared" si="420"/>
        <v>9.4</v>
      </c>
      <c r="F2909" s="1508">
        <f t="shared" si="416"/>
        <v>8.9105042999999995</v>
      </c>
      <c r="G2909" s="1508">
        <f t="shared" si="417"/>
        <v>8.9105042999999995</v>
      </c>
      <c r="H2909" s="1508">
        <f t="shared" si="412"/>
        <v>0</v>
      </c>
      <c r="I2909" s="1480">
        <v>0</v>
      </c>
      <c r="J2909" s="1480">
        <v>0</v>
      </c>
      <c r="K2909" s="1508"/>
      <c r="L2909" s="1508"/>
      <c r="M2909" s="1509">
        <f t="shared" si="413"/>
        <v>0</v>
      </c>
      <c r="N2909" s="1508">
        <f t="shared" si="414"/>
        <v>0</v>
      </c>
      <c r="O2909" s="1481">
        <f t="shared" si="418"/>
        <v>0</v>
      </c>
      <c r="P2909" s="1427">
        <f t="shared" si="419"/>
        <v>0</v>
      </c>
    </row>
    <row r="2910" spans="1:16" ht="15.5" outlineLevel="1" x14ac:dyDescent="0.25">
      <c r="A2910" s="1484">
        <f t="shared" si="420"/>
        <v>0</v>
      </c>
      <c r="B2910" s="1485" t="str">
        <f t="shared" si="420"/>
        <v>IDC</v>
      </c>
      <c r="C2910" s="1482" t="str">
        <f t="shared" si="420"/>
        <v>MERC/CAPEX/2019-2020/643</v>
      </c>
      <c r="D2910" s="1390">
        <f t="shared" si="420"/>
        <v>43703</v>
      </c>
      <c r="E2910" s="560">
        <f t="shared" si="420"/>
        <v>0</v>
      </c>
      <c r="F2910" s="1508">
        <f t="shared" si="416"/>
        <v>0</v>
      </c>
      <c r="G2910" s="1508">
        <f t="shared" si="417"/>
        <v>0</v>
      </c>
      <c r="H2910" s="1508">
        <f t="shared" si="412"/>
        <v>0</v>
      </c>
      <c r="I2910" s="1480">
        <v>0</v>
      </c>
      <c r="J2910" s="1480">
        <v>0</v>
      </c>
      <c r="K2910" s="1508"/>
      <c r="L2910" s="1508"/>
      <c r="M2910" s="1509">
        <f t="shared" si="413"/>
        <v>0</v>
      </c>
      <c r="N2910" s="1508">
        <f t="shared" si="414"/>
        <v>0</v>
      </c>
      <c r="O2910" s="1481">
        <f t="shared" si="418"/>
        <v>0</v>
      </c>
      <c r="P2910" s="1427">
        <f t="shared" si="419"/>
        <v>0</v>
      </c>
    </row>
    <row r="2911" spans="1:16" ht="31" outlineLevel="1" x14ac:dyDescent="0.25">
      <c r="A2911" s="1489" t="str">
        <f t="shared" si="420"/>
        <v>HO
DPR 16</v>
      </c>
      <c r="B2911" s="1490" t="str">
        <f t="shared" si="420"/>
        <v>Implementation of Water Flow Monitoring system at Chandrapur STPS &amp; Khaperkheda TPS</v>
      </c>
      <c r="C2911" s="1486" t="str">
        <f t="shared" si="420"/>
        <v>MERC/CAPEX/2020-2021/WFH/SBR/37</v>
      </c>
      <c r="D2911" s="1487">
        <f t="shared" si="420"/>
        <v>44131</v>
      </c>
      <c r="E2911" s="1383">
        <f t="shared" si="420"/>
        <v>3.7552319999999999</v>
      </c>
      <c r="F2911" s="1480">
        <f t="shared" si="416"/>
        <v>0</v>
      </c>
      <c r="G2911" s="1480">
        <f t="shared" si="417"/>
        <v>0</v>
      </c>
      <c r="H2911" s="1480">
        <f t="shared" si="412"/>
        <v>0</v>
      </c>
      <c r="I2911" s="1480">
        <v>0</v>
      </c>
      <c r="J2911" s="1480">
        <v>0</v>
      </c>
      <c r="K2911" s="1480"/>
      <c r="L2911" s="1480"/>
      <c r="M2911" s="1480">
        <f t="shared" si="413"/>
        <v>0</v>
      </c>
      <c r="N2911" s="1480">
        <f t="shared" si="414"/>
        <v>0</v>
      </c>
      <c r="O2911" s="1481">
        <f t="shared" si="418"/>
        <v>0</v>
      </c>
      <c r="P2911" s="1427">
        <f t="shared" si="419"/>
        <v>0</v>
      </c>
    </row>
    <row r="2912" spans="1:16" ht="46.5" outlineLevel="1" x14ac:dyDescent="0.25">
      <c r="A2912" s="1484" t="str">
        <f t="shared" si="420"/>
        <v>HO
DPR 16.1</v>
      </c>
      <c r="B2912" s="1485" t="str">
        <f t="shared" si="420"/>
        <v>Electromagnetic Flow meters at various lines &amp; Locations of CSTPS unit-3 to 7</v>
      </c>
      <c r="C2912" s="1488" t="str">
        <f t="shared" si="420"/>
        <v>MERC/CAPEX/2020-2021/WFH/SBR/37</v>
      </c>
      <c r="D2912" s="1413">
        <f t="shared" si="420"/>
        <v>44131</v>
      </c>
      <c r="E2912" s="560">
        <f t="shared" si="420"/>
        <v>2.912712</v>
      </c>
      <c r="F2912" s="1508">
        <f t="shared" si="416"/>
        <v>2.8883319000000003</v>
      </c>
      <c r="G2912" s="1508">
        <f t="shared" si="417"/>
        <v>2.8883319000000003</v>
      </c>
      <c r="H2912" s="1508">
        <f t="shared" si="412"/>
        <v>0</v>
      </c>
      <c r="I2912" s="1480">
        <v>0</v>
      </c>
      <c r="J2912" s="1480">
        <v>0</v>
      </c>
      <c r="K2912" s="1508"/>
      <c r="L2912" s="1508"/>
      <c r="M2912" s="1509">
        <f t="shared" si="413"/>
        <v>0</v>
      </c>
      <c r="N2912" s="1508">
        <f t="shared" si="414"/>
        <v>0</v>
      </c>
      <c r="O2912" s="1481">
        <f t="shared" si="418"/>
        <v>0</v>
      </c>
      <c r="P2912" s="1427">
        <f t="shared" si="419"/>
        <v>0</v>
      </c>
    </row>
    <row r="2913" spans="1:16" ht="62" outlineLevel="1" x14ac:dyDescent="0.25">
      <c r="A2913" s="1484" t="str">
        <f t="shared" si="420"/>
        <v>HO
DPR 16.2</v>
      </c>
      <c r="B2913" s="1485" t="str">
        <f t="shared" si="420"/>
        <v xml:space="preserve">Automation: Centralized SCADA, RTU, MODBUS Cable, Power cable &amp; Operation &amp; Maintenance for 1 Year &amp; mandatory spares
</v>
      </c>
      <c r="C2913" s="1488" t="str">
        <f t="shared" si="420"/>
        <v>MERC/CAPEX/2020-2021/WFH/SBR/37</v>
      </c>
      <c r="D2913" s="1413">
        <f t="shared" si="420"/>
        <v>44131</v>
      </c>
      <c r="E2913" s="560">
        <f t="shared" si="420"/>
        <v>0.84251999999999994</v>
      </c>
      <c r="F2913" s="1508">
        <f t="shared" si="416"/>
        <v>0.84251999999999994</v>
      </c>
      <c r="G2913" s="1508">
        <f t="shared" si="417"/>
        <v>0.84251999999999994</v>
      </c>
      <c r="H2913" s="1508">
        <f t="shared" si="412"/>
        <v>0</v>
      </c>
      <c r="I2913" s="1480">
        <v>0</v>
      </c>
      <c r="J2913" s="1480">
        <v>0</v>
      </c>
      <c r="K2913" s="1508"/>
      <c r="L2913" s="1508"/>
      <c r="M2913" s="1509">
        <f t="shared" si="413"/>
        <v>0</v>
      </c>
      <c r="N2913" s="1508">
        <f t="shared" si="414"/>
        <v>0</v>
      </c>
      <c r="O2913" s="1481">
        <f t="shared" si="418"/>
        <v>0</v>
      </c>
      <c r="P2913" s="1427">
        <f t="shared" si="419"/>
        <v>0</v>
      </c>
    </row>
    <row r="2914" spans="1:16" ht="31" outlineLevel="1" x14ac:dyDescent="0.25">
      <c r="A2914" s="1484">
        <f t="shared" ref="A2914:E2929" si="421">A2244</f>
        <v>0</v>
      </c>
      <c r="B2914" s="1485" t="str">
        <f t="shared" si="421"/>
        <v>IDC</v>
      </c>
      <c r="C2914" s="1482" t="str">
        <f t="shared" si="421"/>
        <v>MERC/CAPEX/2020-2021/WFH/SBR/37</v>
      </c>
      <c r="D2914" s="1390">
        <f t="shared" si="421"/>
        <v>44131</v>
      </c>
      <c r="E2914" s="560">
        <f t="shared" si="421"/>
        <v>0</v>
      </c>
      <c r="F2914" s="1508">
        <f t="shared" si="416"/>
        <v>0</v>
      </c>
      <c r="G2914" s="1508">
        <f t="shared" si="417"/>
        <v>0</v>
      </c>
      <c r="H2914" s="1508">
        <f t="shared" si="412"/>
        <v>0</v>
      </c>
      <c r="I2914" s="1480">
        <v>0</v>
      </c>
      <c r="J2914" s="1480">
        <v>0</v>
      </c>
      <c r="K2914" s="1508"/>
      <c r="L2914" s="1508"/>
      <c r="M2914" s="1509">
        <f t="shared" si="413"/>
        <v>0</v>
      </c>
      <c r="N2914" s="1508">
        <f t="shared" si="414"/>
        <v>0</v>
      </c>
      <c r="O2914" s="1481">
        <f t="shared" si="418"/>
        <v>0</v>
      </c>
      <c r="P2914" s="1427">
        <f t="shared" si="419"/>
        <v>0</v>
      </c>
    </row>
    <row r="2915" spans="1:16" ht="46.5" outlineLevel="1" x14ac:dyDescent="0.25">
      <c r="A2915" s="1489">
        <f t="shared" si="421"/>
        <v>40</v>
      </c>
      <c r="B2915" s="1490" t="str">
        <f t="shared" si="421"/>
        <v>Procurement of Condensate Extraction Pump for 500MW Unit-5, 6 &amp; 7 And Supply &amp; Replacement of complete PVC Fills of cell of cooling tower of Unit-7 in ODP-II at CSTPS, Chandrapur</v>
      </c>
      <c r="C2915" s="1486" t="str">
        <f t="shared" si="421"/>
        <v>MERC/CAPEX/2021-2022/ WFH/SBR/ 10</v>
      </c>
      <c r="D2915" s="1487">
        <f t="shared" si="421"/>
        <v>44357</v>
      </c>
      <c r="E2915" s="1383">
        <f t="shared" si="421"/>
        <v>10.89</v>
      </c>
      <c r="F2915" s="1480">
        <f t="shared" si="416"/>
        <v>0</v>
      </c>
      <c r="G2915" s="1480">
        <f t="shared" si="417"/>
        <v>0</v>
      </c>
      <c r="H2915" s="1480">
        <f t="shared" si="412"/>
        <v>0</v>
      </c>
      <c r="I2915" s="1480">
        <v>0</v>
      </c>
      <c r="J2915" s="1480">
        <v>0</v>
      </c>
      <c r="K2915" s="1480"/>
      <c r="L2915" s="1480"/>
      <c r="M2915" s="1480">
        <f t="shared" si="413"/>
        <v>0</v>
      </c>
      <c r="N2915" s="1480">
        <f t="shared" si="414"/>
        <v>0</v>
      </c>
      <c r="O2915" s="1481">
        <f t="shared" si="418"/>
        <v>0</v>
      </c>
      <c r="P2915" s="1427">
        <f t="shared" si="419"/>
        <v>0</v>
      </c>
    </row>
    <row r="2916" spans="1:16" ht="46.5" outlineLevel="1" x14ac:dyDescent="0.25">
      <c r="A2916" s="1484">
        <f t="shared" si="421"/>
        <v>40.1</v>
      </c>
      <c r="B2916" s="1485" t="str">
        <f t="shared" si="421"/>
        <v>Procurement of Condensate Extraction
Pump for 500MW Unit-5, 6 &amp; 7, CSTPS,
Chandrapur as insurance spare</v>
      </c>
      <c r="C2916" s="1488" t="str">
        <f t="shared" si="421"/>
        <v>MERC/CAPEX/2021-2022/ WFH/SBR/ 10</v>
      </c>
      <c r="D2916" s="1413">
        <f t="shared" si="421"/>
        <v>44357</v>
      </c>
      <c r="E2916" s="560">
        <f t="shared" si="421"/>
        <v>6.2</v>
      </c>
      <c r="F2916" s="1508">
        <f t="shared" si="416"/>
        <v>6.0121000000000002</v>
      </c>
      <c r="G2916" s="1508">
        <f t="shared" si="417"/>
        <v>6.0121000000000002</v>
      </c>
      <c r="H2916" s="1508">
        <f t="shared" si="412"/>
        <v>0</v>
      </c>
      <c r="I2916" s="1480">
        <v>0</v>
      </c>
      <c r="J2916" s="1480">
        <v>0</v>
      </c>
      <c r="K2916" s="1508"/>
      <c r="L2916" s="1508"/>
      <c r="M2916" s="1509">
        <f t="shared" si="413"/>
        <v>0</v>
      </c>
      <c r="N2916" s="1508">
        <f t="shared" si="414"/>
        <v>0</v>
      </c>
      <c r="O2916" s="1481">
        <f t="shared" si="418"/>
        <v>0</v>
      </c>
      <c r="P2916" s="1427">
        <f t="shared" si="419"/>
        <v>0</v>
      </c>
    </row>
    <row r="2917" spans="1:16" ht="46.5" outlineLevel="1" x14ac:dyDescent="0.25">
      <c r="A2917" s="1484">
        <f t="shared" si="421"/>
        <v>40.200000000000003</v>
      </c>
      <c r="B2917" s="1485" t="str">
        <f t="shared" si="421"/>
        <v>Supply and replacement of complete
PVC Fills of cell of cooling tower in Unit-
7</v>
      </c>
      <c r="C2917" s="1488" t="str">
        <f t="shared" si="421"/>
        <v>MERC/CAPEX/2021-2022/ WFH/SBR/ 10</v>
      </c>
      <c r="D2917" s="1413">
        <f t="shared" si="421"/>
        <v>44357</v>
      </c>
      <c r="E2917" s="560">
        <f t="shared" si="421"/>
        <v>4.3899999999999997</v>
      </c>
      <c r="F2917" s="1508">
        <f t="shared" si="416"/>
        <v>4.3293638999999997</v>
      </c>
      <c r="G2917" s="1508">
        <f t="shared" si="417"/>
        <v>4.3293638999999997</v>
      </c>
      <c r="H2917" s="1508">
        <f t="shared" si="412"/>
        <v>0</v>
      </c>
      <c r="I2917" s="1480">
        <v>0</v>
      </c>
      <c r="J2917" s="1480">
        <v>0</v>
      </c>
      <c r="K2917" s="1508"/>
      <c r="L2917" s="1508"/>
      <c r="M2917" s="1509">
        <f t="shared" si="413"/>
        <v>0</v>
      </c>
      <c r="N2917" s="1508">
        <f t="shared" si="414"/>
        <v>0</v>
      </c>
      <c r="O2917" s="1481">
        <f t="shared" si="418"/>
        <v>0</v>
      </c>
      <c r="P2917" s="1427">
        <f t="shared" si="419"/>
        <v>0</v>
      </c>
    </row>
    <row r="2918" spans="1:16" ht="31" outlineLevel="1" x14ac:dyDescent="0.25">
      <c r="A2918" s="1484">
        <f t="shared" si="421"/>
        <v>0</v>
      </c>
      <c r="B2918" s="1485" t="str">
        <f t="shared" si="421"/>
        <v>IDC</v>
      </c>
      <c r="C2918" s="1482" t="str">
        <f t="shared" si="421"/>
        <v>MERC/CAPEX/2021-2022/ WFH/SBR/ 10</v>
      </c>
      <c r="D2918" s="1390">
        <f t="shared" si="421"/>
        <v>44357</v>
      </c>
      <c r="E2918" s="560">
        <f t="shared" si="421"/>
        <v>0.3</v>
      </c>
      <c r="F2918" s="1508">
        <f t="shared" si="416"/>
        <v>0</v>
      </c>
      <c r="G2918" s="1508">
        <f t="shared" si="417"/>
        <v>0</v>
      </c>
      <c r="H2918" s="1508">
        <f t="shared" si="412"/>
        <v>0</v>
      </c>
      <c r="I2918" s="1480">
        <v>0</v>
      </c>
      <c r="J2918" s="1480">
        <v>0</v>
      </c>
      <c r="K2918" s="1508"/>
      <c r="L2918" s="1508"/>
      <c r="M2918" s="1509">
        <f t="shared" si="413"/>
        <v>0</v>
      </c>
      <c r="N2918" s="1508">
        <f t="shared" si="414"/>
        <v>0</v>
      </c>
      <c r="O2918" s="1481">
        <f t="shared" si="418"/>
        <v>0</v>
      </c>
      <c r="P2918" s="1427">
        <f t="shared" si="419"/>
        <v>0</v>
      </c>
    </row>
    <row r="2919" spans="1:16" ht="77.5" outlineLevel="1" x14ac:dyDescent="0.25">
      <c r="A2919" s="1489">
        <f t="shared" si="421"/>
        <v>41</v>
      </c>
      <c r="B2919" s="1490" t="str">
        <f t="shared" si="421"/>
        <v>Supply &amp; Commissioning of Advanced Microprocessor based Fast Bus Transfer panels; Up-gradation of Thyristor based 24V &amp; 220V DC battery chargers by SMPS Microprocessor based Battery Chargers at U-5,6 &amp;7
and Generator Protection scheme at U-7, at CSTPS, Chandrapur</v>
      </c>
      <c r="C2919" s="1486" t="str">
        <f t="shared" si="421"/>
        <v>MERC/CAPEX/2022-2023/0321</v>
      </c>
      <c r="D2919" s="1487">
        <f t="shared" si="421"/>
        <v>44760</v>
      </c>
      <c r="E2919" s="1383">
        <f t="shared" si="421"/>
        <v>14.06</v>
      </c>
      <c r="F2919" s="1480">
        <f t="shared" si="416"/>
        <v>0</v>
      </c>
      <c r="G2919" s="1480">
        <f t="shared" si="417"/>
        <v>0</v>
      </c>
      <c r="H2919" s="1480">
        <f t="shared" si="412"/>
        <v>0</v>
      </c>
      <c r="I2919" s="1480">
        <v>0</v>
      </c>
      <c r="J2919" s="1480">
        <v>0</v>
      </c>
      <c r="K2919" s="1480"/>
      <c r="L2919" s="1480"/>
      <c r="M2919" s="1480">
        <f t="shared" si="413"/>
        <v>0</v>
      </c>
      <c r="N2919" s="1480">
        <f t="shared" si="414"/>
        <v>0</v>
      </c>
      <c r="O2919" s="1481">
        <f t="shared" si="418"/>
        <v>0</v>
      </c>
      <c r="P2919" s="1427">
        <f t="shared" si="419"/>
        <v>0</v>
      </c>
    </row>
    <row r="2920" spans="1:16" ht="46.5" outlineLevel="1" x14ac:dyDescent="0.25">
      <c r="A2920" s="1484">
        <f t="shared" si="421"/>
        <v>41.1</v>
      </c>
      <c r="B2920" s="1485" t="str">
        <f t="shared" si="421"/>
        <v>Supply &amp; commissioning of Advanced Microprocessor based Fast Bus Transfer Panels for Unit#5,6,7, Stage-III, CSTPS, Chandrapur.</v>
      </c>
      <c r="C2920" s="1488" t="str">
        <f t="shared" si="421"/>
        <v>MERC/CAPEX/2022-2023/0321</v>
      </c>
      <c r="D2920" s="1413">
        <f t="shared" si="421"/>
        <v>44760</v>
      </c>
      <c r="E2920" s="560">
        <f t="shared" si="421"/>
        <v>6.08</v>
      </c>
      <c r="F2920" s="1508">
        <f t="shared" si="416"/>
        <v>6.0770239999999998</v>
      </c>
      <c r="G2920" s="1508">
        <f t="shared" si="417"/>
        <v>6.0770239999999998</v>
      </c>
      <c r="H2920" s="1508">
        <f t="shared" si="412"/>
        <v>0</v>
      </c>
      <c r="I2920" s="1480">
        <v>0</v>
      </c>
      <c r="J2920" s="1480">
        <v>0</v>
      </c>
      <c r="K2920" s="1508"/>
      <c r="L2920" s="1508"/>
      <c r="M2920" s="1509">
        <f t="shared" si="413"/>
        <v>0</v>
      </c>
      <c r="N2920" s="1508">
        <f t="shared" si="414"/>
        <v>0</v>
      </c>
      <c r="O2920" s="1481">
        <f t="shared" si="418"/>
        <v>0</v>
      </c>
      <c r="P2920" s="1427">
        <f t="shared" si="419"/>
        <v>0</v>
      </c>
    </row>
    <row r="2921" spans="1:16" ht="46.5" outlineLevel="1" x14ac:dyDescent="0.25">
      <c r="A2921" s="1484">
        <f t="shared" si="421"/>
        <v>41.2</v>
      </c>
      <c r="B2921" s="1485" t="str">
        <f t="shared" si="421"/>
        <v>Up-gradation of thyristor based 24V &amp; 220V DC Battery Chargers by SMPS Microprocessor based Battery Chargers at Stage-III, CSTPS, Chandrapur.</v>
      </c>
      <c r="C2921" s="1488" t="str">
        <f t="shared" si="421"/>
        <v>MERC/CAPEX/2022-2023/0321</v>
      </c>
      <c r="D2921" s="1413">
        <f t="shared" si="421"/>
        <v>44760</v>
      </c>
      <c r="E2921" s="560">
        <f t="shared" si="421"/>
        <v>5.28</v>
      </c>
      <c r="F2921" s="1508">
        <f t="shared" si="416"/>
        <v>5.28</v>
      </c>
      <c r="G2921" s="1508">
        <f t="shared" si="417"/>
        <v>5.28</v>
      </c>
      <c r="H2921" s="1508">
        <f t="shared" si="412"/>
        <v>0</v>
      </c>
      <c r="I2921" s="1480">
        <v>0</v>
      </c>
      <c r="J2921" s="1480">
        <v>0</v>
      </c>
      <c r="K2921" s="1508"/>
      <c r="L2921" s="1508"/>
      <c r="M2921" s="1509">
        <f t="shared" si="413"/>
        <v>0</v>
      </c>
      <c r="N2921" s="1508">
        <f t="shared" si="414"/>
        <v>0</v>
      </c>
      <c r="O2921" s="1481">
        <f t="shared" si="418"/>
        <v>0</v>
      </c>
      <c r="P2921" s="1427">
        <f t="shared" si="419"/>
        <v>0</v>
      </c>
    </row>
    <row r="2922" spans="1:16" ht="15.5" outlineLevel="1" x14ac:dyDescent="0.25">
      <c r="A2922" s="1484">
        <f t="shared" si="421"/>
        <v>41.3</v>
      </c>
      <c r="B2922" s="1485" t="str">
        <f t="shared" si="421"/>
        <v>Generator Protection Scheme U-7</v>
      </c>
      <c r="C2922" s="1488" t="str">
        <f t="shared" si="421"/>
        <v>MERC/CAPEX/2022-2023/0321</v>
      </c>
      <c r="D2922" s="1413">
        <f t="shared" si="421"/>
        <v>44760</v>
      </c>
      <c r="E2922" s="560">
        <f t="shared" si="421"/>
        <v>1.98</v>
      </c>
      <c r="F2922" s="1508">
        <f t="shared" si="416"/>
        <v>1.98</v>
      </c>
      <c r="G2922" s="1508">
        <f t="shared" si="417"/>
        <v>1.98</v>
      </c>
      <c r="H2922" s="1508">
        <f t="shared" si="412"/>
        <v>0</v>
      </c>
      <c r="I2922" s="1480">
        <v>0</v>
      </c>
      <c r="J2922" s="1480">
        <v>0</v>
      </c>
      <c r="K2922" s="1508"/>
      <c r="L2922" s="1508"/>
      <c r="M2922" s="1509">
        <f t="shared" si="413"/>
        <v>0</v>
      </c>
      <c r="N2922" s="1508">
        <f t="shared" si="414"/>
        <v>0</v>
      </c>
      <c r="O2922" s="1481">
        <f t="shared" si="418"/>
        <v>0</v>
      </c>
      <c r="P2922" s="1427">
        <f t="shared" si="419"/>
        <v>0</v>
      </c>
    </row>
    <row r="2923" spans="1:16" ht="15.5" outlineLevel="1" x14ac:dyDescent="0.25">
      <c r="A2923" s="1484">
        <f t="shared" si="421"/>
        <v>0</v>
      </c>
      <c r="B2923" s="1485" t="str">
        <f t="shared" si="421"/>
        <v>IDC</v>
      </c>
      <c r="C2923" s="1482" t="str">
        <f t="shared" si="421"/>
        <v>MERC/CAPEX/2022-2023/0321</v>
      </c>
      <c r="D2923" s="1390">
        <f t="shared" si="421"/>
        <v>44760</v>
      </c>
      <c r="E2923" s="560">
        <f t="shared" si="421"/>
        <v>0.72</v>
      </c>
      <c r="F2923" s="1508">
        <f t="shared" si="416"/>
        <v>0</v>
      </c>
      <c r="G2923" s="1508">
        <f t="shared" si="417"/>
        <v>0</v>
      </c>
      <c r="H2923" s="1508">
        <f t="shared" si="412"/>
        <v>0</v>
      </c>
      <c r="I2923" s="1480">
        <v>0</v>
      </c>
      <c r="J2923" s="1480">
        <v>0</v>
      </c>
      <c r="K2923" s="1508"/>
      <c r="L2923" s="1508"/>
      <c r="M2923" s="1509">
        <f t="shared" si="413"/>
        <v>0</v>
      </c>
      <c r="N2923" s="1508">
        <f t="shared" si="414"/>
        <v>0</v>
      </c>
      <c r="O2923" s="1481">
        <f t="shared" si="418"/>
        <v>0</v>
      </c>
      <c r="P2923" s="1427">
        <f t="shared" si="419"/>
        <v>0</v>
      </c>
    </row>
    <row r="2924" spans="1:16" ht="31" outlineLevel="1" x14ac:dyDescent="0.25">
      <c r="A2924" s="1489">
        <f t="shared" si="421"/>
        <v>42</v>
      </c>
      <c r="B2924" s="1490" t="str">
        <f t="shared" si="421"/>
        <v>ESP Upgradation of 5 Nos. of 210/500MW Units at Khaperkheda, Koradi &amp; Chandrapur TPS</v>
      </c>
      <c r="C2924" s="1486" t="str">
        <f t="shared" si="421"/>
        <v>MERC/CAPEX/2022-2023/MSPGCL/0453</v>
      </c>
      <c r="D2924" s="1487">
        <f t="shared" si="421"/>
        <v>44833</v>
      </c>
      <c r="E2924" s="1383">
        <f t="shared" si="421"/>
        <v>219.44</v>
      </c>
      <c r="F2924" s="1480">
        <f t="shared" si="416"/>
        <v>0</v>
      </c>
      <c r="G2924" s="1480">
        <f t="shared" si="417"/>
        <v>0</v>
      </c>
      <c r="H2924" s="1480">
        <f t="shared" si="412"/>
        <v>0</v>
      </c>
      <c r="I2924" s="1480">
        <v>0</v>
      </c>
      <c r="J2924" s="1480">
        <v>0</v>
      </c>
      <c r="K2924" s="1480"/>
      <c r="L2924" s="1480"/>
      <c r="M2924" s="1480">
        <f t="shared" si="413"/>
        <v>0</v>
      </c>
      <c r="N2924" s="1480">
        <f t="shared" si="414"/>
        <v>0</v>
      </c>
      <c r="O2924" s="1481">
        <f t="shared" si="418"/>
        <v>0</v>
      </c>
      <c r="P2924" s="1427">
        <f t="shared" si="419"/>
        <v>0</v>
      </c>
    </row>
    <row r="2925" spans="1:16" ht="31" outlineLevel="1" x14ac:dyDescent="0.25">
      <c r="A2925" s="1484">
        <f t="shared" si="421"/>
        <v>42.1</v>
      </c>
      <c r="B2925" s="1485" t="str">
        <f t="shared" si="421"/>
        <v>ESP Upgradation at Unit # 5 &amp; 6, Chandrapur TPS</v>
      </c>
      <c r="C2925" s="1488" t="str">
        <f t="shared" si="421"/>
        <v>MERC/CAPEX/2022-2023/MSPGCL/0453</v>
      </c>
      <c r="D2925" s="1413">
        <f t="shared" si="421"/>
        <v>44833</v>
      </c>
      <c r="E2925" s="560">
        <f t="shared" si="421"/>
        <v>207.46</v>
      </c>
      <c r="F2925" s="1508">
        <f t="shared" si="416"/>
        <v>232.76</v>
      </c>
      <c r="G2925" s="1508">
        <f t="shared" si="417"/>
        <v>232.76</v>
      </c>
      <c r="H2925" s="1508">
        <f t="shared" si="412"/>
        <v>0</v>
      </c>
      <c r="I2925" s="1480">
        <v>0</v>
      </c>
      <c r="J2925" s="1480">
        <v>0</v>
      </c>
      <c r="K2925" s="1508"/>
      <c r="L2925" s="1508"/>
      <c r="M2925" s="1509">
        <f t="shared" si="413"/>
        <v>0</v>
      </c>
      <c r="N2925" s="1508">
        <f t="shared" si="414"/>
        <v>0</v>
      </c>
      <c r="O2925" s="1481">
        <f t="shared" si="418"/>
        <v>0</v>
      </c>
      <c r="P2925" s="1427">
        <f t="shared" si="419"/>
        <v>0</v>
      </c>
    </row>
    <row r="2926" spans="1:16" ht="31" outlineLevel="1" x14ac:dyDescent="0.25">
      <c r="A2926" s="1484">
        <f t="shared" si="421"/>
        <v>0</v>
      </c>
      <c r="B2926" s="1485" t="str">
        <f t="shared" si="421"/>
        <v>IDC</v>
      </c>
      <c r="C2926" s="1482" t="str">
        <f t="shared" si="421"/>
        <v>MERC/CAPEX/2022-2023/MSPGCL/0453</v>
      </c>
      <c r="D2926" s="1390">
        <f t="shared" si="421"/>
        <v>44833</v>
      </c>
      <c r="E2926" s="560">
        <f t="shared" si="421"/>
        <v>11.98</v>
      </c>
      <c r="F2926" s="1508">
        <f t="shared" si="416"/>
        <v>0</v>
      </c>
      <c r="G2926" s="1508">
        <f t="shared" si="417"/>
        <v>0</v>
      </c>
      <c r="H2926" s="1508">
        <f t="shared" si="412"/>
        <v>0</v>
      </c>
      <c r="I2926" s="1480">
        <v>0</v>
      </c>
      <c r="J2926" s="1480">
        <v>0</v>
      </c>
      <c r="K2926" s="1508"/>
      <c r="L2926" s="1508"/>
      <c r="M2926" s="1509">
        <f t="shared" si="413"/>
        <v>0</v>
      </c>
      <c r="N2926" s="1508">
        <f t="shared" si="414"/>
        <v>0</v>
      </c>
      <c r="O2926" s="1481">
        <f t="shared" si="418"/>
        <v>0</v>
      </c>
      <c r="P2926" s="1427">
        <f t="shared" si="419"/>
        <v>0</v>
      </c>
    </row>
    <row r="2927" spans="1:16" ht="31" outlineLevel="1" x14ac:dyDescent="0.25">
      <c r="A2927" s="1489">
        <f t="shared" si="421"/>
        <v>43</v>
      </c>
      <c r="B2927" s="1490" t="str">
        <f t="shared" si="421"/>
        <v>Flue Gas Desulphurization (FGD) System at 10 Nos. of 210 MW Units at Chandrapur, Koradi, Khaperkheda &amp; Nasik TPS</v>
      </c>
      <c r="C2927" s="1486" t="str">
        <f t="shared" si="421"/>
        <v>MERC/CAPEX/MSPGCL/2023-2024/0459</v>
      </c>
      <c r="D2927" s="1487">
        <f t="shared" si="421"/>
        <v>45174</v>
      </c>
      <c r="E2927" s="1383">
        <f t="shared" si="421"/>
        <v>115.34</v>
      </c>
      <c r="F2927" s="1480">
        <f t="shared" si="416"/>
        <v>0</v>
      </c>
      <c r="G2927" s="1480">
        <f t="shared" si="417"/>
        <v>0</v>
      </c>
      <c r="H2927" s="1480">
        <f t="shared" si="412"/>
        <v>0</v>
      </c>
      <c r="I2927" s="1480">
        <v>0</v>
      </c>
      <c r="J2927" s="1480">
        <v>0</v>
      </c>
      <c r="K2927" s="1480"/>
      <c r="L2927" s="1480"/>
      <c r="M2927" s="1480">
        <f t="shared" si="413"/>
        <v>0</v>
      </c>
      <c r="N2927" s="1480">
        <f t="shared" si="414"/>
        <v>0</v>
      </c>
      <c r="O2927" s="1481">
        <f t="shared" si="418"/>
        <v>0</v>
      </c>
      <c r="P2927" s="1427">
        <f t="shared" si="419"/>
        <v>0</v>
      </c>
    </row>
    <row r="2928" spans="1:16" ht="31" outlineLevel="1" x14ac:dyDescent="0.25">
      <c r="A2928" s="1484">
        <f t="shared" si="421"/>
        <v>43.1</v>
      </c>
      <c r="B2928" s="1485" t="str">
        <f t="shared" si="421"/>
        <v>Flue Gas Desulphurization (FGD) System at Unit 3 &amp; 4, Chandrapur</v>
      </c>
      <c r="C2928" s="1488" t="str">
        <f t="shared" si="421"/>
        <v>MERC/CAPEX/MSPGCL/2023-2024/0459</v>
      </c>
      <c r="D2928" s="1413">
        <f t="shared" si="421"/>
        <v>45174</v>
      </c>
      <c r="E2928" s="560">
        <f t="shared" si="421"/>
        <v>109.4</v>
      </c>
      <c r="F2928" s="1508">
        <f t="shared" si="416"/>
        <v>38.44</v>
      </c>
      <c r="G2928" s="1508">
        <f t="shared" si="417"/>
        <v>256.32</v>
      </c>
      <c r="H2928" s="1508">
        <f t="shared" si="412"/>
        <v>-217.88</v>
      </c>
      <c r="I2928" s="1480">
        <v>108.94</v>
      </c>
      <c r="J2928" s="1480">
        <v>0</v>
      </c>
      <c r="K2928" s="1508"/>
      <c r="L2928" s="1508"/>
      <c r="M2928" s="1509">
        <f t="shared" si="413"/>
        <v>0</v>
      </c>
      <c r="N2928" s="1508">
        <f t="shared" si="414"/>
        <v>-108.94</v>
      </c>
      <c r="O2928" s="1481">
        <f t="shared" si="418"/>
        <v>0</v>
      </c>
      <c r="P2928" s="1427">
        <f t="shared" si="419"/>
        <v>0</v>
      </c>
    </row>
    <row r="2929" spans="1:16" ht="31" outlineLevel="1" x14ac:dyDescent="0.25">
      <c r="A2929" s="1484">
        <f t="shared" si="421"/>
        <v>0</v>
      </c>
      <c r="B2929" s="1485" t="str">
        <f t="shared" si="421"/>
        <v>IDC</v>
      </c>
      <c r="C2929" s="1488" t="str">
        <f t="shared" si="421"/>
        <v>MERC/CAPEX/MSPGCL/2023-2024/0459</v>
      </c>
      <c r="D2929" s="1413">
        <f t="shared" si="421"/>
        <v>45174</v>
      </c>
      <c r="E2929" s="560">
        <f t="shared" si="421"/>
        <v>5.94</v>
      </c>
      <c r="F2929" s="1508">
        <f t="shared" si="416"/>
        <v>0</v>
      </c>
      <c r="G2929" s="1508">
        <f t="shared" si="417"/>
        <v>0</v>
      </c>
      <c r="H2929" s="1508">
        <f t="shared" si="412"/>
        <v>0</v>
      </c>
      <c r="I2929" s="1480">
        <v>0</v>
      </c>
      <c r="J2929" s="1480">
        <v>0</v>
      </c>
      <c r="K2929" s="1508"/>
      <c r="L2929" s="1508"/>
      <c r="M2929" s="1509">
        <f t="shared" si="413"/>
        <v>0</v>
      </c>
      <c r="N2929" s="1508">
        <f t="shared" si="414"/>
        <v>0</v>
      </c>
      <c r="O2929" s="1481">
        <f t="shared" si="418"/>
        <v>0</v>
      </c>
      <c r="P2929" s="1427">
        <f t="shared" si="419"/>
        <v>0</v>
      </c>
    </row>
    <row r="2930" spans="1:16" ht="77.5" outlineLevel="1" x14ac:dyDescent="0.25">
      <c r="A2930" s="1489">
        <f t="shared" ref="A2930:E2945" si="422">A2260</f>
        <v>44</v>
      </c>
      <c r="B2930" s="1490" t="str">
        <f t="shared" si="422"/>
        <v>Design, Engineering, Manufacturing, Transportation to CSTPS site, unloading, Erection, Testing &amp; Commissioning of 3 nos. of new 200MVA. 21/400/√3KV, Single phase Generator Transformers, BHEL make for 3 X 500 MW Unit#5,6&amp;7 500MW Stage-III CSTPS, Chandrapur</v>
      </c>
      <c r="C2930" s="1486" t="str">
        <f t="shared" si="422"/>
        <v>MERC/CAPEX/2022-2023/0409</v>
      </c>
      <c r="D2930" s="1487">
        <f t="shared" si="422"/>
        <v>44806</v>
      </c>
      <c r="E2930" s="1383">
        <f t="shared" si="422"/>
        <v>33.268000000000001</v>
      </c>
      <c r="F2930" s="1480">
        <f t="shared" si="416"/>
        <v>0</v>
      </c>
      <c r="G2930" s="1480">
        <f t="shared" si="417"/>
        <v>0</v>
      </c>
      <c r="H2930" s="1480">
        <f t="shared" si="412"/>
        <v>0</v>
      </c>
      <c r="I2930" s="1480">
        <v>0</v>
      </c>
      <c r="J2930" s="1480">
        <v>0</v>
      </c>
      <c r="K2930" s="1480"/>
      <c r="L2930" s="1480"/>
      <c r="M2930" s="1480">
        <f t="shared" si="413"/>
        <v>0</v>
      </c>
      <c r="N2930" s="1480">
        <f t="shared" si="414"/>
        <v>0</v>
      </c>
      <c r="O2930" s="1481">
        <f t="shared" si="418"/>
        <v>0</v>
      </c>
      <c r="P2930" s="1427">
        <f t="shared" si="419"/>
        <v>0</v>
      </c>
    </row>
    <row r="2931" spans="1:16" ht="93" outlineLevel="1" x14ac:dyDescent="0.25">
      <c r="A2931" s="1484">
        <f t="shared" si="422"/>
        <v>44.1</v>
      </c>
      <c r="B2931" s="1485" t="str">
        <f t="shared" si="422"/>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2931" s="1488" t="str">
        <f t="shared" si="422"/>
        <v>MERC/CAPEX/2022-2023/0409</v>
      </c>
      <c r="D2931" s="1413">
        <f t="shared" si="422"/>
        <v>44806</v>
      </c>
      <c r="E2931" s="560">
        <f t="shared" si="422"/>
        <v>32.567999999999998</v>
      </c>
      <c r="F2931" s="1508">
        <f t="shared" si="416"/>
        <v>39</v>
      </c>
      <c r="G2931" s="1508">
        <f t="shared" si="417"/>
        <v>39</v>
      </c>
      <c r="H2931" s="1508">
        <f t="shared" si="412"/>
        <v>0</v>
      </c>
      <c r="I2931" s="1480">
        <v>0</v>
      </c>
      <c r="J2931" s="1480">
        <v>0</v>
      </c>
      <c r="K2931" s="1508"/>
      <c r="L2931" s="1508"/>
      <c r="M2931" s="1509">
        <f t="shared" si="413"/>
        <v>0</v>
      </c>
      <c r="N2931" s="1508">
        <f t="shared" si="414"/>
        <v>0</v>
      </c>
      <c r="O2931" s="1481">
        <f t="shared" si="418"/>
        <v>0</v>
      </c>
      <c r="P2931" s="1427">
        <f t="shared" si="419"/>
        <v>0</v>
      </c>
    </row>
    <row r="2932" spans="1:16" ht="15.5" outlineLevel="1" x14ac:dyDescent="0.25">
      <c r="A2932" s="1484">
        <f t="shared" si="422"/>
        <v>0</v>
      </c>
      <c r="B2932" s="1485" t="str">
        <f t="shared" si="422"/>
        <v>IDC</v>
      </c>
      <c r="C2932" s="1482" t="str">
        <f t="shared" si="422"/>
        <v>MERC/CAPEX/2022-2023/0409</v>
      </c>
      <c r="D2932" s="1390">
        <f t="shared" si="422"/>
        <v>44806</v>
      </c>
      <c r="E2932" s="560">
        <f t="shared" si="422"/>
        <v>0.7</v>
      </c>
      <c r="F2932" s="1508">
        <f t="shared" si="416"/>
        <v>0</v>
      </c>
      <c r="G2932" s="1508">
        <f t="shared" si="417"/>
        <v>0</v>
      </c>
      <c r="H2932" s="1508">
        <f t="shared" si="412"/>
        <v>0</v>
      </c>
      <c r="I2932" s="1480">
        <v>0</v>
      </c>
      <c r="J2932" s="1480">
        <v>0</v>
      </c>
      <c r="K2932" s="1508"/>
      <c r="L2932" s="1508"/>
      <c r="M2932" s="1509">
        <f t="shared" si="413"/>
        <v>0</v>
      </c>
      <c r="N2932" s="1508">
        <f t="shared" si="414"/>
        <v>0</v>
      </c>
      <c r="O2932" s="1481">
        <f t="shared" si="418"/>
        <v>0</v>
      </c>
      <c r="P2932" s="1427">
        <f t="shared" si="419"/>
        <v>0</v>
      </c>
    </row>
    <row r="2933" spans="1:16" ht="93" outlineLevel="1" x14ac:dyDescent="0.25">
      <c r="A2933" s="1489">
        <f t="shared" si="422"/>
        <v>45</v>
      </c>
      <c r="B2933" s="1490" t="str">
        <f t="shared" si="422"/>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2933" s="1486" t="str">
        <f t="shared" si="422"/>
        <v>MERC/CAPEX/2022-2023/MSPGCL/0458</v>
      </c>
      <c r="D2933" s="1487">
        <f t="shared" si="422"/>
        <v>45174</v>
      </c>
      <c r="E2933" s="560">
        <f t="shared" si="422"/>
        <v>145.05495436368</v>
      </c>
      <c r="F2933" s="1508">
        <f t="shared" si="416"/>
        <v>0</v>
      </c>
      <c r="G2933" s="1508">
        <f t="shared" si="417"/>
        <v>0</v>
      </c>
      <c r="H2933" s="1508">
        <f t="shared" si="412"/>
        <v>0</v>
      </c>
      <c r="I2933" s="1480">
        <v>0</v>
      </c>
      <c r="J2933" s="1480">
        <v>0</v>
      </c>
      <c r="K2933" s="1508"/>
      <c r="L2933" s="1508"/>
      <c r="M2933" s="1509">
        <f t="shared" ref="M2933:M2961" si="423">SUM(J2933:L2933)</f>
        <v>0</v>
      </c>
      <c r="N2933" s="1508">
        <f t="shared" si="414"/>
        <v>0</v>
      </c>
      <c r="O2933" s="1481"/>
      <c r="P2933" s="1427"/>
    </row>
    <row r="2934" spans="1:16" ht="31" outlineLevel="1" x14ac:dyDescent="0.25">
      <c r="A2934" s="1484">
        <f t="shared" si="422"/>
        <v>45.1</v>
      </c>
      <c r="B2934" s="1485" t="str">
        <f t="shared" si="422"/>
        <v>Construction of 4th raising of existing Ash Bund from T.B.L. 198.00 M to T.B.L 201.00 M</v>
      </c>
      <c r="C2934" s="1488" t="str">
        <f t="shared" si="422"/>
        <v>MERC/CAPEX/2022-2023/MSPGCL/0458</v>
      </c>
      <c r="D2934" s="1413">
        <f t="shared" si="422"/>
        <v>45174</v>
      </c>
      <c r="E2934" s="560">
        <f t="shared" si="422"/>
        <v>101.81018586775998</v>
      </c>
      <c r="F2934" s="1508">
        <f t="shared" si="416"/>
        <v>66.943683858253138</v>
      </c>
      <c r="G2934" s="1508">
        <f t="shared" si="417"/>
        <v>66.943683858253138</v>
      </c>
      <c r="H2934" s="1508">
        <f t="shared" si="412"/>
        <v>0</v>
      </c>
      <c r="I2934" s="1480">
        <v>0</v>
      </c>
      <c r="J2934" s="1480">
        <v>0</v>
      </c>
      <c r="K2934" s="1508"/>
      <c r="L2934" s="1508"/>
      <c r="M2934" s="1509">
        <f t="shared" si="423"/>
        <v>0</v>
      </c>
      <c r="N2934" s="1508">
        <f t="shared" si="414"/>
        <v>0</v>
      </c>
      <c r="O2934" s="1481"/>
      <c r="P2934" s="1427"/>
    </row>
    <row r="2935" spans="1:16" ht="31" outlineLevel="1" x14ac:dyDescent="0.25">
      <c r="A2935" s="1484">
        <f t="shared" si="422"/>
        <v>45.2</v>
      </c>
      <c r="B2935" s="1485" t="str">
        <f t="shared" si="422"/>
        <v>Construction of New Drain Wells (12 Nos.) along with necessary connection to existing drain wells at CSTPS</v>
      </c>
      <c r="C2935" s="1488" t="str">
        <f t="shared" si="422"/>
        <v>MERC/CAPEX/2022-2023/MSPGCL/0458</v>
      </c>
      <c r="D2935" s="1413">
        <f t="shared" si="422"/>
        <v>45174</v>
      </c>
      <c r="E2935" s="560">
        <f t="shared" si="422"/>
        <v>1.7079926814999997</v>
      </c>
      <c r="F2935" s="1508">
        <f t="shared" si="416"/>
        <v>1.1230636809863013</v>
      </c>
      <c r="G2935" s="1508">
        <f t="shared" si="417"/>
        <v>1.1230636809863013</v>
      </c>
      <c r="H2935" s="1508">
        <f t="shared" si="412"/>
        <v>0</v>
      </c>
      <c r="I2935" s="1480">
        <v>0</v>
      </c>
      <c r="J2935" s="1480">
        <v>0</v>
      </c>
      <c r="K2935" s="1508"/>
      <c r="L2935" s="1508"/>
      <c r="M2935" s="1509">
        <f t="shared" si="423"/>
        <v>0</v>
      </c>
      <c r="N2935" s="1508">
        <f t="shared" si="414"/>
        <v>0</v>
      </c>
      <c r="O2935" s="1481"/>
      <c r="P2935" s="1427"/>
    </row>
    <row r="2936" spans="1:16" ht="31" outlineLevel="1" x14ac:dyDescent="0.25">
      <c r="A2936" s="1484">
        <f t="shared" si="422"/>
        <v>45.3</v>
      </c>
      <c r="B2936" s="1485" t="str">
        <f t="shared" si="422"/>
        <v xml:space="preserve"> Construction of waste weir for raising of ash bund (Waste Weir &amp; Non overflow structure)</v>
      </c>
      <c r="C2936" s="1488" t="str">
        <f t="shared" si="422"/>
        <v>MERC/CAPEX/2022-2023/MSPGCL/0458</v>
      </c>
      <c r="D2936" s="1413">
        <f t="shared" si="422"/>
        <v>45174</v>
      </c>
      <c r="E2936" s="560">
        <f t="shared" si="422"/>
        <v>4.2692499462199995</v>
      </c>
      <c r="F2936" s="1508">
        <f t="shared" si="416"/>
        <v>2.8071780468295886</v>
      </c>
      <c r="G2936" s="1508">
        <f t="shared" si="417"/>
        <v>2.8071780468295886</v>
      </c>
      <c r="H2936" s="1508">
        <f t="shared" si="412"/>
        <v>0</v>
      </c>
      <c r="I2936" s="1480">
        <v>0</v>
      </c>
      <c r="J2936" s="1480">
        <v>0</v>
      </c>
      <c r="K2936" s="1508"/>
      <c r="L2936" s="1508"/>
      <c r="M2936" s="1509">
        <f t="shared" si="423"/>
        <v>0</v>
      </c>
      <c r="N2936" s="1508">
        <f t="shared" si="414"/>
        <v>0</v>
      </c>
      <c r="O2936" s="1481"/>
      <c r="P2936" s="1427"/>
    </row>
    <row r="2937" spans="1:16" ht="31" outlineLevel="1" x14ac:dyDescent="0.25">
      <c r="A2937" s="1484">
        <f t="shared" si="422"/>
        <v>45.4</v>
      </c>
      <c r="B2937" s="1485" t="str">
        <f t="shared" si="422"/>
        <v>Raising of Ash Compartment i.e. Lagoon in Ash Bund</v>
      </c>
      <c r="C2937" s="1488" t="str">
        <f t="shared" si="422"/>
        <v>MERC/CAPEX/2022-2023/MSPGCL/0458</v>
      </c>
      <c r="D2937" s="1413">
        <f t="shared" si="422"/>
        <v>45174</v>
      </c>
      <c r="E2937" s="560">
        <f t="shared" si="422"/>
        <v>25.657525868199997</v>
      </c>
      <c r="F2937" s="1508">
        <f t="shared" si="416"/>
        <v>16.870701940734246</v>
      </c>
      <c r="G2937" s="1508">
        <f t="shared" si="417"/>
        <v>16.870701940734246</v>
      </c>
      <c r="H2937" s="1508">
        <f t="shared" si="412"/>
        <v>0</v>
      </c>
      <c r="I2937" s="1480">
        <v>0</v>
      </c>
      <c r="J2937" s="1480">
        <v>0</v>
      </c>
      <c r="K2937" s="1508"/>
      <c r="L2937" s="1508"/>
      <c r="M2937" s="1509">
        <f t="shared" si="423"/>
        <v>0</v>
      </c>
      <c r="N2937" s="1508">
        <f t="shared" si="414"/>
        <v>0</v>
      </c>
      <c r="O2937" s="1481"/>
      <c r="P2937" s="1427"/>
    </row>
    <row r="2938" spans="1:16" ht="31" outlineLevel="1" x14ac:dyDescent="0.25">
      <c r="A2938" s="1484">
        <f t="shared" si="422"/>
        <v>0</v>
      </c>
      <c r="B2938" s="1485" t="str">
        <f t="shared" si="422"/>
        <v>IDC</v>
      </c>
      <c r="C2938" s="1482" t="str">
        <f t="shared" si="422"/>
        <v>MERC/CAPEX/2022-2023/MSPGCL/0458</v>
      </c>
      <c r="D2938" s="1390">
        <f t="shared" si="422"/>
        <v>45174</v>
      </c>
      <c r="E2938" s="560">
        <f t="shared" si="422"/>
        <v>11.61</v>
      </c>
      <c r="F2938" s="1508">
        <f t="shared" si="416"/>
        <v>0</v>
      </c>
      <c r="G2938" s="1508">
        <f t="shared" si="417"/>
        <v>0</v>
      </c>
      <c r="H2938" s="1508">
        <f t="shared" si="412"/>
        <v>0</v>
      </c>
      <c r="I2938" s="1480">
        <v>0</v>
      </c>
      <c r="J2938" s="1480">
        <v>0</v>
      </c>
      <c r="K2938" s="1508"/>
      <c r="L2938" s="1508"/>
      <c r="M2938" s="1509">
        <f t="shared" si="423"/>
        <v>0</v>
      </c>
      <c r="N2938" s="1508">
        <f t="shared" si="414"/>
        <v>0</v>
      </c>
      <c r="O2938" s="1481"/>
      <c r="P2938" s="1427"/>
    </row>
    <row r="2939" spans="1:16" ht="46.5" outlineLevel="1" x14ac:dyDescent="0.25">
      <c r="A2939" s="1489">
        <f t="shared" si="422"/>
        <v>46</v>
      </c>
      <c r="B2939" s="1490" t="str">
        <f t="shared" si="422"/>
        <v>Procurement of 03 Nos. of complete assembly of 3.3 KV, 300 KW Boiler Circulation Water Pump - Motors along with Impeller for Unit#5&amp;6, 500MW Stage-III CSTPS Chandrapur</v>
      </c>
      <c r="C2939" s="1486" t="str">
        <f t="shared" si="422"/>
        <v>MERC/CAPEX/2024-2025/MSPGCL/0308</v>
      </c>
      <c r="D2939" s="1487">
        <f t="shared" si="422"/>
        <v>45429</v>
      </c>
      <c r="E2939" s="560">
        <f t="shared" si="422"/>
        <v>37.32</v>
      </c>
      <c r="F2939" s="1508">
        <f t="shared" si="416"/>
        <v>0</v>
      </c>
      <c r="G2939" s="1508">
        <f t="shared" si="417"/>
        <v>0</v>
      </c>
      <c r="H2939" s="1508">
        <f t="shared" si="412"/>
        <v>0</v>
      </c>
      <c r="I2939" s="1480">
        <v>0</v>
      </c>
      <c r="J2939" s="1480">
        <v>0</v>
      </c>
      <c r="K2939" s="1508"/>
      <c r="L2939" s="1508"/>
      <c r="M2939" s="1509">
        <f t="shared" si="423"/>
        <v>0</v>
      </c>
      <c r="N2939" s="1508">
        <f t="shared" si="414"/>
        <v>0</v>
      </c>
      <c r="O2939" s="1481"/>
      <c r="P2939" s="1427"/>
    </row>
    <row r="2940" spans="1:16" ht="46.5" outlineLevel="1" x14ac:dyDescent="0.25">
      <c r="A2940" s="1484">
        <f t="shared" si="422"/>
        <v>46.1</v>
      </c>
      <c r="B2940" s="1485" t="str">
        <f t="shared" si="422"/>
        <v>Procurement of 03 Nos. of complete assembly of 3.3 KV, 300 KW Boiler Circulation Water Pump - Motors along with Impeller for Unit#5&amp;6, 500MW Stage-III CSTPS Chandrapur</v>
      </c>
      <c r="C2940" s="1488" t="str">
        <f t="shared" si="422"/>
        <v>MERC/CAPEX/2024-2025/MSPGCL/0308</v>
      </c>
      <c r="D2940" s="1495">
        <f t="shared" si="422"/>
        <v>45429</v>
      </c>
      <c r="E2940" s="560">
        <f t="shared" si="422"/>
        <v>0</v>
      </c>
      <c r="F2940" s="1508">
        <f t="shared" si="416"/>
        <v>35.944000000000003</v>
      </c>
      <c r="G2940" s="1508">
        <f t="shared" si="417"/>
        <v>35.944000000000003</v>
      </c>
      <c r="H2940" s="1508">
        <f t="shared" ref="H2940:H3003" si="424">F2940-G2940</f>
        <v>0</v>
      </c>
      <c r="I2940" s="1480">
        <v>0</v>
      </c>
      <c r="J2940" s="1480">
        <v>0</v>
      </c>
      <c r="K2940" s="1508"/>
      <c r="L2940" s="1508"/>
      <c r="M2940" s="1509">
        <f t="shared" si="423"/>
        <v>0</v>
      </c>
      <c r="N2940" s="1508">
        <f t="shared" ref="N2940:N3003" si="425">H2940+I2940-M2940</f>
        <v>0</v>
      </c>
      <c r="O2940" s="1481"/>
      <c r="P2940" s="1427"/>
    </row>
    <row r="2941" spans="1:16" ht="31" outlineLevel="1" x14ac:dyDescent="0.25">
      <c r="A2941" s="1484">
        <f t="shared" si="422"/>
        <v>0</v>
      </c>
      <c r="B2941" s="1485" t="str">
        <f t="shared" si="422"/>
        <v>IDC</v>
      </c>
      <c r="C2941" s="1488" t="str">
        <f t="shared" si="422"/>
        <v>MERC/CAPEX/2024-2025/MSPGCL/0308</v>
      </c>
      <c r="D2941" s="1495">
        <f t="shared" si="422"/>
        <v>45429</v>
      </c>
      <c r="E2941" s="560">
        <f t="shared" si="422"/>
        <v>0</v>
      </c>
      <c r="F2941" s="1508">
        <f t="shared" si="416"/>
        <v>0</v>
      </c>
      <c r="G2941" s="1508">
        <f t="shared" si="417"/>
        <v>0</v>
      </c>
      <c r="H2941" s="1508">
        <f t="shared" si="424"/>
        <v>0</v>
      </c>
      <c r="I2941" s="1480">
        <v>0</v>
      </c>
      <c r="J2941" s="1480">
        <v>0</v>
      </c>
      <c r="K2941" s="1508"/>
      <c r="L2941" s="1508"/>
      <c r="M2941" s="1509">
        <f t="shared" si="423"/>
        <v>0</v>
      </c>
      <c r="N2941" s="1508">
        <f t="shared" si="425"/>
        <v>0</v>
      </c>
      <c r="O2941" s="1481"/>
      <c r="P2941" s="1427"/>
    </row>
    <row r="2942" spans="1:16" ht="31" outlineLevel="1" x14ac:dyDescent="0.25">
      <c r="A2942" s="1489">
        <f t="shared" si="422"/>
        <v>47</v>
      </c>
      <c r="B2942" s="1490" t="str">
        <f t="shared" si="422"/>
        <v>Performance Improvement &amp; Life Extension Schemes for CHP of Unit 3 to 7 of CSTPS, Chandrapur</v>
      </c>
      <c r="C2942" s="1486" t="str">
        <f t="shared" si="422"/>
        <v>MERC/CAPEX/MSPGCL/2023-24/0560</v>
      </c>
      <c r="D2942" s="1413">
        <f t="shared" si="422"/>
        <v>45230</v>
      </c>
      <c r="E2942" s="560">
        <f t="shared" si="422"/>
        <v>43.01</v>
      </c>
      <c r="F2942" s="1508">
        <f t="shared" si="416"/>
        <v>0</v>
      </c>
      <c r="G2942" s="1508">
        <f t="shared" si="417"/>
        <v>0</v>
      </c>
      <c r="H2942" s="1508">
        <f t="shared" si="424"/>
        <v>0</v>
      </c>
      <c r="I2942" s="1480">
        <v>0</v>
      </c>
      <c r="J2942" s="1480">
        <v>0</v>
      </c>
      <c r="K2942" s="1508"/>
      <c r="L2942" s="1508"/>
      <c r="M2942" s="1509">
        <f t="shared" si="423"/>
        <v>0</v>
      </c>
      <c r="N2942" s="1508">
        <f t="shared" si="425"/>
        <v>0</v>
      </c>
      <c r="O2942" s="1481"/>
      <c r="P2942" s="1427"/>
    </row>
    <row r="2943" spans="1:16" ht="31" outlineLevel="1" x14ac:dyDescent="0.25">
      <c r="A2943" s="1484">
        <f t="shared" si="422"/>
        <v>47.1</v>
      </c>
      <c r="B2943" s="1485" t="str">
        <f t="shared" si="422"/>
        <v>Work of Renovation/Upgradation/Modification of Crusher House of CHPA of Unit 3&amp;4 of CSTPS Chandrapur.</v>
      </c>
      <c r="C2943" s="1488" t="str">
        <f t="shared" si="422"/>
        <v>MERC/CAPEX/MSPGCL/2023-24/0560</v>
      </c>
      <c r="D2943" s="1413">
        <f t="shared" si="422"/>
        <v>45230</v>
      </c>
      <c r="E2943" s="560">
        <f t="shared" si="422"/>
        <v>5.66</v>
      </c>
      <c r="F2943" s="1508">
        <f t="shared" si="416"/>
        <v>5.66</v>
      </c>
      <c r="G2943" s="1508">
        <f t="shared" si="417"/>
        <v>5.66</v>
      </c>
      <c r="H2943" s="1508">
        <f t="shared" si="424"/>
        <v>0</v>
      </c>
      <c r="I2943" s="1480">
        <v>0</v>
      </c>
      <c r="J2943" s="1480">
        <v>0</v>
      </c>
      <c r="K2943" s="1508"/>
      <c r="L2943" s="1508"/>
      <c r="M2943" s="1509">
        <f t="shared" si="423"/>
        <v>0</v>
      </c>
      <c r="N2943" s="1508">
        <f t="shared" si="425"/>
        <v>0</v>
      </c>
      <c r="O2943" s="1481"/>
      <c r="P2943" s="1427"/>
    </row>
    <row r="2944" spans="1:16" ht="31" outlineLevel="1" x14ac:dyDescent="0.25">
      <c r="A2944" s="1484">
        <f t="shared" si="422"/>
        <v>47.2</v>
      </c>
      <c r="B2944" s="1485" t="str">
        <f t="shared" si="422"/>
        <v>Work of Renovation/Upgradation/Modification of Belt Conveyor 10A/B/C of CHPA of Unit 3&amp;4 of CSTPS Chandrapur.</v>
      </c>
      <c r="C2944" s="1488" t="str">
        <f t="shared" si="422"/>
        <v>MERC/CAPEX/MSPGCL/2023-24/0560</v>
      </c>
      <c r="D2944" s="1413">
        <f t="shared" si="422"/>
        <v>45230</v>
      </c>
      <c r="E2944" s="560">
        <f t="shared" si="422"/>
        <v>8.17</v>
      </c>
      <c r="F2944" s="1508">
        <f t="shared" si="416"/>
        <v>8.17</v>
      </c>
      <c r="G2944" s="1508">
        <f t="shared" si="417"/>
        <v>8.17</v>
      </c>
      <c r="H2944" s="1508">
        <f t="shared" si="424"/>
        <v>0</v>
      </c>
      <c r="I2944" s="1480">
        <v>0</v>
      </c>
      <c r="J2944" s="1480">
        <v>0</v>
      </c>
      <c r="K2944" s="1508"/>
      <c r="L2944" s="1508"/>
      <c r="M2944" s="1509">
        <f t="shared" si="423"/>
        <v>0</v>
      </c>
      <c r="N2944" s="1508">
        <f t="shared" si="425"/>
        <v>0</v>
      </c>
      <c r="O2944" s="1481"/>
      <c r="P2944" s="1427"/>
    </row>
    <row r="2945" spans="1:16" ht="31" outlineLevel="1" x14ac:dyDescent="0.25">
      <c r="A2945" s="1484">
        <f t="shared" si="422"/>
        <v>47.3</v>
      </c>
      <c r="B2945" s="1485" t="str">
        <f t="shared" si="422"/>
        <v xml:space="preserve">Work of Modification/Modernization of conveyor cable of 10 A/B/C of CHPA of Unit 3&amp;4 of CSTPS Chandrapur. </v>
      </c>
      <c r="C2945" s="1488" t="str">
        <f t="shared" si="422"/>
        <v>MERC/CAPEX/MSPGCL/2023-24/0560</v>
      </c>
      <c r="D2945" s="1413">
        <f t="shared" si="422"/>
        <v>45230</v>
      </c>
      <c r="E2945" s="560">
        <f t="shared" si="422"/>
        <v>4.12</v>
      </c>
      <c r="F2945" s="1508">
        <f t="shared" si="416"/>
        <v>4.12</v>
      </c>
      <c r="G2945" s="1508">
        <f t="shared" si="417"/>
        <v>4.12</v>
      </c>
      <c r="H2945" s="1508">
        <f t="shared" si="424"/>
        <v>0</v>
      </c>
      <c r="I2945" s="1480">
        <v>0</v>
      </c>
      <c r="J2945" s="1480">
        <v>0</v>
      </c>
      <c r="K2945" s="1508"/>
      <c r="L2945" s="1508"/>
      <c r="M2945" s="1509">
        <f t="shared" si="423"/>
        <v>0</v>
      </c>
      <c r="N2945" s="1508">
        <f t="shared" si="425"/>
        <v>0</v>
      </c>
      <c r="O2945" s="1481"/>
      <c r="P2945" s="1427"/>
    </row>
    <row r="2946" spans="1:16" ht="46.5" outlineLevel="1" x14ac:dyDescent="0.25">
      <c r="A2946" s="1484">
        <f t="shared" ref="A2946:E2961" si="426">A2276</f>
        <v>47.4</v>
      </c>
      <c r="B2946" s="1485" t="str">
        <f t="shared" si="426"/>
        <v xml:space="preserve">Design, Engineering, Supply, Erection and commissioning of bypass chute with hydraulic cylinder &amp; modification/renovation at JT-06 of CHPA of Unit 3&amp;4 of CSTPS Chandrapur. </v>
      </c>
      <c r="C2946" s="1488" t="str">
        <f t="shared" si="426"/>
        <v>MERC/CAPEX/MSPGCL/2023-24/0560</v>
      </c>
      <c r="D2946" s="1413">
        <f t="shared" si="426"/>
        <v>45230</v>
      </c>
      <c r="E2946" s="560">
        <f t="shared" si="426"/>
        <v>3.72</v>
      </c>
      <c r="F2946" s="1508">
        <f t="shared" ref="F2946:F3009" si="427">F2276+I2276</f>
        <v>3.72</v>
      </c>
      <c r="G2946" s="1508">
        <f t="shared" ref="G2946:G3009" si="428">G2276+M2276</f>
        <v>3.72</v>
      </c>
      <c r="H2946" s="1508">
        <f t="shared" si="424"/>
        <v>0</v>
      </c>
      <c r="I2946" s="1480">
        <v>0</v>
      </c>
      <c r="J2946" s="1480">
        <v>0</v>
      </c>
      <c r="K2946" s="1508"/>
      <c r="L2946" s="1508"/>
      <c r="M2946" s="1509">
        <f t="shared" si="423"/>
        <v>0</v>
      </c>
      <c r="N2946" s="1508">
        <f t="shared" si="425"/>
        <v>0</v>
      </c>
      <c r="O2946" s="1481"/>
      <c r="P2946" s="1427"/>
    </row>
    <row r="2947" spans="1:16" ht="46.5" outlineLevel="1" x14ac:dyDescent="0.25">
      <c r="A2947" s="1484">
        <f t="shared" si="426"/>
        <v>47.5</v>
      </c>
      <c r="B2947" s="1485" t="str">
        <f t="shared" si="426"/>
        <v xml:space="preserve">Design, Engineering, Supply, Erection and Installation of Wear Resistance Chutes for Belt Conveyor System at CHPA/B of Unit 3to9 of CSTPS Chandrapur. </v>
      </c>
      <c r="C2947" s="1488" t="str">
        <f t="shared" si="426"/>
        <v>MERC/CAPEX/MSPGCL/2023-24/0560</v>
      </c>
      <c r="D2947" s="1413">
        <f t="shared" si="426"/>
        <v>45230</v>
      </c>
      <c r="E2947" s="560">
        <f t="shared" si="426"/>
        <v>3.45</v>
      </c>
      <c r="F2947" s="1508">
        <f t="shared" si="427"/>
        <v>3.45</v>
      </c>
      <c r="G2947" s="1508">
        <f t="shared" si="428"/>
        <v>3.45</v>
      </c>
      <c r="H2947" s="1508">
        <f t="shared" si="424"/>
        <v>0</v>
      </c>
      <c r="I2947" s="1480">
        <v>0</v>
      </c>
      <c r="J2947" s="1480">
        <v>0</v>
      </c>
      <c r="K2947" s="1508"/>
      <c r="L2947" s="1508"/>
      <c r="M2947" s="1509">
        <f t="shared" si="423"/>
        <v>0</v>
      </c>
      <c r="N2947" s="1508">
        <f t="shared" si="425"/>
        <v>0</v>
      </c>
      <c r="O2947" s="1481"/>
      <c r="P2947" s="1427"/>
    </row>
    <row r="2948" spans="1:16" ht="46.5" outlineLevel="1" x14ac:dyDescent="0.25">
      <c r="A2948" s="1484">
        <f t="shared" si="426"/>
        <v>47.6</v>
      </c>
      <c r="B2948" s="1485" t="str">
        <f t="shared" si="426"/>
        <v xml:space="preserve">Work of Modification/Renovation/Upgradation of Ventilation System of Track Hopper of CHPB of Unit 5,6&amp;7 of CSTPS Chandrapur. </v>
      </c>
      <c r="C2948" s="1488" t="str">
        <f t="shared" si="426"/>
        <v>MERC/CAPEX/MSPGCL/2023-24/0560</v>
      </c>
      <c r="D2948" s="1413">
        <f t="shared" si="426"/>
        <v>45230</v>
      </c>
      <c r="E2948" s="560">
        <f t="shared" si="426"/>
        <v>4.5999999999999996</v>
      </c>
      <c r="F2948" s="1508">
        <f t="shared" si="427"/>
        <v>4.5999999999999996</v>
      </c>
      <c r="G2948" s="1508">
        <f t="shared" si="428"/>
        <v>4.5999999999999996</v>
      </c>
      <c r="H2948" s="1508">
        <f t="shared" si="424"/>
        <v>0</v>
      </c>
      <c r="I2948" s="1480">
        <v>0</v>
      </c>
      <c r="J2948" s="1480">
        <v>0</v>
      </c>
      <c r="K2948" s="1508"/>
      <c r="L2948" s="1508"/>
      <c r="M2948" s="1509">
        <f t="shared" si="423"/>
        <v>0</v>
      </c>
      <c r="N2948" s="1508">
        <f t="shared" si="425"/>
        <v>0</v>
      </c>
      <c r="O2948" s="1481"/>
      <c r="P2948" s="1427"/>
    </row>
    <row r="2949" spans="1:16" ht="31" outlineLevel="1" x14ac:dyDescent="0.25">
      <c r="A2949" s="1484">
        <f t="shared" si="426"/>
        <v>47.7</v>
      </c>
      <c r="B2949" s="1485" t="str">
        <f t="shared" si="426"/>
        <v xml:space="preserve">Work of Renovation /Upgradation of Hydraulic System of Paddle Feeder at CHPB of Unit 5,6&amp;7 of CSTPS Chandrapur.  </v>
      </c>
      <c r="C2949" s="1488" t="str">
        <f t="shared" si="426"/>
        <v>MERC/CAPEX/MSPGCL/2023-24/0560</v>
      </c>
      <c r="D2949" s="1413">
        <f t="shared" si="426"/>
        <v>45230</v>
      </c>
      <c r="E2949" s="560">
        <f t="shared" si="426"/>
        <v>8.14</v>
      </c>
      <c r="F2949" s="1508">
        <f t="shared" si="427"/>
        <v>8.14</v>
      </c>
      <c r="G2949" s="1508">
        <f t="shared" si="428"/>
        <v>8.14</v>
      </c>
      <c r="H2949" s="1508">
        <f t="shared" si="424"/>
        <v>0</v>
      </c>
      <c r="I2949" s="1480">
        <v>0</v>
      </c>
      <c r="J2949" s="1480">
        <v>0</v>
      </c>
      <c r="K2949" s="1508"/>
      <c r="L2949" s="1508"/>
      <c r="M2949" s="1509">
        <f t="shared" si="423"/>
        <v>0</v>
      </c>
      <c r="N2949" s="1508">
        <f t="shared" si="425"/>
        <v>0</v>
      </c>
      <c r="O2949" s="1481"/>
      <c r="P2949" s="1427"/>
    </row>
    <row r="2950" spans="1:16" ht="46.5" outlineLevel="1" x14ac:dyDescent="0.25">
      <c r="A2950" s="1484">
        <f t="shared" si="426"/>
        <v>47.8</v>
      </c>
      <c r="B2950" s="1485" t="str">
        <f t="shared" si="426"/>
        <v xml:space="preserve">Design, Engineering, Manufacturing, Fabrication, Erection and commissioning of Modified Wobbler Feeder at CHPB of Unit 5,6&amp;7 of CSTPS Chandrapur. </v>
      </c>
      <c r="C2950" s="1488" t="str">
        <f t="shared" si="426"/>
        <v>MERC/CAPEX/MSPGCL/2023-24/0560</v>
      </c>
      <c r="D2950" s="1413">
        <f t="shared" si="426"/>
        <v>45230</v>
      </c>
      <c r="E2950" s="560">
        <f t="shared" si="426"/>
        <v>4.18</v>
      </c>
      <c r="F2950" s="1508">
        <f t="shared" si="427"/>
        <v>4.18</v>
      </c>
      <c r="G2950" s="1508">
        <f t="shared" si="428"/>
        <v>4.18</v>
      </c>
      <c r="H2950" s="1508">
        <f t="shared" si="424"/>
        <v>0</v>
      </c>
      <c r="I2950" s="1480">
        <v>0</v>
      </c>
      <c r="J2950" s="1480">
        <v>0</v>
      </c>
      <c r="K2950" s="1508"/>
      <c r="L2950" s="1508"/>
      <c r="M2950" s="1509">
        <f t="shared" si="423"/>
        <v>0</v>
      </c>
      <c r="N2950" s="1508">
        <f t="shared" si="425"/>
        <v>0</v>
      </c>
      <c r="O2950" s="1481"/>
      <c r="P2950" s="1427"/>
    </row>
    <row r="2951" spans="1:16" ht="31" outlineLevel="1" x14ac:dyDescent="0.25">
      <c r="A2951" s="1484">
        <f t="shared" si="426"/>
        <v>0</v>
      </c>
      <c r="B2951" s="1485" t="str">
        <f t="shared" si="426"/>
        <v>IDC</v>
      </c>
      <c r="C2951" s="1488" t="str">
        <f t="shared" si="426"/>
        <v>MERC/CAPEX/MSPGCL/2023-24/0560</v>
      </c>
      <c r="D2951" s="1413">
        <f t="shared" si="426"/>
        <v>45230</v>
      </c>
      <c r="E2951" s="560">
        <f t="shared" si="426"/>
        <v>0.97</v>
      </c>
      <c r="F2951" s="1508">
        <f t="shared" si="427"/>
        <v>0</v>
      </c>
      <c r="G2951" s="1508">
        <f t="shared" si="428"/>
        <v>0</v>
      </c>
      <c r="H2951" s="1508">
        <f t="shared" si="424"/>
        <v>0</v>
      </c>
      <c r="I2951" s="1480">
        <v>0</v>
      </c>
      <c r="J2951" s="1480">
        <v>0</v>
      </c>
      <c r="K2951" s="1508"/>
      <c r="L2951" s="1508"/>
      <c r="M2951" s="1509">
        <f t="shared" si="423"/>
        <v>0</v>
      </c>
      <c r="N2951" s="1508">
        <f t="shared" si="425"/>
        <v>0</v>
      </c>
      <c r="O2951" s="1481"/>
      <c r="P2951" s="1427"/>
    </row>
    <row r="2952" spans="1:16" ht="31" outlineLevel="1" x14ac:dyDescent="0.25">
      <c r="A2952" s="1489" t="str">
        <f t="shared" si="426"/>
        <v>HO
DPR 17</v>
      </c>
      <c r="B2952" s="1490" t="str">
        <f t="shared" si="426"/>
        <v>Construction of new Administrative Building for Mahagenco at Vidyut Bhawan, Katol Road, Nagpur</v>
      </c>
      <c r="C2952" s="1486" t="str">
        <f t="shared" si="426"/>
        <v>MERC/CAPEX/2021-2022/MSPGCL/063</v>
      </c>
      <c r="D2952" s="1487">
        <f t="shared" si="426"/>
        <v>44604</v>
      </c>
      <c r="E2952" s="560">
        <f t="shared" si="426"/>
        <v>57</v>
      </c>
      <c r="F2952" s="1508">
        <f t="shared" si="427"/>
        <v>0</v>
      </c>
      <c r="G2952" s="1508">
        <f t="shared" si="428"/>
        <v>0</v>
      </c>
      <c r="H2952" s="1508">
        <f t="shared" si="424"/>
        <v>0</v>
      </c>
      <c r="I2952" s="1480">
        <v>0</v>
      </c>
      <c r="J2952" s="1480">
        <v>0</v>
      </c>
      <c r="K2952" s="1508"/>
      <c r="L2952" s="1508"/>
      <c r="M2952" s="1509">
        <f t="shared" si="423"/>
        <v>0</v>
      </c>
      <c r="N2952" s="1508">
        <f t="shared" si="425"/>
        <v>0</v>
      </c>
      <c r="O2952" s="1481"/>
      <c r="P2952" s="1427"/>
    </row>
    <row r="2953" spans="1:16" ht="46.5" outlineLevel="1" x14ac:dyDescent="0.25">
      <c r="A2953" s="1484" t="str">
        <f t="shared" si="426"/>
        <v>HO
DPR 17.1</v>
      </c>
      <c r="B2953" s="1485" t="str">
        <f t="shared" si="426"/>
        <v>Construction of new Administrative Building for Mahagenco at Vidyut Bhawan, Katol Road, Nagpur</v>
      </c>
      <c r="C2953" s="1493" t="str">
        <f t="shared" si="426"/>
        <v>MERC/CAPEX/2021-2022/MSPGCL/063</v>
      </c>
      <c r="D2953" s="1494">
        <f t="shared" si="426"/>
        <v>44604</v>
      </c>
      <c r="E2953" s="560">
        <f t="shared" si="426"/>
        <v>54.24</v>
      </c>
      <c r="F2953" s="1508">
        <f t="shared" si="427"/>
        <v>27.12</v>
      </c>
      <c r="G2953" s="1508">
        <f t="shared" si="428"/>
        <v>0</v>
      </c>
      <c r="H2953" s="1508">
        <f t="shared" si="424"/>
        <v>27.12</v>
      </c>
      <c r="I2953" s="1480">
        <v>0</v>
      </c>
      <c r="J2953" s="1480">
        <v>27.12</v>
      </c>
      <c r="K2953" s="1508"/>
      <c r="L2953" s="1508"/>
      <c r="M2953" s="1509">
        <f t="shared" si="423"/>
        <v>27.12</v>
      </c>
      <c r="N2953" s="1508">
        <f t="shared" si="425"/>
        <v>0</v>
      </c>
      <c r="O2953" s="1481"/>
      <c r="P2953" s="1427"/>
    </row>
    <row r="2954" spans="1:16" ht="31" outlineLevel="1" x14ac:dyDescent="0.25">
      <c r="A2954" s="1496">
        <f t="shared" si="426"/>
        <v>0</v>
      </c>
      <c r="B2954" s="1485" t="str">
        <f t="shared" si="426"/>
        <v>IDC</v>
      </c>
      <c r="C2954" s="1493" t="str">
        <f t="shared" si="426"/>
        <v>MERC/CAPEX/2021-2022/MSPGCL/063</v>
      </c>
      <c r="D2954" s="1494">
        <f t="shared" si="426"/>
        <v>44604</v>
      </c>
      <c r="E2954" s="560">
        <f t="shared" si="426"/>
        <v>2.76</v>
      </c>
      <c r="F2954" s="1508">
        <f t="shared" si="427"/>
        <v>0</v>
      </c>
      <c r="G2954" s="1508">
        <f t="shared" si="428"/>
        <v>0</v>
      </c>
      <c r="H2954" s="1508">
        <f t="shared" si="424"/>
        <v>0</v>
      </c>
      <c r="I2954" s="1480">
        <v>0</v>
      </c>
      <c r="J2954" s="1480">
        <v>0</v>
      </c>
      <c r="K2954" s="1508"/>
      <c r="L2954" s="1508"/>
      <c r="M2954" s="1509">
        <f t="shared" si="423"/>
        <v>0</v>
      </c>
      <c r="N2954" s="1508">
        <f t="shared" si="425"/>
        <v>0</v>
      </c>
      <c r="O2954" s="1481"/>
      <c r="P2954" s="1427"/>
    </row>
    <row r="2955" spans="1:16" ht="31" outlineLevel="1" x14ac:dyDescent="0.25">
      <c r="A2955" s="1489" t="str">
        <f t="shared" si="426"/>
        <v>HO
DPR 18</v>
      </c>
      <c r="B2955" s="1490" t="str">
        <f t="shared" si="426"/>
        <v>Centralized Monitoring Solution</v>
      </c>
      <c r="C2955" s="1486" t="str">
        <f t="shared" si="426"/>
        <v>MERC/CAPEX/MSPGCL/2023-24/0576</v>
      </c>
      <c r="D2955" s="1487">
        <f t="shared" si="426"/>
        <v>45232</v>
      </c>
      <c r="E2955" s="560">
        <f t="shared" si="426"/>
        <v>69.308999999999997</v>
      </c>
      <c r="F2955" s="1508">
        <f t="shared" si="427"/>
        <v>0</v>
      </c>
      <c r="G2955" s="1508">
        <f t="shared" si="428"/>
        <v>0</v>
      </c>
      <c r="H2955" s="1508">
        <f t="shared" si="424"/>
        <v>0</v>
      </c>
      <c r="I2955" s="1480">
        <v>0</v>
      </c>
      <c r="J2955" s="1480">
        <v>0</v>
      </c>
      <c r="K2955" s="1508"/>
      <c r="L2955" s="1508"/>
      <c r="M2955" s="1509">
        <f t="shared" si="423"/>
        <v>0</v>
      </c>
      <c r="N2955" s="1508">
        <f t="shared" si="425"/>
        <v>0</v>
      </c>
      <c r="O2955" s="1481"/>
      <c r="P2955" s="1427"/>
    </row>
    <row r="2956" spans="1:16" ht="46.5" outlineLevel="1" x14ac:dyDescent="0.25">
      <c r="A2956" s="1484" t="str">
        <f t="shared" si="426"/>
        <v>HO
DPR 18.1</v>
      </c>
      <c r="B2956" s="1485" t="str">
        <f t="shared" si="426"/>
        <v>Centralized Monitoring Solution</v>
      </c>
      <c r="C2956" s="1493" t="str">
        <f t="shared" si="426"/>
        <v>MERC/CAPEX/MSPGCL/2023-24/0576</v>
      </c>
      <c r="D2956" s="1494">
        <f t="shared" si="426"/>
        <v>45232</v>
      </c>
      <c r="E2956" s="560">
        <f t="shared" si="426"/>
        <v>66.009</v>
      </c>
      <c r="F2956" s="1508">
        <f t="shared" si="427"/>
        <v>22.003</v>
      </c>
      <c r="G2956" s="1508">
        <f t="shared" si="428"/>
        <v>0</v>
      </c>
      <c r="H2956" s="1508">
        <f t="shared" si="424"/>
        <v>22.003</v>
      </c>
      <c r="I2956" s="1480">
        <v>44.006</v>
      </c>
      <c r="J2956" s="1480">
        <v>66.009</v>
      </c>
      <c r="K2956" s="1508"/>
      <c r="L2956" s="1508"/>
      <c r="M2956" s="1509">
        <f t="shared" si="423"/>
        <v>66.009</v>
      </c>
      <c r="N2956" s="1508">
        <f t="shared" si="425"/>
        <v>0</v>
      </c>
      <c r="O2956" s="1481"/>
      <c r="P2956" s="1427"/>
    </row>
    <row r="2957" spans="1:16" ht="31" outlineLevel="1" x14ac:dyDescent="0.25">
      <c r="A2957" s="1496">
        <f t="shared" si="426"/>
        <v>0</v>
      </c>
      <c r="B2957" s="1485" t="str">
        <f t="shared" si="426"/>
        <v>IDC</v>
      </c>
      <c r="C2957" s="1493" t="str">
        <f t="shared" si="426"/>
        <v>MERC/CAPEX/MSPGCL/2023-24/0576</v>
      </c>
      <c r="D2957" s="1494">
        <f t="shared" si="426"/>
        <v>45232</v>
      </c>
      <c r="E2957" s="560">
        <f t="shared" si="426"/>
        <v>3.3</v>
      </c>
      <c r="F2957" s="1508">
        <f t="shared" si="427"/>
        <v>0</v>
      </c>
      <c r="G2957" s="1508">
        <f t="shared" si="428"/>
        <v>0</v>
      </c>
      <c r="H2957" s="1508">
        <f t="shared" si="424"/>
        <v>0</v>
      </c>
      <c r="I2957" s="1480">
        <v>0</v>
      </c>
      <c r="J2957" s="1480">
        <v>0</v>
      </c>
      <c r="K2957" s="1508"/>
      <c r="L2957" s="1508"/>
      <c r="M2957" s="1509">
        <f t="shared" si="423"/>
        <v>0</v>
      </c>
      <c r="N2957" s="1508">
        <f t="shared" si="425"/>
        <v>0</v>
      </c>
      <c r="O2957" s="1481"/>
      <c r="P2957" s="1427"/>
    </row>
    <row r="2958" spans="1:16" ht="62" outlineLevel="1" x14ac:dyDescent="0.25">
      <c r="A2958" s="1486" t="str">
        <f t="shared" si="426"/>
        <v>Y2</v>
      </c>
      <c r="B2958" s="1491" t="str">
        <f t="shared" si="426"/>
        <v>Procurement &amp; replacement of 400 NB Cast Basalt Pipelines with the existing MSERW pipe of ash disposal system of Unit #5,6 &amp; 7 at CSTPS, Chandrapur” under capital expenditure during the FY 2023-24.</v>
      </c>
      <c r="C2958" s="1486" t="str">
        <f t="shared" si="426"/>
        <v>MERC/CAPEX/2024-2025/MSPGCL/0475 Dt 06.08.2024</v>
      </c>
      <c r="D2958" s="1487">
        <f t="shared" si="426"/>
        <v>45510</v>
      </c>
      <c r="E2958" s="560">
        <f t="shared" si="426"/>
        <v>81.350000000000009</v>
      </c>
      <c r="F2958" s="1508">
        <f t="shared" si="427"/>
        <v>0</v>
      </c>
      <c r="G2958" s="1508">
        <f t="shared" si="428"/>
        <v>0</v>
      </c>
      <c r="H2958" s="1508">
        <f t="shared" si="424"/>
        <v>0</v>
      </c>
      <c r="I2958" s="1480">
        <v>0</v>
      </c>
      <c r="J2958" s="1480">
        <v>0</v>
      </c>
      <c r="K2958" s="1508"/>
      <c r="L2958" s="1508"/>
      <c r="M2958" s="1509">
        <f t="shared" si="423"/>
        <v>0</v>
      </c>
      <c r="N2958" s="1508">
        <f t="shared" si="425"/>
        <v>0</v>
      </c>
      <c r="O2958" s="1481"/>
      <c r="P2958" s="1427"/>
    </row>
    <row r="2959" spans="1:16" ht="62" outlineLevel="1" x14ac:dyDescent="0.25">
      <c r="A2959" s="1488">
        <f t="shared" si="426"/>
        <v>2.1</v>
      </c>
      <c r="B2959" s="1492" t="str">
        <f t="shared" si="426"/>
        <v>Procurement &amp; replacement of 400 NB Cast Basalt Pipelines with the existing MSERW pipe of ash disposal system of Unit #5,6 &amp; 7 at CSTPS, Chandrapur” under capital expenditure during the FY 2023-24.</v>
      </c>
      <c r="C2959" s="1488" t="str">
        <f t="shared" si="426"/>
        <v>MERC/CAPEX/2024-2025/MSPGCL/0475 Dt 06.08.2024</v>
      </c>
      <c r="D2959" s="1413">
        <f t="shared" si="426"/>
        <v>45510</v>
      </c>
      <c r="E2959" s="560">
        <f t="shared" si="426"/>
        <v>80.150000000000006</v>
      </c>
      <c r="F2959" s="1508">
        <f t="shared" si="427"/>
        <v>40.075000000000003</v>
      </c>
      <c r="G2959" s="1508">
        <f t="shared" si="428"/>
        <v>40.075000000000003</v>
      </c>
      <c r="H2959" s="1508">
        <f t="shared" si="424"/>
        <v>0</v>
      </c>
      <c r="I2959" s="1480">
        <v>40.075000000000003</v>
      </c>
      <c r="J2959" s="1480">
        <v>40.075000000000003</v>
      </c>
      <c r="K2959" s="1508"/>
      <c r="L2959" s="1508"/>
      <c r="M2959" s="1509">
        <f t="shared" si="423"/>
        <v>40.075000000000003</v>
      </c>
      <c r="N2959" s="1508">
        <f t="shared" si="425"/>
        <v>0</v>
      </c>
      <c r="O2959" s="1481"/>
      <c r="P2959" s="1427"/>
    </row>
    <row r="2960" spans="1:16" ht="31" outlineLevel="1" x14ac:dyDescent="0.25">
      <c r="A2960" s="1488">
        <f t="shared" si="426"/>
        <v>0</v>
      </c>
      <c r="B2960" s="1492" t="str">
        <f t="shared" si="426"/>
        <v>IDC</v>
      </c>
      <c r="C2960" s="1488" t="str">
        <f t="shared" si="426"/>
        <v>MERC/CAPEX/2024-2025/MSPGCL/0475 Dt 06.08.2024</v>
      </c>
      <c r="D2960" s="1413">
        <f t="shared" si="426"/>
        <v>45510</v>
      </c>
      <c r="E2960" s="560">
        <f t="shared" si="426"/>
        <v>1.2</v>
      </c>
      <c r="F2960" s="1508">
        <f t="shared" si="427"/>
        <v>0</v>
      </c>
      <c r="G2960" s="1508">
        <f t="shared" si="428"/>
        <v>0</v>
      </c>
      <c r="H2960" s="1508">
        <f t="shared" si="424"/>
        <v>0</v>
      </c>
      <c r="I2960" s="1480">
        <v>0</v>
      </c>
      <c r="J2960" s="1480">
        <v>0</v>
      </c>
      <c r="K2960" s="1508"/>
      <c r="L2960" s="1508"/>
      <c r="M2960" s="1509">
        <f t="shared" si="423"/>
        <v>0</v>
      </c>
      <c r="N2960" s="1508">
        <f t="shared" si="425"/>
        <v>0</v>
      </c>
      <c r="O2960" s="1481"/>
      <c r="P2960" s="1427"/>
    </row>
    <row r="2961" spans="1:16" ht="77.5" outlineLevel="1" x14ac:dyDescent="0.25">
      <c r="A2961" s="1486" t="str">
        <f t="shared" si="426"/>
        <v>Y3</v>
      </c>
      <c r="B2961" s="1491" t="str">
        <f t="shared" si="426"/>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2961" s="1486" t="str">
        <f t="shared" si="426"/>
        <v>MERC/CAPEX/2024-25/MSPGCL/0473 Dt 06.08.2024</v>
      </c>
      <c r="D2961" s="1487">
        <f t="shared" si="426"/>
        <v>45510</v>
      </c>
      <c r="E2961" s="560">
        <f t="shared" si="426"/>
        <v>25.78</v>
      </c>
      <c r="F2961" s="1508">
        <f t="shared" si="427"/>
        <v>0</v>
      </c>
      <c r="G2961" s="1508">
        <f t="shared" si="428"/>
        <v>0</v>
      </c>
      <c r="H2961" s="1508">
        <f t="shared" si="424"/>
        <v>0</v>
      </c>
      <c r="I2961" s="1480">
        <v>0</v>
      </c>
      <c r="J2961" s="1480">
        <v>0</v>
      </c>
      <c r="K2961" s="1508"/>
      <c r="L2961" s="1508"/>
      <c r="M2961" s="1509">
        <f t="shared" si="423"/>
        <v>0</v>
      </c>
      <c r="N2961" s="1508">
        <f t="shared" si="425"/>
        <v>0</v>
      </c>
      <c r="O2961" s="1481"/>
      <c r="P2961" s="1427"/>
    </row>
    <row r="2962" spans="1:16" ht="31" outlineLevel="1" x14ac:dyDescent="0.25">
      <c r="A2962" s="1488">
        <f t="shared" ref="A2962:E2977" si="429">A2292</f>
        <v>3.1</v>
      </c>
      <c r="B2962" s="1497" t="str">
        <f t="shared" si="429"/>
        <v>Scheme-1: Upgradation of 11KV Sub-stations of Urjanagar colony, CSTPS, Chandrapur.</v>
      </c>
      <c r="C2962" s="1488" t="str">
        <f t="shared" si="429"/>
        <v>MERC/CAPEX/2024-25/MSPGCL/0473 Dt 06.08.2024</v>
      </c>
      <c r="D2962" s="1413">
        <f t="shared" si="429"/>
        <v>45510</v>
      </c>
      <c r="E2962" s="1383">
        <f t="shared" si="429"/>
        <v>7.19</v>
      </c>
      <c r="F2962" s="1480">
        <f t="shared" si="427"/>
        <v>0</v>
      </c>
      <c r="G2962" s="1480">
        <f t="shared" si="428"/>
        <v>0</v>
      </c>
      <c r="H2962" s="1480">
        <f t="shared" si="424"/>
        <v>0</v>
      </c>
      <c r="I2962" s="1480">
        <v>7.19</v>
      </c>
      <c r="J2962" s="1480">
        <v>7.19</v>
      </c>
      <c r="K2962" s="1480"/>
      <c r="L2962" s="1480"/>
      <c r="M2962" s="1480">
        <f t="shared" ref="M2962:M3020" si="430">SUM(J2962:L2962)</f>
        <v>7.19</v>
      </c>
      <c r="N2962" s="1480">
        <f t="shared" si="425"/>
        <v>0</v>
      </c>
      <c r="O2962" s="1481">
        <f t="shared" ref="O2962:O2984" si="431">MAX(0,IF(M2962=0,0,IF(G2962+M2962&lt;E2962,M2962,E2962-G2962)))</f>
        <v>7.19</v>
      </c>
      <c r="P2962" s="1427">
        <f t="shared" ref="P2962:P2984" si="432">M2962-O2962</f>
        <v>0</v>
      </c>
    </row>
    <row r="2963" spans="1:16" ht="31" outlineLevel="1" x14ac:dyDescent="0.25">
      <c r="A2963" s="1488">
        <f t="shared" si="429"/>
        <v>3.1</v>
      </c>
      <c r="B2963" s="1497" t="str">
        <f t="shared" si="429"/>
        <v>Scheme-3: Replacement of old energy meters by electronics energy meters at Urjanagar colony, CSTPS, Chandrapur.</v>
      </c>
      <c r="C2963" s="1488" t="str">
        <f t="shared" si="429"/>
        <v>MERC/CAPEX/2024-25/MSPGCL/0473 Dt 06.08.2024</v>
      </c>
      <c r="D2963" s="1413">
        <f t="shared" si="429"/>
        <v>45510</v>
      </c>
      <c r="E2963" s="560">
        <f t="shared" si="429"/>
        <v>0.8</v>
      </c>
      <c r="F2963" s="1508">
        <f t="shared" si="427"/>
        <v>0</v>
      </c>
      <c r="G2963" s="1508">
        <f t="shared" si="428"/>
        <v>0</v>
      </c>
      <c r="H2963" s="1508">
        <f t="shared" si="424"/>
        <v>0</v>
      </c>
      <c r="I2963" s="1480">
        <v>0.8</v>
      </c>
      <c r="J2963" s="1480">
        <v>0.8</v>
      </c>
      <c r="K2963" s="1508"/>
      <c r="L2963" s="1508"/>
      <c r="M2963" s="1509">
        <f t="shared" si="430"/>
        <v>0.8</v>
      </c>
      <c r="N2963" s="1508">
        <f t="shared" si="425"/>
        <v>0</v>
      </c>
      <c r="O2963" s="1481">
        <f t="shared" si="431"/>
        <v>0.8</v>
      </c>
      <c r="P2963" s="1427">
        <f t="shared" si="432"/>
        <v>0</v>
      </c>
    </row>
    <row r="2964" spans="1:16" ht="31" outlineLevel="1" x14ac:dyDescent="0.25">
      <c r="A2964" s="1488">
        <f t="shared" si="429"/>
        <v>3.1</v>
      </c>
      <c r="B2964" s="1497" t="str">
        <f t="shared" si="429"/>
        <v>Scheme-5 : Provision of 11KV  supply to Urjanagar colony from station board of Stage-III, CSTPS Chandrapur.</v>
      </c>
      <c r="C2964" s="1488" t="str">
        <f t="shared" si="429"/>
        <v>MERC/CAPEX/2024-25/MSPGCL/0473 Dt 06.08.2024</v>
      </c>
      <c r="D2964" s="1413">
        <f t="shared" si="429"/>
        <v>45510</v>
      </c>
      <c r="E2964" s="560">
        <f t="shared" si="429"/>
        <v>2.97</v>
      </c>
      <c r="F2964" s="1508">
        <f t="shared" si="427"/>
        <v>2.9193972000000001</v>
      </c>
      <c r="G2964" s="1508">
        <f t="shared" si="428"/>
        <v>2.9193972000000001</v>
      </c>
      <c r="H2964" s="1508">
        <f t="shared" si="424"/>
        <v>0</v>
      </c>
      <c r="I2964" s="1480">
        <v>0</v>
      </c>
      <c r="J2964" s="1480">
        <v>0</v>
      </c>
      <c r="K2964" s="1508"/>
      <c r="L2964" s="1508"/>
      <c r="M2964" s="1509">
        <f t="shared" si="430"/>
        <v>0</v>
      </c>
      <c r="N2964" s="1508">
        <f t="shared" si="425"/>
        <v>0</v>
      </c>
      <c r="O2964" s="1481">
        <f t="shared" si="431"/>
        <v>0</v>
      </c>
      <c r="P2964" s="1427">
        <f t="shared" si="432"/>
        <v>0</v>
      </c>
    </row>
    <row r="2965" spans="1:16" ht="77.5" outlineLevel="1" x14ac:dyDescent="0.25">
      <c r="A2965" s="1488">
        <f t="shared" si="429"/>
        <v>3.1</v>
      </c>
      <c r="B2965" s="1497" t="str">
        <f t="shared" si="429"/>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2965" s="1488" t="str">
        <f t="shared" si="429"/>
        <v>MERC/CAPEX/2024-25/MSPGCL/0473 Dt 06.08.2024</v>
      </c>
      <c r="D2965" s="1413">
        <f t="shared" si="429"/>
        <v>45510</v>
      </c>
      <c r="E2965" s="560">
        <f t="shared" si="429"/>
        <v>10.48</v>
      </c>
      <c r="F2965" s="1508">
        <f t="shared" si="427"/>
        <v>0</v>
      </c>
      <c r="G2965" s="1508">
        <f t="shared" si="428"/>
        <v>0</v>
      </c>
      <c r="H2965" s="1508">
        <f t="shared" si="424"/>
        <v>0</v>
      </c>
      <c r="I2965" s="1480">
        <v>10.48</v>
      </c>
      <c r="J2965" s="1480">
        <v>10.48</v>
      </c>
      <c r="K2965" s="1508"/>
      <c r="L2965" s="1508"/>
      <c r="M2965" s="1509">
        <f t="shared" si="430"/>
        <v>10.48</v>
      </c>
      <c r="N2965" s="1508">
        <f t="shared" si="425"/>
        <v>0</v>
      </c>
      <c r="O2965" s="1481">
        <f t="shared" si="431"/>
        <v>10.48</v>
      </c>
      <c r="P2965" s="1427">
        <f t="shared" si="432"/>
        <v>0</v>
      </c>
    </row>
    <row r="2966" spans="1:16" ht="62" outlineLevel="1" x14ac:dyDescent="0.25">
      <c r="A2966" s="1488">
        <f t="shared" si="429"/>
        <v>3.1</v>
      </c>
      <c r="B2966" s="1497" t="str">
        <f t="shared" si="429"/>
        <v>Scheme-7: Design, supply, erection, installation, testing and commissioning of the boiler goods lifts in place of the existing old lifts installed at Unit#6&amp;7 500MW Stage-III CSTPS Chandrapur</v>
      </c>
      <c r="C2966" s="1488" t="str">
        <f t="shared" si="429"/>
        <v>MERC/CAPEX/2024-25/MSPGCL/0473 Dt 06.08.2024</v>
      </c>
      <c r="D2966" s="1413">
        <f t="shared" si="429"/>
        <v>45510</v>
      </c>
      <c r="E2966" s="560">
        <f t="shared" si="429"/>
        <v>3.66</v>
      </c>
      <c r="F2966" s="1508">
        <f t="shared" si="427"/>
        <v>0</v>
      </c>
      <c r="G2966" s="1508">
        <f t="shared" si="428"/>
        <v>0</v>
      </c>
      <c r="H2966" s="1508">
        <f t="shared" si="424"/>
        <v>0</v>
      </c>
      <c r="I2966" s="1480">
        <v>3.66</v>
      </c>
      <c r="J2966" s="1480">
        <v>3.66</v>
      </c>
      <c r="K2966" s="1508"/>
      <c r="L2966" s="1508"/>
      <c r="M2966" s="1509">
        <f t="shared" si="430"/>
        <v>3.66</v>
      </c>
      <c r="N2966" s="1508">
        <f t="shared" si="425"/>
        <v>0</v>
      </c>
      <c r="O2966" s="1481">
        <f t="shared" si="431"/>
        <v>3.66</v>
      </c>
      <c r="P2966" s="1427">
        <f t="shared" si="432"/>
        <v>0</v>
      </c>
    </row>
    <row r="2967" spans="1:16" ht="31" outlineLevel="1" x14ac:dyDescent="0.25">
      <c r="A2967" s="1488">
        <f t="shared" si="429"/>
        <v>0</v>
      </c>
      <c r="B2967" s="1497" t="str">
        <f t="shared" si="429"/>
        <v>IDC</v>
      </c>
      <c r="C2967" s="1488" t="str">
        <f t="shared" si="429"/>
        <v>MERC/CAPEX/2024-25/MSPGCL/0473 Dt 06.08.2024</v>
      </c>
      <c r="D2967" s="1413">
        <f t="shared" si="429"/>
        <v>45510</v>
      </c>
      <c r="E2967" s="560">
        <f t="shared" si="429"/>
        <v>0.68</v>
      </c>
      <c r="F2967" s="1508">
        <f t="shared" si="427"/>
        <v>0</v>
      </c>
      <c r="G2967" s="1508">
        <f t="shared" si="428"/>
        <v>0</v>
      </c>
      <c r="H2967" s="1508">
        <f t="shared" si="424"/>
        <v>0</v>
      </c>
      <c r="I2967" s="1480">
        <v>0</v>
      </c>
      <c r="J2967" s="1480">
        <v>0</v>
      </c>
      <c r="K2967" s="1508"/>
      <c r="L2967" s="1508"/>
      <c r="M2967" s="1509">
        <f t="shared" si="430"/>
        <v>0</v>
      </c>
      <c r="N2967" s="1508">
        <f t="shared" si="425"/>
        <v>0</v>
      </c>
      <c r="O2967" s="1481">
        <f t="shared" si="431"/>
        <v>0</v>
      </c>
      <c r="P2967" s="1427">
        <f t="shared" si="432"/>
        <v>0</v>
      </c>
    </row>
    <row r="2968" spans="1:16" ht="31" outlineLevel="1" x14ac:dyDescent="0.25">
      <c r="A2968" s="1486" t="str">
        <f t="shared" si="429"/>
        <v>Y4</v>
      </c>
      <c r="B2968" s="1491" t="str">
        <f t="shared" si="429"/>
        <v>Providing 1600 mm pipeline from Erdai Dam to CSTPS, Chandrapur</v>
      </c>
      <c r="C2968" s="1486" t="str">
        <f t="shared" si="429"/>
        <v>MERC/CAPEX/2024-2025/MSPGCL/0476 Dt 06.08.2024</v>
      </c>
      <c r="D2968" s="1487">
        <f t="shared" si="429"/>
        <v>45510</v>
      </c>
      <c r="E2968" s="1383">
        <f t="shared" si="429"/>
        <v>0</v>
      </c>
      <c r="F2968" s="1480">
        <f t="shared" si="427"/>
        <v>0</v>
      </c>
      <c r="G2968" s="1480">
        <f t="shared" si="428"/>
        <v>0</v>
      </c>
      <c r="H2968" s="1480">
        <f t="shared" si="424"/>
        <v>0</v>
      </c>
      <c r="I2968" s="1480">
        <v>0</v>
      </c>
      <c r="J2968" s="1480">
        <v>0</v>
      </c>
      <c r="K2968" s="1480"/>
      <c r="L2968" s="1480"/>
      <c r="M2968" s="1480">
        <f t="shared" si="430"/>
        <v>0</v>
      </c>
      <c r="N2968" s="1480">
        <f t="shared" si="425"/>
        <v>0</v>
      </c>
      <c r="O2968" s="1481">
        <f t="shared" si="431"/>
        <v>0</v>
      </c>
      <c r="P2968" s="1427">
        <f t="shared" si="432"/>
        <v>0</v>
      </c>
    </row>
    <row r="2969" spans="1:16" ht="31" outlineLevel="1" x14ac:dyDescent="0.25">
      <c r="A2969" s="1488">
        <f t="shared" si="429"/>
        <v>4.0999999999999996</v>
      </c>
      <c r="B2969" s="1492" t="str">
        <f t="shared" si="429"/>
        <v>Providing 1600 mm pipeline from Erdai Dam to CSTPS, Chandrapur</v>
      </c>
      <c r="C2969" s="1488" t="str">
        <f t="shared" si="429"/>
        <v>MERC/CAPEX/2024-2025/MSPGCL/0476 Dt 06.08.2024</v>
      </c>
      <c r="D2969" s="1413">
        <f t="shared" si="429"/>
        <v>45510</v>
      </c>
      <c r="E2969" s="560">
        <f t="shared" si="429"/>
        <v>0</v>
      </c>
      <c r="F2969" s="1508">
        <f t="shared" si="427"/>
        <v>0</v>
      </c>
      <c r="G2969" s="1508">
        <f t="shared" si="428"/>
        <v>0</v>
      </c>
      <c r="H2969" s="1508">
        <f t="shared" si="424"/>
        <v>0</v>
      </c>
      <c r="I2969" s="1480">
        <v>78.325479452054807</v>
      </c>
      <c r="J2969" s="1480">
        <v>78.325479452054807</v>
      </c>
      <c r="K2969" s="1508"/>
      <c r="L2969" s="1508"/>
      <c r="M2969" s="1509">
        <f t="shared" si="430"/>
        <v>78.325479452054807</v>
      </c>
      <c r="N2969" s="1508">
        <f t="shared" si="425"/>
        <v>0</v>
      </c>
      <c r="O2969" s="1481">
        <f t="shared" si="431"/>
        <v>0</v>
      </c>
      <c r="P2969" s="1427">
        <f t="shared" si="432"/>
        <v>78.325479452054807</v>
      </c>
    </row>
    <row r="2970" spans="1:16" ht="31" outlineLevel="1" x14ac:dyDescent="0.25">
      <c r="A2970" s="1488">
        <f t="shared" si="429"/>
        <v>0</v>
      </c>
      <c r="B2970" s="1492" t="str">
        <f t="shared" si="429"/>
        <v>IDC</v>
      </c>
      <c r="C2970" s="1488" t="str">
        <f t="shared" si="429"/>
        <v>MERC/CAPEX/2024-2025/MSPGCL/0476 Dt 06.08.2024</v>
      </c>
      <c r="D2970" s="1413">
        <f t="shared" si="429"/>
        <v>45510</v>
      </c>
      <c r="E2970" s="560">
        <f t="shared" si="429"/>
        <v>0</v>
      </c>
      <c r="F2970" s="1508">
        <f t="shared" si="427"/>
        <v>0</v>
      </c>
      <c r="G2970" s="1508">
        <f t="shared" si="428"/>
        <v>0</v>
      </c>
      <c r="H2970" s="1508">
        <f t="shared" si="424"/>
        <v>0</v>
      </c>
      <c r="I2970" s="1480">
        <v>0</v>
      </c>
      <c r="J2970" s="1480">
        <v>0</v>
      </c>
      <c r="K2970" s="1508"/>
      <c r="L2970" s="1508"/>
      <c r="M2970" s="1509">
        <f t="shared" si="430"/>
        <v>0</v>
      </c>
      <c r="N2970" s="1508">
        <f t="shared" si="425"/>
        <v>0</v>
      </c>
      <c r="O2970" s="1481">
        <f t="shared" si="431"/>
        <v>0</v>
      </c>
      <c r="P2970" s="1427">
        <f t="shared" si="432"/>
        <v>0</v>
      </c>
    </row>
    <row r="2971" spans="1:16" ht="31" outlineLevel="1" x14ac:dyDescent="0.25">
      <c r="A2971" s="1486" t="str">
        <f t="shared" si="429"/>
        <v>Y5</v>
      </c>
      <c r="B2971" s="1491" t="str">
        <f t="shared" si="429"/>
        <v>Performance Improvement &amp; Life Extension Schemes for CHP of Unit 5 to 7 of CSTPS, Chandrapur. -Part-2</v>
      </c>
      <c r="C2971" s="1486" t="str">
        <f t="shared" si="429"/>
        <v>MERC/CAPEX/MSPGCL/2023-2024/0466 Dt 02.08.2024</v>
      </c>
      <c r="D2971" s="1487">
        <f t="shared" si="429"/>
        <v>45506</v>
      </c>
      <c r="E2971" s="560">
        <f t="shared" si="429"/>
        <v>0</v>
      </c>
      <c r="F2971" s="1508">
        <f t="shared" si="427"/>
        <v>0</v>
      </c>
      <c r="G2971" s="1508">
        <f t="shared" si="428"/>
        <v>0</v>
      </c>
      <c r="H2971" s="1508">
        <f t="shared" si="424"/>
        <v>0</v>
      </c>
      <c r="I2971" s="1480">
        <v>0</v>
      </c>
      <c r="J2971" s="1480">
        <v>0</v>
      </c>
      <c r="K2971" s="1508"/>
      <c r="L2971" s="1508"/>
      <c r="M2971" s="1509">
        <f t="shared" si="430"/>
        <v>0</v>
      </c>
      <c r="N2971" s="1508">
        <f t="shared" si="425"/>
        <v>0</v>
      </c>
      <c r="O2971" s="1481">
        <f t="shared" si="431"/>
        <v>0</v>
      </c>
      <c r="P2971" s="1427">
        <f t="shared" si="432"/>
        <v>0</v>
      </c>
    </row>
    <row r="2972" spans="1:16" ht="31" outlineLevel="1" x14ac:dyDescent="0.25">
      <c r="A2972" s="1488">
        <f t="shared" si="429"/>
        <v>5.0999999999999996</v>
      </c>
      <c r="B2972" s="1492" t="str">
        <f t="shared" si="429"/>
        <v>Scheme-1: Upgradation/Renovation of Deck Module of Under Ground Conveyor stream of CHPB of Unit-5,6&amp;7 Chandrapur.</v>
      </c>
      <c r="C2972" s="1488" t="str">
        <f t="shared" si="429"/>
        <v>MERC/CAPEX/MSPGCL/2023-2024/0466 Dt 02.08.2024</v>
      </c>
      <c r="D2972" s="1413">
        <f t="shared" si="429"/>
        <v>45506</v>
      </c>
      <c r="E2972" s="1383">
        <f t="shared" si="429"/>
        <v>0</v>
      </c>
      <c r="F2972" s="1480">
        <f t="shared" si="427"/>
        <v>4.43</v>
      </c>
      <c r="G2972" s="1480">
        <f t="shared" si="428"/>
        <v>4.43</v>
      </c>
      <c r="H2972" s="1480">
        <f t="shared" si="424"/>
        <v>0</v>
      </c>
      <c r="I2972" s="1480">
        <v>0</v>
      </c>
      <c r="J2972" s="1480">
        <v>0</v>
      </c>
      <c r="K2972" s="1480"/>
      <c r="L2972" s="1480"/>
      <c r="M2972" s="1480">
        <f t="shared" si="430"/>
        <v>0</v>
      </c>
      <c r="N2972" s="1480">
        <f t="shared" si="425"/>
        <v>0</v>
      </c>
      <c r="O2972" s="1481">
        <f t="shared" si="431"/>
        <v>0</v>
      </c>
      <c r="P2972" s="1427">
        <f t="shared" si="432"/>
        <v>0</v>
      </c>
    </row>
    <row r="2973" spans="1:16" ht="31" outlineLevel="1" x14ac:dyDescent="0.25">
      <c r="A2973" s="1488">
        <f t="shared" si="429"/>
        <v>5.2</v>
      </c>
      <c r="B2973" s="1492" t="str">
        <f t="shared" si="429"/>
        <v>Scheme-2: Renovation &amp; Upgradation of Transfer Point of CHPB of Unit 5 to 7 of CSTPS Chandrapur.</v>
      </c>
      <c r="C2973" s="1488" t="str">
        <f t="shared" si="429"/>
        <v>MERC/CAPEX/MSPGCL/2023-2024/0466 Dt 02.08.2024</v>
      </c>
      <c r="D2973" s="1413">
        <f t="shared" si="429"/>
        <v>45506</v>
      </c>
      <c r="E2973" s="560">
        <f t="shared" si="429"/>
        <v>0</v>
      </c>
      <c r="F2973" s="1508">
        <f t="shared" si="427"/>
        <v>4.54</v>
      </c>
      <c r="G2973" s="1508">
        <f t="shared" si="428"/>
        <v>4.54</v>
      </c>
      <c r="H2973" s="1508">
        <f t="shared" si="424"/>
        <v>0</v>
      </c>
      <c r="I2973" s="1480">
        <v>0</v>
      </c>
      <c r="J2973" s="1480">
        <v>0</v>
      </c>
      <c r="K2973" s="1508"/>
      <c r="L2973" s="1508"/>
      <c r="M2973" s="1509">
        <f t="shared" si="430"/>
        <v>0</v>
      </c>
      <c r="N2973" s="1508">
        <f t="shared" si="425"/>
        <v>0</v>
      </c>
      <c r="O2973" s="1481">
        <f t="shared" si="431"/>
        <v>0</v>
      </c>
      <c r="P2973" s="1427">
        <f t="shared" si="432"/>
        <v>0</v>
      </c>
    </row>
    <row r="2974" spans="1:16" ht="31" outlineLevel="1" x14ac:dyDescent="0.25">
      <c r="A2974" s="1488">
        <f t="shared" si="429"/>
        <v>5.3</v>
      </c>
      <c r="B2974" s="1492" t="str">
        <f t="shared" si="429"/>
        <v>Scheme-3: Renovation &amp; Upgradation of Walkway Platform of CHPB of Unit 5 to 7 of CSTPS Chandrapur.</v>
      </c>
      <c r="C2974" s="1488" t="str">
        <f t="shared" si="429"/>
        <v>MERC/CAPEX/MSPGCL/2023-2024/0466 Dt 02.08.2024</v>
      </c>
      <c r="D2974" s="1413">
        <f t="shared" si="429"/>
        <v>45506</v>
      </c>
      <c r="E2974" s="560">
        <f t="shared" si="429"/>
        <v>0</v>
      </c>
      <c r="F2974" s="1508">
        <f t="shared" si="427"/>
        <v>5.25</v>
      </c>
      <c r="G2974" s="1508">
        <f t="shared" si="428"/>
        <v>5.25</v>
      </c>
      <c r="H2974" s="1508">
        <f t="shared" si="424"/>
        <v>0</v>
      </c>
      <c r="I2974" s="1480">
        <v>0</v>
      </c>
      <c r="J2974" s="1480">
        <v>0</v>
      </c>
      <c r="K2974" s="1508"/>
      <c r="L2974" s="1508"/>
      <c r="M2974" s="1509">
        <f t="shared" si="430"/>
        <v>0</v>
      </c>
      <c r="N2974" s="1508">
        <f t="shared" si="425"/>
        <v>0</v>
      </c>
      <c r="O2974" s="1481">
        <f t="shared" si="431"/>
        <v>0</v>
      </c>
      <c r="P2974" s="1427">
        <f t="shared" si="432"/>
        <v>0</v>
      </c>
    </row>
    <row r="2975" spans="1:16" ht="31" outlineLevel="1" x14ac:dyDescent="0.25">
      <c r="A2975" s="1488">
        <f t="shared" si="429"/>
        <v>5.4</v>
      </c>
      <c r="B2975" s="1492" t="str">
        <f t="shared" si="429"/>
        <v>Scheme-4: Work of Renovation &amp; Modernization of Bunker Shuttle Conveyor of CHPB of Unit 5, 6 &amp; 7 in CSTPS Chandrapur.</v>
      </c>
      <c r="C2975" s="1488" t="str">
        <f t="shared" si="429"/>
        <v>MERC/CAPEX/MSPGCL/2023-2024/0466 Dt 02.08.2024</v>
      </c>
      <c r="D2975" s="1413">
        <f t="shared" si="429"/>
        <v>45506</v>
      </c>
      <c r="E2975" s="560">
        <f t="shared" si="429"/>
        <v>0</v>
      </c>
      <c r="F2975" s="1508">
        <f t="shared" si="427"/>
        <v>4.6100000000000003</v>
      </c>
      <c r="G2975" s="1508">
        <f t="shared" si="428"/>
        <v>4.6100000000000003</v>
      </c>
      <c r="H2975" s="1508">
        <f t="shared" si="424"/>
        <v>0</v>
      </c>
      <c r="I2975" s="1480">
        <v>0</v>
      </c>
      <c r="J2975" s="1480">
        <v>0</v>
      </c>
      <c r="K2975" s="1508"/>
      <c r="L2975" s="1508"/>
      <c r="M2975" s="1509">
        <f t="shared" si="430"/>
        <v>0</v>
      </c>
      <c r="N2975" s="1508">
        <f t="shared" si="425"/>
        <v>0</v>
      </c>
      <c r="O2975" s="1481">
        <f t="shared" si="431"/>
        <v>0</v>
      </c>
      <c r="P2975" s="1427">
        <f t="shared" si="432"/>
        <v>0</v>
      </c>
    </row>
    <row r="2976" spans="1:16" ht="46.5" outlineLevel="1" x14ac:dyDescent="0.25">
      <c r="A2976" s="1488">
        <f t="shared" si="429"/>
        <v>5.5</v>
      </c>
      <c r="B2976" s="1492" t="str">
        <f t="shared" si="429"/>
        <v>Scheme-5: Renovation &amp; Modernization of Wagon Tippler Concrete Hopper of Coal Handling Plant-B of Unit 5,6&amp;7 at CSTPS Chandrapur.</v>
      </c>
      <c r="C2976" s="1488" t="str">
        <f t="shared" si="429"/>
        <v>MERC/CAPEX/MSPGCL/2023-2024/0466 Dt 02.08.2024</v>
      </c>
      <c r="D2976" s="1413">
        <f t="shared" si="429"/>
        <v>45506</v>
      </c>
      <c r="E2976" s="560">
        <f t="shared" si="429"/>
        <v>0</v>
      </c>
      <c r="F2976" s="1508">
        <f t="shared" si="427"/>
        <v>3.83</v>
      </c>
      <c r="G2976" s="1508">
        <f t="shared" si="428"/>
        <v>3.83</v>
      </c>
      <c r="H2976" s="1508">
        <f t="shared" si="424"/>
        <v>0</v>
      </c>
      <c r="I2976" s="1480">
        <v>0</v>
      </c>
      <c r="J2976" s="1480">
        <v>0</v>
      </c>
      <c r="K2976" s="1508"/>
      <c r="L2976" s="1508"/>
      <c r="M2976" s="1509">
        <f t="shared" si="430"/>
        <v>0</v>
      </c>
      <c r="N2976" s="1508">
        <f t="shared" si="425"/>
        <v>0</v>
      </c>
      <c r="O2976" s="1481">
        <f t="shared" si="431"/>
        <v>0</v>
      </c>
      <c r="P2976" s="1427">
        <f t="shared" si="432"/>
        <v>0</v>
      </c>
    </row>
    <row r="2977" spans="1:16" ht="46.5" outlineLevel="1" x14ac:dyDescent="0.25">
      <c r="A2977" s="1488">
        <f t="shared" si="429"/>
        <v>5.6</v>
      </c>
      <c r="B2977" s="1492" t="str">
        <f t="shared" si="429"/>
        <v>Scheme-6: Renovation &amp; Modernization of Wagon Tippler Concrete Hopper of Coal Handling Plant-D of Unit 8&amp;9 at CSTPS Chandrapur.</v>
      </c>
      <c r="C2977" s="1488" t="str">
        <f t="shared" si="429"/>
        <v>MERC/CAPEX/MSPGCL/2023-2024/0466 Dt 02.08.2024</v>
      </c>
      <c r="D2977" s="1413">
        <f t="shared" si="429"/>
        <v>45506</v>
      </c>
      <c r="E2977" s="1383">
        <f t="shared" si="429"/>
        <v>0</v>
      </c>
      <c r="F2977" s="1480">
        <f t="shared" si="427"/>
        <v>3.83</v>
      </c>
      <c r="G2977" s="1480">
        <f t="shared" si="428"/>
        <v>3.83</v>
      </c>
      <c r="H2977" s="1480">
        <f t="shared" si="424"/>
        <v>0</v>
      </c>
      <c r="I2977" s="1480">
        <v>0</v>
      </c>
      <c r="J2977" s="1480">
        <v>0</v>
      </c>
      <c r="K2977" s="1480"/>
      <c r="L2977" s="1480"/>
      <c r="M2977" s="1480">
        <f t="shared" si="430"/>
        <v>0</v>
      </c>
      <c r="N2977" s="1480">
        <f t="shared" si="425"/>
        <v>0</v>
      </c>
      <c r="O2977" s="1481">
        <f t="shared" si="431"/>
        <v>0</v>
      </c>
      <c r="P2977" s="1427">
        <f t="shared" si="432"/>
        <v>0</v>
      </c>
    </row>
    <row r="2978" spans="1:16" ht="46.5" outlineLevel="1" x14ac:dyDescent="0.25">
      <c r="A2978" s="1488">
        <f t="shared" ref="A2978:E2993" si="433">A2308</f>
        <v>5.7</v>
      </c>
      <c r="B2978" s="1492" t="str">
        <f t="shared" si="433"/>
        <v xml:space="preserve">Scheme-7: Design, supply, installation &amp; commissioning of LED based energy efficient illumination system at CHP-A, B &amp; C, C.S.T.P.S., Chandrapur.  </v>
      </c>
      <c r="C2978" s="1488" t="str">
        <f t="shared" si="433"/>
        <v>MERC/CAPEX/MSPGCL/2023-2024/0466 Dt 02.08.2024</v>
      </c>
      <c r="D2978" s="1413">
        <f t="shared" si="433"/>
        <v>45506</v>
      </c>
      <c r="E2978" s="560">
        <f t="shared" si="433"/>
        <v>0</v>
      </c>
      <c r="F2978" s="1508">
        <f t="shared" si="427"/>
        <v>5.31</v>
      </c>
      <c r="G2978" s="1508">
        <f t="shared" si="428"/>
        <v>5.31</v>
      </c>
      <c r="H2978" s="1508">
        <f t="shared" si="424"/>
        <v>0</v>
      </c>
      <c r="I2978" s="1480">
        <v>0</v>
      </c>
      <c r="J2978" s="1480">
        <v>0</v>
      </c>
      <c r="K2978" s="1508"/>
      <c r="L2978" s="1508"/>
      <c r="M2978" s="1509">
        <f t="shared" si="430"/>
        <v>0</v>
      </c>
      <c r="N2978" s="1508">
        <f t="shared" si="425"/>
        <v>0</v>
      </c>
      <c r="O2978" s="1481">
        <f t="shared" si="431"/>
        <v>0</v>
      </c>
      <c r="P2978" s="1427">
        <f t="shared" si="432"/>
        <v>0</v>
      </c>
    </row>
    <row r="2979" spans="1:16" ht="31" outlineLevel="1" x14ac:dyDescent="0.25">
      <c r="A2979" s="1488">
        <f t="shared" si="433"/>
        <v>0</v>
      </c>
      <c r="B2979" s="1492" t="str">
        <f t="shared" si="433"/>
        <v>IDC</v>
      </c>
      <c r="C2979" s="1488" t="str">
        <f t="shared" si="433"/>
        <v>MERC/CAPEX/MSPGCL/2023-2024/0466 Dt 02.08.2024</v>
      </c>
      <c r="D2979" s="1413">
        <f t="shared" si="433"/>
        <v>45506</v>
      </c>
      <c r="E2979" s="1383">
        <f t="shared" si="433"/>
        <v>0</v>
      </c>
      <c r="F2979" s="1480">
        <f t="shared" si="427"/>
        <v>0</v>
      </c>
      <c r="G2979" s="1480">
        <f t="shared" si="428"/>
        <v>0</v>
      </c>
      <c r="H2979" s="1480">
        <f t="shared" si="424"/>
        <v>0</v>
      </c>
      <c r="I2979" s="1480">
        <v>0</v>
      </c>
      <c r="J2979" s="1480">
        <v>0</v>
      </c>
      <c r="K2979" s="1480"/>
      <c r="L2979" s="1480"/>
      <c r="M2979" s="1480">
        <f t="shared" si="430"/>
        <v>0</v>
      </c>
      <c r="N2979" s="1480">
        <f t="shared" si="425"/>
        <v>0</v>
      </c>
      <c r="O2979" s="1481">
        <f t="shared" si="431"/>
        <v>0</v>
      </c>
      <c r="P2979" s="1427">
        <f t="shared" si="432"/>
        <v>0</v>
      </c>
    </row>
    <row r="2980" spans="1:16" ht="62" outlineLevel="1" x14ac:dyDescent="0.25">
      <c r="A2980" s="1486">
        <f t="shared" si="433"/>
        <v>63</v>
      </c>
      <c r="B2980" s="1491" t="str">
        <f t="shared" si="433"/>
        <v>Procurement of Equipment’s for Stack yard management at Coal Handling Plant &amp; Upgradation of existing ash disposal pump system by installing higher efficiency pump system in Ash Handling Plant of Unit- 5 &amp; 6 at CSTPS, Chandrapur.</v>
      </c>
      <c r="C2980" s="1486" t="str">
        <f t="shared" si="433"/>
        <v>MERC/CAPEX/MSPGCL/2023-24/496 Dt 08.08.2024</v>
      </c>
      <c r="D2980" s="1413">
        <f t="shared" si="433"/>
        <v>45512</v>
      </c>
      <c r="E2980" s="560">
        <f t="shared" si="433"/>
        <v>38.4</v>
      </c>
      <c r="F2980" s="1508">
        <f t="shared" si="427"/>
        <v>0</v>
      </c>
      <c r="G2980" s="1508">
        <f t="shared" si="428"/>
        <v>0</v>
      </c>
      <c r="H2980" s="1508">
        <f t="shared" si="424"/>
        <v>0</v>
      </c>
      <c r="I2980" s="1480">
        <v>0</v>
      </c>
      <c r="J2980" s="1480">
        <v>0</v>
      </c>
      <c r="K2980" s="1508"/>
      <c r="L2980" s="1508"/>
      <c r="M2980" s="1509">
        <f t="shared" si="430"/>
        <v>0</v>
      </c>
      <c r="N2980" s="1508">
        <f t="shared" si="425"/>
        <v>0</v>
      </c>
      <c r="O2980" s="1481">
        <f t="shared" si="431"/>
        <v>0</v>
      </c>
      <c r="P2980" s="1427">
        <f t="shared" si="432"/>
        <v>0</v>
      </c>
    </row>
    <row r="2981" spans="1:16" ht="31" outlineLevel="1" x14ac:dyDescent="0.25">
      <c r="A2981" s="1488">
        <f t="shared" si="433"/>
        <v>6.1</v>
      </c>
      <c r="B2981" s="1492" t="str">
        <f t="shared" si="433"/>
        <v>Scheme-1: Procurement of 04 Nos Bulldozers.</v>
      </c>
      <c r="C2981" s="1488" t="str">
        <f t="shared" si="433"/>
        <v>MERC/CAPEX/MSPGCL/2023-24/496 Dt 08.08.2024</v>
      </c>
      <c r="D2981" s="1413">
        <f t="shared" si="433"/>
        <v>45512</v>
      </c>
      <c r="E2981" s="560">
        <f t="shared" si="433"/>
        <v>9.58</v>
      </c>
      <c r="F2981" s="1508">
        <f t="shared" si="427"/>
        <v>9.58</v>
      </c>
      <c r="G2981" s="1508">
        <f t="shared" si="428"/>
        <v>9.58</v>
      </c>
      <c r="H2981" s="1508">
        <f t="shared" si="424"/>
        <v>0</v>
      </c>
      <c r="I2981" s="1480">
        <v>0</v>
      </c>
      <c r="J2981" s="1480">
        <v>0</v>
      </c>
      <c r="K2981" s="1508"/>
      <c r="L2981" s="1508"/>
      <c r="M2981" s="1509">
        <f t="shared" si="430"/>
        <v>0</v>
      </c>
      <c r="N2981" s="1508">
        <f t="shared" si="425"/>
        <v>0</v>
      </c>
      <c r="O2981" s="1481">
        <f t="shared" si="431"/>
        <v>0</v>
      </c>
      <c r="P2981" s="1427">
        <f t="shared" si="432"/>
        <v>0</v>
      </c>
    </row>
    <row r="2982" spans="1:16" ht="31" outlineLevel="1" x14ac:dyDescent="0.25">
      <c r="A2982" s="1488">
        <f t="shared" si="433"/>
        <v>6.2</v>
      </c>
      <c r="B2982" s="1492" t="str">
        <f t="shared" si="433"/>
        <v>Scheme-2:  Procurement of 01 No Wheel Dozer</v>
      </c>
      <c r="C2982" s="1488" t="str">
        <f t="shared" si="433"/>
        <v>MERC/CAPEX/MSPGCL/2023-24/496 Dt 08.08.2024</v>
      </c>
      <c r="D2982" s="1413">
        <f t="shared" si="433"/>
        <v>45512</v>
      </c>
      <c r="E2982" s="1383">
        <f t="shared" si="433"/>
        <v>2.95</v>
      </c>
      <c r="F2982" s="1480">
        <f t="shared" si="427"/>
        <v>2.95</v>
      </c>
      <c r="G2982" s="1480">
        <f t="shared" si="428"/>
        <v>2.95</v>
      </c>
      <c r="H2982" s="1480">
        <f t="shared" si="424"/>
        <v>0</v>
      </c>
      <c r="I2982" s="1480">
        <v>0</v>
      </c>
      <c r="J2982" s="1480">
        <v>0</v>
      </c>
      <c r="K2982" s="1480"/>
      <c r="L2982" s="1480"/>
      <c r="M2982" s="1480">
        <f t="shared" si="430"/>
        <v>0</v>
      </c>
      <c r="N2982" s="1480">
        <f t="shared" si="425"/>
        <v>0</v>
      </c>
      <c r="O2982" s="1481">
        <f t="shared" si="431"/>
        <v>0</v>
      </c>
      <c r="P2982" s="1427">
        <f t="shared" si="432"/>
        <v>0</v>
      </c>
    </row>
    <row r="2983" spans="1:16" ht="31" outlineLevel="1" x14ac:dyDescent="0.25">
      <c r="A2983" s="1488">
        <f t="shared" si="433"/>
        <v>6.3</v>
      </c>
      <c r="B2983" s="1492" t="str">
        <f t="shared" si="433"/>
        <v>Scheme-3: Procurement 02 Nos. 800 HP Diesel Hydraulic Locomotives.</v>
      </c>
      <c r="C2983" s="1488" t="str">
        <f t="shared" si="433"/>
        <v>MERC/CAPEX/MSPGCL/2023-24/496 Dt 08.08.2024</v>
      </c>
      <c r="D2983" s="1413">
        <f t="shared" si="433"/>
        <v>45512</v>
      </c>
      <c r="E2983" s="560">
        <f t="shared" si="433"/>
        <v>7.95</v>
      </c>
      <c r="F2983" s="1508">
        <f t="shared" si="427"/>
        <v>7.95</v>
      </c>
      <c r="G2983" s="1508">
        <f t="shared" si="428"/>
        <v>7.95</v>
      </c>
      <c r="H2983" s="1508">
        <f t="shared" si="424"/>
        <v>0</v>
      </c>
      <c r="I2983" s="1480">
        <v>0</v>
      </c>
      <c r="J2983" s="1480">
        <v>0</v>
      </c>
      <c r="K2983" s="1508"/>
      <c r="L2983" s="1508"/>
      <c r="M2983" s="1509">
        <f t="shared" si="430"/>
        <v>0</v>
      </c>
      <c r="N2983" s="1508">
        <f t="shared" si="425"/>
        <v>0</v>
      </c>
      <c r="O2983" s="1481">
        <f t="shared" si="431"/>
        <v>0</v>
      </c>
      <c r="P2983" s="1427">
        <f t="shared" si="432"/>
        <v>0</v>
      </c>
    </row>
    <row r="2984" spans="1:16" ht="31" outlineLevel="1" x14ac:dyDescent="0.25">
      <c r="A2984" s="1488">
        <f t="shared" si="433"/>
        <v>6.4</v>
      </c>
      <c r="B2984" s="1492" t="str">
        <f t="shared" si="433"/>
        <v>Scheme-4: Upgradation of existing ash disposal pump assembly by higher efficiency pump assembly in ash handling plant.</v>
      </c>
      <c r="C2984" s="1488" t="str">
        <f t="shared" si="433"/>
        <v>MERC/CAPEX/MSPGCL/2023-24/496 Dt 08.08.2024</v>
      </c>
      <c r="D2984" s="1413">
        <f t="shared" si="433"/>
        <v>45512</v>
      </c>
      <c r="E2984" s="560">
        <f t="shared" si="433"/>
        <v>17.46</v>
      </c>
      <c r="F2984" s="1508">
        <f t="shared" si="427"/>
        <v>17.46</v>
      </c>
      <c r="G2984" s="1508">
        <f t="shared" si="428"/>
        <v>17.46</v>
      </c>
      <c r="H2984" s="1508">
        <f t="shared" si="424"/>
        <v>0</v>
      </c>
      <c r="I2984" s="1480">
        <v>0</v>
      </c>
      <c r="J2984" s="1480">
        <v>0</v>
      </c>
      <c r="K2984" s="1508"/>
      <c r="L2984" s="1508"/>
      <c r="M2984" s="1509">
        <f t="shared" si="430"/>
        <v>0</v>
      </c>
      <c r="N2984" s="1508">
        <f t="shared" si="425"/>
        <v>0</v>
      </c>
      <c r="O2984" s="1481">
        <f t="shared" si="431"/>
        <v>0</v>
      </c>
      <c r="P2984" s="1427">
        <f t="shared" si="432"/>
        <v>0</v>
      </c>
    </row>
    <row r="2985" spans="1:16" ht="31" outlineLevel="1" x14ac:dyDescent="0.25">
      <c r="A2985" s="1488">
        <f t="shared" si="433"/>
        <v>0</v>
      </c>
      <c r="B2985" s="1492" t="str">
        <f t="shared" si="433"/>
        <v>IDC</v>
      </c>
      <c r="C2985" s="1488" t="str">
        <f t="shared" si="433"/>
        <v>MERC/CAPEX/MSPGCL/2023-24/496 Dt 08.08.2024</v>
      </c>
      <c r="D2985" s="1413">
        <f t="shared" si="433"/>
        <v>45512</v>
      </c>
      <c r="E2985" s="560">
        <f t="shared" si="433"/>
        <v>0.46</v>
      </c>
      <c r="F2985" s="1508">
        <f t="shared" si="427"/>
        <v>0</v>
      </c>
      <c r="G2985" s="1508">
        <f t="shared" si="428"/>
        <v>0</v>
      </c>
      <c r="H2985" s="1508">
        <f t="shared" si="424"/>
        <v>0</v>
      </c>
      <c r="I2985" s="1480">
        <v>0</v>
      </c>
      <c r="J2985" s="1480">
        <v>0</v>
      </c>
      <c r="K2985" s="1508"/>
      <c r="L2985" s="1508"/>
      <c r="M2985" s="1509">
        <f t="shared" si="430"/>
        <v>0</v>
      </c>
      <c r="N2985" s="1508">
        <f t="shared" si="425"/>
        <v>0</v>
      </c>
    </row>
    <row r="2986" spans="1:16" ht="46.5" outlineLevel="1" x14ac:dyDescent="0.25">
      <c r="A2986" s="1486">
        <f t="shared" si="433"/>
        <v>64</v>
      </c>
      <c r="B2986" s="1491" t="str">
        <f t="shared" si="433"/>
        <v>Stacker Reclaimer, Impact Crusher and Conveyor Drive reliability &amp; availability improvement scheme for CHP of Unit 5,6&amp;7 CSTPS Chandrapur.- Elecon</v>
      </c>
      <c r="C2986" s="1488" t="str">
        <f t="shared" si="433"/>
        <v>MERC approved MERC/CAPEX/MSPGCL/2023-24/566  Dt 09.09.2024</v>
      </c>
      <c r="D2986" s="1413">
        <f t="shared" si="433"/>
        <v>45544</v>
      </c>
      <c r="E2986" s="1383">
        <f t="shared" si="433"/>
        <v>32.549999999999997</v>
      </c>
      <c r="F2986" s="1480">
        <f t="shared" si="427"/>
        <v>0</v>
      </c>
      <c r="G2986" s="1480">
        <f t="shared" si="428"/>
        <v>0</v>
      </c>
      <c r="H2986" s="1480">
        <f t="shared" si="424"/>
        <v>0</v>
      </c>
      <c r="I2986" s="1480">
        <v>0</v>
      </c>
      <c r="J2986" s="1480">
        <v>0</v>
      </c>
      <c r="K2986" s="1480"/>
      <c r="L2986" s="1480"/>
      <c r="M2986" s="1480">
        <f t="shared" si="430"/>
        <v>0</v>
      </c>
      <c r="N2986" s="1480">
        <f t="shared" si="425"/>
        <v>0</v>
      </c>
    </row>
    <row r="2987" spans="1:16" ht="46.5" outlineLevel="1" x14ac:dyDescent="0.25">
      <c r="A2987" s="1488">
        <f t="shared" si="433"/>
        <v>0</v>
      </c>
      <c r="B2987" s="1497" t="str">
        <f t="shared" si="433"/>
        <v xml:space="preserve">Scheme-1: Reliability &amp; availability improvement for Stacker Reclaimer by supply &amp; commissioning of essential equipment at CHPB of Unit 5,6&amp;7 CSTPS  Chandrapur. </v>
      </c>
      <c r="C2987" s="1488" t="str">
        <f t="shared" si="433"/>
        <v>MERC approved MERC/CAPEX/MSPGCL/2023-24/566  Dt 09.09.2024</v>
      </c>
      <c r="D2987" s="1413">
        <f t="shared" si="433"/>
        <v>45544</v>
      </c>
      <c r="E2987" s="560">
        <f t="shared" si="433"/>
        <v>17.61</v>
      </c>
      <c r="F2987" s="1508">
        <f t="shared" si="427"/>
        <v>0</v>
      </c>
      <c r="G2987" s="1508">
        <f t="shared" si="428"/>
        <v>0</v>
      </c>
      <c r="H2987" s="1508">
        <f t="shared" si="424"/>
        <v>0</v>
      </c>
      <c r="I2987" s="1480">
        <v>17.61</v>
      </c>
      <c r="J2987" s="1480">
        <v>17.61</v>
      </c>
      <c r="K2987" s="1508"/>
      <c r="L2987" s="1508"/>
      <c r="M2987" s="1509">
        <f t="shared" si="430"/>
        <v>17.61</v>
      </c>
      <c r="N2987" s="1508">
        <f t="shared" si="425"/>
        <v>0</v>
      </c>
    </row>
    <row r="2988" spans="1:16" ht="46.5" outlineLevel="1" x14ac:dyDescent="0.25">
      <c r="A2988" s="1488">
        <f t="shared" si="433"/>
        <v>0</v>
      </c>
      <c r="B2988" s="1497" t="str">
        <f t="shared" si="433"/>
        <v xml:space="preserve">Scheme-2: Reliability &amp; availability improvement for Conveyor Drive by supply &amp; commissioning of essential equipment at CHPB of Unit 5,6&amp;7 CSTPS </v>
      </c>
      <c r="C2988" s="1488" t="str">
        <f t="shared" si="433"/>
        <v>MERC approved MERC/CAPEX/MSPGCL/2023-24/566  Dt 09.09.2024</v>
      </c>
      <c r="D2988" s="1413">
        <f t="shared" si="433"/>
        <v>45544</v>
      </c>
      <c r="E2988" s="560">
        <f t="shared" si="433"/>
        <v>14.65</v>
      </c>
      <c r="F2988" s="1508">
        <f t="shared" si="427"/>
        <v>0</v>
      </c>
      <c r="G2988" s="1508">
        <f t="shared" si="428"/>
        <v>0</v>
      </c>
      <c r="H2988" s="1508">
        <f t="shared" si="424"/>
        <v>0</v>
      </c>
      <c r="I2988" s="1480">
        <v>14.65</v>
      </c>
      <c r="J2988" s="1480">
        <v>14.65</v>
      </c>
      <c r="K2988" s="1508"/>
      <c r="L2988" s="1508"/>
      <c r="M2988" s="1509">
        <f t="shared" si="430"/>
        <v>14.65</v>
      </c>
      <c r="N2988" s="1508">
        <f t="shared" si="425"/>
        <v>0</v>
      </c>
    </row>
    <row r="2989" spans="1:16" ht="46.5" outlineLevel="1" x14ac:dyDescent="0.25">
      <c r="A2989" s="1488">
        <f t="shared" si="433"/>
        <v>0</v>
      </c>
      <c r="B2989" s="1497" t="str">
        <f t="shared" si="433"/>
        <v>IDC</v>
      </c>
      <c r="C2989" s="1488" t="str">
        <f t="shared" si="433"/>
        <v>MERC approved MERC/CAPEX/MSPGCL/2023-24/566  Dt 09.09.2024</v>
      </c>
      <c r="D2989" s="1413">
        <f t="shared" si="433"/>
        <v>45544</v>
      </c>
      <c r="E2989" s="560">
        <f t="shared" si="433"/>
        <v>0.28999999999999998</v>
      </c>
      <c r="F2989" s="1508">
        <f t="shared" si="427"/>
        <v>0</v>
      </c>
      <c r="G2989" s="1508">
        <f t="shared" si="428"/>
        <v>0</v>
      </c>
      <c r="H2989" s="1508">
        <f t="shared" si="424"/>
        <v>0</v>
      </c>
      <c r="I2989" s="1480">
        <v>0.28999999999999998</v>
      </c>
      <c r="J2989" s="1480">
        <v>0.28999999999999998</v>
      </c>
      <c r="K2989" s="1508"/>
      <c r="L2989" s="1508"/>
      <c r="M2989" s="1509">
        <f t="shared" si="430"/>
        <v>0.28999999999999998</v>
      </c>
      <c r="N2989" s="1508">
        <f t="shared" si="425"/>
        <v>0</v>
      </c>
    </row>
    <row r="2990" spans="1:16" ht="15.5" outlineLevel="1" x14ac:dyDescent="0.25">
      <c r="A2990" s="1498">
        <f t="shared" si="433"/>
        <v>0</v>
      </c>
      <c r="B2990" s="1492">
        <f t="shared" si="433"/>
        <v>0</v>
      </c>
      <c r="C2990" s="1498">
        <f t="shared" si="433"/>
        <v>0</v>
      </c>
      <c r="D2990" s="1499" t="str">
        <f t="shared" si="433"/>
        <v>-</v>
      </c>
      <c r="E2990" s="560">
        <f t="shared" si="433"/>
        <v>0</v>
      </c>
      <c r="F2990" s="1508">
        <f t="shared" si="427"/>
        <v>0</v>
      </c>
      <c r="G2990" s="1508">
        <f t="shared" si="428"/>
        <v>0</v>
      </c>
      <c r="H2990" s="1508">
        <f t="shared" si="424"/>
        <v>0</v>
      </c>
      <c r="I2990" s="1480">
        <v>0</v>
      </c>
      <c r="J2990" s="1480">
        <v>0</v>
      </c>
      <c r="K2990" s="1508"/>
      <c r="L2990" s="1508"/>
      <c r="M2990" s="1509">
        <f t="shared" si="430"/>
        <v>0</v>
      </c>
      <c r="N2990" s="1508">
        <f t="shared" si="425"/>
        <v>0</v>
      </c>
    </row>
    <row r="2991" spans="1:16" ht="15.5" outlineLevel="1" x14ac:dyDescent="0.25">
      <c r="A2991" s="1498">
        <f t="shared" si="433"/>
        <v>0</v>
      </c>
      <c r="B2991" s="1492">
        <f t="shared" si="433"/>
        <v>0</v>
      </c>
      <c r="C2991" s="1498">
        <f t="shared" si="433"/>
        <v>0</v>
      </c>
      <c r="D2991" s="1499" t="str">
        <f t="shared" si="433"/>
        <v>-</v>
      </c>
      <c r="E2991" s="560">
        <f t="shared" si="433"/>
        <v>0</v>
      </c>
      <c r="F2991" s="1508">
        <f t="shared" si="427"/>
        <v>0</v>
      </c>
      <c r="G2991" s="1508">
        <f t="shared" si="428"/>
        <v>0</v>
      </c>
      <c r="H2991" s="1508">
        <f t="shared" si="424"/>
        <v>0</v>
      </c>
      <c r="I2991" s="1480">
        <v>0</v>
      </c>
      <c r="J2991" s="1480">
        <v>0</v>
      </c>
      <c r="K2991" s="1508"/>
      <c r="L2991" s="1508"/>
      <c r="M2991" s="1509">
        <f t="shared" si="430"/>
        <v>0</v>
      </c>
      <c r="N2991" s="1508">
        <f t="shared" si="425"/>
        <v>0</v>
      </c>
    </row>
    <row r="2992" spans="1:16" ht="15.5" outlineLevel="1" x14ac:dyDescent="0.25">
      <c r="A2992" s="1500">
        <f t="shared" si="433"/>
        <v>0</v>
      </c>
      <c r="B2992" s="1483">
        <f t="shared" si="433"/>
        <v>0</v>
      </c>
      <c r="C2992" s="1500">
        <f t="shared" si="433"/>
        <v>0</v>
      </c>
      <c r="D2992" s="1501" t="str">
        <f t="shared" si="433"/>
        <v>-</v>
      </c>
      <c r="E2992" s="560">
        <f t="shared" si="433"/>
        <v>0</v>
      </c>
      <c r="F2992" s="1508">
        <f t="shared" si="427"/>
        <v>0</v>
      </c>
      <c r="G2992" s="1508">
        <f t="shared" si="428"/>
        <v>0</v>
      </c>
      <c r="H2992" s="1508">
        <f t="shared" si="424"/>
        <v>0</v>
      </c>
      <c r="I2992" s="1480">
        <v>0</v>
      </c>
      <c r="J2992" s="1480">
        <v>0</v>
      </c>
      <c r="K2992" s="1508"/>
      <c r="L2992" s="1508"/>
      <c r="M2992" s="1509">
        <f t="shared" si="430"/>
        <v>0</v>
      </c>
      <c r="N2992" s="1508">
        <f t="shared" si="425"/>
        <v>0</v>
      </c>
    </row>
    <row r="2993" spans="1:14" ht="15.5" outlineLevel="1" x14ac:dyDescent="0.25">
      <c r="A2993" s="131">
        <f t="shared" si="433"/>
        <v>0</v>
      </c>
      <c r="B2993" s="1476" t="str">
        <f t="shared" si="433"/>
        <v>(ii) Submitted to MERC, Yet To Receive Approval</v>
      </c>
      <c r="C2993" s="166">
        <f t="shared" si="433"/>
        <v>0</v>
      </c>
      <c r="D2993" s="1413" t="str">
        <f t="shared" si="433"/>
        <v>-</v>
      </c>
      <c r="E2993" s="1383">
        <f t="shared" si="433"/>
        <v>0</v>
      </c>
      <c r="F2993" s="1480">
        <f t="shared" si="427"/>
        <v>0</v>
      </c>
      <c r="G2993" s="1480">
        <f t="shared" si="428"/>
        <v>0</v>
      </c>
      <c r="H2993" s="1480">
        <f t="shared" si="424"/>
        <v>0</v>
      </c>
      <c r="I2993" s="1480">
        <v>0</v>
      </c>
      <c r="J2993" s="1480">
        <v>0</v>
      </c>
      <c r="K2993" s="1480"/>
      <c r="L2993" s="1480"/>
      <c r="M2993" s="1480">
        <f t="shared" si="430"/>
        <v>0</v>
      </c>
      <c r="N2993" s="1480">
        <f t="shared" si="425"/>
        <v>0</v>
      </c>
    </row>
    <row r="2994" spans="1:14" ht="93" outlineLevel="1" x14ac:dyDescent="0.25">
      <c r="A2994" s="1486" t="str">
        <f t="shared" ref="A2994:E3009" si="434">A2324</f>
        <v>Y8, Y9</v>
      </c>
      <c r="B2994" s="1491" t="str">
        <f t="shared" si="434"/>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2994" s="1486" t="str">
        <f t="shared" si="434"/>
        <v>Yet To Receive Approval</v>
      </c>
      <c r="D2994" s="1487" t="str">
        <f t="shared" si="434"/>
        <v>-</v>
      </c>
      <c r="E2994" s="560">
        <f t="shared" si="434"/>
        <v>0</v>
      </c>
      <c r="F2994" s="1508">
        <f t="shared" si="427"/>
        <v>0</v>
      </c>
      <c r="G2994" s="1508">
        <f t="shared" si="428"/>
        <v>0</v>
      </c>
      <c r="H2994" s="1508">
        <f t="shared" si="424"/>
        <v>0</v>
      </c>
      <c r="I2994" s="1480">
        <v>0</v>
      </c>
      <c r="J2994" s="1480">
        <v>0</v>
      </c>
      <c r="K2994" s="1508"/>
      <c r="L2994" s="1508"/>
      <c r="M2994" s="1509">
        <f t="shared" si="430"/>
        <v>0</v>
      </c>
      <c r="N2994" s="1508">
        <f t="shared" si="425"/>
        <v>0</v>
      </c>
    </row>
    <row r="2995" spans="1:14" ht="15.5" outlineLevel="1" x14ac:dyDescent="0.25">
      <c r="A2995" s="1488">
        <f t="shared" si="434"/>
        <v>0</v>
      </c>
      <c r="B2995" s="1497" t="str">
        <f t="shared" si="434"/>
        <v>Procurement of BOXN-HL Wagons for C.S.T.P.S., Chandrapur.</v>
      </c>
      <c r="C2995" s="1488" t="str">
        <f t="shared" si="434"/>
        <v>Yet To Receive Approval</v>
      </c>
      <c r="D2995" s="1413" t="str">
        <f t="shared" si="434"/>
        <v>-</v>
      </c>
      <c r="E2995" s="560">
        <f t="shared" si="434"/>
        <v>0</v>
      </c>
      <c r="F2995" s="1508">
        <f t="shared" si="427"/>
        <v>0</v>
      </c>
      <c r="G2995" s="1508">
        <f t="shared" si="428"/>
        <v>0</v>
      </c>
      <c r="H2995" s="1508">
        <f t="shared" si="424"/>
        <v>0</v>
      </c>
      <c r="I2995" s="1480">
        <v>13.8</v>
      </c>
      <c r="J2995" s="1480">
        <v>13.8</v>
      </c>
      <c r="K2995" s="1508"/>
      <c r="L2995" s="1508"/>
      <c r="M2995" s="1509">
        <f t="shared" si="430"/>
        <v>13.8</v>
      </c>
      <c r="N2995" s="1508">
        <f t="shared" si="425"/>
        <v>0</v>
      </c>
    </row>
    <row r="2996" spans="1:14" ht="31" outlineLevel="1" x14ac:dyDescent="0.25">
      <c r="A2996" s="1488">
        <f t="shared" si="434"/>
        <v>0</v>
      </c>
      <c r="B2996" s="1497" t="str">
        <f t="shared" si="434"/>
        <v>Combined Fire and Rescue vehicle with Hydraulic Platform (Multipurpose Fire Tender)</v>
      </c>
      <c r="C2996" s="1488" t="str">
        <f t="shared" si="434"/>
        <v>Yet To Receive Approval</v>
      </c>
      <c r="D2996" s="1413" t="str">
        <f t="shared" si="434"/>
        <v>-</v>
      </c>
      <c r="E2996" s="1383">
        <f t="shared" si="434"/>
        <v>0</v>
      </c>
      <c r="F2996" s="1480">
        <f t="shared" si="427"/>
        <v>0</v>
      </c>
      <c r="G2996" s="1480">
        <f t="shared" si="428"/>
        <v>0</v>
      </c>
      <c r="H2996" s="1480">
        <f t="shared" si="424"/>
        <v>0</v>
      </c>
      <c r="I2996" s="1480">
        <v>10.19</v>
      </c>
      <c r="J2996" s="1480">
        <v>10.19</v>
      </c>
      <c r="K2996" s="1480"/>
      <c r="L2996" s="1480"/>
      <c r="M2996" s="1480">
        <f t="shared" si="430"/>
        <v>10.19</v>
      </c>
      <c r="N2996" s="1480">
        <f t="shared" si="425"/>
        <v>0</v>
      </c>
    </row>
    <row r="2997" spans="1:14" ht="15.5" outlineLevel="1" x14ac:dyDescent="0.25">
      <c r="A2997" s="1488">
        <f t="shared" si="434"/>
        <v>0</v>
      </c>
      <c r="B2997" s="1497" t="str">
        <f t="shared" si="434"/>
        <v>Quick Response Vehicle (Multipurpose Fire Tender)</v>
      </c>
      <c r="C2997" s="1488" t="str">
        <f t="shared" si="434"/>
        <v>Yet To Receive Approval</v>
      </c>
      <c r="D2997" s="1413" t="str">
        <f t="shared" si="434"/>
        <v>-</v>
      </c>
      <c r="E2997" s="560">
        <f t="shared" si="434"/>
        <v>0</v>
      </c>
      <c r="F2997" s="1508">
        <f t="shared" si="427"/>
        <v>0</v>
      </c>
      <c r="G2997" s="1508">
        <f t="shared" si="428"/>
        <v>0</v>
      </c>
      <c r="H2997" s="1508">
        <f t="shared" si="424"/>
        <v>0</v>
      </c>
      <c r="I2997" s="1480">
        <v>2.5499999999999998</v>
      </c>
      <c r="J2997" s="1480">
        <v>2.5499999999999998</v>
      </c>
      <c r="K2997" s="1508"/>
      <c r="L2997" s="1508"/>
      <c r="M2997" s="1509">
        <f t="shared" si="430"/>
        <v>2.5499999999999998</v>
      </c>
      <c r="N2997" s="1508">
        <f t="shared" si="425"/>
        <v>0</v>
      </c>
    </row>
    <row r="2998" spans="1:14" ht="31" outlineLevel="1" x14ac:dyDescent="0.25">
      <c r="A2998" s="1488">
        <f t="shared" si="434"/>
        <v>0</v>
      </c>
      <c r="B2998" s="1497" t="str">
        <f t="shared" si="434"/>
        <v xml:space="preserve">High capacity Machine for debris transporting by Mechanized way (Vehicle) along with jetting machine </v>
      </c>
      <c r="C2998" s="1488" t="str">
        <f t="shared" si="434"/>
        <v>Yet To Receive Approval</v>
      </c>
      <c r="D2998" s="1413" t="str">
        <f t="shared" si="434"/>
        <v>-</v>
      </c>
      <c r="E2998" s="560">
        <f t="shared" si="434"/>
        <v>0</v>
      </c>
      <c r="F2998" s="1508">
        <f t="shared" si="427"/>
        <v>0</v>
      </c>
      <c r="G2998" s="1508">
        <f t="shared" si="428"/>
        <v>0</v>
      </c>
      <c r="H2998" s="1508">
        <f t="shared" si="424"/>
        <v>0</v>
      </c>
      <c r="I2998" s="1480">
        <v>8.35</v>
      </c>
      <c r="J2998" s="1480">
        <v>8.35</v>
      </c>
      <c r="K2998" s="1508"/>
      <c r="L2998" s="1508"/>
      <c r="M2998" s="1509">
        <f t="shared" si="430"/>
        <v>8.35</v>
      </c>
      <c r="N2998" s="1508">
        <f t="shared" si="425"/>
        <v>0</v>
      </c>
    </row>
    <row r="2999" spans="1:14" ht="15.5" outlineLevel="1" x14ac:dyDescent="0.25">
      <c r="A2999" s="1488">
        <f t="shared" si="434"/>
        <v>0</v>
      </c>
      <c r="B2999" s="1497" t="str">
        <f t="shared" si="434"/>
        <v>IDC</v>
      </c>
      <c r="C2999" s="1488" t="str">
        <f t="shared" si="434"/>
        <v>Yet To Receive Approval</v>
      </c>
      <c r="D2999" s="1413" t="str">
        <f t="shared" si="434"/>
        <v>-</v>
      </c>
      <c r="E2999" s="1383">
        <f t="shared" si="434"/>
        <v>0</v>
      </c>
      <c r="F2999" s="1480">
        <f t="shared" si="427"/>
        <v>0</v>
      </c>
      <c r="G2999" s="1480">
        <f t="shared" si="428"/>
        <v>0</v>
      </c>
      <c r="H2999" s="1480">
        <f t="shared" si="424"/>
        <v>0</v>
      </c>
      <c r="I2999" s="1480">
        <v>0</v>
      </c>
      <c r="J2999" s="1480">
        <v>0</v>
      </c>
      <c r="K2999" s="1480"/>
      <c r="L2999" s="1480"/>
      <c r="M2999" s="1480">
        <f t="shared" si="430"/>
        <v>0</v>
      </c>
      <c r="N2999" s="1480">
        <f t="shared" si="425"/>
        <v>0</v>
      </c>
    </row>
    <row r="3000" spans="1:14" ht="62" outlineLevel="1" x14ac:dyDescent="0.25">
      <c r="A3000" s="1486" t="str">
        <f t="shared" si="434"/>
        <v>Y10</v>
      </c>
      <c r="B3000" s="1491" t="str">
        <f t="shared" si="434"/>
        <v>Retrofitting of existing SF6 HT Circuit Breakers installed at Unit # 7 &amp; EM-II (Outdoor plant) of 3X500MW CSTPS Chandrapur by latest technology HT Contactor/ Vacuum Circuit breakers along with Supply, Installation &amp; Commissioning</v>
      </c>
      <c r="C3000" s="1486" t="str">
        <f t="shared" si="434"/>
        <v>Yet To Receive Approval</v>
      </c>
      <c r="D3000" s="1413" t="str">
        <f t="shared" si="434"/>
        <v>-</v>
      </c>
      <c r="E3000" s="1383">
        <f t="shared" si="434"/>
        <v>0</v>
      </c>
      <c r="F3000" s="1480">
        <f t="shared" si="427"/>
        <v>0</v>
      </c>
      <c r="G3000" s="1480">
        <f t="shared" si="428"/>
        <v>0</v>
      </c>
      <c r="H3000" s="1480">
        <f t="shared" si="424"/>
        <v>0</v>
      </c>
      <c r="I3000" s="1480">
        <v>0</v>
      </c>
      <c r="J3000" s="1480">
        <v>0</v>
      </c>
      <c r="K3000" s="1480"/>
      <c r="L3000" s="1480"/>
      <c r="M3000" s="1480">
        <f t="shared" si="430"/>
        <v>0</v>
      </c>
      <c r="N3000" s="1480">
        <f t="shared" si="425"/>
        <v>0</v>
      </c>
    </row>
    <row r="3001" spans="1:14" ht="46.5" outlineLevel="1" x14ac:dyDescent="0.25">
      <c r="A3001" s="1488">
        <f t="shared" si="434"/>
        <v>0</v>
      </c>
      <c r="B3001" s="1497" t="str">
        <f t="shared" si="434"/>
        <v>Retrofitting of existing ABB make SF6 Circuit Breakers installed at AHP Unit#7 by latest technology SF6 HT Contactor/ Vacuum Circuit Breaker</v>
      </c>
      <c r="C3001" s="1488" t="str">
        <f t="shared" si="434"/>
        <v>Yet To Receive Approval</v>
      </c>
      <c r="D3001" s="1413" t="str">
        <f t="shared" si="434"/>
        <v>-</v>
      </c>
      <c r="E3001" s="1383">
        <f t="shared" si="434"/>
        <v>0</v>
      </c>
      <c r="F3001" s="1480">
        <f t="shared" si="427"/>
        <v>0</v>
      </c>
      <c r="G3001" s="1480">
        <f t="shared" si="428"/>
        <v>0</v>
      </c>
      <c r="H3001" s="1480">
        <f t="shared" si="424"/>
        <v>0</v>
      </c>
      <c r="I3001" s="1480">
        <v>7</v>
      </c>
      <c r="J3001" s="1480">
        <v>7</v>
      </c>
      <c r="K3001" s="1480"/>
      <c r="L3001" s="1480"/>
      <c r="M3001" s="1480">
        <f t="shared" si="430"/>
        <v>7</v>
      </c>
      <c r="N3001" s="1480">
        <f t="shared" si="425"/>
        <v>0</v>
      </c>
    </row>
    <row r="3002" spans="1:14" ht="62" outlineLevel="1" x14ac:dyDescent="0.25">
      <c r="A3002" s="1488">
        <f t="shared" si="434"/>
        <v>0</v>
      </c>
      <c r="B3002" s="1497" t="str">
        <f t="shared" si="434"/>
        <v>Retrofitting of existing ABB/Voltas make SF6 Circuit Breakers installed at CCW Board of Unit#5,6&amp;7 ODP-II, WTP- II Board of ODP-II, Raw water RWS Board of ODP-II by latest technology Vacuum Circuit Breaker:</v>
      </c>
      <c r="C3002" s="1488" t="str">
        <f t="shared" si="434"/>
        <v>Yet To Receive Approval</v>
      </c>
      <c r="D3002" s="1413" t="str">
        <f t="shared" si="434"/>
        <v>-</v>
      </c>
      <c r="E3002" s="560">
        <f t="shared" si="434"/>
        <v>0</v>
      </c>
      <c r="F3002" s="1508">
        <f t="shared" si="427"/>
        <v>0</v>
      </c>
      <c r="G3002" s="1508">
        <f t="shared" si="428"/>
        <v>0</v>
      </c>
      <c r="H3002" s="1508">
        <f t="shared" si="424"/>
        <v>0</v>
      </c>
      <c r="I3002" s="1480">
        <v>17</v>
      </c>
      <c r="J3002" s="1480">
        <v>17</v>
      </c>
      <c r="K3002" s="1508"/>
      <c r="L3002" s="1508"/>
      <c r="M3002" s="1509">
        <f t="shared" si="430"/>
        <v>17</v>
      </c>
      <c r="N3002" s="1508">
        <f t="shared" si="425"/>
        <v>0</v>
      </c>
    </row>
    <row r="3003" spans="1:14" ht="15.5" outlineLevel="1" x14ac:dyDescent="0.25">
      <c r="A3003" s="1488">
        <f t="shared" si="434"/>
        <v>0</v>
      </c>
      <c r="B3003" s="1497" t="str">
        <f t="shared" si="434"/>
        <v>IDC</v>
      </c>
      <c r="C3003" s="1488" t="str">
        <f t="shared" si="434"/>
        <v>Yet To Receive Approval</v>
      </c>
      <c r="D3003" s="1413" t="str">
        <f t="shared" si="434"/>
        <v>-</v>
      </c>
      <c r="E3003" s="560">
        <f t="shared" si="434"/>
        <v>0</v>
      </c>
      <c r="F3003" s="1508">
        <f t="shared" si="427"/>
        <v>0</v>
      </c>
      <c r="G3003" s="1508">
        <f t="shared" si="428"/>
        <v>0</v>
      </c>
      <c r="H3003" s="1508">
        <f t="shared" si="424"/>
        <v>0</v>
      </c>
      <c r="I3003" s="1480">
        <v>0</v>
      </c>
      <c r="J3003" s="1480">
        <v>0</v>
      </c>
      <c r="K3003" s="1508"/>
      <c r="L3003" s="1508"/>
      <c r="M3003" s="1509">
        <f t="shared" si="430"/>
        <v>0</v>
      </c>
      <c r="N3003" s="1508">
        <f t="shared" si="425"/>
        <v>0</v>
      </c>
    </row>
    <row r="3004" spans="1:14" ht="62" outlineLevel="1" x14ac:dyDescent="0.25">
      <c r="A3004" s="1486" t="str">
        <f t="shared" si="434"/>
        <v>Y11</v>
      </c>
      <c r="B3004" s="1491" t="str">
        <f t="shared" si="434"/>
        <v>Design, Engineering, Manufacturing, Supply, Erection, Commissioning and testing of Wagon Locking System for wagon Tippler &amp; Portable Reclaim Feeder for CHP of Unit 5 to 9 of CSTPS, Chandrapur</v>
      </c>
      <c r="C3004" s="1486" t="str">
        <f t="shared" si="434"/>
        <v>Yet To Receive Approval</v>
      </c>
      <c r="D3004" s="1413" t="str">
        <f t="shared" si="434"/>
        <v>-</v>
      </c>
      <c r="E3004" s="560">
        <f t="shared" si="434"/>
        <v>0</v>
      </c>
      <c r="F3004" s="1508">
        <f t="shared" si="427"/>
        <v>0</v>
      </c>
      <c r="G3004" s="1508">
        <f t="shared" si="428"/>
        <v>0</v>
      </c>
      <c r="H3004" s="1508">
        <f t="shared" ref="H3004:H3020" si="435">F3004-G3004</f>
        <v>0</v>
      </c>
      <c r="I3004" s="1480">
        <v>0</v>
      </c>
      <c r="J3004" s="1480">
        <v>0</v>
      </c>
      <c r="K3004" s="1508"/>
      <c r="L3004" s="1508"/>
      <c r="M3004" s="1509">
        <f t="shared" si="430"/>
        <v>0</v>
      </c>
      <c r="N3004" s="1508">
        <f t="shared" ref="N3004:N3020" si="436">H3004+I3004-M3004</f>
        <v>0</v>
      </c>
    </row>
    <row r="3005" spans="1:14" ht="46.5" outlineLevel="1" x14ac:dyDescent="0.25">
      <c r="A3005" s="1488">
        <f t="shared" si="434"/>
        <v>0</v>
      </c>
      <c r="B3005" s="1497" t="str">
        <f t="shared" si="434"/>
        <v>Scheme-1: Design, Engineering, Manufacturing, Supply, Erection, Commissioning and testing of Wagon Locking System for Wagon Tippler of CHP of Unit 5 to 9 of CSTPS Chandrapur.</v>
      </c>
      <c r="C3005" s="1488" t="str">
        <f t="shared" si="434"/>
        <v>Yet To Receive Approval</v>
      </c>
      <c r="D3005" s="1413" t="str">
        <f t="shared" si="434"/>
        <v>-</v>
      </c>
      <c r="E3005" s="560">
        <f t="shared" si="434"/>
        <v>0</v>
      </c>
      <c r="F3005" s="1508">
        <f t="shared" si="427"/>
        <v>11.9</v>
      </c>
      <c r="G3005" s="1508">
        <f t="shared" si="428"/>
        <v>11.9</v>
      </c>
      <c r="H3005" s="1508">
        <f t="shared" si="435"/>
        <v>0</v>
      </c>
      <c r="I3005" s="1480">
        <v>0</v>
      </c>
      <c r="J3005" s="1480">
        <v>0</v>
      </c>
      <c r="K3005" s="1508"/>
      <c r="L3005" s="1508"/>
      <c r="M3005" s="1509">
        <f t="shared" si="430"/>
        <v>0</v>
      </c>
      <c r="N3005" s="1508">
        <f t="shared" si="436"/>
        <v>0</v>
      </c>
    </row>
    <row r="3006" spans="1:14" ht="46.5" outlineLevel="1" x14ac:dyDescent="0.25">
      <c r="A3006" s="1488">
        <f t="shared" si="434"/>
        <v>0</v>
      </c>
      <c r="B3006" s="1497" t="str">
        <f t="shared" si="434"/>
        <v>Scheme-2: Design, Engineering, Manufacturing, Supply, Erection, Commissioning, and testing of Portable Reclaim Feeder for CHP of Unit 5 to 9 in CSTPS Chandrapur.</v>
      </c>
      <c r="C3006" s="1488" t="str">
        <f t="shared" si="434"/>
        <v>Yet To Receive Approval</v>
      </c>
      <c r="D3006" s="1413" t="str">
        <f t="shared" si="434"/>
        <v>-</v>
      </c>
      <c r="E3006" s="560">
        <f t="shared" si="434"/>
        <v>0</v>
      </c>
      <c r="F3006" s="1508">
        <f t="shared" si="427"/>
        <v>18.489999999999998</v>
      </c>
      <c r="G3006" s="1508">
        <f t="shared" si="428"/>
        <v>18.489999999999998</v>
      </c>
      <c r="H3006" s="1508">
        <f t="shared" si="435"/>
        <v>0</v>
      </c>
      <c r="I3006" s="1480">
        <v>0</v>
      </c>
      <c r="J3006" s="1480">
        <v>0</v>
      </c>
      <c r="K3006" s="1508"/>
      <c r="L3006" s="1508"/>
      <c r="M3006" s="1509">
        <f t="shared" si="430"/>
        <v>0</v>
      </c>
      <c r="N3006" s="1508">
        <f t="shared" si="436"/>
        <v>0</v>
      </c>
    </row>
    <row r="3007" spans="1:14" ht="15.5" outlineLevel="1" x14ac:dyDescent="0.25">
      <c r="A3007" s="1488">
        <f t="shared" si="434"/>
        <v>0</v>
      </c>
      <c r="B3007" s="1497" t="str">
        <f t="shared" si="434"/>
        <v>IDC</v>
      </c>
      <c r="C3007" s="1488" t="str">
        <f t="shared" si="434"/>
        <v>Yet To Receive Approval</v>
      </c>
      <c r="D3007" s="1413" t="str">
        <f t="shared" si="434"/>
        <v>-</v>
      </c>
      <c r="E3007" s="560">
        <f t="shared" si="434"/>
        <v>0</v>
      </c>
      <c r="F3007" s="1508">
        <f t="shared" si="427"/>
        <v>0</v>
      </c>
      <c r="G3007" s="1508">
        <f t="shared" si="428"/>
        <v>0</v>
      </c>
      <c r="H3007" s="1508">
        <f t="shared" si="435"/>
        <v>0</v>
      </c>
      <c r="I3007" s="1480">
        <v>0</v>
      </c>
      <c r="J3007" s="1480">
        <v>0</v>
      </c>
      <c r="K3007" s="1508"/>
      <c r="L3007" s="1508"/>
      <c r="M3007" s="1509">
        <f t="shared" si="430"/>
        <v>0</v>
      </c>
      <c r="N3007" s="1508">
        <f t="shared" si="436"/>
        <v>0</v>
      </c>
    </row>
    <row r="3008" spans="1:14" ht="46.5" outlineLevel="1" x14ac:dyDescent="0.25">
      <c r="A3008" s="1486" t="str">
        <f t="shared" si="434"/>
        <v>Y12</v>
      </c>
      <c r="B3008" s="1491" t="str">
        <f t="shared" si="434"/>
        <v>Efficiency and Reliability improvement of PRDS, HP Heaters &amp;
Boiler pressure part system by rejuvenation of control valves, CSTPS Chandrapur</v>
      </c>
      <c r="C3008" s="1486" t="str">
        <f t="shared" si="434"/>
        <v>Yet To Receive Approval</v>
      </c>
      <c r="D3008" s="1413" t="str">
        <f t="shared" si="434"/>
        <v>-</v>
      </c>
      <c r="E3008" s="560">
        <f t="shared" si="434"/>
        <v>0</v>
      </c>
      <c r="F3008" s="1508">
        <f t="shared" si="427"/>
        <v>0</v>
      </c>
      <c r="G3008" s="1508">
        <f t="shared" si="428"/>
        <v>0</v>
      </c>
      <c r="H3008" s="1508">
        <f t="shared" si="435"/>
        <v>0</v>
      </c>
      <c r="I3008" s="1480">
        <v>0</v>
      </c>
      <c r="J3008" s="1480">
        <v>0</v>
      </c>
      <c r="K3008" s="1508"/>
      <c r="L3008" s="1508"/>
      <c r="M3008" s="1509">
        <f t="shared" si="430"/>
        <v>0</v>
      </c>
      <c r="N3008" s="1508">
        <f t="shared" si="436"/>
        <v>0</v>
      </c>
    </row>
    <row r="3009" spans="1:14" ht="31" outlineLevel="1" x14ac:dyDescent="0.25">
      <c r="A3009" s="1488">
        <f t="shared" si="434"/>
        <v>0</v>
      </c>
      <c r="B3009" s="1497" t="str">
        <f t="shared" si="434"/>
        <v>Scheme-1: Procurement of Sub body assembly &amp; Actuator for control &amp; motorized valves for U#3 &amp; U#4 (210MW).</v>
      </c>
      <c r="C3009" s="1488" t="str">
        <f t="shared" si="434"/>
        <v>Yet To Receive Approval</v>
      </c>
      <c r="D3009" s="1413" t="str">
        <f t="shared" si="434"/>
        <v>-</v>
      </c>
      <c r="E3009" s="560">
        <f t="shared" si="434"/>
        <v>0</v>
      </c>
      <c r="F3009" s="1508">
        <f t="shared" si="427"/>
        <v>16.5</v>
      </c>
      <c r="G3009" s="1508">
        <f t="shared" si="428"/>
        <v>16.5</v>
      </c>
      <c r="H3009" s="1508">
        <f t="shared" si="435"/>
        <v>0</v>
      </c>
      <c r="I3009" s="1480">
        <v>0</v>
      </c>
      <c r="J3009" s="1480">
        <v>0</v>
      </c>
      <c r="K3009" s="1508"/>
      <c r="L3009" s="1508"/>
      <c r="M3009" s="1509">
        <f t="shared" si="430"/>
        <v>0</v>
      </c>
      <c r="N3009" s="1508">
        <f t="shared" si="436"/>
        <v>0</v>
      </c>
    </row>
    <row r="3010" spans="1:14" ht="46.5" outlineLevel="1" x14ac:dyDescent="0.25">
      <c r="A3010" s="1488">
        <f t="shared" ref="A3010:E3025" si="437">A2340</f>
        <v>0</v>
      </c>
      <c r="B3010" s="1497" t="str">
        <f t="shared" si="437"/>
        <v>Scheme-2: Procurement of HC &amp; LC Feed and Soot Blower Drain Control sub body assembly for control valves for boiler Unit- 5, 6 &amp; 7 (500MW).</v>
      </c>
      <c r="C3010" s="1488" t="str">
        <f t="shared" si="437"/>
        <v>Yet To Receive Approval</v>
      </c>
      <c r="D3010" s="1413" t="str">
        <f t="shared" si="437"/>
        <v>-</v>
      </c>
      <c r="E3010" s="560">
        <f t="shared" si="437"/>
        <v>0</v>
      </c>
      <c r="F3010" s="1508">
        <f t="shared" ref="F3010:F3073" si="438">F2340+I2340</f>
        <v>3.05</v>
      </c>
      <c r="G3010" s="1508">
        <f t="shared" ref="G3010:G3073" si="439">G2340+M2340</f>
        <v>3.05</v>
      </c>
      <c r="H3010" s="1508">
        <f t="shared" si="435"/>
        <v>0</v>
      </c>
      <c r="I3010" s="1480">
        <v>0</v>
      </c>
      <c r="J3010" s="1480">
        <v>0</v>
      </c>
      <c r="K3010" s="1508"/>
      <c r="L3010" s="1508"/>
      <c r="M3010" s="1509">
        <f t="shared" si="430"/>
        <v>0</v>
      </c>
      <c r="N3010" s="1508">
        <f t="shared" si="436"/>
        <v>0</v>
      </c>
    </row>
    <row r="3011" spans="1:14" ht="31" outlineLevel="1" x14ac:dyDescent="0.25">
      <c r="A3011" s="1488">
        <f t="shared" si="437"/>
        <v>0</v>
      </c>
      <c r="B3011" s="1497" t="str">
        <f t="shared" si="437"/>
        <v>Scheme-3: Procurement of actuator assembly for control valves for boiler Unit- 5, 6 &amp; 7 (500MW).</v>
      </c>
      <c r="C3011" s="1488" t="str">
        <f t="shared" si="437"/>
        <v>Yet To Receive Approval</v>
      </c>
      <c r="D3011" s="1413" t="str">
        <f t="shared" si="437"/>
        <v>-</v>
      </c>
      <c r="E3011" s="560">
        <f t="shared" si="437"/>
        <v>0</v>
      </c>
      <c r="F3011" s="1508">
        <f t="shared" si="438"/>
        <v>2.21</v>
      </c>
      <c r="G3011" s="1508">
        <f t="shared" si="439"/>
        <v>2.21</v>
      </c>
      <c r="H3011" s="1508">
        <f t="shared" si="435"/>
        <v>0</v>
      </c>
      <c r="I3011" s="1480">
        <v>0</v>
      </c>
      <c r="J3011" s="1480">
        <v>0</v>
      </c>
      <c r="K3011" s="1508"/>
      <c r="L3011" s="1508"/>
      <c r="M3011" s="1509">
        <f t="shared" si="430"/>
        <v>0</v>
      </c>
      <c r="N3011" s="1508">
        <f t="shared" si="436"/>
        <v>0</v>
      </c>
    </row>
    <row r="3012" spans="1:14" ht="31" outlineLevel="1" x14ac:dyDescent="0.25">
      <c r="A3012" s="1488">
        <f t="shared" si="437"/>
        <v>0</v>
      </c>
      <c r="B3012" s="1497" t="str">
        <f t="shared" si="437"/>
        <v>Scheme-4: Procurement of HP heaters drip sub body assembly for control valve of 500MW Unit-5,6&amp;7.</v>
      </c>
      <c r="C3012" s="1488" t="str">
        <f t="shared" si="437"/>
        <v>Yet To Receive Approval</v>
      </c>
      <c r="D3012" s="1413" t="str">
        <f t="shared" si="437"/>
        <v>-</v>
      </c>
      <c r="E3012" s="560">
        <f t="shared" si="437"/>
        <v>0</v>
      </c>
      <c r="F3012" s="1508">
        <f t="shared" si="438"/>
        <v>1.39</v>
      </c>
      <c r="G3012" s="1508">
        <f t="shared" si="439"/>
        <v>1.39</v>
      </c>
      <c r="H3012" s="1508">
        <f t="shared" si="435"/>
        <v>0</v>
      </c>
      <c r="I3012" s="1480">
        <v>0</v>
      </c>
      <c r="J3012" s="1480">
        <v>0</v>
      </c>
      <c r="K3012" s="1508"/>
      <c r="L3012" s="1508"/>
      <c r="M3012" s="1509">
        <f t="shared" si="430"/>
        <v>0</v>
      </c>
      <c r="N3012" s="1508">
        <f t="shared" si="436"/>
        <v>0</v>
      </c>
    </row>
    <row r="3013" spans="1:14" ht="31" outlineLevel="1" x14ac:dyDescent="0.25">
      <c r="A3013" s="1488">
        <f t="shared" si="437"/>
        <v>0</v>
      </c>
      <c r="B3013" s="1497" t="str">
        <f t="shared" si="437"/>
        <v>Scheme-5: Procurement of actuator assembly for control valve of 500MW Unit-5,6&amp;7.</v>
      </c>
      <c r="C3013" s="1488" t="str">
        <f t="shared" si="437"/>
        <v>Yet To Receive Approval</v>
      </c>
      <c r="D3013" s="1413" t="str">
        <f t="shared" si="437"/>
        <v>-</v>
      </c>
      <c r="E3013" s="560">
        <f t="shared" si="437"/>
        <v>0</v>
      </c>
      <c r="F3013" s="1508">
        <f t="shared" si="438"/>
        <v>1.95</v>
      </c>
      <c r="G3013" s="1508">
        <f t="shared" si="439"/>
        <v>1.95</v>
      </c>
      <c r="H3013" s="1508">
        <f t="shared" si="435"/>
        <v>0</v>
      </c>
      <c r="I3013" s="1480">
        <v>0</v>
      </c>
      <c r="J3013" s="1480">
        <v>0</v>
      </c>
      <c r="K3013" s="1508"/>
      <c r="L3013" s="1508"/>
      <c r="M3013" s="1509">
        <f t="shared" si="430"/>
        <v>0</v>
      </c>
      <c r="N3013" s="1508">
        <f t="shared" si="436"/>
        <v>0</v>
      </c>
    </row>
    <row r="3014" spans="1:14" ht="15.5" outlineLevel="1" x14ac:dyDescent="0.25">
      <c r="A3014" s="1488">
        <f t="shared" si="437"/>
        <v>0</v>
      </c>
      <c r="B3014" s="1497" t="str">
        <f t="shared" si="437"/>
        <v>IDC</v>
      </c>
      <c r="C3014" s="1488" t="str">
        <f t="shared" si="437"/>
        <v>Yet To Receive Approval</v>
      </c>
      <c r="D3014" s="1413" t="str">
        <f t="shared" si="437"/>
        <v>-</v>
      </c>
      <c r="E3014" s="560">
        <f t="shared" si="437"/>
        <v>0</v>
      </c>
      <c r="F3014" s="1508">
        <f t="shared" si="438"/>
        <v>0</v>
      </c>
      <c r="G3014" s="1508">
        <f t="shared" si="439"/>
        <v>0</v>
      </c>
      <c r="H3014" s="1508">
        <f t="shared" si="435"/>
        <v>0</v>
      </c>
      <c r="I3014" s="1480">
        <v>0</v>
      </c>
      <c r="J3014" s="1480">
        <v>0</v>
      </c>
      <c r="K3014" s="1508"/>
      <c r="L3014" s="1508"/>
      <c r="M3014" s="1509">
        <f t="shared" si="430"/>
        <v>0</v>
      </c>
      <c r="N3014" s="1508">
        <f t="shared" si="436"/>
        <v>0</v>
      </c>
    </row>
    <row r="3015" spans="1:14" ht="46.5" outlineLevel="1" x14ac:dyDescent="0.25">
      <c r="A3015" s="1486" t="str">
        <f t="shared" si="437"/>
        <v>Y13</v>
      </c>
      <c r="B3015" s="1491" t="str">
        <f t="shared" si="437"/>
        <v>Supply &amp; installation of Advanced ESP Controller &amp; Numerical relay at U-7 and DAVR &amp; Up-gradation of Servo valves (ST) for HP-Bypass system at U-5,6,7, CSTPS</v>
      </c>
      <c r="C3015" s="1486" t="str">
        <f t="shared" si="437"/>
        <v>Yet To Receive Approval</v>
      </c>
      <c r="D3015" s="1413" t="str">
        <f t="shared" si="437"/>
        <v>-</v>
      </c>
      <c r="E3015" s="560">
        <f t="shared" si="437"/>
        <v>0</v>
      </c>
      <c r="F3015" s="1508">
        <f t="shared" si="438"/>
        <v>0</v>
      </c>
      <c r="G3015" s="1508">
        <f t="shared" si="439"/>
        <v>0</v>
      </c>
      <c r="H3015" s="1508">
        <f t="shared" si="435"/>
        <v>0</v>
      </c>
      <c r="I3015" s="1480">
        <v>0</v>
      </c>
      <c r="J3015" s="1480">
        <v>0</v>
      </c>
      <c r="K3015" s="1508"/>
      <c r="L3015" s="1508"/>
      <c r="M3015" s="1509">
        <f t="shared" si="430"/>
        <v>0</v>
      </c>
      <c r="N3015" s="1508">
        <f t="shared" si="436"/>
        <v>0</v>
      </c>
    </row>
    <row r="3016" spans="1:14" ht="46.5" outlineLevel="1" x14ac:dyDescent="0.25">
      <c r="A3016" s="1488">
        <f t="shared" si="437"/>
        <v>0</v>
      </c>
      <c r="B3016" s="1497" t="str">
        <f t="shared" si="437"/>
        <v xml:space="preserve">Scheme1: Supply and installation of advanced ESP Controllers for retrofitting in place of existing Alstom make EPIC-II controllers at ESP U-7 </v>
      </c>
      <c r="C3016" s="1488" t="str">
        <f t="shared" si="437"/>
        <v>Yet To Receive Approval</v>
      </c>
      <c r="D3016" s="1413" t="str">
        <f t="shared" si="437"/>
        <v>-</v>
      </c>
      <c r="E3016" s="560">
        <f t="shared" si="437"/>
        <v>0</v>
      </c>
      <c r="F3016" s="1508">
        <f t="shared" si="438"/>
        <v>4.1500000000000004</v>
      </c>
      <c r="G3016" s="1508">
        <f t="shared" si="439"/>
        <v>4.1500000000000004</v>
      </c>
      <c r="H3016" s="1508">
        <f t="shared" si="435"/>
        <v>0</v>
      </c>
      <c r="I3016" s="1480">
        <v>0</v>
      </c>
      <c r="J3016" s="1480">
        <v>0</v>
      </c>
      <c r="K3016" s="1508"/>
      <c r="L3016" s="1508"/>
      <c r="M3016" s="1509">
        <f t="shared" si="430"/>
        <v>0</v>
      </c>
      <c r="N3016" s="1508">
        <f t="shared" si="436"/>
        <v>0</v>
      </c>
    </row>
    <row r="3017" spans="1:14" ht="15.5" outlineLevel="1" x14ac:dyDescent="0.25">
      <c r="A3017" s="1488">
        <f t="shared" si="437"/>
        <v>0</v>
      </c>
      <c r="B3017" s="1497" t="str">
        <f t="shared" si="437"/>
        <v>Scheme-2: Supply and installation of DAVR at U-5,6,7</v>
      </c>
      <c r="C3017" s="1488" t="str">
        <f t="shared" si="437"/>
        <v>Yet To Receive Approval</v>
      </c>
      <c r="D3017" s="1413" t="str">
        <f t="shared" si="437"/>
        <v>-</v>
      </c>
      <c r="E3017" s="560">
        <f t="shared" si="437"/>
        <v>0</v>
      </c>
      <c r="F3017" s="1508">
        <f t="shared" si="438"/>
        <v>6.07</v>
      </c>
      <c r="G3017" s="1508">
        <f t="shared" si="439"/>
        <v>6.07</v>
      </c>
      <c r="H3017" s="1508">
        <f t="shared" si="435"/>
        <v>0</v>
      </c>
      <c r="I3017" s="1480">
        <v>0</v>
      </c>
      <c r="J3017" s="1480">
        <v>0</v>
      </c>
      <c r="K3017" s="1508"/>
      <c r="L3017" s="1508"/>
      <c r="M3017" s="1509">
        <f t="shared" si="430"/>
        <v>0</v>
      </c>
      <c r="N3017" s="1508">
        <f t="shared" si="436"/>
        <v>0</v>
      </c>
    </row>
    <row r="3018" spans="1:14" ht="46.5" outlineLevel="1" x14ac:dyDescent="0.25">
      <c r="A3018" s="1488">
        <f t="shared" si="437"/>
        <v>0</v>
      </c>
      <c r="B3018" s="1497" t="str">
        <f t="shared" si="437"/>
        <v>Scheme 3: Supply, installation and commissioning of numerical protection relays with set of auxiliary relays for HT switchgear, Unit-7</v>
      </c>
      <c r="C3018" s="1488" t="str">
        <f t="shared" si="437"/>
        <v>Yet To Receive Approval</v>
      </c>
      <c r="D3018" s="1413" t="str">
        <f t="shared" si="437"/>
        <v>-</v>
      </c>
      <c r="E3018" s="560">
        <f t="shared" si="437"/>
        <v>0</v>
      </c>
      <c r="F3018" s="1508">
        <f t="shared" si="438"/>
        <v>9.01</v>
      </c>
      <c r="G3018" s="1508">
        <f t="shared" si="439"/>
        <v>9.01</v>
      </c>
      <c r="H3018" s="1508">
        <f t="shared" si="435"/>
        <v>0</v>
      </c>
      <c r="I3018" s="1480">
        <v>0</v>
      </c>
      <c r="J3018" s="1480">
        <v>0</v>
      </c>
      <c r="K3018" s="1508"/>
      <c r="L3018" s="1508"/>
      <c r="M3018" s="1509">
        <f t="shared" si="430"/>
        <v>0</v>
      </c>
      <c r="N3018" s="1508">
        <f t="shared" si="436"/>
        <v>0</v>
      </c>
    </row>
    <row r="3019" spans="1:14" ht="31" outlineLevel="1" x14ac:dyDescent="0.25">
      <c r="A3019" s="1488">
        <f t="shared" si="437"/>
        <v>0</v>
      </c>
      <c r="B3019" s="1497" t="str">
        <f t="shared" si="437"/>
        <v>Scheme 4: Up-gradation of Servo valves (ST) by Proportional valves (PV) &amp; oil unitOV to HV for HP- Bypass system in U-5,6,7</v>
      </c>
      <c r="C3019" s="1488" t="str">
        <f t="shared" si="437"/>
        <v>Yet To Receive Approval</v>
      </c>
      <c r="D3019" s="1413" t="str">
        <f t="shared" si="437"/>
        <v>-</v>
      </c>
      <c r="E3019" s="560">
        <f t="shared" si="437"/>
        <v>0</v>
      </c>
      <c r="F3019" s="1508">
        <f t="shared" si="438"/>
        <v>9.86</v>
      </c>
      <c r="G3019" s="1508">
        <f t="shared" si="439"/>
        <v>9.86</v>
      </c>
      <c r="H3019" s="1508">
        <f t="shared" si="435"/>
        <v>0</v>
      </c>
      <c r="I3019" s="1480">
        <v>0</v>
      </c>
      <c r="J3019" s="1480">
        <v>0</v>
      </c>
      <c r="K3019" s="1508"/>
      <c r="L3019" s="1508"/>
      <c r="M3019" s="1509">
        <f t="shared" si="430"/>
        <v>0</v>
      </c>
      <c r="N3019" s="1508">
        <f t="shared" si="436"/>
        <v>0</v>
      </c>
    </row>
    <row r="3020" spans="1:14" ht="15.5" outlineLevel="1" x14ac:dyDescent="0.25">
      <c r="A3020" s="1488">
        <f t="shared" si="437"/>
        <v>0</v>
      </c>
      <c r="B3020" s="1497" t="str">
        <f t="shared" si="437"/>
        <v>IDC</v>
      </c>
      <c r="C3020" s="1488" t="str">
        <f t="shared" si="437"/>
        <v>Yet To Receive Approval</v>
      </c>
      <c r="D3020" s="1413" t="str">
        <f t="shared" si="437"/>
        <v>-</v>
      </c>
      <c r="E3020" s="560">
        <f t="shared" si="437"/>
        <v>0</v>
      </c>
      <c r="F3020" s="1508">
        <f t="shared" si="438"/>
        <v>0</v>
      </c>
      <c r="G3020" s="1508">
        <f t="shared" si="439"/>
        <v>0</v>
      </c>
      <c r="H3020" s="1508">
        <f t="shared" si="435"/>
        <v>0</v>
      </c>
      <c r="I3020" s="1480">
        <v>0</v>
      </c>
      <c r="J3020" s="1480">
        <v>0</v>
      </c>
      <c r="K3020" s="1508"/>
      <c r="L3020" s="1508"/>
      <c r="M3020" s="1509">
        <f t="shared" si="430"/>
        <v>0</v>
      </c>
      <c r="N3020" s="1508">
        <f t="shared" si="436"/>
        <v>0</v>
      </c>
    </row>
    <row r="3021" spans="1:14" ht="46.5" outlineLevel="1" x14ac:dyDescent="0.25">
      <c r="A3021" s="1486" t="str">
        <f t="shared" si="437"/>
        <v>Y14</v>
      </c>
      <c r="B3021" s="1491" t="str">
        <f t="shared" si="437"/>
        <v>Improvement in Reliability and Life Enhancement of Coal Mill by Refurbishment of Flender make KMS 850 Gear Box of XRP-1043 Coal Mill Unit 5 &amp; 6 at CSTPS, Chandrapur</v>
      </c>
      <c r="C3021" s="1486" t="str">
        <f t="shared" si="437"/>
        <v>Yet To Receive Approval</v>
      </c>
      <c r="D3021" s="1413" t="str">
        <f t="shared" si="437"/>
        <v>-</v>
      </c>
      <c r="E3021" s="560">
        <f t="shared" si="437"/>
        <v>0</v>
      </c>
      <c r="F3021" s="1508">
        <f t="shared" si="438"/>
        <v>0</v>
      </c>
      <c r="G3021" s="1508">
        <f t="shared" si="439"/>
        <v>0</v>
      </c>
      <c r="H3021" s="1508">
        <f>F3021-G3021</f>
        <v>0</v>
      </c>
      <c r="I3021" s="1480">
        <v>0</v>
      </c>
      <c r="J3021" s="1480">
        <v>0</v>
      </c>
      <c r="K3021" s="1508"/>
      <c r="L3021" s="1508"/>
      <c r="M3021" s="1509">
        <f>SUM(J3021:L3021)</f>
        <v>0</v>
      </c>
      <c r="N3021" s="1508">
        <f>H3021+I3021-M3021</f>
        <v>0</v>
      </c>
    </row>
    <row r="3022" spans="1:14" ht="31" outlineLevel="1" x14ac:dyDescent="0.25">
      <c r="A3022" s="1488">
        <f t="shared" si="437"/>
        <v>0</v>
      </c>
      <c r="B3022" s="1497" t="str">
        <f t="shared" si="437"/>
        <v>Coal Mill Life Enhancement by Refurbishment of Flender make KMS 850 gear box of XRP-1043 coal mill in Unit-5&amp;6</v>
      </c>
      <c r="C3022" s="1488" t="str">
        <f t="shared" si="437"/>
        <v>Yet To Receive Approval</v>
      </c>
      <c r="D3022" s="1413" t="str">
        <f t="shared" si="437"/>
        <v>-</v>
      </c>
      <c r="E3022" s="560">
        <f t="shared" si="437"/>
        <v>0</v>
      </c>
      <c r="F3022" s="1508">
        <f t="shared" si="438"/>
        <v>24.96</v>
      </c>
      <c r="G3022" s="1508">
        <f t="shared" si="439"/>
        <v>24.96</v>
      </c>
      <c r="H3022" s="1508">
        <f>F3022-G3022</f>
        <v>0</v>
      </c>
      <c r="I3022" s="1480">
        <v>0</v>
      </c>
      <c r="J3022" s="1480">
        <v>0</v>
      </c>
      <c r="K3022" s="1508"/>
      <c r="L3022" s="1508"/>
      <c r="M3022" s="1509">
        <f>SUM(J3022:L3022)</f>
        <v>0</v>
      </c>
      <c r="N3022" s="1508">
        <f>H3022+I3022-M3022</f>
        <v>0</v>
      </c>
    </row>
    <row r="3023" spans="1:14" ht="15.5" outlineLevel="1" x14ac:dyDescent="0.25">
      <c r="A3023" s="1488">
        <f t="shared" si="437"/>
        <v>0</v>
      </c>
      <c r="B3023" s="1497" t="str">
        <f t="shared" si="437"/>
        <v>IDC</v>
      </c>
      <c r="C3023" s="1488" t="str">
        <f t="shared" si="437"/>
        <v>Yet To Receive Approval</v>
      </c>
      <c r="D3023" s="1413" t="str">
        <f t="shared" si="437"/>
        <v>-</v>
      </c>
      <c r="E3023" s="560">
        <f t="shared" si="437"/>
        <v>0</v>
      </c>
      <c r="F3023" s="1508">
        <f t="shared" si="438"/>
        <v>0</v>
      </c>
      <c r="G3023" s="1508">
        <f t="shared" si="439"/>
        <v>0</v>
      </c>
      <c r="H3023" s="1508">
        <f>F3023-G3023</f>
        <v>0</v>
      </c>
      <c r="I3023" s="1480">
        <v>0</v>
      </c>
      <c r="J3023" s="1480">
        <v>0</v>
      </c>
      <c r="K3023" s="1508"/>
      <c r="L3023" s="1508"/>
      <c r="M3023" s="1509">
        <f>SUM(J3023:L3023)</f>
        <v>0</v>
      </c>
      <c r="N3023" s="1508">
        <f>H3023+I3023-M3023</f>
        <v>0</v>
      </c>
    </row>
    <row r="3024" spans="1:14" ht="15.5" outlineLevel="1" x14ac:dyDescent="0.25">
      <c r="A3024" s="1488">
        <f t="shared" si="437"/>
        <v>0</v>
      </c>
      <c r="B3024" s="1497">
        <f t="shared" si="437"/>
        <v>0</v>
      </c>
      <c r="C3024" s="1488">
        <f t="shared" si="437"/>
        <v>0</v>
      </c>
      <c r="D3024" s="1413" t="str">
        <f t="shared" si="437"/>
        <v>-</v>
      </c>
      <c r="E3024" s="560">
        <f t="shared" si="437"/>
        <v>0</v>
      </c>
      <c r="F3024" s="1508">
        <f t="shared" si="438"/>
        <v>0</v>
      </c>
      <c r="G3024" s="1508">
        <f t="shared" si="439"/>
        <v>0</v>
      </c>
      <c r="H3024" s="1508">
        <f t="shared" ref="H3024:H3087" si="440">F3024-G3024</f>
        <v>0</v>
      </c>
      <c r="I3024" s="1480">
        <v>0</v>
      </c>
      <c r="J3024" s="1480">
        <v>0</v>
      </c>
      <c r="K3024" s="1508"/>
      <c r="L3024" s="1508"/>
      <c r="M3024" s="1509">
        <f t="shared" ref="M3024:M3087" si="441">SUM(J3024:L3024)</f>
        <v>0</v>
      </c>
      <c r="N3024" s="1508">
        <f t="shared" ref="N3024:N3087" si="442">H3024+I3024-M3024</f>
        <v>0</v>
      </c>
    </row>
    <row r="3025" spans="1:14" ht="15.5" outlineLevel="1" x14ac:dyDescent="0.25">
      <c r="A3025" s="1488">
        <f t="shared" si="437"/>
        <v>0</v>
      </c>
      <c r="B3025" s="1497">
        <f t="shared" si="437"/>
        <v>0</v>
      </c>
      <c r="C3025" s="1488">
        <f t="shared" si="437"/>
        <v>0</v>
      </c>
      <c r="D3025" s="1413" t="str">
        <f t="shared" si="437"/>
        <v>-</v>
      </c>
      <c r="E3025" s="560">
        <f t="shared" si="437"/>
        <v>0</v>
      </c>
      <c r="F3025" s="1508">
        <f t="shared" si="438"/>
        <v>0</v>
      </c>
      <c r="G3025" s="1508">
        <f t="shared" si="439"/>
        <v>0</v>
      </c>
      <c r="H3025" s="1508">
        <f t="shared" si="440"/>
        <v>0</v>
      </c>
      <c r="I3025" s="1480">
        <v>0</v>
      </c>
      <c r="J3025" s="1480">
        <v>0</v>
      </c>
      <c r="K3025" s="1508"/>
      <c r="L3025" s="1508"/>
      <c r="M3025" s="1509">
        <f t="shared" si="441"/>
        <v>0</v>
      </c>
      <c r="N3025" s="1508">
        <f t="shared" si="442"/>
        <v>0</v>
      </c>
    </row>
    <row r="3026" spans="1:14" ht="15.5" outlineLevel="1" x14ac:dyDescent="0.25">
      <c r="A3026" s="1500">
        <f t="shared" ref="A3026:E3041" si="443">A2356</f>
        <v>0</v>
      </c>
      <c r="B3026" s="1502">
        <f t="shared" si="443"/>
        <v>0</v>
      </c>
      <c r="C3026" s="1500">
        <f t="shared" si="443"/>
        <v>0</v>
      </c>
      <c r="D3026" s="1501" t="str">
        <f t="shared" si="443"/>
        <v>-</v>
      </c>
      <c r="E3026" s="560">
        <f t="shared" si="443"/>
        <v>0</v>
      </c>
      <c r="F3026" s="1508">
        <f t="shared" si="438"/>
        <v>0</v>
      </c>
      <c r="G3026" s="1508">
        <f t="shared" si="439"/>
        <v>0</v>
      </c>
      <c r="H3026" s="1508">
        <f t="shared" si="440"/>
        <v>0</v>
      </c>
      <c r="I3026" s="1480">
        <v>0</v>
      </c>
      <c r="J3026" s="1480">
        <v>0</v>
      </c>
      <c r="K3026" s="1508"/>
      <c r="L3026" s="1508"/>
      <c r="M3026" s="1509">
        <f t="shared" si="441"/>
        <v>0</v>
      </c>
      <c r="N3026" s="1508">
        <f t="shared" si="442"/>
        <v>0</v>
      </c>
    </row>
    <row r="3027" spans="1:14" ht="15.5" outlineLevel="1" x14ac:dyDescent="0.25">
      <c r="A3027" s="1453">
        <f t="shared" si="443"/>
        <v>0</v>
      </c>
      <c r="B3027" s="1476" t="str">
        <f t="shared" si="443"/>
        <v>(ii) Yet to be submitted to MERC</v>
      </c>
      <c r="C3027" s="1453">
        <f t="shared" si="443"/>
        <v>0</v>
      </c>
      <c r="D3027" s="1503" t="str">
        <f t="shared" si="443"/>
        <v>-</v>
      </c>
      <c r="E3027" s="560">
        <f t="shared" si="443"/>
        <v>0</v>
      </c>
      <c r="F3027" s="1508">
        <f t="shared" si="438"/>
        <v>0</v>
      </c>
      <c r="G3027" s="1508">
        <f t="shared" si="439"/>
        <v>0</v>
      </c>
      <c r="H3027" s="1508">
        <f t="shared" si="440"/>
        <v>0</v>
      </c>
      <c r="I3027" s="1480">
        <v>0</v>
      </c>
      <c r="J3027" s="1480">
        <v>0</v>
      </c>
      <c r="K3027" s="1508"/>
      <c r="L3027" s="1508"/>
      <c r="M3027" s="1509">
        <f t="shared" si="441"/>
        <v>0</v>
      </c>
      <c r="N3027" s="1508">
        <f t="shared" si="442"/>
        <v>0</v>
      </c>
    </row>
    <row r="3028" spans="1:14" ht="15.5" outlineLevel="1" x14ac:dyDescent="0.25">
      <c r="A3028" s="1453">
        <f t="shared" si="443"/>
        <v>0</v>
      </c>
      <c r="B3028" s="1476">
        <f t="shared" si="443"/>
        <v>0</v>
      </c>
      <c r="C3028" s="1453">
        <f t="shared" si="443"/>
        <v>0</v>
      </c>
      <c r="D3028" s="1503" t="str">
        <f t="shared" si="443"/>
        <v>-</v>
      </c>
      <c r="E3028" s="560">
        <f t="shared" si="443"/>
        <v>0</v>
      </c>
      <c r="F3028" s="1508">
        <f t="shared" si="438"/>
        <v>0</v>
      </c>
      <c r="G3028" s="1508">
        <f t="shared" si="439"/>
        <v>0</v>
      </c>
      <c r="H3028" s="1508">
        <f t="shared" si="440"/>
        <v>0</v>
      </c>
      <c r="I3028" s="1480">
        <v>0</v>
      </c>
      <c r="J3028" s="1480">
        <v>0</v>
      </c>
      <c r="K3028" s="1508"/>
      <c r="L3028" s="1508"/>
      <c r="M3028" s="1509">
        <f t="shared" si="441"/>
        <v>0</v>
      </c>
      <c r="N3028" s="1508">
        <f t="shared" si="442"/>
        <v>0</v>
      </c>
    </row>
    <row r="3029" spans="1:14" ht="77.5" outlineLevel="1" x14ac:dyDescent="0.25">
      <c r="A3029" s="1486">
        <f t="shared" si="443"/>
        <v>2</v>
      </c>
      <c r="B3029" s="1491" t="str">
        <f t="shared" si="443"/>
        <v>‘Supply, installation, restoration, up-gradation and revamping of Fire Protection Systems viz Fire Hydrant System, Passive Fire Protection System, DV House Construction &amp; Fire Water Spray System at plant &amp; ODP area of Unit-3to9 and CHPs (CHP-A,B,C,&amp;D) of CSTPS, Chandrapur’</v>
      </c>
      <c r="C3029" s="166">
        <f t="shared" si="443"/>
        <v>0</v>
      </c>
      <c r="D3029" s="1413" t="str">
        <f t="shared" si="443"/>
        <v>-</v>
      </c>
      <c r="E3029" s="560">
        <f t="shared" si="443"/>
        <v>118.75</v>
      </c>
      <c r="F3029" s="1508">
        <f t="shared" si="438"/>
        <v>0</v>
      </c>
      <c r="G3029" s="1508">
        <f t="shared" si="439"/>
        <v>0</v>
      </c>
      <c r="H3029" s="1508">
        <f t="shared" si="440"/>
        <v>0</v>
      </c>
      <c r="I3029" s="1480">
        <v>0</v>
      </c>
      <c r="J3029" s="1480">
        <v>0</v>
      </c>
      <c r="K3029" s="1508"/>
      <c r="L3029" s="1508"/>
      <c r="M3029" s="1509">
        <f t="shared" si="441"/>
        <v>0</v>
      </c>
      <c r="N3029" s="1508">
        <f t="shared" si="442"/>
        <v>0</v>
      </c>
    </row>
    <row r="3030" spans="1:14" ht="77.5" outlineLevel="1" x14ac:dyDescent="0.25">
      <c r="A3030" s="1492">
        <f t="shared" si="443"/>
        <v>0</v>
      </c>
      <c r="B3030" s="1492" t="str">
        <f t="shared" si="443"/>
        <v>‘Supply, installation, restoration, up-gradation and revamping of Fire Protection Systems viz Fire Hydrant System, Passive Fire Protection System, DV House Construction &amp; Fire Water Spray System at plant &amp; ODP area of Unit-3to9 and CHPs (CHP-A,B,C,&amp;D) of CSTPS, Chandrapur’</v>
      </c>
      <c r="C3030" s="166">
        <f t="shared" si="443"/>
        <v>0</v>
      </c>
      <c r="D3030" s="1413" t="str">
        <f t="shared" si="443"/>
        <v>-</v>
      </c>
      <c r="E3030" s="560">
        <f t="shared" si="443"/>
        <v>118.75</v>
      </c>
      <c r="F3030" s="1508">
        <f t="shared" si="438"/>
        <v>0</v>
      </c>
      <c r="G3030" s="1508">
        <f t="shared" si="439"/>
        <v>0</v>
      </c>
      <c r="H3030" s="1508">
        <f t="shared" si="440"/>
        <v>0</v>
      </c>
      <c r="I3030" s="1480">
        <v>118.75</v>
      </c>
      <c r="J3030" s="1480">
        <v>118.75</v>
      </c>
      <c r="K3030" s="1508"/>
      <c r="L3030" s="1508"/>
      <c r="M3030" s="1509">
        <f t="shared" si="441"/>
        <v>118.75</v>
      </c>
      <c r="N3030" s="1508">
        <f t="shared" si="442"/>
        <v>0</v>
      </c>
    </row>
    <row r="3031" spans="1:14" ht="62" outlineLevel="1" x14ac:dyDescent="0.25">
      <c r="A3031" s="1486">
        <f t="shared" si="443"/>
        <v>3</v>
      </c>
      <c r="B3031" s="1491" t="str">
        <f t="shared" si="443"/>
        <v>DPR for Fire Detection &amp; Alarm and Protection System from Fire and Providing Rapid Extinguishing Clean Agent (CA) System at Unit -7, Outdoor Plants, CHPs, Service building &amp; Admin Building at CSTPS</v>
      </c>
      <c r="C3031" s="166">
        <f t="shared" si="443"/>
        <v>0</v>
      </c>
      <c r="D3031" s="1413" t="str">
        <f t="shared" si="443"/>
        <v>-</v>
      </c>
      <c r="E3031" s="560">
        <f t="shared" si="443"/>
        <v>31.56</v>
      </c>
      <c r="F3031" s="1508">
        <f t="shared" si="438"/>
        <v>0</v>
      </c>
      <c r="G3031" s="1508">
        <f t="shared" si="439"/>
        <v>0</v>
      </c>
      <c r="H3031" s="1508">
        <f t="shared" si="440"/>
        <v>0</v>
      </c>
      <c r="I3031" s="1480">
        <v>0</v>
      </c>
      <c r="J3031" s="1480">
        <v>0</v>
      </c>
      <c r="K3031" s="1508"/>
      <c r="L3031" s="1508"/>
      <c r="M3031" s="1509">
        <f t="shared" si="441"/>
        <v>0</v>
      </c>
      <c r="N3031" s="1508">
        <f t="shared" si="442"/>
        <v>0</v>
      </c>
    </row>
    <row r="3032" spans="1:14" ht="62" outlineLevel="1" x14ac:dyDescent="0.25">
      <c r="A3032" s="1492">
        <f t="shared" si="443"/>
        <v>0</v>
      </c>
      <c r="B3032" s="1492" t="str">
        <f t="shared" si="443"/>
        <v>DPR for Fire Detection &amp; Alarm and Protection System from Fire and Providing Rapid Extinguishing Clean Agent (CA) System at Unit -7, Outdoor Plants, CHPs, Service building &amp; Admin Building at CSTPS</v>
      </c>
      <c r="C3032" s="166">
        <f t="shared" si="443"/>
        <v>0</v>
      </c>
      <c r="D3032" s="1413" t="str">
        <f t="shared" si="443"/>
        <v>-</v>
      </c>
      <c r="E3032" s="560">
        <f t="shared" si="443"/>
        <v>31.56</v>
      </c>
      <c r="F3032" s="1508">
        <f t="shared" si="438"/>
        <v>0</v>
      </c>
      <c r="G3032" s="1508">
        <f t="shared" si="439"/>
        <v>0</v>
      </c>
      <c r="H3032" s="1508">
        <f t="shared" si="440"/>
        <v>0</v>
      </c>
      <c r="I3032" s="1480">
        <v>31.56</v>
      </c>
      <c r="J3032" s="1480">
        <v>31.56</v>
      </c>
      <c r="K3032" s="1508"/>
      <c r="L3032" s="1508"/>
      <c r="M3032" s="1509">
        <f t="shared" si="441"/>
        <v>31.56</v>
      </c>
      <c r="N3032" s="1508">
        <f t="shared" si="442"/>
        <v>0</v>
      </c>
    </row>
    <row r="3033" spans="1:14" ht="46.5" outlineLevel="1" x14ac:dyDescent="0.25">
      <c r="A3033" s="1486">
        <f t="shared" si="443"/>
        <v>4</v>
      </c>
      <c r="B3033" s="1491" t="str">
        <f t="shared" si="443"/>
        <v>Renovation of various component of bottom opening bogie frame at CSTPS Chandrapur &amp; Provision of Wagon Tippler Safety System in Coal Handling Plant at CSTPS</v>
      </c>
      <c r="C3033" s="166">
        <f t="shared" si="443"/>
        <v>0</v>
      </c>
      <c r="D3033" s="1413" t="str">
        <f t="shared" si="443"/>
        <v>-</v>
      </c>
      <c r="E3033" s="560">
        <f t="shared" si="443"/>
        <v>35</v>
      </c>
      <c r="F3033" s="1508">
        <f t="shared" si="438"/>
        <v>0</v>
      </c>
      <c r="G3033" s="1508">
        <f t="shared" si="439"/>
        <v>0</v>
      </c>
      <c r="H3033" s="1508">
        <f t="shared" si="440"/>
        <v>0</v>
      </c>
      <c r="I3033" s="1480">
        <v>0</v>
      </c>
      <c r="J3033" s="1480">
        <v>0</v>
      </c>
      <c r="K3033" s="1508"/>
      <c r="L3033" s="1508"/>
      <c r="M3033" s="1509">
        <f t="shared" si="441"/>
        <v>0</v>
      </c>
      <c r="N3033" s="1508">
        <f t="shared" si="442"/>
        <v>0</v>
      </c>
    </row>
    <row r="3034" spans="1:14" ht="46.5" outlineLevel="1" x14ac:dyDescent="0.25">
      <c r="A3034" s="1492">
        <f t="shared" si="443"/>
        <v>0</v>
      </c>
      <c r="B3034" s="1492" t="str">
        <f t="shared" si="443"/>
        <v>Renovation of various component of bottom opening bogie frame at CSTPS Chandrapur &amp; Provision of Wagon Tippler Safety System in Coal Handling Plant at CSTPS</v>
      </c>
      <c r="C3034" s="166">
        <f t="shared" si="443"/>
        <v>0</v>
      </c>
      <c r="D3034" s="1413" t="str">
        <f t="shared" si="443"/>
        <v>-</v>
      </c>
      <c r="E3034" s="560">
        <f t="shared" si="443"/>
        <v>35</v>
      </c>
      <c r="F3034" s="1508">
        <f t="shared" si="438"/>
        <v>0</v>
      </c>
      <c r="G3034" s="1508">
        <f t="shared" si="439"/>
        <v>0</v>
      </c>
      <c r="H3034" s="1508">
        <f t="shared" si="440"/>
        <v>0</v>
      </c>
      <c r="I3034" s="1480">
        <v>35</v>
      </c>
      <c r="J3034" s="1480">
        <v>35</v>
      </c>
      <c r="K3034" s="1508"/>
      <c r="L3034" s="1508"/>
      <c r="M3034" s="1509">
        <f t="shared" si="441"/>
        <v>35</v>
      </c>
      <c r="N3034" s="1508">
        <f t="shared" si="442"/>
        <v>0</v>
      </c>
    </row>
    <row r="3035" spans="1:14" ht="31" outlineLevel="1" x14ac:dyDescent="0.25">
      <c r="A3035" s="1486">
        <f t="shared" si="443"/>
        <v>5</v>
      </c>
      <c r="B3035" s="1491" t="str">
        <f t="shared" si="443"/>
        <v>Construction of road from CHP Weighbridge to Railway Crossing &amp; provision of Road Under Bridge (RUB) at CSTPS, Chandrapur</v>
      </c>
      <c r="C3035" s="166">
        <f t="shared" si="443"/>
        <v>0</v>
      </c>
      <c r="D3035" s="1413" t="str">
        <f t="shared" si="443"/>
        <v>-</v>
      </c>
      <c r="E3035" s="560">
        <f t="shared" si="443"/>
        <v>41.24</v>
      </c>
      <c r="F3035" s="1508">
        <f t="shared" si="438"/>
        <v>0</v>
      </c>
      <c r="G3035" s="1508">
        <f t="shared" si="439"/>
        <v>0</v>
      </c>
      <c r="H3035" s="1508">
        <f t="shared" si="440"/>
        <v>0</v>
      </c>
      <c r="I3035" s="1480">
        <v>0</v>
      </c>
      <c r="J3035" s="1480">
        <v>0</v>
      </c>
      <c r="K3035" s="1508"/>
      <c r="L3035" s="1508"/>
      <c r="M3035" s="1509">
        <f t="shared" si="441"/>
        <v>0</v>
      </c>
      <c r="N3035" s="1508">
        <f t="shared" si="442"/>
        <v>0</v>
      </c>
    </row>
    <row r="3036" spans="1:14" ht="31" outlineLevel="1" x14ac:dyDescent="0.25">
      <c r="A3036" s="1492">
        <f t="shared" si="443"/>
        <v>0</v>
      </c>
      <c r="B3036" s="1492" t="str">
        <f t="shared" si="443"/>
        <v>Construction of concrete pavement road connecting to CHP weighbridge to Railway crossing at CSTPS, Chandrapur.</v>
      </c>
      <c r="C3036" s="166">
        <f t="shared" si="443"/>
        <v>0</v>
      </c>
      <c r="D3036" s="1413" t="str">
        <f t="shared" si="443"/>
        <v>-</v>
      </c>
      <c r="E3036" s="560">
        <f t="shared" si="443"/>
        <v>5.42</v>
      </c>
      <c r="F3036" s="1508">
        <f t="shared" si="438"/>
        <v>5.42</v>
      </c>
      <c r="G3036" s="1508">
        <f t="shared" si="439"/>
        <v>5.42</v>
      </c>
      <c r="H3036" s="1508">
        <f t="shared" si="440"/>
        <v>0</v>
      </c>
      <c r="I3036" s="1480">
        <v>0</v>
      </c>
      <c r="J3036" s="1480">
        <v>0</v>
      </c>
      <c r="K3036" s="1508"/>
      <c r="L3036" s="1508"/>
      <c r="M3036" s="1509">
        <f t="shared" si="441"/>
        <v>0</v>
      </c>
      <c r="N3036" s="1508">
        <f t="shared" si="442"/>
        <v>0</v>
      </c>
    </row>
    <row r="3037" spans="1:14" ht="31" outlineLevel="1" x14ac:dyDescent="0.25">
      <c r="A3037" s="1492">
        <f t="shared" si="443"/>
        <v>0</v>
      </c>
      <c r="B3037" s="1492" t="str">
        <f t="shared" si="443"/>
        <v>Provision of Road Under Bridge at Vivekanand Nagar Tukum At CSTPS, Chandrapur.</v>
      </c>
      <c r="C3037" s="166">
        <f t="shared" si="443"/>
        <v>0</v>
      </c>
      <c r="D3037" s="1413" t="str">
        <f t="shared" si="443"/>
        <v>-</v>
      </c>
      <c r="E3037" s="560">
        <f t="shared" si="443"/>
        <v>35.82</v>
      </c>
      <c r="F3037" s="1508">
        <f t="shared" si="438"/>
        <v>35.82</v>
      </c>
      <c r="G3037" s="1508">
        <f t="shared" si="439"/>
        <v>35.82</v>
      </c>
      <c r="H3037" s="1508">
        <f t="shared" si="440"/>
        <v>0</v>
      </c>
      <c r="I3037" s="1480">
        <v>0</v>
      </c>
      <c r="J3037" s="1480">
        <v>0</v>
      </c>
      <c r="K3037" s="1508"/>
      <c r="L3037" s="1508"/>
      <c r="M3037" s="1509">
        <f t="shared" si="441"/>
        <v>0</v>
      </c>
      <c r="N3037" s="1508">
        <f t="shared" si="442"/>
        <v>0</v>
      </c>
    </row>
    <row r="3038" spans="1:14" ht="31" outlineLevel="1" x14ac:dyDescent="0.25">
      <c r="A3038" s="1486">
        <f t="shared" si="443"/>
        <v>6</v>
      </c>
      <c r="B3038" s="1491" t="str">
        <f t="shared" si="443"/>
        <v>Construction of UCR wall and bed of Neri Nallah at CSTPS, Chandrapur.</v>
      </c>
      <c r="C3038" s="166">
        <f t="shared" si="443"/>
        <v>0</v>
      </c>
      <c r="D3038" s="1413" t="str">
        <f t="shared" si="443"/>
        <v>-</v>
      </c>
      <c r="E3038" s="560">
        <f t="shared" si="443"/>
        <v>33.47</v>
      </c>
      <c r="F3038" s="1508">
        <f t="shared" si="438"/>
        <v>0</v>
      </c>
      <c r="G3038" s="1508">
        <f t="shared" si="439"/>
        <v>0</v>
      </c>
      <c r="H3038" s="1508">
        <f t="shared" si="440"/>
        <v>0</v>
      </c>
      <c r="I3038" s="1480">
        <v>0</v>
      </c>
      <c r="J3038" s="1480">
        <v>0</v>
      </c>
      <c r="K3038" s="1508"/>
      <c r="L3038" s="1508"/>
      <c r="M3038" s="1509">
        <f t="shared" si="441"/>
        <v>0</v>
      </c>
      <c r="N3038" s="1508">
        <f t="shared" si="442"/>
        <v>0</v>
      </c>
    </row>
    <row r="3039" spans="1:14" ht="31" outlineLevel="1" x14ac:dyDescent="0.25">
      <c r="A3039" s="1492">
        <f t="shared" si="443"/>
        <v>0</v>
      </c>
      <c r="B3039" s="1492" t="str">
        <f t="shared" si="443"/>
        <v>Construction of UCR wall and bed of Neri Nallah at CSTPS, Chandrapur.</v>
      </c>
      <c r="C3039" s="166">
        <f t="shared" si="443"/>
        <v>0</v>
      </c>
      <c r="D3039" s="1413" t="str">
        <f t="shared" si="443"/>
        <v>-</v>
      </c>
      <c r="E3039" s="560">
        <f t="shared" si="443"/>
        <v>33.47</v>
      </c>
      <c r="F3039" s="1508">
        <f t="shared" si="438"/>
        <v>5</v>
      </c>
      <c r="G3039" s="1508">
        <f t="shared" si="439"/>
        <v>5</v>
      </c>
      <c r="H3039" s="1508">
        <f t="shared" si="440"/>
        <v>0</v>
      </c>
      <c r="I3039" s="1480">
        <v>28.47</v>
      </c>
      <c r="J3039" s="1480">
        <v>28.47</v>
      </c>
      <c r="K3039" s="1508"/>
      <c r="L3039" s="1508"/>
      <c r="M3039" s="1509">
        <f t="shared" si="441"/>
        <v>28.47</v>
      </c>
      <c r="N3039" s="1508">
        <f t="shared" si="442"/>
        <v>0</v>
      </c>
    </row>
    <row r="3040" spans="1:14" ht="46.5" outlineLevel="1" x14ac:dyDescent="0.25">
      <c r="A3040" s="1486">
        <f t="shared" si="443"/>
        <v>7</v>
      </c>
      <c r="B3040" s="1491" t="str">
        <f t="shared" si="443"/>
        <v>Construction of  Concrete Pavement  Road  Connecting to Reject Coal Gate &amp; F point upto  Ash water recovery pump house &amp; F point to CP No- 635 at CSTPS Chandrapur</v>
      </c>
      <c r="C3040" s="166">
        <f t="shared" si="443"/>
        <v>0</v>
      </c>
      <c r="D3040" s="1413" t="str">
        <f t="shared" si="443"/>
        <v>-</v>
      </c>
      <c r="E3040" s="560">
        <f t="shared" si="443"/>
        <v>71.5</v>
      </c>
      <c r="F3040" s="1508">
        <f t="shared" si="438"/>
        <v>0</v>
      </c>
      <c r="G3040" s="1508">
        <f t="shared" si="439"/>
        <v>0</v>
      </c>
      <c r="H3040" s="1508">
        <f t="shared" si="440"/>
        <v>0</v>
      </c>
      <c r="I3040" s="1480">
        <v>0</v>
      </c>
      <c r="J3040" s="1480">
        <v>0</v>
      </c>
      <c r="K3040" s="1508"/>
      <c r="L3040" s="1508"/>
      <c r="M3040" s="1509">
        <f t="shared" si="441"/>
        <v>0</v>
      </c>
      <c r="N3040" s="1508">
        <f t="shared" si="442"/>
        <v>0</v>
      </c>
    </row>
    <row r="3041" spans="1:14" ht="46.5" outlineLevel="1" x14ac:dyDescent="0.25">
      <c r="A3041" s="1492">
        <f t="shared" si="443"/>
        <v>0</v>
      </c>
      <c r="B3041" s="1492" t="str">
        <f t="shared" si="443"/>
        <v>Construction of  Concrete Pavement  Road  Connecting to Reject Coal Gate &amp; F point upto  Ash water recovery pump house &amp; F point to CP No- 635 at CSTPS Chandrapur</v>
      </c>
      <c r="C3041" s="166">
        <f t="shared" si="443"/>
        <v>0</v>
      </c>
      <c r="D3041" s="1413" t="str">
        <f t="shared" si="443"/>
        <v>-</v>
      </c>
      <c r="E3041" s="560">
        <f t="shared" si="443"/>
        <v>71.5</v>
      </c>
      <c r="F3041" s="1508">
        <f t="shared" si="438"/>
        <v>15.5</v>
      </c>
      <c r="G3041" s="1508">
        <f t="shared" si="439"/>
        <v>15.5</v>
      </c>
      <c r="H3041" s="1508">
        <f t="shared" si="440"/>
        <v>0</v>
      </c>
      <c r="I3041" s="1480">
        <v>56</v>
      </c>
      <c r="J3041" s="1480">
        <v>56</v>
      </c>
      <c r="K3041" s="1508"/>
      <c r="L3041" s="1508"/>
      <c r="M3041" s="1509">
        <f t="shared" si="441"/>
        <v>56</v>
      </c>
      <c r="N3041" s="1508">
        <f t="shared" si="442"/>
        <v>0</v>
      </c>
    </row>
    <row r="3042" spans="1:14" ht="15.5" outlineLevel="1" x14ac:dyDescent="0.25">
      <c r="A3042" s="1504">
        <f t="shared" ref="A3042:E3057" si="444">A2372</f>
        <v>0</v>
      </c>
      <c r="B3042" s="1504" t="str">
        <f t="shared" si="444"/>
        <v>Boiler Maintenance-I</v>
      </c>
      <c r="C3042" s="166">
        <f t="shared" si="444"/>
        <v>0</v>
      </c>
      <c r="D3042" s="1413" t="str">
        <f t="shared" si="444"/>
        <v>-</v>
      </c>
      <c r="E3042" s="560">
        <f t="shared" si="444"/>
        <v>0</v>
      </c>
      <c r="F3042" s="1508">
        <f t="shared" si="438"/>
        <v>0</v>
      </c>
      <c r="G3042" s="1508">
        <f t="shared" si="439"/>
        <v>0</v>
      </c>
      <c r="H3042" s="1508">
        <f t="shared" si="440"/>
        <v>0</v>
      </c>
      <c r="I3042" s="1480">
        <v>0</v>
      </c>
      <c r="J3042" s="1480">
        <v>0</v>
      </c>
      <c r="K3042" s="1508"/>
      <c r="L3042" s="1508"/>
      <c r="M3042" s="1509">
        <f t="shared" si="441"/>
        <v>0</v>
      </c>
      <c r="N3042" s="1508">
        <f t="shared" si="442"/>
        <v>0</v>
      </c>
    </row>
    <row r="3043" spans="1:14" ht="15.5" outlineLevel="1" x14ac:dyDescent="0.25">
      <c r="A3043" s="1486">
        <f t="shared" si="444"/>
        <v>1</v>
      </c>
      <c r="B3043" s="1491" t="str">
        <f t="shared" si="444"/>
        <v>DPR for Coal mill improvement</v>
      </c>
      <c r="C3043" s="166">
        <f t="shared" si="444"/>
        <v>0</v>
      </c>
      <c r="D3043" s="1413" t="str">
        <f t="shared" si="444"/>
        <v>-</v>
      </c>
      <c r="E3043" s="560">
        <f t="shared" si="444"/>
        <v>54.74</v>
      </c>
      <c r="F3043" s="1508">
        <f t="shared" si="438"/>
        <v>0</v>
      </c>
      <c r="G3043" s="1508">
        <f t="shared" si="439"/>
        <v>0</v>
      </c>
      <c r="H3043" s="1508">
        <f t="shared" si="440"/>
        <v>0</v>
      </c>
      <c r="I3043" s="1480">
        <v>0</v>
      </c>
      <c r="J3043" s="1480">
        <v>0</v>
      </c>
      <c r="K3043" s="1508"/>
      <c r="L3043" s="1508"/>
      <c r="M3043" s="1509">
        <f t="shared" si="441"/>
        <v>0</v>
      </c>
      <c r="N3043" s="1508">
        <f t="shared" si="442"/>
        <v>0</v>
      </c>
    </row>
    <row r="3044" spans="1:14" ht="31" outlineLevel="1" x14ac:dyDescent="0.25">
      <c r="A3044" s="1492">
        <f t="shared" si="444"/>
        <v>0</v>
      </c>
      <c r="B3044" s="1492" t="str">
        <f t="shared" si="444"/>
        <v>The performance improvement &amp; availability enhancement of coal millsXRP-803 at U#3&amp;4(210MW)CSTPS, Chandrapur</v>
      </c>
      <c r="C3044" s="166">
        <f t="shared" si="444"/>
        <v>0</v>
      </c>
      <c r="D3044" s="1413" t="str">
        <f t="shared" si="444"/>
        <v>-</v>
      </c>
      <c r="E3044" s="560">
        <f t="shared" si="444"/>
        <v>18.739999999999998</v>
      </c>
      <c r="F3044" s="1508">
        <f t="shared" si="438"/>
        <v>18.739999999999998</v>
      </c>
      <c r="G3044" s="1508">
        <f t="shared" si="439"/>
        <v>18.739999999999998</v>
      </c>
      <c r="H3044" s="1508">
        <f t="shared" si="440"/>
        <v>0</v>
      </c>
      <c r="I3044" s="1480">
        <v>0</v>
      </c>
      <c r="J3044" s="1480">
        <v>0</v>
      </c>
      <c r="K3044" s="1508"/>
      <c r="L3044" s="1508"/>
      <c r="M3044" s="1509">
        <f t="shared" si="441"/>
        <v>0</v>
      </c>
      <c r="N3044" s="1508">
        <f t="shared" si="442"/>
        <v>0</v>
      </c>
    </row>
    <row r="3045" spans="1:14" ht="31" outlineLevel="1" x14ac:dyDescent="0.25">
      <c r="A3045" s="1492">
        <f t="shared" si="444"/>
        <v>0</v>
      </c>
      <c r="B3045" s="1492" t="str">
        <f t="shared" si="444"/>
        <v>Replacement of Existing Volumetric coal feeders by Rotary Gravimetric coal feeders</v>
      </c>
      <c r="C3045" s="166">
        <f t="shared" si="444"/>
        <v>0</v>
      </c>
      <c r="D3045" s="1413" t="str">
        <f t="shared" si="444"/>
        <v>-</v>
      </c>
      <c r="E3045" s="560">
        <f t="shared" si="444"/>
        <v>36</v>
      </c>
      <c r="F3045" s="1508">
        <f t="shared" si="438"/>
        <v>12</v>
      </c>
      <c r="G3045" s="1508">
        <f t="shared" si="439"/>
        <v>12</v>
      </c>
      <c r="H3045" s="1508">
        <f t="shared" si="440"/>
        <v>0</v>
      </c>
      <c r="I3045" s="1480">
        <v>12</v>
      </c>
      <c r="J3045" s="1480">
        <v>12</v>
      </c>
      <c r="K3045" s="1508"/>
      <c r="L3045" s="1508"/>
      <c r="M3045" s="1509">
        <f t="shared" si="441"/>
        <v>12</v>
      </c>
      <c r="N3045" s="1508">
        <f t="shared" si="442"/>
        <v>0</v>
      </c>
    </row>
    <row r="3046" spans="1:14" ht="15.5" outlineLevel="1" x14ac:dyDescent="0.25">
      <c r="A3046" s="1486">
        <f t="shared" si="444"/>
        <v>2</v>
      </c>
      <c r="B3046" s="1491" t="str">
        <f t="shared" si="444"/>
        <v>DPR for APH basket, HRH coil and Valves</v>
      </c>
      <c r="C3046" s="1488">
        <f t="shared" si="444"/>
        <v>0</v>
      </c>
      <c r="D3046" s="1413" t="str">
        <f t="shared" si="444"/>
        <v>-</v>
      </c>
      <c r="E3046" s="560">
        <f t="shared" si="444"/>
        <v>28.94</v>
      </c>
      <c r="F3046" s="1508">
        <f t="shared" si="438"/>
        <v>0</v>
      </c>
      <c r="G3046" s="1508">
        <f t="shared" si="439"/>
        <v>0</v>
      </c>
      <c r="H3046" s="1508">
        <f t="shared" si="440"/>
        <v>0</v>
      </c>
      <c r="I3046" s="1480">
        <v>0</v>
      </c>
      <c r="J3046" s="1480">
        <v>0</v>
      </c>
      <c r="K3046" s="1508"/>
      <c r="L3046" s="1508"/>
      <c r="M3046" s="1509">
        <f t="shared" si="441"/>
        <v>0</v>
      </c>
      <c r="N3046" s="1508">
        <f t="shared" si="442"/>
        <v>0</v>
      </c>
    </row>
    <row r="3047" spans="1:14" ht="31" outlineLevel="1" x14ac:dyDescent="0.25">
      <c r="A3047" s="1492">
        <f t="shared" si="444"/>
        <v>0</v>
      </c>
      <c r="B3047" s="1492" t="str">
        <f t="shared" si="444"/>
        <v>Procurement &amp; replacement of APH Basket assemblies at U#3&amp;4,CSTPS, Chandrapur</v>
      </c>
      <c r="C3047" s="1488">
        <f t="shared" si="444"/>
        <v>0</v>
      </c>
      <c r="D3047" s="1413" t="str">
        <f t="shared" si="444"/>
        <v>-</v>
      </c>
      <c r="E3047" s="560">
        <f t="shared" si="444"/>
        <v>4.9400000000000004</v>
      </c>
      <c r="F3047" s="1508">
        <f t="shared" si="438"/>
        <v>4.9400000000000004</v>
      </c>
      <c r="G3047" s="1508">
        <f t="shared" si="439"/>
        <v>4.9400000000000004</v>
      </c>
      <c r="H3047" s="1508">
        <f t="shared" si="440"/>
        <v>0</v>
      </c>
      <c r="I3047" s="1480">
        <v>0</v>
      </c>
      <c r="J3047" s="1480">
        <v>0</v>
      </c>
      <c r="K3047" s="1508"/>
      <c r="L3047" s="1508"/>
      <c r="M3047" s="1509">
        <f t="shared" si="441"/>
        <v>0</v>
      </c>
      <c r="N3047" s="1508">
        <f t="shared" si="442"/>
        <v>0</v>
      </c>
    </row>
    <row r="3048" spans="1:14" ht="31" outlineLevel="1" x14ac:dyDescent="0.25">
      <c r="A3048" s="1492">
        <f t="shared" si="444"/>
        <v>0</v>
      </c>
      <c r="B3048" s="1492" t="str">
        <f t="shared" si="444"/>
        <v>Procurement &amp; replacement of complete HRH coils assembly in U#4</v>
      </c>
      <c r="C3048" s="1488">
        <f t="shared" si="444"/>
        <v>0</v>
      </c>
      <c r="D3048" s="1413" t="str">
        <f t="shared" si="444"/>
        <v>-</v>
      </c>
      <c r="E3048" s="560">
        <f t="shared" si="444"/>
        <v>24</v>
      </c>
      <c r="F3048" s="1508">
        <f t="shared" si="438"/>
        <v>0</v>
      </c>
      <c r="G3048" s="1508">
        <f t="shared" si="439"/>
        <v>0</v>
      </c>
      <c r="H3048" s="1508">
        <f t="shared" si="440"/>
        <v>0</v>
      </c>
      <c r="I3048" s="1480">
        <v>24</v>
      </c>
      <c r="J3048" s="1480">
        <v>24</v>
      </c>
      <c r="K3048" s="1508"/>
      <c r="L3048" s="1508"/>
      <c r="M3048" s="1509">
        <f t="shared" si="441"/>
        <v>24</v>
      </c>
      <c r="N3048" s="1508">
        <f t="shared" si="442"/>
        <v>0</v>
      </c>
    </row>
    <row r="3049" spans="1:14" ht="15.5" outlineLevel="1" x14ac:dyDescent="0.25">
      <c r="A3049" s="1486">
        <f t="shared" si="444"/>
        <v>3</v>
      </c>
      <c r="B3049" s="1491" t="str">
        <f t="shared" si="444"/>
        <v>DPR for ESP internal and CRH coil</v>
      </c>
      <c r="C3049" s="1488">
        <f t="shared" si="444"/>
        <v>0</v>
      </c>
      <c r="D3049" s="1413" t="str">
        <f t="shared" si="444"/>
        <v>-</v>
      </c>
      <c r="E3049" s="560">
        <f t="shared" si="444"/>
        <v>45</v>
      </c>
      <c r="F3049" s="1508">
        <f t="shared" si="438"/>
        <v>0</v>
      </c>
      <c r="G3049" s="1508">
        <f t="shared" si="439"/>
        <v>0</v>
      </c>
      <c r="H3049" s="1508">
        <f t="shared" si="440"/>
        <v>0</v>
      </c>
      <c r="I3049" s="1480">
        <v>0</v>
      </c>
      <c r="J3049" s="1480">
        <v>0</v>
      </c>
      <c r="K3049" s="1508"/>
      <c r="L3049" s="1508"/>
      <c r="M3049" s="1509">
        <f t="shared" si="441"/>
        <v>0</v>
      </c>
      <c r="N3049" s="1508">
        <f t="shared" si="442"/>
        <v>0</v>
      </c>
    </row>
    <row r="3050" spans="1:14" ht="15.5" outlineLevel="1" x14ac:dyDescent="0.25">
      <c r="A3050" s="1492">
        <f t="shared" si="444"/>
        <v>0</v>
      </c>
      <c r="B3050" s="1492" t="str">
        <f t="shared" si="444"/>
        <v>Replacement of complete internals of ESP U#3&amp;4</v>
      </c>
      <c r="C3050" s="1488">
        <f t="shared" si="444"/>
        <v>0</v>
      </c>
      <c r="D3050" s="1413" t="str">
        <f t="shared" si="444"/>
        <v>-</v>
      </c>
      <c r="E3050" s="560">
        <f t="shared" si="444"/>
        <v>20</v>
      </c>
      <c r="F3050" s="1508">
        <f t="shared" si="438"/>
        <v>0</v>
      </c>
      <c r="G3050" s="1508">
        <f t="shared" si="439"/>
        <v>0</v>
      </c>
      <c r="H3050" s="1508">
        <f t="shared" si="440"/>
        <v>0</v>
      </c>
      <c r="I3050" s="1480">
        <v>20</v>
      </c>
      <c r="J3050" s="1480">
        <v>20</v>
      </c>
      <c r="K3050" s="1508"/>
      <c r="L3050" s="1508"/>
      <c r="M3050" s="1509">
        <f t="shared" si="441"/>
        <v>20</v>
      </c>
      <c r="N3050" s="1508">
        <f t="shared" si="442"/>
        <v>0</v>
      </c>
    </row>
    <row r="3051" spans="1:14" ht="15.5" outlineLevel="1" x14ac:dyDescent="0.25">
      <c r="A3051" s="1492">
        <f t="shared" si="444"/>
        <v>0</v>
      </c>
      <c r="B3051" s="1492" t="str">
        <f t="shared" si="444"/>
        <v xml:space="preserve">Procurement &amp; replacement of CRH coil assemblies in U#3 </v>
      </c>
      <c r="C3051" s="1488">
        <f t="shared" si="444"/>
        <v>0</v>
      </c>
      <c r="D3051" s="1413" t="str">
        <f t="shared" si="444"/>
        <v>-</v>
      </c>
      <c r="E3051" s="560">
        <f t="shared" si="444"/>
        <v>25</v>
      </c>
      <c r="F3051" s="1508">
        <f t="shared" si="438"/>
        <v>0</v>
      </c>
      <c r="G3051" s="1508">
        <f t="shared" si="439"/>
        <v>0</v>
      </c>
      <c r="H3051" s="1508">
        <f t="shared" si="440"/>
        <v>0</v>
      </c>
      <c r="I3051" s="1480">
        <v>25</v>
      </c>
      <c r="J3051" s="1480">
        <v>25</v>
      </c>
      <c r="K3051" s="1508"/>
      <c r="L3051" s="1508"/>
      <c r="M3051" s="1509">
        <f t="shared" si="441"/>
        <v>25</v>
      </c>
      <c r="N3051" s="1508">
        <f t="shared" si="442"/>
        <v>0</v>
      </c>
    </row>
    <row r="3052" spans="1:14" ht="31" outlineLevel="1" x14ac:dyDescent="0.25">
      <c r="A3052" s="1486">
        <f t="shared" si="444"/>
        <v>4</v>
      </c>
      <c r="B3052" s="1491" t="str">
        <f t="shared" si="444"/>
        <v>Procurement &amp; replacement of LTSH &amp; Economiser coil assemblies in U#3</v>
      </c>
      <c r="C3052" s="1488">
        <f t="shared" si="444"/>
        <v>0</v>
      </c>
      <c r="D3052" s="1413" t="str">
        <f t="shared" si="444"/>
        <v>-</v>
      </c>
      <c r="E3052" s="560">
        <f t="shared" si="444"/>
        <v>30</v>
      </c>
      <c r="F3052" s="1508">
        <f t="shared" si="438"/>
        <v>0</v>
      </c>
      <c r="G3052" s="1508">
        <f t="shared" si="439"/>
        <v>0</v>
      </c>
      <c r="H3052" s="1508">
        <f t="shared" si="440"/>
        <v>0</v>
      </c>
      <c r="I3052" s="1480">
        <v>0</v>
      </c>
      <c r="J3052" s="1480">
        <v>0</v>
      </c>
      <c r="K3052" s="1508"/>
      <c r="L3052" s="1508"/>
      <c r="M3052" s="1509">
        <f t="shared" si="441"/>
        <v>0</v>
      </c>
      <c r="N3052" s="1508">
        <f t="shared" si="442"/>
        <v>0</v>
      </c>
    </row>
    <row r="3053" spans="1:14" ht="31" outlineLevel="1" x14ac:dyDescent="0.25">
      <c r="A3053" s="1492">
        <f t="shared" si="444"/>
        <v>0</v>
      </c>
      <c r="B3053" s="1492" t="str">
        <f t="shared" si="444"/>
        <v>Procurement &amp; replacement of LTSH &amp; Economiser coil assemblies in U#3</v>
      </c>
      <c r="C3053" s="1488">
        <f t="shared" si="444"/>
        <v>0</v>
      </c>
      <c r="D3053" s="1413" t="str">
        <f t="shared" si="444"/>
        <v>-</v>
      </c>
      <c r="E3053" s="560">
        <f t="shared" si="444"/>
        <v>30</v>
      </c>
      <c r="F3053" s="1508">
        <f t="shared" si="438"/>
        <v>0</v>
      </c>
      <c r="G3053" s="1508">
        <f t="shared" si="439"/>
        <v>0</v>
      </c>
      <c r="H3053" s="1508">
        <f t="shared" si="440"/>
        <v>0</v>
      </c>
      <c r="I3053" s="1480">
        <v>30</v>
      </c>
      <c r="J3053" s="1480">
        <v>30</v>
      </c>
      <c r="K3053" s="1508"/>
      <c r="L3053" s="1508"/>
      <c r="M3053" s="1509">
        <f t="shared" si="441"/>
        <v>30</v>
      </c>
      <c r="N3053" s="1508">
        <f t="shared" si="442"/>
        <v>0</v>
      </c>
    </row>
    <row r="3054" spans="1:14" ht="15.5" outlineLevel="1" x14ac:dyDescent="0.25">
      <c r="A3054" s="1504">
        <f t="shared" si="444"/>
        <v>0</v>
      </c>
      <c r="B3054" s="1504" t="str">
        <f t="shared" si="444"/>
        <v>Turbine Maintenance-I</v>
      </c>
      <c r="C3054" s="1488">
        <f t="shared" si="444"/>
        <v>0</v>
      </c>
      <c r="D3054" s="1413" t="str">
        <f t="shared" si="444"/>
        <v>-</v>
      </c>
      <c r="E3054" s="560">
        <f t="shared" si="444"/>
        <v>0</v>
      </c>
      <c r="F3054" s="1508">
        <f t="shared" si="438"/>
        <v>0</v>
      </c>
      <c r="G3054" s="1508">
        <f t="shared" si="439"/>
        <v>0</v>
      </c>
      <c r="H3054" s="1508">
        <f t="shared" si="440"/>
        <v>0</v>
      </c>
      <c r="I3054" s="1480">
        <v>0</v>
      </c>
      <c r="J3054" s="1480">
        <v>0</v>
      </c>
      <c r="K3054" s="1508"/>
      <c r="L3054" s="1508"/>
      <c r="M3054" s="1509">
        <f t="shared" si="441"/>
        <v>0</v>
      </c>
      <c r="N3054" s="1508">
        <f t="shared" si="442"/>
        <v>0</v>
      </c>
    </row>
    <row r="3055" spans="1:14" ht="31" outlineLevel="1" x14ac:dyDescent="0.25">
      <c r="A3055" s="1486">
        <f t="shared" si="444"/>
        <v>1</v>
      </c>
      <c r="B3055" s="1491" t="str">
        <f t="shared" si="444"/>
        <v>DPR for Vaccuum system improvement and procurment of BFP cartridge</v>
      </c>
      <c r="C3055" s="1488">
        <f t="shared" si="444"/>
        <v>0</v>
      </c>
      <c r="D3055" s="1413" t="str">
        <f t="shared" si="444"/>
        <v>-</v>
      </c>
      <c r="E3055" s="560">
        <f t="shared" si="444"/>
        <v>35</v>
      </c>
      <c r="F3055" s="1508">
        <f t="shared" si="438"/>
        <v>0</v>
      </c>
      <c r="G3055" s="1508">
        <f t="shared" si="439"/>
        <v>0</v>
      </c>
      <c r="H3055" s="1508">
        <f t="shared" si="440"/>
        <v>0</v>
      </c>
      <c r="I3055" s="1480">
        <v>0</v>
      </c>
      <c r="J3055" s="1480">
        <v>0</v>
      </c>
      <c r="K3055" s="1508"/>
      <c r="L3055" s="1508"/>
      <c r="M3055" s="1509">
        <f t="shared" si="441"/>
        <v>0</v>
      </c>
      <c r="N3055" s="1508">
        <f t="shared" si="442"/>
        <v>0</v>
      </c>
    </row>
    <row r="3056" spans="1:14" ht="15.5" outlineLevel="1" x14ac:dyDescent="0.25">
      <c r="A3056" s="1492">
        <f t="shared" si="444"/>
        <v>0</v>
      </c>
      <c r="B3056" s="1492" t="str">
        <f t="shared" si="444"/>
        <v>Condenser vaccuum system improvement</v>
      </c>
      <c r="C3056" s="1488">
        <f t="shared" si="444"/>
        <v>0</v>
      </c>
      <c r="D3056" s="1413" t="str">
        <f t="shared" si="444"/>
        <v>-</v>
      </c>
      <c r="E3056" s="560">
        <f t="shared" si="444"/>
        <v>16</v>
      </c>
      <c r="F3056" s="1508">
        <f t="shared" si="438"/>
        <v>16</v>
      </c>
      <c r="G3056" s="1508">
        <f t="shared" si="439"/>
        <v>16</v>
      </c>
      <c r="H3056" s="1508">
        <f t="shared" si="440"/>
        <v>0</v>
      </c>
      <c r="I3056" s="1480">
        <v>0</v>
      </c>
      <c r="J3056" s="1480">
        <v>0</v>
      </c>
      <c r="K3056" s="1508"/>
      <c r="L3056" s="1508"/>
      <c r="M3056" s="1509">
        <f t="shared" si="441"/>
        <v>0</v>
      </c>
      <c r="N3056" s="1508">
        <f t="shared" si="442"/>
        <v>0</v>
      </c>
    </row>
    <row r="3057" spans="1:14" ht="31" outlineLevel="1" x14ac:dyDescent="0.25">
      <c r="A3057" s="1492">
        <f t="shared" si="444"/>
        <v>0</v>
      </c>
      <c r="B3057" s="1492" t="str">
        <f t="shared" si="444"/>
        <v>Procurement of BFP main pump cartridges for 200 KHI/s BHEL pump &amp; Procurment of Voith Hydraulic Coupling R17K for BFP</v>
      </c>
      <c r="C3057" s="1488">
        <f t="shared" si="444"/>
        <v>0</v>
      </c>
      <c r="D3057" s="1413" t="str">
        <f t="shared" si="444"/>
        <v>-</v>
      </c>
      <c r="E3057" s="560">
        <f t="shared" si="444"/>
        <v>19</v>
      </c>
      <c r="F3057" s="1508">
        <f t="shared" si="438"/>
        <v>19</v>
      </c>
      <c r="G3057" s="1508">
        <f t="shared" si="439"/>
        <v>19</v>
      </c>
      <c r="H3057" s="1508">
        <f t="shared" si="440"/>
        <v>0</v>
      </c>
      <c r="I3057" s="1480">
        <v>0</v>
      </c>
      <c r="J3057" s="1480">
        <v>0</v>
      </c>
      <c r="K3057" s="1508"/>
      <c r="L3057" s="1508"/>
      <c r="M3057" s="1509">
        <f t="shared" si="441"/>
        <v>0</v>
      </c>
      <c r="N3057" s="1508">
        <f t="shared" si="442"/>
        <v>0</v>
      </c>
    </row>
    <row r="3058" spans="1:14" ht="15.5" outlineLevel="1" x14ac:dyDescent="0.25">
      <c r="A3058" s="1486">
        <f t="shared" ref="A3058:E3073" si="445">A2388</f>
        <v>2</v>
      </c>
      <c r="B3058" s="1491" t="str">
        <f t="shared" si="445"/>
        <v>WTP-I improvement schemes</v>
      </c>
      <c r="C3058" s="1488">
        <f t="shared" si="445"/>
        <v>0</v>
      </c>
      <c r="D3058" s="1413" t="str">
        <f t="shared" si="445"/>
        <v>-</v>
      </c>
      <c r="E3058" s="560">
        <f t="shared" si="445"/>
        <v>26</v>
      </c>
      <c r="F3058" s="1508">
        <f t="shared" si="438"/>
        <v>0</v>
      </c>
      <c r="G3058" s="1508">
        <f t="shared" si="439"/>
        <v>0</v>
      </c>
      <c r="H3058" s="1508">
        <f t="shared" si="440"/>
        <v>0</v>
      </c>
      <c r="I3058" s="1480">
        <v>0</v>
      </c>
      <c r="J3058" s="1480">
        <v>0</v>
      </c>
      <c r="K3058" s="1508"/>
      <c r="L3058" s="1508"/>
      <c r="M3058" s="1509">
        <f t="shared" si="441"/>
        <v>0</v>
      </c>
      <c r="N3058" s="1508">
        <f t="shared" si="442"/>
        <v>0</v>
      </c>
    </row>
    <row r="3059" spans="1:14" ht="46.5" outlineLevel="1" x14ac:dyDescent="0.25">
      <c r="A3059" s="1492">
        <f t="shared" si="445"/>
        <v>0</v>
      </c>
      <c r="B3059" s="1492" t="str">
        <f t="shared" si="445"/>
        <v>Replacement of instrument air an service air compressors in Unit 3 &amp; 4, WTP-I with screw type compressors including refrigerant type air dryer system</v>
      </c>
      <c r="C3059" s="1488">
        <f t="shared" si="445"/>
        <v>0</v>
      </c>
      <c r="D3059" s="1413" t="str">
        <f t="shared" si="445"/>
        <v>-</v>
      </c>
      <c r="E3059" s="560">
        <f t="shared" si="445"/>
        <v>6</v>
      </c>
      <c r="F3059" s="1508">
        <f t="shared" si="438"/>
        <v>0</v>
      </c>
      <c r="G3059" s="1508">
        <f t="shared" si="439"/>
        <v>0</v>
      </c>
      <c r="H3059" s="1508">
        <f t="shared" si="440"/>
        <v>0</v>
      </c>
      <c r="I3059" s="1480">
        <v>6</v>
      </c>
      <c r="J3059" s="1480">
        <v>6</v>
      </c>
      <c r="K3059" s="1508"/>
      <c r="L3059" s="1508"/>
      <c r="M3059" s="1509">
        <f t="shared" si="441"/>
        <v>6</v>
      </c>
      <c r="N3059" s="1508">
        <f t="shared" si="442"/>
        <v>0</v>
      </c>
    </row>
    <row r="3060" spans="1:14" ht="31" outlineLevel="1" x14ac:dyDescent="0.25">
      <c r="A3060" s="1492">
        <f t="shared" si="445"/>
        <v>0</v>
      </c>
      <c r="B3060" s="1492" t="str">
        <f t="shared" si="445"/>
        <v>Refurbishment of hydrogen compressors at Hydrogen plant WTP-I</v>
      </c>
      <c r="C3060" s="1488">
        <f t="shared" si="445"/>
        <v>0</v>
      </c>
      <c r="D3060" s="1413" t="str">
        <f t="shared" si="445"/>
        <v>-</v>
      </c>
      <c r="E3060" s="560">
        <f t="shared" si="445"/>
        <v>10</v>
      </c>
      <c r="F3060" s="1508">
        <f t="shared" si="438"/>
        <v>0</v>
      </c>
      <c r="G3060" s="1508">
        <f t="shared" si="439"/>
        <v>0</v>
      </c>
      <c r="H3060" s="1508">
        <f t="shared" si="440"/>
        <v>0</v>
      </c>
      <c r="I3060" s="1480">
        <v>10</v>
      </c>
      <c r="J3060" s="1480">
        <v>10</v>
      </c>
      <c r="K3060" s="1508"/>
      <c r="L3060" s="1508"/>
      <c r="M3060" s="1509">
        <f t="shared" si="441"/>
        <v>10</v>
      </c>
      <c r="N3060" s="1508">
        <f t="shared" si="442"/>
        <v>0</v>
      </c>
    </row>
    <row r="3061" spans="1:14" ht="15.5" outlineLevel="1" x14ac:dyDescent="0.25">
      <c r="A3061" s="1492">
        <f t="shared" si="445"/>
        <v>0</v>
      </c>
      <c r="B3061" s="1492" t="str">
        <f t="shared" si="445"/>
        <v>Replacement of Circulating water pumps in Unit 3 &amp; 4</v>
      </c>
      <c r="C3061" s="1488">
        <f t="shared" si="445"/>
        <v>0</v>
      </c>
      <c r="D3061" s="1413" t="str">
        <f t="shared" si="445"/>
        <v>-</v>
      </c>
      <c r="E3061" s="560">
        <f t="shared" si="445"/>
        <v>10</v>
      </c>
      <c r="F3061" s="1508">
        <f t="shared" si="438"/>
        <v>0</v>
      </c>
      <c r="G3061" s="1508">
        <f t="shared" si="439"/>
        <v>0</v>
      </c>
      <c r="H3061" s="1508">
        <f t="shared" si="440"/>
        <v>0</v>
      </c>
      <c r="I3061" s="1480">
        <v>10</v>
      </c>
      <c r="J3061" s="1480">
        <v>10</v>
      </c>
      <c r="K3061" s="1508"/>
      <c r="L3061" s="1508"/>
      <c r="M3061" s="1509">
        <f t="shared" si="441"/>
        <v>10</v>
      </c>
      <c r="N3061" s="1508">
        <f t="shared" si="442"/>
        <v>0</v>
      </c>
    </row>
    <row r="3062" spans="1:14" ht="15.5" outlineLevel="1" x14ac:dyDescent="0.25">
      <c r="A3062" s="1486">
        <f t="shared" si="445"/>
        <v>3</v>
      </c>
      <c r="B3062" s="1491" t="str">
        <f t="shared" si="445"/>
        <v>Procurment of HP valves, CEP Cartridge, GS pump</v>
      </c>
      <c r="C3062" s="1488">
        <f t="shared" si="445"/>
        <v>0</v>
      </c>
      <c r="D3062" s="1413" t="str">
        <f t="shared" si="445"/>
        <v>-</v>
      </c>
      <c r="E3062" s="560">
        <f t="shared" si="445"/>
        <v>25</v>
      </c>
      <c r="F3062" s="1508">
        <f t="shared" si="438"/>
        <v>0</v>
      </c>
      <c r="G3062" s="1508">
        <f t="shared" si="439"/>
        <v>0</v>
      </c>
      <c r="H3062" s="1508">
        <f t="shared" si="440"/>
        <v>0</v>
      </c>
      <c r="I3062" s="1480">
        <v>0</v>
      </c>
      <c r="J3062" s="1480">
        <v>0</v>
      </c>
      <c r="K3062" s="1508"/>
      <c r="L3062" s="1508"/>
      <c r="M3062" s="1509">
        <f t="shared" si="441"/>
        <v>0</v>
      </c>
      <c r="N3062" s="1508">
        <f t="shared" si="442"/>
        <v>0</v>
      </c>
    </row>
    <row r="3063" spans="1:14" ht="15.5" outlineLevel="1" x14ac:dyDescent="0.25">
      <c r="A3063" s="1492">
        <f t="shared" si="445"/>
        <v>0</v>
      </c>
      <c r="B3063" s="1492" t="str">
        <f t="shared" si="445"/>
        <v>Procurement of HP valves for Unit 3 &amp; 4</v>
      </c>
      <c r="C3063" s="1488">
        <f t="shared" si="445"/>
        <v>0</v>
      </c>
      <c r="D3063" s="1413" t="str">
        <f t="shared" si="445"/>
        <v>-</v>
      </c>
      <c r="E3063" s="560">
        <f t="shared" si="445"/>
        <v>15</v>
      </c>
      <c r="F3063" s="1508">
        <f t="shared" si="438"/>
        <v>0</v>
      </c>
      <c r="G3063" s="1508">
        <f t="shared" si="439"/>
        <v>0</v>
      </c>
      <c r="H3063" s="1508">
        <f t="shared" si="440"/>
        <v>0</v>
      </c>
      <c r="I3063" s="1480">
        <v>15</v>
      </c>
      <c r="J3063" s="1480">
        <v>15</v>
      </c>
      <c r="K3063" s="1508"/>
      <c r="L3063" s="1508"/>
      <c r="M3063" s="1509">
        <f t="shared" si="441"/>
        <v>15</v>
      </c>
      <c r="N3063" s="1508">
        <f t="shared" si="442"/>
        <v>0</v>
      </c>
    </row>
    <row r="3064" spans="1:14" ht="31" outlineLevel="1" x14ac:dyDescent="0.25">
      <c r="A3064" s="1492">
        <f t="shared" si="445"/>
        <v>0</v>
      </c>
      <c r="B3064" s="1492" t="str">
        <f t="shared" si="445"/>
        <v>Procurement cartridges for Condensate extraction pump ( Make KSB WKT 150/7)</v>
      </c>
      <c r="C3064" s="1488">
        <f t="shared" si="445"/>
        <v>0</v>
      </c>
      <c r="D3064" s="1413" t="str">
        <f t="shared" si="445"/>
        <v>-</v>
      </c>
      <c r="E3064" s="560">
        <f t="shared" si="445"/>
        <v>5</v>
      </c>
      <c r="F3064" s="1508">
        <f t="shared" si="438"/>
        <v>0</v>
      </c>
      <c r="G3064" s="1508">
        <f t="shared" si="439"/>
        <v>0</v>
      </c>
      <c r="H3064" s="1508">
        <f t="shared" si="440"/>
        <v>0</v>
      </c>
      <c r="I3064" s="1480">
        <v>5</v>
      </c>
      <c r="J3064" s="1480">
        <v>5</v>
      </c>
      <c r="K3064" s="1508"/>
      <c r="L3064" s="1508"/>
      <c r="M3064" s="1509">
        <f t="shared" si="441"/>
        <v>5</v>
      </c>
      <c r="N3064" s="1508">
        <f t="shared" si="442"/>
        <v>0</v>
      </c>
    </row>
    <row r="3065" spans="1:14" ht="31" outlineLevel="1" x14ac:dyDescent="0.25">
      <c r="A3065" s="1492">
        <f t="shared" si="445"/>
        <v>0</v>
      </c>
      <c r="B3065" s="1492" t="str">
        <f t="shared" si="445"/>
        <v>Procurement of WPIL make GS pump JTC 24E with pipelines and valves for Unit 3 &amp; 4</v>
      </c>
      <c r="C3065" s="1488">
        <f t="shared" si="445"/>
        <v>0</v>
      </c>
      <c r="D3065" s="1413" t="str">
        <f t="shared" si="445"/>
        <v>-</v>
      </c>
      <c r="E3065" s="560">
        <f t="shared" si="445"/>
        <v>5</v>
      </c>
      <c r="F3065" s="1508">
        <f t="shared" si="438"/>
        <v>0</v>
      </c>
      <c r="G3065" s="1508">
        <f t="shared" si="439"/>
        <v>0</v>
      </c>
      <c r="H3065" s="1508">
        <f t="shared" si="440"/>
        <v>0</v>
      </c>
      <c r="I3065" s="1480">
        <v>5</v>
      </c>
      <c r="J3065" s="1480">
        <v>5</v>
      </c>
      <c r="K3065" s="1508"/>
      <c r="L3065" s="1508"/>
      <c r="M3065" s="1509">
        <f t="shared" si="441"/>
        <v>5</v>
      </c>
      <c r="N3065" s="1508">
        <f t="shared" si="442"/>
        <v>0</v>
      </c>
    </row>
    <row r="3066" spans="1:14" ht="15.5" outlineLevel="1" x14ac:dyDescent="0.25">
      <c r="A3066" s="1504">
        <f t="shared" si="445"/>
        <v>0</v>
      </c>
      <c r="B3066" s="1504" t="str">
        <f t="shared" si="445"/>
        <v>Electrical maintenance -I</v>
      </c>
      <c r="C3066" s="1488">
        <f t="shared" si="445"/>
        <v>0</v>
      </c>
      <c r="D3066" s="1413" t="str">
        <f t="shared" si="445"/>
        <v>-</v>
      </c>
      <c r="E3066" s="560">
        <f t="shared" si="445"/>
        <v>0</v>
      </c>
      <c r="F3066" s="1508">
        <f t="shared" si="438"/>
        <v>0</v>
      </c>
      <c r="G3066" s="1508">
        <f t="shared" si="439"/>
        <v>0</v>
      </c>
      <c r="H3066" s="1508">
        <f t="shared" si="440"/>
        <v>0</v>
      </c>
      <c r="I3066" s="1480">
        <v>0</v>
      </c>
      <c r="J3066" s="1480">
        <v>0</v>
      </c>
      <c r="K3066" s="1508"/>
      <c r="L3066" s="1508"/>
      <c r="M3066" s="1509">
        <f t="shared" si="441"/>
        <v>0</v>
      </c>
      <c r="N3066" s="1508">
        <f t="shared" si="442"/>
        <v>0</v>
      </c>
    </row>
    <row r="3067" spans="1:14" ht="31" outlineLevel="1" x14ac:dyDescent="0.25">
      <c r="A3067" s="1486">
        <f t="shared" si="445"/>
        <v>1</v>
      </c>
      <c r="B3067" s="1491" t="str">
        <f t="shared" si="445"/>
        <v>DPR  for colony electrical renovation, switchgear, Energy meter, breaker</v>
      </c>
      <c r="C3067" s="1488">
        <f t="shared" si="445"/>
        <v>0</v>
      </c>
      <c r="D3067" s="1413" t="str">
        <f t="shared" si="445"/>
        <v>-</v>
      </c>
      <c r="E3067" s="560">
        <f t="shared" si="445"/>
        <v>47.3</v>
      </c>
      <c r="F3067" s="1508">
        <f t="shared" si="438"/>
        <v>0</v>
      </c>
      <c r="G3067" s="1508">
        <f t="shared" si="439"/>
        <v>0</v>
      </c>
      <c r="H3067" s="1508">
        <f t="shared" si="440"/>
        <v>0</v>
      </c>
      <c r="I3067" s="1480">
        <v>0</v>
      </c>
      <c r="J3067" s="1480">
        <v>0</v>
      </c>
      <c r="K3067" s="1508"/>
      <c r="L3067" s="1508"/>
      <c r="M3067" s="1509">
        <f t="shared" si="441"/>
        <v>0</v>
      </c>
      <c r="N3067" s="1508">
        <f t="shared" si="442"/>
        <v>0</v>
      </c>
    </row>
    <row r="3068" spans="1:14" ht="15.5" outlineLevel="1" x14ac:dyDescent="0.25">
      <c r="A3068" s="1492">
        <f t="shared" si="445"/>
        <v>0</v>
      </c>
      <c r="B3068" s="1492" t="str">
        <f t="shared" si="445"/>
        <v>Colony electrical renovation</v>
      </c>
      <c r="C3068" s="1488">
        <f t="shared" si="445"/>
        <v>0</v>
      </c>
      <c r="D3068" s="1413" t="str">
        <f t="shared" si="445"/>
        <v>-</v>
      </c>
      <c r="E3068" s="560">
        <f t="shared" si="445"/>
        <v>47.3</v>
      </c>
      <c r="F3068" s="1508">
        <f t="shared" si="438"/>
        <v>7.3</v>
      </c>
      <c r="G3068" s="1508">
        <f t="shared" si="439"/>
        <v>7.3</v>
      </c>
      <c r="H3068" s="1508">
        <f t="shared" si="440"/>
        <v>0</v>
      </c>
      <c r="I3068" s="1480">
        <v>10</v>
      </c>
      <c r="J3068" s="1480">
        <v>10</v>
      </c>
      <c r="K3068" s="1508"/>
      <c r="L3068" s="1508"/>
      <c r="M3068" s="1509">
        <f t="shared" si="441"/>
        <v>10</v>
      </c>
      <c r="N3068" s="1508">
        <f t="shared" si="442"/>
        <v>0</v>
      </c>
    </row>
    <row r="3069" spans="1:14" ht="31" outlineLevel="1" x14ac:dyDescent="0.25">
      <c r="A3069" s="1486">
        <f t="shared" si="445"/>
        <v>2</v>
      </c>
      <c r="B3069" s="1491" t="str">
        <f t="shared" si="445"/>
        <v>Electrification and illumination of perimeter wall CSTPS, Chandapur as per IB recomm</v>
      </c>
      <c r="C3069" s="1488">
        <f t="shared" si="445"/>
        <v>0</v>
      </c>
      <c r="D3069" s="1413" t="str">
        <f t="shared" si="445"/>
        <v>-</v>
      </c>
      <c r="E3069" s="560">
        <f t="shared" si="445"/>
        <v>25.679999999999996</v>
      </c>
      <c r="F3069" s="1508">
        <f t="shared" si="438"/>
        <v>0</v>
      </c>
      <c r="G3069" s="1508">
        <f t="shared" si="439"/>
        <v>0</v>
      </c>
      <c r="H3069" s="1508">
        <f t="shared" si="440"/>
        <v>0</v>
      </c>
      <c r="I3069" s="1480">
        <v>0</v>
      </c>
      <c r="J3069" s="1480">
        <v>0</v>
      </c>
      <c r="K3069" s="1508"/>
      <c r="L3069" s="1508"/>
      <c r="M3069" s="1509">
        <f t="shared" si="441"/>
        <v>0</v>
      </c>
      <c r="N3069" s="1508">
        <f t="shared" si="442"/>
        <v>0</v>
      </c>
    </row>
    <row r="3070" spans="1:14" ht="31" outlineLevel="1" x14ac:dyDescent="0.25">
      <c r="A3070" s="1492">
        <f t="shared" si="445"/>
        <v>0</v>
      </c>
      <c r="B3070" s="1492" t="str">
        <f t="shared" si="445"/>
        <v>Electrification and illumination of perimeter wall CSTPS, Chandapur</v>
      </c>
      <c r="C3070" s="1488">
        <f t="shared" si="445"/>
        <v>0</v>
      </c>
      <c r="D3070" s="1413" t="str">
        <f t="shared" si="445"/>
        <v>-</v>
      </c>
      <c r="E3070" s="560">
        <f t="shared" si="445"/>
        <v>12.52</v>
      </c>
      <c r="F3070" s="1508">
        <f t="shared" si="438"/>
        <v>12.52</v>
      </c>
      <c r="G3070" s="1508">
        <f t="shared" si="439"/>
        <v>12.52</v>
      </c>
      <c r="H3070" s="1508">
        <f t="shared" si="440"/>
        <v>0</v>
      </c>
      <c r="I3070" s="1480">
        <v>0</v>
      </c>
      <c r="J3070" s="1480">
        <v>0</v>
      </c>
      <c r="K3070" s="1508"/>
      <c r="L3070" s="1508"/>
      <c r="M3070" s="1509">
        <f t="shared" si="441"/>
        <v>0</v>
      </c>
      <c r="N3070" s="1508">
        <f t="shared" si="442"/>
        <v>0</v>
      </c>
    </row>
    <row r="3071" spans="1:14" ht="31" outlineLevel="1" x14ac:dyDescent="0.25">
      <c r="A3071" s="1492">
        <f t="shared" si="445"/>
        <v>0</v>
      </c>
      <c r="B3071" s="1492" t="str">
        <f t="shared" si="445"/>
        <v>Replacement of Distibution board, and switchgear at different areas of plant, colony, Dam</v>
      </c>
      <c r="C3071" s="1488">
        <f t="shared" si="445"/>
        <v>0</v>
      </c>
      <c r="D3071" s="1413" t="str">
        <f t="shared" si="445"/>
        <v>-</v>
      </c>
      <c r="E3071" s="560">
        <f t="shared" si="445"/>
        <v>12.35</v>
      </c>
      <c r="F3071" s="1508">
        <f t="shared" si="438"/>
        <v>2</v>
      </c>
      <c r="G3071" s="1508">
        <f t="shared" si="439"/>
        <v>2</v>
      </c>
      <c r="H3071" s="1508">
        <f t="shared" si="440"/>
        <v>0</v>
      </c>
      <c r="I3071" s="1480">
        <v>4.3499999999999996</v>
      </c>
      <c r="J3071" s="1480">
        <v>4.3499999999999996</v>
      </c>
      <c r="K3071" s="1508"/>
      <c r="L3071" s="1508"/>
      <c r="M3071" s="1509">
        <f t="shared" si="441"/>
        <v>4.3499999999999996</v>
      </c>
      <c r="N3071" s="1508">
        <f t="shared" si="442"/>
        <v>0</v>
      </c>
    </row>
    <row r="3072" spans="1:14" ht="15.5" outlineLevel="1" x14ac:dyDescent="0.25">
      <c r="A3072" s="1492">
        <f t="shared" si="445"/>
        <v>0</v>
      </c>
      <c r="B3072" s="1492" t="str">
        <f t="shared" si="445"/>
        <v>Replacement of Energy meter</v>
      </c>
      <c r="C3072" s="1488">
        <f t="shared" si="445"/>
        <v>0</v>
      </c>
      <c r="D3072" s="1413" t="str">
        <f t="shared" si="445"/>
        <v>-</v>
      </c>
      <c r="E3072" s="560">
        <f t="shared" si="445"/>
        <v>0.81</v>
      </c>
      <c r="F3072" s="1508">
        <f t="shared" si="438"/>
        <v>0.81</v>
      </c>
      <c r="G3072" s="1508">
        <f t="shared" si="439"/>
        <v>0.81</v>
      </c>
      <c r="H3072" s="1508">
        <f t="shared" si="440"/>
        <v>0</v>
      </c>
      <c r="I3072" s="1480">
        <v>0</v>
      </c>
      <c r="J3072" s="1480">
        <v>0</v>
      </c>
      <c r="K3072" s="1508"/>
      <c r="L3072" s="1508"/>
      <c r="M3072" s="1509">
        <f t="shared" si="441"/>
        <v>0</v>
      </c>
      <c r="N3072" s="1508">
        <f t="shared" si="442"/>
        <v>0</v>
      </c>
    </row>
    <row r="3073" spans="1:14" ht="31" outlineLevel="1" x14ac:dyDescent="0.25">
      <c r="A3073" s="1486">
        <f t="shared" si="445"/>
        <v>3</v>
      </c>
      <c r="B3073" s="1491" t="str">
        <f t="shared" si="445"/>
        <v>Replacement of 400V, 220V, 50V, 26V batteries and its battery chargers at 210MW, Breakers, VFDs at compressor, Watch Tower</v>
      </c>
      <c r="C3073" s="1488">
        <f t="shared" si="445"/>
        <v>0</v>
      </c>
      <c r="D3073" s="1413" t="str">
        <f t="shared" si="445"/>
        <v>-</v>
      </c>
      <c r="E3073" s="560">
        <f t="shared" si="445"/>
        <v>29</v>
      </c>
      <c r="F3073" s="1508">
        <f t="shared" si="438"/>
        <v>0</v>
      </c>
      <c r="G3073" s="1508">
        <f t="shared" si="439"/>
        <v>0</v>
      </c>
      <c r="H3073" s="1508">
        <f t="shared" si="440"/>
        <v>0</v>
      </c>
      <c r="I3073" s="1480">
        <v>0</v>
      </c>
      <c r="J3073" s="1480">
        <v>0</v>
      </c>
      <c r="K3073" s="1508"/>
      <c r="L3073" s="1508"/>
      <c r="M3073" s="1509">
        <f t="shared" si="441"/>
        <v>0</v>
      </c>
      <c r="N3073" s="1508">
        <f t="shared" si="442"/>
        <v>0</v>
      </c>
    </row>
    <row r="3074" spans="1:14" ht="31" outlineLevel="1" x14ac:dyDescent="0.25">
      <c r="A3074" s="1492">
        <f t="shared" ref="A3074:E3089" si="446">A2404</f>
        <v>0</v>
      </c>
      <c r="B3074" s="1492" t="str">
        <f t="shared" si="446"/>
        <v>Replacement of 400V, 220V, 50V, 26V batteries and its battery chargers at 210MW, CSTPS.</v>
      </c>
      <c r="C3074" s="1488">
        <f t="shared" si="446"/>
        <v>0</v>
      </c>
      <c r="D3074" s="1413" t="str">
        <f t="shared" si="446"/>
        <v>-</v>
      </c>
      <c r="E3074" s="560">
        <f t="shared" si="446"/>
        <v>14</v>
      </c>
      <c r="F3074" s="1508">
        <f t="shared" ref="F3074:F3137" si="447">F2404+I2404</f>
        <v>14</v>
      </c>
      <c r="G3074" s="1508">
        <f t="shared" ref="G3074:G3137" si="448">G2404+M2404</f>
        <v>14</v>
      </c>
      <c r="H3074" s="1508">
        <f t="shared" si="440"/>
        <v>0</v>
      </c>
      <c r="I3074" s="1480">
        <v>0</v>
      </c>
      <c r="J3074" s="1480">
        <v>0</v>
      </c>
      <c r="K3074" s="1508"/>
      <c r="L3074" s="1508"/>
      <c r="M3074" s="1509">
        <f t="shared" si="441"/>
        <v>0</v>
      </c>
      <c r="N3074" s="1508">
        <f t="shared" si="442"/>
        <v>0</v>
      </c>
    </row>
    <row r="3075" spans="1:14" ht="15.5" outlineLevel="1" x14ac:dyDescent="0.25">
      <c r="A3075" s="1492">
        <f t="shared" si="446"/>
        <v>0</v>
      </c>
      <c r="B3075" s="1492" t="str">
        <f t="shared" si="446"/>
        <v>Retrofitting of Breakers</v>
      </c>
      <c r="C3075" s="1488">
        <f t="shared" si="446"/>
        <v>0</v>
      </c>
      <c r="D3075" s="1413" t="str">
        <f t="shared" si="446"/>
        <v>-</v>
      </c>
      <c r="E3075" s="560">
        <f t="shared" si="446"/>
        <v>6.8000000000000007</v>
      </c>
      <c r="F3075" s="1508">
        <f t="shared" si="447"/>
        <v>1.1000000000000001</v>
      </c>
      <c r="G3075" s="1508">
        <f t="shared" si="448"/>
        <v>1.1000000000000001</v>
      </c>
      <c r="H3075" s="1508">
        <f t="shared" si="440"/>
        <v>0</v>
      </c>
      <c r="I3075" s="1480">
        <v>5.7</v>
      </c>
      <c r="J3075" s="1480">
        <v>5.7</v>
      </c>
      <c r="K3075" s="1508"/>
      <c r="L3075" s="1508"/>
      <c r="M3075" s="1509">
        <f t="shared" si="441"/>
        <v>5.7</v>
      </c>
      <c r="N3075" s="1508">
        <f t="shared" si="442"/>
        <v>0</v>
      </c>
    </row>
    <row r="3076" spans="1:14" ht="31" outlineLevel="1" x14ac:dyDescent="0.25">
      <c r="A3076" s="1492">
        <f t="shared" si="446"/>
        <v>0</v>
      </c>
      <c r="B3076" s="1492" t="str">
        <f t="shared" si="446"/>
        <v>supply, installation and commissioning of VFDs at compressor and of soft starters  for clear water pump  at 210MW, CSTPS.</v>
      </c>
      <c r="C3076" s="1488">
        <f t="shared" si="446"/>
        <v>0</v>
      </c>
      <c r="D3076" s="1413" t="str">
        <f t="shared" si="446"/>
        <v>-</v>
      </c>
      <c r="E3076" s="560">
        <f t="shared" si="446"/>
        <v>1.8</v>
      </c>
      <c r="F3076" s="1508">
        <f t="shared" si="447"/>
        <v>0</v>
      </c>
      <c r="G3076" s="1508">
        <f t="shared" si="448"/>
        <v>0</v>
      </c>
      <c r="H3076" s="1508">
        <f t="shared" si="440"/>
        <v>0</v>
      </c>
      <c r="I3076" s="1480">
        <v>1.8</v>
      </c>
      <c r="J3076" s="1480">
        <v>1.8</v>
      </c>
      <c r="K3076" s="1508"/>
      <c r="L3076" s="1508"/>
      <c r="M3076" s="1509">
        <f t="shared" si="441"/>
        <v>1.8</v>
      </c>
      <c r="N3076" s="1508">
        <f t="shared" si="442"/>
        <v>0</v>
      </c>
    </row>
    <row r="3077" spans="1:14" ht="31" outlineLevel="1" x14ac:dyDescent="0.25">
      <c r="A3077" s="1492">
        <f t="shared" si="446"/>
        <v>0</v>
      </c>
      <c r="B3077" s="1492" t="str">
        <f t="shared" si="446"/>
        <v>Construction of Watch Tower along periphery compound wall as per IB recommendation at CSTPS, Chandrapur</v>
      </c>
      <c r="C3077" s="166">
        <f t="shared" si="446"/>
        <v>0</v>
      </c>
      <c r="D3077" s="1413" t="str">
        <f t="shared" si="446"/>
        <v>-</v>
      </c>
      <c r="E3077" s="560">
        <f t="shared" si="446"/>
        <v>6.4</v>
      </c>
      <c r="F3077" s="1508">
        <f t="shared" si="447"/>
        <v>1.4</v>
      </c>
      <c r="G3077" s="1508">
        <f t="shared" si="448"/>
        <v>1.4</v>
      </c>
      <c r="H3077" s="1508">
        <f t="shared" si="440"/>
        <v>0</v>
      </c>
      <c r="I3077" s="1480">
        <v>5</v>
      </c>
      <c r="J3077" s="1480">
        <v>5</v>
      </c>
      <c r="K3077" s="1508"/>
      <c r="L3077" s="1508"/>
      <c r="M3077" s="1509">
        <f t="shared" si="441"/>
        <v>5</v>
      </c>
      <c r="N3077" s="1508">
        <f t="shared" si="442"/>
        <v>0</v>
      </c>
    </row>
    <row r="3078" spans="1:14" ht="15.5" outlineLevel="1" x14ac:dyDescent="0.25">
      <c r="A3078" s="1504">
        <f t="shared" si="446"/>
        <v>0</v>
      </c>
      <c r="B3078" s="1504" t="str">
        <f t="shared" si="446"/>
        <v>TIC</v>
      </c>
      <c r="C3078" s="1488">
        <f t="shared" si="446"/>
        <v>0</v>
      </c>
      <c r="D3078" s="1413" t="str">
        <f t="shared" si="446"/>
        <v>-</v>
      </c>
      <c r="E3078" s="560">
        <f t="shared" si="446"/>
        <v>0</v>
      </c>
      <c r="F3078" s="1508">
        <f t="shared" si="447"/>
        <v>0</v>
      </c>
      <c r="G3078" s="1508">
        <f t="shared" si="448"/>
        <v>0</v>
      </c>
      <c r="H3078" s="1508">
        <f t="shared" si="440"/>
        <v>0</v>
      </c>
      <c r="I3078" s="1480">
        <v>0</v>
      </c>
      <c r="J3078" s="1480">
        <v>0</v>
      </c>
      <c r="K3078" s="1508"/>
      <c r="L3078" s="1508"/>
      <c r="M3078" s="1509">
        <f t="shared" si="441"/>
        <v>0</v>
      </c>
      <c r="N3078" s="1508">
        <f t="shared" si="442"/>
        <v>0</v>
      </c>
    </row>
    <row r="3079" spans="1:14" ht="62" outlineLevel="1" x14ac:dyDescent="0.25">
      <c r="A3079" s="1486">
        <f t="shared" si="446"/>
        <v>1</v>
      </c>
      <c r="B3079" s="1491" t="str">
        <f t="shared" si="446"/>
        <v xml:space="preserve">Up-gradation of complete Instrumentation System including  FSSS System , Soot Blower System, Station C &amp;I System ,Turbine protection system, Turbovisory, HP/LP and PRDS at CSTPS Unit # 3&amp;4 (210 MW) </v>
      </c>
      <c r="C3079" s="1488">
        <f t="shared" si="446"/>
        <v>0</v>
      </c>
      <c r="D3079" s="1413" t="str">
        <f t="shared" si="446"/>
        <v>-</v>
      </c>
      <c r="E3079" s="560">
        <f t="shared" si="446"/>
        <v>48.607999999999997</v>
      </c>
      <c r="F3079" s="1508">
        <f t="shared" si="447"/>
        <v>0</v>
      </c>
      <c r="G3079" s="1508">
        <f t="shared" si="448"/>
        <v>0</v>
      </c>
      <c r="H3079" s="1508">
        <f t="shared" si="440"/>
        <v>0</v>
      </c>
      <c r="I3079" s="1480">
        <v>0</v>
      </c>
      <c r="J3079" s="1480">
        <v>0</v>
      </c>
      <c r="K3079" s="1508"/>
      <c r="L3079" s="1508"/>
      <c r="M3079" s="1509">
        <f t="shared" si="441"/>
        <v>0</v>
      </c>
      <c r="N3079" s="1508">
        <f t="shared" si="442"/>
        <v>0</v>
      </c>
    </row>
    <row r="3080" spans="1:14" ht="62" outlineLevel="1" x14ac:dyDescent="0.25">
      <c r="A3080" s="1492">
        <f t="shared" si="446"/>
        <v>0</v>
      </c>
      <c r="B3080" s="1492" t="str">
        <f t="shared" si="446"/>
        <v>Up-gradation of complete Instrumentation System including  FSSS System , Soot Blower System, Station C &amp;I System ,Turbine protection system, Turbovisory, HP/LP and PRDS at CSTPS Unit # 3&amp;4 (210 MW)</v>
      </c>
      <c r="C3080" s="1488">
        <f t="shared" si="446"/>
        <v>0</v>
      </c>
      <c r="D3080" s="1413" t="str">
        <f t="shared" si="446"/>
        <v>-</v>
      </c>
      <c r="E3080" s="560">
        <f t="shared" si="446"/>
        <v>48.607999999999997</v>
      </c>
      <c r="F3080" s="1508">
        <f t="shared" si="447"/>
        <v>0</v>
      </c>
      <c r="G3080" s="1508">
        <f t="shared" si="448"/>
        <v>0</v>
      </c>
      <c r="H3080" s="1508">
        <f t="shared" si="440"/>
        <v>0</v>
      </c>
      <c r="I3080" s="1480">
        <v>24.303999999999998</v>
      </c>
      <c r="J3080" s="1480">
        <v>24.303999999999998</v>
      </c>
      <c r="K3080" s="1508"/>
      <c r="L3080" s="1508"/>
      <c r="M3080" s="1509">
        <f t="shared" si="441"/>
        <v>24.303999999999998</v>
      </c>
      <c r="N3080" s="1508">
        <f t="shared" si="442"/>
        <v>0</v>
      </c>
    </row>
    <row r="3081" spans="1:14" ht="62" outlineLevel="1" x14ac:dyDescent="0.25">
      <c r="A3081" s="1486">
        <f t="shared" si="446"/>
        <v>2</v>
      </c>
      <c r="B3081" s="1491" t="str">
        <f t="shared" si="446"/>
        <v>Retrofitting/Upgradation of critical control loops by multiloop programmable controllers at Unit #3 &amp; 4, Upgradation of old ACS, PLC, SCADA WTP, FBTS, WTP measuring and instrumentation &amp; other WTP improvement schemes</v>
      </c>
      <c r="C3081" s="1488">
        <f t="shared" si="446"/>
        <v>0</v>
      </c>
      <c r="D3081" s="1413" t="str">
        <f t="shared" si="446"/>
        <v>-</v>
      </c>
      <c r="E3081" s="560">
        <f t="shared" si="446"/>
        <v>25.39</v>
      </c>
      <c r="F3081" s="1508">
        <f t="shared" si="447"/>
        <v>0</v>
      </c>
      <c r="G3081" s="1508">
        <f t="shared" si="448"/>
        <v>0</v>
      </c>
      <c r="H3081" s="1508">
        <f t="shared" si="440"/>
        <v>0</v>
      </c>
      <c r="I3081" s="1480">
        <v>0</v>
      </c>
      <c r="J3081" s="1480">
        <v>0</v>
      </c>
      <c r="K3081" s="1508"/>
      <c r="L3081" s="1508"/>
      <c r="M3081" s="1509">
        <f t="shared" si="441"/>
        <v>0</v>
      </c>
      <c r="N3081" s="1508">
        <f t="shared" si="442"/>
        <v>0</v>
      </c>
    </row>
    <row r="3082" spans="1:14" ht="31" outlineLevel="1" x14ac:dyDescent="0.25">
      <c r="A3082" s="1492">
        <f t="shared" si="446"/>
        <v>0</v>
      </c>
      <c r="B3082" s="1492" t="str">
        <f t="shared" si="446"/>
        <v>Retrofitting/Upgradation of critical control loops by multiloop programmable controllers at Unit #3 &amp; 4 CSTPS,Chandrapur.</v>
      </c>
      <c r="C3082" s="1488">
        <f t="shared" si="446"/>
        <v>0</v>
      </c>
      <c r="D3082" s="1413" t="str">
        <f t="shared" si="446"/>
        <v>-</v>
      </c>
      <c r="E3082" s="560">
        <f t="shared" si="446"/>
        <v>6</v>
      </c>
      <c r="F3082" s="1508">
        <f t="shared" si="447"/>
        <v>0</v>
      </c>
      <c r="G3082" s="1508">
        <f t="shared" si="448"/>
        <v>0</v>
      </c>
      <c r="H3082" s="1508">
        <f t="shared" si="440"/>
        <v>0</v>
      </c>
      <c r="I3082" s="1480">
        <v>0</v>
      </c>
      <c r="J3082" s="1480">
        <v>0</v>
      </c>
      <c r="K3082" s="1508"/>
      <c r="L3082" s="1508"/>
      <c r="M3082" s="1509">
        <f t="shared" si="441"/>
        <v>0</v>
      </c>
      <c r="N3082" s="1508">
        <f t="shared" si="442"/>
        <v>0</v>
      </c>
    </row>
    <row r="3083" spans="1:14" ht="31" outlineLevel="1" x14ac:dyDescent="0.25">
      <c r="A3083" s="1492">
        <f t="shared" si="446"/>
        <v>0</v>
      </c>
      <c r="B3083" s="1492" t="str">
        <f t="shared" si="446"/>
        <v>Upgradation of Old control system with PLC and SCADA at WTP  Stg-I of U# 3,4, 8 and 9, CSTPS, Chandrapur.</v>
      </c>
      <c r="C3083" s="1488">
        <f t="shared" si="446"/>
        <v>0</v>
      </c>
      <c r="D3083" s="1413" t="str">
        <f t="shared" si="446"/>
        <v>-</v>
      </c>
      <c r="E3083" s="560">
        <f t="shared" si="446"/>
        <v>3.89</v>
      </c>
      <c r="F3083" s="1508">
        <f t="shared" si="447"/>
        <v>0</v>
      </c>
      <c r="G3083" s="1508">
        <f t="shared" si="448"/>
        <v>0</v>
      </c>
      <c r="H3083" s="1508">
        <f t="shared" si="440"/>
        <v>0</v>
      </c>
      <c r="I3083" s="1480">
        <v>3.89</v>
      </c>
      <c r="J3083" s="1480">
        <v>3.89</v>
      </c>
      <c r="K3083" s="1508"/>
      <c r="L3083" s="1508"/>
      <c r="M3083" s="1509">
        <f t="shared" si="441"/>
        <v>3.89</v>
      </c>
      <c r="N3083" s="1508">
        <f t="shared" si="442"/>
        <v>0</v>
      </c>
    </row>
    <row r="3084" spans="1:14" ht="46.5" outlineLevel="1" x14ac:dyDescent="0.25">
      <c r="A3084" s="1492">
        <f t="shared" si="446"/>
        <v>0</v>
      </c>
      <c r="B3084" s="1492" t="str">
        <f t="shared" si="446"/>
        <v xml:space="preserve">Supply &amp; commissioning of advanced Microprocessor based Fast Bus Transfer Scheme for Stage-II Unit 3&amp;4, CSTPS, Chandrapur. </v>
      </c>
      <c r="C3084" s="1488">
        <f t="shared" si="446"/>
        <v>0</v>
      </c>
      <c r="D3084" s="1413" t="str">
        <f t="shared" si="446"/>
        <v>-</v>
      </c>
      <c r="E3084" s="560">
        <f t="shared" si="446"/>
        <v>3</v>
      </c>
      <c r="F3084" s="1508">
        <f t="shared" si="447"/>
        <v>0</v>
      </c>
      <c r="G3084" s="1508">
        <f t="shared" si="448"/>
        <v>0</v>
      </c>
      <c r="H3084" s="1508">
        <f t="shared" si="440"/>
        <v>0</v>
      </c>
      <c r="I3084" s="1480">
        <v>3</v>
      </c>
      <c r="J3084" s="1480">
        <v>3</v>
      </c>
      <c r="K3084" s="1508"/>
      <c r="L3084" s="1508"/>
      <c r="M3084" s="1509">
        <f t="shared" si="441"/>
        <v>3</v>
      </c>
      <c r="N3084" s="1508">
        <f t="shared" si="442"/>
        <v>0</v>
      </c>
    </row>
    <row r="3085" spans="1:14" ht="31" outlineLevel="1" x14ac:dyDescent="0.25">
      <c r="A3085" s="1492">
        <f t="shared" si="446"/>
        <v>0</v>
      </c>
      <c r="B3085" s="1492" t="str">
        <f t="shared" si="446"/>
        <v>Upgradation of Measuring &amp; Instrumentation of  WTP  Stg-I of U# 3,4, 8 and 9, CSTPS, Chandrapur.</v>
      </c>
      <c r="C3085" s="1488">
        <f t="shared" si="446"/>
        <v>0</v>
      </c>
      <c r="D3085" s="1413" t="str">
        <f t="shared" si="446"/>
        <v>-</v>
      </c>
      <c r="E3085" s="560">
        <f t="shared" si="446"/>
        <v>3.5</v>
      </c>
      <c r="F3085" s="1508">
        <f t="shared" si="447"/>
        <v>0</v>
      </c>
      <c r="G3085" s="1508">
        <f t="shared" si="448"/>
        <v>0</v>
      </c>
      <c r="H3085" s="1508">
        <f t="shared" si="440"/>
        <v>0</v>
      </c>
      <c r="I3085" s="1480">
        <v>0</v>
      </c>
      <c r="J3085" s="1480">
        <v>0</v>
      </c>
      <c r="K3085" s="1508"/>
      <c r="L3085" s="1508"/>
      <c r="M3085" s="1509">
        <f t="shared" si="441"/>
        <v>0</v>
      </c>
      <c r="N3085" s="1508">
        <f t="shared" si="442"/>
        <v>0</v>
      </c>
    </row>
    <row r="3086" spans="1:14" ht="31" outlineLevel="1" x14ac:dyDescent="0.25">
      <c r="A3086" s="1492">
        <f t="shared" si="446"/>
        <v>0</v>
      </c>
      <c r="B3086" s="1492" t="str">
        <f t="shared" si="446"/>
        <v>Upgradation of Ash Level Monitoring System at ESP/Eco / AHP Ash Hoppers at U# 3,4 CSTPS, Chandrapur.</v>
      </c>
      <c r="C3086" s="1488">
        <f t="shared" si="446"/>
        <v>0</v>
      </c>
      <c r="D3086" s="1413" t="str">
        <f t="shared" si="446"/>
        <v>-</v>
      </c>
      <c r="E3086" s="560">
        <f t="shared" si="446"/>
        <v>3</v>
      </c>
      <c r="F3086" s="1508">
        <f t="shared" si="447"/>
        <v>0</v>
      </c>
      <c r="G3086" s="1508">
        <f t="shared" si="448"/>
        <v>0</v>
      </c>
      <c r="H3086" s="1508">
        <f t="shared" si="440"/>
        <v>0</v>
      </c>
      <c r="I3086" s="1480">
        <v>0</v>
      </c>
      <c r="J3086" s="1480">
        <v>0</v>
      </c>
      <c r="K3086" s="1508"/>
      <c r="L3086" s="1508"/>
      <c r="M3086" s="1509">
        <f t="shared" si="441"/>
        <v>0</v>
      </c>
      <c r="N3086" s="1508">
        <f t="shared" si="442"/>
        <v>0</v>
      </c>
    </row>
    <row r="3087" spans="1:14" ht="31" outlineLevel="1" x14ac:dyDescent="0.25">
      <c r="A3087" s="1492">
        <f t="shared" si="446"/>
        <v>0</v>
      </c>
      <c r="B3087" s="1492" t="str">
        <f t="shared" si="446"/>
        <v>Upgradation of Obsolete Electromechanical Protection Relays to advanced Numeric Relays Installed at WTP - I</v>
      </c>
      <c r="C3087" s="1488">
        <f t="shared" si="446"/>
        <v>0</v>
      </c>
      <c r="D3087" s="1413" t="str">
        <f t="shared" si="446"/>
        <v>-</v>
      </c>
      <c r="E3087" s="560">
        <f t="shared" si="446"/>
        <v>3</v>
      </c>
      <c r="F3087" s="1508">
        <f t="shared" si="447"/>
        <v>0</v>
      </c>
      <c r="G3087" s="1508">
        <f t="shared" si="448"/>
        <v>0</v>
      </c>
      <c r="H3087" s="1508">
        <f t="shared" si="440"/>
        <v>0</v>
      </c>
      <c r="I3087" s="1480">
        <v>3</v>
      </c>
      <c r="J3087" s="1480">
        <v>3</v>
      </c>
      <c r="K3087" s="1508"/>
      <c r="L3087" s="1508"/>
      <c r="M3087" s="1509">
        <f t="shared" si="441"/>
        <v>3</v>
      </c>
      <c r="N3087" s="1508">
        <f t="shared" si="442"/>
        <v>0</v>
      </c>
    </row>
    <row r="3088" spans="1:14" ht="31" outlineLevel="1" x14ac:dyDescent="0.25">
      <c r="A3088" s="1492">
        <f t="shared" si="446"/>
        <v>0</v>
      </c>
      <c r="B3088" s="1492" t="str">
        <f t="shared" si="446"/>
        <v>Upgardation of BPF Scoop with electrical actuators at U#3 &amp; 4 CSTPS, Chandrapur.</v>
      </c>
      <c r="C3088" s="1488">
        <f t="shared" si="446"/>
        <v>0</v>
      </c>
      <c r="D3088" s="1413" t="str">
        <f t="shared" si="446"/>
        <v>-</v>
      </c>
      <c r="E3088" s="560">
        <f t="shared" si="446"/>
        <v>3</v>
      </c>
      <c r="F3088" s="1508">
        <f t="shared" si="447"/>
        <v>0</v>
      </c>
      <c r="G3088" s="1508">
        <f t="shared" si="448"/>
        <v>0</v>
      </c>
      <c r="H3088" s="1508">
        <f t="shared" ref="H3088:H3151" si="449">F3088-G3088</f>
        <v>0</v>
      </c>
      <c r="I3088" s="1480">
        <v>3</v>
      </c>
      <c r="J3088" s="1480">
        <v>3</v>
      </c>
      <c r="K3088" s="1508"/>
      <c r="L3088" s="1508"/>
      <c r="M3088" s="1509">
        <f t="shared" ref="M3088:M3151" si="450">SUM(J3088:L3088)</f>
        <v>3</v>
      </c>
      <c r="N3088" s="1508">
        <f t="shared" ref="N3088:N3151" si="451">H3088+I3088-M3088</f>
        <v>0</v>
      </c>
    </row>
    <row r="3089" spans="1:14" ht="31" outlineLevel="1" x14ac:dyDescent="0.25">
      <c r="A3089" s="1486">
        <f t="shared" si="446"/>
        <v>3</v>
      </c>
      <c r="B3089" s="1491" t="str">
        <f t="shared" si="446"/>
        <v xml:space="preserve">Upgradation of Measuring Instruments, Final Control Elements and Control System for Unit #3/4, WTP, AHP CSTPS Chandrapur </v>
      </c>
      <c r="C3089" s="1488">
        <f t="shared" si="446"/>
        <v>0</v>
      </c>
      <c r="D3089" s="1413" t="str">
        <f t="shared" si="446"/>
        <v>-</v>
      </c>
      <c r="E3089" s="560">
        <f t="shared" si="446"/>
        <v>30</v>
      </c>
      <c r="F3089" s="1508">
        <f t="shared" si="447"/>
        <v>0</v>
      </c>
      <c r="G3089" s="1508">
        <f t="shared" si="448"/>
        <v>0</v>
      </c>
      <c r="H3089" s="1508">
        <f t="shared" si="449"/>
        <v>0</v>
      </c>
      <c r="I3089" s="1480">
        <v>0</v>
      </c>
      <c r="J3089" s="1480">
        <v>0</v>
      </c>
      <c r="K3089" s="1508"/>
      <c r="L3089" s="1508"/>
      <c r="M3089" s="1509">
        <f t="shared" si="450"/>
        <v>0</v>
      </c>
      <c r="N3089" s="1508">
        <f t="shared" si="451"/>
        <v>0</v>
      </c>
    </row>
    <row r="3090" spans="1:14" ht="31" outlineLevel="1" x14ac:dyDescent="0.25">
      <c r="A3090" s="1492">
        <f t="shared" ref="A3090:E3105" si="452">A2420</f>
        <v>0</v>
      </c>
      <c r="B3090" s="1492" t="str">
        <f t="shared" si="452"/>
        <v xml:space="preserve">Upgradation of Measuring Instruments, Final Control Elements and Control System for Unit #3/4, WTP, AHP CSTPS Chandrapur </v>
      </c>
      <c r="C3090" s="1488">
        <f t="shared" si="452"/>
        <v>0</v>
      </c>
      <c r="D3090" s="1413" t="str">
        <f t="shared" si="452"/>
        <v>-</v>
      </c>
      <c r="E3090" s="560">
        <f t="shared" si="452"/>
        <v>30</v>
      </c>
      <c r="F3090" s="1508">
        <f t="shared" si="447"/>
        <v>0</v>
      </c>
      <c r="G3090" s="1508">
        <f t="shared" si="448"/>
        <v>0</v>
      </c>
      <c r="H3090" s="1508">
        <f t="shared" si="449"/>
        <v>0</v>
      </c>
      <c r="I3090" s="1480">
        <v>0</v>
      </c>
      <c r="J3090" s="1480">
        <v>0</v>
      </c>
      <c r="K3090" s="1508"/>
      <c r="L3090" s="1508"/>
      <c r="M3090" s="1509">
        <f t="shared" si="450"/>
        <v>0</v>
      </c>
      <c r="N3090" s="1508">
        <f t="shared" si="451"/>
        <v>0</v>
      </c>
    </row>
    <row r="3091" spans="1:14" ht="31" outlineLevel="1" x14ac:dyDescent="0.25">
      <c r="A3091" s="1486">
        <f t="shared" si="452"/>
        <v>4</v>
      </c>
      <c r="B3091" s="1491" t="str">
        <f t="shared" si="452"/>
        <v>Installation Errection and commissioning of Solar System for Electrical Suppy to CSTPS Colony.</v>
      </c>
      <c r="C3091" s="1488">
        <f t="shared" si="452"/>
        <v>0</v>
      </c>
      <c r="D3091" s="1413" t="str">
        <f t="shared" si="452"/>
        <v>-</v>
      </c>
      <c r="E3091" s="560">
        <f t="shared" si="452"/>
        <v>60</v>
      </c>
      <c r="F3091" s="1508">
        <f t="shared" si="447"/>
        <v>0</v>
      </c>
      <c r="G3091" s="1508">
        <f t="shared" si="448"/>
        <v>0</v>
      </c>
      <c r="H3091" s="1508">
        <f t="shared" si="449"/>
        <v>0</v>
      </c>
      <c r="I3091" s="1480">
        <v>0</v>
      </c>
      <c r="J3091" s="1480">
        <v>0</v>
      </c>
      <c r="K3091" s="1508"/>
      <c r="L3091" s="1508"/>
      <c r="M3091" s="1509">
        <f t="shared" si="450"/>
        <v>0</v>
      </c>
      <c r="N3091" s="1508">
        <f t="shared" si="451"/>
        <v>0</v>
      </c>
    </row>
    <row r="3092" spans="1:14" ht="31" outlineLevel="1" x14ac:dyDescent="0.25">
      <c r="A3092" s="1492">
        <f t="shared" si="452"/>
        <v>0</v>
      </c>
      <c r="B3092" s="1492" t="str">
        <f t="shared" si="452"/>
        <v>Installation Errection and commissioning of Solar System for Electrical Suppy to CSTPS Colony.</v>
      </c>
      <c r="C3092" s="1488">
        <f t="shared" si="452"/>
        <v>0</v>
      </c>
      <c r="D3092" s="1413" t="str">
        <f t="shared" si="452"/>
        <v>-</v>
      </c>
      <c r="E3092" s="560">
        <f t="shared" si="452"/>
        <v>60</v>
      </c>
      <c r="F3092" s="1508">
        <f t="shared" si="447"/>
        <v>0</v>
      </c>
      <c r="G3092" s="1508">
        <f t="shared" si="448"/>
        <v>0</v>
      </c>
      <c r="H3092" s="1508">
        <f t="shared" si="449"/>
        <v>0</v>
      </c>
      <c r="I3092" s="1480">
        <v>0</v>
      </c>
      <c r="J3092" s="1480">
        <v>0</v>
      </c>
      <c r="K3092" s="1508"/>
      <c r="L3092" s="1508"/>
      <c r="M3092" s="1509">
        <f t="shared" si="450"/>
        <v>0</v>
      </c>
      <c r="N3092" s="1508">
        <f t="shared" si="451"/>
        <v>0</v>
      </c>
    </row>
    <row r="3093" spans="1:14" ht="15.5" outlineLevel="1" x14ac:dyDescent="0.25">
      <c r="A3093" s="1486">
        <f t="shared" si="452"/>
        <v>5</v>
      </c>
      <c r="B3093" s="1491" t="str">
        <f t="shared" si="452"/>
        <v>Rejuvenation of WTP-I</v>
      </c>
      <c r="C3093" s="1488">
        <f t="shared" si="452"/>
        <v>0</v>
      </c>
      <c r="D3093" s="1413" t="str">
        <f t="shared" si="452"/>
        <v>-</v>
      </c>
      <c r="E3093" s="560">
        <f t="shared" si="452"/>
        <v>26.4</v>
      </c>
      <c r="F3093" s="1508">
        <f t="shared" si="447"/>
        <v>0</v>
      </c>
      <c r="G3093" s="1508">
        <f t="shared" si="448"/>
        <v>0</v>
      </c>
      <c r="H3093" s="1508">
        <f t="shared" si="449"/>
        <v>0</v>
      </c>
      <c r="I3093" s="1480">
        <v>0</v>
      </c>
      <c r="J3093" s="1480">
        <v>0</v>
      </c>
      <c r="K3093" s="1508"/>
      <c r="L3093" s="1508"/>
      <c r="M3093" s="1509">
        <f t="shared" si="450"/>
        <v>0</v>
      </c>
      <c r="N3093" s="1508">
        <f t="shared" si="451"/>
        <v>0</v>
      </c>
    </row>
    <row r="3094" spans="1:14" ht="31" outlineLevel="1" x14ac:dyDescent="0.25">
      <c r="A3094" s="1492">
        <f t="shared" si="452"/>
        <v>0</v>
      </c>
      <c r="B3094" s="1492" t="str">
        <f t="shared" si="452"/>
        <v>Repairing rejuvenation with upgradation of rapid gravity sand filters under drain system.</v>
      </c>
      <c r="C3094" s="1488">
        <f t="shared" si="452"/>
        <v>0</v>
      </c>
      <c r="D3094" s="1413" t="str">
        <f t="shared" si="452"/>
        <v>-</v>
      </c>
      <c r="E3094" s="560">
        <f t="shared" si="452"/>
        <v>8.1999999999999993</v>
      </c>
      <c r="F3094" s="1508">
        <f t="shared" si="447"/>
        <v>0</v>
      </c>
      <c r="G3094" s="1508">
        <f t="shared" si="448"/>
        <v>0</v>
      </c>
      <c r="H3094" s="1508">
        <f t="shared" si="449"/>
        <v>0</v>
      </c>
      <c r="I3094" s="1480">
        <v>0</v>
      </c>
      <c r="J3094" s="1480">
        <v>0</v>
      </c>
      <c r="K3094" s="1508"/>
      <c r="L3094" s="1508"/>
      <c r="M3094" s="1509">
        <f t="shared" si="450"/>
        <v>0</v>
      </c>
      <c r="N3094" s="1508">
        <f t="shared" si="451"/>
        <v>0</v>
      </c>
    </row>
    <row r="3095" spans="1:14" ht="31" outlineLevel="1" x14ac:dyDescent="0.25">
      <c r="A3095" s="1492">
        <f t="shared" si="452"/>
        <v>0</v>
      </c>
      <c r="B3095" s="1492" t="str">
        <f t="shared" si="452"/>
        <v>Repairing &amp; reconditioning of NDM clarifier of 27 Mtr dia &amp; DM clarifier of 15 mtr dia.</v>
      </c>
      <c r="C3095" s="1488">
        <f t="shared" si="452"/>
        <v>0</v>
      </c>
      <c r="D3095" s="1413" t="str">
        <f t="shared" si="452"/>
        <v>-</v>
      </c>
      <c r="E3095" s="560">
        <f t="shared" si="452"/>
        <v>2.4500000000000002</v>
      </c>
      <c r="F3095" s="1508">
        <f t="shared" si="447"/>
        <v>0</v>
      </c>
      <c r="G3095" s="1508">
        <f t="shared" si="448"/>
        <v>0</v>
      </c>
      <c r="H3095" s="1508">
        <f t="shared" si="449"/>
        <v>0</v>
      </c>
      <c r="I3095" s="1480">
        <v>0</v>
      </c>
      <c r="J3095" s="1480">
        <v>0</v>
      </c>
      <c r="K3095" s="1508"/>
      <c r="L3095" s="1508"/>
      <c r="M3095" s="1509">
        <f t="shared" si="450"/>
        <v>0</v>
      </c>
      <c r="N3095" s="1508">
        <f t="shared" si="451"/>
        <v>0</v>
      </c>
    </row>
    <row r="3096" spans="1:14" ht="31" outlineLevel="1" x14ac:dyDescent="0.25">
      <c r="A3096" s="1492">
        <f t="shared" si="452"/>
        <v>0</v>
      </c>
      <c r="B3096" s="1492" t="str">
        <f t="shared" si="452"/>
        <v>Repairing &amp; reconditioning of ion exchanger vessels of DM plant stream (PF,ACF,SAC,WBA,SBA,MB &amp;Degassor)</v>
      </c>
      <c r="C3096" s="1488">
        <f t="shared" si="452"/>
        <v>0</v>
      </c>
      <c r="D3096" s="1413" t="str">
        <f t="shared" si="452"/>
        <v>-</v>
      </c>
      <c r="E3096" s="560">
        <f t="shared" si="452"/>
        <v>15.75</v>
      </c>
      <c r="F3096" s="1508">
        <f t="shared" si="447"/>
        <v>0</v>
      </c>
      <c r="G3096" s="1508">
        <f t="shared" si="448"/>
        <v>0</v>
      </c>
      <c r="H3096" s="1508">
        <f t="shared" si="449"/>
        <v>0</v>
      </c>
      <c r="I3096" s="1480">
        <v>0</v>
      </c>
      <c r="J3096" s="1480">
        <v>0</v>
      </c>
      <c r="K3096" s="1508"/>
      <c r="L3096" s="1508"/>
      <c r="M3096" s="1509">
        <f t="shared" si="450"/>
        <v>0</v>
      </c>
      <c r="N3096" s="1508">
        <f t="shared" si="451"/>
        <v>0</v>
      </c>
    </row>
    <row r="3097" spans="1:14" ht="15.5" outlineLevel="1" x14ac:dyDescent="0.25">
      <c r="A3097" s="1504">
        <f t="shared" si="452"/>
        <v>0</v>
      </c>
      <c r="B3097" s="1504" t="str">
        <f t="shared" si="452"/>
        <v>CHP-A</v>
      </c>
      <c r="C3097" s="1488">
        <f t="shared" si="452"/>
        <v>0</v>
      </c>
      <c r="D3097" s="1413" t="str">
        <f t="shared" si="452"/>
        <v>-</v>
      </c>
      <c r="E3097" s="560">
        <f t="shared" si="452"/>
        <v>0</v>
      </c>
      <c r="F3097" s="1508">
        <f t="shared" si="447"/>
        <v>0</v>
      </c>
      <c r="G3097" s="1508">
        <f t="shared" si="448"/>
        <v>0</v>
      </c>
      <c r="H3097" s="1508">
        <f t="shared" si="449"/>
        <v>0</v>
      </c>
      <c r="I3097" s="1480">
        <v>0</v>
      </c>
      <c r="J3097" s="1480">
        <v>0</v>
      </c>
      <c r="K3097" s="1508"/>
      <c r="L3097" s="1508"/>
      <c r="M3097" s="1509">
        <f t="shared" si="450"/>
        <v>0</v>
      </c>
      <c r="N3097" s="1508">
        <f t="shared" si="451"/>
        <v>0</v>
      </c>
    </row>
    <row r="3098" spans="1:14" ht="31" outlineLevel="1" x14ac:dyDescent="0.25">
      <c r="A3098" s="1486">
        <f t="shared" si="452"/>
        <v>1</v>
      </c>
      <c r="B3098" s="1491" t="str">
        <f t="shared" si="452"/>
        <v>Proc of Loco, Bulldozer, &amp; upgradation of Wagon Tippler, Stacker, Wing Tripper &amp; installation of  Dust Extraction system</v>
      </c>
      <c r="C3098" s="1488">
        <f t="shared" si="452"/>
        <v>0</v>
      </c>
      <c r="D3098" s="1413" t="str">
        <f t="shared" si="452"/>
        <v>-</v>
      </c>
      <c r="E3098" s="560">
        <f t="shared" si="452"/>
        <v>58</v>
      </c>
      <c r="F3098" s="1508">
        <f t="shared" si="447"/>
        <v>0</v>
      </c>
      <c r="G3098" s="1508">
        <f t="shared" si="448"/>
        <v>0</v>
      </c>
      <c r="H3098" s="1508">
        <f t="shared" si="449"/>
        <v>0</v>
      </c>
      <c r="I3098" s="1480">
        <v>0</v>
      </c>
      <c r="J3098" s="1480">
        <v>0</v>
      </c>
      <c r="K3098" s="1508"/>
      <c r="L3098" s="1508"/>
      <c r="M3098" s="1509">
        <f t="shared" si="450"/>
        <v>0</v>
      </c>
      <c r="N3098" s="1508">
        <f t="shared" si="451"/>
        <v>0</v>
      </c>
    </row>
    <row r="3099" spans="1:14" ht="31" outlineLevel="1" x14ac:dyDescent="0.25">
      <c r="A3099" s="1492">
        <f t="shared" si="452"/>
        <v>0</v>
      </c>
      <c r="B3099" s="1492" t="str">
        <f t="shared" si="452"/>
        <v>Procurement of 2 numbers WDG-3A Locomotives and 4 numbers Bulldozers</v>
      </c>
      <c r="C3099" s="1488">
        <f t="shared" si="452"/>
        <v>0</v>
      </c>
      <c r="D3099" s="1413" t="str">
        <f t="shared" si="452"/>
        <v>-</v>
      </c>
      <c r="E3099" s="560">
        <f t="shared" si="452"/>
        <v>38</v>
      </c>
      <c r="F3099" s="1508">
        <f t="shared" si="447"/>
        <v>38</v>
      </c>
      <c r="G3099" s="1508">
        <f t="shared" si="448"/>
        <v>38</v>
      </c>
      <c r="H3099" s="1508">
        <f t="shared" si="449"/>
        <v>0</v>
      </c>
      <c r="I3099" s="1480">
        <v>0</v>
      </c>
      <c r="J3099" s="1480">
        <v>0</v>
      </c>
      <c r="K3099" s="1508"/>
      <c r="L3099" s="1508"/>
      <c r="M3099" s="1509">
        <f t="shared" si="450"/>
        <v>0</v>
      </c>
      <c r="N3099" s="1508">
        <f t="shared" si="451"/>
        <v>0</v>
      </c>
    </row>
    <row r="3100" spans="1:14" ht="31" outlineLevel="1" x14ac:dyDescent="0.25">
      <c r="A3100" s="1492">
        <f t="shared" si="452"/>
        <v>0</v>
      </c>
      <c r="B3100" s="1492" t="str">
        <f t="shared" si="452"/>
        <v>Upgradation of Wagon Tipplers, Stacker Reclaimer Machine and Wing Tripper at CHP-A</v>
      </c>
      <c r="C3100" s="1488">
        <f t="shared" si="452"/>
        <v>0</v>
      </c>
      <c r="D3100" s="1413" t="str">
        <f t="shared" si="452"/>
        <v>-</v>
      </c>
      <c r="E3100" s="560">
        <f t="shared" si="452"/>
        <v>15</v>
      </c>
      <c r="F3100" s="1508">
        <f t="shared" si="447"/>
        <v>15</v>
      </c>
      <c r="G3100" s="1508">
        <f t="shared" si="448"/>
        <v>15</v>
      </c>
      <c r="H3100" s="1508">
        <f t="shared" si="449"/>
        <v>0</v>
      </c>
      <c r="I3100" s="1480">
        <v>0</v>
      </c>
      <c r="J3100" s="1480">
        <v>0</v>
      </c>
      <c r="K3100" s="1508"/>
      <c r="L3100" s="1508"/>
      <c r="M3100" s="1509">
        <f t="shared" si="450"/>
        <v>0</v>
      </c>
      <c r="N3100" s="1508">
        <f t="shared" si="451"/>
        <v>0</v>
      </c>
    </row>
    <row r="3101" spans="1:14" ht="31" outlineLevel="1" x14ac:dyDescent="0.25">
      <c r="A3101" s="1492">
        <f t="shared" si="452"/>
        <v>0</v>
      </c>
      <c r="B3101" s="1492" t="str">
        <f t="shared" si="452"/>
        <v>Installation of Dust Extraction system at Bunker and SCR buildings</v>
      </c>
      <c r="C3101" s="1488">
        <f t="shared" si="452"/>
        <v>0</v>
      </c>
      <c r="D3101" s="1413" t="str">
        <f t="shared" si="452"/>
        <v>-</v>
      </c>
      <c r="E3101" s="560">
        <f t="shared" si="452"/>
        <v>5</v>
      </c>
      <c r="F3101" s="1508">
        <f t="shared" si="447"/>
        <v>5</v>
      </c>
      <c r="G3101" s="1508">
        <f t="shared" si="448"/>
        <v>5</v>
      </c>
      <c r="H3101" s="1508">
        <f t="shared" si="449"/>
        <v>0</v>
      </c>
      <c r="I3101" s="1480">
        <v>0</v>
      </c>
      <c r="J3101" s="1480">
        <v>0</v>
      </c>
      <c r="K3101" s="1508"/>
      <c r="L3101" s="1508"/>
      <c r="M3101" s="1509">
        <f t="shared" si="450"/>
        <v>0</v>
      </c>
      <c r="N3101" s="1508">
        <f t="shared" si="451"/>
        <v>0</v>
      </c>
    </row>
    <row r="3102" spans="1:14" ht="77.5" outlineLevel="1" x14ac:dyDescent="0.25">
      <c r="A3102" s="1486">
        <f t="shared" si="452"/>
        <v>2</v>
      </c>
      <c r="B3102" s="1491" t="str">
        <f t="shared" si="452"/>
        <v>Upgradation of BC-9A &amp; BC-9C, Aerial Ropeway System 1 &amp; 2 &amp; BC-L1,L2 &amp; L3, Upgradation of Junction Tower-1 Hopper and Bunkering Trippers, Providing and Installation of Hopper Grills of Wagon Tippler-169 &amp; 170, Road Hopper, DT Ho[pper and DRCC Grills</v>
      </c>
      <c r="C3102" s="1488">
        <f t="shared" si="452"/>
        <v>0</v>
      </c>
      <c r="D3102" s="1413" t="str">
        <f t="shared" si="452"/>
        <v>-</v>
      </c>
      <c r="E3102" s="560">
        <f t="shared" si="452"/>
        <v>33</v>
      </c>
      <c r="F3102" s="1508">
        <f t="shared" si="447"/>
        <v>0</v>
      </c>
      <c r="G3102" s="1508">
        <f t="shared" si="448"/>
        <v>0</v>
      </c>
      <c r="H3102" s="1508">
        <f t="shared" si="449"/>
        <v>0</v>
      </c>
      <c r="I3102" s="1480">
        <v>0</v>
      </c>
      <c r="J3102" s="1480">
        <v>0</v>
      </c>
      <c r="K3102" s="1508"/>
      <c r="L3102" s="1508"/>
      <c r="M3102" s="1509">
        <f t="shared" si="450"/>
        <v>0</v>
      </c>
      <c r="N3102" s="1508">
        <f t="shared" si="451"/>
        <v>0</v>
      </c>
    </row>
    <row r="3103" spans="1:14" ht="31" outlineLevel="1" x14ac:dyDescent="0.25">
      <c r="A3103" s="1492">
        <f t="shared" si="452"/>
        <v>0</v>
      </c>
      <c r="B3103" s="1492" t="str">
        <f t="shared" si="452"/>
        <v>Upgradation of BC-9A &amp; BC-9C for converting 1000 mm to 1200 mm along with Gantry structure replacement</v>
      </c>
      <c r="C3103" s="1488">
        <f t="shared" si="452"/>
        <v>0</v>
      </c>
      <c r="D3103" s="1413" t="str">
        <f t="shared" si="452"/>
        <v>-</v>
      </c>
      <c r="E3103" s="560">
        <f t="shared" si="452"/>
        <v>12</v>
      </c>
      <c r="F3103" s="1508">
        <f t="shared" si="447"/>
        <v>0</v>
      </c>
      <c r="G3103" s="1508">
        <f t="shared" si="448"/>
        <v>0</v>
      </c>
      <c r="H3103" s="1508">
        <f t="shared" si="449"/>
        <v>0</v>
      </c>
      <c r="I3103" s="1480">
        <v>12</v>
      </c>
      <c r="J3103" s="1480">
        <v>12</v>
      </c>
      <c r="K3103" s="1508"/>
      <c r="L3103" s="1508"/>
      <c r="M3103" s="1509">
        <f t="shared" si="450"/>
        <v>12</v>
      </c>
      <c r="N3103" s="1508">
        <f t="shared" si="451"/>
        <v>0</v>
      </c>
    </row>
    <row r="3104" spans="1:14" ht="15.5" outlineLevel="1" x14ac:dyDescent="0.25">
      <c r="A3104" s="1492">
        <f t="shared" si="452"/>
        <v>0</v>
      </c>
      <c r="B3104" s="1492" t="str">
        <f t="shared" si="452"/>
        <v>Upgradation of Aerial Ropeway System 1 &amp; 2 &amp; BC-L1,L2 &amp; L3</v>
      </c>
      <c r="C3104" s="1488">
        <f t="shared" si="452"/>
        <v>0</v>
      </c>
      <c r="D3104" s="1413" t="str">
        <f t="shared" si="452"/>
        <v>-</v>
      </c>
      <c r="E3104" s="560">
        <f t="shared" si="452"/>
        <v>10</v>
      </c>
      <c r="F3104" s="1508">
        <f t="shared" si="447"/>
        <v>0</v>
      </c>
      <c r="G3104" s="1508">
        <f t="shared" si="448"/>
        <v>0</v>
      </c>
      <c r="H3104" s="1508">
        <f t="shared" si="449"/>
        <v>0</v>
      </c>
      <c r="I3104" s="1480">
        <v>10</v>
      </c>
      <c r="J3104" s="1480">
        <v>10</v>
      </c>
      <c r="K3104" s="1508"/>
      <c r="L3104" s="1508"/>
      <c r="M3104" s="1509">
        <f t="shared" si="450"/>
        <v>10</v>
      </c>
      <c r="N3104" s="1508">
        <f t="shared" si="451"/>
        <v>0</v>
      </c>
    </row>
    <row r="3105" spans="1:14" ht="31" outlineLevel="1" x14ac:dyDescent="0.25">
      <c r="A3105" s="1492">
        <f t="shared" si="452"/>
        <v>0</v>
      </c>
      <c r="B3105" s="1492" t="str">
        <f t="shared" si="452"/>
        <v>Upgradation of Junction Tower-1 Hopper and Bunkering Trippers</v>
      </c>
      <c r="C3105" s="1488">
        <f t="shared" si="452"/>
        <v>0</v>
      </c>
      <c r="D3105" s="1413" t="str">
        <f t="shared" si="452"/>
        <v>-</v>
      </c>
      <c r="E3105" s="560">
        <f t="shared" si="452"/>
        <v>5.5</v>
      </c>
      <c r="F3105" s="1508">
        <f t="shared" si="447"/>
        <v>0</v>
      </c>
      <c r="G3105" s="1508">
        <f t="shared" si="448"/>
        <v>0</v>
      </c>
      <c r="H3105" s="1508">
        <f t="shared" si="449"/>
        <v>0</v>
      </c>
      <c r="I3105" s="1480">
        <v>5.5</v>
      </c>
      <c r="J3105" s="1480">
        <v>5.5</v>
      </c>
      <c r="K3105" s="1508"/>
      <c r="L3105" s="1508"/>
      <c r="M3105" s="1509">
        <f t="shared" si="450"/>
        <v>5.5</v>
      </c>
      <c r="N3105" s="1508">
        <f t="shared" si="451"/>
        <v>0</v>
      </c>
    </row>
    <row r="3106" spans="1:14" ht="31" outlineLevel="1" x14ac:dyDescent="0.25">
      <c r="A3106" s="1492">
        <f t="shared" ref="A3106:E3121" si="453">A2436</f>
        <v>0</v>
      </c>
      <c r="B3106" s="1492" t="str">
        <f t="shared" si="453"/>
        <v>Providing and Installation of Hopper Grills of Wagon Tippler-169 &amp; 170, Road Hopper, DT Ho[pper and DRCC Grills</v>
      </c>
      <c r="C3106" s="1488">
        <f t="shared" si="453"/>
        <v>0</v>
      </c>
      <c r="D3106" s="1413" t="str">
        <f t="shared" si="453"/>
        <v>-</v>
      </c>
      <c r="E3106" s="560">
        <f t="shared" si="453"/>
        <v>5.5</v>
      </c>
      <c r="F3106" s="1508">
        <f t="shared" si="447"/>
        <v>0</v>
      </c>
      <c r="G3106" s="1508">
        <f t="shared" si="448"/>
        <v>0</v>
      </c>
      <c r="H3106" s="1508">
        <f t="shared" si="449"/>
        <v>0</v>
      </c>
      <c r="I3106" s="1480">
        <v>5.5</v>
      </c>
      <c r="J3106" s="1480">
        <v>5.5</v>
      </c>
      <c r="K3106" s="1508"/>
      <c r="L3106" s="1508"/>
      <c r="M3106" s="1509">
        <f t="shared" si="450"/>
        <v>5.5</v>
      </c>
      <c r="N3106" s="1508">
        <f t="shared" si="451"/>
        <v>0</v>
      </c>
    </row>
    <row r="3107" spans="1:14" ht="31" outlineLevel="1" x14ac:dyDescent="0.25">
      <c r="A3107" s="1486">
        <f t="shared" si="453"/>
        <v>3</v>
      </c>
      <c r="B3107" s="1491" t="str">
        <f t="shared" si="453"/>
        <v>DPR for Bulldozer, Locomotives, Tunnel conveyors, Augur machines</v>
      </c>
      <c r="C3107" s="1488">
        <f t="shared" si="453"/>
        <v>0</v>
      </c>
      <c r="D3107" s="1413" t="str">
        <f t="shared" si="453"/>
        <v>-</v>
      </c>
      <c r="E3107" s="560">
        <f t="shared" si="453"/>
        <v>32</v>
      </c>
      <c r="F3107" s="1508">
        <f t="shared" si="447"/>
        <v>0</v>
      </c>
      <c r="G3107" s="1508">
        <f t="shared" si="448"/>
        <v>0</v>
      </c>
      <c r="H3107" s="1508">
        <f t="shared" si="449"/>
        <v>0</v>
      </c>
      <c r="I3107" s="1480">
        <v>0</v>
      </c>
      <c r="J3107" s="1480">
        <v>0</v>
      </c>
      <c r="K3107" s="1508"/>
      <c r="L3107" s="1508"/>
      <c r="M3107" s="1509">
        <f t="shared" si="450"/>
        <v>0</v>
      </c>
      <c r="N3107" s="1508">
        <f t="shared" si="451"/>
        <v>0</v>
      </c>
    </row>
    <row r="3108" spans="1:14" ht="15.5" outlineLevel="1" x14ac:dyDescent="0.25">
      <c r="A3108" s="1492">
        <f t="shared" si="453"/>
        <v>0</v>
      </c>
      <c r="B3108" s="1492" t="str">
        <f t="shared" si="453"/>
        <v>Procurement of 4 Numbers Bulldozers</v>
      </c>
      <c r="C3108" s="1488">
        <f t="shared" si="453"/>
        <v>0</v>
      </c>
      <c r="D3108" s="1413" t="str">
        <f t="shared" si="453"/>
        <v>-</v>
      </c>
      <c r="E3108" s="560">
        <f t="shared" si="453"/>
        <v>12</v>
      </c>
      <c r="F3108" s="1508">
        <f t="shared" si="447"/>
        <v>0</v>
      </c>
      <c r="G3108" s="1508">
        <f t="shared" si="448"/>
        <v>0</v>
      </c>
      <c r="H3108" s="1508">
        <f t="shared" si="449"/>
        <v>0</v>
      </c>
      <c r="I3108" s="1480">
        <v>0</v>
      </c>
      <c r="J3108" s="1480">
        <v>0</v>
      </c>
      <c r="K3108" s="1508"/>
      <c r="L3108" s="1508"/>
      <c r="M3108" s="1509">
        <f t="shared" si="450"/>
        <v>0</v>
      </c>
      <c r="N3108" s="1508">
        <f t="shared" si="451"/>
        <v>0</v>
      </c>
    </row>
    <row r="3109" spans="1:14" ht="15.5" outlineLevel="1" x14ac:dyDescent="0.25">
      <c r="A3109" s="1492">
        <f t="shared" si="453"/>
        <v>0</v>
      </c>
      <c r="B3109" s="1492" t="str">
        <f t="shared" si="453"/>
        <v>Procurement of 2 Numbers 800 HP Locomotives</v>
      </c>
      <c r="C3109" s="1488">
        <f t="shared" si="453"/>
        <v>0</v>
      </c>
      <c r="D3109" s="1413" t="str">
        <f t="shared" si="453"/>
        <v>-</v>
      </c>
      <c r="E3109" s="560">
        <f t="shared" si="453"/>
        <v>9</v>
      </c>
      <c r="F3109" s="1508">
        <f t="shared" si="447"/>
        <v>0</v>
      </c>
      <c r="G3109" s="1508">
        <f t="shared" si="448"/>
        <v>0</v>
      </c>
      <c r="H3109" s="1508">
        <f t="shared" si="449"/>
        <v>0</v>
      </c>
      <c r="I3109" s="1480">
        <v>0</v>
      </c>
      <c r="J3109" s="1480">
        <v>0</v>
      </c>
      <c r="K3109" s="1508"/>
      <c r="L3109" s="1508"/>
      <c r="M3109" s="1509">
        <f t="shared" si="450"/>
        <v>0</v>
      </c>
      <c r="N3109" s="1508">
        <f t="shared" si="451"/>
        <v>0</v>
      </c>
    </row>
    <row r="3110" spans="1:14" ht="31" outlineLevel="1" x14ac:dyDescent="0.25">
      <c r="A3110" s="1492">
        <f t="shared" si="453"/>
        <v>0</v>
      </c>
      <c r="B3110" s="1492" t="str">
        <f t="shared" si="453"/>
        <v>Upgradation of Tunnel conveyors BC-1AB, BC-4AB, BC-3, BC-5AB &amp; BC-21B</v>
      </c>
      <c r="C3110" s="1488">
        <f t="shared" si="453"/>
        <v>0</v>
      </c>
      <c r="D3110" s="1413" t="str">
        <f t="shared" si="453"/>
        <v>-</v>
      </c>
      <c r="E3110" s="560">
        <f t="shared" si="453"/>
        <v>5</v>
      </c>
      <c r="F3110" s="1508">
        <f t="shared" si="447"/>
        <v>0</v>
      </c>
      <c r="G3110" s="1508">
        <f t="shared" si="448"/>
        <v>0</v>
      </c>
      <c r="H3110" s="1508">
        <f t="shared" si="449"/>
        <v>0</v>
      </c>
      <c r="I3110" s="1480">
        <v>0</v>
      </c>
      <c r="J3110" s="1480">
        <v>0</v>
      </c>
      <c r="K3110" s="1508"/>
      <c r="L3110" s="1508"/>
      <c r="M3110" s="1509">
        <f t="shared" si="450"/>
        <v>0</v>
      </c>
      <c r="N3110" s="1508">
        <f t="shared" si="451"/>
        <v>0</v>
      </c>
    </row>
    <row r="3111" spans="1:14" ht="31" outlineLevel="1" x14ac:dyDescent="0.25">
      <c r="A3111" s="1492">
        <f t="shared" si="453"/>
        <v>0</v>
      </c>
      <c r="B3111" s="1492" t="str">
        <f t="shared" si="453"/>
        <v>Procurement of 4 Numbers Mobile Coal sampling Equipments (Augur Machines)</v>
      </c>
      <c r="C3111" s="1488">
        <f t="shared" si="453"/>
        <v>0</v>
      </c>
      <c r="D3111" s="1413" t="str">
        <f t="shared" si="453"/>
        <v>-</v>
      </c>
      <c r="E3111" s="560">
        <f t="shared" si="453"/>
        <v>6</v>
      </c>
      <c r="F3111" s="1508">
        <f t="shared" si="447"/>
        <v>0</v>
      </c>
      <c r="G3111" s="1508">
        <f t="shared" si="448"/>
        <v>0</v>
      </c>
      <c r="H3111" s="1508">
        <f t="shared" si="449"/>
        <v>0</v>
      </c>
      <c r="I3111" s="1480">
        <v>0</v>
      </c>
      <c r="J3111" s="1480">
        <v>0</v>
      </c>
      <c r="K3111" s="1508"/>
      <c r="L3111" s="1508"/>
      <c r="M3111" s="1509">
        <f t="shared" si="450"/>
        <v>0</v>
      </c>
      <c r="N3111" s="1508">
        <f t="shared" si="451"/>
        <v>0</v>
      </c>
    </row>
    <row r="3112" spans="1:14" ht="15.5" outlineLevel="1" x14ac:dyDescent="0.25">
      <c r="A3112" s="1504">
        <f t="shared" si="453"/>
        <v>0</v>
      </c>
      <c r="B3112" s="1504" t="str">
        <f t="shared" si="453"/>
        <v>Boiler Maintenance -II</v>
      </c>
      <c r="C3112" s="1488">
        <f t="shared" si="453"/>
        <v>0</v>
      </c>
      <c r="D3112" s="1413" t="str">
        <f t="shared" si="453"/>
        <v>-</v>
      </c>
      <c r="E3112" s="560">
        <f t="shared" si="453"/>
        <v>0</v>
      </c>
      <c r="F3112" s="1508">
        <f t="shared" si="447"/>
        <v>0</v>
      </c>
      <c r="G3112" s="1508">
        <f t="shared" si="448"/>
        <v>0</v>
      </c>
      <c r="H3112" s="1508">
        <f t="shared" si="449"/>
        <v>0</v>
      </c>
      <c r="I3112" s="1480">
        <v>0</v>
      </c>
      <c r="J3112" s="1480">
        <v>0</v>
      </c>
      <c r="K3112" s="1508"/>
      <c r="L3112" s="1508"/>
      <c r="M3112" s="1509">
        <f t="shared" si="450"/>
        <v>0</v>
      </c>
      <c r="N3112" s="1508">
        <f t="shared" si="451"/>
        <v>0</v>
      </c>
    </row>
    <row r="3113" spans="1:14" ht="31" outlineLevel="1" x14ac:dyDescent="0.25">
      <c r="A3113" s="1486">
        <f t="shared" si="453"/>
        <v>1</v>
      </c>
      <c r="B3113" s="1491" t="str">
        <f t="shared" si="453"/>
        <v xml:space="preserve">Up  Gradation of existing volumetric belt type coal feeders to gravimetric rotary weigh coal feeder of U-5 &amp; 6 at CSTPS </v>
      </c>
      <c r="C3113" s="1488">
        <f t="shared" si="453"/>
        <v>0</v>
      </c>
      <c r="D3113" s="1413" t="str">
        <f t="shared" si="453"/>
        <v>-</v>
      </c>
      <c r="E3113" s="560">
        <f t="shared" si="453"/>
        <v>85.69</v>
      </c>
      <c r="F3113" s="1508">
        <f t="shared" si="447"/>
        <v>0</v>
      </c>
      <c r="G3113" s="1508">
        <f t="shared" si="448"/>
        <v>0</v>
      </c>
      <c r="H3113" s="1508">
        <f t="shared" si="449"/>
        <v>0</v>
      </c>
      <c r="I3113" s="1480">
        <v>0</v>
      </c>
      <c r="J3113" s="1480">
        <v>0</v>
      </c>
      <c r="K3113" s="1508"/>
      <c r="L3113" s="1508"/>
      <c r="M3113" s="1509">
        <f t="shared" si="450"/>
        <v>0</v>
      </c>
      <c r="N3113" s="1508">
        <f t="shared" si="451"/>
        <v>0</v>
      </c>
    </row>
    <row r="3114" spans="1:14" ht="31" outlineLevel="1" x14ac:dyDescent="0.25">
      <c r="A3114" s="1492">
        <f t="shared" si="453"/>
        <v>0</v>
      </c>
      <c r="B3114" s="1492" t="str">
        <f t="shared" si="453"/>
        <v xml:space="preserve">Up  Gradation of existing volumetric belt type coal feeders to gravimetric rotary weigh coal feeder of U-5 &amp; 6 at CSTPS </v>
      </c>
      <c r="C3114" s="1488">
        <f t="shared" si="453"/>
        <v>0</v>
      </c>
      <c r="D3114" s="1413" t="str">
        <f t="shared" si="453"/>
        <v>-</v>
      </c>
      <c r="E3114" s="560">
        <f t="shared" si="453"/>
        <v>85.679999999999993</v>
      </c>
      <c r="F3114" s="1508">
        <f t="shared" si="447"/>
        <v>28.56</v>
      </c>
      <c r="G3114" s="1508">
        <f t="shared" si="448"/>
        <v>28.56</v>
      </c>
      <c r="H3114" s="1508">
        <f t="shared" si="449"/>
        <v>0</v>
      </c>
      <c r="I3114" s="1480">
        <v>28.56</v>
      </c>
      <c r="J3114" s="1480">
        <v>28.56</v>
      </c>
      <c r="K3114" s="1508"/>
      <c r="L3114" s="1508"/>
      <c r="M3114" s="1509">
        <f t="shared" si="450"/>
        <v>28.56</v>
      </c>
      <c r="N3114" s="1508">
        <f t="shared" si="451"/>
        <v>0</v>
      </c>
    </row>
    <row r="3115" spans="1:14" ht="62" outlineLevel="1" x14ac:dyDescent="0.25">
      <c r="A3115" s="1486">
        <f t="shared" si="453"/>
        <v>2</v>
      </c>
      <c r="B3115" s="1491" t="str">
        <f t="shared" si="453"/>
        <v>DPR for the Work of Modification of existing coal bunker and commissioning of bunker chute assembly with vibrating motor to avoid bunker mouth coal choke up for Unit 5 &amp;6 at CSTPS, Chandrapur.</v>
      </c>
      <c r="C3115" s="1488">
        <f t="shared" si="453"/>
        <v>0</v>
      </c>
      <c r="D3115" s="1413" t="str">
        <f t="shared" si="453"/>
        <v>-</v>
      </c>
      <c r="E3115" s="560">
        <f t="shared" si="453"/>
        <v>32.28</v>
      </c>
      <c r="F3115" s="1508">
        <f t="shared" si="447"/>
        <v>0</v>
      </c>
      <c r="G3115" s="1508">
        <f t="shared" si="448"/>
        <v>0</v>
      </c>
      <c r="H3115" s="1508">
        <f t="shared" si="449"/>
        <v>0</v>
      </c>
      <c r="I3115" s="1480">
        <v>0</v>
      </c>
      <c r="J3115" s="1480">
        <v>0</v>
      </c>
      <c r="K3115" s="1508"/>
      <c r="L3115" s="1508"/>
      <c r="M3115" s="1509">
        <f t="shared" si="450"/>
        <v>0</v>
      </c>
      <c r="N3115" s="1508">
        <f t="shared" si="451"/>
        <v>0</v>
      </c>
    </row>
    <row r="3116" spans="1:14" ht="62" outlineLevel="1" x14ac:dyDescent="0.25">
      <c r="A3116" s="1492">
        <f t="shared" si="453"/>
        <v>0</v>
      </c>
      <c r="B3116" s="1492" t="str">
        <f t="shared" si="453"/>
        <v>DPR for the Work of Modification of existing coal bunker and commissioning of bunker chute assembly with vibrating motor to avoid bunker mouth coal choke up for Unit 5 &amp;6 at CSTPS, Chandrapur.</v>
      </c>
      <c r="C3116" s="1488">
        <f t="shared" si="453"/>
        <v>0</v>
      </c>
      <c r="D3116" s="1413" t="str">
        <f t="shared" si="453"/>
        <v>-</v>
      </c>
      <c r="E3116" s="560">
        <f t="shared" si="453"/>
        <v>32.28</v>
      </c>
      <c r="F3116" s="1508">
        <f t="shared" si="447"/>
        <v>32.28</v>
      </c>
      <c r="G3116" s="1508">
        <f t="shared" si="448"/>
        <v>32.28</v>
      </c>
      <c r="H3116" s="1508">
        <f t="shared" si="449"/>
        <v>0</v>
      </c>
      <c r="I3116" s="1480">
        <v>0</v>
      </c>
      <c r="J3116" s="1480">
        <v>0</v>
      </c>
      <c r="K3116" s="1508"/>
      <c r="L3116" s="1508"/>
      <c r="M3116" s="1509">
        <f t="shared" si="450"/>
        <v>0</v>
      </c>
      <c r="N3116" s="1508">
        <f t="shared" si="451"/>
        <v>0</v>
      </c>
    </row>
    <row r="3117" spans="1:14" ht="31" outlineLevel="1" x14ac:dyDescent="0.25">
      <c r="A3117" s="1486">
        <f t="shared" si="453"/>
        <v>3</v>
      </c>
      <c r="B3117" s="1491" t="str">
        <f t="shared" si="453"/>
        <v>DPR for  Supply &amp; Replacment of Boiler Thermal Insulation Unit 5 &amp;6, 7 at CSTPS, Chandrapur.</v>
      </c>
      <c r="C3117" s="1488">
        <f t="shared" si="453"/>
        <v>0</v>
      </c>
      <c r="D3117" s="1413" t="str">
        <f t="shared" si="453"/>
        <v>-</v>
      </c>
      <c r="E3117" s="560">
        <f t="shared" si="453"/>
        <v>30</v>
      </c>
      <c r="F3117" s="1508">
        <f t="shared" si="447"/>
        <v>0</v>
      </c>
      <c r="G3117" s="1508">
        <f t="shared" si="448"/>
        <v>0</v>
      </c>
      <c r="H3117" s="1508">
        <f t="shared" si="449"/>
        <v>0</v>
      </c>
      <c r="I3117" s="1480">
        <v>0</v>
      </c>
      <c r="J3117" s="1480">
        <v>0</v>
      </c>
      <c r="K3117" s="1508"/>
      <c r="L3117" s="1508"/>
      <c r="M3117" s="1509">
        <f t="shared" si="450"/>
        <v>0</v>
      </c>
      <c r="N3117" s="1508">
        <f t="shared" si="451"/>
        <v>0</v>
      </c>
    </row>
    <row r="3118" spans="1:14" ht="31" outlineLevel="1" x14ac:dyDescent="0.25">
      <c r="A3118" s="1492">
        <f t="shared" si="453"/>
        <v>0</v>
      </c>
      <c r="B3118" s="1492" t="str">
        <f t="shared" si="453"/>
        <v>DPR for  Supply &amp; Replacment of Boiler Thermal Insulation Unit 5 &amp;6, 7 at CSTPS, Chandrapur.</v>
      </c>
      <c r="C3118" s="1488">
        <f t="shared" si="453"/>
        <v>0</v>
      </c>
      <c r="D3118" s="1413" t="str">
        <f t="shared" si="453"/>
        <v>-</v>
      </c>
      <c r="E3118" s="560">
        <f t="shared" si="453"/>
        <v>30</v>
      </c>
      <c r="F3118" s="1508">
        <f t="shared" si="447"/>
        <v>30</v>
      </c>
      <c r="G3118" s="1508">
        <f t="shared" si="448"/>
        <v>30</v>
      </c>
      <c r="H3118" s="1508">
        <f t="shared" si="449"/>
        <v>0</v>
      </c>
      <c r="I3118" s="1480">
        <v>0</v>
      </c>
      <c r="J3118" s="1480">
        <v>0</v>
      </c>
      <c r="K3118" s="1508"/>
      <c r="L3118" s="1508"/>
      <c r="M3118" s="1509">
        <f t="shared" si="450"/>
        <v>0</v>
      </c>
      <c r="N3118" s="1508">
        <f t="shared" si="451"/>
        <v>0</v>
      </c>
    </row>
    <row r="3119" spans="1:14" ht="62" outlineLevel="1" x14ac:dyDescent="0.25">
      <c r="A3119" s="1486">
        <f t="shared" si="453"/>
        <v>4</v>
      </c>
      <c r="B3119" s="1491" t="str">
        <f t="shared" si="453"/>
        <v>Detailed Project Report for Manufacturing, supply and application of wear resistance liners for Coal Mill XRP-1043 and Procurement of Complete Gear box for Coal Mill XRP-1043, ID Fan impeller and sub assembly for Unit 5 &amp; 6 At CSTPS, Chandrapur.</v>
      </c>
      <c r="C3119" s="1488">
        <f t="shared" si="453"/>
        <v>0</v>
      </c>
      <c r="D3119" s="1413" t="str">
        <f t="shared" si="453"/>
        <v>-</v>
      </c>
      <c r="E3119" s="560">
        <f t="shared" si="453"/>
        <v>25</v>
      </c>
      <c r="F3119" s="1508">
        <f t="shared" si="447"/>
        <v>0</v>
      </c>
      <c r="G3119" s="1508">
        <f t="shared" si="448"/>
        <v>0</v>
      </c>
      <c r="H3119" s="1508">
        <f t="shared" si="449"/>
        <v>0</v>
      </c>
      <c r="I3119" s="1480">
        <v>0</v>
      </c>
      <c r="J3119" s="1480">
        <v>0</v>
      </c>
      <c r="K3119" s="1508"/>
      <c r="L3119" s="1508"/>
      <c r="M3119" s="1509">
        <f t="shared" si="450"/>
        <v>0</v>
      </c>
      <c r="N3119" s="1508">
        <f t="shared" si="451"/>
        <v>0</v>
      </c>
    </row>
    <row r="3120" spans="1:14" ht="77.5" outlineLevel="1" x14ac:dyDescent="0.25">
      <c r="A3120" s="1492">
        <f t="shared" si="453"/>
        <v>0</v>
      </c>
      <c r="B3120" s="1492" t="str">
        <f t="shared" si="453"/>
        <v>Detailed Project Report for Manufacturing, supply and application of wear resistance liners for Coal Mill XRP-1043 and Procurement of Complete Gear box for Coal Mill XRP-1043, ID Fan impeller and sub assembly for Unit 5 &amp; 6 At CSTPS, Chandrapur.</v>
      </c>
      <c r="C3120" s="1488">
        <f t="shared" si="453"/>
        <v>0</v>
      </c>
      <c r="D3120" s="1413" t="str">
        <f t="shared" si="453"/>
        <v>-</v>
      </c>
      <c r="E3120" s="560">
        <f t="shared" si="453"/>
        <v>25</v>
      </c>
      <c r="F3120" s="1508">
        <f t="shared" si="447"/>
        <v>25</v>
      </c>
      <c r="G3120" s="1508">
        <f t="shared" si="448"/>
        <v>25</v>
      </c>
      <c r="H3120" s="1508">
        <f t="shared" si="449"/>
        <v>0</v>
      </c>
      <c r="I3120" s="1480">
        <v>0</v>
      </c>
      <c r="J3120" s="1480">
        <v>0</v>
      </c>
      <c r="K3120" s="1508"/>
      <c r="L3120" s="1508"/>
      <c r="M3120" s="1509">
        <f t="shared" si="450"/>
        <v>0</v>
      </c>
      <c r="N3120" s="1508">
        <f t="shared" si="451"/>
        <v>0</v>
      </c>
    </row>
    <row r="3121" spans="1:14" ht="31" outlineLevel="1" x14ac:dyDescent="0.25">
      <c r="A3121" s="1486">
        <f t="shared" si="453"/>
        <v>5</v>
      </c>
      <c r="B3121" s="1491" t="str">
        <f t="shared" si="453"/>
        <v>DPR for Modification and Restoration of Eco. outlet to ESP inlet duct of Unit -6 (500MW) CSTPS, Chandrapur .</v>
      </c>
      <c r="C3121" s="1488">
        <f t="shared" si="453"/>
        <v>0</v>
      </c>
      <c r="D3121" s="1413" t="str">
        <f t="shared" si="453"/>
        <v>-</v>
      </c>
      <c r="E3121" s="560">
        <f t="shared" si="453"/>
        <v>25</v>
      </c>
      <c r="F3121" s="1508">
        <f t="shared" si="447"/>
        <v>0</v>
      </c>
      <c r="G3121" s="1508">
        <f t="shared" si="448"/>
        <v>0</v>
      </c>
      <c r="H3121" s="1508">
        <f t="shared" si="449"/>
        <v>0</v>
      </c>
      <c r="I3121" s="1480">
        <v>0</v>
      </c>
      <c r="J3121" s="1480">
        <v>0</v>
      </c>
      <c r="K3121" s="1508"/>
      <c r="L3121" s="1508"/>
      <c r="M3121" s="1509">
        <f t="shared" si="450"/>
        <v>0</v>
      </c>
      <c r="N3121" s="1508">
        <f t="shared" si="451"/>
        <v>0</v>
      </c>
    </row>
    <row r="3122" spans="1:14" ht="31" outlineLevel="1" x14ac:dyDescent="0.25">
      <c r="A3122" s="1492">
        <f t="shared" ref="A3122:E3137" si="454">A2452</f>
        <v>0</v>
      </c>
      <c r="B3122" s="1492" t="str">
        <f t="shared" si="454"/>
        <v>DPR for Modification and Restoration of Eco. outlet to ESP inlet duct of Unit -6 (500MW) CSTPS, Chandrapur .</v>
      </c>
      <c r="C3122" s="1488">
        <f t="shared" si="454"/>
        <v>0</v>
      </c>
      <c r="D3122" s="1413" t="str">
        <f t="shared" si="454"/>
        <v>-</v>
      </c>
      <c r="E3122" s="560">
        <f t="shared" si="454"/>
        <v>25</v>
      </c>
      <c r="F3122" s="1508">
        <f t="shared" si="447"/>
        <v>25</v>
      </c>
      <c r="G3122" s="1508">
        <f t="shared" si="448"/>
        <v>25</v>
      </c>
      <c r="H3122" s="1508">
        <f t="shared" si="449"/>
        <v>0</v>
      </c>
      <c r="I3122" s="1480">
        <v>0</v>
      </c>
      <c r="J3122" s="1480">
        <v>0</v>
      </c>
      <c r="K3122" s="1508"/>
      <c r="L3122" s="1508"/>
      <c r="M3122" s="1509">
        <f t="shared" si="450"/>
        <v>0</v>
      </c>
      <c r="N3122" s="1508">
        <f t="shared" si="451"/>
        <v>0</v>
      </c>
    </row>
    <row r="3123" spans="1:14" ht="108.5" outlineLevel="1" x14ac:dyDescent="0.25">
      <c r="A3123" s="1486">
        <f t="shared" si="454"/>
        <v>6</v>
      </c>
      <c r="B3123" s="1491" t="str">
        <f t="shared" si="454"/>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3123" s="1488">
        <f t="shared" si="454"/>
        <v>0</v>
      </c>
      <c r="D3123" s="1413" t="str">
        <f t="shared" si="454"/>
        <v>-</v>
      </c>
      <c r="E3123" s="560">
        <f t="shared" si="454"/>
        <v>40</v>
      </c>
      <c r="F3123" s="1508">
        <f t="shared" si="447"/>
        <v>0</v>
      </c>
      <c r="G3123" s="1508">
        <f t="shared" si="448"/>
        <v>0</v>
      </c>
      <c r="H3123" s="1508">
        <f t="shared" si="449"/>
        <v>0</v>
      </c>
      <c r="I3123" s="1480">
        <v>0</v>
      </c>
      <c r="J3123" s="1480">
        <v>0</v>
      </c>
      <c r="K3123" s="1508"/>
      <c r="L3123" s="1508"/>
      <c r="M3123" s="1509">
        <f t="shared" si="450"/>
        <v>0</v>
      </c>
      <c r="N3123" s="1508">
        <f t="shared" si="451"/>
        <v>0</v>
      </c>
    </row>
    <row r="3124" spans="1:14" ht="108.5" outlineLevel="1" x14ac:dyDescent="0.25">
      <c r="A3124" s="1492">
        <f t="shared" si="454"/>
        <v>0</v>
      </c>
      <c r="B3124" s="1492" t="str">
        <f t="shared" si="454"/>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3124" s="1488">
        <f t="shared" si="454"/>
        <v>0</v>
      </c>
      <c r="D3124" s="1413" t="str">
        <f t="shared" si="454"/>
        <v>-</v>
      </c>
      <c r="E3124" s="560">
        <f t="shared" si="454"/>
        <v>40</v>
      </c>
      <c r="F3124" s="1508">
        <f t="shared" si="447"/>
        <v>40</v>
      </c>
      <c r="G3124" s="1508">
        <f t="shared" si="448"/>
        <v>40</v>
      </c>
      <c r="H3124" s="1508">
        <f t="shared" si="449"/>
        <v>0</v>
      </c>
      <c r="I3124" s="1480">
        <v>0</v>
      </c>
      <c r="J3124" s="1480">
        <v>0</v>
      </c>
      <c r="K3124" s="1508"/>
      <c r="L3124" s="1508"/>
      <c r="M3124" s="1509">
        <f t="shared" si="450"/>
        <v>0</v>
      </c>
      <c r="N3124" s="1508">
        <f t="shared" si="451"/>
        <v>0</v>
      </c>
    </row>
    <row r="3125" spans="1:14" ht="46.5" outlineLevel="1" x14ac:dyDescent="0.25">
      <c r="A3125" s="1486">
        <f t="shared" si="454"/>
        <v>7</v>
      </c>
      <c r="B3125" s="1491" t="str">
        <f t="shared" si="454"/>
        <v>DPR for Supply &amp; Replacement of Divisional Panels in Boiler Unit 5,6 &amp; 7 and Economizer upper coil assembly in Unit 5 &amp; 6 CSTPS, Chandrapur.</v>
      </c>
      <c r="C3125" s="1488">
        <f t="shared" si="454"/>
        <v>0</v>
      </c>
      <c r="D3125" s="1413" t="str">
        <f t="shared" si="454"/>
        <v>-</v>
      </c>
      <c r="E3125" s="560">
        <f t="shared" si="454"/>
        <v>40</v>
      </c>
      <c r="F3125" s="1508">
        <f t="shared" si="447"/>
        <v>0</v>
      </c>
      <c r="G3125" s="1508">
        <f t="shared" si="448"/>
        <v>0</v>
      </c>
      <c r="H3125" s="1508">
        <f t="shared" si="449"/>
        <v>0</v>
      </c>
      <c r="I3125" s="1480">
        <v>0</v>
      </c>
      <c r="J3125" s="1480">
        <v>0</v>
      </c>
      <c r="K3125" s="1508"/>
      <c r="L3125" s="1508"/>
      <c r="M3125" s="1509">
        <f t="shared" si="450"/>
        <v>0</v>
      </c>
      <c r="N3125" s="1508">
        <f t="shared" si="451"/>
        <v>0</v>
      </c>
    </row>
    <row r="3126" spans="1:14" ht="46.5" outlineLevel="1" x14ac:dyDescent="0.25">
      <c r="A3126" s="1492">
        <f t="shared" si="454"/>
        <v>0</v>
      </c>
      <c r="B3126" s="1492" t="str">
        <f t="shared" si="454"/>
        <v>DPR for Supply &amp; Replacement of Divisional Panels in Boiler Unit 5,6 &amp; 7 and Economizer upper coil assembly in Unit 5 &amp; 6 CSTPS, Chandrapur.</v>
      </c>
      <c r="C3126" s="1488">
        <f t="shared" si="454"/>
        <v>0</v>
      </c>
      <c r="D3126" s="1413" t="str">
        <f t="shared" si="454"/>
        <v>-</v>
      </c>
      <c r="E3126" s="560">
        <f t="shared" si="454"/>
        <v>40</v>
      </c>
      <c r="F3126" s="1508">
        <f t="shared" si="447"/>
        <v>40</v>
      </c>
      <c r="G3126" s="1508">
        <f t="shared" si="448"/>
        <v>40</v>
      </c>
      <c r="H3126" s="1508">
        <f t="shared" si="449"/>
        <v>0</v>
      </c>
      <c r="I3126" s="1480">
        <v>0</v>
      </c>
      <c r="J3126" s="1480">
        <v>0</v>
      </c>
      <c r="K3126" s="1508"/>
      <c r="L3126" s="1508"/>
      <c r="M3126" s="1509">
        <f t="shared" si="450"/>
        <v>0</v>
      </c>
      <c r="N3126" s="1508">
        <f t="shared" si="451"/>
        <v>0</v>
      </c>
    </row>
    <row r="3127" spans="1:14" ht="46.5" outlineLevel="1" x14ac:dyDescent="0.25">
      <c r="A3127" s="1486">
        <f t="shared" si="454"/>
        <v>8</v>
      </c>
      <c r="B3127" s="1491" t="str">
        <f t="shared" si="454"/>
        <v>DPR for the Supply &amp; Replacement of Platen Superheater, Front Reheater in Unit-7 and Economizer middle &amp; Economizer lower coil assembly in Unit 5 &amp; 6 CSTPS, Chandrapur.</v>
      </c>
      <c r="C3127" s="1488">
        <f t="shared" si="454"/>
        <v>0</v>
      </c>
      <c r="D3127" s="1413" t="str">
        <f t="shared" si="454"/>
        <v>-</v>
      </c>
      <c r="E3127" s="560">
        <f t="shared" si="454"/>
        <v>52</v>
      </c>
      <c r="F3127" s="1508">
        <f t="shared" si="447"/>
        <v>0</v>
      </c>
      <c r="G3127" s="1508">
        <f t="shared" si="448"/>
        <v>0</v>
      </c>
      <c r="H3127" s="1508">
        <f t="shared" si="449"/>
        <v>0</v>
      </c>
      <c r="I3127" s="1480">
        <v>0</v>
      </c>
      <c r="J3127" s="1480">
        <v>0</v>
      </c>
      <c r="K3127" s="1508"/>
      <c r="L3127" s="1508"/>
      <c r="M3127" s="1509">
        <f t="shared" si="450"/>
        <v>0</v>
      </c>
      <c r="N3127" s="1508">
        <f t="shared" si="451"/>
        <v>0</v>
      </c>
    </row>
    <row r="3128" spans="1:14" ht="46.5" outlineLevel="1" x14ac:dyDescent="0.25">
      <c r="A3128" s="1492">
        <f t="shared" si="454"/>
        <v>0</v>
      </c>
      <c r="B3128" s="1492" t="str">
        <f t="shared" si="454"/>
        <v>DPR for the Supply &amp; Replacement of Platen Superheater, Front Reheater in Unit-7 and Economizer middle &amp; Economizer lower coil assembly in Unit 5 &amp; 6 CSTPS, Chandrapur.</v>
      </c>
      <c r="C3128" s="1488">
        <f t="shared" si="454"/>
        <v>0</v>
      </c>
      <c r="D3128" s="1413" t="str">
        <f t="shared" si="454"/>
        <v>-</v>
      </c>
      <c r="E3128" s="560">
        <f t="shared" si="454"/>
        <v>52</v>
      </c>
      <c r="F3128" s="1508">
        <f t="shared" si="447"/>
        <v>52</v>
      </c>
      <c r="G3128" s="1508">
        <f t="shared" si="448"/>
        <v>52</v>
      </c>
      <c r="H3128" s="1508">
        <f t="shared" si="449"/>
        <v>0</v>
      </c>
      <c r="I3128" s="1480">
        <v>0</v>
      </c>
      <c r="J3128" s="1480">
        <v>0</v>
      </c>
      <c r="K3128" s="1508"/>
      <c r="L3128" s="1508"/>
      <c r="M3128" s="1509">
        <f t="shared" si="450"/>
        <v>0</v>
      </c>
      <c r="N3128" s="1508">
        <f t="shared" si="451"/>
        <v>0</v>
      </c>
    </row>
    <row r="3129" spans="1:14" ht="31" outlineLevel="1" x14ac:dyDescent="0.25">
      <c r="A3129" s="1486">
        <f t="shared" si="454"/>
        <v>9</v>
      </c>
      <c r="B3129" s="1491" t="str">
        <f t="shared" si="454"/>
        <v>DPR for the Supply &amp; Replacement of Front &amp; Rear Reheater coil assemblies and LTSH terminal tube assembly in Boiler Unit 5 &amp; 6</v>
      </c>
      <c r="C3129" s="1488">
        <f t="shared" si="454"/>
        <v>0</v>
      </c>
      <c r="D3129" s="1413" t="str">
        <f t="shared" si="454"/>
        <v>-</v>
      </c>
      <c r="E3129" s="560">
        <f t="shared" si="454"/>
        <v>30</v>
      </c>
      <c r="F3129" s="1508">
        <f t="shared" si="447"/>
        <v>0</v>
      </c>
      <c r="G3129" s="1508">
        <f t="shared" si="448"/>
        <v>0</v>
      </c>
      <c r="H3129" s="1508">
        <f t="shared" si="449"/>
        <v>0</v>
      </c>
      <c r="I3129" s="1480">
        <v>0</v>
      </c>
      <c r="J3129" s="1480">
        <v>0</v>
      </c>
      <c r="K3129" s="1508"/>
      <c r="L3129" s="1508"/>
      <c r="M3129" s="1509">
        <f t="shared" si="450"/>
        <v>0</v>
      </c>
      <c r="N3129" s="1508">
        <f t="shared" si="451"/>
        <v>0</v>
      </c>
    </row>
    <row r="3130" spans="1:14" ht="46.5" outlineLevel="1" x14ac:dyDescent="0.25">
      <c r="A3130" s="1492">
        <f t="shared" si="454"/>
        <v>0</v>
      </c>
      <c r="B3130" s="1492" t="str">
        <f t="shared" si="454"/>
        <v xml:space="preserve">DPR for the Supply &amp; Replacement of Front &amp; Rear Reheater coil assemblies and LTSH terminal tube assembly in Boiler Unit 5 &amp; 6 . </v>
      </c>
      <c r="C3130" s="1488">
        <f t="shared" si="454"/>
        <v>0</v>
      </c>
      <c r="D3130" s="1413" t="str">
        <f t="shared" si="454"/>
        <v>-</v>
      </c>
      <c r="E3130" s="560">
        <f t="shared" si="454"/>
        <v>30</v>
      </c>
      <c r="F3130" s="1508">
        <f t="shared" si="447"/>
        <v>30</v>
      </c>
      <c r="G3130" s="1508">
        <f t="shared" si="448"/>
        <v>30</v>
      </c>
      <c r="H3130" s="1508">
        <f t="shared" si="449"/>
        <v>0</v>
      </c>
      <c r="I3130" s="1480">
        <v>0</v>
      </c>
      <c r="J3130" s="1480">
        <v>0</v>
      </c>
      <c r="K3130" s="1508"/>
      <c r="L3130" s="1508"/>
      <c r="M3130" s="1509">
        <f t="shared" si="450"/>
        <v>0</v>
      </c>
      <c r="N3130" s="1508">
        <f t="shared" si="451"/>
        <v>0</v>
      </c>
    </row>
    <row r="3131" spans="1:14" ht="46.5" outlineLevel="1" x14ac:dyDescent="0.25">
      <c r="A3131" s="1486">
        <f t="shared" si="454"/>
        <v>10</v>
      </c>
      <c r="B3131" s="1491" t="str">
        <f t="shared" si="454"/>
        <v>DPR For Coal Mill Performance Improvement and Life Enhancement of BHEL Make XRP-1043 Coal Mills in Unit 5 &amp; 6 At CSTPS, Chandrapur.</v>
      </c>
      <c r="C3131" s="1488">
        <f t="shared" si="454"/>
        <v>0</v>
      </c>
      <c r="D3131" s="1413" t="str">
        <f t="shared" si="454"/>
        <v>-</v>
      </c>
      <c r="E3131" s="560">
        <f t="shared" si="454"/>
        <v>52.62</v>
      </c>
      <c r="F3131" s="1508">
        <f t="shared" si="447"/>
        <v>0</v>
      </c>
      <c r="G3131" s="1508">
        <f t="shared" si="448"/>
        <v>0</v>
      </c>
      <c r="H3131" s="1508">
        <f t="shared" si="449"/>
        <v>0</v>
      </c>
      <c r="I3131" s="1480">
        <v>0</v>
      </c>
      <c r="J3131" s="1480">
        <v>0</v>
      </c>
      <c r="K3131" s="1508"/>
      <c r="L3131" s="1508"/>
      <c r="M3131" s="1509">
        <f t="shared" si="450"/>
        <v>0</v>
      </c>
      <c r="N3131" s="1508">
        <f t="shared" si="451"/>
        <v>0</v>
      </c>
    </row>
    <row r="3132" spans="1:14" ht="46.5" outlineLevel="1" x14ac:dyDescent="0.25">
      <c r="A3132" s="1492">
        <f t="shared" si="454"/>
        <v>0</v>
      </c>
      <c r="B3132" s="1492" t="str">
        <f t="shared" si="454"/>
        <v>DPR For Coal Mill Performance Improvement and Life Enhancement of BHEL Make XRP-1043 Coal Mills in Unit 5 &amp; 6 At CSTPS, Chandrapur.</v>
      </c>
      <c r="C3132" s="1488">
        <f t="shared" si="454"/>
        <v>0</v>
      </c>
      <c r="D3132" s="1413" t="str">
        <f t="shared" si="454"/>
        <v>-</v>
      </c>
      <c r="E3132" s="560">
        <f t="shared" si="454"/>
        <v>52.62</v>
      </c>
      <c r="F3132" s="1508">
        <f t="shared" si="447"/>
        <v>52.62</v>
      </c>
      <c r="G3132" s="1508">
        <f t="shared" si="448"/>
        <v>52.62</v>
      </c>
      <c r="H3132" s="1508">
        <f t="shared" si="449"/>
        <v>0</v>
      </c>
      <c r="I3132" s="1480">
        <v>0</v>
      </c>
      <c r="J3132" s="1480">
        <v>0</v>
      </c>
      <c r="K3132" s="1508"/>
      <c r="L3132" s="1508"/>
      <c r="M3132" s="1509">
        <f t="shared" si="450"/>
        <v>0</v>
      </c>
      <c r="N3132" s="1508">
        <f t="shared" si="451"/>
        <v>0</v>
      </c>
    </row>
    <row r="3133" spans="1:14" ht="15.5" outlineLevel="1" x14ac:dyDescent="0.25">
      <c r="A3133" s="1504">
        <f t="shared" si="454"/>
        <v>0</v>
      </c>
      <c r="B3133" s="1504" t="str">
        <f t="shared" si="454"/>
        <v>Turbine Maintenance-II</v>
      </c>
      <c r="C3133" s="1488">
        <f t="shared" si="454"/>
        <v>0</v>
      </c>
      <c r="D3133" s="1413" t="str">
        <f t="shared" si="454"/>
        <v>-</v>
      </c>
      <c r="E3133" s="560">
        <f t="shared" si="454"/>
        <v>0</v>
      </c>
      <c r="F3133" s="1508">
        <f t="shared" si="447"/>
        <v>0</v>
      </c>
      <c r="G3133" s="1508">
        <f t="shared" si="448"/>
        <v>0</v>
      </c>
      <c r="H3133" s="1508">
        <f t="shared" si="449"/>
        <v>0</v>
      </c>
      <c r="I3133" s="1480">
        <v>0</v>
      </c>
      <c r="J3133" s="1480">
        <v>0</v>
      </c>
      <c r="K3133" s="1508"/>
      <c r="L3133" s="1508"/>
      <c r="M3133" s="1509">
        <f t="shared" si="450"/>
        <v>0</v>
      </c>
      <c r="N3133" s="1508">
        <f t="shared" si="451"/>
        <v>0</v>
      </c>
    </row>
    <row r="3134" spans="1:14" ht="46.5" outlineLevel="1" x14ac:dyDescent="0.25">
      <c r="A3134" s="1486">
        <f t="shared" si="454"/>
        <v>1</v>
      </c>
      <c r="B3134" s="1491" t="str">
        <f t="shared" si="454"/>
        <v>Post facto DPR for "Urgent restoration and Life Enhancement of Unit#5 500 MW BHEL make Turbo Generator for prolonged efficient operation at Stage-III CSTPS Chandrapur"</v>
      </c>
      <c r="C3134" s="166">
        <f t="shared" si="454"/>
        <v>0</v>
      </c>
      <c r="D3134" s="1413" t="str">
        <f t="shared" si="454"/>
        <v>-</v>
      </c>
      <c r="E3134" s="560">
        <f t="shared" si="454"/>
        <v>25.42</v>
      </c>
      <c r="F3134" s="1508">
        <f t="shared" si="447"/>
        <v>0</v>
      </c>
      <c r="G3134" s="1508">
        <f t="shared" si="448"/>
        <v>0</v>
      </c>
      <c r="H3134" s="1508">
        <f t="shared" si="449"/>
        <v>0</v>
      </c>
      <c r="I3134" s="1480">
        <v>0</v>
      </c>
      <c r="J3134" s="1480">
        <v>0</v>
      </c>
      <c r="K3134" s="1508"/>
      <c r="L3134" s="1508"/>
      <c r="M3134" s="1509">
        <f t="shared" si="450"/>
        <v>0</v>
      </c>
      <c r="N3134" s="1508">
        <f t="shared" si="451"/>
        <v>0</v>
      </c>
    </row>
    <row r="3135" spans="1:14" ht="46.5" outlineLevel="1" x14ac:dyDescent="0.25">
      <c r="A3135" s="1492">
        <f t="shared" si="454"/>
        <v>0</v>
      </c>
      <c r="B3135" s="1492" t="str">
        <f t="shared" si="454"/>
        <v>Post facto DPR for "Urgent restoration and Life Enhancement of Unit#5 500 MW BHEL make Turbo Generator for prolonged efficient operation at Stage-III CSTPS Chandrapur"</v>
      </c>
      <c r="C3135" s="166">
        <f t="shared" si="454"/>
        <v>0</v>
      </c>
      <c r="D3135" s="1413" t="str">
        <f t="shared" si="454"/>
        <v>-</v>
      </c>
      <c r="E3135" s="560">
        <f t="shared" si="454"/>
        <v>25.42</v>
      </c>
      <c r="F3135" s="1508">
        <f t="shared" si="447"/>
        <v>25.42</v>
      </c>
      <c r="G3135" s="1508">
        <f t="shared" si="448"/>
        <v>25.42</v>
      </c>
      <c r="H3135" s="1508">
        <f t="shared" si="449"/>
        <v>0</v>
      </c>
      <c r="I3135" s="1480">
        <v>0</v>
      </c>
      <c r="J3135" s="1480">
        <v>0</v>
      </c>
      <c r="K3135" s="1508"/>
      <c r="L3135" s="1508"/>
      <c r="M3135" s="1509">
        <f t="shared" si="450"/>
        <v>0</v>
      </c>
      <c r="N3135" s="1508">
        <f t="shared" si="451"/>
        <v>0</v>
      </c>
    </row>
    <row r="3136" spans="1:14" ht="31" outlineLevel="1" x14ac:dyDescent="0.25">
      <c r="A3136" s="1486">
        <f t="shared" si="454"/>
        <v>2</v>
      </c>
      <c r="B3136" s="1491" t="str">
        <f t="shared" si="454"/>
        <v>Upgradation and modernization scheme for Air Washer system installed in U-5 &amp; 6, CSTPS, Chandrapur</v>
      </c>
      <c r="C3136" s="1488">
        <f t="shared" si="454"/>
        <v>0</v>
      </c>
      <c r="D3136" s="1413" t="str">
        <f t="shared" si="454"/>
        <v>-</v>
      </c>
      <c r="E3136" s="560">
        <f t="shared" si="454"/>
        <v>25</v>
      </c>
      <c r="F3136" s="1508">
        <f t="shared" si="447"/>
        <v>0</v>
      </c>
      <c r="G3136" s="1508">
        <f t="shared" si="448"/>
        <v>0</v>
      </c>
      <c r="H3136" s="1508">
        <f t="shared" si="449"/>
        <v>0</v>
      </c>
      <c r="I3136" s="1480">
        <v>0</v>
      </c>
      <c r="J3136" s="1480">
        <v>0</v>
      </c>
      <c r="K3136" s="1508"/>
      <c r="L3136" s="1508"/>
      <c r="M3136" s="1509">
        <f t="shared" si="450"/>
        <v>0</v>
      </c>
      <c r="N3136" s="1508">
        <f t="shared" si="451"/>
        <v>0</v>
      </c>
    </row>
    <row r="3137" spans="1:14" ht="46.5" outlineLevel="1" x14ac:dyDescent="0.25">
      <c r="A3137" s="1492">
        <f t="shared" si="454"/>
        <v>0</v>
      </c>
      <c r="B3137" s="1492" t="str">
        <f t="shared" si="454"/>
        <v>Design, Supply, Installation, Testing &amp; commissioning of Energy Efficient Air Washer System for Unit -5 &amp; 6, 500MW, CSTPS, Chandrapur</v>
      </c>
      <c r="C3137" s="1488">
        <f t="shared" si="454"/>
        <v>0</v>
      </c>
      <c r="D3137" s="1413" t="str">
        <f t="shared" si="454"/>
        <v>-</v>
      </c>
      <c r="E3137" s="560">
        <f t="shared" si="454"/>
        <v>25</v>
      </c>
      <c r="F3137" s="1508">
        <f t="shared" si="447"/>
        <v>0</v>
      </c>
      <c r="G3137" s="1508">
        <f t="shared" si="448"/>
        <v>0</v>
      </c>
      <c r="H3137" s="1508">
        <f t="shared" si="449"/>
        <v>0</v>
      </c>
      <c r="I3137" s="1480">
        <v>6.25</v>
      </c>
      <c r="J3137" s="1480">
        <v>6.25</v>
      </c>
      <c r="K3137" s="1508"/>
      <c r="L3137" s="1508"/>
      <c r="M3137" s="1509">
        <f t="shared" si="450"/>
        <v>6.25</v>
      </c>
      <c r="N3137" s="1508">
        <f t="shared" si="451"/>
        <v>0</v>
      </c>
    </row>
    <row r="3138" spans="1:14" ht="31" outlineLevel="1" x14ac:dyDescent="0.25">
      <c r="A3138" s="1486">
        <f t="shared" ref="A3138:E3153" si="455">A2468</f>
        <v>3</v>
      </c>
      <c r="B3138" s="1491" t="str">
        <f t="shared" si="455"/>
        <v>Schemes for Improvement in availability &amp; performance of feed system for U-5, 6 &amp; 7, CSTPS, Chandrapur</v>
      </c>
      <c r="C3138" s="1488">
        <f t="shared" si="455"/>
        <v>0</v>
      </c>
      <c r="D3138" s="1413" t="str">
        <f t="shared" si="455"/>
        <v>-</v>
      </c>
      <c r="E3138" s="560">
        <f t="shared" si="455"/>
        <v>44.25</v>
      </c>
      <c r="F3138" s="1508">
        <f t="shared" ref="F3138:F3201" si="456">F2468+I2468</f>
        <v>0</v>
      </c>
      <c r="G3138" s="1508">
        <f t="shared" ref="G3138:G3201" si="457">G2468+M2468</f>
        <v>0</v>
      </c>
      <c r="H3138" s="1508">
        <f t="shared" si="449"/>
        <v>0</v>
      </c>
      <c r="I3138" s="1480">
        <v>0</v>
      </c>
      <c r="J3138" s="1480">
        <v>0</v>
      </c>
      <c r="K3138" s="1508"/>
      <c r="L3138" s="1508"/>
      <c r="M3138" s="1509">
        <f t="shared" si="450"/>
        <v>0</v>
      </c>
      <c r="N3138" s="1508">
        <f t="shared" si="451"/>
        <v>0</v>
      </c>
    </row>
    <row r="3139" spans="1:14" ht="31" outlineLevel="1" x14ac:dyDescent="0.25">
      <c r="A3139" s="1492">
        <f t="shared" si="455"/>
        <v>0</v>
      </c>
      <c r="B3139" s="1492" t="str">
        <f t="shared" si="455"/>
        <v>Procurement of BFP Booster Pump assembly for Unit-5, 6 &amp; 7 CSTPS Chandrapur</v>
      </c>
      <c r="C3139" s="1488">
        <f t="shared" si="455"/>
        <v>0</v>
      </c>
      <c r="D3139" s="1413" t="str">
        <f t="shared" si="455"/>
        <v>-</v>
      </c>
      <c r="E3139" s="560">
        <f t="shared" si="455"/>
        <v>7.2</v>
      </c>
      <c r="F3139" s="1508">
        <f t="shared" si="456"/>
        <v>0</v>
      </c>
      <c r="G3139" s="1508">
        <f t="shared" si="457"/>
        <v>0</v>
      </c>
      <c r="H3139" s="1508">
        <f t="shared" si="449"/>
        <v>0</v>
      </c>
      <c r="I3139" s="1480">
        <v>3.2</v>
      </c>
      <c r="J3139" s="1480">
        <v>3.2</v>
      </c>
      <c r="K3139" s="1508"/>
      <c r="L3139" s="1508"/>
      <c r="M3139" s="1509">
        <f t="shared" si="450"/>
        <v>3.2</v>
      </c>
      <c r="N3139" s="1508">
        <f t="shared" si="451"/>
        <v>0</v>
      </c>
    </row>
    <row r="3140" spans="1:14" ht="31" outlineLevel="1" x14ac:dyDescent="0.25">
      <c r="A3140" s="1492">
        <f t="shared" si="455"/>
        <v>0</v>
      </c>
      <c r="B3140" s="1492" t="str">
        <f t="shared" si="455"/>
        <v>Procurement of Boiler Feed Pump catridge with CI sealing for Unit- 5 &amp; 6 CSTPS Chandrapur</v>
      </c>
      <c r="C3140" s="1488">
        <f t="shared" si="455"/>
        <v>0</v>
      </c>
      <c r="D3140" s="1413" t="str">
        <f t="shared" si="455"/>
        <v>-</v>
      </c>
      <c r="E3140" s="560">
        <f t="shared" si="455"/>
        <v>11.2</v>
      </c>
      <c r="F3140" s="1508">
        <f t="shared" si="456"/>
        <v>0</v>
      </c>
      <c r="G3140" s="1508">
        <f t="shared" si="457"/>
        <v>0</v>
      </c>
      <c r="H3140" s="1508">
        <f t="shared" si="449"/>
        <v>0</v>
      </c>
      <c r="I3140" s="1480">
        <v>5.2</v>
      </c>
      <c r="J3140" s="1480">
        <v>5.2</v>
      </c>
      <c r="K3140" s="1508"/>
      <c r="L3140" s="1508"/>
      <c r="M3140" s="1509">
        <f t="shared" si="450"/>
        <v>5.2</v>
      </c>
      <c r="N3140" s="1508">
        <f t="shared" si="451"/>
        <v>0</v>
      </c>
    </row>
    <row r="3141" spans="1:14" ht="31" outlineLevel="1" x14ac:dyDescent="0.25">
      <c r="A3141" s="1492">
        <f t="shared" si="455"/>
        <v>0</v>
      </c>
      <c r="B3141" s="1492" t="str">
        <f t="shared" si="455"/>
        <v>Procurement of Modulating type Boiler Feed Pump Recirculation valve  assembly for 500 MW, U-5, 6 &amp; 7</v>
      </c>
      <c r="C3141" s="1488">
        <f t="shared" si="455"/>
        <v>0</v>
      </c>
      <c r="D3141" s="1413" t="str">
        <f t="shared" si="455"/>
        <v>-</v>
      </c>
      <c r="E3141" s="560">
        <f t="shared" si="455"/>
        <v>15.85</v>
      </c>
      <c r="F3141" s="1508">
        <f t="shared" si="456"/>
        <v>0</v>
      </c>
      <c r="G3141" s="1508">
        <f t="shared" si="457"/>
        <v>0</v>
      </c>
      <c r="H3141" s="1508">
        <f t="shared" si="449"/>
        <v>0</v>
      </c>
      <c r="I3141" s="1480">
        <v>0</v>
      </c>
      <c r="J3141" s="1480">
        <v>0</v>
      </c>
      <c r="K3141" s="1508"/>
      <c r="L3141" s="1508"/>
      <c r="M3141" s="1509">
        <f t="shared" si="450"/>
        <v>0</v>
      </c>
      <c r="N3141" s="1508">
        <f t="shared" si="451"/>
        <v>0</v>
      </c>
    </row>
    <row r="3142" spans="1:14" ht="31" outlineLevel="1" x14ac:dyDescent="0.25">
      <c r="A3142" s="1492">
        <f t="shared" si="455"/>
        <v>0</v>
      </c>
      <c r="B3142" s="1492" t="str">
        <f t="shared" si="455"/>
        <v>Procurement of Fully bladed dynamically balanced Rotor (along with both side coupling hub) for TDBFP Turbine</v>
      </c>
      <c r="C3142" s="1488">
        <f t="shared" si="455"/>
        <v>0</v>
      </c>
      <c r="D3142" s="1413" t="str">
        <f t="shared" si="455"/>
        <v>-</v>
      </c>
      <c r="E3142" s="560">
        <f t="shared" si="455"/>
        <v>8.5</v>
      </c>
      <c r="F3142" s="1508">
        <f t="shared" si="456"/>
        <v>0</v>
      </c>
      <c r="G3142" s="1508">
        <f t="shared" si="457"/>
        <v>0</v>
      </c>
      <c r="H3142" s="1508">
        <f t="shared" si="449"/>
        <v>0</v>
      </c>
      <c r="I3142" s="1480">
        <v>0</v>
      </c>
      <c r="J3142" s="1480">
        <v>0</v>
      </c>
      <c r="K3142" s="1508"/>
      <c r="L3142" s="1508"/>
      <c r="M3142" s="1509">
        <f t="shared" si="450"/>
        <v>0</v>
      </c>
      <c r="N3142" s="1508">
        <f t="shared" si="451"/>
        <v>0</v>
      </c>
    </row>
    <row r="3143" spans="1:14" ht="31" outlineLevel="1" x14ac:dyDescent="0.25">
      <c r="A3143" s="1492">
        <f t="shared" si="455"/>
        <v>0</v>
      </c>
      <c r="B3143" s="1492" t="str">
        <f t="shared" si="455"/>
        <v>Life enhancement and efficiency improvement of 500MW U-5 &amp; 6 TDBFP Lub System</v>
      </c>
      <c r="C3143" s="1488">
        <f t="shared" si="455"/>
        <v>0</v>
      </c>
      <c r="D3143" s="1413" t="str">
        <f t="shared" si="455"/>
        <v>-</v>
      </c>
      <c r="E3143" s="560">
        <f t="shared" si="455"/>
        <v>1.5</v>
      </c>
      <c r="F3143" s="1508">
        <f t="shared" si="456"/>
        <v>0</v>
      </c>
      <c r="G3143" s="1508">
        <f t="shared" si="457"/>
        <v>0</v>
      </c>
      <c r="H3143" s="1508">
        <f t="shared" si="449"/>
        <v>0</v>
      </c>
      <c r="I3143" s="1480">
        <v>0.75</v>
      </c>
      <c r="J3143" s="1480">
        <v>0.75</v>
      </c>
      <c r="K3143" s="1508"/>
      <c r="L3143" s="1508"/>
      <c r="M3143" s="1509">
        <f t="shared" si="450"/>
        <v>0.75</v>
      </c>
      <c r="N3143" s="1508">
        <f t="shared" si="451"/>
        <v>0</v>
      </c>
    </row>
    <row r="3144" spans="1:14" ht="31" outlineLevel="1" x14ac:dyDescent="0.25">
      <c r="A3144" s="1486">
        <f t="shared" si="455"/>
        <v>4</v>
      </c>
      <c r="B3144" s="1491" t="str">
        <f t="shared" si="455"/>
        <v xml:space="preserve">Life enhancement and Reliability improvement schemes of 500MW Main Turbine Assests </v>
      </c>
      <c r="C3144" s="1488">
        <f t="shared" si="455"/>
        <v>0</v>
      </c>
      <c r="D3144" s="1413" t="str">
        <f t="shared" si="455"/>
        <v>-</v>
      </c>
      <c r="E3144" s="560">
        <f t="shared" si="455"/>
        <v>36.81</v>
      </c>
      <c r="F3144" s="1508">
        <f t="shared" si="456"/>
        <v>0</v>
      </c>
      <c r="G3144" s="1508">
        <f t="shared" si="457"/>
        <v>0</v>
      </c>
      <c r="H3144" s="1508">
        <f t="shared" si="449"/>
        <v>0</v>
      </c>
      <c r="I3144" s="1480">
        <v>0</v>
      </c>
      <c r="J3144" s="1480">
        <v>0</v>
      </c>
      <c r="K3144" s="1508"/>
      <c r="L3144" s="1508"/>
      <c r="M3144" s="1509">
        <f t="shared" si="450"/>
        <v>0</v>
      </c>
      <c r="N3144" s="1508">
        <f t="shared" si="451"/>
        <v>0</v>
      </c>
    </row>
    <row r="3145" spans="1:14" ht="46.5" outlineLevel="1" x14ac:dyDescent="0.25">
      <c r="A3145" s="1492">
        <f t="shared" si="455"/>
        <v>0</v>
      </c>
      <c r="B3145" s="1492" t="str">
        <f t="shared" si="455"/>
        <v>Reliability improvement of Low pressure Turbine by maintaining one set of LP free standing blades as insurance spare</v>
      </c>
      <c r="C3145" s="1488">
        <f t="shared" si="455"/>
        <v>0</v>
      </c>
      <c r="D3145" s="1413" t="str">
        <f t="shared" si="455"/>
        <v>-</v>
      </c>
      <c r="E3145" s="560">
        <f t="shared" si="455"/>
        <v>24</v>
      </c>
      <c r="F3145" s="1508">
        <f t="shared" si="456"/>
        <v>0</v>
      </c>
      <c r="G3145" s="1508">
        <f t="shared" si="457"/>
        <v>0</v>
      </c>
      <c r="H3145" s="1508">
        <f t="shared" si="449"/>
        <v>0</v>
      </c>
      <c r="I3145" s="1480">
        <v>24</v>
      </c>
      <c r="J3145" s="1480">
        <v>24</v>
      </c>
      <c r="K3145" s="1508"/>
      <c r="L3145" s="1508"/>
      <c r="M3145" s="1509">
        <f t="shared" si="450"/>
        <v>24</v>
      </c>
      <c r="N3145" s="1508">
        <f t="shared" si="451"/>
        <v>0</v>
      </c>
    </row>
    <row r="3146" spans="1:14" ht="31" outlineLevel="1" x14ac:dyDescent="0.25">
      <c r="A3146" s="1492">
        <f t="shared" si="455"/>
        <v>0</v>
      </c>
      <c r="B3146" s="1492" t="str">
        <f t="shared" si="455"/>
        <v>Performance and efficiency improvement of 500MW U-5 &amp; 6 High Pressure Turbine module</v>
      </c>
      <c r="C3146" s="1488">
        <f t="shared" si="455"/>
        <v>0</v>
      </c>
      <c r="D3146" s="1413" t="str">
        <f t="shared" si="455"/>
        <v>-</v>
      </c>
      <c r="E3146" s="560">
        <f t="shared" si="455"/>
        <v>9.81</v>
      </c>
      <c r="F3146" s="1508">
        <f t="shared" si="456"/>
        <v>9.81</v>
      </c>
      <c r="G3146" s="1508">
        <f t="shared" si="457"/>
        <v>9.81</v>
      </c>
      <c r="H3146" s="1508">
        <f t="shared" si="449"/>
        <v>0</v>
      </c>
      <c r="I3146" s="1480">
        <v>0</v>
      </c>
      <c r="J3146" s="1480">
        <v>0</v>
      </c>
      <c r="K3146" s="1508"/>
      <c r="L3146" s="1508"/>
      <c r="M3146" s="1509">
        <f t="shared" si="450"/>
        <v>0</v>
      </c>
      <c r="N3146" s="1508">
        <f t="shared" si="451"/>
        <v>0</v>
      </c>
    </row>
    <row r="3147" spans="1:14" ht="31" outlineLevel="1" x14ac:dyDescent="0.25">
      <c r="A3147" s="1492">
        <f t="shared" si="455"/>
        <v>0</v>
      </c>
      <c r="B3147" s="1492" t="str">
        <f t="shared" si="455"/>
        <v xml:space="preserve"> Life enhancement and efficiency improvement of 500MW U-5 &amp; 6 Main TG Lub System</v>
      </c>
      <c r="C3147" s="1488">
        <f t="shared" si="455"/>
        <v>0</v>
      </c>
      <c r="D3147" s="1413" t="str">
        <f t="shared" si="455"/>
        <v>-</v>
      </c>
      <c r="E3147" s="560">
        <f t="shared" si="455"/>
        <v>3</v>
      </c>
      <c r="F3147" s="1508">
        <f t="shared" si="456"/>
        <v>0</v>
      </c>
      <c r="G3147" s="1508">
        <f t="shared" si="457"/>
        <v>0</v>
      </c>
      <c r="H3147" s="1508">
        <f t="shared" si="449"/>
        <v>0</v>
      </c>
      <c r="I3147" s="1480">
        <v>1.5</v>
      </c>
      <c r="J3147" s="1480">
        <v>1.5</v>
      </c>
      <c r="K3147" s="1508"/>
      <c r="L3147" s="1508"/>
      <c r="M3147" s="1509">
        <f t="shared" si="450"/>
        <v>1.5</v>
      </c>
      <c r="N3147" s="1508">
        <f t="shared" si="451"/>
        <v>0</v>
      </c>
    </row>
    <row r="3148" spans="1:14" ht="15.5" outlineLevel="1" x14ac:dyDescent="0.25">
      <c r="A3148" s="1486">
        <f t="shared" si="455"/>
        <v>5</v>
      </c>
      <c r="B3148" s="1491" t="str">
        <f t="shared" si="455"/>
        <v xml:space="preserve"> Reliability improvement of Main Turbine </v>
      </c>
      <c r="C3148" s="1488">
        <f t="shared" si="455"/>
        <v>0</v>
      </c>
      <c r="D3148" s="1413" t="str">
        <f t="shared" si="455"/>
        <v>-</v>
      </c>
      <c r="E3148" s="560">
        <f t="shared" si="455"/>
        <v>45</v>
      </c>
      <c r="F3148" s="1508">
        <f t="shared" si="456"/>
        <v>0</v>
      </c>
      <c r="G3148" s="1508">
        <f t="shared" si="457"/>
        <v>0</v>
      </c>
      <c r="H3148" s="1508">
        <f t="shared" si="449"/>
        <v>0</v>
      </c>
      <c r="I3148" s="1480">
        <v>0</v>
      </c>
      <c r="J3148" s="1480">
        <v>0</v>
      </c>
      <c r="K3148" s="1508"/>
      <c r="L3148" s="1508"/>
      <c r="M3148" s="1509">
        <f t="shared" si="450"/>
        <v>0</v>
      </c>
      <c r="N3148" s="1508">
        <f t="shared" si="451"/>
        <v>0</v>
      </c>
    </row>
    <row r="3149" spans="1:14" ht="31" outlineLevel="1" x14ac:dyDescent="0.25">
      <c r="A3149" s="1492">
        <f t="shared" si="455"/>
        <v>0</v>
      </c>
      <c r="B3149" s="1492" t="str">
        <f t="shared" si="455"/>
        <v>Brief Scope of Work; Procurement of critical spares for Main TG U-5, 6 &amp; 7</v>
      </c>
      <c r="C3149" s="1488">
        <f t="shared" si="455"/>
        <v>0</v>
      </c>
      <c r="D3149" s="1413" t="str">
        <f t="shared" si="455"/>
        <v>-</v>
      </c>
      <c r="E3149" s="560">
        <f t="shared" si="455"/>
        <v>10</v>
      </c>
      <c r="F3149" s="1508">
        <f t="shared" si="456"/>
        <v>10</v>
      </c>
      <c r="G3149" s="1508">
        <f t="shared" si="457"/>
        <v>10</v>
      </c>
      <c r="H3149" s="1508">
        <f t="shared" si="449"/>
        <v>0</v>
      </c>
      <c r="I3149" s="1480">
        <v>0</v>
      </c>
      <c r="J3149" s="1480">
        <v>0</v>
      </c>
      <c r="K3149" s="1508"/>
      <c r="L3149" s="1508"/>
      <c r="M3149" s="1509">
        <f t="shared" si="450"/>
        <v>0</v>
      </c>
      <c r="N3149" s="1508">
        <f t="shared" si="451"/>
        <v>0</v>
      </c>
    </row>
    <row r="3150" spans="1:14" ht="46.5" outlineLevel="1" x14ac:dyDescent="0.25">
      <c r="A3150" s="1492">
        <f t="shared" si="455"/>
        <v>0</v>
      </c>
      <c r="B3150" s="1492" t="str">
        <f t="shared" si="455"/>
        <v xml:space="preserve">Procurement of HP turbine Module along with breach nuts and pipe spool pieces (Type:H30-100-2) for Unit-7, CSTPS, Chandrapur </v>
      </c>
      <c r="C3150" s="1488">
        <f t="shared" si="455"/>
        <v>0</v>
      </c>
      <c r="D3150" s="1413" t="str">
        <f t="shared" si="455"/>
        <v>-</v>
      </c>
      <c r="E3150" s="560">
        <f t="shared" si="455"/>
        <v>35</v>
      </c>
      <c r="F3150" s="1508">
        <f t="shared" si="456"/>
        <v>35</v>
      </c>
      <c r="G3150" s="1508">
        <f t="shared" si="457"/>
        <v>35</v>
      </c>
      <c r="H3150" s="1508">
        <f t="shared" si="449"/>
        <v>0</v>
      </c>
      <c r="I3150" s="1480">
        <v>0</v>
      </c>
      <c r="J3150" s="1480">
        <v>0</v>
      </c>
      <c r="K3150" s="1508"/>
      <c r="L3150" s="1508"/>
      <c r="M3150" s="1509">
        <f t="shared" si="450"/>
        <v>0</v>
      </c>
      <c r="N3150" s="1508">
        <f t="shared" si="451"/>
        <v>0</v>
      </c>
    </row>
    <row r="3151" spans="1:14" ht="31" outlineLevel="1" x14ac:dyDescent="0.25">
      <c r="A3151" s="1486">
        <f t="shared" si="455"/>
        <v>6</v>
      </c>
      <c r="B3151" s="1491" t="str">
        <f t="shared" si="455"/>
        <v xml:space="preserve">Reliability improvement of IP Turbine for 500 MW Main TG U-5 &amp; 6 </v>
      </c>
      <c r="C3151" s="1488">
        <f t="shared" si="455"/>
        <v>0</v>
      </c>
      <c r="D3151" s="1413" t="str">
        <f t="shared" si="455"/>
        <v>-</v>
      </c>
      <c r="E3151" s="560">
        <f t="shared" si="455"/>
        <v>35</v>
      </c>
      <c r="F3151" s="1508">
        <f t="shared" si="456"/>
        <v>0</v>
      </c>
      <c r="G3151" s="1508">
        <f t="shared" si="457"/>
        <v>0</v>
      </c>
      <c r="H3151" s="1508">
        <f t="shared" si="449"/>
        <v>0</v>
      </c>
      <c r="I3151" s="1480">
        <v>0</v>
      </c>
      <c r="J3151" s="1480">
        <v>0</v>
      </c>
      <c r="K3151" s="1508"/>
      <c r="L3151" s="1508"/>
      <c r="M3151" s="1509">
        <f t="shared" si="450"/>
        <v>0</v>
      </c>
      <c r="N3151" s="1508">
        <f t="shared" si="451"/>
        <v>0</v>
      </c>
    </row>
    <row r="3152" spans="1:14" ht="46.5" outlineLevel="1" x14ac:dyDescent="0.25">
      <c r="A3152" s="1492">
        <f t="shared" si="455"/>
        <v>0</v>
      </c>
      <c r="B3152" s="1492" t="str">
        <f t="shared" si="455"/>
        <v>Procurement of Fully Bladed &amp; Dynamically Balanced IP Rotor (M 30-50) for 500MW Unit-5 &amp; 6, CSTPS, Chandrapur under Capital Nature items.</v>
      </c>
      <c r="C3152" s="1488">
        <f t="shared" si="455"/>
        <v>0</v>
      </c>
      <c r="D3152" s="1413" t="str">
        <f t="shared" si="455"/>
        <v>-</v>
      </c>
      <c r="E3152" s="560">
        <f t="shared" si="455"/>
        <v>35</v>
      </c>
      <c r="F3152" s="1508">
        <f t="shared" si="456"/>
        <v>0</v>
      </c>
      <c r="G3152" s="1508">
        <f t="shared" si="457"/>
        <v>0</v>
      </c>
      <c r="H3152" s="1508">
        <f t="shared" ref="H3152:H3215" si="458">F3152-G3152</f>
        <v>0</v>
      </c>
      <c r="I3152" s="1480">
        <v>0</v>
      </c>
      <c r="J3152" s="1480">
        <v>0</v>
      </c>
      <c r="K3152" s="1508"/>
      <c r="L3152" s="1508"/>
      <c r="M3152" s="1509">
        <f t="shared" ref="M3152:M3215" si="459">SUM(J3152:L3152)</f>
        <v>0</v>
      </c>
      <c r="N3152" s="1508">
        <f t="shared" ref="N3152:N3215" si="460">H3152+I3152-M3152</f>
        <v>0</v>
      </c>
    </row>
    <row r="3153" spans="1:14" ht="15.5" outlineLevel="1" x14ac:dyDescent="0.25">
      <c r="A3153" s="1486">
        <f t="shared" si="455"/>
        <v>7</v>
      </c>
      <c r="B3153" s="1491" t="str">
        <f t="shared" si="455"/>
        <v>Energy saving in Air compressors</v>
      </c>
      <c r="C3153" s="1488">
        <f t="shared" si="455"/>
        <v>0</v>
      </c>
      <c r="D3153" s="1413" t="str">
        <f t="shared" si="455"/>
        <v>-</v>
      </c>
      <c r="E3153" s="560">
        <f t="shared" si="455"/>
        <v>30</v>
      </c>
      <c r="F3153" s="1508">
        <f t="shared" si="456"/>
        <v>0</v>
      </c>
      <c r="G3153" s="1508">
        <f t="shared" si="457"/>
        <v>0</v>
      </c>
      <c r="H3153" s="1508">
        <f t="shared" si="458"/>
        <v>0</v>
      </c>
      <c r="I3153" s="1480">
        <v>0</v>
      </c>
      <c r="J3153" s="1480">
        <v>0</v>
      </c>
      <c r="K3153" s="1508"/>
      <c r="L3153" s="1508"/>
      <c r="M3153" s="1509">
        <f t="shared" si="459"/>
        <v>0</v>
      </c>
      <c r="N3153" s="1508">
        <f t="shared" si="460"/>
        <v>0</v>
      </c>
    </row>
    <row r="3154" spans="1:14" ht="31" outlineLevel="1" x14ac:dyDescent="0.25">
      <c r="A3154" s="1492">
        <f t="shared" ref="A3154:E3169" si="461">A2484</f>
        <v>0</v>
      </c>
      <c r="B3154" s="1492" t="str">
        <f t="shared" si="461"/>
        <v>Air Compressor Unit-7 to be replaced in a phased manner with energy efficient compressor</v>
      </c>
      <c r="C3154" s="1488">
        <f t="shared" si="461"/>
        <v>0</v>
      </c>
      <c r="D3154" s="1413" t="str">
        <f t="shared" si="461"/>
        <v>-</v>
      </c>
      <c r="E3154" s="560">
        <f t="shared" si="461"/>
        <v>30</v>
      </c>
      <c r="F3154" s="1508">
        <f t="shared" si="456"/>
        <v>0</v>
      </c>
      <c r="G3154" s="1508">
        <f t="shared" si="457"/>
        <v>0</v>
      </c>
      <c r="H3154" s="1508">
        <f t="shared" si="458"/>
        <v>0</v>
      </c>
      <c r="I3154" s="1480">
        <v>0</v>
      </c>
      <c r="J3154" s="1480">
        <v>0</v>
      </c>
      <c r="K3154" s="1508"/>
      <c r="L3154" s="1508"/>
      <c r="M3154" s="1509">
        <f t="shared" si="459"/>
        <v>0</v>
      </c>
      <c r="N3154" s="1508">
        <f t="shared" si="460"/>
        <v>0</v>
      </c>
    </row>
    <row r="3155" spans="1:14" ht="15.5" outlineLevel="1" x14ac:dyDescent="0.25">
      <c r="A3155" s="1486">
        <f t="shared" si="461"/>
        <v>8</v>
      </c>
      <c r="B3155" s="1491" t="str">
        <f t="shared" si="461"/>
        <v>Efficiency Upgrade of AC Plant of Unit-5 &amp; 6</v>
      </c>
      <c r="C3155" s="1488">
        <f t="shared" si="461"/>
        <v>0</v>
      </c>
      <c r="D3155" s="1413" t="str">
        <f t="shared" si="461"/>
        <v>-</v>
      </c>
      <c r="E3155" s="560">
        <f t="shared" si="461"/>
        <v>50</v>
      </c>
      <c r="F3155" s="1508">
        <f t="shared" si="456"/>
        <v>0</v>
      </c>
      <c r="G3155" s="1508">
        <f t="shared" si="457"/>
        <v>0</v>
      </c>
      <c r="H3155" s="1508">
        <f t="shared" si="458"/>
        <v>0</v>
      </c>
      <c r="I3155" s="1480">
        <v>0</v>
      </c>
      <c r="J3155" s="1480">
        <v>0</v>
      </c>
      <c r="K3155" s="1508"/>
      <c r="L3155" s="1508"/>
      <c r="M3155" s="1509">
        <f t="shared" si="459"/>
        <v>0</v>
      </c>
      <c r="N3155" s="1508">
        <f t="shared" si="460"/>
        <v>0</v>
      </c>
    </row>
    <row r="3156" spans="1:14" ht="46.5" outlineLevel="1" x14ac:dyDescent="0.25">
      <c r="A3156" s="1492">
        <f t="shared" si="461"/>
        <v>0</v>
      </c>
      <c r="B3156" s="1492" t="str">
        <f t="shared" si="461"/>
        <v>Design, Manufacture, Supply, Erection &amp; Commissioning,environment friendly, Efficiency Upgrade of AC Plant of Unit-5 &amp; 6</v>
      </c>
      <c r="C3156" s="1488">
        <f t="shared" si="461"/>
        <v>0</v>
      </c>
      <c r="D3156" s="1413" t="str">
        <f t="shared" si="461"/>
        <v>-</v>
      </c>
      <c r="E3156" s="560">
        <f t="shared" si="461"/>
        <v>50</v>
      </c>
      <c r="F3156" s="1508">
        <f t="shared" si="456"/>
        <v>0</v>
      </c>
      <c r="G3156" s="1508">
        <f t="shared" si="457"/>
        <v>0</v>
      </c>
      <c r="H3156" s="1508">
        <f t="shared" si="458"/>
        <v>0</v>
      </c>
      <c r="I3156" s="1480">
        <v>0</v>
      </c>
      <c r="J3156" s="1480">
        <v>0</v>
      </c>
      <c r="K3156" s="1508"/>
      <c r="L3156" s="1508"/>
      <c r="M3156" s="1509">
        <f t="shared" si="459"/>
        <v>0</v>
      </c>
      <c r="N3156" s="1508">
        <f t="shared" si="460"/>
        <v>0</v>
      </c>
    </row>
    <row r="3157" spans="1:14" ht="15.5" outlineLevel="1" x14ac:dyDescent="0.25">
      <c r="A3157" s="1504">
        <f t="shared" si="461"/>
        <v>0</v>
      </c>
      <c r="B3157" s="1504" t="str">
        <f t="shared" si="461"/>
        <v>Electrical Maintenance-II</v>
      </c>
      <c r="C3157" s="1488">
        <f t="shared" si="461"/>
        <v>0</v>
      </c>
      <c r="D3157" s="1413" t="str">
        <f t="shared" si="461"/>
        <v>-</v>
      </c>
      <c r="E3157" s="560">
        <f t="shared" si="461"/>
        <v>0</v>
      </c>
      <c r="F3157" s="1508">
        <f t="shared" si="456"/>
        <v>0</v>
      </c>
      <c r="G3157" s="1508">
        <f t="shared" si="457"/>
        <v>0</v>
      </c>
      <c r="H3157" s="1508">
        <f t="shared" si="458"/>
        <v>0</v>
      </c>
      <c r="I3157" s="1480">
        <v>0</v>
      </c>
      <c r="J3157" s="1480">
        <v>0</v>
      </c>
      <c r="K3157" s="1508"/>
      <c r="L3157" s="1508"/>
      <c r="M3157" s="1509">
        <f t="shared" si="459"/>
        <v>0</v>
      </c>
      <c r="N3157" s="1508">
        <f t="shared" si="460"/>
        <v>0</v>
      </c>
    </row>
    <row r="3158" spans="1:14" ht="139.5" outlineLevel="1" x14ac:dyDescent="0.25">
      <c r="A3158" s="1486">
        <f t="shared" si="461"/>
        <v>1</v>
      </c>
      <c r="B3158" s="1491" t="str">
        <f t="shared" si="461"/>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3158" s="1488">
        <f t="shared" si="461"/>
        <v>0</v>
      </c>
      <c r="D3158" s="1413" t="str">
        <f t="shared" si="461"/>
        <v>-</v>
      </c>
      <c r="E3158" s="560">
        <f t="shared" si="461"/>
        <v>25.07</v>
      </c>
      <c r="F3158" s="1508">
        <f t="shared" si="456"/>
        <v>0</v>
      </c>
      <c r="G3158" s="1508">
        <f t="shared" si="457"/>
        <v>0</v>
      </c>
      <c r="H3158" s="1508">
        <f t="shared" si="458"/>
        <v>0</v>
      </c>
      <c r="I3158" s="1480">
        <v>0</v>
      </c>
      <c r="J3158" s="1480">
        <v>0</v>
      </c>
      <c r="K3158" s="1508"/>
      <c r="L3158" s="1508"/>
      <c r="M3158" s="1509">
        <f t="shared" si="459"/>
        <v>0</v>
      </c>
      <c r="N3158" s="1508">
        <f t="shared" si="460"/>
        <v>0</v>
      </c>
    </row>
    <row r="3159" spans="1:14" ht="77.5" outlineLevel="1" x14ac:dyDescent="0.25">
      <c r="A3159" s="1492">
        <f t="shared" si="461"/>
        <v>0</v>
      </c>
      <c r="B3159" s="1492" t="str">
        <f t="shared" si="461"/>
        <v>Supply, Installation, Testing, Commissioning for complete solution and comprehensive protection and monitoring package along with retrofit of allied accessories for Generator Transformers for 3 X 500 MW Unit#5,6&amp;7 500MW Stage-III CSTPS Chandrapur.</v>
      </c>
      <c r="C3159" s="1488">
        <f t="shared" si="461"/>
        <v>0</v>
      </c>
      <c r="D3159" s="1413" t="str">
        <f t="shared" si="461"/>
        <v>-</v>
      </c>
      <c r="E3159" s="560">
        <f t="shared" si="461"/>
        <v>15.07</v>
      </c>
      <c r="F3159" s="1508">
        <f t="shared" si="456"/>
        <v>15.07</v>
      </c>
      <c r="G3159" s="1508">
        <f t="shared" si="457"/>
        <v>15.07</v>
      </c>
      <c r="H3159" s="1508">
        <f t="shared" si="458"/>
        <v>0</v>
      </c>
      <c r="I3159" s="1480">
        <v>0</v>
      </c>
      <c r="J3159" s="1480">
        <v>0</v>
      </c>
      <c r="K3159" s="1508"/>
      <c r="L3159" s="1508"/>
      <c r="M3159" s="1509">
        <f t="shared" si="459"/>
        <v>0</v>
      </c>
      <c r="N3159" s="1508">
        <f t="shared" si="460"/>
        <v>0</v>
      </c>
    </row>
    <row r="3160" spans="1:14" ht="108.5" outlineLevel="1" x14ac:dyDescent="0.25">
      <c r="A3160" s="1492">
        <f t="shared" si="461"/>
        <v>0</v>
      </c>
      <c r="B3160" s="1492" t="str">
        <f t="shared" si="461"/>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3160" s="1488">
        <f t="shared" si="461"/>
        <v>0</v>
      </c>
      <c r="D3160" s="1413" t="str">
        <f t="shared" si="461"/>
        <v>-</v>
      </c>
      <c r="E3160" s="560">
        <f t="shared" si="461"/>
        <v>10</v>
      </c>
      <c r="F3160" s="1508">
        <f t="shared" si="456"/>
        <v>10</v>
      </c>
      <c r="G3160" s="1508">
        <f t="shared" si="457"/>
        <v>10</v>
      </c>
      <c r="H3160" s="1508">
        <f t="shared" si="458"/>
        <v>0</v>
      </c>
      <c r="I3160" s="1480">
        <v>0</v>
      </c>
      <c r="J3160" s="1480">
        <v>0</v>
      </c>
      <c r="K3160" s="1508"/>
      <c r="L3160" s="1508"/>
      <c r="M3160" s="1509">
        <f t="shared" si="459"/>
        <v>0</v>
      </c>
      <c r="N3160" s="1508">
        <f t="shared" si="460"/>
        <v>0</v>
      </c>
    </row>
    <row r="3161" spans="1:14" ht="31" outlineLevel="1" x14ac:dyDescent="0.25">
      <c r="A3161" s="1486">
        <f t="shared" si="461"/>
        <v>2</v>
      </c>
      <c r="B3161" s="1491" t="str">
        <f t="shared" si="461"/>
        <v>DPR for Life enhancement and Energy efficiency of Critical HT Auxiliaries of Unit#3 to 7, CSTPS, Chandrapur</v>
      </c>
      <c r="C3161" s="1488">
        <f t="shared" si="461"/>
        <v>0</v>
      </c>
      <c r="D3161" s="1413" t="str">
        <f t="shared" si="461"/>
        <v>-</v>
      </c>
      <c r="E3161" s="560">
        <f t="shared" si="461"/>
        <v>44.31</v>
      </c>
      <c r="F3161" s="1508">
        <f t="shared" si="456"/>
        <v>0</v>
      </c>
      <c r="G3161" s="1508">
        <f t="shared" si="457"/>
        <v>0</v>
      </c>
      <c r="H3161" s="1508">
        <f t="shared" si="458"/>
        <v>0</v>
      </c>
      <c r="I3161" s="1480">
        <v>0</v>
      </c>
      <c r="J3161" s="1480">
        <v>0</v>
      </c>
      <c r="K3161" s="1508"/>
      <c r="L3161" s="1508"/>
      <c r="M3161" s="1509">
        <f t="shared" si="459"/>
        <v>0</v>
      </c>
      <c r="N3161" s="1508">
        <f t="shared" si="460"/>
        <v>0</v>
      </c>
    </row>
    <row r="3162" spans="1:14" ht="31" outlineLevel="1" x14ac:dyDescent="0.25">
      <c r="A3162" s="1492">
        <f t="shared" si="461"/>
        <v>0</v>
      </c>
      <c r="B3162" s="1492" t="str">
        <f t="shared" si="461"/>
        <v>Life enhancement and Energy efficiency of Critical HT Auxiliaries of Unit#3 to 7, CSTPS, Chandrapur</v>
      </c>
      <c r="C3162" s="1488">
        <f t="shared" si="461"/>
        <v>0</v>
      </c>
      <c r="D3162" s="1413" t="str">
        <f t="shared" si="461"/>
        <v>-</v>
      </c>
      <c r="E3162" s="560">
        <f t="shared" si="461"/>
        <v>44.31</v>
      </c>
      <c r="F3162" s="1508">
        <f t="shared" si="456"/>
        <v>44.31</v>
      </c>
      <c r="G3162" s="1508">
        <f t="shared" si="457"/>
        <v>44.31</v>
      </c>
      <c r="H3162" s="1508">
        <f t="shared" si="458"/>
        <v>0</v>
      </c>
      <c r="I3162" s="1480">
        <v>0</v>
      </c>
      <c r="J3162" s="1480">
        <v>0</v>
      </c>
      <c r="K3162" s="1508"/>
      <c r="L3162" s="1508"/>
      <c r="M3162" s="1509">
        <f t="shared" si="459"/>
        <v>0</v>
      </c>
      <c r="N3162" s="1508">
        <f t="shared" si="460"/>
        <v>0</v>
      </c>
    </row>
    <row r="3163" spans="1:14" ht="31" outlineLevel="1" x14ac:dyDescent="0.25">
      <c r="A3163" s="1486">
        <f t="shared" si="461"/>
        <v>3</v>
      </c>
      <c r="B3163" s="1491" t="str">
        <f t="shared" si="461"/>
        <v>DPR for “Supply &amp; Installation of energy saving plates for Energy Conservation  at 3X500MW, CSTPS, Chandrapur.”</v>
      </c>
      <c r="C3163" s="1488">
        <f t="shared" si="461"/>
        <v>0</v>
      </c>
      <c r="D3163" s="1413" t="str">
        <f t="shared" si="461"/>
        <v>-</v>
      </c>
      <c r="E3163" s="560">
        <f t="shared" si="461"/>
        <v>25</v>
      </c>
      <c r="F3163" s="1508">
        <f t="shared" si="456"/>
        <v>0</v>
      </c>
      <c r="G3163" s="1508">
        <f t="shared" si="457"/>
        <v>0</v>
      </c>
      <c r="H3163" s="1508">
        <f t="shared" si="458"/>
        <v>0</v>
      </c>
      <c r="I3163" s="1480">
        <v>0</v>
      </c>
      <c r="J3163" s="1480">
        <v>0</v>
      </c>
      <c r="K3163" s="1508"/>
      <c r="L3163" s="1508"/>
      <c r="M3163" s="1509">
        <f t="shared" si="459"/>
        <v>0</v>
      </c>
      <c r="N3163" s="1508">
        <f t="shared" si="460"/>
        <v>0</v>
      </c>
    </row>
    <row r="3164" spans="1:14" ht="31" outlineLevel="1" x14ac:dyDescent="0.25">
      <c r="A3164" s="1492">
        <f t="shared" si="461"/>
        <v>0</v>
      </c>
      <c r="B3164" s="1492" t="str">
        <f t="shared" si="461"/>
        <v>Supply &amp; Installation of energy saving plates for Energy Conservation  at 3X500MW, CSTPS, Chandrapur.</v>
      </c>
      <c r="C3164" s="1488">
        <f t="shared" si="461"/>
        <v>0</v>
      </c>
      <c r="D3164" s="1413" t="str">
        <f t="shared" si="461"/>
        <v>-</v>
      </c>
      <c r="E3164" s="560">
        <f t="shared" si="461"/>
        <v>25</v>
      </c>
      <c r="F3164" s="1508">
        <f t="shared" si="456"/>
        <v>0</v>
      </c>
      <c r="G3164" s="1508">
        <f t="shared" si="457"/>
        <v>0</v>
      </c>
      <c r="H3164" s="1508">
        <f t="shared" si="458"/>
        <v>0</v>
      </c>
      <c r="I3164" s="1480">
        <v>0</v>
      </c>
      <c r="J3164" s="1480">
        <v>0</v>
      </c>
      <c r="K3164" s="1508"/>
      <c r="L3164" s="1508"/>
      <c r="M3164" s="1509">
        <f t="shared" si="459"/>
        <v>0</v>
      </c>
      <c r="N3164" s="1508">
        <f t="shared" si="460"/>
        <v>0</v>
      </c>
    </row>
    <row r="3165" spans="1:14" ht="108.5" outlineLevel="1" x14ac:dyDescent="0.25">
      <c r="A3165" s="1486">
        <f t="shared" si="461"/>
        <v>4</v>
      </c>
      <c r="B3165" s="1491" t="str">
        <f t="shared" si="461"/>
        <v>DPR for "Complete renovation of Chimney elevator ) of Unit-5,6,7" &amp;
Complete revamping of chimney aviation obstruction lights (AOL) &amp; other associated spares installed at unit#5,6&amp;7 CSTPS Chandrapur. &amp;
DPR for “Provision of 11KV supply to Aundha pump house from Unit 5,6&amp;7.”</v>
      </c>
      <c r="C3165" s="1488">
        <f t="shared" si="461"/>
        <v>0</v>
      </c>
      <c r="D3165" s="1413" t="str">
        <f t="shared" si="461"/>
        <v>-</v>
      </c>
      <c r="E3165" s="560">
        <f t="shared" si="461"/>
        <v>38</v>
      </c>
      <c r="F3165" s="1508">
        <f t="shared" si="456"/>
        <v>0</v>
      </c>
      <c r="G3165" s="1508">
        <f t="shared" si="457"/>
        <v>0</v>
      </c>
      <c r="H3165" s="1508">
        <f t="shared" si="458"/>
        <v>0</v>
      </c>
      <c r="I3165" s="1480">
        <v>0</v>
      </c>
      <c r="J3165" s="1480">
        <v>0</v>
      </c>
      <c r="K3165" s="1508"/>
      <c r="L3165" s="1508"/>
      <c r="M3165" s="1509">
        <f t="shared" si="459"/>
        <v>0</v>
      </c>
      <c r="N3165" s="1508">
        <f t="shared" si="460"/>
        <v>0</v>
      </c>
    </row>
    <row r="3166" spans="1:14" ht="46.5" outlineLevel="1" x14ac:dyDescent="0.25">
      <c r="A3166" s="1492">
        <f t="shared" si="461"/>
        <v>0</v>
      </c>
      <c r="B3166" s="1492" t="str">
        <f t="shared" si="461"/>
        <v xml:space="preserve">Complete renovation of Chimney elevator of Unit-5,6,7
</v>
      </c>
      <c r="C3166" s="1488">
        <f t="shared" si="461"/>
        <v>0</v>
      </c>
      <c r="D3166" s="1413" t="str">
        <f t="shared" si="461"/>
        <v>-</v>
      </c>
      <c r="E3166" s="560">
        <f t="shared" si="461"/>
        <v>10</v>
      </c>
      <c r="F3166" s="1508">
        <f t="shared" si="456"/>
        <v>0</v>
      </c>
      <c r="G3166" s="1508">
        <f t="shared" si="457"/>
        <v>0</v>
      </c>
      <c r="H3166" s="1508">
        <f t="shared" si="458"/>
        <v>0</v>
      </c>
      <c r="I3166" s="1480">
        <v>0</v>
      </c>
      <c r="J3166" s="1480">
        <v>0</v>
      </c>
      <c r="K3166" s="1508"/>
      <c r="L3166" s="1508"/>
      <c r="M3166" s="1509">
        <f t="shared" si="459"/>
        <v>0</v>
      </c>
      <c r="N3166" s="1508">
        <f t="shared" si="460"/>
        <v>0</v>
      </c>
    </row>
    <row r="3167" spans="1:14" ht="46.5" outlineLevel="1" x14ac:dyDescent="0.25">
      <c r="A3167" s="1492">
        <f t="shared" si="461"/>
        <v>0</v>
      </c>
      <c r="B3167" s="1492" t="str">
        <f t="shared" si="461"/>
        <v>Complete revamping of chimney aviation obstruction lights (AOL) &amp; other associated spares installed at unit#5,6&amp;7 CSTPS Chandrapur.</v>
      </c>
      <c r="C3167" s="1488">
        <f t="shared" si="461"/>
        <v>0</v>
      </c>
      <c r="D3167" s="1413" t="str">
        <f t="shared" si="461"/>
        <v>-</v>
      </c>
      <c r="E3167" s="560">
        <f t="shared" si="461"/>
        <v>3</v>
      </c>
      <c r="F3167" s="1508">
        <f t="shared" si="456"/>
        <v>3</v>
      </c>
      <c r="G3167" s="1508">
        <f t="shared" si="457"/>
        <v>3</v>
      </c>
      <c r="H3167" s="1508">
        <f t="shared" si="458"/>
        <v>0</v>
      </c>
      <c r="I3167" s="1480">
        <v>0</v>
      </c>
      <c r="J3167" s="1480">
        <v>0</v>
      </c>
      <c r="K3167" s="1508"/>
      <c r="L3167" s="1508"/>
      <c r="M3167" s="1509">
        <f t="shared" si="459"/>
        <v>0</v>
      </c>
      <c r="N3167" s="1508">
        <f t="shared" si="460"/>
        <v>0</v>
      </c>
    </row>
    <row r="3168" spans="1:14" ht="31" outlineLevel="1" x14ac:dyDescent="0.25">
      <c r="A3168" s="1492">
        <f t="shared" si="461"/>
        <v>0</v>
      </c>
      <c r="B3168" s="1492" t="str">
        <f t="shared" si="461"/>
        <v>Provision of 11KV supply to Aundha pump house from U 5,6&amp;7 Station boards.</v>
      </c>
      <c r="C3168" s="1488">
        <f t="shared" si="461"/>
        <v>0</v>
      </c>
      <c r="D3168" s="1413" t="str">
        <f t="shared" si="461"/>
        <v>-</v>
      </c>
      <c r="E3168" s="560">
        <f t="shared" si="461"/>
        <v>25</v>
      </c>
      <c r="F3168" s="1508">
        <f t="shared" si="456"/>
        <v>0</v>
      </c>
      <c r="G3168" s="1508">
        <f t="shared" si="457"/>
        <v>0</v>
      </c>
      <c r="H3168" s="1508">
        <f t="shared" si="458"/>
        <v>0</v>
      </c>
      <c r="I3168" s="1480">
        <v>25</v>
      </c>
      <c r="J3168" s="1480">
        <v>25</v>
      </c>
      <c r="K3168" s="1508"/>
      <c r="L3168" s="1508"/>
      <c r="M3168" s="1509">
        <f t="shared" si="459"/>
        <v>25</v>
      </c>
      <c r="N3168" s="1508">
        <f t="shared" si="460"/>
        <v>0</v>
      </c>
    </row>
    <row r="3169" spans="1:14" ht="62" outlineLevel="1" x14ac:dyDescent="0.25">
      <c r="A3169" s="1486">
        <f t="shared" si="461"/>
        <v>5</v>
      </c>
      <c r="B3169" s="1491" t="str">
        <f t="shared" si="461"/>
        <v xml:space="preserve">DPR for Energy saving by installation of VFD for CEP motors at Unit#5 to 9, CSTPS, Chandrapur.
</v>
      </c>
      <c r="C3169" s="1488">
        <f t="shared" si="461"/>
        <v>0</v>
      </c>
      <c r="D3169" s="1413" t="str">
        <f t="shared" si="461"/>
        <v>-</v>
      </c>
      <c r="E3169" s="560">
        <f t="shared" si="461"/>
        <v>26</v>
      </c>
      <c r="F3169" s="1508">
        <f t="shared" si="456"/>
        <v>0</v>
      </c>
      <c r="G3169" s="1508">
        <f t="shared" si="457"/>
        <v>0</v>
      </c>
      <c r="H3169" s="1508">
        <f t="shared" si="458"/>
        <v>0</v>
      </c>
      <c r="I3169" s="1480">
        <v>0</v>
      </c>
      <c r="J3169" s="1480">
        <v>0</v>
      </c>
      <c r="K3169" s="1508"/>
      <c r="L3169" s="1508"/>
      <c r="M3169" s="1509">
        <f t="shared" si="459"/>
        <v>0</v>
      </c>
      <c r="N3169" s="1508">
        <f t="shared" si="460"/>
        <v>0</v>
      </c>
    </row>
    <row r="3170" spans="1:14" ht="62" outlineLevel="1" x14ac:dyDescent="0.25">
      <c r="A3170" s="1492">
        <f t="shared" ref="A3170:E3185" si="462">A2500</f>
        <v>0</v>
      </c>
      <c r="B3170" s="1492" t="str">
        <f t="shared" si="462"/>
        <v xml:space="preserve">Energy saving by installation of VFD for CEP motors at Unit#5 to 9, CSTPS, Chandrapur.
</v>
      </c>
      <c r="C3170" s="1488">
        <f t="shared" si="462"/>
        <v>0</v>
      </c>
      <c r="D3170" s="1413" t="str">
        <f t="shared" si="462"/>
        <v>-</v>
      </c>
      <c r="E3170" s="560">
        <f t="shared" si="462"/>
        <v>26</v>
      </c>
      <c r="F3170" s="1508">
        <f t="shared" si="456"/>
        <v>0</v>
      </c>
      <c r="G3170" s="1508">
        <f t="shared" si="457"/>
        <v>0</v>
      </c>
      <c r="H3170" s="1508">
        <f t="shared" si="458"/>
        <v>0</v>
      </c>
      <c r="I3170" s="1480">
        <v>26</v>
      </c>
      <c r="J3170" s="1480">
        <v>26</v>
      </c>
      <c r="K3170" s="1508"/>
      <c r="L3170" s="1508"/>
      <c r="M3170" s="1509">
        <f t="shared" si="459"/>
        <v>26</v>
      </c>
      <c r="N3170" s="1508">
        <f t="shared" si="460"/>
        <v>0</v>
      </c>
    </row>
    <row r="3171" spans="1:14" ht="31" outlineLevel="1" x14ac:dyDescent="0.25">
      <c r="A3171" s="1486">
        <f t="shared" si="462"/>
        <v>6</v>
      </c>
      <c r="B3171" s="1491" t="str">
        <f t="shared" si="462"/>
        <v>DPR for Energy saving by installation of VFD for PA Fan &amp; ID Fan  motors at Unit#5 to 9, CSTPS, Chandrapur.</v>
      </c>
      <c r="C3171" s="1488">
        <f t="shared" si="462"/>
        <v>0</v>
      </c>
      <c r="D3171" s="1413" t="str">
        <f t="shared" si="462"/>
        <v>-</v>
      </c>
      <c r="E3171" s="560">
        <f t="shared" si="462"/>
        <v>25</v>
      </c>
      <c r="F3171" s="1508">
        <f t="shared" si="456"/>
        <v>0</v>
      </c>
      <c r="G3171" s="1508">
        <f t="shared" si="457"/>
        <v>0</v>
      </c>
      <c r="H3171" s="1508">
        <f t="shared" si="458"/>
        <v>0</v>
      </c>
      <c r="I3171" s="1480">
        <v>0</v>
      </c>
      <c r="J3171" s="1480">
        <v>0</v>
      </c>
      <c r="K3171" s="1508"/>
      <c r="L3171" s="1508"/>
      <c r="M3171" s="1509">
        <f t="shared" si="459"/>
        <v>0</v>
      </c>
      <c r="N3171" s="1508">
        <f t="shared" si="460"/>
        <v>0</v>
      </c>
    </row>
    <row r="3172" spans="1:14" ht="31" outlineLevel="1" x14ac:dyDescent="0.25">
      <c r="A3172" s="1492">
        <f t="shared" si="462"/>
        <v>0</v>
      </c>
      <c r="B3172" s="1492" t="str">
        <f t="shared" si="462"/>
        <v>Energy saving by installation of VFD for PA Fan &amp; ID Fan  motors at Unit#5 to 9, CSTPS, Chandrapur.</v>
      </c>
      <c r="C3172" s="1488">
        <f t="shared" si="462"/>
        <v>0</v>
      </c>
      <c r="D3172" s="1413" t="str">
        <f t="shared" si="462"/>
        <v>-</v>
      </c>
      <c r="E3172" s="560">
        <f t="shared" si="462"/>
        <v>25</v>
      </c>
      <c r="F3172" s="1508">
        <f t="shared" si="456"/>
        <v>0</v>
      </c>
      <c r="G3172" s="1508">
        <f t="shared" si="457"/>
        <v>0</v>
      </c>
      <c r="H3172" s="1508">
        <f t="shared" si="458"/>
        <v>0</v>
      </c>
      <c r="I3172" s="1480">
        <v>0</v>
      </c>
      <c r="J3172" s="1480">
        <v>0</v>
      </c>
      <c r="K3172" s="1508"/>
      <c r="L3172" s="1508"/>
      <c r="M3172" s="1509">
        <f t="shared" si="459"/>
        <v>0</v>
      </c>
      <c r="N3172" s="1508">
        <f t="shared" si="460"/>
        <v>0</v>
      </c>
    </row>
    <row r="3173" spans="1:14" ht="31" outlineLevel="1" x14ac:dyDescent="0.25">
      <c r="A3173" s="1486">
        <f t="shared" si="462"/>
        <v>7</v>
      </c>
      <c r="B3173" s="1491" t="str">
        <f t="shared" si="462"/>
        <v>DPR for refurbishment of Critical HT &amp; LT board installed at Unit#5,6,&amp;7, CSTPS Chandrapur.</v>
      </c>
      <c r="C3173" s="1488">
        <f t="shared" si="462"/>
        <v>0</v>
      </c>
      <c r="D3173" s="1413" t="str">
        <f t="shared" si="462"/>
        <v>-</v>
      </c>
      <c r="E3173" s="560">
        <f t="shared" si="462"/>
        <v>25</v>
      </c>
      <c r="F3173" s="1508">
        <f t="shared" si="456"/>
        <v>0</v>
      </c>
      <c r="G3173" s="1508">
        <f t="shared" si="457"/>
        <v>0</v>
      </c>
      <c r="H3173" s="1508">
        <f t="shared" si="458"/>
        <v>0</v>
      </c>
      <c r="I3173" s="1480">
        <v>0</v>
      </c>
      <c r="J3173" s="1480">
        <v>0</v>
      </c>
      <c r="K3173" s="1508"/>
      <c r="L3173" s="1508"/>
      <c r="M3173" s="1509">
        <f t="shared" si="459"/>
        <v>0</v>
      </c>
      <c r="N3173" s="1508">
        <f t="shared" si="460"/>
        <v>0</v>
      </c>
    </row>
    <row r="3174" spans="1:14" ht="31" outlineLevel="1" x14ac:dyDescent="0.25">
      <c r="A3174" s="1492">
        <f t="shared" si="462"/>
        <v>0</v>
      </c>
      <c r="B3174" s="1492" t="str">
        <f t="shared" si="462"/>
        <v xml:space="preserve"> Refurbishment of Critical HT &amp; LT board installed at Unit#5,6,&amp;7, CSTPS Chandrapur.</v>
      </c>
      <c r="C3174" s="1488">
        <f t="shared" si="462"/>
        <v>0</v>
      </c>
      <c r="D3174" s="1413" t="str">
        <f t="shared" si="462"/>
        <v>-</v>
      </c>
      <c r="E3174" s="560">
        <f t="shared" si="462"/>
        <v>25</v>
      </c>
      <c r="F3174" s="1508">
        <f t="shared" si="456"/>
        <v>0</v>
      </c>
      <c r="G3174" s="1508">
        <f t="shared" si="457"/>
        <v>0</v>
      </c>
      <c r="H3174" s="1508">
        <f t="shared" si="458"/>
        <v>0</v>
      </c>
      <c r="I3174" s="1480">
        <v>0</v>
      </c>
      <c r="J3174" s="1480">
        <v>0</v>
      </c>
      <c r="K3174" s="1508"/>
      <c r="L3174" s="1508"/>
      <c r="M3174" s="1509">
        <f t="shared" si="459"/>
        <v>0</v>
      </c>
      <c r="N3174" s="1508">
        <f t="shared" si="460"/>
        <v>0</v>
      </c>
    </row>
    <row r="3175" spans="1:14" ht="31" outlineLevel="1" x14ac:dyDescent="0.25">
      <c r="A3175" s="1486">
        <f t="shared" si="462"/>
        <v>8</v>
      </c>
      <c r="B3175" s="1491" t="str">
        <f t="shared" si="462"/>
        <v>Refurbishment of LV bus duct Bus duct of UAT, SAT, station transformer installed at Unit#5,6,&amp;7, CSTPS Chandrapur.</v>
      </c>
      <c r="C3175" s="1488">
        <f t="shared" si="462"/>
        <v>0</v>
      </c>
      <c r="D3175" s="1413" t="str">
        <f t="shared" si="462"/>
        <v>-</v>
      </c>
      <c r="E3175" s="560">
        <f t="shared" si="462"/>
        <v>30</v>
      </c>
      <c r="F3175" s="1508">
        <f t="shared" si="456"/>
        <v>0</v>
      </c>
      <c r="G3175" s="1508">
        <f t="shared" si="457"/>
        <v>0</v>
      </c>
      <c r="H3175" s="1508">
        <f t="shared" si="458"/>
        <v>0</v>
      </c>
      <c r="I3175" s="1480">
        <v>0</v>
      </c>
      <c r="J3175" s="1480">
        <v>0</v>
      </c>
      <c r="K3175" s="1508"/>
      <c r="L3175" s="1508"/>
      <c r="M3175" s="1509">
        <f t="shared" si="459"/>
        <v>0</v>
      </c>
      <c r="N3175" s="1508">
        <f t="shared" si="460"/>
        <v>0</v>
      </c>
    </row>
    <row r="3176" spans="1:14" ht="31" outlineLevel="1" x14ac:dyDescent="0.25">
      <c r="A3176" s="1492">
        <f t="shared" si="462"/>
        <v>0</v>
      </c>
      <c r="B3176" s="1492" t="str">
        <f t="shared" si="462"/>
        <v>Refurbishment of LV bus duct Bus duct of UAT, SAT, station transformer installed at Unit#5,6,&amp;7, CSTPS Chandrapur.</v>
      </c>
      <c r="C3176" s="1488">
        <f t="shared" si="462"/>
        <v>0</v>
      </c>
      <c r="D3176" s="1413" t="str">
        <f t="shared" si="462"/>
        <v>-</v>
      </c>
      <c r="E3176" s="560">
        <f t="shared" si="462"/>
        <v>30</v>
      </c>
      <c r="F3176" s="1508">
        <f t="shared" si="456"/>
        <v>0</v>
      </c>
      <c r="G3176" s="1508">
        <f t="shared" si="457"/>
        <v>0</v>
      </c>
      <c r="H3176" s="1508">
        <f t="shared" si="458"/>
        <v>0</v>
      </c>
      <c r="I3176" s="1480">
        <v>30</v>
      </c>
      <c r="J3176" s="1480">
        <v>30</v>
      </c>
      <c r="K3176" s="1508"/>
      <c r="L3176" s="1508"/>
      <c r="M3176" s="1509">
        <f t="shared" si="459"/>
        <v>30</v>
      </c>
      <c r="N3176" s="1508">
        <f t="shared" si="460"/>
        <v>0</v>
      </c>
    </row>
    <row r="3177" spans="1:14" ht="15.5" outlineLevel="1" x14ac:dyDescent="0.25">
      <c r="A3177" s="1504">
        <f t="shared" si="462"/>
        <v>0</v>
      </c>
      <c r="B3177" s="1504" t="str">
        <f t="shared" si="462"/>
        <v>Instrumentation &amp; Control-II</v>
      </c>
      <c r="C3177" s="1488">
        <f t="shared" si="462"/>
        <v>0</v>
      </c>
      <c r="D3177" s="1413" t="str">
        <f t="shared" si="462"/>
        <v>-</v>
      </c>
      <c r="E3177" s="560">
        <f t="shared" si="462"/>
        <v>0</v>
      </c>
      <c r="F3177" s="1508">
        <f t="shared" si="456"/>
        <v>0</v>
      </c>
      <c r="G3177" s="1508">
        <f t="shared" si="457"/>
        <v>0</v>
      </c>
      <c r="H3177" s="1508">
        <f t="shared" si="458"/>
        <v>0</v>
      </c>
      <c r="I3177" s="1480">
        <v>0</v>
      </c>
      <c r="J3177" s="1480">
        <v>0</v>
      </c>
      <c r="K3177" s="1508"/>
      <c r="L3177" s="1508"/>
      <c r="M3177" s="1509">
        <f t="shared" si="459"/>
        <v>0</v>
      </c>
      <c r="N3177" s="1508">
        <f t="shared" si="460"/>
        <v>0</v>
      </c>
    </row>
    <row r="3178" spans="1:14" ht="31" outlineLevel="1" x14ac:dyDescent="0.25">
      <c r="A3178" s="1486">
        <f t="shared" si="462"/>
        <v>1</v>
      </c>
      <c r="B3178" s="1491" t="str">
        <f t="shared" si="462"/>
        <v>Complete Supply ,Erection and Commissioning DDCMIS system of Unit 7 at CSTPS</v>
      </c>
      <c r="C3178" s="1488">
        <f t="shared" si="462"/>
        <v>0</v>
      </c>
      <c r="D3178" s="1413" t="str">
        <f t="shared" si="462"/>
        <v>-</v>
      </c>
      <c r="E3178" s="560">
        <f t="shared" si="462"/>
        <v>30</v>
      </c>
      <c r="F3178" s="1508">
        <f t="shared" si="456"/>
        <v>0</v>
      </c>
      <c r="G3178" s="1508">
        <f t="shared" si="457"/>
        <v>0</v>
      </c>
      <c r="H3178" s="1508">
        <f t="shared" si="458"/>
        <v>0</v>
      </c>
      <c r="I3178" s="1480">
        <v>0</v>
      </c>
      <c r="J3178" s="1480">
        <v>0</v>
      </c>
      <c r="K3178" s="1508"/>
      <c r="L3178" s="1508"/>
      <c r="M3178" s="1509">
        <f t="shared" si="459"/>
        <v>0</v>
      </c>
      <c r="N3178" s="1508">
        <f t="shared" si="460"/>
        <v>0</v>
      </c>
    </row>
    <row r="3179" spans="1:14" ht="31" outlineLevel="1" x14ac:dyDescent="0.25">
      <c r="A3179" s="1492">
        <f t="shared" si="462"/>
        <v>0</v>
      </c>
      <c r="B3179" s="1492" t="str">
        <f t="shared" si="462"/>
        <v>Complete Supply ,Erection and Commissioning DDCMIS system of Unit 7  at CSTPS</v>
      </c>
      <c r="C3179" s="1488">
        <f t="shared" si="462"/>
        <v>0</v>
      </c>
      <c r="D3179" s="1413" t="str">
        <f t="shared" si="462"/>
        <v>-</v>
      </c>
      <c r="E3179" s="560">
        <f t="shared" si="462"/>
        <v>30</v>
      </c>
      <c r="F3179" s="1508">
        <f t="shared" si="456"/>
        <v>30</v>
      </c>
      <c r="G3179" s="1508">
        <f t="shared" si="457"/>
        <v>30</v>
      </c>
      <c r="H3179" s="1508">
        <f t="shared" si="458"/>
        <v>0</v>
      </c>
      <c r="I3179" s="1480">
        <v>0</v>
      </c>
      <c r="J3179" s="1480">
        <v>0</v>
      </c>
      <c r="K3179" s="1508"/>
      <c r="L3179" s="1508"/>
      <c r="M3179" s="1509">
        <f t="shared" si="459"/>
        <v>0</v>
      </c>
      <c r="N3179" s="1508">
        <f t="shared" si="460"/>
        <v>0</v>
      </c>
    </row>
    <row r="3180" spans="1:14" ht="31" outlineLevel="1" x14ac:dyDescent="0.25">
      <c r="A3180" s="1486">
        <f t="shared" si="462"/>
        <v>2</v>
      </c>
      <c r="B3180" s="1491" t="str">
        <f t="shared" si="462"/>
        <v>Implementation of Flexible Operation Solutions for Unit5,6 &amp;7, CSTPS, Chandrapur</v>
      </c>
      <c r="C3180" s="1488">
        <f t="shared" si="462"/>
        <v>0</v>
      </c>
      <c r="D3180" s="1413" t="str">
        <f t="shared" si="462"/>
        <v>-</v>
      </c>
      <c r="E3180" s="560">
        <f t="shared" si="462"/>
        <v>40</v>
      </c>
      <c r="F3180" s="1508">
        <f t="shared" si="456"/>
        <v>0</v>
      </c>
      <c r="G3180" s="1508">
        <f t="shared" si="457"/>
        <v>0</v>
      </c>
      <c r="H3180" s="1508">
        <f t="shared" si="458"/>
        <v>0</v>
      </c>
      <c r="I3180" s="1480">
        <v>0</v>
      </c>
      <c r="J3180" s="1480">
        <v>0</v>
      </c>
      <c r="K3180" s="1508"/>
      <c r="L3180" s="1508"/>
      <c r="M3180" s="1509">
        <f t="shared" si="459"/>
        <v>0</v>
      </c>
      <c r="N3180" s="1508">
        <f t="shared" si="460"/>
        <v>0</v>
      </c>
    </row>
    <row r="3181" spans="1:14" ht="31" outlineLevel="1" x14ac:dyDescent="0.25">
      <c r="A3181" s="1492">
        <f t="shared" si="462"/>
        <v>0</v>
      </c>
      <c r="B3181" s="1492" t="str">
        <f t="shared" si="462"/>
        <v>Implementation of Flexible Operation Solutions for Unit5,6 &amp;7, CSTPS, Chandrapur</v>
      </c>
      <c r="C3181" s="1488">
        <f t="shared" si="462"/>
        <v>0</v>
      </c>
      <c r="D3181" s="1413" t="str">
        <f t="shared" si="462"/>
        <v>-</v>
      </c>
      <c r="E3181" s="560">
        <f t="shared" si="462"/>
        <v>40</v>
      </c>
      <c r="F3181" s="1508">
        <f t="shared" si="456"/>
        <v>0</v>
      </c>
      <c r="G3181" s="1508">
        <f t="shared" si="457"/>
        <v>0</v>
      </c>
      <c r="H3181" s="1508">
        <f t="shared" si="458"/>
        <v>0</v>
      </c>
      <c r="I3181" s="1480">
        <v>0</v>
      </c>
      <c r="J3181" s="1480">
        <v>0</v>
      </c>
      <c r="K3181" s="1508"/>
      <c r="L3181" s="1508"/>
      <c r="M3181" s="1509">
        <f t="shared" si="459"/>
        <v>0</v>
      </c>
      <c r="N3181" s="1508">
        <f t="shared" si="460"/>
        <v>0</v>
      </c>
    </row>
    <row r="3182" spans="1:14" ht="46.5" outlineLevel="1" x14ac:dyDescent="0.25">
      <c r="A3182" s="1486">
        <f t="shared" si="462"/>
        <v>3</v>
      </c>
      <c r="B3182" s="1491" t="str">
        <f t="shared" si="462"/>
        <v>Supply of sub-assy for ID Fan VFD System&amp;  Energy Management System (EMS) at Stage-III, CSTPS, &amp; Procurement of numerical motor/feeder protection relay</v>
      </c>
      <c r="C3182" s="1488">
        <f t="shared" si="462"/>
        <v>0</v>
      </c>
      <c r="D3182" s="1413" t="str">
        <f t="shared" si="462"/>
        <v>-</v>
      </c>
      <c r="E3182" s="560">
        <f t="shared" si="462"/>
        <v>26.1</v>
      </c>
      <c r="F3182" s="1508">
        <f t="shared" si="456"/>
        <v>0</v>
      </c>
      <c r="G3182" s="1508">
        <f t="shared" si="457"/>
        <v>0</v>
      </c>
      <c r="H3182" s="1508">
        <f t="shared" si="458"/>
        <v>0</v>
      </c>
      <c r="I3182" s="1480">
        <v>0</v>
      </c>
      <c r="J3182" s="1480">
        <v>0</v>
      </c>
      <c r="K3182" s="1508"/>
      <c r="L3182" s="1508"/>
      <c r="M3182" s="1509">
        <f t="shared" si="459"/>
        <v>0</v>
      </c>
      <c r="N3182" s="1508">
        <f t="shared" si="460"/>
        <v>0</v>
      </c>
    </row>
    <row r="3183" spans="1:14" ht="15.5" outlineLevel="1" x14ac:dyDescent="0.25">
      <c r="A3183" s="1492">
        <f t="shared" si="462"/>
        <v>0</v>
      </c>
      <c r="B3183" s="1492" t="str">
        <f t="shared" si="462"/>
        <v>Supply of sub-assy for ID Fan VFD System</v>
      </c>
      <c r="C3183" s="1488">
        <f t="shared" si="462"/>
        <v>0</v>
      </c>
      <c r="D3183" s="1413" t="str">
        <f t="shared" si="462"/>
        <v>-</v>
      </c>
      <c r="E3183" s="560">
        <f t="shared" si="462"/>
        <v>4.5</v>
      </c>
      <c r="F3183" s="1508">
        <f t="shared" si="456"/>
        <v>0</v>
      </c>
      <c r="G3183" s="1508">
        <f t="shared" si="457"/>
        <v>0</v>
      </c>
      <c r="H3183" s="1508">
        <f t="shared" si="458"/>
        <v>0</v>
      </c>
      <c r="I3183" s="1480">
        <v>4.5</v>
      </c>
      <c r="J3183" s="1480">
        <v>4.5</v>
      </c>
      <c r="K3183" s="1508"/>
      <c r="L3183" s="1508"/>
      <c r="M3183" s="1509">
        <f t="shared" si="459"/>
        <v>4.5</v>
      </c>
      <c r="N3183" s="1508">
        <f t="shared" si="460"/>
        <v>0</v>
      </c>
    </row>
    <row r="3184" spans="1:14" ht="31" outlineLevel="1" x14ac:dyDescent="0.25">
      <c r="A3184" s="1492">
        <f t="shared" si="462"/>
        <v>0</v>
      </c>
      <c r="B3184" s="1492" t="str">
        <f t="shared" si="462"/>
        <v>Energy Management System (EMS) at Stage-III, CSTPS, Chandrapur.</v>
      </c>
      <c r="C3184" s="1488">
        <f t="shared" si="462"/>
        <v>0</v>
      </c>
      <c r="D3184" s="1413" t="str">
        <f t="shared" si="462"/>
        <v>-</v>
      </c>
      <c r="E3184" s="560">
        <f t="shared" si="462"/>
        <v>5.5</v>
      </c>
      <c r="F3184" s="1508">
        <f t="shared" si="456"/>
        <v>0</v>
      </c>
      <c r="G3184" s="1508">
        <f t="shared" si="457"/>
        <v>0</v>
      </c>
      <c r="H3184" s="1508">
        <f t="shared" si="458"/>
        <v>0</v>
      </c>
      <c r="I3184" s="1480">
        <v>5.5</v>
      </c>
      <c r="J3184" s="1480">
        <v>5.5</v>
      </c>
      <c r="K3184" s="1508"/>
      <c r="L3184" s="1508"/>
      <c r="M3184" s="1509">
        <f t="shared" si="459"/>
        <v>5.5</v>
      </c>
      <c r="N3184" s="1508">
        <f t="shared" si="460"/>
        <v>0</v>
      </c>
    </row>
    <row r="3185" spans="1:14" ht="15.5" outlineLevel="1" x14ac:dyDescent="0.25">
      <c r="A3185" s="1492">
        <f t="shared" si="462"/>
        <v>0</v>
      </c>
      <c r="B3185" s="1492" t="str">
        <f t="shared" si="462"/>
        <v>Procurement of numerical motor/feeder protection relays</v>
      </c>
      <c r="C3185" s="1488">
        <f t="shared" si="462"/>
        <v>0</v>
      </c>
      <c r="D3185" s="1413" t="str">
        <f t="shared" si="462"/>
        <v>-</v>
      </c>
      <c r="E3185" s="560">
        <f t="shared" si="462"/>
        <v>8.1</v>
      </c>
      <c r="F3185" s="1508">
        <f t="shared" si="456"/>
        <v>0</v>
      </c>
      <c r="G3185" s="1508">
        <f t="shared" si="457"/>
        <v>0</v>
      </c>
      <c r="H3185" s="1508">
        <f t="shared" si="458"/>
        <v>0</v>
      </c>
      <c r="I3185" s="1480">
        <v>8.1</v>
      </c>
      <c r="J3185" s="1480">
        <v>8.1</v>
      </c>
      <c r="K3185" s="1508"/>
      <c r="L3185" s="1508"/>
      <c r="M3185" s="1509">
        <f t="shared" si="459"/>
        <v>8.1</v>
      </c>
      <c r="N3185" s="1508">
        <f t="shared" si="460"/>
        <v>0</v>
      </c>
    </row>
    <row r="3186" spans="1:14" ht="46.5" outlineLevel="1" x14ac:dyDescent="0.25">
      <c r="A3186" s="1492">
        <f t="shared" ref="A3186:E3201" si="463">A2516</f>
        <v>0</v>
      </c>
      <c r="B3186" s="1492" t="str">
        <f t="shared" si="463"/>
        <v>Procurement of portable multi function test kit, Microprocessot based CB TIM, CRM &amp; MVDT, CBO analyser, Vacuum cleaner bottle HV tester</v>
      </c>
      <c r="C3186" s="1488">
        <f t="shared" si="463"/>
        <v>0</v>
      </c>
      <c r="D3186" s="1413" t="str">
        <f t="shared" si="463"/>
        <v>-</v>
      </c>
      <c r="E3186" s="560">
        <f t="shared" si="463"/>
        <v>2</v>
      </c>
      <c r="F3186" s="1508">
        <f t="shared" si="456"/>
        <v>0</v>
      </c>
      <c r="G3186" s="1508">
        <f t="shared" si="457"/>
        <v>0</v>
      </c>
      <c r="H3186" s="1508">
        <f t="shared" si="458"/>
        <v>0</v>
      </c>
      <c r="I3186" s="1480">
        <v>2</v>
      </c>
      <c r="J3186" s="1480">
        <v>2</v>
      </c>
      <c r="K3186" s="1508"/>
      <c r="L3186" s="1508"/>
      <c r="M3186" s="1509">
        <f t="shared" si="459"/>
        <v>2</v>
      </c>
      <c r="N3186" s="1508">
        <f t="shared" si="460"/>
        <v>0</v>
      </c>
    </row>
    <row r="3187" spans="1:14" ht="31" outlineLevel="1" x14ac:dyDescent="0.25">
      <c r="A3187" s="1492">
        <f t="shared" si="463"/>
        <v>0</v>
      </c>
      <c r="B3187" s="1492" t="str">
        <f t="shared" si="463"/>
        <v xml:space="preserve">Replacement of various motorised control actuators at Unit 5, 6  CSTPS,Chandrapur.                              </v>
      </c>
      <c r="C3187" s="1488">
        <f t="shared" si="463"/>
        <v>0</v>
      </c>
      <c r="D3187" s="1413" t="str">
        <f t="shared" si="463"/>
        <v>-</v>
      </c>
      <c r="E3187" s="560">
        <f t="shared" si="463"/>
        <v>6</v>
      </c>
      <c r="F3187" s="1508">
        <f t="shared" si="456"/>
        <v>0</v>
      </c>
      <c r="G3187" s="1508">
        <f t="shared" si="457"/>
        <v>0</v>
      </c>
      <c r="H3187" s="1508">
        <f t="shared" si="458"/>
        <v>0</v>
      </c>
      <c r="I3187" s="1480">
        <v>0</v>
      </c>
      <c r="J3187" s="1480">
        <v>0</v>
      </c>
      <c r="K3187" s="1508"/>
      <c r="L3187" s="1508"/>
      <c r="M3187" s="1509">
        <f t="shared" si="459"/>
        <v>0</v>
      </c>
      <c r="N3187" s="1508">
        <f t="shared" si="460"/>
        <v>0</v>
      </c>
    </row>
    <row r="3188" spans="1:14" ht="62" outlineLevel="1" x14ac:dyDescent="0.25">
      <c r="A3188" s="1486">
        <f t="shared" si="463"/>
        <v>4</v>
      </c>
      <c r="B3188" s="1491" t="str">
        <f t="shared" si="463"/>
        <v>Supply and commissioning of Energy Optimization &amp; Real Time Analysis system software for Auxiliary Power management of power network &amp; Pump performance monitoring system for water pumping stations for Unit#5,6&amp;7, CSTPS, Chandrapur</v>
      </c>
      <c r="C3188" s="1488">
        <f t="shared" si="463"/>
        <v>0</v>
      </c>
      <c r="D3188" s="1413" t="str">
        <f t="shared" si="463"/>
        <v>-</v>
      </c>
      <c r="E3188" s="560">
        <f t="shared" si="463"/>
        <v>26</v>
      </c>
      <c r="F3188" s="1508">
        <f t="shared" si="456"/>
        <v>0</v>
      </c>
      <c r="G3188" s="1508">
        <f t="shared" si="457"/>
        <v>0</v>
      </c>
      <c r="H3188" s="1508">
        <f t="shared" si="458"/>
        <v>0</v>
      </c>
      <c r="I3188" s="1480">
        <v>0</v>
      </c>
      <c r="J3188" s="1480">
        <v>0</v>
      </c>
      <c r="K3188" s="1508"/>
      <c r="L3188" s="1508"/>
      <c r="M3188" s="1509">
        <f t="shared" si="459"/>
        <v>0</v>
      </c>
      <c r="N3188" s="1508">
        <f t="shared" si="460"/>
        <v>0</v>
      </c>
    </row>
    <row r="3189" spans="1:14" ht="46.5" outlineLevel="1" x14ac:dyDescent="0.25">
      <c r="A3189" s="1492">
        <f t="shared" si="463"/>
        <v>0</v>
      </c>
      <c r="B3189" s="1492" t="str">
        <f t="shared" si="463"/>
        <v>Supply and commissioning of Energy Optimization &amp; Real Time Analysis system software for Auxiliary Power management of power network</v>
      </c>
      <c r="C3189" s="1488">
        <f t="shared" si="463"/>
        <v>0</v>
      </c>
      <c r="D3189" s="1413" t="str">
        <f t="shared" si="463"/>
        <v>-</v>
      </c>
      <c r="E3189" s="560">
        <f t="shared" si="463"/>
        <v>9</v>
      </c>
      <c r="F3189" s="1508">
        <f t="shared" si="456"/>
        <v>0</v>
      </c>
      <c r="G3189" s="1508">
        <f t="shared" si="457"/>
        <v>0</v>
      </c>
      <c r="H3189" s="1508">
        <f t="shared" si="458"/>
        <v>0</v>
      </c>
      <c r="I3189" s="1480">
        <v>0</v>
      </c>
      <c r="J3189" s="1480">
        <v>0</v>
      </c>
      <c r="K3189" s="1508"/>
      <c r="L3189" s="1508"/>
      <c r="M3189" s="1509">
        <f t="shared" si="459"/>
        <v>0</v>
      </c>
      <c r="N3189" s="1508">
        <f t="shared" si="460"/>
        <v>0</v>
      </c>
    </row>
    <row r="3190" spans="1:14" ht="46.5" outlineLevel="1" x14ac:dyDescent="0.25">
      <c r="A3190" s="1492">
        <f t="shared" si="463"/>
        <v>0</v>
      </c>
      <c r="B3190" s="1492" t="str">
        <f t="shared" si="463"/>
        <v>Supply and installation of advanced Microprocessor based Pump performance monitoring system for water pumping stations for Unit#5,6&amp;7, CSTPS, Chandrapur</v>
      </c>
      <c r="C3190" s="1488">
        <f t="shared" si="463"/>
        <v>0</v>
      </c>
      <c r="D3190" s="1413" t="str">
        <f t="shared" si="463"/>
        <v>-</v>
      </c>
      <c r="E3190" s="560">
        <f t="shared" si="463"/>
        <v>7</v>
      </c>
      <c r="F3190" s="1508">
        <f t="shared" si="456"/>
        <v>0</v>
      </c>
      <c r="G3190" s="1508">
        <f t="shared" si="457"/>
        <v>0</v>
      </c>
      <c r="H3190" s="1508">
        <f t="shared" si="458"/>
        <v>0</v>
      </c>
      <c r="I3190" s="1480">
        <v>0</v>
      </c>
      <c r="J3190" s="1480">
        <v>0</v>
      </c>
      <c r="K3190" s="1508"/>
      <c r="L3190" s="1508"/>
      <c r="M3190" s="1509">
        <f t="shared" si="459"/>
        <v>0</v>
      </c>
      <c r="N3190" s="1508">
        <f t="shared" si="460"/>
        <v>0</v>
      </c>
    </row>
    <row r="3191" spans="1:14" ht="31" outlineLevel="1" x14ac:dyDescent="0.25">
      <c r="A3191" s="1492">
        <f t="shared" si="463"/>
        <v>0</v>
      </c>
      <c r="B3191" s="1492" t="str">
        <f t="shared" si="463"/>
        <v>Upgradation of Online Connectivity and Environmental Monitoring (OCEMS) System at Unit-5,6&amp;7</v>
      </c>
      <c r="C3191" s="1488">
        <f t="shared" si="463"/>
        <v>0</v>
      </c>
      <c r="D3191" s="1413" t="str">
        <f t="shared" si="463"/>
        <v>-</v>
      </c>
      <c r="E3191" s="560">
        <f t="shared" si="463"/>
        <v>4</v>
      </c>
      <c r="F3191" s="1508">
        <f t="shared" si="456"/>
        <v>0</v>
      </c>
      <c r="G3191" s="1508">
        <f t="shared" si="457"/>
        <v>0</v>
      </c>
      <c r="H3191" s="1508">
        <f t="shared" si="458"/>
        <v>0</v>
      </c>
      <c r="I3191" s="1480">
        <v>4</v>
      </c>
      <c r="J3191" s="1480">
        <v>4</v>
      </c>
      <c r="K3191" s="1508"/>
      <c r="L3191" s="1508"/>
      <c r="M3191" s="1509">
        <f t="shared" si="459"/>
        <v>4</v>
      </c>
      <c r="N3191" s="1508">
        <f t="shared" si="460"/>
        <v>0</v>
      </c>
    </row>
    <row r="3192" spans="1:14" ht="15.5" outlineLevel="1" x14ac:dyDescent="0.25">
      <c r="A3192" s="1492">
        <f t="shared" si="463"/>
        <v>0</v>
      </c>
      <c r="B3192" s="1492" t="str">
        <f t="shared" si="463"/>
        <v xml:space="preserve">Procurement of I&amp;C Testing Labouratory Instruments </v>
      </c>
      <c r="C3192" s="1488">
        <f t="shared" si="463"/>
        <v>0</v>
      </c>
      <c r="D3192" s="1413" t="str">
        <f t="shared" si="463"/>
        <v>-</v>
      </c>
      <c r="E3192" s="560">
        <f t="shared" si="463"/>
        <v>2</v>
      </c>
      <c r="F3192" s="1508">
        <f t="shared" si="456"/>
        <v>0</v>
      </c>
      <c r="G3192" s="1508">
        <f t="shared" si="457"/>
        <v>0</v>
      </c>
      <c r="H3192" s="1508">
        <f t="shared" si="458"/>
        <v>0</v>
      </c>
      <c r="I3192" s="1480">
        <v>2</v>
      </c>
      <c r="J3192" s="1480">
        <v>2</v>
      </c>
      <c r="K3192" s="1508"/>
      <c r="L3192" s="1508"/>
      <c r="M3192" s="1509">
        <f t="shared" si="459"/>
        <v>2</v>
      </c>
      <c r="N3192" s="1508">
        <f t="shared" si="460"/>
        <v>0</v>
      </c>
    </row>
    <row r="3193" spans="1:14" ht="31" outlineLevel="1" x14ac:dyDescent="0.25">
      <c r="A3193" s="1492">
        <f t="shared" si="463"/>
        <v>0</v>
      </c>
      <c r="B3193" s="1492" t="str">
        <f t="shared" si="463"/>
        <v xml:space="preserve">Upgradation of various motorised control actuators at Unit-7,  CSTPS,Chandrapur.                              </v>
      </c>
      <c r="C3193" s="1488">
        <f t="shared" si="463"/>
        <v>0</v>
      </c>
      <c r="D3193" s="1413" t="str">
        <f t="shared" si="463"/>
        <v>-</v>
      </c>
      <c r="E3193" s="560">
        <f t="shared" si="463"/>
        <v>4</v>
      </c>
      <c r="F3193" s="1508">
        <f t="shared" si="456"/>
        <v>0</v>
      </c>
      <c r="G3193" s="1508">
        <f t="shared" si="457"/>
        <v>0</v>
      </c>
      <c r="H3193" s="1508">
        <f t="shared" si="458"/>
        <v>0</v>
      </c>
      <c r="I3193" s="1480">
        <v>0</v>
      </c>
      <c r="J3193" s="1480">
        <v>0</v>
      </c>
      <c r="K3193" s="1508"/>
      <c r="L3193" s="1508"/>
      <c r="M3193" s="1509">
        <f t="shared" si="459"/>
        <v>0</v>
      </c>
      <c r="N3193" s="1508">
        <f t="shared" si="460"/>
        <v>0</v>
      </c>
    </row>
    <row r="3194" spans="1:14" ht="15.5" outlineLevel="1" x14ac:dyDescent="0.25">
      <c r="A3194" s="1504">
        <f t="shared" si="463"/>
        <v>0</v>
      </c>
      <c r="B3194" s="1504" t="str">
        <f t="shared" si="463"/>
        <v>ODP-II</v>
      </c>
      <c r="C3194" s="1488">
        <f t="shared" si="463"/>
        <v>0</v>
      </c>
      <c r="D3194" s="1413" t="str">
        <f t="shared" si="463"/>
        <v>-</v>
      </c>
      <c r="E3194" s="560">
        <f t="shared" si="463"/>
        <v>0</v>
      </c>
      <c r="F3194" s="1508">
        <f t="shared" si="456"/>
        <v>0</v>
      </c>
      <c r="G3194" s="1508">
        <f t="shared" si="457"/>
        <v>0</v>
      </c>
      <c r="H3194" s="1508">
        <f t="shared" si="458"/>
        <v>0</v>
      </c>
      <c r="I3194" s="1480">
        <v>0</v>
      </c>
      <c r="J3194" s="1480">
        <v>0</v>
      </c>
      <c r="K3194" s="1508"/>
      <c r="L3194" s="1508"/>
      <c r="M3194" s="1509">
        <f t="shared" si="459"/>
        <v>0</v>
      </c>
      <c r="N3194" s="1508">
        <f t="shared" si="460"/>
        <v>0</v>
      </c>
    </row>
    <row r="3195" spans="1:14" ht="31" outlineLevel="1" x14ac:dyDescent="0.25">
      <c r="A3195" s="1486">
        <f t="shared" si="463"/>
        <v>1</v>
      </c>
      <c r="B3195" s="1491" t="str">
        <f t="shared" si="463"/>
        <v>Complete reconditioning of Condensate cooling water system, Ash raw water system &amp; fire fightning system of U-5,6 &amp; 7</v>
      </c>
      <c r="C3195" s="1488">
        <f t="shared" si="463"/>
        <v>0</v>
      </c>
      <c r="D3195" s="1413" t="str">
        <f t="shared" si="463"/>
        <v>-</v>
      </c>
      <c r="E3195" s="560">
        <f t="shared" si="463"/>
        <v>92</v>
      </c>
      <c r="F3195" s="1508">
        <f t="shared" si="456"/>
        <v>0</v>
      </c>
      <c r="G3195" s="1508">
        <f t="shared" si="457"/>
        <v>0</v>
      </c>
      <c r="H3195" s="1508">
        <f t="shared" si="458"/>
        <v>0</v>
      </c>
      <c r="I3195" s="1480">
        <v>0</v>
      </c>
      <c r="J3195" s="1480">
        <v>0</v>
      </c>
      <c r="K3195" s="1508"/>
      <c r="L3195" s="1508"/>
      <c r="M3195" s="1509">
        <f t="shared" si="459"/>
        <v>0</v>
      </c>
      <c r="N3195" s="1508">
        <f t="shared" si="460"/>
        <v>0</v>
      </c>
    </row>
    <row r="3196" spans="1:14" ht="15.5" outlineLevel="1" x14ac:dyDescent="0.25">
      <c r="A3196" s="1492">
        <f t="shared" si="463"/>
        <v>0</v>
      </c>
      <c r="B3196" s="1492" t="str">
        <f t="shared" si="463"/>
        <v xml:space="preserve"> Complete reconditioning of cooling tower 5A &amp; 5B of Unit -5. </v>
      </c>
      <c r="C3196" s="1488">
        <f t="shared" si="463"/>
        <v>0</v>
      </c>
      <c r="D3196" s="1413" t="str">
        <f t="shared" si="463"/>
        <v>-</v>
      </c>
      <c r="E3196" s="560">
        <f t="shared" si="463"/>
        <v>45</v>
      </c>
      <c r="F3196" s="1508">
        <f t="shared" si="456"/>
        <v>15</v>
      </c>
      <c r="G3196" s="1508">
        <f t="shared" si="457"/>
        <v>15</v>
      </c>
      <c r="H3196" s="1508">
        <f t="shared" si="458"/>
        <v>0</v>
      </c>
      <c r="I3196" s="1480">
        <v>15</v>
      </c>
      <c r="J3196" s="1480">
        <v>15</v>
      </c>
      <c r="K3196" s="1508"/>
      <c r="L3196" s="1508"/>
      <c r="M3196" s="1509">
        <f t="shared" si="459"/>
        <v>15</v>
      </c>
      <c r="N3196" s="1508">
        <f t="shared" si="460"/>
        <v>0</v>
      </c>
    </row>
    <row r="3197" spans="1:14" ht="46.5" outlineLevel="1" x14ac:dyDescent="0.25">
      <c r="A3197" s="1492">
        <f t="shared" si="463"/>
        <v>0</v>
      </c>
      <c r="B3197" s="1492" t="str">
        <f t="shared" si="463"/>
        <v>Revamping of induced draft Cooling tower - 6A &amp; 6B internals with supply &amp; replacement to improve the performance of Cooling tower of Unit -6 (500MW), CSTPS, Chandrapur</v>
      </c>
      <c r="C3197" s="1488">
        <f t="shared" si="463"/>
        <v>0</v>
      </c>
      <c r="D3197" s="1413" t="str">
        <f t="shared" si="463"/>
        <v>-</v>
      </c>
      <c r="E3197" s="560">
        <f t="shared" si="463"/>
        <v>47</v>
      </c>
      <c r="F3197" s="1508">
        <f t="shared" si="456"/>
        <v>0</v>
      </c>
      <c r="G3197" s="1508">
        <f t="shared" si="457"/>
        <v>0</v>
      </c>
      <c r="H3197" s="1508">
        <f t="shared" si="458"/>
        <v>0</v>
      </c>
      <c r="I3197" s="1480">
        <v>23.5</v>
      </c>
      <c r="J3197" s="1480">
        <v>23.5</v>
      </c>
      <c r="K3197" s="1508"/>
      <c r="L3197" s="1508"/>
      <c r="M3197" s="1509">
        <f t="shared" si="459"/>
        <v>23.5</v>
      </c>
      <c r="N3197" s="1508">
        <f t="shared" si="460"/>
        <v>0</v>
      </c>
    </row>
    <row r="3198" spans="1:14" ht="31" outlineLevel="1" x14ac:dyDescent="0.25">
      <c r="A3198" s="1486">
        <f t="shared" si="463"/>
        <v>2</v>
      </c>
      <c r="B3198" s="1491" t="str">
        <f t="shared" si="463"/>
        <v>Replacement of  Complete pump assembly of CCW pump, ACW pump and other schemes</v>
      </c>
      <c r="C3198" s="1488">
        <f t="shared" si="463"/>
        <v>0</v>
      </c>
      <c r="D3198" s="1413" t="str">
        <f t="shared" si="463"/>
        <v>-</v>
      </c>
      <c r="E3198" s="560">
        <f t="shared" si="463"/>
        <v>121</v>
      </c>
      <c r="F3198" s="1508">
        <f t="shared" si="456"/>
        <v>0</v>
      </c>
      <c r="G3198" s="1508">
        <f t="shared" si="457"/>
        <v>0</v>
      </c>
      <c r="H3198" s="1508">
        <f t="shared" si="458"/>
        <v>0</v>
      </c>
      <c r="I3198" s="1480">
        <v>0</v>
      </c>
      <c r="J3198" s="1480">
        <v>0</v>
      </c>
      <c r="K3198" s="1508"/>
      <c r="L3198" s="1508"/>
      <c r="M3198" s="1509">
        <f t="shared" si="459"/>
        <v>0</v>
      </c>
      <c r="N3198" s="1508">
        <f t="shared" si="460"/>
        <v>0</v>
      </c>
    </row>
    <row r="3199" spans="1:14" ht="31" outlineLevel="1" x14ac:dyDescent="0.25">
      <c r="A3199" s="1492">
        <f t="shared" si="463"/>
        <v>0</v>
      </c>
      <c r="B3199" s="1492" t="str">
        <f t="shared" si="463"/>
        <v>Replacement of  Complete pump assembly of CCW pump installed at U-5,6,7.</v>
      </c>
      <c r="C3199" s="1488">
        <f t="shared" si="463"/>
        <v>0</v>
      </c>
      <c r="D3199" s="1413" t="str">
        <f t="shared" si="463"/>
        <v>-</v>
      </c>
      <c r="E3199" s="560">
        <f t="shared" si="463"/>
        <v>100</v>
      </c>
      <c r="F3199" s="1508">
        <f t="shared" si="456"/>
        <v>20</v>
      </c>
      <c r="G3199" s="1508">
        <f t="shared" si="457"/>
        <v>20</v>
      </c>
      <c r="H3199" s="1508">
        <f t="shared" si="458"/>
        <v>0</v>
      </c>
      <c r="I3199" s="1480">
        <v>20</v>
      </c>
      <c r="J3199" s="1480">
        <v>20</v>
      </c>
      <c r="K3199" s="1508"/>
      <c r="L3199" s="1508"/>
      <c r="M3199" s="1509">
        <f t="shared" si="459"/>
        <v>20</v>
      </c>
      <c r="N3199" s="1508">
        <f t="shared" si="460"/>
        <v>0</v>
      </c>
    </row>
    <row r="3200" spans="1:14" ht="31" outlineLevel="1" x14ac:dyDescent="0.25">
      <c r="A3200" s="1492">
        <f t="shared" si="463"/>
        <v>0</v>
      </c>
      <c r="B3200" s="1492" t="str">
        <f t="shared" si="463"/>
        <v xml:space="preserve"> Replacement of  Complete pump assembly of ACW  pump installed at U-5,6,7.</v>
      </c>
      <c r="C3200" s="1488">
        <f t="shared" si="463"/>
        <v>0</v>
      </c>
      <c r="D3200" s="1413" t="str">
        <f t="shared" si="463"/>
        <v>-</v>
      </c>
      <c r="E3200" s="560">
        <f t="shared" si="463"/>
        <v>11</v>
      </c>
      <c r="F3200" s="1508">
        <f t="shared" si="456"/>
        <v>5.5</v>
      </c>
      <c r="G3200" s="1508">
        <f t="shared" si="457"/>
        <v>5.5</v>
      </c>
      <c r="H3200" s="1508">
        <f t="shared" si="458"/>
        <v>0</v>
      </c>
      <c r="I3200" s="1480">
        <v>5.5</v>
      </c>
      <c r="J3200" s="1480">
        <v>5.5</v>
      </c>
      <c r="K3200" s="1508"/>
      <c r="L3200" s="1508"/>
      <c r="M3200" s="1509">
        <f t="shared" si="459"/>
        <v>5.5</v>
      </c>
      <c r="N3200" s="1508">
        <f t="shared" si="460"/>
        <v>0</v>
      </c>
    </row>
    <row r="3201" spans="1:14" ht="31" outlineLevel="1" x14ac:dyDescent="0.25">
      <c r="A3201" s="1492">
        <f t="shared" si="463"/>
        <v>0</v>
      </c>
      <c r="B3201" s="1492" t="str">
        <f t="shared" si="463"/>
        <v xml:space="preserve"> Complete reconditioning of Ash Raw water system &amp; DM/NDM system of U- 7. </v>
      </c>
      <c r="C3201" s="1488">
        <f t="shared" si="463"/>
        <v>0</v>
      </c>
      <c r="D3201" s="1413" t="str">
        <f t="shared" si="463"/>
        <v>-</v>
      </c>
      <c r="E3201" s="560">
        <f t="shared" si="463"/>
        <v>8</v>
      </c>
      <c r="F3201" s="1508">
        <f t="shared" si="456"/>
        <v>5</v>
      </c>
      <c r="G3201" s="1508">
        <f t="shared" si="457"/>
        <v>5</v>
      </c>
      <c r="H3201" s="1508">
        <f t="shared" si="458"/>
        <v>0</v>
      </c>
      <c r="I3201" s="1480">
        <v>3</v>
      </c>
      <c r="J3201" s="1480">
        <v>3</v>
      </c>
      <c r="K3201" s="1508"/>
      <c r="L3201" s="1508"/>
      <c r="M3201" s="1509">
        <f t="shared" si="459"/>
        <v>3</v>
      </c>
      <c r="N3201" s="1508">
        <f t="shared" si="460"/>
        <v>0</v>
      </c>
    </row>
    <row r="3202" spans="1:14" ht="31" outlineLevel="1" x14ac:dyDescent="0.25">
      <c r="A3202" s="1492">
        <f t="shared" ref="A3202:E3217" si="464">A2532</f>
        <v>0</v>
      </c>
      <c r="B3202" s="1492" t="str">
        <f t="shared" si="464"/>
        <v xml:space="preserve">Complete reconditioning of Fire fightning system of Stage -I, II, III. </v>
      </c>
      <c r="C3202" s="1488">
        <f t="shared" si="464"/>
        <v>0</v>
      </c>
      <c r="D3202" s="1413" t="str">
        <f t="shared" si="464"/>
        <v>-</v>
      </c>
      <c r="E3202" s="560">
        <f t="shared" si="464"/>
        <v>2</v>
      </c>
      <c r="F3202" s="1508">
        <f t="shared" ref="F3202:F3265" si="465">F2532+I2532</f>
        <v>2</v>
      </c>
      <c r="G3202" s="1508">
        <f t="shared" ref="G3202:G3265" si="466">G2532+M2532</f>
        <v>2</v>
      </c>
      <c r="H3202" s="1508">
        <f t="shared" si="458"/>
        <v>0</v>
      </c>
      <c r="I3202" s="1480">
        <v>0</v>
      </c>
      <c r="J3202" s="1480">
        <v>0</v>
      </c>
      <c r="K3202" s="1508"/>
      <c r="L3202" s="1508"/>
      <c r="M3202" s="1509">
        <f t="shared" si="459"/>
        <v>0</v>
      </c>
      <c r="N3202" s="1508">
        <f t="shared" si="460"/>
        <v>0</v>
      </c>
    </row>
    <row r="3203" spans="1:14" ht="77.5" outlineLevel="1" x14ac:dyDescent="0.25">
      <c r="A3203" s="1486">
        <f t="shared" si="464"/>
        <v>3</v>
      </c>
      <c r="B3203" s="1491" t="str">
        <f t="shared" si="464"/>
        <v xml:space="preserve">Upgradation of existing DM water system along with supply, erection &amp; Commissioning of PLC panel, Instrumentation, CPVC Pipes &amp; fittings, installed at WTP–500MW, CSTPS, Chandrapur.
</v>
      </c>
      <c r="C3203" s="1488">
        <f t="shared" si="464"/>
        <v>0</v>
      </c>
      <c r="D3203" s="1413" t="str">
        <f t="shared" si="464"/>
        <v>-</v>
      </c>
      <c r="E3203" s="560">
        <f t="shared" si="464"/>
        <v>56</v>
      </c>
      <c r="F3203" s="1508">
        <f t="shared" si="465"/>
        <v>0</v>
      </c>
      <c r="G3203" s="1508">
        <f t="shared" si="466"/>
        <v>0</v>
      </c>
      <c r="H3203" s="1508">
        <f t="shared" si="458"/>
        <v>0</v>
      </c>
      <c r="I3203" s="1480">
        <v>0</v>
      </c>
      <c r="J3203" s="1480">
        <v>0</v>
      </c>
      <c r="K3203" s="1508"/>
      <c r="L3203" s="1508"/>
      <c r="M3203" s="1509">
        <f t="shared" si="459"/>
        <v>0</v>
      </c>
      <c r="N3203" s="1508">
        <f t="shared" si="460"/>
        <v>0</v>
      </c>
    </row>
    <row r="3204" spans="1:14" ht="77.5" outlineLevel="1" x14ac:dyDescent="0.25">
      <c r="A3204" s="1492">
        <f t="shared" si="464"/>
        <v>0</v>
      </c>
      <c r="B3204" s="1492" t="str">
        <f t="shared" si="464"/>
        <v xml:space="preserve">Upgradation of existing DM water system along with supply, erection &amp; Commissioning of PLC panel, Instrumentation, CPVC Pipes &amp; fittings, installed at WTP–500MW, CSTPS, Chandrapur.
</v>
      </c>
      <c r="C3204" s="1488">
        <f t="shared" si="464"/>
        <v>0</v>
      </c>
      <c r="D3204" s="1413" t="str">
        <f t="shared" si="464"/>
        <v>-</v>
      </c>
      <c r="E3204" s="560">
        <f t="shared" si="464"/>
        <v>56</v>
      </c>
      <c r="F3204" s="1508">
        <f t="shared" si="465"/>
        <v>28</v>
      </c>
      <c r="G3204" s="1508">
        <f t="shared" si="466"/>
        <v>28</v>
      </c>
      <c r="H3204" s="1508">
        <f t="shared" si="458"/>
        <v>0</v>
      </c>
      <c r="I3204" s="1480">
        <v>28</v>
      </c>
      <c r="J3204" s="1480">
        <v>28</v>
      </c>
      <c r="K3204" s="1508"/>
      <c r="L3204" s="1508"/>
      <c r="M3204" s="1509">
        <f t="shared" si="459"/>
        <v>28</v>
      </c>
      <c r="N3204" s="1508">
        <f t="shared" si="460"/>
        <v>0</v>
      </c>
    </row>
    <row r="3205" spans="1:14" ht="31" outlineLevel="1" x14ac:dyDescent="0.25">
      <c r="A3205" s="1486">
        <f t="shared" si="464"/>
        <v>4</v>
      </c>
      <c r="B3205" s="1491" t="str">
        <f t="shared" si="464"/>
        <v>Various work for renovation &amp; improvement of ash disposal pipeline system of Unit # 5 &amp; 6 at  CSTPS, Chandrapur.</v>
      </c>
      <c r="C3205" s="1488">
        <f t="shared" si="464"/>
        <v>0</v>
      </c>
      <c r="D3205" s="1413" t="str">
        <f t="shared" si="464"/>
        <v>-</v>
      </c>
      <c r="E3205" s="560">
        <f t="shared" si="464"/>
        <v>58.37</v>
      </c>
      <c r="F3205" s="1508">
        <f t="shared" si="465"/>
        <v>0</v>
      </c>
      <c r="G3205" s="1508">
        <f t="shared" si="466"/>
        <v>0</v>
      </c>
      <c r="H3205" s="1508">
        <f t="shared" si="458"/>
        <v>0</v>
      </c>
      <c r="I3205" s="1480">
        <v>0</v>
      </c>
      <c r="J3205" s="1480">
        <v>0</v>
      </c>
      <c r="K3205" s="1508"/>
      <c r="L3205" s="1508"/>
      <c r="M3205" s="1509">
        <f t="shared" si="459"/>
        <v>0</v>
      </c>
      <c r="N3205" s="1508">
        <f t="shared" si="460"/>
        <v>0</v>
      </c>
    </row>
    <row r="3206" spans="1:14" ht="31" outlineLevel="1" x14ac:dyDescent="0.25">
      <c r="A3206" s="1492">
        <f t="shared" si="464"/>
        <v>0</v>
      </c>
      <c r="B3206" s="1492" t="str">
        <f t="shared" si="464"/>
        <v>Supply, Erection &amp; commissioning of third 400 NB ash slurry disposal pipeline for Unit #5 at CSTPS, Chandrapur</v>
      </c>
      <c r="C3206" s="1488">
        <f t="shared" si="464"/>
        <v>0</v>
      </c>
      <c r="D3206" s="1413" t="str">
        <f t="shared" si="464"/>
        <v>-</v>
      </c>
      <c r="E3206" s="560">
        <f t="shared" si="464"/>
        <v>20.190000000000001</v>
      </c>
      <c r="F3206" s="1508">
        <f t="shared" si="465"/>
        <v>20.190000000000001</v>
      </c>
      <c r="G3206" s="1508">
        <f t="shared" si="466"/>
        <v>20.190000000000001</v>
      </c>
      <c r="H3206" s="1508">
        <f t="shared" si="458"/>
        <v>0</v>
      </c>
      <c r="I3206" s="1480">
        <v>0</v>
      </c>
      <c r="J3206" s="1480">
        <v>0</v>
      </c>
      <c r="K3206" s="1508"/>
      <c r="L3206" s="1508"/>
      <c r="M3206" s="1509">
        <f t="shared" si="459"/>
        <v>0</v>
      </c>
      <c r="N3206" s="1508">
        <f t="shared" si="460"/>
        <v>0</v>
      </c>
    </row>
    <row r="3207" spans="1:14" ht="46.5" outlineLevel="1" x14ac:dyDescent="0.25">
      <c r="A3207" s="1492">
        <f t="shared" si="464"/>
        <v>0</v>
      </c>
      <c r="B3207" s="1492" t="str">
        <f t="shared" si="464"/>
        <v>Supply, Erection, Replacement of 400 NB MSERW pipes of existing Ash disposal pipelines of Unit # 5 &amp; 6 in ‘B’ &amp; ‘C’ zone at CSTPS, Chandrapur.</v>
      </c>
      <c r="C3207" s="1488">
        <f t="shared" si="464"/>
        <v>0</v>
      </c>
      <c r="D3207" s="1413" t="str">
        <f t="shared" si="464"/>
        <v>-</v>
      </c>
      <c r="E3207" s="560">
        <f t="shared" si="464"/>
        <v>38.18</v>
      </c>
      <c r="F3207" s="1508">
        <f t="shared" si="465"/>
        <v>18.809999999999999</v>
      </c>
      <c r="G3207" s="1508">
        <f t="shared" si="466"/>
        <v>18.809999999999999</v>
      </c>
      <c r="H3207" s="1508">
        <f t="shared" si="458"/>
        <v>0</v>
      </c>
      <c r="I3207" s="1480">
        <v>19.37</v>
      </c>
      <c r="J3207" s="1480">
        <v>19.37</v>
      </c>
      <c r="K3207" s="1508"/>
      <c r="L3207" s="1508"/>
      <c r="M3207" s="1509">
        <f t="shared" si="459"/>
        <v>19.37</v>
      </c>
      <c r="N3207" s="1508">
        <f t="shared" si="460"/>
        <v>0</v>
      </c>
    </row>
    <row r="3208" spans="1:14" ht="46.5" outlineLevel="1" x14ac:dyDescent="0.25">
      <c r="A3208" s="1486">
        <f t="shared" si="464"/>
        <v>5</v>
      </c>
      <c r="B3208" s="1491" t="str">
        <f t="shared" si="464"/>
        <v>Design, engineering, supply, installation and commissioning of disposal of bottom ash in under ground mines at Chandrapur area WCL at CSTPS, Chandrapur</v>
      </c>
      <c r="C3208" s="1488">
        <f t="shared" si="464"/>
        <v>0</v>
      </c>
      <c r="D3208" s="1413" t="str">
        <f t="shared" si="464"/>
        <v>-</v>
      </c>
      <c r="E3208" s="560">
        <f t="shared" si="464"/>
        <v>27.55</v>
      </c>
      <c r="F3208" s="1508">
        <f t="shared" si="465"/>
        <v>0</v>
      </c>
      <c r="G3208" s="1508">
        <f t="shared" si="466"/>
        <v>0</v>
      </c>
      <c r="H3208" s="1508">
        <f t="shared" si="458"/>
        <v>0</v>
      </c>
      <c r="I3208" s="1480">
        <v>0</v>
      </c>
      <c r="J3208" s="1480">
        <v>0</v>
      </c>
      <c r="K3208" s="1508"/>
      <c r="L3208" s="1508"/>
      <c r="M3208" s="1509">
        <f t="shared" si="459"/>
        <v>0</v>
      </c>
      <c r="N3208" s="1508">
        <f t="shared" si="460"/>
        <v>0</v>
      </c>
    </row>
    <row r="3209" spans="1:14" ht="46.5" outlineLevel="1" x14ac:dyDescent="0.25">
      <c r="A3209" s="1492">
        <f t="shared" si="464"/>
        <v>0</v>
      </c>
      <c r="B3209" s="1492" t="str">
        <f t="shared" si="464"/>
        <v>Design, engineering, supply, installation and commissioning of disposal of bottom ash in under ground mines at Chandrapur area WCL at CSTPS, Chandrapur</v>
      </c>
      <c r="C3209" s="1488">
        <f t="shared" si="464"/>
        <v>0</v>
      </c>
      <c r="D3209" s="1413" t="str">
        <f t="shared" si="464"/>
        <v>-</v>
      </c>
      <c r="E3209" s="560">
        <f t="shared" si="464"/>
        <v>27.55</v>
      </c>
      <c r="F3209" s="1508">
        <f t="shared" si="465"/>
        <v>17.55</v>
      </c>
      <c r="G3209" s="1508">
        <f t="shared" si="466"/>
        <v>17.55</v>
      </c>
      <c r="H3209" s="1508">
        <f t="shared" si="458"/>
        <v>0</v>
      </c>
      <c r="I3209" s="1480">
        <v>10</v>
      </c>
      <c r="J3209" s="1480">
        <v>10</v>
      </c>
      <c r="K3209" s="1508"/>
      <c r="L3209" s="1508"/>
      <c r="M3209" s="1509">
        <f t="shared" si="459"/>
        <v>10</v>
      </c>
      <c r="N3209" s="1508">
        <f t="shared" si="460"/>
        <v>0</v>
      </c>
    </row>
    <row r="3210" spans="1:14" ht="31" outlineLevel="1" x14ac:dyDescent="0.25">
      <c r="A3210" s="1486">
        <f t="shared" si="464"/>
        <v>6</v>
      </c>
      <c r="B3210" s="1491" t="str">
        <f t="shared" si="464"/>
        <v>Supply and replacement of 400 NB MSERW pipe lines of ash disposal system in Ash Handling Plant at CSTPS, Chandrapur.</v>
      </c>
      <c r="C3210" s="1488">
        <f t="shared" si="464"/>
        <v>0</v>
      </c>
      <c r="D3210" s="1413" t="str">
        <f t="shared" si="464"/>
        <v>-</v>
      </c>
      <c r="E3210" s="560">
        <f t="shared" si="464"/>
        <v>81.06</v>
      </c>
      <c r="F3210" s="1508">
        <f t="shared" si="465"/>
        <v>0</v>
      </c>
      <c r="G3210" s="1508">
        <f t="shared" si="466"/>
        <v>0</v>
      </c>
      <c r="H3210" s="1508">
        <f t="shared" si="458"/>
        <v>0</v>
      </c>
      <c r="I3210" s="1480">
        <v>0</v>
      </c>
      <c r="J3210" s="1480">
        <v>0</v>
      </c>
      <c r="K3210" s="1508"/>
      <c r="L3210" s="1508"/>
      <c r="M3210" s="1509">
        <f t="shared" si="459"/>
        <v>0</v>
      </c>
      <c r="N3210" s="1508">
        <f t="shared" si="460"/>
        <v>0</v>
      </c>
    </row>
    <row r="3211" spans="1:14" ht="46.5" outlineLevel="1" x14ac:dyDescent="0.25">
      <c r="A3211" s="1492">
        <f t="shared" si="464"/>
        <v>0</v>
      </c>
      <c r="B3211" s="1492" t="str">
        <f t="shared" si="464"/>
        <v>Procurement and replacement of 400 NB MSERW pipe lines of ash disposal system in Ash Handling Plant at CSTPS, Chandrapur.</v>
      </c>
      <c r="C3211" s="1488">
        <f t="shared" si="464"/>
        <v>0</v>
      </c>
      <c r="D3211" s="1413" t="str">
        <f t="shared" si="464"/>
        <v>-</v>
      </c>
      <c r="E3211" s="560">
        <f t="shared" si="464"/>
        <v>81.06</v>
      </c>
      <c r="F3211" s="1508">
        <f t="shared" si="465"/>
        <v>0</v>
      </c>
      <c r="G3211" s="1508">
        <f t="shared" si="466"/>
        <v>0</v>
      </c>
      <c r="H3211" s="1508">
        <f t="shared" si="458"/>
        <v>0</v>
      </c>
      <c r="I3211" s="1480">
        <v>18.809999999999999</v>
      </c>
      <c r="J3211" s="1480">
        <v>18.809999999999999</v>
      </c>
      <c r="K3211" s="1508"/>
      <c r="L3211" s="1508"/>
      <c r="M3211" s="1509">
        <f t="shared" si="459"/>
        <v>18.809999999999999</v>
      </c>
      <c r="N3211" s="1508">
        <f t="shared" si="460"/>
        <v>0</v>
      </c>
    </row>
    <row r="3212" spans="1:14" ht="15.5" outlineLevel="1" x14ac:dyDescent="0.25">
      <c r="A3212" s="1504">
        <f t="shared" si="464"/>
        <v>0</v>
      </c>
      <c r="B3212" s="1504" t="str">
        <f t="shared" si="464"/>
        <v>WTP-II</v>
      </c>
      <c r="C3212" s="1488">
        <f t="shared" si="464"/>
        <v>0</v>
      </c>
      <c r="D3212" s="1413" t="str">
        <f t="shared" si="464"/>
        <v>-</v>
      </c>
      <c r="E3212" s="560">
        <f t="shared" si="464"/>
        <v>0</v>
      </c>
      <c r="F3212" s="1508">
        <f t="shared" si="465"/>
        <v>0</v>
      </c>
      <c r="G3212" s="1508">
        <f t="shared" si="466"/>
        <v>0</v>
      </c>
      <c r="H3212" s="1508">
        <f t="shared" si="458"/>
        <v>0</v>
      </c>
      <c r="I3212" s="1480">
        <v>0</v>
      </c>
      <c r="J3212" s="1480">
        <v>0</v>
      </c>
      <c r="K3212" s="1508"/>
      <c r="L3212" s="1508"/>
      <c r="M3212" s="1509">
        <f t="shared" si="459"/>
        <v>0</v>
      </c>
      <c r="N3212" s="1508">
        <f t="shared" si="460"/>
        <v>0</v>
      </c>
    </row>
    <row r="3213" spans="1:14" ht="31" outlineLevel="1" x14ac:dyDescent="0.25">
      <c r="A3213" s="1486">
        <f t="shared" si="464"/>
        <v>1</v>
      </c>
      <c r="B3213" s="1491" t="str">
        <f t="shared" si="464"/>
        <v xml:space="preserve">SWAS system &amp; STREAM FILTRATION FOR COOLING WATER SYSTEM </v>
      </c>
      <c r="C3213" s="1488">
        <f t="shared" si="464"/>
        <v>0</v>
      </c>
      <c r="D3213" s="1413" t="str">
        <f t="shared" si="464"/>
        <v>-</v>
      </c>
      <c r="E3213" s="560">
        <f t="shared" si="464"/>
        <v>95.65</v>
      </c>
      <c r="F3213" s="1508">
        <f t="shared" si="465"/>
        <v>0</v>
      </c>
      <c r="G3213" s="1508">
        <f t="shared" si="466"/>
        <v>0</v>
      </c>
      <c r="H3213" s="1508">
        <f t="shared" si="458"/>
        <v>0</v>
      </c>
      <c r="I3213" s="1480">
        <v>0</v>
      </c>
      <c r="J3213" s="1480">
        <v>0</v>
      </c>
      <c r="K3213" s="1508"/>
      <c r="L3213" s="1508"/>
      <c r="M3213" s="1509">
        <f t="shared" si="459"/>
        <v>0</v>
      </c>
      <c r="N3213" s="1508">
        <f t="shared" si="460"/>
        <v>0</v>
      </c>
    </row>
    <row r="3214" spans="1:14" ht="31" outlineLevel="1" x14ac:dyDescent="0.25">
      <c r="A3214" s="1492">
        <f t="shared" si="464"/>
        <v>0</v>
      </c>
      <c r="B3214" s="1492" t="str">
        <f t="shared" si="464"/>
        <v>Revamping of SWAS system at 3 x 500 MW at WTP-II of CSTPS, Chandrapur</v>
      </c>
      <c r="C3214" s="1488">
        <f t="shared" si="464"/>
        <v>0</v>
      </c>
      <c r="D3214" s="1413" t="str">
        <f t="shared" si="464"/>
        <v>-</v>
      </c>
      <c r="E3214" s="560">
        <f t="shared" si="464"/>
        <v>16</v>
      </c>
      <c r="F3214" s="1508">
        <f t="shared" si="465"/>
        <v>0</v>
      </c>
      <c r="G3214" s="1508">
        <f t="shared" si="466"/>
        <v>0</v>
      </c>
      <c r="H3214" s="1508">
        <f t="shared" si="458"/>
        <v>0</v>
      </c>
      <c r="I3214" s="1480">
        <v>0</v>
      </c>
      <c r="J3214" s="1480">
        <v>0</v>
      </c>
      <c r="K3214" s="1508"/>
      <c r="L3214" s="1508"/>
      <c r="M3214" s="1509">
        <f t="shared" si="459"/>
        <v>0</v>
      </c>
      <c r="N3214" s="1508">
        <f t="shared" si="460"/>
        <v>0</v>
      </c>
    </row>
    <row r="3215" spans="1:14" ht="31" outlineLevel="1" x14ac:dyDescent="0.25">
      <c r="A3215" s="1492">
        <f t="shared" si="464"/>
        <v>0</v>
      </c>
      <c r="B3215" s="1492" t="str">
        <f t="shared" si="464"/>
        <v>STREAM FILTRATION FOR COOLING WATER SYSTEM OF UNIT 5,6,7,8 and 9 OF CSTPS CHANDRAPUR</v>
      </c>
      <c r="C3215" s="1488">
        <f t="shared" si="464"/>
        <v>0</v>
      </c>
      <c r="D3215" s="1413" t="str">
        <f t="shared" si="464"/>
        <v>-</v>
      </c>
      <c r="E3215" s="560">
        <f t="shared" si="464"/>
        <v>85.529939999999996</v>
      </c>
      <c r="F3215" s="1508">
        <f t="shared" si="465"/>
        <v>0</v>
      </c>
      <c r="G3215" s="1508">
        <f t="shared" si="466"/>
        <v>0</v>
      </c>
      <c r="H3215" s="1508">
        <f t="shared" si="458"/>
        <v>0</v>
      </c>
      <c r="I3215" s="1480">
        <v>0</v>
      </c>
      <c r="J3215" s="1480">
        <v>0</v>
      </c>
      <c r="K3215" s="1508"/>
      <c r="L3215" s="1508"/>
      <c r="M3215" s="1509">
        <f t="shared" si="459"/>
        <v>0</v>
      </c>
      <c r="N3215" s="1508">
        <f t="shared" si="460"/>
        <v>0</v>
      </c>
    </row>
    <row r="3216" spans="1:14" ht="15.5" outlineLevel="1" x14ac:dyDescent="0.25">
      <c r="A3216" s="1504">
        <f t="shared" si="464"/>
        <v>0</v>
      </c>
      <c r="B3216" s="1504" t="str">
        <f t="shared" si="464"/>
        <v>CHP-B</v>
      </c>
      <c r="C3216" s="1488">
        <f t="shared" si="464"/>
        <v>0</v>
      </c>
      <c r="D3216" s="1413" t="str">
        <f t="shared" si="464"/>
        <v>-</v>
      </c>
      <c r="E3216" s="560">
        <f t="shared" si="464"/>
        <v>0</v>
      </c>
      <c r="F3216" s="1508">
        <f t="shared" si="465"/>
        <v>0</v>
      </c>
      <c r="G3216" s="1508">
        <f t="shared" si="466"/>
        <v>0</v>
      </c>
      <c r="H3216" s="1508">
        <f t="shared" ref="H3216:H3279" si="467">F3216-G3216</f>
        <v>0</v>
      </c>
      <c r="I3216" s="1480">
        <v>0</v>
      </c>
      <c r="J3216" s="1480">
        <v>0</v>
      </c>
      <c r="K3216" s="1508"/>
      <c r="L3216" s="1508"/>
      <c r="M3216" s="1509">
        <f t="shared" ref="M3216:M3279" si="468">SUM(J3216:L3216)</f>
        <v>0</v>
      </c>
      <c r="N3216" s="1508">
        <f t="shared" ref="N3216:N3279" si="469">H3216+I3216-M3216</f>
        <v>0</v>
      </c>
    </row>
    <row r="3217" spans="1:14" ht="46.5" outlineLevel="1" x14ac:dyDescent="0.25">
      <c r="A3217" s="1486">
        <f t="shared" si="464"/>
        <v>1</v>
      </c>
      <c r="B3217" s="1491" t="str">
        <f t="shared" si="464"/>
        <v xml:space="preserve">Renovation of Bunker Hopper of Unit 5&amp;6 along with coal flow system &amp;  Design, Engineering, Manufacturing, Fabrication, Erection and commissioning of Modified Wobbler Feeder at CHPC </v>
      </c>
      <c r="C3217" s="1488">
        <f t="shared" si="464"/>
        <v>0</v>
      </c>
      <c r="D3217" s="1413" t="str">
        <f t="shared" si="464"/>
        <v>-</v>
      </c>
      <c r="E3217" s="560">
        <f t="shared" si="464"/>
        <v>38</v>
      </c>
      <c r="F3217" s="1508">
        <f t="shared" si="465"/>
        <v>0</v>
      </c>
      <c r="G3217" s="1508">
        <f t="shared" si="466"/>
        <v>0</v>
      </c>
      <c r="H3217" s="1508">
        <f t="shared" si="467"/>
        <v>0</v>
      </c>
      <c r="I3217" s="1480">
        <v>0</v>
      </c>
      <c r="J3217" s="1480">
        <v>0</v>
      </c>
      <c r="K3217" s="1508"/>
      <c r="L3217" s="1508"/>
      <c r="M3217" s="1509">
        <f t="shared" si="468"/>
        <v>0</v>
      </c>
      <c r="N3217" s="1508">
        <f t="shared" si="469"/>
        <v>0</v>
      </c>
    </row>
    <row r="3218" spans="1:14" ht="46.5" outlineLevel="1" x14ac:dyDescent="0.25">
      <c r="A3218" s="1492">
        <f t="shared" ref="A3218:E3233" si="470">A2548</f>
        <v>0</v>
      </c>
      <c r="B3218" s="1492" t="str">
        <f t="shared" si="470"/>
        <v>Scheme-1 Work of Modification,Upgradation &amp; renovation of Bunker Hopper of Unit 5&amp;6 along with coal flow system at CSTPS Chandrapur</v>
      </c>
      <c r="C3218" s="1488">
        <f t="shared" si="470"/>
        <v>0</v>
      </c>
      <c r="D3218" s="1413" t="str">
        <f t="shared" si="470"/>
        <v>-</v>
      </c>
      <c r="E3218" s="560">
        <f t="shared" si="470"/>
        <v>16</v>
      </c>
      <c r="F3218" s="1508">
        <f t="shared" si="465"/>
        <v>16</v>
      </c>
      <c r="G3218" s="1508">
        <f t="shared" si="466"/>
        <v>16</v>
      </c>
      <c r="H3218" s="1508">
        <f t="shared" si="467"/>
        <v>0</v>
      </c>
      <c r="I3218" s="1480">
        <v>0</v>
      </c>
      <c r="J3218" s="1480">
        <v>0</v>
      </c>
      <c r="K3218" s="1508"/>
      <c r="L3218" s="1508"/>
      <c r="M3218" s="1509">
        <f t="shared" si="468"/>
        <v>0</v>
      </c>
      <c r="N3218" s="1508">
        <f t="shared" si="469"/>
        <v>0</v>
      </c>
    </row>
    <row r="3219" spans="1:14" ht="31" outlineLevel="1" x14ac:dyDescent="0.25">
      <c r="A3219" s="1492">
        <f t="shared" si="470"/>
        <v>0</v>
      </c>
      <c r="B3219" s="1492" t="str">
        <f t="shared" si="470"/>
        <v>Scheme-2 :- Renovation &amp; up gradation of conveyor gantries &amp; Travelling Tripper of CHPB.</v>
      </c>
      <c r="C3219" s="1488">
        <f t="shared" si="470"/>
        <v>0</v>
      </c>
      <c r="D3219" s="1413" t="str">
        <f t="shared" si="470"/>
        <v>-</v>
      </c>
      <c r="E3219" s="560">
        <f t="shared" si="470"/>
        <v>7</v>
      </c>
      <c r="F3219" s="1508">
        <f t="shared" si="465"/>
        <v>7</v>
      </c>
      <c r="G3219" s="1508">
        <f t="shared" si="466"/>
        <v>7</v>
      </c>
      <c r="H3219" s="1508">
        <f t="shared" si="467"/>
        <v>0</v>
      </c>
      <c r="I3219" s="1480">
        <v>0</v>
      </c>
      <c r="J3219" s="1480">
        <v>0</v>
      </c>
      <c r="K3219" s="1508"/>
      <c r="L3219" s="1508"/>
      <c r="M3219" s="1509">
        <f t="shared" si="468"/>
        <v>0</v>
      </c>
      <c r="N3219" s="1508">
        <f t="shared" si="469"/>
        <v>0</v>
      </c>
    </row>
    <row r="3220" spans="1:14" ht="46.5" outlineLevel="1" x14ac:dyDescent="0.25">
      <c r="A3220" s="1492">
        <f t="shared" si="470"/>
        <v>0</v>
      </c>
      <c r="B3220" s="1492" t="str">
        <f t="shared" si="470"/>
        <v>Scheme-3 :- Design, Engineering, Manufacturing, Fabrication, Erection and commissioning of Modified Wobbler Feeder at CHPC of Unit 6&amp;7 of CSTPS Chandrapur</v>
      </c>
      <c r="C3220" s="1488">
        <f t="shared" si="470"/>
        <v>0</v>
      </c>
      <c r="D3220" s="1413" t="str">
        <f t="shared" si="470"/>
        <v>-</v>
      </c>
      <c r="E3220" s="560">
        <f t="shared" si="470"/>
        <v>5</v>
      </c>
      <c r="F3220" s="1508">
        <f t="shared" si="465"/>
        <v>5</v>
      </c>
      <c r="G3220" s="1508">
        <f t="shared" si="466"/>
        <v>5</v>
      </c>
      <c r="H3220" s="1508">
        <f t="shared" si="467"/>
        <v>0</v>
      </c>
      <c r="I3220" s="1480">
        <v>0</v>
      </c>
      <c r="J3220" s="1480">
        <v>0</v>
      </c>
      <c r="K3220" s="1508"/>
      <c r="L3220" s="1508"/>
      <c r="M3220" s="1509">
        <f t="shared" si="468"/>
        <v>0</v>
      </c>
      <c r="N3220" s="1508">
        <f t="shared" si="469"/>
        <v>0</v>
      </c>
    </row>
    <row r="3221" spans="1:14" ht="31" outlineLevel="1" x14ac:dyDescent="0.25">
      <c r="A3221" s="1486">
        <f t="shared" si="470"/>
        <v>2</v>
      </c>
      <c r="B3221" s="1491" t="str">
        <f t="shared" si="470"/>
        <v xml:space="preserve">installation &amp; commissioning of various LV and MV drives at CHPA &amp; Automation of Control Room of CHPA/B </v>
      </c>
      <c r="C3221" s="1488">
        <f t="shared" si="470"/>
        <v>0</v>
      </c>
      <c r="D3221" s="1413" t="str">
        <f t="shared" si="470"/>
        <v>-</v>
      </c>
      <c r="E3221" s="560">
        <f t="shared" si="470"/>
        <v>75</v>
      </c>
      <c r="F3221" s="1508">
        <f t="shared" si="465"/>
        <v>0</v>
      </c>
      <c r="G3221" s="1508">
        <f t="shared" si="466"/>
        <v>0</v>
      </c>
      <c r="H3221" s="1508">
        <f t="shared" si="467"/>
        <v>0</v>
      </c>
      <c r="I3221" s="1480">
        <v>0</v>
      </c>
      <c r="J3221" s="1480">
        <v>0</v>
      </c>
      <c r="K3221" s="1508"/>
      <c r="L3221" s="1508"/>
      <c r="M3221" s="1509">
        <f t="shared" si="468"/>
        <v>0</v>
      </c>
      <c r="N3221" s="1508">
        <f t="shared" si="469"/>
        <v>0</v>
      </c>
    </row>
    <row r="3222" spans="1:14" ht="31" outlineLevel="1" x14ac:dyDescent="0.25">
      <c r="A3222" s="1492">
        <f t="shared" si="470"/>
        <v>0</v>
      </c>
      <c r="B3222" s="1492" t="str">
        <f t="shared" si="470"/>
        <v>Scheme-1 Design, Engineering, supply, installation &amp; commissioning of various LV and MV drives at CHPA</v>
      </c>
      <c r="C3222" s="1488">
        <f t="shared" si="470"/>
        <v>0</v>
      </c>
      <c r="D3222" s="1413" t="str">
        <f t="shared" si="470"/>
        <v>-</v>
      </c>
      <c r="E3222" s="560">
        <f t="shared" si="470"/>
        <v>39</v>
      </c>
      <c r="F3222" s="1508">
        <f t="shared" si="465"/>
        <v>39</v>
      </c>
      <c r="G3222" s="1508">
        <f t="shared" si="466"/>
        <v>39</v>
      </c>
      <c r="H3222" s="1508">
        <f t="shared" si="467"/>
        <v>0</v>
      </c>
      <c r="I3222" s="1480">
        <v>0</v>
      </c>
      <c r="J3222" s="1480">
        <v>0</v>
      </c>
      <c r="K3222" s="1508"/>
      <c r="L3222" s="1508"/>
      <c r="M3222" s="1509">
        <f t="shared" si="468"/>
        <v>0</v>
      </c>
      <c r="N3222" s="1508">
        <f t="shared" si="469"/>
        <v>0</v>
      </c>
    </row>
    <row r="3223" spans="1:14" ht="15.5" outlineLevel="1" x14ac:dyDescent="0.25">
      <c r="A3223" s="1492">
        <f t="shared" si="470"/>
        <v>0</v>
      </c>
      <c r="B3223" s="1492" t="str">
        <f t="shared" si="470"/>
        <v xml:space="preserve">Scheme-2 Automation of Control Room of CHPA/B </v>
      </c>
      <c r="C3223" s="1488">
        <f t="shared" si="470"/>
        <v>0</v>
      </c>
      <c r="D3223" s="1413" t="str">
        <f t="shared" si="470"/>
        <v>-</v>
      </c>
      <c r="E3223" s="560">
        <f t="shared" si="470"/>
        <v>15</v>
      </c>
      <c r="F3223" s="1508">
        <f t="shared" si="465"/>
        <v>15</v>
      </c>
      <c r="G3223" s="1508">
        <f t="shared" si="466"/>
        <v>15</v>
      </c>
      <c r="H3223" s="1508">
        <f t="shared" si="467"/>
        <v>0</v>
      </c>
      <c r="I3223" s="1480">
        <v>0</v>
      </c>
      <c r="J3223" s="1480">
        <v>0</v>
      </c>
      <c r="K3223" s="1508"/>
      <c r="L3223" s="1508"/>
      <c r="M3223" s="1509">
        <f t="shared" si="468"/>
        <v>0</v>
      </c>
      <c r="N3223" s="1508">
        <f t="shared" si="469"/>
        <v>0</v>
      </c>
    </row>
    <row r="3224" spans="1:14" ht="31" outlineLevel="1" x14ac:dyDescent="0.25">
      <c r="A3224" s="1492">
        <f t="shared" si="470"/>
        <v>0</v>
      </c>
      <c r="B3224" s="1492" t="str">
        <f t="shared" si="470"/>
        <v>Scheme-3 Design, Engineering, supply, installation &amp; commissioning of various MV VFD for Crusher 1,2,3&amp;4 at CHPB</v>
      </c>
      <c r="C3224" s="1488">
        <f t="shared" si="470"/>
        <v>0</v>
      </c>
      <c r="D3224" s="1413" t="str">
        <f t="shared" si="470"/>
        <v>-</v>
      </c>
      <c r="E3224" s="560">
        <f t="shared" si="470"/>
        <v>11</v>
      </c>
      <c r="F3224" s="1508">
        <f t="shared" si="465"/>
        <v>11</v>
      </c>
      <c r="G3224" s="1508">
        <f t="shared" si="466"/>
        <v>11</v>
      </c>
      <c r="H3224" s="1508">
        <f t="shared" si="467"/>
        <v>0</v>
      </c>
      <c r="I3224" s="1480">
        <v>0</v>
      </c>
      <c r="J3224" s="1480">
        <v>0</v>
      </c>
      <c r="K3224" s="1508"/>
      <c r="L3224" s="1508"/>
      <c r="M3224" s="1509">
        <f t="shared" si="468"/>
        <v>0</v>
      </c>
      <c r="N3224" s="1508">
        <f t="shared" si="469"/>
        <v>0</v>
      </c>
    </row>
    <row r="3225" spans="1:14" ht="31" outlineLevel="1" x14ac:dyDescent="0.25">
      <c r="A3225" s="1492">
        <f t="shared" si="470"/>
        <v>0</v>
      </c>
      <c r="B3225" s="1492" t="str">
        <f t="shared" si="470"/>
        <v>Scheme-4:- Renovation modernization of 11 KV PMCC Board at Sub-Station-2 of CHPB</v>
      </c>
      <c r="C3225" s="1488">
        <f t="shared" si="470"/>
        <v>0</v>
      </c>
      <c r="D3225" s="1413" t="str">
        <f t="shared" si="470"/>
        <v>-</v>
      </c>
      <c r="E3225" s="560">
        <f t="shared" si="470"/>
        <v>10</v>
      </c>
      <c r="F3225" s="1508">
        <f t="shared" si="465"/>
        <v>10</v>
      </c>
      <c r="G3225" s="1508">
        <f t="shared" si="466"/>
        <v>10</v>
      </c>
      <c r="H3225" s="1508">
        <f t="shared" si="467"/>
        <v>0</v>
      </c>
      <c r="I3225" s="1480">
        <v>0</v>
      </c>
      <c r="J3225" s="1480">
        <v>0</v>
      </c>
      <c r="K3225" s="1508"/>
      <c r="L3225" s="1508"/>
      <c r="M3225" s="1509">
        <f t="shared" si="468"/>
        <v>0</v>
      </c>
      <c r="N3225" s="1508">
        <f t="shared" si="469"/>
        <v>0</v>
      </c>
    </row>
    <row r="3226" spans="1:14" ht="46.5" outlineLevel="1" x14ac:dyDescent="0.25">
      <c r="A3226" s="1486">
        <f t="shared" si="470"/>
        <v>3</v>
      </c>
      <c r="B3226" s="1491" t="str">
        <f t="shared" si="470"/>
        <v>Renovation &amp; Upgrdation of Bunker lift &amp; Desgin, Engineering, supply, installation &amp; commissioning of Energy chain system at various locations of CHPB &amp; CHPC</v>
      </c>
      <c r="C3226" s="1488">
        <f t="shared" si="470"/>
        <v>0</v>
      </c>
      <c r="D3226" s="1413" t="str">
        <f t="shared" si="470"/>
        <v>-</v>
      </c>
      <c r="E3226" s="560">
        <f t="shared" si="470"/>
        <v>29</v>
      </c>
      <c r="F3226" s="1508">
        <f t="shared" si="465"/>
        <v>0</v>
      </c>
      <c r="G3226" s="1508">
        <f t="shared" si="466"/>
        <v>0</v>
      </c>
      <c r="H3226" s="1508">
        <f t="shared" si="467"/>
        <v>0</v>
      </c>
      <c r="I3226" s="1480">
        <v>0</v>
      </c>
      <c r="J3226" s="1480">
        <v>0</v>
      </c>
      <c r="K3226" s="1508"/>
      <c r="L3226" s="1508"/>
      <c r="M3226" s="1509">
        <f t="shared" si="468"/>
        <v>0</v>
      </c>
      <c r="N3226" s="1508">
        <f t="shared" si="469"/>
        <v>0</v>
      </c>
    </row>
    <row r="3227" spans="1:14" ht="31" outlineLevel="1" x14ac:dyDescent="0.25">
      <c r="A3227" s="1492">
        <f t="shared" si="470"/>
        <v>0</v>
      </c>
      <c r="B3227" s="1492" t="str">
        <f t="shared" si="470"/>
        <v>Scheme-1: Renovation &amp; Upgrdation of Bunker lift of Unit 5,6&amp;7 of CHPB</v>
      </c>
      <c r="C3227" s="1488">
        <f t="shared" si="470"/>
        <v>0</v>
      </c>
      <c r="D3227" s="1413" t="str">
        <f t="shared" si="470"/>
        <v>-</v>
      </c>
      <c r="E3227" s="560">
        <f t="shared" si="470"/>
        <v>9</v>
      </c>
      <c r="F3227" s="1508">
        <f t="shared" si="465"/>
        <v>9</v>
      </c>
      <c r="G3227" s="1508">
        <f t="shared" si="466"/>
        <v>9</v>
      </c>
      <c r="H3227" s="1508">
        <f t="shared" si="467"/>
        <v>0</v>
      </c>
      <c r="I3227" s="1480">
        <v>0</v>
      </c>
      <c r="J3227" s="1480">
        <v>0</v>
      </c>
      <c r="K3227" s="1508"/>
      <c r="L3227" s="1508"/>
      <c r="M3227" s="1509">
        <f t="shared" si="468"/>
        <v>0</v>
      </c>
      <c r="N3227" s="1508">
        <f t="shared" si="469"/>
        <v>0</v>
      </c>
    </row>
    <row r="3228" spans="1:14" ht="46.5" outlineLevel="1" x14ac:dyDescent="0.25">
      <c r="A3228" s="1492">
        <f t="shared" si="470"/>
        <v>0</v>
      </c>
      <c r="B3228" s="1492" t="str">
        <f t="shared" si="470"/>
        <v>Scheme-2:- Desgin, Engineering, supply, installation &amp; commissioning of Energy chain system at various locations of CHPB &amp; CHPC</v>
      </c>
      <c r="C3228" s="1488">
        <f t="shared" si="470"/>
        <v>0</v>
      </c>
      <c r="D3228" s="1413" t="str">
        <f t="shared" si="470"/>
        <v>-</v>
      </c>
      <c r="E3228" s="560">
        <f t="shared" si="470"/>
        <v>20</v>
      </c>
      <c r="F3228" s="1508">
        <f t="shared" si="465"/>
        <v>20</v>
      </c>
      <c r="G3228" s="1508">
        <f t="shared" si="466"/>
        <v>20</v>
      </c>
      <c r="H3228" s="1508">
        <f t="shared" si="467"/>
        <v>0</v>
      </c>
      <c r="I3228" s="1480">
        <v>0</v>
      </c>
      <c r="J3228" s="1480">
        <v>0</v>
      </c>
      <c r="K3228" s="1508"/>
      <c r="L3228" s="1508"/>
      <c r="M3228" s="1509">
        <f t="shared" si="468"/>
        <v>0</v>
      </c>
      <c r="N3228" s="1508">
        <f t="shared" si="469"/>
        <v>0</v>
      </c>
    </row>
    <row r="3229" spans="1:14" ht="31" outlineLevel="1" x14ac:dyDescent="0.25">
      <c r="A3229" s="1486">
        <f t="shared" si="470"/>
        <v>4</v>
      </c>
      <c r="B3229" s="1491" t="str">
        <f t="shared" si="470"/>
        <v xml:space="preserve">Upgradation of old ropeway, BC-108 A/B, installation of coal pile thermal monitoring system for stack pile of CHPA/B. </v>
      </c>
      <c r="C3229" s="1488">
        <f t="shared" si="470"/>
        <v>0</v>
      </c>
      <c r="D3229" s="1413" t="str">
        <f t="shared" si="470"/>
        <v>-</v>
      </c>
      <c r="E3229" s="560">
        <f t="shared" si="470"/>
        <v>29</v>
      </c>
      <c r="F3229" s="1508">
        <f t="shared" si="465"/>
        <v>0</v>
      </c>
      <c r="G3229" s="1508">
        <f t="shared" si="466"/>
        <v>0</v>
      </c>
      <c r="H3229" s="1508">
        <f t="shared" si="467"/>
        <v>0</v>
      </c>
      <c r="I3229" s="1480">
        <v>0</v>
      </c>
      <c r="J3229" s="1480">
        <v>0</v>
      </c>
      <c r="K3229" s="1508"/>
      <c r="L3229" s="1508"/>
      <c r="M3229" s="1509">
        <f t="shared" si="468"/>
        <v>0</v>
      </c>
      <c r="N3229" s="1508">
        <f t="shared" si="469"/>
        <v>0</v>
      </c>
    </row>
    <row r="3230" spans="1:14" ht="31" outlineLevel="1" x14ac:dyDescent="0.25">
      <c r="A3230" s="1492">
        <f t="shared" si="470"/>
        <v>0</v>
      </c>
      <c r="B3230" s="1492" t="str">
        <f t="shared" si="470"/>
        <v>Scheme-1 Work of Renovation &amp; upgradation of Ventilation system of CHPA&amp;CHPB.</v>
      </c>
      <c r="C3230" s="1488">
        <f t="shared" si="470"/>
        <v>0</v>
      </c>
      <c r="D3230" s="1413" t="str">
        <f t="shared" si="470"/>
        <v>-</v>
      </c>
      <c r="E3230" s="560">
        <f t="shared" si="470"/>
        <v>8</v>
      </c>
      <c r="F3230" s="1508">
        <f t="shared" si="465"/>
        <v>8</v>
      </c>
      <c r="G3230" s="1508">
        <f t="shared" si="466"/>
        <v>8</v>
      </c>
      <c r="H3230" s="1508">
        <f t="shared" si="467"/>
        <v>0</v>
      </c>
      <c r="I3230" s="1480">
        <v>0</v>
      </c>
      <c r="J3230" s="1480">
        <v>0</v>
      </c>
      <c r="K3230" s="1508"/>
      <c r="L3230" s="1508"/>
      <c r="M3230" s="1509">
        <f t="shared" si="468"/>
        <v>0</v>
      </c>
      <c r="N3230" s="1508">
        <f t="shared" si="469"/>
        <v>0</v>
      </c>
    </row>
    <row r="3231" spans="1:14" ht="46.5" outlineLevel="1" x14ac:dyDescent="0.25">
      <c r="A3231" s="1492">
        <f t="shared" si="470"/>
        <v>0</v>
      </c>
      <c r="B3231" s="1492" t="str">
        <f t="shared" si="470"/>
        <v>Scheme-2: Design, Engineering, Supply, fabrication, Erection, installation &amp; commissioning of modified take up arrangement for BC 108A/B of CHPB.</v>
      </c>
      <c r="C3231" s="1488">
        <f t="shared" si="470"/>
        <v>0</v>
      </c>
      <c r="D3231" s="1413" t="str">
        <f t="shared" si="470"/>
        <v>-</v>
      </c>
      <c r="E3231" s="560">
        <f t="shared" si="470"/>
        <v>4</v>
      </c>
      <c r="F3231" s="1508">
        <f t="shared" si="465"/>
        <v>4</v>
      </c>
      <c r="G3231" s="1508">
        <f t="shared" si="466"/>
        <v>4</v>
      </c>
      <c r="H3231" s="1508">
        <f t="shared" si="467"/>
        <v>0</v>
      </c>
      <c r="I3231" s="1480">
        <v>0</v>
      </c>
      <c r="J3231" s="1480">
        <v>0</v>
      </c>
      <c r="K3231" s="1508"/>
      <c r="L3231" s="1508"/>
      <c r="M3231" s="1509">
        <f t="shared" si="468"/>
        <v>0</v>
      </c>
      <c r="N3231" s="1508">
        <f t="shared" si="469"/>
        <v>0</v>
      </c>
    </row>
    <row r="3232" spans="1:14" ht="31" outlineLevel="1" x14ac:dyDescent="0.25">
      <c r="A3232" s="1492">
        <f t="shared" si="470"/>
        <v>0</v>
      </c>
      <c r="B3232" s="1492" t="str">
        <f t="shared" si="470"/>
        <v>Scheme-3: Design, Engineering, supply &amp; installation of coal pile thermal monitoring system for stack pile of CHPA/B.</v>
      </c>
      <c r="C3232" s="1488">
        <f t="shared" si="470"/>
        <v>0</v>
      </c>
      <c r="D3232" s="1413" t="str">
        <f t="shared" si="470"/>
        <v>-</v>
      </c>
      <c r="E3232" s="560">
        <f t="shared" si="470"/>
        <v>8</v>
      </c>
      <c r="F3232" s="1508">
        <f t="shared" si="465"/>
        <v>5</v>
      </c>
      <c r="G3232" s="1508">
        <f t="shared" si="466"/>
        <v>5</v>
      </c>
      <c r="H3232" s="1508">
        <f t="shared" si="467"/>
        <v>0</v>
      </c>
      <c r="I3232" s="1480">
        <v>0</v>
      </c>
      <c r="J3232" s="1480">
        <v>0</v>
      </c>
      <c r="K3232" s="1508"/>
      <c r="L3232" s="1508"/>
      <c r="M3232" s="1509">
        <f t="shared" si="468"/>
        <v>0</v>
      </c>
      <c r="N3232" s="1508">
        <f t="shared" si="469"/>
        <v>0</v>
      </c>
    </row>
    <row r="3233" spans="1:14" ht="31" outlineLevel="1" x14ac:dyDescent="0.25">
      <c r="A3233" s="1492">
        <f t="shared" si="470"/>
        <v>0</v>
      </c>
      <c r="B3233" s="1492" t="str">
        <f t="shared" si="470"/>
        <v>Scheme-3: Design, Engineering, supply &amp; installation of Belt Tear Detector system for belt conveyor system of CHPB.</v>
      </c>
      <c r="C3233" s="1488">
        <f t="shared" si="470"/>
        <v>0</v>
      </c>
      <c r="D3233" s="1413" t="str">
        <f t="shared" si="470"/>
        <v>-</v>
      </c>
      <c r="E3233" s="560">
        <f t="shared" si="470"/>
        <v>4</v>
      </c>
      <c r="F3233" s="1508">
        <f t="shared" si="465"/>
        <v>4</v>
      </c>
      <c r="G3233" s="1508">
        <f t="shared" si="466"/>
        <v>4</v>
      </c>
      <c r="H3233" s="1508">
        <f t="shared" si="467"/>
        <v>0</v>
      </c>
      <c r="I3233" s="1480">
        <v>0</v>
      </c>
      <c r="J3233" s="1480">
        <v>0</v>
      </c>
      <c r="K3233" s="1508"/>
      <c r="L3233" s="1508"/>
      <c r="M3233" s="1509">
        <f t="shared" si="468"/>
        <v>0</v>
      </c>
      <c r="N3233" s="1508">
        <f t="shared" si="469"/>
        <v>0</v>
      </c>
    </row>
    <row r="3234" spans="1:14" ht="31" outlineLevel="1" x14ac:dyDescent="0.25">
      <c r="A3234" s="1492">
        <f t="shared" ref="A3234:E3249" si="471">A2564</f>
        <v>0</v>
      </c>
      <c r="B3234" s="1492" t="str">
        <f t="shared" si="471"/>
        <v>Scheme-4: Capacity Enhancement of Belt Conveyor Drives of CHPB by upgrdation of conveyor drvie system.</v>
      </c>
      <c r="C3234" s="1488">
        <f t="shared" si="471"/>
        <v>0</v>
      </c>
      <c r="D3234" s="1413" t="str">
        <f t="shared" si="471"/>
        <v>-</v>
      </c>
      <c r="E3234" s="560">
        <f t="shared" si="471"/>
        <v>5</v>
      </c>
      <c r="F3234" s="1508">
        <f t="shared" si="465"/>
        <v>5</v>
      </c>
      <c r="G3234" s="1508">
        <f t="shared" si="466"/>
        <v>5</v>
      </c>
      <c r="H3234" s="1508">
        <f t="shared" si="467"/>
        <v>0</v>
      </c>
      <c r="I3234" s="1480">
        <v>0</v>
      </c>
      <c r="J3234" s="1480">
        <v>0</v>
      </c>
      <c r="K3234" s="1508"/>
      <c r="L3234" s="1508"/>
      <c r="M3234" s="1509">
        <f t="shared" si="468"/>
        <v>0</v>
      </c>
      <c r="N3234" s="1508">
        <f t="shared" si="469"/>
        <v>0</v>
      </c>
    </row>
    <row r="3235" spans="1:14" ht="15.5" outlineLevel="1" x14ac:dyDescent="0.25">
      <c r="A3235" s="1486">
        <f t="shared" si="471"/>
        <v>5</v>
      </c>
      <c r="B3235" s="1491" t="str">
        <f t="shared" si="471"/>
        <v>Modification &amp; upgradation in Railway Track network of CSTPS</v>
      </c>
      <c r="C3235" s="1488">
        <f t="shared" si="471"/>
        <v>0</v>
      </c>
      <c r="D3235" s="1413" t="str">
        <f t="shared" si="471"/>
        <v>-</v>
      </c>
      <c r="E3235" s="560">
        <f t="shared" si="471"/>
        <v>29</v>
      </c>
      <c r="F3235" s="1508">
        <f t="shared" si="465"/>
        <v>0</v>
      </c>
      <c r="G3235" s="1508">
        <f t="shared" si="466"/>
        <v>0</v>
      </c>
      <c r="H3235" s="1508">
        <f t="shared" si="467"/>
        <v>0</v>
      </c>
      <c r="I3235" s="1480">
        <v>0</v>
      </c>
      <c r="J3235" s="1480">
        <v>0</v>
      </c>
      <c r="K3235" s="1508"/>
      <c r="L3235" s="1508"/>
      <c r="M3235" s="1509">
        <f t="shared" si="468"/>
        <v>0</v>
      </c>
      <c r="N3235" s="1508">
        <f t="shared" si="469"/>
        <v>0</v>
      </c>
    </row>
    <row r="3236" spans="1:14" ht="62" outlineLevel="1" x14ac:dyDescent="0.25">
      <c r="A3236" s="1492">
        <f t="shared" si="471"/>
        <v>0</v>
      </c>
      <c r="B3236" s="1492" t="str">
        <f t="shared" si="471"/>
        <v xml:space="preserve">Scheme-1: Work of Modification &amp; upgradation in Railway Track network of CSTPS by Provision of additional take off &amp; cutoff point for CHPD and empty formation at WT outhaul in CSTPS Railway Siding. </v>
      </c>
      <c r="C3236" s="1488">
        <f t="shared" si="471"/>
        <v>0</v>
      </c>
      <c r="D3236" s="1413" t="str">
        <f t="shared" si="471"/>
        <v>-</v>
      </c>
      <c r="E3236" s="560">
        <f t="shared" si="471"/>
        <v>14</v>
      </c>
      <c r="F3236" s="1508">
        <f t="shared" si="465"/>
        <v>0</v>
      </c>
      <c r="G3236" s="1508">
        <f t="shared" si="466"/>
        <v>0</v>
      </c>
      <c r="H3236" s="1508">
        <f t="shared" si="467"/>
        <v>0</v>
      </c>
      <c r="I3236" s="1480">
        <v>14</v>
      </c>
      <c r="J3236" s="1480">
        <v>14</v>
      </c>
      <c r="K3236" s="1508"/>
      <c r="L3236" s="1508"/>
      <c r="M3236" s="1509">
        <f t="shared" si="468"/>
        <v>14</v>
      </c>
      <c r="N3236" s="1508">
        <f t="shared" si="469"/>
        <v>0</v>
      </c>
    </row>
    <row r="3237" spans="1:14" ht="46.5" outlineLevel="1" x14ac:dyDescent="0.25">
      <c r="A3237" s="1492">
        <f t="shared" si="471"/>
        <v>0</v>
      </c>
      <c r="B3237" s="1492" t="str">
        <f t="shared" si="471"/>
        <v>Scheme-1: Work of Modification &amp; upgradation in Railway Track network of CSTPS by Complete Track Renewal of old BG rail with other allied works in CSTPS Railway Siding.</v>
      </c>
      <c r="C3237" s="1488">
        <f t="shared" si="471"/>
        <v>0</v>
      </c>
      <c r="D3237" s="1413" t="str">
        <f t="shared" si="471"/>
        <v>-</v>
      </c>
      <c r="E3237" s="560">
        <f t="shared" si="471"/>
        <v>15</v>
      </c>
      <c r="F3237" s="1508">
        <f t="shared" si="465"/>
        <v>0</v>
      </c>
      <c r="G3237" s="1508">
        <f t="shared" si="466"/>
        <v>0</v>
      </c>
      <c r="H3237" s="1508">
        <f t="shared" si="467"/>
        <v>0</v>
      </c>
      <c r="I3237" s="1480">
        <v>15</v>
      </c>
      <c r="J3237" s="1480">
        <v>15</v>
      </c>
      <c r="K3237" s="1508"/>
      <c r="L3237" s="1508"/>
      <c r="M3237" s="1509">
        <f t="shared" si="468"/>
        <v>15</v>
      </c>
      <c r="N3237" s="1508">
        <f t="shared" si="469"/>
        <v>0</v>
      </c>
    </row>
    <row r="3238" spans="1:14" ht="46.5" outlineLevel="1" x14ac:dyDescent="0.25">
      <c r="A3238" s="1486">
        <f t="shared" si="471"/>
        <v>6</v>
      </c>
      <c r="B3238" s="1491" t="str">
        <f t="shared" si="471"/>
        <v>extension of Pipe Conveyor System from Padmapur Loading Station to Coal Handling Plant-C of Unit 5,6&amp;7 at CSTPS Chandrapur.</v>
      </c>
      <c r="C3238" s="1488">
        <f t="shared" si="471"/>
        <v>0</v>
      </c>
      <c r="D3238" s="1413" t="str">
        <f t="shared" si="471"/>
        <v>-</v>
      </c>
      <c r="E3238" s="560">
        <f t="shared" si="471"/>
        <v>100</v>
      </c>
      <c r="F3238" s="1508">
        <f t="shared" si="465"/>
        <v>0</v>
      </c>
      <c r="G3238" s="1508">
        <f t="shared" si="466"/>
        <v>0</v>
      </c>
      <c r="H3238" s="1508">
        <f t="shared" si="467"/>
        <v>0</v>
      </c>
      <c r="I3238" s="1480">
        <v>0</v>
      </c>
      <c r="J3238" s="1480">
        <v>0</v>
      </c>
      <c r="K3238" s="1508"/>
      <c r="L3238" s="1508"/>
      <c r="M3238" s="1509">
        <f t="shared" si="468"/>
        <v>0</v>
      </c>
      <c r="N3238" s="1508">
        <f t="shared" si="469"/>
        <v>0</v>
      </c>
    </row>
    <row r="3239" spans="1:14" ht="46.5" outlineLevel="1" x14ac:dyDescent="0.25">
      <c r="A3239" s="1492">
        <f t="shared" si="471"/>
        <v>0</v>
      </c>
      <c r="B3239" s="1492" t="str">
        <f t="shared" si="471"/>
        <v>Scheme-1: Augmentation of extension of Pipe Conveyor System from Padmapur Loading Station to Coal Handling Plant-C of Unit 5,6&amp;7 at CSTPS Chandrapur.</v>
      </c>
      <c r="C3239" s="1488">
        <f t="shared" si="471"/>
        <v>0</v>
      </c>
      <c r="D3239" s="1413" t="str">
        <f t="shared" si="471"/>
        <v>-</v>
      </c>
      <c r="E3239" s="560">
        <f t="shared" si="471"/>
        <v>100</v>
      </c>
      <c r="F3239" s="1508">
        <f t="shared" si="465"/>
        <v>0</v>
      </c>
      <c r="G3239" s="1508">
        <f t="shared" si="466"/>
        <v>0</v>
      </c>
      <c r="H3239" s="1508">
        <f t="shared" si="467"/>
        <v>0</v>
      </c>
      <c r="I3239" s="1480">
        <v>0</v>
      </c>
      <c r="J3239" s="1480">
        <v>0</v>
      </c>
      <c r="K3239" s="1508"/>
      <c r="L3239" s="1508"/>
      <c r="M3239" s="1509">
        <f t="shared" si="468"/>
        <v>0</v>
      </c>
      <c r="N3239" s="1508">
        <f t="shared" si="469"/>
        <v>0</v>
      </c>
    </row>
    <row r="3240" spans="1:14" ht="15.5" outlineLevel="1" x14ac:dyDescent="0.25">
      <c r="A3240" s="1504">
        <f t="shared" si="471"/>
        <v>0</v>
      </c>
      <c r="B3240" s="1504" t="str">
        <f t="shared" si="471"/>
        <v>CHP-C</v>
      </c>
      <c r="C3240" s="1488">
        <f t="shared" si="471"/>
        <v>0</v>
      </c>
      <c r="D3240" s="1413" t="str">
        <f t="shared" si="471"/>
        <v>-</v>
      </c>
      <c r="E3240" s="560">
        <f t="shared" si="471"/>
        <v>0</v>
      </c>
      <c r="F3240" s="1508">
        <f t="shared" si="465"/>
        <v>0</v>
      </c>
      <c r="G3240" s="1508">
        <f t="shared" si="466"/>
        <v>0</v>
      </c>
      <c r="H3240" s="1508">
        <f t="shared" si="467"/>
        <v>0</v>
      </c>
      <c r="I3240" s="1480">
        <v>0</v>
      </c>
      <c r="J3240" s="1480">
        <v>0</v>
      </c>
      <c r="K3240" s="1508"/>
      <c r="L3240" s="1508"/>
      <c r="M3240" s="1509">
        <f t="shared" si="468"/>
        <v>0</v>
      </c>
      <c r="N3240" s="1508">
        <f t="shared" si="469"/>
        <v>0</v>
      </c>
    </row>
    <row r="3241" spans="1:14" ht="31" outlineLevel="1" x14ac:dyDescent="0.25">
      <c r="A3241" s="1486">
        <f t="shared" si="471"/>
        <v>1</v>
      </c>
      <c r="B3241" s="1491" t="str">
        <f t="shared" si="471"/>
        <v>Design, Engineering, supply, Erection and commissioning of new fire fighting system at Pipe conveyor of CSTPS, Chandrapur</v>
      </c>
      <c r="C3241" s="1488">
        <f t="shared" si="471"/>
        <v>0</v>
      </c>
      <c r="D3241" s="1413" t="str">
        <f t="shared" si="471"/>
        <v>-</v>
      </c>
      <c r="E3241" s="560">
        <f t="shared" si="471"/>
        <v>25</v>
      </c>
      <c r="F3241" s="1508">
        <f t="shared" si="465"/>
        <v>0</v>
      </c>
      <c r="G3241" s="1508">
        <f t="shared" si="466"/>
        <v>0</v>
      </c>
      <c r="H3241" s="1508">
        <f t="shared" si="467"/>
        <v>0</v>
      </c>
      <c r="I3241" s="1480">
        <v>0</v>
      </c>
      <c r="J3241" s="1480">
        <v>0</v>
      </c>
      <c r="K3241" s="1508"/>
      <c r="L3241" s="1508"/>
      <c r="M3241" s="1509">
        <f t="shared" si="468"/>
        <v>0</v>
      </c>
      <c r="N3241" s="1508">
        <f t="shared" si="469"/>
        <v>0</v>
      </c>
    </row>
    <row r="3242" spans="1:14" ht="31" outlineLevel="1" x14ac:dyDescent="0.25">
      <c r="A3242" s="1492">
        <f t="shared" si="471"/>
        <v>0</v>
      </c>
      <c r="B3242" s="1492" t="str">
        <f t="shared" si="471"/>
        <v>Design, Engineering, supply, Erection and commissioning of new fire fighting system at Pipe conveyor of CSTPS, Chandrapur</v>
      </c>
      <c r="C3242" s="1488">
        <f t="shared" si="471"/>
        <v>0</v>
      </c>
      <c r="D3242" s="1413" t="str">
        <f t="shared" si="471"/>
        <v>-</v>
      </c>
      <c r="E3242" s="560">
        <f t="shared" si="471"/>
        <v>25</v>
      </c>
      <c r="F3242" s="1508">
        <f t="shared" si="465"/>
        <v>25</v>
      </c>
      <c r="G3242" s="1508">
        <f t="shared" si="466"/>
        <v>0</v>
      </c>
      <c r="H3242" s="1508">
        <f t="shared" si="467"/>
        <v>25</v>
      </c>
      <c r="I3242" s="1480">
        <v>0</v>
      </c>
      <c r="J3242" s="1480">
        <v>0</v>
      </c>
      <c r="K3242" s="1508"/>
      <c r="L3242" s="1508"/>
      <c r="M3242" s="1509">
        <f t="shared" si="468"/>
        <v>0</v>
      </c>
      <c r="N3242" s="1508">
        <f t="shared" si="469"/>
        <v>25</v>
      </c>
    </row>
    <row r="3243" spans="1:14" ht="31" outlineLevel="1" x14ac:dyDescent="0.25">
      <c r="A3243" s="1486">
        <f t="shared" si="471"/>
        <v>2</v>
      </c>
      <c r="B3243" s="1491" t="str">
        <f t="shared" si="471"/>
        <v>Reliability &amp; availability improvement of coal transportation by Procurement of UTS (BOBR) Wagons for CHP</v>
      </c>
      <c r="C3243" s="1488">
        <f t="shared" si="471"/>
        <v>0</v>
      </c>
      <c r="D3243" s="1413" t="str">
        <f t="shared" si="471"/>
        <v>-</v>
      </c>
      <c r="E3243" s="560">
        <f t="shared" si="471"/>
        <v>15</v>
      </c>
      <c r="F3243" s="1508">
        <f t="shared" si="465"/>
        <v>0</v>
      </c>
      <c r="G3243" s="1508">
        <f t="shared" si="466"/>
        <v>0</v>
      </c>
      <c r="H3243" s="1508">
        <f t="shared" si="467"/>
        <v>0</v>
      </c>
      <c r="I3243" s="1480">
        <v>0</v>
      </c>
      <c r="J3243" s="1480">
        <v>0</v>
      </c>
      <c r="K3243" s="1508"/>
      <c r="L3243" s="1508"/>
      <c r="M3243" s="1509">
        <f t="shared" si="468"/>
        <v>0</v>
      </c>
      <c r="N3243" s="1508">
        <f t="shared" si="469"/>
        <v>0</v>
      </c>
    </row>
    <row r="3244" spans="1:14" ht="31" outlineLevel="1" x14ac:dyDescent="0.25">
      <c r="A3244" s="1492">
        <f t="shared" si="471"/>
        <v>0</v>
      </c>
      <c r="B3244" s="1492" t="str">
        <f t="shared" si="471"/>
        <v>Reliability &amp; availability improvement of coal transportation by Procurement of UTS (BOBR) Wagons for CHP</v>
      </c>
      <c r="C3244" s="1488">
        <f t="shared" si="471"/>
        <v>0</v>
      </c>
      <c r="D3244" s="1413" t="str">
        <f t="shared" si="471"/>
        <v>-</v>
      </c>
      <c r="E3244" s="560">
        <f t="shared" si="471"/>
        <v>15</v>
      </c>
      <c r="F3244" s="1508">
        <f t="shared" si="465"/>
        <v>0</v>
      </c>
      <c r="G3244" s="1508">
        <f t="shared" si="466"/>
        <v>0</v>
      </c>
      <c r="H3244" s="1508">
        <f t="shared" si="467"/>
        <v>0</v>
      </c>
      <c r="I3244" s="1480">
        <v>0</v>
      </c>
      <c r="J3244" s="1480">
        <v>0</v>
      </c>
      <c r="K3244" s="1508"/>
      <c r="L3244" s="1508"/>
      <c r="M3244" s="1509">
        <f t="shared" si="468"/>
        <v>0</v>
      </c>
      <c r="N3244" s="1508">
        <f t="shared" si="469"/>
        <v>0</v>
      </c>
    </row>
    <row r="3245" spans="1:14" ht="31" outlineLevel="1" x14ac:dyDescent="0.25">
      <c r="A3245" s="1486">
        <f t="shared" si="471"/>
        <v>3</v>
      </c>
      <c r="B3245" s="1491" t="str">
        <f t="shared" si="471"/>
        <v>Reliability &amp; availability improvement by replacement of set of internals for Paddle feeders</v>
      </c>
      <c r="C3245" s="1488">
        <f t="shared" si="471"/>
        <v>0</v>
      </c>
      <c r="D3245" s="1413" t="str">
        <f t="shared" si="471"/>
        <v>-</v>
      </c>
      <c r="E3245" s="560">
        <f t="shared" si="471"/>
        <v>6</v>
      </c>
      <c r="F3245" s="1508">
        <f t="shared" si="465"/>
        <v>0</v>
      </c>
      <c r="G3245" s="1508">
        <f t="shared" si="466"/>
        <v>0</v>
      </c>
      <c r="H3245" s="1508">
        <f t="shared" si="467"/>
        <v>0</v>
      </c>
      <c r="I3245" s="1480">
        <v>0</v>
      </c>
      <c r="J3245" s="1480">
        <v>0</v>
      </c>
      <c r="K3245" s="1508"/>
      <c r="L3245" s="1508"/>
      <c r="M3245" s="1509">
        <f t="shared" si="468"/>
        <v>0</v>
      </c>
      <c r="N3245" s="1508">
        <f t="shared" si="469"/>
        <v>0</v>
      </c>
    </row>
    <row r="3246" spans="1:14" ht="31" outlineLevel="1" x14ac:dyDescent="0.25">
      <c r="A3246" s="1492">
        <f t="shared" si="471"/>
        <v>0</v>
      </c>
      <c r="B3246" s="1492" t="str">
        <f t="shared" si="471"/>
        <v>Reliability &amp; availability improvement by replacement of set of internals for Paddle feeders</v>
      </c>
      <c r="C3246" s="1488">
        <f t="shared" si="471"/>
        <v>0</v>
      </c>
      <c r="D3246" s="1413" t="str">
        <f t="shared" si="471"/>
        <v>-</v>
      </c>
      <c r="E3246" s="560">
        <f t="shared" si="471"/>
        <v>6</v>
      </c>
      <c r="F3246" s="1508">
        <f t="shared" si="465"/>
        <v>6</v>
      </c>
      <c r="G3246" s="1508">
        <f t="shared" si="466"/>
        <v>0</v>
      </c>
      <c r="H3246" s="1508">
        <f t="shared" si="467"/>
        <v>6</v>
      </c>
      <c r="I3246" s="1480">
        <v>0</v>
      </c>
      <c r="J3246" s="1480">
        <v>0</v>
      </c>
      <c r="K3246" s="1508"/>
      <c r="L3246" s="1508"/>
      <c r="M3246" s="1509">
        <f t="shared" si="468"/>
        <v>0</v>
      </c>
      <c r="N3246" s="1508">
        <f t="shared" si="469"/>
        <v>6</v>
      </c>
    </row>
    <row r="3247" spans="1:14" ht="31" outlineLevel="1" x14ac:dyDescent="0.25">
      <c r="A3247" s="1486">
        <f t="shared" si="471"/>
        <v>4</v>
      </c>
      <c r="B3247" s="1491" t="str">
        <f t="shared" si="471"/>
        <v>Reliability &amp; availability improvement by replacement of transfer chutes at CHP-C</v>
      </c>
      <c r="C3247" s="1488">
        <f t="shared" si="471"/>
        <v>0</v>
      </c>
      <c r="D3247" s="1413" t="str">
        <f t="shared" si="471"/>
        <v>-</v>
      </c>
      <c r="E3247" s="560">
        <f t="shared" si="471"/>
        <v>10</v>
      </c>
      <c r="F3247" s="1508">
        <f t="shared" si="465"/>
        <v>0</v>
      </c>
      <c r="G3247" s="1508">
        <f t="shared" si="466"/>
        <v>0</v>
      </c>
      <c r="H3247" s="1508">
        <f t="shared" si="467"/>
        <v>0</v>
      </c>
      <c r="I3247" s="1480">
        <v>0</v>
      </c>
      <c r="J3247" s="1480">
        <v>0</v>
      </c>
      <c r="K3247" s="1508"/>
      <c r="L3247" s="1508"/>
      <c r="M3247" s="1509">
        <f t="shared" si="468"/>
        <v>0</v>
      </c>
      <c r="N3247" s="1508">
        <f t="shared" si="469"/>
        <v>0</v>
      </c>
    </row>
    <row r="3248" spans="1:14" ht="31" outlineLevel="1" x14ac:dyDescent="0.25">
      <c r="A3248" s="1492">
        <f t="shared" si="471"/>
        <v>0</v>
      </c>
      <c r="B3248" s="1492" t="str">
        <f t="shared" si="471"/>
        <v>Reliability &amp; availability improvement by replacement of transfer chutes at CHP-C</v>
      </c>
      <c r="C3248" s="1488">
        <f t="shared" si="471"/>
        <v>0</v>
      </c>
      <c r="D3248" s="1413" t="str">
        <f t="shared" si="471"/>
        <v>-</v>
      </c>
      <c r="E3248" s="560">
        <f t="shared" si="471"/>
        <v>10</v>
      </c>
      <c r="F3248" s="1508">
        <f t="shared" si="465"/>
        <v>0</v>
      </c>
      <c r="G3248" s="1508">
        <f t="shared" si="466"/>
        <v>0</v>
      </c>
      <c r="H3248" s="1508">
        <f t="shared" si="467"/>
        <v>0</v>
      </c>
      <c r="I3248" s="1480">
        <v>0</v>
      </c>
      <c r="J3248" s="1480">
        <v>0</v>
      </c>
      <c r="K3248" s="1508"/>
      <c r="L3248" s="1508"/>
      <c r="M3248" s="1509">
        <f t="shared" si="468"/>
        <v>0</v>
      </c>
      <c r="N3248" s="1508">
        <f t="shared" si="469"/>
        <v>0</v>
      </c>
    </row>
    <row r="3249" spans="1:14" ht="15.5" outlineLevel="1" x14ac:dyDescent="0.25">
      <c r="A3249" s="1504">
        <f t="shared" si="471"/>
        <v>0</v>
      </c>
      <c r="B3249" s="1504" t="str">
        <f t="shared" si="471"/>
        <v>Civil U#3  to U#7</v>
      </c>
      <c r="C3249" s="1488">
        <f t="shared" si="471"/>
        <v>0</v>
      </c>
      <c r="D3249" s="1413" t="str">
        <f t="shared" si="471"/>
        <v>-</v>
      </c>
      <c r="E3249" s="560">
        <f t="shared" si="471"/>
        <v>0</v>
      </c>
      <c r="F3249" s="1508">
        <f t="shared" si="465"/>
        <v>0</v>
      </c>
      <c r="G3249" s="1508">
        <f t="shared" si="466"/>
        <v>0</v>
      </c>
      <c r="H3249" s="1508">
        <f t="shared" si="467"/>
        <v>0</v>
      </c>
      <c r="I3249" s="1480">
        <v>0</v>
      </c>
      <c r="J3249" s="1480">
        <v>0</v>
      </c>
      <c r="K3249" s="1508"/>
      <c r="L3249" s="1508"/>
      <c r="M3249" s="1509">
        <f t="shared" si="468"/>
        <v>0</v>
      </c>
      <c r="N3249" s="1508">
        <f t="shared" si="469"/>
        <v>0</v>
      </c>
    </row>
    <row r="3250" spans="1:14" ht="31" outlineLevel="1" x14ac:dyDescent="0.25">
      <c r="A3250" s="1486">
        <f t="shared" ref="A3250:E3265" si="472">A2580</f>
        <v>1</v>
      </c>
      <c r="B3250" s="1491" t="str">
        <f t="shared" si="472"/>
        <v xml:space="preserve">Provision for Scientific storage of coal reject and leachate collection system at CSTPS, Chandrapur </v>
      </c>
      <c r="C3250" s="1488">
        <f t="shared" si="472"/>
        <v>0</v>
      </c>
      <c r="D3250" s="1413" t="str">
        <f t="shared" si="472"/>
        <v>-</v>
      </c>
      <c r="E3250" s="560">
        <f t="shared" si="472"/>
        <v>37.57</v>
      </c>
      <c r="F3250" s="1508">
        <f t="shared" si="465"/>
        <v>0</v>
      </c>
      <c r="G3250" s="1508">
        <f t="shared" si="466"/>
        <v>0</v>
      </c>
      <c r="H3250" s="1508">
        <f t="shared" si="467"/>
        <v>0</v>
      </c>
      <c r="I3250" s="1480">
        <v>0</v>
      </c>
      <c r="J3250" s="1480">
        <v>0</v>
      </c>
      <c r="K3250" s="1508"/>
      <c r="L3250" s="1508"/>
      <c r="M3250" s="1509">
        <f t="shared" si="468"/>
        <v>0</v>
      </c>
      <c r="N3250" s="1508">
        <f t="shared" si="469"/>
        <v>0</v>
      </c>
    </row>
    <row r="3251" spans="1:14" ht="31" outlineLevel="1" x14ac:dyDescent="0.25">
      <c r="A3251" s="1492">
        <f t="shared" si="472"/>
        <v>0</v>
      </c>
      <c r="B3251" s="1492" t="str">
        <f t="shared" si="472"/>
        <v>Provision for Scientific storage of coal reject and leachate collection system at CSTPS, Chandrapur</v>
      </c>
      <c r="C3251" s="1488">
        <f t="shared" si="472"/>
        <v>0</v>
      </c>
      <c r="D3251" s="1413" t="str">
        <f t="shared" si="472"/>
        <v>-</v>
      </c>
      <c r="E3251" s="560">
        <f t="shared" si="472"/>
        <v>37.57</v>
      </c>
      <c r="F3251" s="1508">
        <f t="shared" si="465"/>
        <v>10</v>
      </c>
      <c r="G3251" s="1508">
        <f t="shared" si="466"/>
        <v>10</v>
      </c>
      <c r="H3251" s="1508">
        <f t="shared" si="467"/>
        <v>0</v>
      </c>
      <c r="I3251" s="1480">
        <v>27.57</v>
      </c>
      <c r="J3251" s="1480">
        <v>27.57</v>
      </c>
      <c r="K3251" s="1508"/>
      <c r="L3251" s="1508"/>
      <c r="M3251" s="1509">
        <f t="shared" si="468"/>
        <v>27.57</v>
      </c>
      <c r="N3251" s="1508">
        <f t="shared" si="469"/>
        <v>0</v>
      </c>
    </row>
    <row r="3252" spans="1:14" ht="31" outlineLevel="1" x14ac:dyDescent="0.25">
      <c r="A3252" s="1486">
        <f t="shared" si="472"/>
        <v>2</v>
      </c>
      <c r="B3252" s="1491" t="str">
        <f t="shared" si="472"/>
        <v xml:space="preserve">Infrastructure  development scheme for improvement of CHP at CSTPS, Chandrapur </v>
      </c>
      <c r="C3252" s="1488">
        <f t="shared" si="472"/>
        <v>0</v>
      </c>
      <c r="D3252" s="1413" t="str">
        <f t="shared" si="472"/>
        <v>-</v>
      </c>
      <c r="E3252" s="560">
        <f t="shared" si="472"/>
        <v>47.15</v>
      </c>
      <c r="F3252" s="1508">
        <f t="shared" si="465"/>
        <v>0</v>
      </c>
      <c r="G3252" s="1508">
        <f t="shared" si="466"/>
        <v>0</v>
      </c>
      <c r="H3252" s="1508">
        <f t="shared" si="467"/>
        <v>0</v>
      </c>
      <c r="I3252" s="1480">
        <v>0</v>
      </c>
      <c r="J3252" s="1480">
        <v>0</v>
      </c>
      <c r="K3252" s="1508"/>
      <c r="L3252" s="1508"/>
      <c r="M3252" s="1509">
        <f t="shared" si="468"/>
        <v>0</v>
      </c>
      <c r="N3252" s="1508">
        <f t="shared" si="469"/>
        <v>0</v>
      </c>
    </row>
    <row r="3253" spans="1:14" ht="46.5" outlineLevel="1" x14ac:dyDescent="0.25">
      <c r="A3253" s="1492">
        <f t="shared" si="472"/>
        <v>0</v>
      </c>
      <c r="B3253" s="1492" t="str">
        <f t="shared" si="472"/>
        <v xml:space="preserve">Construction of RCC platform facility for Coal storage &amp; transportation in CHP-B STACKER I &amp; II area (500MW) at CSTPS, Chandrapur </v>
      </c>
      <c r="C3253" s="1488">
        <f t="shared" si="472"/>
        <v>0</v>
      </c>
      <c r="D3253" s="1413" t="str">
        <f t="shared" si="472"/>
        <v>-</v>
      </c>
      <c r="E3253" s="560">
        <f t="shared" si="472"/>
        <v>47.15</v>
      </c>
      <c r="F3253" s="1508">
        <f t="shared" si="465"/>
        <v>15</v>
      </c>
      <c r="G3253" s="1508">
        <f t="shared" si="466"/>
        <v>15</v>
      </c>
      <c r="H3253" s="1508">
        <f t="shared" si="467"/>
        <v>0</v>
      </c>
      <c r="I3253" s="1480">
        <v>32.15</v>
      </c>
      <c r="J3253" s="1480">
        <v>32.15</v>
      </c>
      <c r="K3253" s="1508"/>
      <c r="L3253" s="1508"/>
      <c r="M3253" s="1509">
        <f t="shared" si="468"/>
        <v>32.15</v>
      </c>
      <c r="N3253" s="1508">
        <f t="shared" si="469"/>
        <v>0</v>
      </c>
    </row>
    <row r="3254" spans="1:14" ht="31" outlineLevel="1" x14ac:dyDescent="0.25">
      <c r="A3254" s="1486">
        <f t="shared" si="472"/>
        <v>3</v>
      </c>
      <c r="B3254" s="1491" t="str">
        <f t="shared" si="472"/>
        <v>Contruction of cement concrete roads in CHP area at CSTPS, Chandrapur</v>
      </c>
      <c r="C3254" s="1488">
        <f t="shared" si="472"/>
        <v>0</v>
      </c>
      <c r="D3254" s="1413" t="str">
        <f t="shared" si="472"/>
        <v>-</v>
      </c>
      <c r="E3254" s="560">
        <f t="shared" si="472"/>
        <v>27.05</v>
      </c>
      <c r="F3254" s="1508">
        <f t="shared" si="465"/>
        <v>0</v>
      </c>
      <c r="G3254" s="1508">
        <f t="shared" si="466"/>
        <v>0</v>
      </c>
      <c r="H3254" s="1508">
        <f t="shared" si="467"/>
        <v>0</v>
      </c>
      <c r="I3254" s="1480">
        <v>0</v>
      </c>
      <c r="J3254" s="1480">
        <v>0</v>
      </c>
      <c r="K3254" s="1508"/>
      <c r="L3254" s="1508"/>
      <c r="M3254" s="1509">
        <f t="shared" si="468"/>
        <v>0</v>
      </c>
      <c r="N3254" s="1508">
        <f t="shared" si="469"/>
        <v>0</v>
      </c>
    </row>
    <row r="3255" spans="1:14" ht="31" outlineLevel="1" x14ac:dyDescent="0.25">
      <c r="A3255" s="1492">
        <f t="shared" si="472"/>
        <v>0</v>
      </c>
      <c r="B3255" s="1492" t="str">
        <f t="shared" si="472"/>
        <v>Contruction of cement concrete roads in CHP area at CSTPS, Chandrapur</v>
      </c>
      <c r="C3255" s="1488">
        <f t="shared" si="472"/>
        <v>0</v>
      </c>
      <c r="D3255" s="1413" t="str">
        <f t="shared" si="472"/>
        <v>-</v>
      </c>
      <c r="E3255" s="560">
        <f t="shared" si="472"/>
        <v>27.05</v>
      </c>
      <c r="F3255" s="1508">
        <f t="shared" si="465"/>
        <v>15</v>
      </c>
      <c r="G3255" s="1508">
        <f t="shared" si="466"/>
        <v>15</v>
      </c>
      <c r="H3255" s="1508">
        <f t="shared" si="467"/>
        <v>0</v>
      </c>
      <c r="I3255" s="1480">
        <v>12.05</v>
      </c>
      <c r="J3255" s="1480">
        <v>12.05</v>
      </c>
      <c r="K3255" s="1508"/>
      <c r="L3255" s="1508"/>
      <c r="M3255" s="1509">
        <f t="shared" si="468"/>
        <v>12.05</v>
      </c>
      <c r="N3255" s="1508">
        <f t="shared" si="469"/>
        <v>0</v>
      </c>
    </row>
    <row r="3256" spans="1:14" ht="31" outlineLevel="1" x14ac:dyDescent="0.25">
      <c r="A3256" s="1486">
        <f t="shared" si="472"/>
        <v>4</v>
      </c>
      <c r="B3256" s="1491" t="str">
        <f t="shared" si="472"/>
        <v>Arresting Leakages by  water proofing treatment in main Plant &amp; ancillary buildings  at CSTPS, Chandrapur.</v>
      </c>
      <c r="C3256" s="1488">
        <f t="shared" si="472"/>
        <v>0</v>
      </c>
      <c r="D3256" s="1413" t="str">
        <f t="shared" si="472"/>
        <v>-</v>
      </c>
      <c r="E3256" s="560">
        <f t="shared" si="472"/>
        <v>30</v>
      </c>
      <c r="F3256" s="1508">
        <f t="shared" si="465"/>
        <v>0</v>
      </c>
      <c r="G3256" s="1508">
        <f t="shared" si="466"/>
        <v>0</v>
      </c>
      <c r="H3256" s="1508">
        <f t="shared" si="467"/>
        <v>0</v>
      </c>
      <c r="I3256" s="1480">
        <v>0</v>
      </c>
      <c r="J3256" s="1480">
        <v>0</v>
      </c>
      <c r="K3256" s="1508"/>
      <c r="L3256" s="1508"/>
      <c r="M3256" s="1509">
        <f t="shared" si="468"/>
        <v>0</v>
      </c>
      <c r="N3256" s="1508">
        <f t="shared" si="469"/>
        <v>0</v>
      </c>
    </row>
    <row r="3257" spans="1:14" ht="62" outlineLevel="1" x14ac:dyDescent="0.25">
      <c r="A3257" s="1492">
        <f t="shared" si="472"/>
        <v>0</v>
      </c>
      <c r="B3257" s="1492" t="str">
        <f t="shared" si="472"/>
        <v xml:space="preserve">A)- water proofing treatment in Control room of WTP-I area.
(B)- water proofing treatment inControl room of WTP-II area.
(C)-  water proofing treatment in Control room of CT Fan area 
(D)- water proofing treatment in   Main Plant area. </v>
      </c>
      <c r="C3257" s="1488">
        <f t="shared" si="472"/>
        <v>0</v>
      </c>
      <c r="D3257" s="1413" t="str">
        <f t="shared" si="472"/>
        <v>-</v>
      </c>
      <c r="E3257" s="560">
        <f t="shared" si="472"/>
        <v>30</v>
      </c>
      <c r="F3257" s="1508">
        <f t="shared" si="465"/>
        <v>15</v>
      </c>
      <c r="G3257" s="1508">
        <f t="shared" si="466"/>
        <v>15</v>
      </c>
      <c r="H3257" s="1508">
        <f t="shared" si="467"/>
        <v>0</v>
      </c>
      <c r="I3257" s="1480">
        <v>15</v>
      </c>
      <c r="J3257" s="1480">
        <v>15</v>
      </c>
      <c r="K3257" s="1508"/>
      <c r="L3257" s="1508"/>
      <c r="M3257" s="1509">
        <f t="shared" si="468"/>
        <v>15</v>
      </c>
      <c r="N3257" s="1508">
        <f t="shared" si="469"/>
        <v>0</v>
      </c>
    </row>
    <row r="3258" spans="1:14" ht="15.5" outlineLevel="1" x14ac:dyDescent="0.25">
      <c r="A3258" s="1486">
        <f t="shared" si="472"/>
        <v>5</v>
      </c>
      <c r="B3258" s="1491" t="str">
        <f t="shared" si="472"/>
        <v>Structural strengthening of Unit 3&amp; 4 at CSTPS, Chandrapur</v>
      </c>
      <c r="C3258" s="1488">
        <f t="shared" si="472"/>
        <v>0</v>
      </c>
      <c r="D3258" s="1413" t="str">
        <f t="shared" si="472"/>
        <v>-</v>
      </c>
      <c r="E3258" s="560">
        <f t="shared" si="472"/>
        <v>40</v>
      </c>
      <c r="F3258" s="1508">
        <f t="shared" si="465"/>
        <v>0</v>
      </c>
      <c r="G3258" s="1508">
        <f t="shared" si="466"/>
        <v>0</v>
      </c>
      <c r="H3258" s="1508">
        <f t="shared" si="467"/>
        <v>0</v>
      </c>
      <c r="I3258" s="1480">
        <v>0</v>
      </c>
      <c r="J3258" s="1480">
        <v>0</v>
      </c>
      <c r="K3258" s="1508"/>
      <c r="L3258" s="1508"/>
      <c r="M3258" s="1509">
        <f t="shared" si="468"/>
        <v>0</v>
      </c>
      <c r="N3258" s="1508">
        <f t="shared" si="469"/>
        <v>0</v>
      </c>
    </row>
    <row r="3259" spans="1:14" ht="15.5" outlineLevel="1" x14ac:dyDescent="0.25">
      <c r="A3259" s="1492">
        <f t="shared" si="472"/>
        <v>0</v>
      </c>
      <c r="B3259" s="1492" t="str">
        <f t="shared" si="472"/>
        <v>Structural strengthening of Unit 3&amp; 4 at CSTPS, Chandrapur</v>
      </c>
      <c r="C3259" s="1488">
        <f t="shared" si="472"/>
        <v>0</v>
      </c>
      <c r="D3259" s="1413" t="str">
        <f t="shared" si="472"/>
        <v>-</v>
      </c>
      <c r="E3259" s="560">
        <f t="shared" si="472"/>
        <v>30</v>
      </c>
      <c r="F3259" s="1508">
        <f t="shared" si="465"/>
        <v>15</v>
      </c>
      <c r="G3259" s="1508">
        <f t="shared" si="466"/>
        <v>15</v>
      </c>
      <c r="H3259" s="1508">
        <f t="shared" si="467"/>
        <v>0</v>
      </c>
      <c r="I3259" s="1480">
        <v>15</v>
      </c>
      <c r="J3259" s="1480">
        <v>15</v>
      </c>
      <c r="K3259" s="1508"/>
      <c r="L3259" s="1508"/>
      <c r="M3259" s="1509">
        <f t="shared" si="468"/>
        <v>15</v>
      </c>
      <c r="N3259" s="1508">
        <f t="shared" si="469"/>
        <v>0</v>
      </c>
    </row>
    <row r="3260" spans="1:14" ht="15.5" outlineLevel="1" x14ac:dyDescent="0.25">
      <c r="A3260" s="1492">
        <f t="shared" si="472"/>
        <v>0</v>
      </c>
      <c r="B3260" s="1492" t="str">
        <f t="shared" si="472"/>
        <v>Structural strengthening of CHP-A buildings</v>
      </c>
      <c r="C3260" s="1488">
        <f t="shared" si="472"/>
        <v>0</v>
      </c>
      <c r="D3260" s="1413" t="str">
        <f t="shared" si="472"/>
        <v>-</v>
      </c>
      <c r="E3260" s="560">
        <f t="shared" si="472"/>
        <v>10</v>
      </c>
      <c r="F3260" s="1508">
        <f t="shared" si="465"/>
        <v>6</v>
      </c>
      <c r="G3260" s="1508">
        <f t="shared" si="466"/>
        <v>6</v>
      </c>
      <c r="H3260" s="1508">
        <f t="shared" si="467"/>
        <v>0</v>
      </c>
      <c r="I3260" s="1480">
        <v>4</v>
      </c>
      <c r="J3260" s="1480">
        <v>4</v>
      </c>
      <c r="K3260" s="1508"/>
      <c r="L3260" s="1508"/>
      <c r="M3260" s="1509">
        <f t="shared" si="468"/>
        <v>4</v>
      </c>
      <c r="N3260" s="1508">
        <f t="shared" si="469"/>
        <v>0</v>
      </c>
    </row>
    <row r="3261" spans="1:14" ht="31" outlineLevel="1" x14ac:dyDescent="0.25">
      <c r="A3261" s="1486">
        <f t="shared" si="472"/>
        <v>6</v>
      </c>
      <c r="B3261" s="1491" t="str">
        <f t="shared" si="472"/>
        <v>Infrastructure Deveolpment of CSTPS colony at CSTPS Chandrapur .</v>
      </c>
      <c r="C3261" s="1488">
        <f t="shared" si="472"/>
        <v>0</v>
      </c>
      <c r="D3261" s="1413" t="str">
        <f t="shared" si="472"/>
        <v>-</v>
      </c>
      <c r="E3261" s="560">
        <f t="shared" si="472"/>
        <v>67.900000000000006</v>
      </c>
      <c r="F3261" s="1508">
        <f t="shared" si="465"/>
        <v>0</v>
      </c>
      <c r="G3261" s="1508">
        <f t="shared" si="466"/>
        <v>0</v>
      </c>
      <c r="H3261" s="1508">
        <f t="shared" si="467"/>
        <v>0</v>
      </c>
      <c r="I3261" s="1480">
        <v>0</v>
      </c>
      <c r="J3261" s="1480">
        <v>0</v>
      </c>
      <c r="K3261" s="1508"/>
      <c r="L3261" s="1508"/>
      <c r="M3261" s="1509">
        <f t="shared" si="468"/>
        <v>0</v>
      </c>
      <c r="N3261" s="1508">
        <f t="shared" si="469"/>
        <v>0</v>
      </c>
    </row>
    <row r="3262" spans="1:14" ht="31" outlineLevel="1" x14ac:dyDescent="0.25">
      <c r="A3262" s="1492">
        <f t="shared" si="472"/>
        <v>0</v>
      </c>
      <c r="B3262" s="1492" t="str">
        <f t="shared" si="472"/>
        <v>i- Construction of new ESR (Elevated Storage Reservoir) at CSTPS Chandrapur</v>
      </c>
      <c r="C3262" s="1488">
        <f t="shared" si="472"/>
        <v>0</v>
      </c>
      <c r="D3262" s="1413" t="str">
        <f t="shared" si="472"/>
        <v>-</v>
      </c>
      <c r="E3262" s="560">
        <f t="shared" si="472"/>
        <v>3.78</v>
      </c>
      <c r="F3262" s="1508">
        <f t="shared" si="465"/>
        <v>3.78</v>
      </c>
      <c r="G3262" s="1508">
        <f t="shared" si="466"/>
        <v>3.78</v>
      </c>
      <c r="H3262" s="1508">
        <f t="shared" si="467"/>
        <v>0</v>
      </c>
      <c r="I3262" s="1480">
        <v>0</v>
      </c>
      <c r="J3262" s="1480">
        <v>0</v>
      </c>
      <c r="K3262" s="1508"/>
      <c r="L3262" s="1508"/>
      <c r="M3262" s="1509">
        <f t="shared" si="468"/>
        <v>0</v>
      </c>
      <c r="N3262" s="1508">
        <f t="shared" si="469"/>
        <v>0</v>
      </c>
    </row>
    <row r="3263" spans="1:14" ht="31" outlineLevel="1" x14ac:dyDescent="0.25">
      <c r="A3263" s="1492">
        <f t="shared" si="472"/>
        <v>0</v>
      </c>
      <c r="B3263" s="1492" t="str">
        <f t="shared" si="472"/>
        <v>ii- Providing &amp; Rerouting of existing water supply pipe line at CSTPS Chandrapur</v>
      </c>
      <c r="C3263" s="1488">
        <f t="shared" si="472"/>
        <v>0</v>
      </c>
      <c r="D3263" s="1413" t="str">
        <f t="shared" si="472"/>
        <v>-</v>
      </c>
      <c r="E3263" s="560">
        <f t="shared" si="472"/>
        <v>4.05</v>
      </c>
      <c r="F3263" s="1508">
        <f t="shared" si="465"/>
        <v>4.05</v>
      </c>
      <c r="G3263" s="1508">
        <f t="shared" si="466"/>
        <v>4.05</v>
      </c>
      <c r="H3263" s="1508">
        <f t="shared" si="467"/>
        <v>0</v>
      </c>
      <c r="I3263" s="1480">
        <v>0</v>
      </c>
      <c r="J3263" s="1480">
        <v>0</v>
      </c>
      <c r="K3263" s="1508"/>
      <c r="L3263" s="1508"/>
      <c r="M3263" s="1509">
        <f t="shared" si="468"/>
        <v>0</v>
      </c>
      <c r="N3263" s="1508">
        <f t="shared" si="469"/>
        <v>0</v>
      </c>
    </row>
    <row r="3264" spans="1:14" ht="31" outlineLevel="1" x14ac:dyDescent="0.25">
      <c r="A3264" s="1492">
        <f t="shared" si="472"/>
        <v>0</v>
      </c>
      <c r="B3264" s="1492" t="str">
        <f t="shared" si="472"/>
        <v>iii- Providing &amp; Rerouting of esiting sewer line at CSTPS colony Chandrapur</v>
      </c>
      <c r="C3264" s="1488">
        <f t="shared" si="472"/>
        <v>0</v>
      </c>
      <c r="D3264" s="1413" t="str">
        <f t="shared" si="472"/>
        <v>-</v>
      </c>
      <c r="E3264" s="560">
        <f t="shared" si="472"/>
        <v>7.01</v>
      </c>
      <c r="F3264" s="1508">
        <f t="shared" si="465"/>
        <v>7.01</v>
      </c>
      <c r="G3264" s="1508">
        <f t="shared" si="466"/>
        <v>7.01</v>
      </c>
      <c r="H3264" s="1508">
        <f t="shared" si="467"/>
        <v>0</v>
      </c>
      <c r="I3264" s="1480">
        <v>0</v>
      </c>
      <c r="J3264" s="1480">
        <v>0</v>
      </c>
      <c r="K3264" s="1508"/>
      <c r="L3264" s="1508"/>
      <c r="M3264" s="1509">
        <f t="shared" si="468"/>
        <v>0</v>
      </c>
      <c r="N3264" s="1508">
        <f t="shared" si="469"/>
        <v>0</v>
      </c>
    </row>
    <row r="3265" spans="1:14" ht="31" outlineLevel="1" x14ac:dyDescent="0.25">
      <c r="A3265" s="1492">
        <f t="shared" si="472"/>
        <v>0</v>
      </c>
      <c r="B3265" s="1492" t="str">
        <f t="shared" si="472"/>
        <v>iv- Providing water proofing treatment to terrace slab of residential building aaat CSTPS colony Chandrapur</v>
      </c>
      <c r="C3265" s="1488">
        <f t="shared" si="472"/>
        <v>0</v>
      </c>
      <c r="D3265" s="1413" t="str">
        <f t="shared" si="472"/>
        <v>-</v>
      </c>
      <c r="E3265" s="560">
        <f t="shared" si="472"/>
        <v>6.34</v>
      </c>
      <c r="F3265" s="1508">
        <f t="shared" si="465"/>
        <v>6.34</v>
      </c>
      <c r="G3265" s="1508">
        <f t="shared" si="466"/>
        <v>6.34</v>
      </c>
      <c r="H3265" s="1508">
        <f t="shared" si="467"/>
        <v>0</v>
      </c>
      <c r="I3265" s="1480">
        <v>0</v>
      </c>
      <c r="J3265" s="1480">
        <v>0</v>
      </c>
      <c r="K3265" s="1508"/>
      <c r="L3265" s="1508"/>
      <c r="M3265" s="1509">
        <f t="shared" si="468"/>
        <v>0</v>
      </c>
      <c r="N3265" s="1508">
        <f t="shared" si="469"/>
        <v>0</v>
      </c>
    </row>
    <row r="3266" spans="1:14" ht="31" outlineLevel="1" x14ac:dyDescent="0.25">
      <c r="A3266" s="1492">
        <f t="shared" ref="A3266:E3281" si="473">A2596</f>
        <v>0</v>
      </c>
      <c r="B3266" s="1492" t="str">
        <f t="shared" si="473"/>
        <v>v- Construction of storm water drain along major and internal road of CSTPS colony at Chnadrapur</v>
      </c>
      <c r="C3266" s="1488">
        <f t="shared" si="473"/>
        <v>0</v>
      </c>
      <c r="D3266" s="1413" t="str">
        <f t="shared" si="473"/>
        <v>-</v>
      </c>
      <c r="E3266" s="560">
        <f t="shared" si="473"/>
        <v>16.86</v>
      </c>
      <c r="F3266" s="1508">
        <f t="shared" ref="F3266:F3329" si="474">F2596+I2596</f>
        <v>8.43</v>
      </c>
      <c r="G3266" s="1508">
        <f t="shared" ref="G3266:G3329" si="475">G2596+M2596</f>
        <v>8.43</v>
      </c>
      <c r="H3266" s="1508">
        <f t="shared" si="467"/>
        <v>0</v>
      </c>
      <c r="I3266" s="1480">
        <v>8.43</v>
      </c>
      <c r="J3266" s="1480">
        <v>8.43</v>
      </c>
      <c r="K3266" s="1508"/>
      <c r="L3266" s="1508"/>
      <c r="M3266" s="1509">
        <f t="shared" si="468"/>
        <v>8.43</v>
      </c>
      <c r="N3266" s="1508">
        <f t="shared" si="469"/>
        <v>0</v>
      </c>
    </row>
    <row r="3267" spans="1:14" ht="31" outlineLevel="1" x14ac:dyDescent="0.25">
      <c r="A3267" s="1492">
        <f t="shared" si="473"/>
        <v>0</v>
      </c>
      <c r="B3267" s="1492" t="str">
        <f t="shared" si="473"/>
        <v>vi-Improvement of existing major and internal Bitumen   road of CSTPS colony  by Bituminous treatment  at  CSTPS Chandrapur</v>
      </c>
      <c r="C3267" s="1488">
        <f t="shared" si="473"/>
        <v>0</v>
      </c>
      <c r="D3267" s="1413" t="str">
        <f t="shared" si="473"/>
        <v>-</v>
      </c>
      <c r="E3267" s="560">
        <f t="shared" si="473"/>
        <v>29.81</v>
      </c>
      <c r="F3267" s="1508">
        <f t="shared" si="474"/>
        <v>14.904999999999999</v>
      </c>
      <c r="G3267" s="1508">
        <f t="shared" si="475"/>
        <v>14.904999999999999</v>
      </c>
      <c r="H3267" s="1508">
        <f t="shared" si="467"/>
        <v>0</v>
      </c>
      <c r="I3267" s="1480">
        <v>14.904999999999999</v>
      </c>
      <c r="J3267" s="1480">
        <v>14.904999999999999</v>
      </c>
      <c r="K3267" s="1508"/>
      <c r="L3267" s="1508"/>
      <c r="M3267" s="1509">
        <f t="shared" si="468"/>
        <v>14.904999999999999</v>
      </c>
      <c r="N3267" s="1508">
        <f t="shared" si="469"/>
        <v>0</v>
      </c>
    </row>
    <row r="3268" spans="1:14" ht="31" outlineLevel="1" x14ac:dyDescent="0.25">
      <c r="A3268" s="1486">
        <f t="shared" si="473"/>
        <v>7</v>
      </c>
      <c r="B3268" s="1491" t="str">
        <f t="shared" si="473"/>
        <v>Renovation of residential buildings , Public building , Road and other allied civil works in CSTPS colony at Chandrapur</v>
      </c>
      <c r="C3268" s="1488">
        <f t="shared" si="473"/>
        <v>0</v>
      </c>
      <c r="D3268" s="1413" t="str">
        <f t="shared" si="473"/>
        <v>-</v>
      </c>
      <c r="E3268" s="560">
        <f t="shared" si="473"/>
        <v>209</v>
      </c>
      <c r="F3268" s="1508">
        <f t="shared" si="474"/>
        <v>0</v>
      </c>
      <c r="G3268" s="1508">
        <f t="shared" si="475"/>
        <v>0</v>
      </c>
      <c r="H3268" s="1508">
        <f t="shared" si="467"/>
        <v>0</v>
      </c>
      <c r="I3268" s="1480">
        <v>0</v>
      </c>
      <c r="J3268" s="1480">
        <v>0</v>
      </c>
      <c r="K3268" s="1508"/>
      <c r="L3268" s="1508"/>
      <c r="M3268" s="1509">
        <f t="shared" si="468"/>
        <v>0</v>
      </c>
      <c r="N3268" s="1508">
        <f t="shared" si="469"/>
        <v>0</v>
      </c>
    </row>
    <row r="3269" spans="1:14" ht="31" outlineLevel="1" x14ac:dyDescent="0.25">
      <c r="A3269" s="1492">
        <f t="shared" si="473"/>
        <v>0</v>
      </c>
      <c r="B3269" s="1492" t="str">
        <f t="shared" si="473"/>
        <v>i- Renovation and Beautification of residential building ( Type A, B, C, D, E and F)  Phase -II at CSTPS Chnadrapur</v>
      </c>
      <c r="C3269" s="1488">
        <f t="shared" si="473"/>
        <v>0</v>
      </c>
      <c r="D3269" s="1413" t="str">
        <f t="shared" si="473"/>
        <v>-</v>
      </c>
      <c r="E3269" s="560">
        <f t="shared" si="473"/>
        <v>132</v>
      </c>
      <c r="F3269" s="1508">
        <f t="shared" si="474"/>
        <v>0</v>
      </c>
      <c r="G3269" s="1508">
        <f t="shared" si="475"/>
        <v>0</v>
      </c>
      <c r="H3269" s="1508">
        <f t="shared" si="467"/>
        <v>0</v>
      </c>
      <c r="I3269" s="1480">
        <v>44</v>
      </c>
      <c r="J3269" s="1480">
        <v>44</v>
      </c>
      <c r="K3269" s="1508"/>
      <c r="L3269" s="1508"/>
      <c r="M3269" s="1509">
        <f t="shared" si="468"/>
        <v>44</v>
      </c>
      <c r="N3269" s="1508">
        <f t="shared" si="469"/>
        <v>0</v>
      </c>
    </row>
    <row r="3270" spans="1:14" ht="15.5" outlineLevel="1" x14ac:dyDescent="0.25">
      <c r="A3270" s="1492">
        <f t="shared" si="473"/>
        <v>0</v>
      </c>
      <c r="B3270" s="1492" t="str">
        <f t="shared" si="473"/>
        <v>ii-Renovation of old and new market at CSTPS Chandrapur</v>
      </c>
      <c r="C3270" s="1488">
        <f t="shared" si="473"/>
        <v>0</v>
      </c>
      <c r="D3270" s="1413" t="str">
        <f t="shared" si="473"/>
        <v>-</v>
      </c>
      <c r="E3270" s="560">
        <f t="shared" si="473"/>
        <v>2</v>
      </c>
      <c r="F3270" s="1508">
        <f t="shared" si="474"/>
        <v>0</v>
      </c>
      <c r="G3270" s="1508">
        <f t="shared" si="475"/>
        <v>0</v>
      </c>
      <c r="H3270" s="1508">
        <f t="shared" si="467"/>
        <v>0</v>
      </c>
      <c r="I3270" s="1480">
        <v>2</v>
      </c>
      <c r="J3270" s="1480">
        <v>2</v>
      </c>
      <c r="K3270" s="1508"/>
      <c r="L3270" s="1508"/>
      <c r="M3270" s="1509">
        <f t="shared" si="468"/>
        <v>2</v>
      </c>
      <c r="N3270" s="1508">
        <f t="shared" si="469"/>
        <v>0</v>
      </c>
    </row>
    <row r="3271" spans="1:14" ht="31" outlineLevel="1" x14ac:dyDescent="0.25">
      <c r="A3271" s="1492">
        <f t="shared" si="473"/>
        <v>0</v>
      </c>
      <c r="B3271" s="1492" t="str">
        <f t="shared" si="473"/>
        <v>iii-Improvement of exsiting Main road by Cement Concrte road  in colony at CSTPS Chandrapur</v>
      </c>
      <c r="C3271" s="1488">
        <f t="shared" si="473"/>
        <v>0</v>
      </c>
      <c r="D3271" s="1413" t="str">
        <f t="shared" si="473"/>
        <v>-</v>
      </c>
      <c r="E3271" s="560">
        <f t="shared" si="473"/>
        <v>55</v>
      </c>
      <c r="F3271" s="1508">
        <f t="shared" si="474"/>
        <v>0</v>
      </c>
      <c r="G3271" s="1508">
        <f t="shared" si="475"/>
        <v>0</v>
      </c>
      <c r="H3271" s="1508">
        <f t="shared" si="467"/>
        <v>0</v>
      </c>
      <c r="I3271" s="1480">
        <v>0</v>
      </c>
      <c r="J3271" s="1480">
        <v>0</v>
      </c>
      <c r="K3271" s="1508"/>
      <c r="L3271" s="1508"/>
      <c r="M3271" s="1509">
        <f t="shared" si="468"/>
        <v>0</v>
      </c>
      <c r="N3271" s="1508">
        <f t="shared" si="469"/>
        <v>0</v>
      </c>
    </row>
    <row r="3272" spans="1:14" ht="31" outlineLevel="1" x14ac:dyDescent="0.25">
      <c r="A3272" s="1492">
        <f t="shared" si="473"/>
        <v>0</v>
      </c>
      <c r="B3272" s="1492" t="str">
        <f t="shared" si="473"/>
        <v>iv-Renovation of Civil and Electrical Maint office building at CSTPS Chandrapur.</v>
      </c>
      <c r="C3272" s="1488">
        <f t="shared" si="473"/>
        <v>0</v>
      </c>
      <c r="D3272" s="1413" t="str">
        <f t="shared" si="473"/>
        <v>-</v>
      </c>
      <c r="E3272" s="560">
        <f t="shared" si="473"/>
        <v>1.5</v>
      </c>
      <c r="F3272" s="1508">
        <f t="shared" si="474"/>
        <v>0</v>
      </c>
      <c r="G3272" s="1508">
        <f t="shared" si="475"/>
        <v>0</v>
      </c>
      <c r="H3272" s="1508">
        <f t="shared" si="467"/>
        <v>0</v>
      </c>
      <c r="I3272" s="1480">
        <v>0</v>
      </c>
      <c r="J3272" s="1480">
        <v>0</v>
      </c>
      <c r="K3272" s="1508"/>
      <c r="L3272" s="1508"/>
      <c r="M3272" s="1509">
        <f t="shared" si="468"/>
        <v>0</v>
      </c>
      <c r="N3272" s="1508">
        <f t="shared" si="469"/>
        <v>0</v>
      </c>
    </row>
    <row r="3273" spans="1:14" ht="31" outlineLevel="1" x14ac:dyDescent="0.25">
      <c r="A3273" s="1492">
        <f t="shared" si="473"/>
        <v>0</v>
      </c>
      <c r="B3273" s="1492" t="str">
        <f t="shared" si="473"/>
        <v xml:space="preserve">v- Renoavtion of Post office building and Bank Building at CSTPS Chandrapur </v>
      </c>
      <c r="C3273" s="1488">
        <f t="shared" si="473"/>
        <v>0</v>
      </c>
      <c r="D3273" s="1413" t="str">
        <f t="shared" si="473"/>
        <v>-</v>
      </c>
      <c r="E3273" s="560">
        <f t="shared" si="473"/>
        <v>1.5</v>
      </c>
      <c r="F3273" s="1508">
        <f t="shared" si="474"/>
        <v>0</v>
      </c>
      <c r="G3273" s="1508">
        <f t="shared" si="475"/>
        <v>0</v>
      </c>
      <c r="H3273" s="1508">
        <f t="shared" si="467"/>
        <v>0</v>
      </c>
      <c r="I3273" s="1480">
        <v>0</v>
      </c>
      <c r="J3273" s="1480">
        <v>0</v>
      </c>
      <c r="K3273" s="1508"/>
      <c r="L3273" s="1508"/>
      <c r="M3273" s="1509">
        <f t="shared" si="468"/>
        <v>0</v>
      </c>
      <c r="N3273" s="1508">
        <f t="shared" si="469"/>
        <v>0</v>
      </c>
    </row>
    <row r="3274" spans="1:14" ht="15.5" outlineLevel="1" x14ac:dyDescent="0.25">
      <c r="A3274" s="1492">
        <f t="shared" si="473"/>
        <v>0</v>
      </c>
      <c r="B3274" s="1492" t="str">
        <f t="shared" si="473"/>
        <v>vi- Renovation fo Erai Dam guest House at CSTPS Chandrapur</v>
      </c>
      <c r="C3274" s="1488">
        <f t="shared" si="473"/>
        <v>0</v>
      </c>
      <c r="D3274" s="1413" t="str">
        <f t="shared" si="473"/>
        <v>-</v>
      </c>
      <c r="E3274" s="560">
        <f t="shared" si="473"/>
        <v>2</v>
      </c>
      <c r="F3274" s="1508">
        <f t="shared" si="474"/>
        <v>0</v>
      </c>
      <c r="G3274" s="1508">
        <f t="shared" si="475"/>
        <v>0</v>
      </c>
      <c r="H3274" s="1508">
        <f t="shared" si="467"/>
        <v>0</v>
      </c>
      <c r="I3274" s="1480">
        <v>0</v>
      </c>
      <c r="J3274" s="1480">
        <v>0</v>
      </c>
      <c r="K3274" s="1508"/>
      <c r="L3274" s="1508"/>
      <c r="M3274" s="1509">
        <f t="shared" si="468"/>
        <v>0</v>
      </c>
      <c r="N3274" s="1508">
        <f t="shared" si="469"/>
        <v>0</v>
      </c>
    </row>
    <row r="3275" spans="1:14" ht="31" outlineLevel="1" x14ac:dyDescent="0.25">
      <c r="A3275" s="1492">
        <f t="shared" si="473"/>
        <v>0</v>
      </c>
      <c r="B3275" s="1492" t="str">
        <f t="shared" si="473"/>
        <v>vii- Improvement of Erai dam approch road by Bituminous treatment at CSTPS Chnadrapur</v>
      </c>
      <c r="C3275" s="1488">
        <f t="shared" si="473"/>
        <v>0</v>
      </c>
      <c r="D3275" s="1413" t="str">
        <f t="shared" si="473"/>
        <v>-</v>
      </c>
      <c r="E3275" s="560">
        <f t="shared" si="473"/>
        <v>15</v>
      </c>
      <c r="F3275" s="1508">
        <f t="shared" si="474"/>
        <v>0</v>
      </c>
      <c r="G3275" s="1508">
        <f t="shared" si="475"/>
        <v>0</v>
      </c>
      <c r="H3275" s="1508">
        <f t="shared" si="467"/>
        <v>0</v>
      </c>
      <c r="I3275" s="1480">
        <v>0</v>
      </c>
      <c r="J3275" s="1480">
        <v>0</v>
      </c>
      <c r="K3275" s="1508"/>
      <c r="L3275" s="1508"/>
      <c r="M3275" s="1509">
        <f t="shared" si="468"/>
        <v>0</v>
      </c>
      <c r="N3275" s="1508">
        <f t="shared" si="469"/>
        <v>0</v>
      </c>
    </row>
    <row r="3276" spans="1:14" ht="46.5" outlineLevel="1" x14ac:dyDescent="0.25">
      <c r="A3276" s="1486">
        <f t="shared" si="473"/>
        <v>8</v>
      </c>
      <c r="B3276" s="1491" t="str">
        <f t="shared" si="473"/>
        <v>Construction of new residential building ,Hospital Building ,Chemmary Building,security office building  and allied civil work infrastructure in colony at CSTPS Chandrapur</v>
      </c>
      <c r="C3276" s="1488">
        <f t="shared" si="473"/>
        <v>0</v>
      </c>
      <c r="D3276" s="1413" t="str">
        <f t="shared" si="473"/>
        <v>-</v>
      </c>
      <c r="E3276" s="560">
        <f t="shared" si="473"/>
        <v>76.25</v>
      </c>
      <c r="F3276" s="1508">
        <f t="shared" si="474"/>
        <v>0</v>
      </c>
      <c r="G3276" s="1508">
        <f t="shared" si="475"/>
        <v>0</v>
      </c>
      <c r="H3276" s="1508">
        <f t="shared" si="467"/>
        <v>0</v>
      </c>
      <c r="I3276" s="1480">
        <v>0</v>
      </c>
      <c r="J3276" s="1480">
        <v>0</v>
      </c>
      <c r="K3276" s="1508"/>
      <c r="L3276" s="1508"/>
      <c r="M3276" s="1509">
        <f t="shared" si="468"/>
        <v>0</v>
      </c>
      <c r="N3276" s="1508">
        <f t="shared" si="469"/>
        <v>0</v>
      </c>
    </row>
    <row r="3277" spans="1:14" ht="31" outlineLevel="1" x14ac:dyDescent="0.25">
      <c r="A3277" s="1492">
        <f t="shared" si="473"/>
        <v>0</v>
      </c>
      <c r="B3277" s="1492" t="str">
        <f t="shared" si="473"/>
        <v>i- Construction of new residential staff quarter of A, B ,C D and E type  building in colony at CSTPS Chandrapur</v>
      </c>
      <c r="C3277" s="1488">
        <f t="shared" si="473"/>
        <v>0</v>
      </c>
      <c r="D3277" s="1413" t="str">
        <f t="shared" si="473"/>
        <v>-</v>
      </c>
      <c r="E3277" s="560">
        <f t="shared" si="473"/>
        <v>60</v>
      </c>
      <c r="F3277" s="1508">
        <f t="shared" si="474"/>
        <v>0</v>
      </c>
      <c r="G3277" s="1508">
        <f t="shared" si="475"/>
        <v>0</v>
      </c>
      <c r="H3277" s="1508">
        <f t="shared" si="467"/>
        <v>0</v>
      </c>
      <c r="I3277" s="1480">
        <v>0</v>
      </c>
      <c r="J3277" s="1480">
        <v>0</v>
      </c>
      <c r="K3277" s="1508"/>
      <c r="L3277" s="1508"/>
      <c r="M3277" s="1509">
        <f t="shared" si="468"/>
        <v>0</v>
      </c>
      <c r="N3277" s="1508">
        <f t="shared" si="469"/>
        <v>0</v>
      </c>
    </row>
    <row r="3278" spans="1:14" ht="15.5" outlineLevel="1" x14ac:dyDescent="0.25">
      <c r="A3278" s="1492">
        <f t="shared" si="473"/>
        <v>0</v>
      </c>
      <c r="B3278" s="1492" t="str">
        <f t="shared" si="473"/>
        <v>ii-Construction of New Hospital Building at CSTSP Chandrapur</v>
      </c>
      <c r="C3278" s="1488">
        <f t="shared" si="473"/>
        <v>0</v>
      </c>
      <c r="D3278" s="1413" t="str">
        <f t="shared" si="473"/>
        <v>-</v>
      </c>
      <c r="E3278" s="560">
        <f t="shared" si="473"/>
        <v>2</v>
      </c>
      <c r="F3278" s="1508">
        <f t="shared" si="474"/>
        <v>0</v>
      </c>
      <c r="G3278" s="1508">
        <f t="shared" si="475"/>
        <v>0</v>
      </c>
      <c r="H3278" s="1508">
        <f t="shared" si="467"/>
        <v>0</v>
      </c>
      <c r="I3278" s="1480">
        <v>0</v>
      </c>
      <c r="J3278" s="1480">
        <v>0</v>
      </c>
      <c r="K3278" s="1508"/>
      <c r="L3278" s="1508"/>
      <c r="M3278" s="1509">
        <f t="shared" si="468"/>
        <v>0</v>
      </c>
      <c r="N3278" s="1508">
        <f t="shared" si="469"/>
        <v>0</v>
      </c>
    </row>
    <row r="3279" spans="1:14" ht="31" outlineLevel="1" x14ac:dyDescent="0.25">
      <c r="A3279" s="1492">
        <f t="shared" si="473"/>
        <v>0</v>
      </c>
      <c r="B3279" s="1492" t="str">
        <f t="shared" si="473"/>
        <v>iii-Construction of new Chummary Building at CSTPS Chandrapur</v>
      </c>
      <c r="C3279" s="1488">
        <f t="shared" si="473"/>
        <v>0</v>
      </c>
      <c r="D3279" s="1413" t="str">
        <f t="shared" si="473"/>
        <v>-</v>
      </c>
      <c r="E3279" s="560">
        <f t="shared" si="473"/>
        <v>7.5</v>
      </c>
      <c r="F3279" s="1508">
        <f t="shared" si="474"/>
        <v>0</v>
      </c>
      <c r="G3279" s="1508">
        <f t="shared" si="475"/>
        <v>0</v>
      </c>
      <c r="H3279" s="1508">
        <f t="shared" si="467"/>
        <v>0</v>
      </c>
      <c r="I3279" s="1480">
        <v>0</v>
      </c>
      <c r="J3279" s="1480">
        <v>0</v>
      </c>
      <c r="K3279" s="1508"/>
      <c r="L3279" s="1508"/>
      <c r="M3279" s="1509">
        <f t="shared" si="468"/>
        <v>0</v>
      </c>
      <c r="N3279" s="1508">
        <f t="shared" si="469"/>
        <v>0</v>
      </c>
    </row>
    <row r="3280" spans="1:14" ht="31" outlineLevel="1" x14ac:dyDescent="0.25">
      <c r="A3280" s="1492">
        <f t="shared" si="473"/>
        <v>0</v>
      </c>
      <c r="B3280" s="1492" t="str">
        <f t="shared" si="473"/>
        <v>iv-Construction of new security office and check post at various location in colony at CSTPS Chandrapur</v>
      </c>
      <c r="C3280" s="1488">
        <f t="shared" si="473"/>
        <v>0</v>
      </c>
      <c r="D3280" s="1413" t="str">
        <f t="shared" si="473"/>
        <v>-</v>
      </c>
      <c r="E3280" s="560">
        <f t="shared" si="473"/>
        <v>0.75</v>
      </c>
      <c r="F3280" s="1508">
        <f t="shared" si="474"/>
        <v>0</v>
      </c>
      <c r="G3280" s="1508">
        <f t="shared" si="475"/>
        <v>0</v>
      </c>
      <c r="H3280" s="1508">
        <f t="shared" ref="H3280:H3343" si="476">F3280-G3280</f>
        <v>0</v>
      </c>
      <c r="I3280" s="1480">
        <v>0</v>
      </c>
      <c r="J3280" s="1480">
        <v>0</v>
      </c>
      <c r="K3280" s="1508"/>
      <c r="L3280" s="1508"/>
      <c r="M3280" s="1509">
        <f t="shared" ref="M3280:M3343" si="477">SUM(J3280:L3280)</f>
        <v>0</v>
      </c>
      <c r="N3280" s="1508">
        <f t="shared" ref="N3280:N3343" si="478">H3280+I3280-M3280</f>
        <v>0</v>
      </c>
    </row>
    <row r="3281" spans="1:14" ht="31" outlineLevel="1" x14ac:dyDescent="0.25">
      <c r="A3281" s="1492">
        <f t="shared" si="473"/>
        <v>0</v>
      </c>
      <c r="B3281" s="1492" t="str">
        <f t="shared" si="473"/>
        <v>v-Construction of swimming pool in colony at CSTPS Chandrapur</v>
      </c>
      <c r="C3281" s="1488">
        <f t="shared" si="473"/>
        <v>0</v>
      </c>
      <c r="D3281" s="1413" t="str">
        <f t="shared" si="473"/>
        <v>-</v>
      </c>
      <c r="E3281" s="560">
        <f t="shared" si="473"/>
        <v>2</v>
      </c>
      <c r="F3281" s="1508">
        <f t="shared" si="474"/>
        <v>0</v>
      </c>
      <c r="G3281" s="1508">
        <f t="shared" si="475"/>
        <v>0</v>
      </c>
      <c r="H3281" s="1508">
        <f t="shared" si="476"/>
        <v>0</v>
      </c>
      <c r="I3281" s="1480">
        <v>0</v>
      </c>
      <c r="J3281" s="1480">
        <v>0</v>
      </c>
      <c r="K3281" s="1508"/>
      <c r="L3281" s="1508"/>
      <c r="M3281" s="1509">
        <f t="shared" si="477"/>
        <v>0</v>
      </c>
      <c r="N3281" s="1508">
        <f t="shared" si="478"/>
        <v>0</v>
      </c>
    </row>
    <row r="3282" spans="1:14" ht="46.5" outlineLevel="1" x14ac:dyDescent="0.25">
      <c r="A3282" s="1492">
        <f t="shared" ref="A3282:E3297" si="479">A2612</f>
        <v>0</v>
      </c>
      <c r="B3282" s="1492" t="str">
        <f t="shared" si="479"/>
        <v>vii-Providing new drinking water supply DI- pipe line  300 mm dia .for domestic water supply to rsidential colony at CSTPS Chandrapur.</v>
      </c>
      <c r="C3282" s="1488">
        <f t="shared" si="479"/>
        <v>0</v>
      </c>
      <c r="D3282" s="1413" t="str">
        <f t="shared" si="479"/>
        <v>-</v>
      </c>
      <c r="E3282" s="560">
        <f t="shared" si="479"/>
        <v>2</v>
      </c>
      <c r="F3282" s="1508">
        <f t="shared" si="474"/>
        <v>0</v>
      </c>
      <c r="G3282" s="1508">
        <f t="shared" si="475"/>
        <v>0</v>
      </c>
      <c r="H3282" s="1508">
        <f t="shared" si="476"/>
        <v>0</v>
      </c>
      <c r="I3282" s="1480">
        <v>0</v>
      </c>
      <c r="J3282" s="1480">
        <v>0</v>
      </c>
      <c r="K3282" s="1508"/>
      <c r="L3282" s="1508"/>
      <c r="M3282" s="1509">
        <f t="shared" si="477"/>
        <v>0</v>
      </c>
      <c r="N3282" s="1508">
        <f t="shared" si="478"/>
        <v>0</v>
      </c>
    </row>
    <row r="3283" spans="1:14" ht="31" outlineLevel="1" x14ac:dyDescent="0.25">
      <c r="A3283" s="1492">
        <f t="shared" si="479"/>
        <v>0</v>
      </c>
      <c r="B3283" s="1492" t="str">
        <f t="shared" si="479"/>
        <v>viii-Rain water Harvesting system to residential building at CSTPS Chandrapur.</v>
      </c>
      <c r="C3283" s="1488">
        <f t="shared" si="479"/>
        <v>0</v>
      </c>
      <c r="D3283" s="1413" t="str">
        <f t="shared" si="479"/>
        <v>-</v>
      </c>
      <c r="E3283" s="560">
        <f t="shared" si="479"/>
        <v>2</v>
      </c>
      <c r="F3283" s="1508">
        <f t="shared" si="474"/>
        <v>0</v>
      </c>
      <c r="G3283" s="1508">
        <f t="shared" si="475"/>
        <v>0</v>
      </c>
      <c r="H3283" s="1508">
        <f t="shared" si="476"/>
        <v>0</v>
      </c>
      <c r="I3283" s="1480">
        <v>0</v>
      </c>
      <c r="J3283" s="1480">
        <v>0</v>
      </c>
      <c r="K3283" s="1508"/>
      <c r="L3283" s="1508"/>
      <c r="M3283" s="1509">
        <f t="shared" si="477"/>
        <v>0</v>
      </c>
      <c r="N3283" s="1508">
        <f t="shared" si="478"/>
        <v>0</v>
      </c>
    </row>
    <row r="3284" spans="1:14" ht="15.5" outlineLevel="1" x14ac:dyDescent="0.25">
      <c r="A3284" s="1486">
        <f t="shared" si="479"/>
        <v>9</v>
      </c>
      <c r="B3284" s="1491" t="str">
        <f t="shared" si="479"/>
        <v>Renovation of public utility building of CSTPS, Chandrapur</v>
      </c>
      <c r="C3284" s="1488">
        <f t="shared" si="479"/>
        <v>0</v>
      </c>
      <c r="D3284" s="1413" t="str">
        <f t="shared" si="479"/>
        <v>-</v>
      </c>
      <c r="E3284" s="560">
        <f t="shared" si="479"/>
        <v>29.950000000000003</v>
      </c>
      <c r="F3284" s="1508">
        <f t="shared" si="474"/>
        <v>0</v>
      </c>
      <c r="G3284" s="1508">
        <f t="shared" si="475"/>
        <v>0</v>
      </c>
      <c r="H3284" s="1508">
        <f t="shared" si="476"/>
        <v>0</v>
      </c>
      <c r="I3284" s="1480">
        <v>0</v>
      </c>
      <c r="J3284" s="1480">
        <v>0</v>
      </c>
      <c r="K3284" s="1508"/>
      <c r="L3284" s="1508"/>
      <c r="M3284" s="1509">
        <f t="shared" si="477"/>
        <v>0</v>
      </c>
      <c r="N3284" s="1508">
        <f t="shared" si="478"/>
        <v>0</v>
      </c>
    </row>
    <row r="3285" spans="1:14" ht="15.5" outlineLevel="1" x14ac:dyDescent="0.25">
      <c r="A3285" s="1492">
        <f t="shared" si="479"/>
        <v>0</v>
      </c>
      <c r="B3285" s="1492" t="str">
        <f t="shared" si="479"/>
        <v>Renovation and interior decoration of Hirai guest house</v>
      </c>
      <c r="C3285" s="1488">
        <f t="shared" si="479"/>
        <v>0</v>
      </c>
      <c r="D3285" s="1413" t="str">
        <f t="shared" si="479"/>
        <v>-</v>
      </c>
      <c r="E3285" s="560">
        <f t="shared" si="479"/>
        <v>7.51</v>
      </c>
      <c r="F3285" s="1508">
        <f t="shared" si="474"/>
        <v>3.7549999999999999</v>
      </c>
      <c r="G3285" s="1508">
        <f t="shared" si="475"/>
        <v>3.7549999999999999</v>
      </c>
      <c r="H3285" s="1508">
        <f t="shared" si="476"/>
        <v>0</v>
      </c>
      <c r="I3285" s="1480">
        <v>3.7549999999999999</v>
      </c>
      <c r="J3285" s="1480">
        <v>3.7549999999999999</v>
      </c>
      <c r="K3285" s="1508"/>
      <c r="L3285" s="1508"/>
      <c r="M3285" s="1509">
        <f t="shared" si="477"/>
        <v>3.7549999999999999</v>
      </c>
      <c r="N3285" s="1508">
        <f t="shared" si="478"/>
        <v>0</v>
      </c>
    </row>
    <row r="3286" spans="1:14" ht="31" outlineLevel="1" x14ac:dyDescent="0.25">
      <c r="A3286" s="1492">
        <f t="shared" si="479"/>
        <v>0</v>
      </c>
      <c r="B3286" s="1492" t="str">
        <f t="shared" si="479"/>
        <v>Renovation and interior decoration of existing chummery guest house</v>
      </c>
      <c r="C3286" s="1488">
        <f t="shared" si="479"/>
        <v>0</v>
      </c>
      <c r="D3286" s="1413" t="str">
        <f t="shared" si="479"/>
        <v>-</v>
      </c>
      <c r="E3286" s="560">
        <f t="shared" si="479"/>
        <v>12.22</v>
      </c>
      <c r="F3286" s="1508">
        <f t="shared" si="474"/>
        <v>6.11</v>
      </c>
      <c r="G3286" s="1508">
        <f t="shared" si="475"/>
        <v>6.11</v>
      </c>
      <c r="H3286" s="1508">
        <f t="shared" si="476"/>
        <v>0</v>
      </c>
      <c r="I3286" s="1480">
        <v>6.11</v>
      </c>
      <c r="J3286" s="1480">
        <v>6.11</v>
      </c>
      <c r="K3286" s="1508"/>
      <c r="L3286" s="1508"/>
      <c r="M3286" s="1509">
        <f t="shared" si="477"/>
        <v>6.11</v>
      </c>
      <c r="N3286" s="1508">
        <f t="shared" si="478"/>
        <v>0</v>
      </c>
    </row>
    <row r="3287" spans="1:14" ht="31" outlineLevel="1" x14ac:dyDescent="0.25">
      <c r="A3287" s="1492">
        <f t="shared" si="479"/>
        <v>0</v>
      </c>
      <c r="B3287" s="1492" t="str">
        <f t="shared" si="479"/>
        <v>Renovation and interior decoration of existing Erai dam guest house</v>
      </c>
      <c r="C3287" s="1488">
        <f t="shared" si="479"/>
        <v>0</v>
      </c>
      <c r="D3287" s="1413" t="str">
        <f t="shared" si="479"/>
        <v>-</v>
      </c>
      <c r="E3287" s="560">
        <f t="shared" si="479"/>
        <v>6.65</v>
      </c>
      <c r="F3287" s="1508">
        <f t="shared" si="474"/>
        <v>3.3250000000000002</v>
      </c>
      <c r="G3287" s="1508">
        <f t="shared" si="475"/>
        <v>3.3250000000000002</v>
      </c>
      <c r="H3287" s="1508">
        <f t="shared" si="476"/>
        <v>0</v>
      </c>
      <c r="I3287" s="1480">
        <v>3.3250000000000002</v>
      </c>
      <c r="J3287" s="1480">
        <v>3.3250000000000002</v>
      </c>
      <c r="K3287" s="1508"/>
      <c r="L3287" s="1508"/>
      <c r="M3287" s="1509">
        <f t="shared" si="477"/>
        <v>3.3250000000000002</v>
      </c>
      <c r="N3287" s="1508">
        <f t="shared" si="478"/>
        <v>0</v>
      </c>
    </row>
    <row r="3288" spans="1:14" ht="46.5" outlineLevel="1" x14ac:dyDescent="0.25">
      <c r="A3288" s="1492">
        <f t="shared" si="479"/>
        <v>0</v>
      </c>
      <c r="B3288" s="1492" t="str">
        <f t="shared" si="479"/>
        <v xml:space="preserve">Work of interior decoration by proding stop cabin arrangement and other internal architechture decorative work for RP section of admin building </v>
      </c>
      <c r="C3288" s="1488">
        <f t="shared" si="479"/>
        <v>0</v>
      </c>
      <c r="D3288" s="1413" t="str">
        <f t="shared" si="479"/>
        <v>-</v>
      </c>
      <c r="E3288" s="560">
        <f t="shared" si="479"/>
        <v>3.57</v>
      </c>
      <c r="F3288" s="1508">
        <f t="shared" si="474"/>
        <v>1.7849999999999999</v>
      </c>
      <c r="G3288" s="1508">
        <f t="shared" si="475"/>
        <v>1.7849999999999999</v>
      </c>
      <c r="H3288" s="1508">
        <f t="shared" si="476"/>
        <v>0</v>
      </c>
      <c r="I3288" s="1480">
        <v>1.7849999999999999</v>
      </c>
      <c r="J3288" s="1480">
        <v>1.7849999999999999</v>
      </c>
      <c r="K3288" s="1508"/>
      <c r="L3288" s="1508"/>
      <c r="M3288" s="1509">
        <f t="shared" si="477"/>
        <v>1.7849999999999999</v>
      </c>
      <c r="N3288" s="1508">
        <f t="shared" si="478"/>
        <v>0</v>
      </c>
    </row>
    <row r="3289" spans="1:14" ht="15.5" outlineLevel="1" x14ac:dyDescent="0.25">
      <c r="A3289" s="1486">
        <f t="shared" si="479"/>
        <v>10</v>
      </c>
      <c r="B3289" s="1491" t="str">
        <f t="shared" si="479"/>
        <v>R&amp;M/LE for Identified Thermal units of MSPGCL</v>
      </c>
      <c r="C3289" s="1488">
        <f t="shared" si="479"/>
        <v>0</v>
      </c>
      <c r="D3289" s="1413" t="str">
        <f t="shared" si="479"/>
        <v>-</v>
      </c>
      <c r="E3289" s="560">
        <f t="shared" si="479"/>
        <v>400</v>
      </c>
      <c r="F3289" s="1508">
        <f t="shared" si="474"/>
        <v>0</v>
      </c>
      <c r="G3289" s="1508">
        <f t="shared" si="475"/>
        <v>0</v>
      </c>
      <c r="H3289" s="1508">
        <f t="shared" si="476"/>
        <v>0</v>
      </c>
      <c r="I3289" s="1480">
        <v>0</v>
      </c>
      <c r="J3289" s="1480">
        <v>0</v>
      </c>
      <c r="K3289" s="1508"/>
      <c r="L3289" s="1508"/>
      <c r="M3289" s="1509">
        <f t="shared" si="477"/>
        <v>0</v>
      </c>
      <c r="N3289" s="1508">
        <f t="shared" si="478"/>
        <v>0</v>
      </c>
    </row>
    <row r="3290" spans="1:14" ht="15.5" outlineLevel="1" x14ac:dyDescent="0.25">
      <c r="A3290" s="1492">
        <f t="shared" si="479"/>
        <v>0</v>
      </c>
      <c r="B3290" s="1492" t="str">
        <f t="shared" si="479"/>
        <v>R&amp;M/LE for Identified Thermal units of MSPGCL, CSTPS U-3</v>
      </c>
      <c r="C3290" s="1488">
        <f t="shared" si="479"/>
        <v>0</v>
      </c>
      <c r="D3290" s="1413" t="str">
        <f t="shared" si="479"/>
        <v>-</v>
      </c>
      <c r="E3290" s="560">
        <f t="shared" si="479"/>
        <v>293</v>
      </c>
      <c r="F3290" s="1508">
        <f t="shared" si="474"/>
        <v>0</v>
      </c>
      <c r="G3290" s="1508">
        <f t="shared" si="475"/>
        <v>0</v>
      </c>
      <c r="H3290" s="1508">
        <f t="shared" si="476"/>
        <v>0</v>
      </c>
      <c r="I3290" s="1480">
        <v>293</v>
      </c>
      <c r="J3290" s="1480">
        <v>293</v>
      </c>
      <c r="K3290" s="1508"/>
      <c r="L3290" s="1508"/>
      <c r="M3290" s="1509">
        <f t="shared" si="477"/>
        <v>293</v>
      </c>
      <c r="N3290" s="1508">
        <f t="shared" si="478"/>
        <v>0</v>
      </c>
    </row>
    <row r="3291" spans="1:14" ht="15.5" outlineLevel="1" x14ac:dyDescent="0.25">
      <c r="A3291" s="1492">
        <f t="shared" si="479"/>
        <v>0</v>
      </c>
      <c r="B3291" s="1492" t="str">
        <f t="shared" si="479"/>
        <v>R&amp;M/LE for Identified Thermal units of MSPGCL, CSTPS U-4</v>
      </c>
      <c r="C3291" s="1488">
        <f t="shared" si="479"/>
        <v>0</v>
      </c>
      <c r="D3291" s="1413" t="str">
        <f t="shared" si="479"/>
        <v>-</v>
      </c>
      <c r="E3291" s="560">
        <f t="shared" si="479"/>
        <v>300</v>
      </c>
      <c r="F3291" s="1508">
        <f t="shared" si="474"/>
        <v>0</v>
      </c>
      <c r="G3291" s="1508">
        <f t="shared" si="475"/>
        <v>0</v>
      </c>
      <c r="H3291" s="1508">
        <f t="shared" si="476"/>
        <v>0</v>
      </c>
      <c r="I3291" s="1480">
        <v>0</v>
      </c>
      <c r="J3291" s="1480">
        <v>0</v>
      </c>
      <c r="K3291" s="1508"/>
      <c r="L3291" s="1508"/>
      <c r="M3291" s="1509">
        <f t="shared" si="477"/>
        <v>0</v>
      </c>
      <c r="N3291" s="1508">
        <f t="shared" si="478"/>
        <v>0</v>
      </c>
    </row>
    <row r="3292" spans="1:14" ht="15.5" outlineLevel="1" x14ac:dyDescent="0.25">
      <c r="A3292" s="1486">
        <f t="shared" si="479"/>
        <v>11</v>
      </c>
      <c r="B3292" s="1491" t="str">
        <f t="shared" si="479"/>
        <v xml:space="preserve">CHP Improvement Schemes </v>
      </c>
      <c r="C3292" s="1488">
        <f t="shared" si="479"/>
        <v>0</v>
      </c>
      <c r="D3292" s="1413" t="str">
        <f t="shared" si="479"/>
        <v>-</v>
      </c>
      <c r="E3292" s="560">
        <f t="shared" si="479"/>
        <v>100</v>
      </c>
      <c r="F3292" s="1508">
        <f t="shared" si="474"/>
        <v>0</v>
      </c>
      <c r="G3292" s="1508">
        <f t="shared" si="475"/>
        <v>0</v>
      </c>
      <c r="H3292" s="1508">
        <f t="shared" si="476"/>
        <v>0</v>
      </c>
      <c r="I3292" s="1480">
        <v>0</v>
      </c>
      <c r="J3292" s="1480">
        <v>0</v>
      </c>
      <c r="K3292" s="1508"/>
      <c r="L3292" s="1508"/>
      <c r="M3292" s="1509">
        <f t="shared" si="477"/>
        <v>0</v>
      </c>
      <c r="N3292" s="1508">
        <f t="shared" si="478"/>
        <v>0</v>
      </c>
    </row>
    <row r="3293" spans="1:14" ht="15.5" outlineLevel="1" x14ac:dyDescent="0.25">
      <c r="A3293" s="1492">
        <f t="shared" si="479"/>
        <v>0</v>
      </c>
      <c r="B3293" s="1492" t="str">
        <f t="shared" si="479"/>
        <v>CHP Improvement Schemes at CHP-A, B, C</v>
      </c>
      <c r="C3293" s="1488">
        <f t="shared" si="479"/>
        <v>0</v>
      </c>
      <c r="D3293" s="1413" t="str">
        <f t="shared" si="479"/>
        <v>-</v>
      </c>
      <c r="E3293" s="560">
        <f t="shared" si="479"/>
        <v>100</v>
      </c>
      <c r="F3293" s="1508">
        <f t="shared" si="474"/>
        <v>0</v>
      </c>
      <c r="G3293" s="1508">
        <f t="shared" si="475"/>
        <v>0</v>
      </c>
      <c r="H3293" s="1508">
        <f t="shared" si="476"/>
        <v>0</v>
      </c>
      <c r="I3293" s="1480">
        <v>100</v>
      </c>
      <c r="J3293" s="1480">
        <v>100</v>
      </c>
      <c r="K3293" s="1508"/>
      <c r="L3293" s="1508"/>
      <c r="M3293" s="1509">
        <f t="shared" si="477"/>
        <v>100</v>
      </c>
      <c r="N3293" s="1508">
        <f t="shared" si="478"/>
        <v>0</v>
      </c>
    </row>
    <row r="3294" spans="1:14" ht="15.5" outlineLevel="1" x14ac:dyDescent="0.25">
      <c r="A3294" s="1486">
        <f t="shared" si="479"/>
        <v>12</v>
      </c>
      <c r="B3294" s="1491" t="str">
        <f t="shared" si="479"/>
        <v>Developlment &amp; Upgradation of SAP for MSPGCL</v>
      </c>
      <c r="C3294" s="1488">
        <f t="shared" si="479"/>
        <v>0</v>
      </c>
      <c r="D3294" s="1413" t="str">
        <f t="shared" si="479"/>
        <v>-</v>
      </c>
      <c r="E3294" s="560">
        <f t="shared" si="479"/>
        <v>200</v>
      </c>
      <c r="F3294" s="1508">
        <f t="shared" si="474"/>
        <v>0</v>
      </c>
      <c r="G3294" s="1508">
        <f t="shared" si="475"/>
        <v>0</v>
      </c>
      <c r="H3294" s="1508">
        <f t="shared" si="476"/>
        <v>0</v>
      </c>
      <c r="I3294" s="1480">
        <v>0</v>
      </c>
      <c r="J3294" s="1480">
        <v>0</v>
      </c>
      <c r="K3294" s="1508"/>
      <c r="L3294" s="1508"/>
      <c r="M3294" s="1509">
        <f t="shared" si="477"/>
        <v>0</v>
      </c>
      <c r="N3294" s="1508">
        <f t="shared" si="478"/>
        <v>0</v>
      </c>
    </row>
    <row r="3295" spans="1:14" ht="15.5" outlineLevel="1" x14ac:dyDescent="0.25">
      <c r="A3295" s="1492">
        <f t="shared" si="479"/>
        <v>0</v>
      </c>
      <c r="B3295" s="1492" t="str">
        <f t="shared" si="479"/>
        <v>Developlment &amp; Upgradation of SAP for MSPGCL</v>
      </c>
      <c r="C3295" s="1488">
        <f t="shared" si="479"/>
        <v>0</v>
      </c>
      <c r="D3295" s="1413" t="str">
        <f t="shared" si="479"/>
        <v>-</v>
      </c>
      <c r="E3295" s="560">
        <f t="shared" si="479"/>
        <v>200</v>
      </c>
      <c r="F3295" s="1508">
        <f t="shared" si="474"/>
        <v>200</v>
      </c>
      <c r="G3295" s="1508">
        <f t="shared" si="475"/>
        <v>200</v>
      </c>
      <c r="H3295" s="1508">
        <f t="shared" si="476"/>
        <v>0</v>
      </c>
      <c r="I3295" s="1480">
        <v>0</v>
      </c>
      <c r="J3295" s="1480">
        <v>0</v>
      </c>
      <c r="K3295" s="1508"/>
      <c r="L3295" s="1508"/>
      <c r="M3295" s="1509">
        <f t="shared" si="477"/>
        <v>0</v>
      </c>
      <c r="N3295" s="1508">
        <f t="shared" si="478"/>
        <v>0</v>
      </c>
    </row>
    <row r="3296" spans="1:14" ht="62" outlineLevel="1" x14ac:dyDescent="0.25">
      <c r="A3296" s="1486">
        <f t="shared" si="479"/>
        <v>13</v>
      </c>
      <c r="B3296" s="1491" t="str">
        <f t="shared" si="479"/>
        <v>Design, supply, installation and commissioning of Smart Energy Efficienient Illumination System for safety precautions and proving suitable working conditions  at stg-II &amp; III, CSTPS, Chandrapur</v>
      </c>
      <c r="C3296" s="1488">
        <f t="shared" si="479"/>
        <v>0</v>
      </c>
      <c r="D3296" s="1413" t="str">
        <f t="shared" si="479"/>
        <v>-</v>
      </c>
      <c r="E3296" s="560">
        <f t="shared" si="479"/>
        <v>42</v>
      </c>
      <c r="F3296" s="1508">
        <f t="shared" si="474"/>
        <v>0</v>
      </c>
      <c r="G3296" s="1508">
        <f t="shared" si="475"/>
        <v>0</v>
      </c>
      <c r="H3296" s="1508">
        <f t="shared" si="476"/>
        <v>0</v>
      </c>
      <c r="I3296" s="1480">
        <v>0</v>
      </c>
      <c r="J3296" s="1480">
        <v>0</v>
      </c>
      <c r="K3296" s="1508"/>
      <c r="L3296" s="1508"/>
      <c r="M3296" s="1509">
        <f t="shared" si="477"/>
        <v>0</v>
      </c>
      <c r="N3296" s="1508">
        <f t="shared" si="478"/>
        <v>0</v>
      </c>
    </row>
    <row r="3297" spans="1:14" ht="62" outlineLevel="1" x14ac:dyDescent="0.25">
      <c r="A3297" s="1492">
        <f t="shared" si="479"/>
        <v>0</v>
      </c>
      <c r="B3297" s="1492" t="str">
        <f t="shared" si="479"/>
        <v>Design, supply, installation and commissioning of Smart Energy Efficienient Illumination System for safety precautions and proving suitable working conditions  at stg-II &amp; III, CSTPS, Chandrapur</v>
      </c>
      <c r="C3297" s="1488">
        <f t="shared" si="479"/>
        <v>0</v>
      </c>
      <c r="D3297" s="1413" t="str">
        <f t="shared" si="479"/>
        <v>-</v>
      </c>
      <c r="E3297" s="560">
        <f t="shared" si="479"/>
        <v>42</v>
      </c>
      <c r="F3297" s="1508">
        <f t="shared" si="474"/>
        <v>42</v>
      </c>
      <c r="G3297" s="1508">
        <f t="shared" si="475"/>
        <v>42</v>
      </c>
      <c r="H3297" s="1508">
        <f t="shared" si="476"/>
        <v>0</v>
      </c>
      <c r="I3297" s="1480">
        <v>0</v>
      </c>
      <c r="J3297" s="1480">
        <v>0</v>
      </c>
      <c r="K3297" s="1508"/>
      <c r="L3297" s="1508"/>
      <c r="M3297" s="1509">
        <f t="shared" si="477"/>
        <v>0</v>
      </c>
      <c r="N3297" s="1508">
        <f t="shared" si="478"/>
        <v>0</v>
      </c>
    </row>
    <row r="3298" spans="1:14" ht="15.5" outlineLevel="1" x14ac:dyDescent="0.25">
      <c r="A3298" s="1486">
        <f t="shared" ref="A3298:E3313" si="480">A2628</f>
        <v>14</v>
      </c>
      <c r="B3298" s="1491" t="str">
        <f t="shared" si="480"/>
        <v>Implementation of Flexible Operation Solutions  (U-3,4)</v>
      </c>
      <c r="C3298" s="1488">
        <f t="shared" si="480"/>
        <v>0</v>
      </c>
      <c r="D3298" s="1413" t="str">
        <f t="shared" si="480"/>
        <v>-</v>
      </c>
      <c r="E3298" s="560">
        <f t="shared" si="480"/>
        <v>25</v>
      </c>
      <c r="F3298" s="1508">
        <f t="shared" si="474"/>
        <v>0</v>
      </c>
      <c r="G3298" s="1508">
        <f t="shared" si="475"/>
        <v>0</v>
      </c>
      <c r="H3298" s="1508">
        <f t="shared" si="476"/>
        <v>0</v>
      </c>
      <c r="I3298" s="1480">
        <v>0</v>
      </c>
      <c r="J3298" s="1480">
        <v>0</v>
      </c>
      <c r="K3298" s="1508"/>
      <c r="L3298" s="1508"/>
      <c r="M3298" s="1509">
        <f t="shared" si="477"/>
        <v>0</v>
      </c>
      <c r="N3298" s="1508">
        <f t="shared" si="478"/>
        <v>0</v>
      </c>
    </row>
    <row r="3299" spans="1:14" ht="15.5" outlineLevel="1" x14ac:dyDescent="0.25">
      <c r="A3299" s="1492">
        <f t="shared" si="480"/>
        <v>0</v>
      </c>
      <c r="B3299" s="1492" t="str">
        <f t="shared" si="480"/>
        <v>Implementation of Flexible Operation Solutions (U-3,4)</v>
      </c>
      <c r="C3299" s="1488">
        <f t="shared" si="480"/>
        <v>0</v>
      </c>
      <c r="D3299" s="1413" t="str">
        <f t="shared" si="480"/>
        <v>-</v>
      </c>
      <c r="E3299" s="560">
        <f t="shared" si="480"/>
        <v>25</v>
      </c>
      <c r="F3299" s="1508">
        <f t="shared" si="474"/>
        <v>25</v>
      </c>
      <c r="G3299" s="1508">
        <f t="shared" si="475"/>
        <v>25</v>
      </c>
      <c r="H3299" s="1508">
        <f t="shared" si="476"/>
        <v>0</v>
      </c>
      <c r="I3299" s="1480">
        <v>0</v>
      </c>
      <c r="J3299" s="1480">
        <v>0</v>
      </c>
      <c r="K3299" s="1508"/>
      <c r="L3299" s="1508"/>
      <c r="M3299" s="1509">
        <f t="shared" si="477"/>
        <v>0</v>
      </c>
      <c r="N3299" s="1508">
        <f t="shared" si="478"/>
        <v>0</v>
      </c>
    </row>
    <row r="3300" spans="1:14" ht="15.5" outlineLevel="1" x14ac:dyDescent="0.25">
      <c r="A3300" s="1486">
        <f t="shared" si="480"/>
        <v>15</v>
      </c>
      <c r="B3300" s="1491" t="str">
        <f t="shared" si="480"/>
        <v>DPR for ash utilisation cell- infrastructure development</v>
      </c>
      <c r="C3300" s="1488">
        <f t="shared" si="480"/>
        <v>0</v>
      </c>
      <c r="D3300" s="1413" t="str">
        <f t="shared" si="480"/>
        <v>-</v>
      </c>
      <c r="E3300" s="560">
        <f t="shared" si="480"/>
        <v>278.5</v>
      </c>
      <c r="F3300" s="1508">
        <f t="shared" si="474"/>
        <v>0</v>
      </c>
      <c r="G3300" s="1508">
        <f t="shared" si="475"/>
        <v>0</v>
      </c>
      <c r="H3300" s="1508">
        <f t="shared" si="476"/>
        <v>0</v>
      </c>
      <c r="I3300" s="1480">
        <v>0</v>
      </c>
      <c r="J3300" s="1480">
        <v>0</v>
      </c>
      <c r="K3300" s="1508"/>
      <c r="L3300" s="1508"/>
      <c r="M3300" s="1509">
        <f t="shared" si="477"/>
        <v>0</v>
      </c>
      <c r="N3300" s="1508">
        <f t="shared" si="478"/>
        <v>0</v>
      </c>
    </row>
    <row r="3301" spans="1:14" ht="31" outlineLevel="1" x14ac:dyDescent="0.25">
      <c r="A3301" s="1492">
        <f t="shared" si="480"/>
        <v>0</v>
      </c>
      <c r="B3301" s="1492" t="str">
        <f t="shared" si="480"/>
        <v>DPR for development of infrastructure for loading and dispatch of fly ash through Railway Wagons, CSTPS, Chandrapur</v>
      </c>
      <c r="C3301" s="1488">
        <f t="shared" si="480"/>
        <v>0</v>
      </c>
      <c r="D3301" s="1413" t="str">
        <f t="shared" si="480"/>
        <v>-</v>
      </c>
      <c r="E3301" s="560">
        <f t="shared" si="480"/>
        <v>268</v>
      </c>
      <c r="F3301" s="1508">
        <f t="shared" si="474"/>
        <v>200</v>
      </c>
      <c r="G3301" s="1508">
        <f t="shared" si="475"/>
        <v>200</v>
      </c>
      <c r="H3301" s="1508">
        <f t="shared" si="476"/>
        <v>0</v>
      </c>
      <c r="I3301" s="1480">
        <v>68</v>
      </c>
      <c r="J3301" s="1480">
        <v>68</v>
      </c>
      <c r="K3301" s="1508"/>
      <c r="L3301" s="1508"/>
      <c r="M3301" s="1509">
        <f t="shared" si="477"/>
        <v>68</v>
      </c>
      <c r="N3301" s="1508">
        <f t="shared" si="478"/>
        <v>0</v>
      </c>
    </row>
    <row r="3302" spans="1:14" ht="31" outlineLevel="1" x14ac:dyDescent="0.25">
      <c r="A3302" s="1492">
        <f t="shared" si="480"/>
        <v>0</v>
      </c>
      <c r="B3302" s="1492" t="str">
        <f t="shared" si="480"/>
        <v>Disposal of bottom ash for stowing of u/g mines of Chandrapur Area by installing direct pipeline from CSTPS to WCL</v>
      </c>
      <c r="C3302" s="1488">
        <f t="shared" si="480"/>
        <v>0</v>
      </c>
      <c r="D3302" s="1413" t="str">
        <f t="shared" si="480"/>
        <v>-</v>
      </c>
      <c r="E3302" s="560">
        <f t="shared" si="480"/>
        <v>10</v>
      </c>
      <c r="F3302" s="1508">
        <f t="shared" si="474"/>
        <v>10</v>
      </c>
      <c r="G3302" s="1508">
        <f t="shared" si="475"/>
        <v>10</v>
      </c>
      <c r="H3302" s="1508">
        <f t="shared" si="476"/>
        <v>0</v>
      </c>
      <c r="I3302" s="1480">
        <v>0</v>
      </c>
      <c r="J3302" s="1480">
        <v>0</v>
      </c>
      <c r="K3302" s="1508"/>
      <c r="L3302" s="1508"/>
      <c r="M3302" s="1509">
        <f t="shared" si="477"/>
        <v>0</v>
      </c>
      <c r="N3302" s="1508">
        <f t="shared" si="478"/>
        <v>0</v>
      </c>
    </row>
    <row r="3303" spans="1:14" ht="46.5" outlineLevel="1" x14ac:dyDescent="0.25">
      <c r="A3303" s="1492">
        <f t="shared" si="480"/>
        <v>0</v>
      </c>
      <c r="B3303" s="1492" t="str">
        <f t="shared" si="480"/>
        <v>Design, supply, installation, testing and commissioning of 100 MT 16X3 Mtr. electronic weigh bridge system, for weighment and dispatch of Pond Ash from Ash bund, CSTPS, Chandrapur</v>
      </c>
      <c r="C3303" s="1488">
        <f t="shared" si="480"/>
        <v>0</v>
      </c>
      <c r="D3303" s="1413" t="str">
        <f t="shared" si="480"/>
        <v>-</v>
      </c>
      <c r="E3303" s="560">
        <f t="shared" si="480"/>
        <v>0.5</v>
      </c>
      <c r="F3303" s="1508">
        <f t="shared" si="474"/>
        <v>0.5</v>
      </c>
      <c r="G3303" s="1508">
        <f t="shared" si="475"/>
        <v>0.5</v>
      </c>
      <c r="H3303" s="1508">
        <f t="shared" si="476"/>
        <v>0</v>
      </c>
      <c r="I3303" s="1480">
        <v>0</v>
      </c>
      <c r="J3303" s="1480">
        <v>0</v>
      </c>
      <c r="K3303" s="1508"/>
      <c r="L3303" s="1508"/>
      <c r="M3303" s="1509">
        <f t="shared" si="477"/>
        <v>0</v>
      </c>
      <c r="N3303" s="1508">
        <f t="shared" si="478"/>
        <v>0</v>
      </c>
    </row>
    <row r="3304" spans="1:14" ht="15.5" outlineLevel="1" x14ac:dyDescent="0.25">
      <c r="A3304" s="1486">
        <f t="shared" si="480"/>
        <v>16</v>
      </c>
      <c r="B3304" s="1491" t="str">
        <f t="shared" si="480"/>
        <v>Up-gradation Schemes for CAAQM Stations &amp; NABL Laboratory</v>
      </c>
      <c r="C3304" s="1488">
        <f t="shared" si="480"/>
        <v>0</v>
      </c>
      <c r="D3304" s="1413" t="str">
        <f t="shared" si="480"/>
        <v>-</v>
      </c>
      <c r="E3304" s="560">
        <f t="shared" si="480"/>
        <v>25</v>
      </c>
      <c r="F3304" s="1508">
        <f t="shared" si="474"/>
        <v>0</v>
      </c>
      <c r="G3304" s="1508">
        <f t="shared" si="475"/>
        <v>0</v>
      </c>
      <c r="H3304" s="1508">
        <f t="shared" si="476"/>
        <v>0</v>
      </c>
      <c r="I3304" s="1480">
        <v>0</v>
      </c>
      <c r="J3304" s="1480">
        <v>0</v>
      </c>
      <c r="K3304" s="1508"/>
      <c r="L3304" s="1508"/>
      <c r="M3304" s="1509">
        <f t="shared" si="477"/>
        <v>0</v>
      </c>
      <c r="N3304" s="1508">
        <f t="shared" si="478"/>
        <v>0</v>
      </c>
    </row>
    <row r="3305" spans="1:14" ht="15.5" outlineLevel="1" x14ac:dyDescent="0.25">
      <c r="A3305" s="1492">
        <f t="shared" si="480"/>
        <v>0</v>
      </c>
      <c r="B3305" s="1492" t="str">
        <f t="shared" si="480"/>
        <v>Up-gradation Schemes for CAAQM Stations &amp; NABL Laboratory</v>
      </c>
      <c r="C3305" s="1488">
        <f t="shared" si="480"/>
        <v>0</v>
      </c>
      <c r="D3305" s="1413" t="str">
        <f t="shared" si="480"/>
        <v>-</v>
      </c>
      <c r="E3305" s="560">
        <f t="shared" si="480"/>
        <v>25</v>
      </c>
      <c r="F3305" s="1508">
        <f t="shared" si="474"/>
        <v>0</v>
      </c>
      <c r="G3305" s="1508">
        <f t="shared" si="475"/>
        <v>0</v>
      </c>
      <c r="H3305" s="1508">
        <f t="shared" si="476"/>
        <v>0</v>
      </c>
      <c r="I3305" s="1480">
        <v>12.5</v>
      </c>
      <c r="J3305" s="1480">
        <v>12.5</v>
      </c>
      <c r="K3305" s="1508"/>
      <c r="L3305" s="1508"/>
      <c r="M3305" s="1509">
        <f t="shared" si="477"/>
        <v>12.5</v>
      </c>
      <c r="N3305" s="1508">
        <f t="shared" si="478"/>
        <v>0</v>
      </c>
    </row>
    <row r="3306" spans="1:14" ht="62" outlineLevel="1" x14ac:dyDescent="0.25">
      <c r="A3306" s="1486">
        <f t="shared" si="480"/>
        <v>17</v>
      </c>
      <c r="B3306" s="1491" t="str">
        <f t="shared" si="480"/>
        <v>Comprehensive Strategies for Environmental Sustainability at CSTPS: Implementing Zero Discharge Policies and Pollution Control Measures for Effective Water Body Management and Hazard Prevention</v>
      </c>
      <c r="C3306" s="1488">
        <f t="shared" si="480"/>
        <v>0</v>
      </c>
      <c r="D3306" s="1413" t="str">
        <f t="shared" si="480"/>
        <v>-</v>
      </c>
      <c r="E3306" s="560">
        <f t="shared" si="480"/>
        <v>27.6</v>
      </c>
      <c r="F3306" s="1508">
        <f t="shared" si="474"/>
        <v>0</v>
      </c>
      <c r="G3306" s="1508">
        <f t="shared" si="475"/>
        <v>0</v>
      </c>
      <c r="H3306" s="1508">
        <f t="shared" si="476"/>
        <v>0</v>
      </c>
      <c r="I3306" s="1480">
        <v>0</v>
      </c>
      <c r="J3306" s="1480">
        <v>0</v>
      </c>
      <c r="K3306" s="1508"/>
      <c r="L3306" s="1508"/>
      <c r="M3306" s="1509">
        <f t="shared" si="477"/>
        <v>0</v>
      </c>
      <c r="N3306" s="1508">
        <f t="shared" si="478"/>
        <v>0</v>
      </c>
    </row>
    <row r="3307" spans="1:14" ht="62" outlineLevel="1" x14ac:dyDescent="0.25">
      <c r="A3307" s="1492">
        <f t="shared" si="480"/>
        <v>0</v>
      </c>
      <c r="B3307" s="1492" t="str">
        <f t="shared" si="480"/>
        <v>Upgrading Settling tank near the Coal Reject Area: Installation of Settling Tank Liners and Enhanced Upgraded Pump House Systems to Prevent Acidic Water Seepage into the Ranvendli Nallah which connected to the ERAI River.</v>
      </c>
      <c r="C3307" s="1488">
        <f t="shared" si="480"/>
        <v>0</v>
      </c>
      <c r="D3307" s="1413" t="str">
        <f t="shared" si="480"/>
        <v>-</v>
      </c>
      <c r="E3307" s="560">
        <f t="shared" si="480"/>
        <v>8.9</v>
      </c>
      <c r="F3307" s="1508">
        <f t="shared" si="474"/>
        <v>0</v>
      </c>
      <c r="G3307" s="1508">
        <f t="shared" si="475"/>
        <v>0</v>
      </c>
      <c r="H3307" s="1508">
        <f t="shared" si="476"/>
        <v>0</v>
      </c>
      <c r="I3307" s="1480">
        <v>8.9</v>
      </c>
      <c r="J3307" s="1480">
        <v>8.9</v>
      </c>
      <c r="K3307" s="1508"/>
      <c r="L3307" s="1508"/>
      <c r="M3307" s="1509">
        <f t="shared" si="477"/>
        <v>8.9</v>
      </c>
      <c r="N3307" s="1508">
        <f t="shared" si="478"/>
        <v>0</v>
      </c>
    </row>
    <row r="3308" spans="1:14" ht="46.5" outlineLevel="1" x14ac:dyDescent="0.25">
      <c r="A3308" s="1492">
        <f t="shared" si="480"/>
        <v>0</v>
      </c>
      <c r="B3308" s="1492" t="str">
        <f t="shared" si="480"/>
        <v>Implementation of Zero Water Discharge Solutions: Design, Construction, and Commissioning of New Pump Houses for ETP 1 and ETP 2 to Enhance Capacity for Effective Water Recovery</v>
      </c>
      <c r="C3308" s="1488">
        <f t="shared" si="480"/>
        <v>0</v>
      </c>
      <c r="D3308" s="1413" t="str">
        <f t="shared" si="480"/>
        <v>-</v>
      </c>
      <c r="E3308" s="560">
        <f t="shared" si="480"/>
        <v>10.82</v>
      </c>
      <c r="F3308" s="1508">
        <f t="shared" si="474"/>
        <v>0</v>
      </c>
      <c r="G3308" s="1508">
        <f t="shared" si="475"/>
        <v>0</v>
      </c>
      <c r="H3308" s="1508">
        <f t="shared" si="476"/>
        <v>0</v>
      </c>
      <c r="I3308" s="1480">
        <v>10.82</v>
      </c>
      <c r="J3308" s="1480">
        <v>10.82</v>
      </c>
      <c r="K3308" s="1508"/>
      <c r="L3308" s="1508"/>
      <c r="M3308" s="1509">
        <f t="shared" si="477"/>
        <v>10.82</v>
      </c>
      <c r="N3308" s="1508">
        <f t="shared" si="478"/>
        <v>0</v>
      </c>
    </row>
    <row r="3309" spans="1:14" ht="62" outlineLevel="1" x14ac:dyDescent="0.25">
      <c r="A3309" s="1492">
        <f t="shared" si="480"/>
        <v>0</v>
      </c>
      <c r="B3309" s="1492" t="str">
        <f t="shared" si="480"/>
        <v>Underground Ash Disposal Pipeline Management: Design, Construction, and Installation of Filter Beds Along Ash Disposal Pipelines for Improved Environmental Protection of Water Bodies from Ingress into the Erai River</v>
      </c>
      <c r="C3309" s="1488">
        <f t="shared" si="480"/>
        <v>0</v>
      </c>
      <c r="D3309" s="1413" t="str">
        <f t="shared" si="480"/>
        <v>-</v>
      </c>
      <c r="E3309" s="560">
        <f t="shared" si="480"/>
        <v>7.88</v>
      </c>
      <c r="F3309" s="1508">
        <f t="shared" si="474"/>
        <v>0</v>
      </c>
      <c r="G3309" s="1508">
        <f t="shared" si="475"/>
        <v>0</v>
      </c>
      <c r="H3309" s="1508">
        <f t="shared" si="476"/>
        <v>0</v>
      </c>
      <c r="I3309" s="1480">
        <v>7.88</v>
      </c>
      <c r="J3309" s="1480">
        <v>7.88</v>
      </c>
      <c r="K3309" s="1508"/>
      <c r="L3309" s="1508"/>
      <c r="M3309" s="1509">
        <f t="shared" si="477"/>
        <v>7.88</v>
      </c>
      <c r="N3309" s="1508">
        <f t="shared" si="478"/>
        <v>0</v>
      </c>
    </row>
    <row r="3310" spans="1:14" ht="15.5" outlineLevel="1" x14ac:dyDescent="0.25">
      <c r="A3310" s="1486">
        <f t="shared" si="480"/>
        <v>18</v>
      </c>
      <c r="B3310" s="1491" t="str">
        <f t="shared" si="480"/>
        <v>Ash bund peripheral road</v>
      </c>
      <c r="C3310" s="1488">
        <f t="shared" si="480"/>
        <v>0</v>
      </c>
      <c r="D3310" s="1413" t="str">
        <f t="shared" si="480"/>
        <v>-</v>
      </c>
      <c r="E3310" s="560">
        <f t="shared" si="480"/>
        <v>120</v>
      </c>
      <c r="F3310" s="1508">
        <f t="shared" si="474"/>
        <v>0</v>
      </c>
      <c r="G3310" s="1508">
        <f t="shared" si="475"/>
        <v>0</v>
      </c>
      <c r="H3310" s="1508">
        <f t="shared" si="476"/>
        <v>0</v>
      </c>
      <c r="I3310" s="1480">
        <v>0</v>
      </c>
      <c r="J3310" s="1480">
        <v>0</v>
      </c>
      <c r="K3310" s="1508"/>
      <c r="L3310" s="1508"/>
      <c r="M3310" s="1509">
        <f t="shared" si="477"/>
        <v>0</v>
      </c>
      <c r="N3310" s="1508">
        <f t="shared" si="478"/>
        <v>0</v>
      </c>
    </row>
    <row r="3311" spans="1:14" ht="15.5" outlineLevel="1" x14ac:dyDescent="0.25">
      <c r="A3311" s="1492">
        <f t="shared" si="480"/>
        <v>0</v>
      </c>
      <c r="B3311" s="1492" t="str">
        <f t="shared" si="480"/>
        <v>Ash bund peripheral road</v>
      </c>
      <c r="C3311" s="1488">
        <f t="shared" si="480"/>
        <v>0</v>
      </c>
      <c r="D3311" s="1413" t="str">
        <f t="shared" si="480"/>
        <v>-</v>
      </c>
      <c r="E3311" s="560">
        <f t="shared" si="480"/>
        <v>120</v>
      </c>
      <c r="F3311" s="1508">
        <f t="shared" si="474"/>
        <v>0</v>
      </c>
      <c r="G3311" s="1508">
        <f t="shared" si="475"/>
        <v>0</v>
      </c>
      <c r="H3311" s="1508">
        <f t="shared" si="476"/>
        <v>0</v>
      </c>
      <c r="I3311" s="1480">
        <v>0</v>
      </c>
      <c r="J3311" s="1480">
        <v>0</v>
      </c>
      <c r="K3311" s="1508"/>
      <c r="L3311" s="1508"/>
      <c r="M3311" s="1509">
        <f t="shared" si="477"/>
        <v>0</v>
      </c>
      <c r="N3311" s="1508">
        <f t="shared" si="478"/>
        <v>0</v>
      </c>
    </row>
    <row r="3312" spans="1:14" ht="15.5" outlineLevel="1" x14ac:dyDescent="0.25">
      <c r="A3312" s="1486">
        <f t="shared" si="480"/>
        <v>19</v>
      </c>
      <c r="B3312" s="1491" t="str">
        <f t="shared" si="480"/>
        <v>Construction of peripheral nallah</v>
      </c>
      <c r="C3312" s="1488">
        <f t="shared" si="480"/>
        <v>0</v>
      </c>
      <c r="D3312" s="1413" t="str">
        <f t="shared" si="480"/>
        <v>-</v>
      </c>
      <c r="E3312" s="560">
        <f t="shared" si="480"/>
        <v>100</v>
      </c>
      <c r="F3312" s="1508">
        <f t="shared" si="474"/>
        <v>0</v>
      </c>
      <c r="G3312" s="1508">
        <f t="shared" si="475"/>
        <v>0</v>
      </c>
      <c r="H3312" s="1508">
        <f t="shared" si="476"/>
        <v>0</v>
      </c>
      <c r="I3312" s="1480">
        <v>0</v>
      </c>
      <c r="J3312" s="1480">
        <v>0</v>
      </c>
      <c r="K3312" s="1508"/>
      <c r="L3312" s="1508"/>
      <c r="M3312" s="1509">
        <f t="shared" si="477"/>
        <v>0</v>
      </c>
      <c r="N3312" s="1508">
        <f t="shared" si="478"/>
        <v>0</v>
      </c>
    </row>
    <row r="3313" spans="1:14" ht="15.5" outlineLevel="1" x14ac:dyDescent="0.25">
      <c r="A3313" s="1492">
        <f t="shared" si="480"/>
        <v>0</v>
      </c>
      <c r="B3313" s="1492" t="str">
        <f t="shared" si="480"/>
        <v>Construction of peripheral nallah</v>
      </c>
      <c r="C3313" s="1488">
        <f t="shared" si="480"/>
        <v>0</v>
      </c>
      <c r="D3313" s="1413" t="str">
        <f t="shared" si="480"/>
        <v>-</v>
      </c>
      <c r="E3313" s="560">
        <f t="shared" si="480"/>
        <v>100</v>
      </c>
      <c r="F3313" s="1508">
        <f t="shared" si="474"/>
        <v>0</v>
      </c>
      <c r="G3313" s="1508">
        <f t="shared" si="475"/>
        <v>0</v>
      </c>
      <c r="H3313" s="1508">
        <f t="shared" si="476"/>
        <v>0</v>
      </c>
      <c r="I3313" s="1480">
        <v>0</v>
      </c>
      <c r="J3313" s="1480">
        <v>0</v>
      </c>
      <c r="K3313" s="1508"/>
      <c r="L3313" s="1508"/>
      <c r="M3313" s="1509">
        <f t="shared" si="477"/>
        <v>0</v>
      </c>
      <c r="N3313" s="1508">
        <f t="shared" si="478"/>
        <v>0</v>
      </c>
    </row>
    <row r="3314" spans="1:14" ht="15.5" outlineLevel="1" x14ac:dyDescent="0.25">
      <c r="A3314" s="1486">
        <f t="shared" ref="A3314:E3329" si="481">A2644</f>
        <v>20</v>
      </c>
      <c r="B3314" s="1491" t="str">
        <f t="shared" si="481"/>
        <v>Construction of concrete Roads with drains at colony</v>
      </c>
      <c r="C3314" s="1488">
        <f t="shared" si="481"/>
        <v>0</v>
      </c>
      <c r="D3314" s="1413" t="str">
        <f t="shared" si="481"/>
        <v>-</v>
      </c>
      <c r="E3314" s="560">
        <f t="shared" si="481"/>
        <v>110</v>
      </c>
      <c r="F3314" s="1508">
        <f t="shared" si="474"/>
        <v>0</v>
      </c>
      <c r="G3314" s="1508">
        <f t="shared" si="475"/>
        <v>0</v>
      </c>
      <c r="H3314" s="1508">
        <f t="shared" si="476"/>
        <v>0</v>
      </c>
      <c r="I3314" s="1480">
        <v>0</v>
      </c>
      <c r="J3314" s="1480">
        <v>0</v>
      </c>
      <c r="K3314" s="1508"/>
      <c r="L3314" s="1508"/>
      <c r="M3314" s="1509">
        <f t="shared" si="477"/>
        <v>0</v>
      </c>
      <c r="N3314" s="1508">
        <f t="shared" si="478"/>
        <v>0</v>
      </c>
    </row>
    <row r="3315" spans="1:14" ht="15.5" outlineLevel="1" x14ac:dyDescent="0.25">
      <c r="A3315" s="1492">
        <f t="shared" si="481"/>
        <v>0</v>
      </c>
      <c r="B3315" s="1492" t="str">
        <f t="shared" si="481"/>
        <v>Construction of concrete Roads with drains at colony</v>
      </c>
      <c r="C3315" s="1488">
        <f t="shared" si="481"/>
        <v>0</v>
      </c>
      <c r="D3315" s="1413" t="str">
        <f t="shared" si="481"/>
        <v>-</v>
      </c>
      <c r="E3315" s="560">
        <f t="shared" si="481"/>
        <v>110</v>
      </c>
      <c r="F3315" s="1508">
        <f t="shared" si="474"/>
        <v>0</v>
      </c>
      <c r="G3315" s="1508">
        <f t="shared" si="475"/>
        <v>0</v>
      </c>
      <c r="H3315" s="1508">
        <f t="shared" si="476"/>
        <v>0</v>
      </c>
      <c r="I3315" s="1480">
        <v>0</v>
      </c>
      <c r="J3315" s="1480">
        <v>0</v>
      </c>
      <c r="K3315" s="1508"/>
      <c r="L3315" s="1508"/>
      <c r="M3315" s="1509">
        <f t="shared" si="477"/>
        <v>0</v>
      </c>
      <c r="N3315" s="1508">
        <f t="shared" si="478"/>
        <v>0</v>
      </c>
    </row>
    <row r="3316" spans="1:14" ht="15.5" outlineLevel="1" x14ac:dyDescent="0.25">
      <c r="A3316" s="1486">
        <f t="shared" si="481"/>
        <v>21</v>
      </c>
      <c r="B3316" s="1491" t="str">
        <f t="shared" si="481"/>
        <v>Fugitive emisson reduction techniques</v>
      </c>
      <c r="C3316" s="1488">
        <f t="shared" si="481"/>
        <v>0</v>
      </c>
      <c r="D3316" s="1413" t="str">
        <f t="shared" si="481"/>
        <v>-</v>
      </c>
      <c r="E3316" s="560">
        <f t="shared" si="481"/>
        <v>50</v>
      </c>
      <c r="F3316" s="1508">
        <f t="shared" si="474"/>
        <v>0</v>
      </c>
      <c r="G3316" s="1508">
        <f t="shared" si="475"/>
        <v>0</v>
      </c>
      <c r="H3316" s="1508">
        <f t="shared" si="476"/>
        <v>0</v>
      </c>
      <c r="I3316" s="1480">
        <v>0</v>
      </c>
      <c r="J3316" s="1480">
        <v>0</v>
      </c>
      <c r="K3316" s="1508"/>
      <c r="L3316" s="1508"/>
      <c r="M3316" s="1509">
        <f t="shared" si="477"/>
        <v>0</v>
      </c>
      <c r="N3316" s="1508">
        <f t="shared" si="478"/>
        <v>0</v>
      </c>
    </row>
    <row r="3317" spans="1:14" ht="15.5" outlineLevel="1" x14ac:dyDescent="0.25">
      <c r="A3317" s="1492">
        <f t="shared" si="481"/>
        <v>0</v>
      </c>
      <c r="B3317" s="1492" t="str">
        <f t="shared" si="481"/>
        <v>Fugitive emisson reduction schemes</v>
      </c>
      <c r="C3317" s="1488">
        <f t="shared" si="481"/>
        <v>0</v>
      </c>
      <c r="D3317" s="1413" t="str">
        <f t="shared" si="481"/>
        <v>-</v>
      </c>
      <c r="E3317" s="560">
        <f t="shared" si="481"/>
        <v>50</v>
      </c>
      <c r="F3317" s="1508">
        <f t="shared" si="474"/>
        <v>0</v>
      </c>
      <c r="G3317" s="1508">
        <f t="shared" si="475"/>
        <v>0</v>
      </c>
      <c r="H3317" s="1508">
        <f t="shared" si="476"/>
        <v>0</v>
      </c>
      <c r="I3317" s="1480">
        <v>0</v>
      </c>
      <c r="J3317" s="1480">
        <v>0</v>
      </c>
      <c r="K3317" s="1508"/>
      <c r="L3317" s="1508"/>
      <c r="M3317" s="1509">
        <f t="shared" si="477"/>
        <v>0</v>
      </c>
      <c r="N3317" s="1508">
        <f t="shared" si="478"/>
        <v>0</v>
      </c>
    </row>
    <row r="3318" spans="1:14" ht="15.5" outlineLevel="1" x14ac:dyDescent="0.25">
      <c r="A3318" s="1453">
        <f t="shared" si="481"/>
        <v>0</v>
      </c>
      <c r="B3318" s="96">
        <f t="shared" si="481"/>
        <v>0</v>
      </c>
      <c r="C3318" s="1453">
        <f t="shared" si="481"/>
        <v>0</v>
      </c>
      <c r="D3318" s="1503" t="str">
        <f t="shared" si="481"/>
        <v>-</v>
      </c>
      <c r="E3318" s="560">
        <f t="shared" si="481"/>
        <v>0</v>
      </c>
      <c r="F3318" s="1508">
        <f t="shared" si="474"/>
        <v>0</v>
      </c>
      <c r="G3318" s="1508">
        <f t="shared" si="475"/>
        <v>0</v>
      </c>
      <c r="H3318" s="1508">
        <f t="shared" si="476"/>
        <v>0</v>
      </c>
      <c r="I3318" s="1480">
        <v>0</v>
      </c>
      <c r="J3318" s="1480">
        <v>0</v>
      </c>
      <c r="K3318" s="1508"/>
      <c r="L3318" s="1508"/>
      <c r="M3318" s="1509">
        <f t="shared" si="477"/>
        <v>0</v>
      </c>
      <c r="N3318" s="1508">
        <f t="shared" si="478"/>
        <v>0</v>
      </c>
    </row>
    <row r="3319" spans="1:14" ht="15.5" outlineLevel="1" x14ac:dyDescent="0.25">
      <c r="A3319" s="1488">
        <f t="shared" si="481"/>
        <v>0</v>
      </c>
      <c r="B3319" s="1492">
        <f t="shared" si="481"/>
        <v>0</v>
      </c>
      <c r="C3319" s="1488">
        <f t="shared" si="481"/>
        <v>0</v>
      </c>
      <c r="D3319" s="1413" t="str">
        <f t="shared" si="481"/>
        <v>-</v>
      </c>
      <c r="E3319" s="560">
        <f t="shared" si="481"/>
        <v>0</v>
      </c>
      <c r="F3319" s="1508">
        <f t="shared" si="474"/>
        <v>0</v>
      </c>
      <c r="G3319" s="1508">
        <f t="shared" si="475"/>
        <v>0</v>
      </c>
      <c r="H3319" s="1508">
        <f t="shared" si="476"/>
        <v>0</v>
      </c>
      <c r="I3319" s="1480">
        <v>0</v>
      </c>
      <c r="J3319" s="1480">
        <v>0</v>
      </c>
      <c r="K3319" s="1508"/>
      <c r="L3319" s="1508"/>
      <c r="M3319" s="1509">
        <f t="shared" si="477"/>
        <v>0</v>
      </c>
      <c r="N3319" s="1508">
        <f t="shared" si="478"/>
        <v>0</v>
      </c>
    </row>
    <row r="3320" spans="1:14" ht="15.5" outlineLevel="1" x14ac:dyDescent="0.25">
      <c r="A3320" s="1505">
        <f t="shared" si="481"/>
        <v>0</v>
      </c>
      <c r="B3320" s="1492">
        <f t="shared" si="481"/>
        <v>0</v>
      </c>
      <c r="C3320" s="1505">
        <f t="shared" si="481"/>
        <v>0</v>
      </c>
      <c r="D3320" s="1503" t="str">
        <f t="shared" si="481"/>
        <v>-</v>
      </c>
      <c r="E3320" s="560">
        <f t="shared" si="481"/>
        <v>0</v>
      </c>
      <c r="F3320" s="1508">
        <f t="shared" si="474"/>
        <v>0</v>
      </c>
      <c r="G3320" s="1508">
        <f t="shared" si="475"/>
        <v>0</v>
      </c>
      <c r="H3320" s="1508">
        <f t="shared" si="476"/>
        <v>0</v>
      </c>
      <c r="I3320" s="1480">
        <v>0</v>
      </c>
      <c r="J3320" s="1480">
        <v>0</v>
      </c>
      <c r="K3320" s="1508"/>
      <c r="L3320" s="1508"/>
      <c r="M3320" s="1509">
        <f t="shared" si="477"/>
        <v>0</v>
      </c>
      <c r="N3320" s="1508">
        <f t="shared" si="478"/>
        <v>0</v>
      </c>
    </row>
    <row r="3321" spans="1:14" ht="15.5" outlineLevel="1" x14ac:dyDescent="0.25">
      <c r="A3321" s="1453">
        <f t="shared" si="481"/>
        <v>0</v>
      </c>
      <c r="B3321" s="1389" t="str">
        <f t="shared" si="481"/>
        <v>B) Non-DPR Schemes</v>
      </c>
      <c r="C3321" s="1453">
        <f t="shared" si="481"/>
        <v>0</v>
      </c>
      <c r="D3321" s="1503" t="str">
        <f t="shared" si="481"/>
        <v>-</v>
      </c>
      <c r="E3321" s="560">
        <f t="shared" si="481"/>
        <v>0</v>
      </c>
      <c r="F3321" s="1508">
        <f t="shared" si="474"/>
        <v>0</v>
      </c>
      <c r="G3321" s="1508">
        <f t="shared" si="475"/>
        <v>0</v>
      </c>
      <c r="H3321" s="1508">
        <f t="shared" si="476"/>
        <v>0</v>
      </c>
      <c r="I3321" s="1480">
        <v>0</v>
      </c>
      <c r="J3321" s="1480">
        <v>0</v>
      </c>
      <c r="K3321" s="1508"/>
      <c r="L3321" s="1508"/>
      <c r="M3321" s="1509">
        <f t="shared" si="477"/>
        <v>0</v>
      </c>
      <c r="N3321" s="1508">
        <f t="shared" si="478"/>
        <v>0</v>
      </c>
    </row>
    <row r="3322" spans="1:14" ht="15.5" outlineLevel="1" x14ac:dyDescent="0.25">
      <c r="A3322" s="1488">
        <f t="shared" si="481"/>
        <v>1</v>
      </c>
      <c r="B3322" s="1492" t="str">
        <f t="shared" si="481"/>
        <v>GENERAL ASSET</v>
      </c>
      <c r="C3322" s="1488">
        <f t="shared" si="481"/>
        <v>0</v>
      </c>
      <c r="D3322" s="1413" t="str">
        <f t="shared" si="481"/>
        <v>-</v>
      </c>
      <c r="E3322" s="560">
        <f t="shared" si="481"/>
        <v>20</v>
      </c>
      <c r="F3322" s="1508">
        <f t="shared" si="474"/>
        <v>8.3761807089999998</v>
      </c>
      <c r="G3322" s="1508">
        <f t="shared" si="475"/>
        <v>8.3761807089999998</v>
      </c>
      <c r="H3322" s="1508">
        <f t="shared" si="476"/>
        <v>0</v>
      </c>
      <c r="I3322" s="1480">
        <v>0</v>
      </c>
      <c r="J3322" s="1480">
        <v>0</v>
      </c>
      <c r="K3322" s="1508"/>
      <c r="L3322" s="1508"/>
      <c r="M3322" s="1509">
        <f t="shared" si="477"/>
        <v>0</v>
      </c>
      <c r="N3322" s="1508">
        <f t="shared" si="478"/>
        <v>0</v>
      </c>
    </row>
    <row r="3323" spans="1:14" ht="15.5" outlineLevel="1" x14ac:dyDescent="0.25">
      <c r="A3323" s="1488">
        <f t="shared" si="481"/>
        <v>2</v>
      </c>
      <c r="B3323" s="1492" t="str">
        <f t="shared" si="481"/>
        <v>M/S GEO-MILLER arbitration amount</v>
      </c>
      <c r="C3323" s="1488">
        <f t="shared" si="481"/>
        <v>0</v>
      </c>
      <c r="D3323" s="1413" t="str">
        <f t="shared" si="481"/>
        <v>-</v>
      </c>
      <c r="E3323" s="560">
        <f t="shared" si="481"/>
        <v>1.3764700000000001</v>
      </c>
      <c r="F3323" s="1508">
        <f t="shared" si="474"/>
        <v>0.68823500000000004</v>
      </c>
      <c r="G3323" s="1508">
        <f t="shared" si="475"/>
        <v>0.68823500000000004</v>
      </c>
      <c r="H3323" s="1508">
        <f t="shared" si="476"/>
        <v>0</v>
      </c>
      <c r="I3323" s="1480">
        <v>0</v>
      </c>
      <c r="J3323" s="1480">
        <v>0</v>
      </c>
      <c r="K3323" s="1508"/>
      <c r="L3323" s="1508"/>
      <c r="M3323" s="1509">
        <f t="shared" si="477"/>
        <v>0</v>
      </c>
      <c r="N3323" s="1508">
        <f t="shared" si="478"/>
        <v>0</v>
      </c>
    </row>
    <row r="3324" spans="1:14" ht="15.5" outlineLevel="1" x14ac:dyDescent="0.25">
      <c r="A3324" s="1488">
        <f t="shared" si="481"/>
        <v>3</v>
      </c>
      <c r="B3324" s="1492" t="str">
        <f t="shared" si="481"/>
        <v xml:space="preserve"> CM Reject Handling Sys Macawber Breakey</v>
      </c>
      <c r="C3324" s="1488">
        <f t="shared" si="481"/>
        <v>0</v>
      </c>
      <c r="D3324" s="1413" t="str">
        <f t="shared" si="481"/>
        <v>-</v>
      </c>
      <c r="E3324" s="560">
        <f t="shared" si="481"/>
        <v>3.1821571</v>
      </c>
      <c r="F3324" s="1508">
        <f t="shared" si="474"/>
        <v>0</v>
      </c>
      <c r="G3324" s="1508">
        <f t="shared" si="475"/>
        <v>0</v>
      </c>
      <c r="H3324" s="1508">
        <f t="shared" si="476"/>
        <v>0</v>
      </c>
      <c r="I3324" s="1480">
        <v>0</v>
      </c>
      <c r="J3324" s="1480">
        <v>0</v>
      </c>
      <c r="K3324" s="1508"/>
      <c r="L3324" s="1508"/>
      <c r="M3324" s="1509">
        <f t="shared" si="477"/>
        <v>0</v>
      </c>
      <c r="N3324" s="1508">
        <f t="shared" si="478"/>
        <v>0</v>
      </c>
    </row>
    <row r="3325" spans="1:14" ht="62" outlineLevel="1" x14ac:dyDescent="0.25">
      <c r="A3325" s="1488">
        <f t="shared" si="481"/>
        <v>4</v>
      </c>
      <c r="B3325" s="1492" t="str">
        <f t="shared" si="481"/>
        <v xml:space="preserve">Work of Design, Engineering, manufacturing, supply, erection &amp;  commissioning of interconnection conveyor belt Elecon stack yard of CHPA of U-3 &amp; U-4 to Belt Conveyor 105-A/B at CHP-B of Unit 5, 6 &amp; 7 at CSTPS Chandrapur ((Non-DPR) </v>
      </c>
      <c r="C3325" s="1488">
        <f t="shared" si="481"/>
        <v>0</v>
      </c>
      <c r="D3325" s="1413" t="str">
        <f t="shared" si="481"/>
        <v>-</v>
      </c>
      <c r="E3325" s="560">
        <f t="shared" si="481"/>
        <v>4.8622366000000001</v>
      </c>
      <c r="F3325" s="1508">
        <f t="shared" si="474"/>
        <v>4.8622366000000001</v>
      </c>
      <c r="G3325" s="1508">
        <f t="shared" si="475"/>
        <v>4.8622366000000001</v>
      </c>
      <c r="H3325" s="1508">
        <f t="shared" si="476"/>
        <v>0</v>
      </c>
      <c r="I3325" s="1480">
        <v>0</v>
      </c>
      <c r="J3325" s="1480">
        <v>0</v>
      </c>
      <c r="K3325" s="1508"/>
      <c r="L3325" s="1508"/>
      <c r="M3325" s="1509">
        <f t="shared" si="477"/>
        <v>0</v>
      </c>
      <c r="N3325" s="1508">
        <f t="shared" si="478"/>
        <v>0</v>
      </c>
    </row>
    <row r="3326" spans="1:14" ht="46.5" outlineLevel="1" x14ac:dyDescent="0.25">
      <c r="A3326" s="1488">
        <f t="shared" si="481"/>
        <v>5</v>
      </c>
      <c r="B3326" s="1492" t="str">
        <f t="shared" si="481"/>
        <v>Non Dpr The Work of Upgradation/Renovation of Track Hopper Unloading Conveyor system with allied works in CHPB of Unit-5, 6&amp;7 at CSTPS Chandrapur</v>
      </c>
      <c r="C3326" s="1488">
        <f t="shared" si="481"/>
        <v>0</v>
      </c>
      <c r="D3326" s="1413" t="str">
        <f t="shared" si="481"/>
        <v>-</v>
      </c>
      <c r="E3326" s="560">
        <f t="shared" si="481"/>
        <v>4.7420485000000001</v>
      </c>
      <c r="F3326" s="1508">
        <f t="shared" si="474"/>
        <v>4.7420485000000001</v>
      </c>
      <c r="G3326" s="1508">
        <f t="shared" si="475"/>
        <v>4.7420485000000001</v>
      </c>
      <c r="H3326" s="1508">
        <f t="shared" si="476"/>
        <v>0</v>
      </c>
      <c r="I3326" s="1480">
        <v>0</v>
      </c>
      <c r="J3326" s="1480">
        <v>0</v>
      </c>
      <c r="K3326" s="1508"/>
      <c r="L3326" s="1508"/>
      <c r="M3326" s="1509">
        <f t="shared" si="477"/>
        <v>0</v>
      </c>
      <c r="N3326" s="1508">
        <f t="shared" si="478"/>
        <v>0</v>
      </c>
    </row>
    <row r="3327" spans="1:14" ht="46.5" outlineLevel="1" x14ac:dyDescent="0.25">
      <c r="A3327" s="1488">
        <f t="shared" si="481"/>
        <v>6</v>
      </c>
      <c r="B3327" s="1492" t="str">
        <f t="shared" si="481"/>
        <v>Non DPR scheme for “The Work of Upgradation of Belt Conveyor 107A/B by replacement of conveyor deck structure with allied works in CHPB of Unit-5, 6&amp;7 at CSTPS Chandrapur</v>
      </c>
      <c r="C3327" s="1488">
        <f t="shared" si="481"/>
        <v>0</v>
      </c>
      <c r="D3327" s="1413" t="str">
        <f t="shared" si="481"/>
        <v>-</v>
      </c>
      <c r="E3327" s="560">
        <f t="shared" si="481"/>
        <v>4.51</v>
      </c>
      <c r="F3327" s="1508">
        <f t="shared" si="474"/>
        <v>4.5085439999999997</v>
      </c>
      <c r="G3327" s="1508">
        <f t="shared" si="475"/>
        <v>4.5085439999999997</v>
      </c>
      <c r="H3327" s="1508">
        <f t="shared" si="476"/>
        <v>0</v>
      </c>
      <c r="I3327" s="1480">
        <v>0</v>
      </c>
      <c r="J3327" s="1480">
        <v>0</v>
      </c>
      <c r="K3327" s="1508"/>
      <c r="L3327" s="1508"/>
      <c r="M3327" s="1509">
        <f t="shared" si="477"/>
        <v>0</v>
      </c>
      <c r="N3327" s="1508">
        <f t="shared" si="478"/>
        <v>0</v>
      </c>
    </row>
    <row r="3328" spans="1:14" ht="46.5" outlineLevel="1" x14ac:dyDescent="0.25">
      <c r="A3328" s="1488">
        <f t="shared" si="481"/>
        <v>7</v>
      </c>
      <c r="B3328" s="1492" t="str">
        <f t="shared" si="481"/>
        <v>Non-DPR: Supply, installation &amp; commissioning of oil cooled over band magnetic separators for various conveyor belts of CHP-B &amp; CHP-C, CSTPS, Chandrapur</v>
      </c>
      <c r="C3328" s="1488">
        <f t="shared" si="481"/>
        <v>0</v>
      </c>
      <c r="D3328" s="1413" t="str">
        <f t="shared" si="481"/>
        <v>-</v>
      </c>
      <c r="E3328" s="560">
        <f t="shared" si="481"/>
        <v>3.45</v>
      </c>
      <c r="F3328" s="1508">
        <f t="shared" si="474"/>
        <v>3.4450571999999999</v>
      </c>
      <c r="G3328" s="1508">
        <f t="shared" si="475"/>
        <v>3.4450571999999999</v>
      </c>
      <c r="H3328" s="1508">
        <f t="shared" si="476"/>
        <v>0</v>
      </c>
      <c r="I3328" s="1480">
        <v>0</v>
      </c>
      <c r="J3328" s="1480">
        <v>0</v>
      </c>
      <c r="K3328" s="1508"/>
      <c r="L3328" s="1508"/>
      <c r="M3328" s="1509">
        <f t="shared" si="477"/>
        <v>0</v>
      </c>
      <c r="N3328" s="1508">
        <f t="shared" si="478"/>
        <v>0</v>
      </c>
    </row>
    <row r="3329" spans="1:14" ht="62" outlineLevel="1" x14ac:dyDescent="0.25">
      <c r="A3329" s="1488">
        <f t="shared" si="481"/>
        <v>8</v>
      </c>
      <c r="B3329" s="1492" t="str">
        <f t="shared" si="481"/>
        <v>Various preventive works to avoid Tiger movement and animals in CSTPS colony premises Up-gradation od existing periphery compound wall by avoiding barbed wire and concertina fencing and allied works in the colony at CSTPS, Chandrapur</v>
      </c>
      <c r="C3329" s="1488">
        <f t="shared" si="481"/>
        <v>0</v>
      </c>
      <c r="D3329" s="1413" t="str">
        <f t="shared" si="481"/>
        <v>-</v>
      </c>
      <c r="E3329" s="560">
        <f t="shared" si="481"/>
        <v>6.41</v>
      </c>
      <c r="F3329" s="1508">
        <f t="shared" si="474"/>
        <v>3.6119999999999997</v>
      </c>
      <c r="G3329" s="1508">
        <f t="shared" si="475"/>
        <v>3.6119999999999997</v>
      </c>
      <c r="H3329" s="1508">
        <f t="shared" si="476"/>
        <v>0</v>
      </c>
      <c r="I3329" s="1480">
        <v>0</v>
      </c>
      <c r="J3329" s="1480">
        <v>0</v>
      </c>
      <c r="K3329" s="1508"/>
      <c r="L3329" s="1508"/>
      <c r="M3329" s="1509">
        <f t="shared" si="477"/>
        <v>0</v>
      </c>
      <c r="N3329" s="1508">
        <f t="shared" si="478"/>
        <v>0</v>
      </c>
    </row>
    <row r="3330" spans="1:14" ht="46.5" outlineLevel="1" x14ac:dyDescent="0.25">
      <c r="A3330" s="1488">
        <f t="shared" ref="A3330:E3345" si="482">A2660</f>
        <v>9</v>
      </c>
      <c r="B3330" s="1492" t="str">
        <f t="shared" si="482"/>
        <v>Repairing, revamping and modification of existing alarm and protection system from fire and providing rapid extinguishing CA system at 500 MW Unit # 5 &amp; 6 CSTPS</v>
      </c>
      <c r="C3330" s="1488">
        <f t="shared" si="482"/>
        <v>0</v>
      </c>
      <c r="D3330" s="1413" t="str">
        <f t="shared" si="482"/>
        <v>-</v>
      </c>
      <c r="E3330" s="560">
        <f t="shared" si="482"/>
        <v>7.95</v>
      </c>
      <c r="F3330" s="1508">
        <f t="shared" ref="F3330:F3354" si="483">F2660+I2660</f>
        <v>7.9500000000000011</v>
      </c>
      <c r="G3330" s="1508">
        <f t="shared" ref="G3330:G3354" si="484">G2660+M2660</f>
        <v>7.9500000000000011</v>
      </c>
      <c r="H3330" s="1508">
        <f t="shared" si="476"/>
        <v>0</v>
      </c>
      <c r="I3330" s="1480">
        <v>0</v>
      </c>
      <c r="J3330" s="1480">
        <v>0</v>
      </c>
      <c r="K3330" s="1508"/>
      <c r="L3330" s="1508"/>
      <c r="M3330" s="1509">
        <f t="shared" si="477"/>
        <v>0</v>
      </c>
      <c r="N3330" s="1508">
        <f t="shared" si="478"/>
        <v>0</v>
      </c>
    </row>
    <row r="3331" spans="1:14" ht="62" outlineLevel="1" x14ac:dyDescent="0.25">
      <c r="A3331" s="1488">
        <f t="shared" si="482"/>
        <v>10</v>
      </c>
      <c r="B3331" s="1506" t="str">
        <f t="shared" si="482"/>
        <v>NON-Detailed Project Report for the Work of Upgradation/Renovation of Crusher House of CHPB of Unit-5, 6&amp;7 at CSTPS Chandrapur (benefit U-8,9 by short conveyor coal stacking in catering emergency)</v>
      </c>
      <c r="C3331" s="1488">
        <f t="shared" si="482"/>
        <v>0</v>
      </c>
      <c r="D3331" s="1413" t="str">
        <f t="shared" si="482"/>
        <v>-</v>
      </c>
      <c r="E3331" s="560">
        <f t="shared" si="482"/>
        <v>4.7</v>
      </c>
      <c r="F3331" s="1508">
        <f t="shared" si="483"/>
        <v>1.8274607199999999</v>
      </c>
      <c r="G3331" s="1508">
        <f t="shared" si="484"/>
        <v>1.8274607199999999</v>
      </c>
      <c r="H3331" s="1508">
        <f t="shared" si="476"/>
        <v>0</v>
      </c>
      <c r="I3331" s="1480">
        <v>0</v>
      </c>
      <c r="J3331" s="1480">
        <v>0</v>
      </c>
      <c r="K3331" s="1508"/>
      <c r="L3331" s="1508"/>
      <c r="M3331" s="1509">
        <f t="shared" si="477"/>
        <v>0</v>
      </c>
      <c r="N3331" s="1508">
        <f t="shared" si="478"/>
        <v>0</v>
      </c>
    </row>
    <row r="3332" spans="1:14" ht="46.5" outlineLevel="1" x14ac:dyDescent="0.25">
      <c r="A3332" s="1488">
        <f t="shared" si="482"/>
        <v>11</v>
      </c>
      <c r="B3332" s="1492" t="str">
        <f t="shared" si="482"/>
        <v>Work of Up-gradation/Renovation of Bunkering Conveyor system with allied works in CHPA of Unit-3&amp;4 at CSTPS Chandrapur</v>
      </c>
      <c r="C3332" s="1488">
        <f t="shared" si="482"/>
        <v>0</v>
      </c>
      <c r="D3332" s="1413" t="str">
        <f t="shared" si="482"/>
        <v>-</v>
      </c>
      <c r="E3332" s="560">
        <f t="shared" si="482"/>
        <v>4.6024180000000001</v>
      </c>
      <c r="F3332" s="1508">
        <f t="shared" si="483"/>
        <v>4.6024180000000001</v>
      </c>
      <c r="G3332" s="1508">
        <f t="shared" si="484"/>
        <v>4.6024180000000001</v>
      </c>
      <c r="H3332" s="1508">
        <f t="shared" si="476"/>
        <v>0</v>
      </c>
      <c r="I3332" s="1480">
        <v>0</v>
      </c>
      <c r="J3332" s="1480">
        <v>0</v>
      </c>
      <c r="K3332" s="1508"/>
      <c r="L3332" s="1508"/>
      <c r="M3332" s="1509">
        <f t="shared" si="477"/>
        <v>0</v>
      </c>
      <c r="N3332" s="1508">
        <f t="shared" si="478"/>
        <v>0</v>
      </c>
    </row>
    <row r="3333" spans="1:14" ht="46.5" outlineLevel="1" x14ac:dyDescent="0.25">
      <c r="A3333" s="1488">
        <f t="shared" si="482"/>
        <v>12</v>
      </c>
      <c r="B3333" s="1492" t="str">
        <f t="shared" si="482"/>
        <v>Non-Detailed Project Report for the up-gradation of existing belt type gravimetric coal feeders to gravimetric rotary weigh coal feeders of unit- 7, at CSTPS, Chandrapur</v>
      </c>
      <c r="C3333" s="1488">
        <f t="shared" si="482"/>
        <v>0</v>
      </c>
      <c r="D3333" s="1413" t="str">
        <f t="shared" si="482"/>
        <v>-</v>
      </c>
      <c r="E3333" s="560">
        <f t="shared" si="482"/>
        <v>7.2510000000000003</v>
      </c>
      <c r="F3333" s="1508">
        <f t="shared" si="483"/>
        <v>7.2509395000000003</v>
      </c>
      <c r="G3333" s="1508">
        <f t="shared" si="484"/>
        <v>7.2509395000000003</v>
      </c>
      <c r="H3333" s="1508">
        <f t="shared" si="476"/>
        <v>0</v>
      </c>
      <c r="I3333" s="1480">
        <v>0</v>
      </c>
      <c r="J3333" s="1480">
        <v>0</v>
      </c>
      <c r="K3333" s="1508"/>
      <c r="L3333" s="1508"/>
      <c r="M3333" s="1509">
        <f t="shared" si="477"/>
        <v>0</v>
      </c>
      <c r="N3333" s="1508">
        <f t="shared" si="478"/>
        <v>0</v>
      </c>
    </row>
    <row r="3334" spans="1:14" ht="31" outlineLevel="1" x14ac:dyDescent="0.25">
      <c r="A3334" s="1488">
        <f t="shared" si="482"/>
        <v>14</v>
      </c>
      <c r="B3334" s="1492" t="str">
        <f t="shared" si="482"/>
        <v>Non DPR scheme for the procurement of Girth Gear Assembly for BBD-4772 coal mill unit-7</v>
      </c>
      <c r="C3334" s="1488">
        <f t="shared" si="482"/>
        <v>0</v>
      </c>
      <c r="D3334" s="1413" t="str">
        <f t="shared" si="482"/>
        <v>-</v>
      </c>
      <c r="E3334" s="560">
        <f t="shared" si="482"/>
        <v>5.27</v>
      </c>
      <c r="F3334" s="1508">
        <f t="shared" si="483"/>
        <v>5.27</v>
      </c>
      <c r="G3334" s="1508">
        <f t="shared" si="484"/>
        <v>5.27</v>
      </c>
      <c r="H3334" s="1508">
        <f t="shared" si="476"/>
        <v>0</v>
      </c>
      <c r="I3334" s="1480">
        <v>0</v>
      </c>
      <c r="J3334" s="1480">
        <v>0</v>
      </c>
      <c r="K3334" s="1508"/>
      <c r="L3334" s="1508"/>
      <c r="M3334" s="1509">
        <f t="shared" si="477"/>
        <v>0</v>
      </c>
      <c r="N3334" s="1508">
        <f t="shared" si="478"/>
        <v>0</v>
      </c>
    </row>
    <row r="3335" spans="1:14" ht="62" outlineLevel="1" x14ac:dyDescent="0.25">
      <c r="A3335" s="1488">
        <f t="shared" si="482"/>
        <v>15</v>
      </c>
      <c r="B3335" s="1492" t="str">
        <f t="shared" si="482"/>
        <v>Non DPR Supply of Sub-Assemblies for KBL -make Auxiliary cooling water pump, Model BHR-70 &amp; BHR 60-30 deg. installed at Auxiliary cooling water system of U- 5 to 7 at ODP-II, CSTPS, Chandrapur.</v>
      </c>
      <c r="C3335" s="1488">
        <f t="shared" si="482"/>
        <v>0</v>
      </c>
      <c r="D3335" s="1413" t="str">
        <f t="shared" si="482"/>
        <v>-</v>
      </c>
      <c r="E3335" s="560">
        <f t="shared" si="482"/>
        <v>5.61</v>
      </c>
      <c r="F3335" s="1508">
        <f t="shared" si="483"/>
        <v>5.5874359760000001</v>
      </c>
      <c r="G3335" s="1508">
        <f t="shared" si="484"/>
        <v>5.5874359760000001</v>
      </c>
      <c r="H3335" s="1508">
        <f t="shared" si="476"/>
        <v>0</v>
      </c>
      <c r="I3335" s="1480">
        <v>0</v>
      </c>
      <c r="J3335" s="1480">
        <v>0</v>
      </c>
      <c r="K3335" s="1508"/>
      <c r="L3335" s="1508"/>
      <c r="M3335" s="1509">
        <f t="shared" si="477"/>
        <v>0</v>
      </c>
      <c r="N3335" s="1508">
        <f t="shared" si="478"/>
        <v>0</v>
      </c>
    </row>
    <row r="3336" spans="1:14" ht="46.5" outlineLevel="1" x14ac:dyDescent="0.25">
      <c r="A3336" s="1488">
        <f t="shared" si="482"/>
        <v>16</v>
      </c>
      <c r="B3336" s="1492" t="str">
        <f t="shared" si="482"/>
        <v>Procurement of Primary and Secondary Air Pre-heater Baskets for Unit-5, Chandrapur STPS, 500MW through OEM basis from M/s. BHEL</v>
      </c>
      <c r="C3336" s="1488">
        <f t="shared" si="482"/>
        <v>0</v>
      </c>
      <c r="D3336" s="1413" t="str">
        <f t="shared" si="482"/>
        <v>-</v>
      </c>
      <c r="E3336" s="560">
        <f t="shared" si="482"/>
        <v>9.09</v>
      </c>
      <c r="F3336" s="1508">
        <f t="shared" si="483"/>
        <v>9.09</v>
      </c>
      <c r="G3336" s="1508">
        <f t="shared" si="484"/>
        <v>9.09</v>
      </c>
      <c r="H3336" s="1508">
        <f t="shared" si="476"/>
        <v>0</v>
      </c>
      <c r="I3336" s="1480">
        <v>0</v>
      </c>
      <c r="J3336" s="1480">
        <v>0</v>
      </c>
      <c r="K3336" s="1508"/>
      <c r="L3336" s="1508"/>
      <c r="M3336" s="1509">
        <f t="shared" si="477"/>
        <v>0</v>
      </c>
      <c r="N3336" s="1508">
        <f t="shared" si="478"/>
        <v>0</v>
      </c>
    </row>
    <row r="3337" spans="1:14" ht="46.5" outlineLevel="1" x14ac:dyDescent="0.25">
      <c r="A3337" s="1488">
        <f t="shared" si="482"/>
        <v>17</v>
      </c>
      <c r="B3337" s="1492" t="str">
        <f t="shared" si="482"/>
        <v>Restoration of Operational efficiency and improvement in useful life of spare HP turbine Module of 500MW Unit-5,6 CSTPS chandrapur by Refurbishement</v>
      </c>
      <c r="C3337" s="1488">
        <f t="shared" si="482"/>
        <v>0</v>
      </c>
      <c r="D3337" s="1413" t="str">
        <f t="shared" si="482"/>
        <v>-</v>
      </c>
      <c r="E3337" s="560">
        <f t="shared" si="482"/>
        <v>9.9499999999999993</v>
      </c>
      <c r="F3337" s="1508">
        <f t="shared" si="483"/>
        <v>9.9499999999999993</v>
      </c>
      <c r="G3337" s="1508">
        <f t="shared" si="484"/>
        <v>9.9499999999999993</v>
      </c>
      <c r="H3337" s="1508">
        <f t="shared" si="476"/>
        <v>0</v>
      </c>
      <c r="I3337" s="1480">
        <v>0</v>
      </c>
      <c r="J3337" s="1480">
        <v>0</v>
      </c>
      <c r="K3337" s="1508"/>
      <c r="L3337" s="1508"/>
      <c r="M3337" s="1509">
        <f t="shared" si="477"/>
        <v>0</v>
      </c>
      <c r="N3337" s="1508">
        <f t="shared" si="478"/>
        <v>0</v>
      </c>
    </row>
    <row r="3338" spans="1:14" ht="46.5" outlineLevel="1" x14ac:dyDescent="0.25">
      <c r="A3338" s="1488">
        <f t="shared" si="482"/>
        <v>18</v>
      </c>
      <c r="B3338" s="1492" t="str">
        <f t="shared" si="482"/>
        <v>Work of Upgradation/Renovation of Crusher House &amp; Track Hopper Unloading System of CHPC of Unit-6&amp;7 CSTPS Chandrapur</v>
      </c>
      <c r="C3338" s="1488">
        <f t="shared" si="482"/>
        <v>0</v>
      </c>
      <c r="D3338" s="1413" t="str">
        <f t="shared" si="482"/>
        <v>-</v>
      </c>
      <c r="E3338" s="560">
        <f t="shared" si="482"/>
        <v>4.9000000000000004</v>
      </c>
      <c r="F3338" s="1508">
        <f t="shared" si="483"/>
        <v>4.9000000000000004</v>
      </c>
      <c r="G3338" s="1508">
        <f t="shared" si="484"/>
        <v>4.9000000000000004</v>
      </c>
      <c r="H3338" s="1508">
        <f t="shared" si="476"/>
        <v>0</v>
      </c>
      <c r="I3338" s="1480">
        <v>0</v>
      </c>
      <c r="J3338" s="1480">
        <v>0</v>
      </c>
      <c r="K3338" s="1508"/>
      <c r="L3338" s="1508"/>
      <c r="M3338" s="1509">
        <f t="shared" si="477"/>
        <v>0</v>
      </c>
      <c r="N3338" s="1508">
        <f t="shared" si="478"/>
        <v>0</v>
      </c>
    </row>
    <row r="3339" spans="1:14" ht="46.5" outlineLevel="1" x14ac:dyDescent="0.25">
      <c r="A3339" s="1488">
        <f t="shared" si="482"/>
        <v>19</v>
      </c>
      <c r="B3339" s="1492" t="str">
        <f t="shared" si="482"/>
        <v>Non – DPR: Design, supply, erection, installation, testing and commissioning of boiler goods lift in place of existing old lifts installed at Unit#6,7 500MW CSTPS, Chandrapur </v>
      </c>
      <c r="C3339" s="1488">
        <f t="shared" si="482"/>
        <v>0</v>
      </c>
      <c r="D3339" s="1413" t="str">
        <f t="shared" si="482"/>
        <v>-</v>
      </c>
      <c r="E3339" s="560">
        <f t="shared" si="482"/>
        <v>3.66</v>
      </c>
      <c r="F3339" s="1508">
        <f t="shared" si="483"/>
        <v>3.66</v>
      </c>
      <c r="G3339" s="1508">
        <f t="shared" si="484"/>
        <v>3.66</v>
      </c>
      <c r="H3339" s="1508">
        <f t="shared" si="476"/>
        <v>0</v>
      </c>
      <c r="I3339" s="1480">
        <v>0</v>
      </c>
      <c r="J3339" s="1480">
        <v>0</v>
      </c>
      <c r="K3339" s="1508"/>
      <c r="L3339" s="1508"/>
      <c r="M3339" s="1509">
        <f t="shared" si="477"/>
        <v>0</v>
      </c>
      <c r="N3339" s="1508">
        <f t="shared" si="478"/>
        <v>0</v>
      </c>
    </row>
    <row r="3340" spans="1:14" ht="31" outlineLevel="1" x14ac:dyDescent="0.25">
      <c r="A3340" s="1488">
        <f t="shared" si="482"/>
        <v>20</v>
      </c>
      <c r="B3340" s="1492" t="str">
        <f t="shared" si="482"/>
        <v>Work of refurbishment of Flender make KMS 850 gear box of XRP-1043 coal mill unit 5&amp;6 at CSTPS, Chandrapur</v>
      </c>
      <c r="C3340" s="1488">
        <f t="shared" si="482"/>
        <v>0</v>
      </c>
      <c r="D3340" s="1413" t="str">
        <f t="shared" si="482"/>
        <v>-</v>
      </c>
      <c r="E3340" s="560">
        <f t="shared" si="482"/>
        <v>4.37</v>
      </c>
      <c r="F3340" s="1508">
        <f t="shared" si="483"/>
        <v>4.37</v>
      </c>
      <c r="G3340" s="1508">
        <f t="shared" si="484"/>
        <v>4.37</v>
      </c>
      <c r="H3340" s="1508">
        <f t="shared" si="476"/>
        <v>0</v>
      </c>
      <c r="I3340" s="1480">
        <v>0</v>
      </c>
      <c r="J3340" s="1480">
        <v>0</v>
      </c>
      <c r="K3340" s="1508"/>
      <c r="L3340" s="1508"/>
      <c r="M3340" s="1509">
        <f t="shared" si="477"/>
        <v>0</v>
      </c>
      <c r="N3340" s="1508">
        <f t="shared" si="478"/>
        <v>0</v>
      </c>
    </row>
    <row r="3341" spans="1:14" ht="77.5" outlineLevel="1" x14ac:dyDescent="0.25">
      <c r="A3341" s="1488">
        <f t="shared" si="482"/>
        <v>21</v>
      </c>
      <c r="B3341" s="1492" t="str">
        <f t="shared" si="482"/>
        <v>Work of renovation of take up trestle structure of BC-105A2/BC-105B and trestle near TP-104, Modification of MS fixtures for the work of various auxiliary replacement at various sites and other allied works in CHP-B (M2) at CSTPS Chandrapur, as NonDPR Scheme.</v>
      </c>
      <c r="C3341" s="1488">
        <f t="shared" si="482"/>
        <v>0</v>
      </c>
      <c r="D3341" s="1413" t="str">
        <f t="shared" si="482"/>
        <v>-</v>
      </c>
      <c r="E3341" s="560">
        <f t="shared" si="482"/>
        <v>2.2400000000000002</v>
      </c>
      <c r="F3341" s="1508">
        <f t="shared" si="483"/>
        <v>2.2400000000000002</v>
      </c>
      <c r="G3341" s="1508">
        <f t="shared" si="484"/>
        <v>2.2400000000000002</v>
      </c>
      <c r="H3341" s="1508">
        <f t="shared" si="476"/>
        <v>0</v>
      </c>
      <c r="I3341" s="1480">
        <v>0</v>
      </c>
      <c r="J3341" s="1480">
        <v>0</v>
      </c>
      <c r="K3341" s="1508"/>
      <c r="L3341" s="1508"/>
      <c r="M3341" s="1509">
        <f t="shared" si="477"/>
        <v>0</v>
      </c>
      <c r="N3341" s="1508">
        <f t="shared" si="478"/>
        <v>0</v>
      </c>
    </row>
    <row r="3342" spans="1:14" ht="31" outlineLevel="1" x14ac:dyDescent="0.25">
      <c r="A3342" s="1488">
        <f t="shared" si="482"/>
        <v>22</v>
      </c>
      <c r="B3342" s="1492" t="str">
        <f t="shared" si="482"/>
        <v>Non DPR scheme for upgradation and life enhancements of BC-1AB_BC-4AB at CHP-A, CSTPS, Chandrapur</v>
      </c>
      <c r="C3342" s="1488">
        <f t="shared" si="482"/>
        <v>0</v>
      </c>
      <c r="D3342" s="1413" t="str">
        <f t="shared" si="482"/>
        <v>-</v>
      </c>
      <c r="E3342" s="560">
        <f t="shared" si="482"/>
        <v>1.6</v>
      </c>
      <c r="F3342" s="1508">
        <f t="shared" si="483"/>
        <v>1.6</v>
      </c>
      <c r="G3342" s="1508">
        <f t="shared" si="484"/>
        <v>1.6</v>
      </c>
      <c r="H3342" s="1508">
        <f t="shared" si="476"/>
        <v>0</v>
      </c>
      <c r="I3342" s="1480">
        <v>0</v>
      </c>
      <c r="J3342" s="1480">
        <v>0</v>
      </c>
      <c r="K3342" s="1508"/>
      <c r="L3342" s="1508"/>
      <c r="M3342" s="1509">
        <f t="shared" si="477"/>
        <v>0</v>
      </c>
      <c r="N3342" s="1508">
        <f t="shared" si="478"/>
        <v>0</v>
      </c>
    </row>
    <row r="3343" spans="1:14" ht="31" outlineLevel="1" x14ac:dyDescent="0.25">
      <c r="A3343" s="1488">
        <f t="shared" si="482"/>
        <v>23</v>
      </c>
      <c r="B3343" s="1492" t="str">
        <f t="shared" si="482"/>
        <v>THE PROCUREMENT AND REPLACEMENT OF AIR PREHEATER BASKETS ASSEMBLIES AT UNIT-6 AT CSTPS, CHANDRAPUR</v>
      </c>
      <c r="C3343" s="1488">
        <f t="shared" si="482"/>
        <v>0</v>
      </c>
      <c r="D3343" s="1413" t="str">
        <f t="shared" si="482"/>
        <v>-</v>
      </c>
      <c r="E3343" s="560">
        <f t="shared" si="482"/>
        <v>9.01</v>
      </c>
      <c r="F3343" s="1508">
        <f t="shared" si="483"/>
        <v>9.01</v>
      </c>
      <c r="G3343" s="1508">
        <f t="shared" si="484"/>
        <v>9.01</v>
      </c>
      <c r="H3343" s="1508">
        <f t="shared" si="476"/>
        <v>0</v>
      </c>
      <c r="I3343" s="1480">
        <v>0</v>
      </c>
      <c r="J3343" s="1480">
        <v>0</v>
      </c>
      <c r="K3343" s="1508"/>
      <c r="L3343" s="1508"/>
      <c r="M3343" s="1509">
        <f t="shared" si="477"/>
        <v>0</v>
      </c>
      <c r="N3343" s="1508">
        <f t="shared" si="478"/>
        <v>0</v>
      </c>
    </row>
    <row r="3344" spans="1:14" ht="46.5" outlineLevel="1" x14ac:dyDescent="0.25">
      <c r="A3344" s="1488">
        <f t="shared" si="482"/>
        <v>24</v>
      </c>
      <c r="B3344" s="1492" t="str">
        <f t="shared" si="482"/>
        <v>NonDPR: Procurement of cartridge for boiler feed pump of 500MW U#7 and parallel shaft gear box for boiler feed pump of 500MW Unit-5 &amp;6 CSTPS, Chandrapur</v>
      </c>
      <c r="C3344" s="1488">
        <f t="shared" si="482"/>
        <v>0</v>
      </c>
      <c r="D3344" s="1413" t="str">
        <f t="shared" si="482"/>
        <v>-</v>
      </c>
      <c r="E3344" s="560">
        <f t="shared" si="482"/>
        <v>2.57</v>
      </c>
      <c r="F3344" s="1508">
        <f t="shared" si="483"/>
        <v>2.5700000000000003</v>
      </c>
      <c r="G3344" s="1508">
        <f t="shared" si="484"/>
        <v>2.5700000000000003</v>
      </c>
      <c r="H3344" s="1508">
        <f>F3344-G3344</f>
        <v>0</v>
      </c>
      <c r="I3344" s="1480">
        <v>0</v>
      </c>
      <c r="J3344" s="1480">
        <v>0</v>
      </c>
      <c r="K3344" s="1508"/>
      <c r="L3344" s="1508"/>
      <c r="M3344" s="1509">
        <f>SUM(J3344:L3344)</f>
        <v>0</v>
      </c>
      <c r="N3344" s="1508">
        <f>H3344+I3344-M3344</f>
        <v>0</v>
      </c>
    </row>
    <row r="3345" spans="1:16" ht="31" outlineLevel="1" x14ac:dyDescent="0.25">
      <c r="A3345" s="1488">
        <f t="shared" si="482"/>
        <v>25</v>
      </c>
      <c r="B3345" s="1492" t="str">
        <f t="shared" si="482"/>
        <v>Replacement of FD &amp; ID Fan IGV Actuators &amp; Electronic Controllers in 500 MW Unit-5 &amp; 6 at CSTPS, Chandrapur</v>
      </c>
      <c r="C3345" s="1488">
        <f t="shared" si="482"/>
        <v>0</v>
      </c>
      <c r="D3345" s="1413" t="str">
        <f t="shared" si="482"/>
        <v>-</v>
      </c>
      <c r="E3345" s="560">
        <f t="shared" si="482"/>
        <v>4.2</v>
      </c>
      <c r="F3345" s="1508">
        <f t="shared" si="483"/>
        <v>4.2</v>
      </c>
      <c r="G3345" s="1508">
        <f t="shared" si="484"/>
        <v>4.2</v>
      </c>
      <c r="H3345" s="1508">
        <f>F3345-G3345</f>
        <v>0</v>
      </c>
      <c r="I3345" s="1480">
        <v>0</v>
      </c>
      <c r="J3345" s="1480">
        <v>0</v>
      </c>
      <c r="K3345" s="1508"/>
      <c r="L3345" s="1508"/>
      <c r="M3345" s="1509">
        <f>SUM(J3345:L3345)</f>
        <v>0</v>
      </c>
      <c r="N3345" s="1508">
        <f>H3345+I3345-M3345</f>
        <v>0</v>
      </c>
    </row>
    <row r="3346" spans="1:16" ht="77.5" outlineLevel="1" x14ac:dyDescent="0.25">
      <c r="A3346" s="1488">
        <f t="shared" ref="A3346:E3354" si="485">A2676</f>
        <v>26</v>
      </c>
      <c r="B3346" s="1492" t="str">
        <f t="shared" si="485"/>
        <v>Non DPR for Work of Repairing and Strengthening of Coal Mill structure, Replacement of MS grating and painting of structural supports, columns, and platform supports of at various locations Coal Mill, Boiler and ESP of Unit-5, 6 and 7 at CSTPS Chandrapur.</v>
      </c>
      <c r="C3346" s="1488">
        <f t="shared" si="485"/>
        <v>0</v>
      </c>
      <c r="D3346" s="1413" t="str">
        <f t="shared" si="485"/>
        <v>-</v>
      </c>
      <c r="E3346" s="560">
        <f t="shared" si="485"/>
        <v>2.1</v>
      </c>
      <c r="F3346" s="1508">
        <f t="shared" si="483"/>
        <v>2.1</v>
      </c>
      <c r="G3346" s="1508">
        <f t="shared" si="484"/>
        <v>2.1</v>
      </c>
      <c r="H3346" s="1508">
        <f>F3346-G3346</f>
        <v>0</v>
      </c>
      <c r="I3346" s="1480">
        <v>0</v>
      </c>
      <c r="J3346" s="1480">
        <v>0</v>
      </c>
      <c r="K3346" s="1508"/>
      <c r="L3346" s="1508"/>
      <c r="M3346" s="1509">
        <f>SUM(J3346:L3346)</f>
        <v>0</v>
      </c>
      <c r="N3346" s="1508">
        <f>H3346+I3346-M3346</f>
        <v>0</v>
      </c>
    </row>
    <row r="3347" spans="1:16" ht="62" outlineLevel="1" x14ac:dyDescent="0.25">
      <c r="A3347" s="1488">
        <f t="shared" si="485"/>
        <v>27</v>
      </c>
      <c r="B3347" s="1492" t="str">
        <f t="shared" si="485"/>
        <v>Administrative approval under Non DPR scheme for“The Work of Up-gradation / Renovation and life enhancement of Conveyor system BC-6ABC with allied works in CHP-A of Unit-3&amp;4 at CSTPS Chandrapur”</v>
      </c>
      <c r="C3347" s="1488">
        <f t="shared" si="485"/>
        <v>0</v>
      </c>
      <c r="D3347" s="1413" t="str">
        <f t="shared" si="485"/>
        <v>-</v>
      </c>
      <c r="E3347" s="560">
        <f t="shared" si="485"/>
        <v>4.55</v>
      </c>
      <c r="F3347" s="1508">
        <f t="shared" si="483"/>
        <v>4.55</v>
      </c>
      <c r="G3347" s="1508">
        <f t="shared" si="484"/>
        <v>4.55</v>
      </c>
      <c r="H3347" s="1508">
        <f>F3347-G3347</f>
        <v>0</v>
      </c>
      <c r="I3347" s="1480">
        <v>0</v>
      </c>
      <c r="J3347" s="1480">
        <v>0</v>
      </c>
      <c r="K3347" s="1508"/>
      <c r="L3347" s="1508"/>
      <c r="M3347" s="1509">
        <f>SUM(J3347:L3347)</f>
        <v>0</v>
      </c>
      <c r="N3347" s="1508">
        <f>H3347+I3347-M3347</f>
        <v>0</v>
      </c>
    </row>
    <row r="3348" spans="1:16" ht="62" outlineLevel="1" x14ac:dyDescent="0.25">
      <c r="A3348" s="1488">
        <f t="shared" si="485"/>
        <v>28</v>
      </c>
      <c r="B3348" s="1492" t="str">
        <f t="shared" si="485"/>
        <v>Supply Erection and commissioning of Institu type SOX, NOX Analyzer along with remote calibration facility and connectivity to CPCB and MPCB as per latest CPCB Guidelines for Unit-3&amp;4, CSTPS.</v>
      </c>
      <c r="C3348" s="1488">
        <f t="shared" si="485"/>
        <v>0</v>
      </c>
      <c r="D3348" s="1413" t="str">
        <f t="shared" si="485"/>
        <v>-</v>
      </c>
      <c r="E3348" s="560">
        <f t="shared" si="485"/>
        <v>0.97</v>
      </c>
      <c r="F3348" s="1508">
        <f t="shared" si="483"/>
        <v>0.97</v>
      </c>
      <c r="G3348" s="1508">
        <f t="shared" si="484"/>
        <v>0.97</v>
      </c>
      <c r="H3348" s="1508">
        <f>F3348-G3348</f>
        <v>0</v>
      </c>
      <c r="I3348" s="1480">
        <v>0</v>
      </c>
      <c r="J3348" s="1480">
        <v>0</v>
      </c>
      <c r="K3348" s="1508"/>
      <c r="L3348" s="1508"/>
      <c r="M3348" s="1509">
        <f>SUM(J3348:L3348)</f>
        <v>0</v>
      </c>
      <c r="N3348" s="1508">
        <f>H3348+I3348-M3348</f>
        <v>0</v>
      </c>
    </row>
    <row r="3349" spans="1:16" ht="62" outlineLevel="1" x14ac:dyDescent="0.25">
      <c r="A3349" s="1488">
        <f t="shared" si="485"/>
        <v>29</v>
      </c>
      <c r="B3349" s="1492" t="str">
        <f t="shared" si="485"/>
        <v>Work of Renovation &amp; Upgradation of Receipt &amp; Dispatch Yard of Railway Siding of CSTPS by provision of Various Standard Infrastructure facilities at R&amp;D yard in Coal Handling Plant of CSTPS Chandrapur</v>
      </c>
      <c r="C3349" s="1488">
        <f t="shared" si="485"/>
        <v>0</v>
      </c>
      <c r="D3349" s="1413" t="str">
        <f t="shared" si="485"/>
        <v>-</v>
      </c>
      <c r="E3349" s="560">
        <f t="shared" si="485"/>
        <v>7.89</v>
      </c>
      <c r="F3349" s="1508">
        <f t="shared" si="483"/>
        <v>7.89</v>
      </c>
      <c r="G3349" s="1508">
        <f t="shared" si="484"/>
        <v>7.89</v>
      </c>
      <c r="H3349" s="1508">
        <f t="shared" ref="H3349:H3354" si="486">F3349-G3349</f>
        <v>0</v>
      </c>
      <c r="I3349" s="1480">
        <v>0</v>
      </c>
      <c r="J3349" s="1480">
        <v>0</v>
      </c>
      <c r="K3349" s="1508"/>
      <c r="L3349" s="1508"/>
      <c r="M3349" s="1509">
        <f t="shared" ref="M3349:M3354" si="487">SUM(J3349:L3349)</f>
        <v>0</v>
      </c>
      <c r="N3349" s="1508">
        <f t="shared" ref="N3349:N3354" si="488">H3349+I3349-M3349</f>
        <v>0</v>
      </c>
    </row>
    <row r="3350" spans="1:16" ht="46.5" outlineLevel="1" x14ac:dyDescent="0.25">
      <c r="A3350" s="1488">
        <f t="shared" si="485"/>
        <v>30</v>
      </c>
      <c r="B3350" s="1492" t="str">
        <f t="shared" si="485"/>
        <v>Supply, Installation and Commissioning of MV VFD panel along with integrated online cell redundancy technology with VFD bypass feature arrangement for conveyors 103 A &amp; B of CHP-B.</v>
      </c>
      <c r="C3350" s="1488">
        <f t="shared" si="485"/>
        <v>0</v>
      </c>
      <c r="D3350" s="1413" t="str">
        <f t="shared" si="485"/>
        <v>-</v>
      </c>
      <c r="E3350" s="560">
        <f t="shared" si="485"/>
        <v>5.44</v>
      </c>
      <c r="F3350" s="1508">
        <f t="shared" si="483"/>
        <v>5.44</v>
      </c>
      <c r="G3350" s="1508">
        <f t="shared" si="484"/>
        <v>5.44</v>
      </c>
      <c r="H3350" s="1508">
        <f t="shared" si="486"/>
        <v>0</v>
      </c>
      <c r="I3350" s="1480">
        <v>0</v>
      </c>
      <c r="J3350" s="1480">
        <v>0</v>
      </c>
      <c r="K3350" s="1508"/>
      <c r="L3350" s="1508"/>
      <c r="M3350" s="1509">
        <f t="shared" si="487"/>
        <v>0</v>
      </c>
      <c r="N3350" s="1508">
        <f t="shared" si="488"/>
        <v>0</v>
      </c>
    </row>
    <row r="3351" spans="1:16" ht="15.5" outlineLevel="1" x14ac:dyDescent="0.25">
      <c r="A3351" s="1488">
        <f t="shared" si="485"/>
        <v>31</v>
      </c>
      <c r="B3351" s="1492" t="str">
        <f t="shared" si="485"/>
        <v>Replacement of LTSH assemblies in U- 5</v>
      </c>
      <c r="C3351" s="1488">
        <f t="shared" si="485"/>
        <v>0</v>
      </c>
      <c r="D3351" s="1413" t="str">
        <f t="shared" si="485"/>
        <v>-</v>
      </c>
      <c r="E3351" s="560">
        <f t="shared" si="485"/>
        <v>1.3756576</v>
      </c>
      <c r="F3351" s="1508">
        <f t="shared" si="483"/>
        <v>1.3756576</v>
      </c>
      <c r="G3351" s="1508">
        <f t="shared" si="484"/>
        <v>1.3756576</v>
      </c>
      <c r="H3351" s="1508">
        <f t="shared" si="486"/>
        <v>0</v>
      </c>
      <c r="I3351" s="1480">
        <v>0</v>
      </c>
      <c r="J3351" s="1480">
        <v>0</v>
      </c>
      <c r="K3351" s="1508"/>
      <c r="L3351" s="1508"/>
      <c r="M3351" s="1509">
        <f t="shared" si="487"/>
        <v>0</v>
      </c>
      <c r="N3351" s="1508">
        <f t="shared" si="488"/>
        <v>0</v>
      </c>
    </row>
    <row r="3352" spans="1:16" ht="15.5" outlineLevel="1" x14ac:dyDescent="0.25">
      <c r="A3352" s="1488">
        <f t="shared" si="485"/>
        <v>32</v>
      </c>
      <c r="B3352" s="1492" t="str">
        <f t="shared" si="485"/>
        <v>Replacement of complete Z-panels in unit- 5</v>
      </c>
      <c r="C3352" s="1488">
        <f t="shared" si="485"/>
        <v>0</v>
      </c>
      <c r="D3352" s="1413" t="str">
        <f t="shared" si="485"/>
        <v>-</v>
      </c>
      <c r="E3352" s="560">
        <f t="shared" si="485"/>
        <v>0.82545579999999996</v>
      </c>
      <c r="F3352" s="1508">
        <f t="shared" si="483"/>
        <v>0.82545579999999996</v>
      </c>
      <c r="G3352" s="1508">
        <f t="shared" si="484"/>
        <v>0.82545579999999996</v>
      </c>
      <c r="H3352" s="1508">
        <f t="shared" si="486"/>
        <v>0</v>
      </c>
      <c r="I3352" s="1480">
        <v>0</v>
      </c>
      <c r="J3352" s="1480">
        <v>0</v>
      </c>
      <c r="K3352" s="1508"/>
      <c r="L3352" s="1508"/>
      <c r="M3352" s="1509">
        <f t="shared" si="487"/>
        <v>0</v>
      </c>
      <c r="N3352" s="1508">
        <f t="shared" si="488"/>
        <v>0</v>
      </c>
    </row>
    <row r="3353" spans="1:16" ht="31" outlineLevel="1" x14ac:dyDescent="0.25">
      <c r="A3353" s="1488">
        <f t="shared" si="485"/>
        <v>33</v>
      </c>
      <c r="B3353" s="1492" t="str">
        <f t="shared" si="485"/>
        <v>MODIFICATION AND RESTORATION OF APH OUTLET TO ESP INLET DUCTS AT U#3 (210MW)</v>
      </c>
      <c r="C3353" s="1488">
        <f t="shared" si="485"/>
        <v>0</v>
      </c>
      <c r="D3353" s="1413" t="str">
        <f t="shared" si="485"/>
        <v>-</v>
      </c>
      <c r="E3353" s="560">
        <f t="shared" si="485"/>
        <v>10.3</v>
      </c>
      <c r="F3353" s="1508">
        <f t="shared" si="483"/>
        <v>10.3</v>
      </c>
      <c r="G3353" s="1508">
        <f t="shared" si="484"/>
        <v>10.3</v>
      </c>
      <c r="H3353" s="1508">
        <f t="shared" si="486"/>
        <v>0</v>
      </c>
      <c r="I3353" s="1480">
        <v>0</v>
      </c>
      <c r="J3353" s="1480">
        <v>0</v>
      </c>
      <c r="K3353" s="1508"/>
      <c r="L3353" s="1508"/>
      <c r="M3353" s="1509">
        <f t="shared" si="487"/>
        <v>0</v>
      </c>
      <c r="N3353" s="1508">
        <f t="shared" si="488"/>
        <v>0</v>
      </c>
    </row>
    <row r="3354" spans="1:16" ht="62.5" outlineLevel="1" thickBot="1" x14ac:dyDescent="0.3">
      <c r="A3354" s="1488">
        <f t="shared" si="485"/>
        <v>34</v>
      </c>
      <c r="B3354" s="1492" t="str">
        <f t="shared" si="485"/>
        <v xml:space="preserve">Supply, Installation, Testing, Commissioning for complete solution and comprehensive protection and monitoring package along with retrofit of allied accessories for Generator Transformers for 3 X 500 MW Unit#5,6&amp;7 </v>
      </c>
      <c r="C3354" s="1488">
        <f t="shared" si="485"/>
        <v>0</v>
      </c>
      <c r="D3354" s="1413" t="str">
        <f t="shared" si="485"/>
        <v>-</v>
      </c>
      <c r="E3354" s="560">
        <f t="shared" si="485"/>
        <v>5.62</v>
      </c>
      <c r="F3354" s="1508">
        <f t="shared" si="483"/>
        <v>5.62</v>
      </c>
      <c r="G3354" s="1508">
        <f t="shared" si="484"/>
        <v>5.62</v>
      </c>
      <c r="H3354" s="1508">
        <f t="shared" si="486"/>
        <v>0</v>
      </c>
      <c r="I3354" s="1480">
        <v>0</v>
      </c>
      <c r="J3354" s="1480">
        <v>0</v>
      </c>
      <c r="K3354" s="1508"/>
      <c r="L3354" s="1508"/>
      <c r="M3354" s="1509">
        <f t="shared" si="487"/>
        <v>0</v>
      </c>
      <c r="N3354" s="1508">
        <f t="shared" si="488"/>
        <v>0</v>
      </c>
    </row>
    <row r="3355" spans="1:16" ht="15.5" thickBot="1" x14ac:dyDescent="0.3">
      <c r="A3355" s="1428"/>
      <c r="B3355" s="1429" t="str">
        <f>B2685</f>
        <v>Total</v>
      </c>
      <c r="C3355" s="1430"/>
      <c r="D3355" s="1431"/>
      <c r="E3355" s="1507"/>
      <c r="F3355" s="1507">
        <f t="shared" ref="F3355:N3355" si="489">SUM(F2690:F3354)</f>
        <v>4681.1140933173565</v>
      </c>
      <c r="G3355" s="1507">
        <f t="shared" si="489"/>
        <v>3981.1665164133565</v>
      </c>
      <c r="H3355" s="1507">
        <f t="shared" si="489"/>
        <v>699.94757690400013</v>
      </c>
      <c r="I3355" s="1507">
        <f t="shared" si="489"/>
        <v>2320.6304794520552</v>
      </c>
      <c r="J3355" s="1507">
        <f t="shared" si="489"/>
        <v>1901.8434794520551</v>
      </c>
      <c r="K3355" s="1507">
        <f t="shared" si="489"/>
        <v>0</v>
      </c>
      <c r="L3355" s="1507">
        <f t="shared" si="489"/>
        <v>0</v>
      </c>
      <c r="M3355" s="1507">
        <f t="shared" si="489"/>
        <v>1901.8434794520551</v>
      </c>
      <c r="N3355" s="1507">
        <f t="shared" si="489"/>
        <v>1118.7345769040001</v>
      </c>
    </row>
    <row r="3357" spans="1:16" x14ac:dyDescent="0.25">
      <c r="A3357" s="1419"/>
      <c r="B3357" s="569" t="s">
        <v>971</v>
      </c>
      <c r="C3357" s="1474"/>
      <c r="D3357" s="1475"/>
      <c r="E3357" s="320"/>
      <c r="F3357" s="320"/>
      <c r="G3357" s="320"/>
      <c r="H3357" s="320"/>
      <c r="I3357" s="320"/>
      <c r="J3357" s="320"/>
      <c r="K3357" s="320"/>
      <c r="L3357" s="320"/>
      <c r="M3357" s="320"/>
      <c r="N3357" s="320"/>
    </row>
    <row r="3358" spans="1:16" outlineLevel="1" x14ac:dyDescent="0.25">
      <c r="A3358" s="131"/>
      <c r="B3358" s="1389" t="str">
        <f t="shared" ref="B3358:B3359" si="490">B2688</f>
        <v>a) DPR Schemes</v>
      </c>
      <c r="C3358" s="166"/>
      <c r="D3358" s="166"/>
      <c r="E3358" s="320"/>
      <c r="F3358" s="320"/>
      <c r="G3358" s="320"/>
      <c r="H3358" s="320"/>
      <c r="I3358" s="320"/>
      <c r="J3358" s="320"/>
      <c r="K3358" s="320"/>
      <c r="L3358" s="320"/>
      <c r="M3358" s="320"/>
      <c r="N3358" s="320"/>
    </row>
    <row r="3359" spans="1:16" outlineLevel="1" x14ac:dyDescent="0.25">
      <c r="A3359" s="131"/>
      <c r="B3359" s="1476" t="str">
        <f t="shared" si="490"/>
        <v>(i) In Principally Approved By MERC</v>
      </c>
      <c r="C3359" s="166"/>
      <c r="D3359" s="166"/>
      <c r="E3359" s="320"/>
      <c r="F3359" s="320"/>
      <c r="G3359" s="320"/>
      <c r="H3359" s="320"/>
      <c r="I3359" s="320"/>
      <c r="J3359" s="320"/>
      <c r="K3359" s="320"/>
      <c r="L3359" s="320"/>
      <c r="M3359" s="320"/>
      <c r="N3359" s="320"/>
    </row>
    <row r="3360" spans="1:16" ht="15.5" outlineLevel="1" x14ac:dyDescent="0.25">
      <c r="A3360" s="1477">
        <f t="shared" ref="A3360:E3375" si="491">A2690</f>
        <v>1</v>
      </c>
      <c r="B3360" s="1478" t="str">
        <f t="shared" si="491"/>
        <v>Boiler &amp; Turbine Improvement</v>
      </c>
      <c r="C3360" s="1477" t="str">
        <f t="shared" si="491"/>
        <v>MERC/CAPEX/20102011/01755</v>
      </c>
      <c r="D3360" s="1479">
        <f t="shared" si="491"/>
        <v>40507</v>
      </c>
      <c r="E3360" s="1383">
        <f t="shared" si="491"/>
        <v>181.82700000000003</v>
      </c>
      <c r="F3360" s="1480">
        <f t="shared" ref="F3360:F3423" si="492">F2690+I2690</f>
        <v>0</v>
      </c>
      <c r="G3360" s="1480">
        <f t="shared" ref="G3360:G3423" si="493">G2690+M2690</f>
        <v>0</v>
      </c>
      <c r="H3360" s="1480">
        <f>F3360-G3360</f>
        <v>0</v>
      </c>
      <c r="I3360" s="1480">
        <v>0</v>
      </c>
      <c r="J3360" s="1480">
        <v>0</v>
      </c>
      <c r="K3360" s="1480"/>
      <c r="L3360" s="1480"/>
      <c r="M3360" s="1480">
        <f>SUM(J3360:L3360)</f>
        <v>0</v>
      </c>
      <c r="N3360" s="1480">
        <f>H3360+I3360-M3360</f>
        <v>0</v>
      </c>
      <c r="O3360" s="1481">
        <f t="shared" ref="O3360:O3423" si="494">MAX(0,IF(M3360=0,0,IF(G3360+M3360&lt;E3360,M3360,E3360-G3360)))</f>
        <v>0</v>
      </c>
      <c r="P3360" s="1427">
        <f t="shared" ref="P3360:P3423" si="495">M3360-O3360</f>
        <v>0</v>
      </c>
    </row>
    <row r="3361" spans="1:16" ht="31" outlineLevel="1" x14ac:dyDescent="0.25">
      <c r="A3361" s="1482">
        <f t="shared" si="491"/>
        <v>1.1000000000000001</v>
      </c>
      <c r="B3361" s="1483" t="str">
        <f t="shared" si="491"/>
        <v>Installation of Sonic soot blowers for unit 5, 6 and  7 - Sonic soot blowers will be installed in LTSH and Eco zones (48 nos)</v>
      </c>
      <c r="C3361" s="1482" t="str">
        <f t="shared" si="491"/>
        <v>MERC/CAPEX/20102011/01755</v>
      </c>
      <c r="D3361" s="1390">
        <f t="shared" si="491"/>
        <v>40507</v>
      </c>
      <c r="E3361" s="560">
        <f t="shared" si="491"/>
        <v>1.06</v>
      </c>
      <c r="F3361" s="1508">
        <f t="shared" si="492"/>
        <v>0.44763439999999999</v>
      </c>
      <c r="G3361" s="1508">
        <f t="shared" si="493"/>
        <v>0.44763439999999999</v>
      </c>
      <c r="H3361" s="1508">
        <f t="shared" ref="H3361:H3424" si="496">F3361-G3361</f>
        <v>0</v>
      </c>
      <c r="I3361" s="1480">
        <v>0</v>
      </c>
      <c r="J3361" s="1480">
        <v>0</v>
      </c>
      <c r="K3361" s="1508"/>
      <c r="L3361" s="1508"/>
      <c r="M3361" s="1509">
        <f t="shared" ref="M3361:M3424" si="497">SUM(J3361:L3361)</f>
        <v>0</v>
      </c>
      <c r="N3361" s="1508">
        <f t="shared" ref="N3361:N3424" si="498">H3361+I3361-M3361</f>
        <v>0</v>
      </c>
      <c r="O3361" s="1481">
        <f t="shared" si="494"/>
        <v>0</v>
      </c>
      <c r="P3361" s="1427">
        <f t="shared" si="495"/>
        <v>0</v>
      </c>
    </row>
    <row r="3362" spans="1:16" ht="46.5" outlineLevel="1" x14ac:dyDescent="0.25">
      <c r="A3362" s="1482">
        <f t="shared" si="491"/>
        <v>1.2</v>
      </c>
      <c r="B3362" s="1483" t="str">
        <f t="shared" si="491"/>
        <v>Installation of smart soot blower system for unit 5 and 6 boiler (Smart cannons- 8 nos, sealing and cooling air fans – 8 nos, heat flux sensors- 32 nos, HP pump – 1 no</v>
      </c>
      <c r="C3362" s="1482" t="str">
        <f t="shared" si="491"/>
        <v>MERC/CAPEX/20102011/01755</v>
      </c>
      <c r="D3362" s="1390">
        <f t="shared" si="491"/>
        <v>40507</v>
      </c>
      <c r="E3362" s="560">
        <f t="shared" si="491"/>
        <v>11.8</v>
      </c>
      <c r="F3362" s="1508">
        <f t="shared" si="492"/>
        <v>0</v>
      </c>
      <c r="G3362" s="1508">
        <f t="shared" si="493"/>
        <v>0</v>
      </c>
      <c r="H3362" s="1508">
        <f t="shared" si="496"/>
        <v>0</v>
      </c>
      <c r="I3362" s="1480">
        <v>0</v>
      </c>
      <c r="J3362" s="1480">
        <v>0</v>
      </c>
      <c r="K3362" s="1508"/>
      <c r="L3362" s="1508"/>
      <c r="M3362" s="1509">
        <f t="shared" si="497"/>
        <v>0</v>
      </c>
      <c r="N3362" s="1508">
        <f t="shared" si="498"/>
        <v>0</v>
      </c>
      <c r="O3362" s="1481">
        <f t="shared" si="494"/>
        <v>0</v>
      </c>
      <c r="P3362" s="1427">
        <f t="shared" si="495"/>
        <v>0</v>
      </c>
    </row>
    <row r="3363" spans="1:16" ht="62" outlineLevel="1" x14ac:dyDescent="0.25">
      <c r="A3363" s="1482">
        <f t="shared" si="491"/>
        <v>1.3</v>
      </c>
      <c r="B3363" s="1483" t="str">
        <f t="shared" si="491"/>
        <v>Total Replacement of boiler skin and air duct insulation of unit 3 to 7 (Ribbed aluminium cladding – 2000 m2, GI cladding, U bonded rock wool mattresses 100 mm thick )(consists of two schemes)</v>
      </c>
      <c r="C3363" s="1482" t="str">
        <f t="shared" si="491"/>
        <v>MERC/CAPEX/20102011/01755</v>
      </c>
      <c r="D3363" s="1390">
        <f t="shared" si="491"/>
        <v>40507</v>
      </c>
      <c r="E3363" s="560">
        <f t="shared" si="491"/>
        <v>12.3</v>
      </c>
      <c r="F3363" s="1508">
        <f t="shared" si="492"/>
        <v>10.016599048</v>
      </c>
      <c r="G3363" s="1508">
        <f t="shared" si="493"/>
        <v>10.016599048000002</v>
      </c>
      <c r="H3363" s="1508">
        <f t="shared" si="496"/>
        <v>0</v>
      </c>
      <c r="I3363" s="1480">
        <v>0</v>
      </c>
      <c r="J3363" s="1480">
        <v>0</v>
      </c>
      <c r="K3363" s="1508"/>
      <c r="L3363" s="1508"/>
      <c r="M3363" s="1509">
        <f t="shared" si="497"/>
        <v>0</v>
      </c>
      <c r="N3363" s="1508">
        <f t="shared" si="498"/>
        <v>0</v>
      </c>
      <c r="O3363" s="1481">
        <f t="shared" si="494"/>
        <v>0</v>
      </c>
      <c r="P3363" s="1427">
        <f t="shared" si="495"/>
        <v>0</v>
      </c>
    </row>
    <row r="3364" spans="1:16" ht="77.5" outlineLevel="1" x14ac:dyDescent="0.25">
      <c r="A3364" s="1482">
        <f t="shared" si="491"/>
        <v>1.4</v>
      </c>
      <c r="B3364" s="1483" t="str">
        <f t="shared" si="491"/>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3364" s="1482" t="str">
        <f t="shared" si="491"/>
        <v>MERC/CAPEX/20102011/01755</v>
      </c>
      <c r="D3364" s="1390">
        <f t="shared" si="491"/>
        <v>40507</v>
      </c>
      <c r="E3364" s="560">
        <f t="shared" si="491"/>
        <v>7.52</v>
      </c>
      <c r="F3364" s="1508">
        <f t="shared" si="492"/>
        <v>3.8601695880000002</v>
      </c>
      <c r="G3364" s="1508">
        <f t="shared" si="493"/>
        <v>3.8601695880000002</v>
      </c>
      <c r="H3364" s="1508">
        <f t="shared" si="496"/>
        <v>0</v>
      </c>
      <c r="I3364" s="1480">
        <v>0</v>
      </c>
      <c r="J3364" s="1480">
        <v>0</v>
      </c>
      <c r="K3364" s="1508"/>
      <c r="L3364" s="1508"/>
      <c r="M3364" s="1509">
        <f t="shared" si="497"/>
        <v>0</v>
      </c>
      <c r="N3364" s="1508">
        <f t="shared" si="498"/>
        <v>0</v>
      </c>
      <c r="O3364" s="1481">
        <f t="shared" si="494"/>
        <v>0</v>
      </c>
      <c r="P3364" s="1427">
        <f t="shared" si="495"/>
        <v>0</v>
      </c>
    </row>
    <row r="3365" spans="1:16" ht="46.5" outlineLevel="1" x14ac:dyDescent="0.25">
      <c r="A3365" s="1482">
        <f t="shared" si="491"/>
        <v>1.5</v>
      </c>
      <c r="B3365" s="1483" t="str">
        <f t="shared" si="491"/>
        <v>Replacement of ECO coils with gas velocity profiles and erosion control devices for Unit 1 to 6 (U7 middle eco- 69 assemblies, U5&amp;6 middle and lower eco- 65 assemblies each)</v>
      </c>
      <c r="C3365" s="1482" t="str">
        <f t="shared" si="491"/>
        <v>MERC/CAPEX/20102011/01755</v>
      </c>
      <c r="D3365" s="1390">
        <f t="shared" si="491"/>
        <v>40507</v>
      </c>
      <c r="E3365" s="560">
        <f t="shared" si="491"/>
        <v>43.2</v>
      </c>
      <c r="F3365" s="1508">
        <f t="shared" si="492"/>
        <v>56.159367274552196</v>
      </c>
      <c r="G3365" s="1508">
        <f t="shared" si="493"/>
        <v>56.159367274552196</v>
      </c>
      <c r="H3365" s="1508">
        <f t="shared" si="496"/>
        <v>0</v>
      </c>
      <c r="I3365" s="1480">
        <v>0</v>
      </c>
      <c r="J3365" s="1480">
        <v>0</v>
      </c>
      <c r="K3365" s="1508"/>
      <c r="L3365" s="1508"/>
      <c r="M3365" s="1509">
        <f t="shared" si="497"/>
        <v>0</v>
      </c>
      <c r="N3365" s="1508">
        <f t="shared" si="498"/>
        <v>0</v>
      </c>
      <c r="O3365" s="1481">
        <f t="shared" si="494"/>
        <v>0</v>
      </c>
      <c r="P3365" s="1427">
        <f t="shared" si="495"/>
        <v>0</v>
      </c>
    </row>
    <row r="3366" spans="1:16" ht="46.5" outlineLevel="1" x14ac:dyDescent="0.25">
      <c r="A3366" s="1482">
        <f t="shared" si="491"/>
        <v>1.6</v>
      </c>
      <c r="B3366" s="1483" t="str">
        <f t="shared" si="491"/>
        <v>Replacement of LTSH coils with improved tube materials, gas velocity profiles and erosion control devices for unit 3 to 7 (U5&amp;6 LTSH terminal tubes – 58 assemblies)</v>
      </c>
      <c r="C3366" s="1482" t="str">
        <f t="shared" si="491"/>
        <v>MERC/CAPEX/20102011/01755</v>
      </c>
      <c r="D3366" s="1390">
        <f t="shared" si="491"/>
        <v>40507</v>
      </c>
      <c r="E3366" s="560">
        <f t="shared" si="491"/>
        <v>23.4</v>
      </c>
      <c r="F3366" s="1508">
        <f t="shared" si="492"/>
        <v>12.917271588999998</v>
      </c>
      <c r="G3366" s="1508">
        <f t="shared" si="493"/>
        <v>12.917271589</v>
      </c>
      <c r="H3366" s="1508">
        <f t="shared" si="496"/>
        <v>0</v>
      </c>
      <c r="I3366" s="1480">
        <v>0</v>
      </c>
      <c r="J3366" s="1480">
        <v>0</v>
      </c>
      <c r="K3366" s="1508"/>
      <c r="L3366" s="1508"/>
      <c r="M3366" s="1509">
        <f t="shared" si="497"/>
        <v>0</v>
      </c>
      <c r="N3366" s="1508">
        <f t="shared" si="498"/>
        <v>0</v>
      </c>
      <c r="O3366" s="1481">
        <f t="shared" si="494"/>
        <v>0</v>
      </c>
      <c r="P3366" s="1427">
        <f t="shared" si="495"/>
        <v>0</v>
      </c>
    </row>
    <row r="3367" spans="1:16" ht="31" outlineLevel="1" x14ac:dyDescent="0.25">
      <c r="A3367" s="1482">
        <f t="shared" si="491"/>
        <v>1.7</v>
      </c>
      <c r="B3367" s="1483" t="str">
        <f t="shared" si="491"/>
        <v>Replacement of RH platens for Unit 5 &amp; 6 (unit 5- 46 coils, unit 6- 28 coils)</v>
      </c>
      <c r="C3367" s="1482" t="str">
        <f t="shared" si="491"/>
        <v>MERC/CAPEX/20102011/01755</v>
      </c>
      <c r="D3367" s="1390">
        <f t="shared" si="491"/>
        <v>40507</v>
      </c>
      <c r="E3367" s="560">
        <f t="shared" si="491"/>
        <v>27.6</v>
      </c>
      <c r="F3367" s="1508">
        <f t="shared" si="492"/>
        <v>11.3681175</v>
      </c>
      <c r="G3367" s="1508">
        <f t="shared" si="493"/>
        <v>11.3681175</v>
      </c>
      <c r="H3367" s="1508">
        <f t="shared" si="496"/>
        <v>0</v>
      </c>
      <c r="I3367" s="1480">
        <v>0</v>
      </c>
      <c r="J3367" s="1480">
        <v>0</v>
      </c>
      <c r="K3367" s="1508"/>
      <c r="L3367" s="1508"/>
      <c r="M3367" s="1509">
        <f t="shared" si="497"/>
        <v>0</v>
      </c>
      <c r="N3367" s="1508">
        <f t="shared" si="498"/>
        <v>0</v>
      </c>
      <c r="O3367" s="1481">
        <f t="shared" si="494"/>
        <v>0</v>
      </c>
      <c r="P3367" s="1427">
        <f t="shared" si="495"/>
        <v>0</v>
      </c>
    </row>
    <row r="3368" spans="1:16" ht="46.5" outlineLevel="1" x14ac:dyDescent="0.25">
      <c r="A3368" s="1482">
        <f t="shared" si="491"/>
        <v>1.8</v>
      </c>
      <c r="B3368" s="1483" t="str">
        <f t="shared" si="491"/>
        <v>Gas proportioning dampers, flue gas, primary and secondary air dampers should be retrofitted with cold hardened material (SAH dampers- 4 nos)</v>
      </c>
      <c r="C3368" s="1482" t="str">
        <f t="shared" si="491"/>
        <v>MERC/CAPEX/20102011/01755</v>
      </c>
      <c r="D3368" s="1390">
        <f t="shared" si="491"/>
        <v>40507</v>
      </c>
      <c r="E3368" s="560">
        <f t="shared" si="491"/>
        <v>1.43</v>
      </c>
      <c r="F3368" s="1508">
        <f t="shared" si="492"/>
        <v>1.8769309999999999</v>
      </c>
      <c r="G3368" s="1508">
        <f t="shared" si="493"/>
        <v>1.8769309999999999</v>
      </c>
      <c r="H3368" s="1508">
        <f t="shared" si="496"/>
        <v>0</v>
      </c>
      <c r="I3368" s="1480">
        <v>0</v>
      </c>
      <c r="J3368" s="1480">
        <v>0</v>
      </c>
      <c r="K3368" s="1508"/>
      <c r="L3368" s="1508"/>
      <c r="M3368" s="1509">
        <f t="shared" si="497"/>
        <v>0</v>
      </c>
      <c r="N3368" s="1508">
        <f t="shared" si="498"/>
        <v>0</v>
      </c>
      <c r="O3368" s="1481">
        <f t="shared" si="494"/>
        <v>0</v>
      </c>
      <c r="P3368" s="1427">
        <f t="shared" si="495"/>
        <v>0</v>
      </c>
    </row>
    <row r="3369" spans="1:16" ht="93" outlineLevel="1" x14ac:dyDescent="0.25">
      <c r="A3369" s="1484">
        <f t="shared" si="491"/>
        <v>1.9</v>
      </c>
      <c r="B3369" s="1485" t="str">
        <f t="shared" si="491"/>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3369" s="1482" t="str">
        <f t="shared" si="491"/>
        <v>MERC/CAPEX/20102011/01755</v>
      </c>
      <c r="D3369" s="1390">
        <f t="shared" si="491"/>
        <v>40507</v>
      </c>
      <c r="E3369" s="560">
        <f t="shared" si="491"/>
        <v>3.5</v>
      </c>
      <c r="F3369" s="1508">
        <f t="shared" si="492"/>
        <v>4.2488259999999993</v>
      </c>
      <c r="G3369" s="1508">
        <f t="shared" si="493"/>
        <v>4.2488259999999993</v>
      </c>
      <c r="H3369" s="1508">
        <f t="shared" si="496"/>
        <v>0</v>
      </c>
      <c r="I3369" s="1480">
        <v>0</v>
      </c>
      <c r="J3369" s="1480">
        <v>0</v>
      </c>
      <c r="K3369" s="1508"/>
      <c r="L3369" s="1508"/>
      <c r="M3369" s="1509">
        <f t="shared" si="497"/>
        <v>0</v>
      </c>
      <c r="N3369" s="1508">
        <f t="shared" si="498"/>
        <v>0</v>
      </c>
      <c r="O3369" s="1481">
        <f t="shared" si="494"/>
        <v>0</v>
      </c>
      <c r="P3369" s="1427">
        <f t="shared" si="495"/>
        <v>0</v>
      </c>
    </row>
    <row r="3370" spans="1:16" ht="62" outlineLevel="1" x14ac:dyDescent="0.25">
      <c r="A3370" s="1482" t="str">
        <f t="shared" si="491"/>
        <v>1.10</v>
      </c>
      <c r="B3370" s="1483" t="str">
        <f t="shared" si="491"/>
        <v>Reducing the pressure drop across APH in Unit 5, 6 and 7 (CFD analysis and design modification in APH inlet duct, Manufacture and supply and erection of carbide overlay divertet plates – 600 m2</v>
      </c>
      <c r="C3370" s="1482" t="str">
        <f t="shared" si="491"/>
        <v>MERC/CAPEX/20102011/01755</v>
      </c>
      <c r="D3370" s="1390">
        <f t="shared" si="491"/>
        <v>40507</v>
      </c>
      <c r="E3370" s="560">
        <f t="shared" si="491"/>
        <v>2</v>
      </c>
      <c r="F3370" s="1508">
        <f t="shared" si="492"/>
        <v>2.0468280000000001</v>
      </c>
      <c r="G3370" s="1508">
        <f t="shared" si="493"/>
        <v>2.0468280000000001</v>
      </c>
      <c r="H3370" s="1508">
        <f t="shared" si="496"/>
        <v>0</v>
      </c>
      <c r="I3370" s="1480">
        <v>0</v>
      </c>
      <c r="J3370" s="1480">
        <v>0</v>
      </c>
      <c r="K3370" s="1508"/>
      <c r="L3370" s="1508"/>
      <c r="M3370" s="1509">
        <f t="shared" si="497"/>
        <v>0</v>
      </c>
      <c r="N3370" s="1508">
        <f t="shared" si="498"/>
        <v>0</v>
      </c>
      <c r="O3370" s="1481">
        <f t="shared" si="494"/>
        <v>0</v>
      </c>
      <c r="P3370" s="1427">
        <f t="shared" si="495"/>
        <v>0</v>
      </c>
    </row>
    <row r="3371" spans="1:16" ht="15.5" outlineLevel="1" x14ac:dyDescent="0.25">
      <c r="A3371" s="1482">
        <f t="shared" si="491"/>
        <v>1.1100000000000001</v>
      </c>
      <c r="B3371" s="1483" t="str">
        <f t="shared" si="491"/>
        <v>Reducing the pressure drop across ESP</v>
      </c>
      <c r="C3371" s="1482" t="str">
        <f t="shared" si="491"/>
        <v>MERC/CAPEX/20102011/01755</v>
      </c>
      <c r="D3371" s="1390">
        <f t="shared" si="491"/>
        <v>40507</v>
      </c>
      <c r="E3371" s="560">
        <f t="shared" si="491"/>
        <v>0</v>
      </c>
      <c r="F3371" s="1508">
        <f t="shared" si="492"/>
        <v>0</v>
      </c>
      <c r="G3371" s="1508">
        <f t="shared" si="493"/>
        <v>0</v>
      </c>
      <c r="H3371" s="1508">
        <f t="shared" si="496"/>
        <v>0</v>
      </c>
      <c r="I3371" s="1480">
        <v>0</v>
      </c>
      <c r="J3371" s="1480">
        <v>0</v>
      </c>
      <c r="K3371" s="1508"/>
      <c r="L3371" s="1508"/>
      <c r="M3371" s="1509">
        <f t="shared" si="497"/>
        <v>0</v>
      </c>
      <c r="N3371" s="1508">
        <f t="shared" si="498"/>
        <v>0</v>
      </c>
      <c r="O3371" s="1481">
        <f t="shared" si="494"/>
        <v>0</v>
      </c>
      <c r="P3371" s="1427">
        <f t="shared" si="495"/>
        <v>0</v>
      </c>
    </row>
    <row r="3372" spans="1:16" ht="31" outlineLevel="1" x14ac:dyDescent="0.25">
      <c r="A3372" s="1482">
        <f t="shared" si="491"/>
        <v>1.1200000000000001</v>
      </c>
      <c r="B3372" s="1483" t="str">
        <f t="shared" si="491"/>
        <v>Replacement  of CT fan blades from GRP to FRP and resizing the motor to 75 kw</v>
      </c>
      <c r="C3372" s="1482" t="str">
        <f t="shared" si="491"/>
        <v>MERC/CAPEX/20102011/01755</v>
      </c>
      <c r="D3372" s="1390">
        <f t="shared" si="491"/>
        <v>40507</v>
      </c>
      <c r="E3372" s="560">
        <f t="shared" si="491"/>
        <v>2.9129999999999998</v>
      </c>
      <c r="F3372" s="1508">
        <f t="shared" si="492"/>
        <v>1.6187437680000003</v>
      </c>
      <c r="G3372" s="1508">
        <f t="shared" si="493"/>
        <v>1.6187437679999999</v>
      </c>
      <c r="H3372" s="1508">
        <f t="shared" si="496"/>
        <v>0</v>
      </c>
      <c r="I3372" s="1480">
        <v>0</v>
      </c>
      <c r="J3372" s="1480">
        <v>0</v>
      </c>
      <c r="K3372" s="1508"/>
      <c r="L3372" s="1508"/>
      <c r="M3372" s="1509">
        <f t="shared" si="497"/>
        <v>0</v>
      </c>
      <c r="N3372" s="1508">
        <f t="shared" si="498"/>
        <v>0</v>
      </c>
      <c r="O3372" s="1481">
        <f t="shared" si="494"/>
        <v>0</v>
      </c>
      <c r="P3372" s="1427">
        <f t="shared" si="495"/>
        <v>0</v>
      </c>
    </row>
    <row r="3373" spans="1:16" ht="31" outlineLevel="1" x14ac:dyDescent="0.25">
      <c r="A3373" s="1482">
        <f t="shared" si="491"/>
        <v>1.1299999999999999</v>
      </c>
      <c r="B3373" s="1483" t="str">
        <f t="shared" si="491"/>
        <v>Improving the BFP efficiency by overhauling of pump and motors for unit 3 &amp;4</v>
      </c>
      <c r="C3373" s="1482" t="str">
        <f t="shared" si="491"/>
        <v>MERC/CAPEX/20102011/01755</v>
      </c>
      <c r="D3373" s="1390">
        <f t="shared" si="491"/>
        <v>40507</v>
      </c>
      <c r="E3373" s="560">
        <f t="shared" si="491"/>
        <v>15</v>
      </c>
      <c r="F3373" s="1508">
        <f t="shared" si="492"/>
        <v>14.851620102999998</v>
      </c>
      <c r="G3373" s="1508">
        <f t="shared" si="493"/>
        <v>14.851620102999998</v>
      </c>
      <c r="H3373" s="1508">
        <f t="shared" si="496"/>
        <v>0</v>
      </c>
      <c r="I3373" s="1480">
        <v>0</v>
      </c>
      <c r="J3373" s="1480">
        <v>0</v>
      </c>
      <c r="K3373" s="1508"/>
      <c r="L3373" s="1508"/>
      <c r="M3373" s="1509">
        <f t="shared" si="497"/>
        <v>0</v>
      </c>
      <c r="N3373" s="1508">
        <f t="shared" si="498"/>
        <v>0</v>
      </c>
      <c r="O3373" s="1481">
        <f t="shared" si="494"/>
        <v>0</v>
      </c>
      <c r="P3373" s="1427">
        <f t="shared" si="495"/>
        <v>0</v>
      </c>
    </row>
    <row r="3374" spans="1:16" ht="31" outlineLevel="1" x14ac:dyDescent="0.25">
      <c r="A3374" s="1482">
        <f t="shared" si="491"/>
        <v>1.1399999999999999</v>
      </c>
      <c r="B3374" s="1483" t="str">
        <f t="shared" si="491"/>
        <v>During the next capital overhaul, restoration of the steam paths through steam path audits for unit 1 to 7</v>
      </c>
      <c r="C3374" s="1482" t="str">
        <f t="shared" si="491"/>
        <v>MERC/CAPEX/20102011/01755</v>
      </c>
      <c r="D3374" s="1390">
        <f t="shared" si="491"/>
        <v>40507</v>
      </c>
      <c r="E3374" s="560">
        <f t="shared" si="491"/>
        <v>4.6040000000000001</v>
      </c>
      <c r="F3374" s="1508">
        <f t="shared" si="492"/>
        <v>8.9775599999999997E-2</v>
      </c>
      <c r="G3374" s="1508">
        <f t="shared" si="493"/>
        <v>8.9775599999999997E-2</v>
      </c>
      <c r="H3374" s="1508">
        <f t="shared" si="496"/>
        <v>0</v>
      </c>
      <c r="I3374" s="1480">
        <v>0</v>
      </c>
      <c r="J3374" s="1480">
        <v>0</v>
      </c>
      <c r="K3374" s="1508"/>
      <c r="L3374" s="1508"/>
      <c r="M3374" s="1509">
        <f t="shared" si="497"/>
        <v>0</v>
      </c>
      <c r="N3374" s="1508">
        <f t="shared" si="498"/>
        <v>0</v>
      </c>
      <c r="O3374" s="1481">
        <f t="shared" si="494"/>
        <v>0</v>
      </c>
      <c r="P3374" s="1427">
        <f t="shared" si="495"/>
        <v>0</v>
      </c>
    </row>
    <row r="3375" spans="1:16" ht="31" outlineLevel="1" x14ac:dyDescent="0.25">
      <c r="A3375" s="1482">
        <f t="shared" si="491"/>
        <v>1.1499999999999999</v>
      </c>
      <c r="B3375" s="1483" t="str">
        <f t="shared" si="491"/>
        <v>Continuous monitoring system for CO in the furnace and flue gas ducting zone for Unit 3 to 7</v>
      </c>
      <c r="C3375" s="1482" t="str">
        <f t="shared" si="491"/>
        <v>MERC/CAPEX/20102011/01755</v>
      </c>
      <c r="D3375" s="1390">
        <f t="shared" si="491"/>
        <v>40507</v>
      </c>
      <c r="E3375" s="560">
        <f t="shared" si="491"/>
        <v>10.5</v>
      </c>
      <c r="F3375" s="1508">
        <f t="shared" si="492"/>
        <v>0</v>
      </c>
      <c r="G3375" s="1508">
        <f t="shared" si="493"/>
        <v>0</v>
      </c>
      <c r="H3375" s="1508">
        <f t="shared" si="496"/>
        <v>0</v>
      </c>
      <c r="I3375" s="1480">
        <v>0</v>
      </c>
      <c r="J3375" s="1480">
        <v>0</v>
      </c>
      <c r="K3375" s="1508"/>
      <c r="L3375" s="1508"/>
      <c r="M3375" s="1509">
        <f t="shared" si="497"/>
        <v>0</v>
      </c>
      <c r="N3375" s="1508">
        <f t="shared" si="498"/>
        <v>0</v>
      </c>
      <c r="O3375" s="1481">
        <f t="shared" si="494"/>
        <v>0</v>
      </c>
      <c r="P3375" s="1427">
        <f t="shared" si="495"/>
        <v>0</v>
      </c>
    </row>
    <row r="3376" spans="1:16" ht="31" outlineLevel="1" x14ac:dyDescent="0.25">
      <c r="A3376" s="1482">
        <f t="shared" ref="A3376:E3391" si="499">A2706</f>
        <v>1.1599999999999999</v>
      </c>
      <c r="B3376" s="1483" t="str">
        <f t="shared" si="499"/>
        <v>Oxygen measurement must be introduced at APH inlet and after ID fan outlet  for unit 1 to 7</v>
      </c>
      <c r="C3376" s="1482" t="str">
        <f t="shared" si="499"/>
        <v>MERC/CAPEX/20102011/01755</v>
      </c>
      <c r="D3376" s="1390">
        <f t="shared" si="499"/>
        <v>40507</v>
      </c>
      <c r="E3376" s="560">
        <f t="shared" si="499"/>
        <v>4.91</v>
      </c>
      <c r="F3376" s="1508">
        <f t="shared" si="492"/>
        <v>3.543640452</v>
      </c>
      <c r="G3376" s="1508">
        <f t="shared" si="493"/>
        <v>3.543640452</v>
      </c>
      <c r="H3376" s="1508">
        <f t="shared" si="496"/>
        <v>0</v>
      </c>
      <c r="I3376" s="1480">
        <v>0</v>
      </c>
      <c r="J3376" s="1480">
        <v>0</v>
      </c>
      <c r="K3376" s="1508"/>
      <c r="L3376" s="1508"/>
      <c r="M3376" s="1509">
        <f t="shared" si="497"/>
        <v>0</v>
      </c>
      <c r="N3376" s="1508">
        <f t="shared" si="498"/>
        <v>0</v>
      </c>
      <c r="O3376" s="1481">
        <f t="shared" si="494"/>
        <v>0</v>
      </c>
      <c r="P3376" s="1427">
        <f t="shared" si="495"/>
        <v>0</v>
      </c>
    </row>
    <row r="3377" spans="1:16" ht="15.5" outlineLevel="1" x14ac:dyDescent="0.25">
      <c r="A3377" s="1482">
        <f t="shared" si="499"/>
        <v>0</v>
      </c>
      <c r="B3377" s="1483" t="str">
        <f t="shared" si="499"/>
        <v>IDC</v>
      </c>
      <c r="C3377" s="1482" t="str">
        <f t="shared" si="499"/>
        <v>MERC/CAPEX/20102011/01755</v>
      </c>
      <c r="D3377" s="1390">
        <f t="shared" si="499"/>
        <v>40507</v>
      </c>
      <c r="E3377" s="560">
        <f t="shared" si="499"/>
        <v>10.09</v>
      </c>
      <c r="F3377" s="1508">
        <f t="shared" si="492"/>
        <v>0</v>
      </c>
      <c r="G3377" s="1508">
        <f t="shared" si="493"/>
        <v>0</v>
      </c>
      <c r="H3377" s="1508">
        <f t="shared" si="496"/>
        <v>0</v>
      </c>
      <c r="I3377" s="1480">
        <v>0</v>
      </c>
      <c r="J3377" s="1480">
        <v>0</v>
      </c>
      <c r="K3377" s="1508"/>
      <c r="L3377" s="1508"/>
      <c r="M3377" s="1509">
        <f t="shared" si="497"/>
        <v>0</v>
      </c>
      <c r="N3377" s="1508">
        <f t="shared" si="498"/>
        <v>0</v>
      </c>
      <c r="O3377" s="1481">
        <f t="shared" si="494"/>
        <v>0</v>
      </c>
      <c r="P3377" s="1427">
        <f t="shared" si="495"/>
        <v>0</v>
      </c>
    </row>
    <row r="3378" spans="1:16" ht="15.5" outlineLevel="1" x14ac:dyDescent="0.25">
      <c r="A3378" s="1477">
        <f t="shared" si="499"/>
        <v>2</v>
      </c>
      <c r="B3378" s="1478" t="str">
        <f t="shared" si="499"/>
        <v>Input source Measurement</v>
      </c>
      <c r="C3378" s="1486" t="str">
        <f t="shared" si="499"/>
        <v>MERC/CAPEX/20112012/00925</v>
      </c>
      <c r="D3378" s="1487">
        <f t="shared" si="499"/>
        <v>40730</v>
      </c>
      <c r="E3378" s="1383">
        <f t="shared" si="499"/>
        <v>20.990099999999998</v>
      </c>
      <c r="F3378" s="1480">
        <f t="shared" si="492"/>
        <v>0</v>
      </c>
      <c r="G3378" s="1480">
        <f t="shared" si="493"/>
        <v>0</v>
      </c>
      <c r="H3378" s="1480">
        <f t="shared" si="496"/>
        <v>0</v>
      </c>
      <c r="I3378" s="1480">
        <v>0</v>
      </c>
      <c r="J3378" s="1480">
        <v>0</v>
      </c>
      <c r="K3378" s="1480"/>
      <c r="L3378" s="1480"/>
      <c r="M3378" s="1480">
        <f t="shared" si="497"/>
        <v>0</v>
      </c>
      <c r="N3378" s="1480">
        <f t="shared" si="498"/>
        <v>0</v>
      </c>
      <c r="O3378" s="1481">
        <f t="shared" si="494"/>
        <v>0</v>
      </c>
      <c r="P3378" s="1427">
        <f t="shared" si="495"/>
        <v>0</v>
      </c>
    </row>
    <row r="3379" spans="1:16" ht="46.5" outlineLevel="1" x14ac:dyDescent="0.25">
      <c r="A3379" s="1482">
        <f t="shared" si="499"/>
        <v>2.1</v>
      </c>
      <c r="B3379" s="1483" t="str">
        <f t="shared" si="499"/>
        <v>Installation of Guided wave radar type level indicators for all fuel oil tanks of unit-1 to 7 DTFA 15 tanks and MTFA 15 tanks (total 30 tanks)</v>
      </c>
      <c r="C3379" s="1482" t="str">
        <f t="shared" si="499"/>
        <v>MERC/CAPEX/20112012/00925</v>
      </c>
      <c r="D3379" s="1390">
        <f t="shared" si="499"/>
        <v>40730</v>
      </c>
      <c r="E3379" s="560">
        <f t="shared" si="499"/>
        <v>1.0398000000000001</v>
      </c>
      <c r="F3379" s="1508">
        <f t="shared" si="492"/>
        <v>0.70700000000000007</v>
      </c>
      <c r="G3379" s="1508">
        <f t="shared" si="493"/>
        <v>0.70700000000000007</v>
      </c>
      <c r="H3379" s="1508">
        <f t="shared" si="496"/>
        <v>0</v>
      </c>
      <c r="I3379" s="1480">
        <v>0</v>
      </c>
      <c r="J3379" s="1480">
        <v>0</v>
      </c>
      <c r="K3379" s="1508"/>
      <c r="L3379" s="1508"/>
      <c r="M3379" s="1509">
        <f t="shared" si="497"/>
        <v>0</v>
      </c>
      <c r="N3379" s="1508">
        <f t="shared" si="498"/>
        <v>0</v>
      </c>
      <c r="O3379" s="1481">
        <f t="shared" si="494"/>
        <v>0</v>
      </c>
      <c r="P3379" s="1427">
        <f t="shared" si="495"/>
        <v>0</v>
      </c>
    </row>
    <row r="3380" spans="1:16" ht="31" outlineLevel="1" x14ac:dyDescent="0.25">
      <c r="A3380" s="1482">
        <f t="shared" si="499"/>
        <v>2.2000000000000002</v>
      </c>
      <c r="B3380" s="1483" t="str">
        <f t="shared" si="499"/>
        <v>Installation of mass based oil flow meters with provision for continuous digital transfer (20 transmitters)</v>
      </c>
      <c r="C3380" s="1482" t="str">
        <f t="shared" si="499"/>
        <v>MERC/CAPEX/20112012/00925</v>
      </c>
      <c r="D3380" s="1390">
        <f t="shared" si="499"/>
        <v>40730</v>
      </c>
      <c r="E3380" s="560">
        <f t="shared" si="499"/>
        <v>3.1379999999999999</v>
      </c>
      <c r="F3380" s="1508">
        <f t="shared" si="492"/>
        <v>0</v>
      </c>
      <c r="G3380" s="1508">
        <f t="shared" si="493"/>
        <v>0</v>
      </c>
      <c r="H3380" s="1508">
        <f t="shared" si="496"/>
        <v>0</v>
      </c>
      <c r="I3380" s="1480">
        <v>0</v>
      </c>
      <c r="J3380" s="1480">
        <v>0</v>
      </c>
      <c r="K3380" s="1508"/>
      <c r="L3380" s="1508"/>
      <c r="M3380" s="1509">
        <f t="shared" si="497"/>
        <v>0</v>
      </c>
      <c r="N3380" s="1508">
        <f t="shared" si="498"/>
        <v>0</v>
      </c>
      <c r="O3380" s="1481">
        <f t="shared" si="494"/>
        <v>0</v>
      </c>
      <c r="P3380" s="1427">
        <f t="shared" si="495"/>
        <v>0</v>
      </c>
    </row>
    <row r="3381" spans="1:16" ht="31" outlineLevel="1" x14ac:dyDescent="0.25">
      <c r="A3381" s="1482">
        <f t="shared" si="499"/>
        <v>2.2999999999999998</v>
      </c>
      <c r="B3381" s="1483" t="str">
        <f t="shared" si="499"/>
        <v>Installation of 54 Nos. of ultrasonic type Flow measurement transmitters for water consumption monitoring</v>
      </c>
      <c r="C3381" s="1482" t="str">
        <f t="shared" si="499"/>
        <v>MERC/CAPEX/20112012/00925</v>
      </c>
      <c r="D3381" s="1390">
        <f t="shared" si="499"/>
        <v>40730</v>
      </c>
      <c r="E3381" s="560">
        <f t="shared" si="499"/>
        <v>3.0657000000000001</v>
      </c>
      <c r="F3381" s="1508">
        <f t="shared" si="492"/>
        <v>1.7642598999999999</v>
      </c>
      <c r="G3381" s="1508">
        <f t="shared" si="493"/>
        <v>1.7642598999999999</v>
      </c>
      <c r="H3381" s="1508">
        <f t="shared" si="496"/>
        <v>0</v>
      </c>
      <c r="I3381" s="1480">
        <v>0</v>
      </c>
      <c r="J3381" s="1480">
        <v>0</v>
      </c>
      <c r="K3381" s="1508"/>
      <c r="L3381" s="1508"/>
      <c r="M3381" s="1509">
        <f t="shared" si="497"/>
        <v>0</v>
      </c>
      <c r="N3381" s="1508">
        <f t="shared" si="498"/>
        <v>0</v>
      </c>
      <c r="O3381" s="1481">
        <f t="shared" si="494"/>
        <v>0</v>
      </c>
      <c r="P3381" s="1427">
        <f t="shared" si="495"/>
        <v>0</v>
      </c>
    </row>
    <row r="3382" spans="1:16" ht="31" outlineLevel="1" x14ac:dyDescent="0.25">
      <c r="A3382" s="1482">
        <f t="shared" si="499"/>
        <v>2.4</v>
      </c>
      <c r="B3382" s="1483" t="str">
        <f t="shared" si="499"/>
        <v>Trivector Meters for Auxiliary power measurement of GT (7 Nos).</v>
      </c>
      <c r="C3382" s="1488" t="str">
        <f t="shared" si="499"/>
        <v>MERC/CAPEX/20112012/00925</v>
      </c>
      <c r="D3382" s="1413">
        <f t="shared" si="499"/>
        <v>40730</v>
      </c>
      <c r="E3382" s="560">
        <f t="shared" si="499"/>
        <v>2.1100000000000001E-2</v>
      </c>
      <c r="F3382" s="1508">
        <f t="shared" si="492"/>
        <v>0</v>
      </c>
      <c r="G3382" s="1508">
        <f t="shared" si="493"/>
        <v>0</v>
      </c>
      <c r="H3382" s="1508">
        <f t="shared" si="496"/>
        <v>0</v>
      </c>
      <c r="I3382" s="1480">
        <v>0</v>
      </c>
      <c r="J3382" s="1480">
        <v>0</v>
      </c>
      <c r="K3382" s="1508"/>
      <c r="L3382" s="1508"/>
      <c r="M3382" s="1509">
        <f t="shared" si="497"/>
        <v>0</v>
      </c>
      <c r="N3382" s="1508">
        <f t="shared" si="498"/>
        <v>0</v>
      </c>
      <c r="O3382" s="1481">
        <f t="shared" si="494"/>
        <v>0</v>
      </c>
      <c r="P3382" s="1427">
        <f t="shared" si="495"/>
        <v>0</v>
      </c>
    </row>
    <row r="3383" spans="1:16" ht="31" outlineLevel="1" x14ac:dyDescent="0.25">
      <c r="A3383" s="1482">
        <f t="shared" si="499"/>
        <v>2.5</v>
      </c>
      <c r="B3383" s="1483" t="str">
        <f t="shared" si="499"/>
        <v>Standard Meters for Auxiliary power measurement for sp. Consumption of Auxiliary transformer, Limbs and auxiliaries.</v>
      </c>
      <c r="C3383" s="1482" t="str">
        <f t="shared" si="499"/>
        <v>MERC/CAPEX/20112012/00925</v>
      </c>
      <c r="D3383" s="1390">
        <f t="shared" si="499"/>
        <v>40730</v>
      </c>
      <c r="E3383" s="560">
        <f t="shared" si="499"/>
        <v>0.49540000000000001</v>
      </c>
      <c r="F3383" s="1508">
        <f t="shared" si="492"/>
        <v>0.29783999999999999</v>
      </c>
      <c r="G3383" s="1508">
        <f t="shared" si="493"/>
        <v>0.29783999999999999</v>
      </c>
      <c r="H3383" s="1508">
        <f t="shared" si="496"/>
        <v>0</v>
      </c>
      <c r="I3383" s="1480">
        <v>0</v>
      </c>
      <c r="J3383" s="1480">
        <v>0</v>
      </c>
      <c r="K3383" s="1508"/>
      <c r="L3383" s="1508"/>
      <c r="M3383" s="1509">
        <f t="shared" si="497"/>
        <v>0</v>
      </c>
      <c r="N3383" s="1508">
        <f t="shared" si="498"/>
        <v>0</v>
      </c>
      <c r="O3383" s="1481">
        <f t="shared" si="494"/>
        <v>0</v>
      </c>
      <c r="P3383" s="1427">
        <f t="shared" si="495"/>
        <v>0</v>
      </c>
    </row>
    <row r="3384" spans="1:16" ht="15.5" outlineLevel="1" x14ac:dyDescent="0.25">
      <c r="A3384" s="1482">
        <f t="shared" si="499"/>
        <v>2.6</v>
      </c>
      <c r="B3384" s="1483" t="str">
        <f t="shared" si="499"/>
        <v>Belt weighers (28 Nos.)</v>
      </c>
      <c r="C3384" s="1482" t="str">
        <f t="shared" si="499"/>
        <v>MERC/CAPEX/20112012/00925</v>
      </c>
      <c r="D3384" s="1390">
        <f t="shared" si="499"/>
        <v>40730</v>
      </c>
      <c r="E3384" s="560">
        <f t="shared" si="499"/>
        <v>3.3195999999999999</v>
      </c>
      <c r="F3384" s="1508">
        <f t="shared" si="492"/>
        <v>0</v>
      </c>
      <c r="G3384" s="1508">
        <f t="shared" si="493"/>
        <v>0</v>
      </c>
      <c r="H3384" s="1508">
        <f t="shared" si="496"/>
        <v>0</v>
      </c>
      <c r="I3384" s="1480">
        <v>0</v>
      </c>
      <c r="J3384" s="1480">
        <v>0</v>
      </c>
      <c r="K3384" s="1508"/>
      <c r="L3384" s="1508"/>
      <c r="M3384" s="1509">
        <f t="shared" si="497"/>
        <v>0</v>
      </c>
      <c r="N3384" s="1508">
        <f t="shared" si="498"/>
        <v>0</v>
      </c>
      <c r="O3384" s="1481">
        <f t="shared" si="494"/>
        <v>0</v>
      </c>
      <c r="P3384" s="1427">
        <f t="shared" si="495"/>
        <v>0</v>
      </c>
    </row>
    <row r="3385" spans="1:16" ht="15.5" outlineLevel="1" x14ac:dyDescent="0.25">
      <c r="A3385" s="1482">
        <f t="shared" si="499"/>
        <v>2.7</v>
      </c>
      <c r="B3385" s="1483" t="str">
        <f t="shared" si="499"/>
        <v>In motion weigh bridge (10 Nos).</v>
      </c>
      <c r="C3385" s="1482" t="str">
        <f t="shared" si="499"/>
        <v>MERC/CAPEX/20112012/00925</v>
      </c>
      <c r="D3385" s="1390">
        <f t="shared" si="499"/>
        <v>40730</v>
      </c>
      <c r="E3385" s="560">
        <f t="shared" si="499"/>
        <v>4.5396000000000001</v>
      </c>
      <c r="F3385" s="1508">
        <f t="shared" si="492"/>
        <v>0.19084200000000001</v>
      </c>
      <c r="G3385" s="1508">
        <f t="shared" si="493"/>
        <v>0.19084200000000001</v>
      </c>
      <c r="H3385" s="1508">
        <f t="shared" si="496"/>
        <v>0</v>
      </c>
      <c r="I3385" s="1480">
        <v>0</v>
      </c>
      <c r="J3385" s="1480">
        <v>0</v>
      </c>
      <c r="K3385" s="1508"/>
      <c r="L3385" s="1508"/>
      <c r="M3385" s="1509">
        <f t="shared" si="497"/>
        <v>0</v>
      </c>
      <c r="N3385" s="1508">
        <f t="shared" si="498"/>
        <v>0</v>
      </c>
      <c r="O3385" s="1481">
        <f t="shared" si="494"/>
        <v>0</v>
      </c>
      <c r="P3385" s="1427">
        <f t="shared" si="495"/>
        <v>0</v>
      </c>
    </row>
    <row r="3386" spans="1:16" ht="15.5" outlineLevel="1" x14ac:dyDescent="0.25">
      <c r="A3386" s="1482">
        <f t="shared" si="499"/>
        <v>2.8</v>
      </c>
      <c r="B3386" s="1483" t="str">
        <f t="shared" si="499"/>
        <v>Bunker level transmitters (50 Nos.)</v>
      </c>
      <c r="C3386" s="1482" t="str">
        <f t="shared" si="499"/>
        <v>MERC/CAPEX/20112012/00925</v>
      </c>
      <c r="D3386" s="1390">
        <f t="shared" si="499"/>
        <v>40730</v>
      </c>
      <c r="E3386" s="560">
        <f t="shared" si="499"/>
        <v>2.5285000000000002</v>
      </c>
      <c r="F3386" s="1508">
        <f t="shared" si="492"/>
        <v>0</v>
      </c>
      <c r="G3386" s="1508">
        <f t="shared" si="493"/>
        <v>0</v>
      </c>
      <c r="H3386" s="1508">
        <f t="shared" si="496"/>
        <v>0</v>
      </c>
      <c r="I3386" s="1480">
        <v>0</v>
      </c>
      <c r="J3386" s="1480">
        <v>0</v>
      </c>
      <c r="K3386" s="1508"/>
      <c r="L3386" s="1508"/>
      <c r="M3386" s="1509">
        <f t="shared" si="497"/>
        <v>0</v>
      </c>
      <c r="N3386" s="1508">
        <f t="shared" si="498"/>
        <v>0</v>
      </c>
      <c r="O3386" s="1481">
        <f t="shared" si="494"/>
        <v>0</v>
      </c>
      <c r="P3386" s="1427">
        <f t="shared" si="495"/>
        <v>0</v>
      </c>
    </row>
    <row r="3387" spans="1:16" ht="15.5" outlineLevel="1" x14ac:dyDescent="0.25">
      <c r="A3387" s="1482">
        <f t="shared" si="499"/>
        <v>2.9</v>
      </c>
      <c r="B3387" s="1483" t="str">
        <f t="shared" si="499"/>
        <v>Flap Gate sensors (120 Nos.)</v>
      </c>
      <c r="C3387" s="1482" t="str">
        <f t="shared" si="499"/>
        <v>MERC/CAPEX/20112012/00925</v>
      </c>
      <c r="D3387" s="1390">
        <f t="shared" si="499"/>
        <v>40730</v>
      </c>
      <c r="E3387" s="560">
        <f t="shared" si="499"/>
        <v>0.1225</v>
      </c>
      <c r="F3387" s="1508">
        <f t="shared" si="492"/>
        <v>0</v>
      </c>
      <c r="G3387" s="1508">
        <f t="shared" si="493"/>
        <v>0</v>
      </c>
      <c r="H3387" s="1508">
        <f t="shared" si="496"/>
        <v>0</v>
      </c>
      <c r="I3387" s="1480">
        <v>0</v>
      </c>
      <c r="J3387" s="1480">
        <v>0</v>
      </c>
      <c r="K3387" s="1508"/>
      <c r="L3387" s="1508"/>
      <c r="M3387" s="1509">
        <f t="shared" si="497"/>
        <v>0</v>
      </c>
      <c r="N3387" s="1508">
        <f t="shared" si="498"/>
        <v>0</v>
      </c>
      <c r="O3387" s="1481">
        <f t="shared" si="494"/>
        <v>0</v>
      </c>
      <c r="P3387" s="1427">
        <f t="shared" si="495"/>
        <v>0</v>
      </c>
    </row>
    <row r="3388" spans="1:16" ht="15.5" outlineLevel="1" x14ac:dyDescent="0.25">
      <c r="A3388" s="1482" t="str">
        <f t="shared" si="499"/>
        <v>2.10</v>
      </c>
      <c r="B3388" s="1483" t="str">
        <f t="shared" si="499"/>
        <v>PLC (20 Nos)</v>
      </c>
      <c r="C3388" s="1482" t="str">
        <f t="shared" si="499"/>
        <v>MERC/CAPEX/20112012/00925</v>
      </c>
      <c r="D3388" s="1390">
        <f t="shared" si="499"/>
        <v>40730</v>
      </c>
      <c r="E3388" s="560">
        <f t="shared" si="499"/>
        <v>0.5333</v>
      </c>
      <c r="F3388" s="1508">
        <f t="shared" si="492"/>
        <v>0</v>
      </c>
      <c r="G3388" s="1508">
        <f t="shared" si="493"/>
        <v>0</v>
      </c>
      <c r="H3388" s="1508">
        <f t="shared" si="496"/>
        <v>0</v>
      </c>
      <c r="I3388" s="1480">
        <v>0</v>
      </c>
      <c r="J3388" s="1480">
        <v>0</v>
      </c>
      <c r="K3388" s="1508"/>
      <c r="L3388" s="1508"/>
      <c r="M3388" s="1509">
        <f t="shared" si="497"/>
        <v>0</v>
      </c>
      <c r="N3388" s="1508">
        <f t="shared" si="498"/>
        <v>0</v>
      </c>
      <c r="O3388" s="1481">
        <f t="shared" si="494"/>
        <v>0</v>
      </c>
      <c r="P3388" s="1427">
        <f t="shared" si="495"/>
        <v>0</v>
      </c>
    </row>
    <row r="3389" spans="1:16" ht="15.5" outlineLevel="1" x14ac:dyDescent="0.25">
      <c r="A3389" s="1482">
        <f t="shared" si="499"/>
        <v>2.11</v>
      </c>
      <c r="B3389" s="1483" t="str">
        <f t="shared" si="499"/>
        <v>Cables (20,000 meters estimated)</v>
      </c>
      <c r="C3389" s="1482" t="str">
        <f t="shared" si="499"/>
        <v>MERC/CAPEX/20112012/00925</v>
      </c>
      <c r="D3389" s="1390">
        <f t="shared" si="499"/>
        <v>40730</v>
      </c>
      <c r="E3389" s="560">
        <f t="shared" si="499"/>
        <v>1.0216000000000001</v>
      </c>
      <c r="F3389" s="1508">
        <f t="shared" si="492"/>
        <v>0</v>
      </c>
      <c r="G3389" s="1508">
        <f t="shared" si="493"/>
        <v>0</v>
      </c>
      <c r="H3389" s="1508">
        <f t="shared" si="496"/>
        <v>0</v>
      </c>
      <c r="I3389" s="1480">
        <v>0</v>
      </c>
      <c r="J3389" s="1480">
        <v>0</v>
      </c>
      <c r="K3389" s="1508"/>
      <c r="L3389" s="1508"/>
      <c r="M3389" s="1509">
        <f t="shared" si="497"/>
        <v>0</v>
      </c>
      <c r="N3389" s="1508">
        <f t="shared" si="498"/>
        <v>0</v>
      </c>
      <c r="O3389" s="1481">
        <f t="shared" si="494"/>
        <v>0</v>
      </c>
      <c r="P3389" s="1427">
        <f t="shared" si="495"/>
        <v>0</v>
      </c>
    </row>
    <row r="3390" spans="1:16" ht="15.5" outlineLevel="1" x14ac:dyDescent="0.25">
      <c r="A3390" s="1482">
        <f t="shared" si="499"/>
        <v>0</v>
      </c>
      <c r="B3390" s="1483" t="str">
        <f t="shared" si="499"/>
        <v>IDC</v>
      </c>
      <c r="C3390" s="1482" t="str">
        <f t="shared" si="499"/>
        <v>MERC/CAPEX/20112012/00925</v>
      </c>
      <c r="D3390" s="1390">
        <f t="shared" si="499"/>
        <v>40730</v>
      </c>
      <c r="E3390" s="560">
        <f t="shared" si="499"/>
        <v>1.165</v>
      </c>
      <c r="F3390" s="1508">
        <f t="shared" si="492"/>
        <v>0</v>
      </c>
      <c r="G3390" s="1508">
        <f t="shared" si="493"/>
        <v>0</v>
      </c>
      <c r="H3390" s="1508">
        <f t="shared" si="496"/>
        <v>0</v>
      </c>
      <c r="I3390" s="1480">
        <v>0</v>
      </c>
      <c r="J3390" s="1480">
        <v>0</v>
      </c>
      <c r="K3390" s="1508"/>
      <c r="L3390" s="1508"/>
      <c r="M3390" s="1509">
        <f t="shared" si="497"/>
        <v>0</v>
      </c>
      <c r="N3390" s="1508">
        <f t="shared" si="498"/>
        <v>0</v>
      </c>
      <c r="O3390" s="1481">
        <f t="shared" si="494"/>
        <v>0</v>
      </c>
      <c r="P3390" s="1427">
        <f t="shared" si="495"/>
        <v>0</v>
      </c>
    </row>
    <row r="3391" spans="1:16" ht="15.5" outlineLevel="1" x14ac:dyDescent="0.25">
      <c r="A3391" s="1489">
        <f t="shared" si="499"/>
        <v>3</v>
      </c>
      <c r="B3391" s="1490" t="str">
        <f t="shared" si="499"/>
        <v>ESP Restoration/Refurbishment</v>
      </c>
      <c r="C3391" s="1477" t="str">
        <f t="shared" si="499"/>
        <v>MERC/CAPEX/20112012/00939</v>
      </c>
      <c r="D3391" s="1479">
        <f t="shared" si="499"/>
        <v>40731</v>
      </c>
      <c r="E3391" s="1383">
        <f t="shared" si="499"/>
        <v>53.989999999999995</v>
      </c>
      <c r="F3391" s="1480">
        <f t="shared" si="492"/>
        <v>0</v>
      </c>
      <c r="G3391" s="1480">
        <f t="shared" si="493"/>
        <v>0</v>
      </c>
      <c r="H3391" s="1480">
        <f t="shared" si="496"/>
        <v>0</v>
      </c>
      <c r="I3391" s="1480">
        <v>0</v>
      </c>
      <c r="J3391" s="1480">
        <v>0</v>
      </c>
      <c r="K3391" s="1480"/>
      <c r="L3391" s="1480"/>
      <c r="M3391" s="1480">
        <f t="shared" si="497"/>
        <v>0</v>
      </c>
      <c r="N3391" s="1480">
        <f t="shared" si="498"/>
        <v>0</v>
      </c>
      <c r="O3391" s="1481">
        <f t="shared" si="494"/>
        <v>0</v>
      </c>
      <c r="P3391" s="1427">
        <f t="shared" si="495"/>
        <v>0</v>
      </c>
    </row>
    <row r="3392" spans="1:16" ht="31" outlineLevel="1" x14ac:dyDescent="0.25">
      <c r="A3392" s="1484">
        <f t="shared" ref="A3392:E3407" si="500">A2722</f>
        <v>3.1</v>
      </c>
      <c r="B3392" s="1485" t="str">
        <f t="shared" si="500"/>
        <v xml:space="preserve">Replacement of all emitting coils and collecting plates of U#5 ESP of all four pass of field 2nd, 3rd &amp; 4th </v>
      </c>
      <c r="C3392" s="1482" t="str">
        <f t="shared" si="500"/>
        <v>MERC/CAPEX/20112012/00939</v>
      </c>
      <c r="D3392" s="1390">
        <f t="shared" si="500"/>
        <v>40731</v>
      </c>
      <c r="E3392" s="560">
        <f t="shared" si="500"/>
        <v>11.7</v>
      </c>
      <c r="F3392" s="1508">
        <f t="shared" si="492"/>
        <v>8.6202149769999998</v>
      </c>
      <c r="G3392" s="1508">
        <f t="shared" si="493"/>
        <v>8.6202149769999998</v>
      </c>
      <c r="H3392" s="1508">
        <f t="shared" si="496"/>
        <v>0</v>
      </c>
      <c r="I3392" s="1480">
        <v>0</v>
      </c>
      <c r="J3392" s="1480">
        <v>0</v>
      </c>
      <c r="K3392" s="1508"/>
      <c r="L3392" s="1508"/>
      <c r="M3392" s="1509">
        <f t="shared" si="497"/>
        <v>0</v>
      </c>
      <c r="N3392" s="1508">
        <f t="shared" si="498"/>
        <v>0</v>
      </c>
      <c r="O3392" s="1481">
        <f t="shared" si="494"/>
        <v>0</v>
      </c>
      <c r="P3392" s="1427">
        <f t="shared" si="495"/>
        <v>0</v>
      </c>
    </row>
    <row r="3393" spans="1:16" ht="31" outlineLevel="1" x14ac:dyDescent="0.25">
      <c r="A3393" s="1484">
        <f t="shared" si="500"/>
        <v>3.2</v>
      </c>
      <c r="B3393" s="1485" t="str">
        <f t="shared" si="500"/>
        <v>Replacement of all emitting coils and collecting plates of all four pass of field 1 to 4, U#6 ESP</v>
      </c>
      <c r="C3393" s="1482" t="str">
        <f t="shared" si="500"/>
        <v>MERC/CAPEX/20112012/00939</v>
      </c>
      <c r="D3393" s="1390">
        <f t="shared" si="500"/>
        <v>40731</v>
      </c>
      <c r="E3393" s="560">
        <f t="shared" si="500"/>
        <v>15.6</v>
      </c>
      <c r="F3393" s="1508">
        <f t="shared" si="492"/>
        <v>12.555251865000001</v>
      </c>
      <c r="G3393" s="1508">
        <f t="shared" si="493"/>
        <v>12.555251865000001</v>
      </c>
      <c r="H3393" s="1508">
        <f t="shared" si="496"/>
        <v>0</v>
      </c>
      <c r="I3393" s="1480">
        <v>0</v>
      </c>
      <c r="J3393" s="1480">
        <v>0</v>
      </c>
      <c r="K3393" s="1508"/>
      <c r="L3393" s="1508"/>
      <c r="M3393" s="1509">
        <f t="shared" si="497"/>
        <v>0</v>
      </c>
      <c r="N3393" s="1508">
        <f t="shared" si="498"/>
        <v>0</v>
      </c>
      <c r="O3393" s="1481">
        <f t="shared" si="494"/>
        <v>0</v>
      </c>
      <c r="P3393" s="1427">
        <f t="shared" si="495"/>
        <v>0</v>
      </c>
    </row>
    <row r="3394" spans="1:16" ht="31" outlineLevel="1" x14ac:dyDescent="0.25">
      <c r="A3394" s="1484">
        <f t="shared" si="500"/>
        <v>3.3</v>
      </c>
      <c r="B3394" s="1485" t="str">
        <f t="shared" si="500"/>
        <v xml:space="preserve">Replacement of all emitting coils and collecting plates of all four pass of field 1 to 4, U#7 ESP </v>
      </c>
      <c r="C3394" s="1482" t="str">
        <f t="shared" si="500"/>
        <v>MERC/CAPEX/20112012/00939</v>
      </c>
      <c r="D3394" s="1390">
        <f t="shared" si="500"/>
        <v>40731</v>
      </c>
      <c r="E3394" s="560">
        <f t="shared" si="500"/>
        <v>16.02</v>
      </c>
      <c r="F3394" s="1508">
        <f t="shared" si="492"/>
        <v>13.189855725000001</v>
      </c>
      <c r="G3394" s="1508">
        <f t="shared" si="493"/>
        <v>13.085278921</v>
      </c>
      <c r="H3394" s="1508">
        <f t="shared" si="496"/>
        <v>0.10457680400000058</v>
      </c>
      <c r="I3394" s="1480">
        <v>0</v>
      </c>
      <c r="J3394" s="1480">
        <v>0</v>
      </c>
      <c r="K3394" s="1508"/>
      <c r="L3394" s="1508"/>
      <c r="M3394" s="1509">
        <f t="shared" si="497"/>
        <v>0</v>
      </c>
      <c r="N3394" s="1508">
        <f t="shared" si="498"/>
        <v>0.10457680400000058</v>
      </c>
      <c r="O3394" s="1481">
        <f t="shared" si="494"/>
        <v>0</v>
      </c>
      <c r="P3394" s="1427">
        <f t="shared" si="495"/>
        <v>0</v>
      </c>
    </row>
    <row r="3395" spans="1:16" ht="31" outlineLevel="1" x14ac:dyDescent="0.25">
      <c r="A3395" s="1484">
        <f t="shared" si="500"/>
        <v>3.4</v>
      </c>
      <c r="B3395" s="1485" t="str">
        <f t="shared" si="500"/>
        <v>Ash evacuation system on existing dummy hoppers of Flue gas duct from APH outlet to ESP inlet of U#5 &amp; 6.</v>
      </c>
      <c r="C3395" s="1482" t="str">
        <f t="shared" si="500"/>
        <v>MERC/CAPEX/20112012/00939</v>
      </c>
      <c r="D3395" s="1390">
        <f t="shared" si="500"/>
        <v>40731</v>
      </c>
      <c r="E3395" s="560">
        <f t="shared" si="500"/>
        <v>0.95</v>
      </c>
      <c r="F3395" s="1508">
        <f t="shared" si="492"/>
        <v>0.92199359999999997</v>
      </c>
      <c r="G3395" s="1508">
        <f t="shared" si="493"/>
        <v>0.92199359999999997</v>
      </c>
      <c r="H3395" s="1508">
        <f t="shared" si="496"/>
        <v>0</v>
      </c>
      <c r="I3395" s="1480">
        <v>0</v>
      </c>
      <c r="J3395" s="1480">
        <v>0</v>
      </c>
      <c r="K3395" s="1508"/>
      <c r="L3395" s="1508"/>
      <c r="M3395" s="1509">
        <f t="shared" si="497"/>
        <v>0</v>
      </c>
      <c r="N3395" s="1508">
        <f t="shared" si="498"/>
        <v>0</v>
      </c>
      <c r="O3395" s="1481">
        <f t="shared" si="494"/>
        <v>0</v>
      </c>
      <c r="P3395" s="1427">
        <f t="shared" si="495"/>
        <v>0</v>
      </c>
    </row>
    <row r="3396" spans="1:16" ht="15.5" outlineLevel="1" x14ac:dyDescent="0.25">
      <c r="A3396" s="1484">
        <f t="shared" si="500"/>
        <v>0</v>
      </c>
      <c r="B3396" s="1485" t="str">
        <f t="shared" si="500"/>
        <v>IDC</v>
      </c>
      <c r="C3396" s="1482" t="str">
        <f t="shared" si="500"/>
        <v>MERC/CAPEX/20112012/00939</v>
      </c>
      <c r="D3396" s="1390">
        <f t="shared" si="500"/>
        <v>40731</v>
      </c>
      <c r="E3396" s="560">
        <f t="shared" si="500"/>
        <v>9.7200000000000006</v>
      </c>
      <c r="F3396" s="1508">
        <f t="shared" si="492"/>
        <v>3.8649799999999998E-2</v>
      </c>
      <c r="G3396" s="1508">
        <f t="shared" si="493"/>
        <v>3.8649799999999998E-2</v>
      </c>
      <c r="H3396" s="1508">
        <f t="shared" si="496"/>
        <v>0</v>
      </c>
      <c r="I3396" s="1480">
        <v>0</v>
      </c>
      <c r="J3396" s="1480">
        <v>0</v>
      </c>
      <c r="K3396" s="1508"/>
      <c r="L3396" s="1508"/>
      <c r="M3396" s="1509">
        <f t="shared" si="497"/>
        <v>0</v>
      </c>
      <c r="N3396" s="1508">
        <f t="shared" si="498"/>
        <v>0</v>
      </c>
      <c r="O3396" s="1481">
        <f t="shared" si="494"/>
        <v>0</v>
      </c>
      <c r="P3396" s="1427">
        <f t="shared" si="495"/>
        <v>0</v>
      </c>
    </row>
    <row r="3397" spans="1:16" ht="15.5" outlineLevel="1" x14ac:dyDescent="0.25">
      <c r="A3397" s="1486">
        <f t="shared" si="500"/>
        <v>4</v>
      </c>
      <c r="B3397" s="1491" t="str">
        <f t="shared" si="500"/>
        <v>Control &amp; Instrumentation up-gradation of CSTPS Unit 5 &amp; 6</v>
      </c>
      <c r="C3397" s="1486" t="str">
        <f t="shared" si="500"/>
        <v>MERC/CAPEX/20112012/01908</v>
      </c>
      <c r="D3397" s="1487">
        <f t="shared" si="500"/>
        <v>40850</v>
      </c>
      <c r="E3397" s="1383">
        <f t="shared" si="500"/>
        <v>57.7</v>
      </c>
      <c r="F3397" s="1480">
        <f t="shared" si="492"/>
        <v>0</v>
      </c>
      <c r="G3397" s="1480">
        <f t="shared" si="493"/>
        <v>0</v>
      </c>
      <c r="H3397" s="1480">
        <f t="shared" si="496"/>
        <v>0</v>
      </c>
      <c r="I3397" s="1480">
        <v>0</v>
      </c>
      <c r="J3397" s="1480">
        <v>0</v>
      </c>
      <c r="K3397" s="1480"/>
      <c r="L3397" s="1480"/>
      <c r="M3397" s="1480">
        <f t="shared" si="497"/>
        <v>0</v>
      </c>
      <c r="N3397" s="1480">
        <f t="shared" si="498"/>
        <v>0</v>
      </c>
      <c r="O3397" s="1481">
        <f t="shared" si="494"/>
        <v>0</v>
      </c>
      <c r="P3397" s="1427">
        <f t="shared" si="495"/>
        <v>0</v>
      </c>
    </row>
    <row r="3398" spans="1:16" ht="15.5" outlineLevel="1" x14ac:dyDescent="0.25">
      <c r="A3398" s="1488">
        <f t="shared" si="500"/>
        <v>4.0999999999999996</v>
      </c>
      <c r="B3398" s="1492" t="str">
        <f t="shared" si="500"/>
        <v>Control &amp; Instrumentation up-gradation of CSTPS Unit 5</v>
      </c>
      <c r="C3398" s="1488" t="str">
        <f t="shared" si="500"/>
        <v>MERC/CAPEX/20112012/01908</v>
      </c>
      <c r="D3398" s="1413">
        <f t="shared" si="500"/>
        <v>40850</v>
      </c>
      <c r="E3398" s="560">
        <f t="shared" si="500"/>
        <v>26.1</v>
      </c>
      <c r="F3398" s="1508">
        <f t="shared" si="492"/>
        <v>26.1</v>
      </c>
      <c r="G3398" s="1508">
        <f t="shared" si="493"/>
        <v>26.1</v>
      </c>
      <c r="H3398" s="1508">
        <f t="shared" si="496"/>
        <v>0</v>
      </c>
      <c r="I3398" s="1480">
        <v>0</v>
      </c>
      <c r="J3398" s="1480">
        <v>0</v>
      </c>
      <c r="K3398" s="1508"/>
      <c r="L3398" s="1508"/>
      <c r="M3398" s="1509">
        <f t="shared" si="497"/>
        <v>0</v>
      </c>
      <c r="N3398" s="1508">
        <f t="shared" si="498"/>
        <v>0</v>
      </c>
      <c r="O3398" s="1481">
        <f t="shared" si="494"/>
        <v>0</v>
      </c>
      <c r="P3398" s="1427">
        <f t="shared" si="495"/>
        <v>0</v>
      </c>
    </row>
    <row r="3399" spans="1:16" ht="15.5" outlineLevel="1" x14ac:dyDescent="0.25">
      <c r="A3399" s="1488">
        <f t="shared" si="500"/>
        <v>4.2</v>
      </c>
      <c r="B3399" s="1492" t="str">
        <f t="shared" si="500"/>
        <v>Control &amp; Instrumentation up-gradation of CSTPS Unit 6</v>
      </c>
      <c r="C3399" s="1488" t="str">
        <f t="shared" si="500"/>
        <v>MERC/CAPEX/20112012/01908</v>
      </c>
      <c r="D3399" s="1413">
        <f t="shared" si="500"/>
        <v>40850</v>
      </c>
      <c r="E3399" s="560">
        <f t="shared" si="500"/>
        <v>26.1</v>
      </c>
      <c r="F3399" s="1508">
        <f t="shared" si="492"/>
        <v>26.1</v>
      </c>
      <c r="G3399" s="1508">
        <f t="shared" si="493"/>
        <v>26.1</v>
      </c>
      <c r="H3399" s="1508">
        <f t="shared" si="496"/>
        <v>0</v>
      </c>
      <c r="I3399" s="1480">
        <v>0</v>
      </c>
      <c r="J3399" s="1480">
        <v>0</v>
      </c>
      <c r="K3399" s="1508"/>
      <c r="L3399" s="1508"/>
      <c r="M3399" s="1509">
        <f t="shared" si="497"/>
        <v>0</v>
      </c>
      <c r="N3399" s="1508">
        <f t="shared" si="498"/>
        <v>0</v>
      </c>
      <c r="O3399" s="1481">
        <f t="shared" si="494"/>
        <v>0</v>
      </c>
      <c r="P3399" s="1427">
        <f t="shared" si="495"/>
        <v>0</v>
      </c>
    </row>
    <row r="3400" spans="1:16" ht="15.5" outlineLevel="1" x14ac:dyDescent="0.25">
      <c r="A3400" s="1484">
        <f t="shared" si="500"/>
        <v>0</v>
      </c>
      <c r="B3400" s="1485" t="str">
        <f t="shared" si="500"/>
        <v>IDC</v>
      </c>
      <c r="C3400" s="1482" t="str">
        <f t="shared" si="500"/>
        <v>MERC/CAPEX/20112012/01908</v>
      </c>
      <c r="D3400" s="1390">
        <f t="shared" si="500"/>
        <v>40850</v>
      </c>
      <c r="E3400" s="560">
        <f t="shared" si="500"/>
        <v>5.5</v>
      </c>
      <c r="F3400" s="1508">
        <f t="shared" si="492"/>
        <v>0</v>
      </c>
      <c r="G3400" s="1508">
        <f t="shared" si="493"/>
        <v>0</v>
      </c>
      <c r="H3400" s="1508">
        <f t="shared" si="496"/>
        <v>0</v>
      </c>
      <c r="I3400" s="1480">
        <v>0</v>
      </c>
      <c r="J3400" s="1480">
        <v>0</v>
      </c>
      <c r="K3400" s="1508"/>
      <c r="L3400" s="1508"/>
      <c r="M3400" s="1509">
        <f t="shared" si="497"/>
        <v>0</v>
      </c>
      <c r="N3400" s="1508">
        <f t="shared" si="498"/>
        <v>0</v>
      </c>
      <c r="O3400" s="1481">
        <f t="shared" si="494"/>
        <v>0</v>
      </c>
      <c r="P3400" s="1427">
        <f t="shared" si="495"/>
        <v>0</v>
      </c>
    </row>
    <row r="3401" spans="1:16" ht="31" outlineLevel="1" x14ac:dyDescent="0.25">
      <c r="A3401" s="1477">
        <f t="shared" si="500"/>
        <v>5</v>
      </c>
      <c r="B3401" s="1478" t="str">
        <f t="shared" si="500"/>
        <v>Alternate water supply Scheme for Chandrapur T.P.S as a crisis management scheme</v>
      </c>
      <c r="C3401" s="1477" t="str">
        <f t="shared" si="500"/>
        <v>MERC/CAPEX/20112012/02443</v>
      </c>
      <c r="D3401" s="1479">
        <f t="shared" si="500"/>
        <v>40911</v>
      </c>
      <c r="E3401" s="1383">
        <f t="shared" si="500"/>
        <v>229.4</v>
      </c>
      <c r="F3401" s="1480">
        <f t="shared" si="492"/>
        <v>0</v>
      </c>
      <c r="G3401" s="1480">
        <f t="shared" si="493"/>
        <v>0</v>
      </c>
      <c r="H3401" s="1480">
        <f t="shared" si="496"/>
        <v>0</v>
      </c>
      <c r="I3401" s="1480">
        <v>0</v>
      </c>
      <c r="J3401" s="1480">
        <v>0</v>
      </c>
      <c r="K3401" s="1480"/>
      <c r="L3401" s="1480"/>
      <c r="M3401" s="1480">
        <f t="shared" si="497"/>
        <v>0</v>
      </c>
      <c r="N3401" s="1480">
        <f t="shared" si="498"/>
        <v>0</v>
      </c>
      <c r="O3401" s="1481">
        <f t="shared" si="494"/>
        <v>0</v>
      </c>
      <c r="P3401" s="1427">
        <f t="shared" si="495"/>
        <v>0</v>
      </c>
    </row>
    <row r="3402" spans="1:16" ht="31" outlineLevel="1" x14ac:dyDescent="0.25">
      <c r="A3402" s="1482">
        <f t="shared" si="500"/>
        <v>5.0999999999999996</v>
      </c>
      <c r="B3402" s="1483" t="str">
        <f t="shared" si="500"/>
        <v>Alternate water supply Scheme for Chandrapur T.P.S as a crisis management scheme</v>
      </c>
      <c r="C3402" s="1482" t="str">
        <f t="shared" si="500"/>
        <v>MERC/CAPEX/20112012/02443</v>
      </c>
      <c r="D3402" s="1390">
        <f t="shared" si="500"/>
        <v>40911</v>
      </c>
      <c r="E3402" s="560">
        <f t="shared" si="500"/>
        <v>229.4</v>
      </c>
      <c r="F3402" s="1508">
        <f t="shared" si="492"/>
        <v>0</v>
      </c>
      <c r="G3402" s="1508">
        <f t="shared" si="493"/>
        <v>0</v>
      </c>
      <c r="H3402" s="1508">
        <f t="shared" si="496"/>
        <v>0</v>
      </c>
      <c r="I3402" s="1480">
        <v>0</v>
      </c>
      <c r="J3402" s="1480">
        <v>0</v>
      </c>
      <c r="K3402" s="1508"/>
      <c r="L3402" s="1508"/>
      <c r="M3402" s="1509">
        <f t="shared" si="497"/>
        <v>0</v>
      </c>
      <c r="N3402" s="1508">
        <f t="shared" si="498"/>
        <v>0</v>
      </c>
      <c r="O3402" s="1481">
        <f t="shared" si="494"/>
        <v>0</v>
      </c>
      <c r="P3402" s="1427">
        <f t="shared" si="495"/>
        <v>0</v>
      </c>
    </row>
    <row r="3403" spans="1:16" ht="62" outlineLevel="1" x14ac:dyDescent="0.25">
      <c r="A3403" s="1486">
        <f t="shared" si="500"/>
        <v>6</v>
      </c>
      <c r="B3403" s="1491" t="str">
        <f t="shared" si="500"/>
        <v>Complete Track Renovation (CTR) work of rail track from Chandrapur Vivekanand Nagar railway stations to exchange yard and bulb line of BOBR at CSTPS siding maintained by railway authority</v>
      </c>
      <c r="C3403" s="1486" t="str">
        <f t="shared" si="500"/>
        <v>MERC/CAPEX/20122013/00818</v>
      </c>
      <c r="D3403" s="1487">
        <f t="shared" si="500"/>
        <v>41100</v>
      </c>
      <c r="E3403" s="1383">
        <f t="shared" si="500"/>
        <v>16.77</v>
      </c>
      <c r="F3403" s="1480">
        <f t="shared" si="492"/>
        <v>0</v>
      </c>
      <c r="G3403" s="1480">
        <f t="shared" si="493"/>
        <v>0</v>
      </c>
      <c r="H3403" s="1480">
        <f t="shared" si="496"/>
        <v>0</v>
      </c>
      <c r="I3403" s="1480">
        <v>0</v>
      </c>
      <c r="J3403" s="1480">
        <v>0</v>
      </c>
      <c r="K3403" s="1480"/>
      <c r="L3403" s="1480"/>
      <c r="M3403" s="1480">
        <f t="shared" si="497"/>
        <v>0</v>
      </c>
      <c r="N3403" s="1480">
        <f t="shared" si="498"/>
        <v>0</v>
      </c>
      <c r="O3403" s="1481">
        <f t="shared" si="494"/>
        <v>0</v>
      </c>
      <c r="P3403" s="1427">
        <f t="shared" si="495"/>
        <v>0</v>
      </c>
    </row>
    <row r="3404" spans="1:16" ht="62" outlineLevel="1" x14ac:dyDescent="0.25">
      <c r="A3404" s="1488">
        <f t="shared" si="500"/>
        <v>6.1</v>
      </c>
      <c r="B3404" s="1492" t="str">
        <f t="shared" si="500"/>
        <v>Complete Track Renovation (CTR) work of rail track from Chandrapur Vivekanand Nagar railway stations to exchange yard and bulb line of BOBR at CSTPS siding maintained by railway authority</v>
      </c>
      <c r="C3404" s="1488" t="str">
        <f t="shared" si="500"/>
        <v>MERC/CAPEX/20122013/00818</v>
      </c>
      <c r="D3404" s="1413">
        <f t="shared" si="500"/>
        <v>41100</v>
      </c>
      <c r="E3404" s="560">
        <f t="shared" si="500"/>
        <v>16.77</v>
      </c>
      <c r="F3404" s="1508">
        <f t="shared" si="492"/>
        <v>16.77</v>
      </c>
      <c r="G3404" s="1508">
        <f t="shared" si="493"/>
        <v>16.77</v>
      </c>
      <c r="H3404" s="1508">
        <f t="shared" si="496"/>
        <v>0</v>
      </c>
      <c r="I3404" s="1480">
        <v>0</v>
      </c>
      <c r="J3404" s="1480">
        <v>0</v>
      </c>
      <c r="K3404" s="1508"/>
      <c r="L3404" s="1508"/>
      <c r="M3404" s="1509">
        <f t="shared" si="497"/>
        <v>0</v>
      </c>
      <c r="N3404" s="1508">
        <f t="shared" si="498"/>
        <v>0</v>
      </c>
      <c r="O3404" s="1481">
        <f t="shared" si="494"/>
        <v>0</v>
      </c>
      <c r="P3404" s="1427">
        <f t="shared" si="495"/>
        <v>0</v>
      </c>
    </row>
    <row r="3405" spans="1:16" ht="31" outlineLevel="1" x14ac:dyDescent="0.25">
      <c r="A3405" s="1477">
        <f t="shared" si="500"/>
        <v>7</v>
      </c>
      <c r="B3405" s="1478" t="str">
        <f t="shared" si="500"/>
        <v>Construction of additional IDCT to improve performance of existing condenser cooling system of CSTPS Unit 5 &amp; 6</v>
      </c>
      <c r="C3405" s="1477" t="str">
        <f t="shared" si="500"/>
        <v>MERC/CAPEX/20122013/00827</v>
      </c>
      <c r="D3405" s="1479">
        <f t="shared" si="500"/>
        <v>41100</v>
      </c>
      <c r="E3405" s="1383">
        <f t="shared" si="500"/>
        <v>29.28</v>
      </c>
      <c r="F3405" s="1480">
        <f t="shared" si="492"/>
        <v>0</v>
      </c>
      <c r="G3405" s="1480">
        <f t="shared" si="493"/>
        <v>0</v>
      </c>
      <c r="H3405" s="1480">
        <f t="shared" si="496"/>
        <v>0</v>
      </c>
      <c r="I3405" s="1480">
        <v>0</v>
      </c>
      <c r="J3405" s="1480">
        <v>0</v>
      </c>
      <c r="K3405" s="1480"/>
      <c r="L3405" s="1480"/>
      <c r="M3405" s="1480">
        <f t="shared" si="497"/>
        <v>0</v>
      </c>
      <c r="N3405" s="1480">
        <f t="shared" si="498"/>
        <v>0</v>
      </c>
      <c r="O3405" s="1481">
        <f t="shared" si="494"/>
        <v>0</v>
      </c>
      <c r="P3405" s="1427">
        <f t="shared" si="495"/>
        <v>0</v>
      </c>
    </row>
    <row r="3406" spans="1:16" ht="15.5" outlineLevel="1" x14ac:dyDescent="0.25">
      <c r="A3406" s="1482">
        <f t="shared" si="500"/>
        <v>7.1</v>
      </c>
      <c r="B3406" s="1483" t="str">
        <f t="shared" si="500"/>
        <v>Construction for U#5</v>
      </c>
      <c r="C3406" s="1482" t="str">
        <f t="shared" si="500"/>
        <v>MERC/CAPEX/20122013/00827</v>
      </c>
      <c r="D3406" s="1390">
        <f t="shared" si="500"/>
        <v>41100</v>
      </c>
      <c r="E3406" s="560">
        <f t="shared" si="500"/>
        <v>11.2318</v>
      </c>
      <c r="F3406" s="1508">
        <f t="shared" si="492"/>
        <v>19.378237200000001</v>
      </c>
      <c r="G3406" s="1508">
        <f t="shared" si="493"/>
        <v>19.378237200000001</v>
      </c>
      <c r="H3406" s="1508">
        <f t="shared" si="496"/>
        <v>0</v>
      </c>
      <c r="I3406" s="1480">
        <v>0</v>
      </c>
      <c r="J3406" s="1480">
        <v>0</v>
      </c>
      <c r="K3406" s="1508"/>
      <c r="L3406" s="1508"/>
      <c r="M3406" s="1509">
        <f t="shared" si="497"/>
        <v>0</v>
      </c>
      <c r="N3406" s="1508">
        <f t="shared" si="498"/>
        <v>0</v>
      </c>
      <c r="O3406" s="1481">
        <f t="shared" si="494"/>
        <v>0</v>
      </c>
      <c r="P3406" s="1427">
        <f t="shared" si="495"/>
        <v>0</v>
      </c>
    </row>
    <row r="3407" spans="1:16" ht="15.5" outlineLevel="1" x14ac:dyDescent="0.25">
      <c r="A3407" s="1482">
        <f t="shared" si="500"/>
        <v>7.2</v>
      </c>
      <c r="B3407" s="1483" t="str">
        <f t="shared" si="500"/>
        <v>Construction for U#6</v>
      </c>
      <c r="C3407" s="1482" t="str">
        <f t="shared" si="500"/>
        <v>MERC/CAPEX/20122013/00827</v>
      </c>
      <c r="D3407" s="1390">
        <f t="shared" si="500"/>
        <v>41100</v>
      </c>
      <c r="E3407" s="560">
        <f t="shared" si="500"/>
        <v>14.968</v>
      </c>
      <c r="F3407" s="1508">
        <f t="shared" si="492"/>
        <v>23.1898537</v>
      </c>
      <c r="G3407" s="1508">
        <f t="shared" si="493"/>
        <v>23.1898537</v>
      </c>
      <c r="H3407" s="1508">
        <f t="shared" si="496"/>
        <v>0</v>
      </c>
      <c r="I3407" s="1480">
        <v>0</v>
      </c>
      <c r="J3407" s="1480">
        <v>0</v>
      </c>
      <c r="K3407" s="1508"/>
      <c r="L3407" s="1508"/>
      <c r="M3407" s="1509">
        <f t="shared" si="497"/>
        <v>0</v>
      </c>
      <c r="N3407" s="1508">
        <f t="shared" si="498"/>
        <v>0</v>
      </c>
      <c r="O3407" s="1481">
        <f t="shared" si="494"/>
        <v>0</v>
      </c>
      <c r="P3407" s="1427">
        <f t="shared" si="495"/>
        <v>0</v>
      </c>
    </row>
    <row r="3408" spans="1:16" ht="15.5" outlineLevel="1" x14ac:dyDescent="0.25">
      <c r="A3408" s="1482">
        <f t="shared" ref="A3408:E3423" si="501">A2738</f>
        <v>0</v>
      </c>
      <c r="B3408" s="1483" t="str">
        <f t="shared" si="501"/>
        <v>IDC</v>
      </c>
      <c r="C3408" s="1482" t="str">
        <f t="shared" si="501"/>
        <v>MERC/CAPEX/20122013/00827</v>
      </c>
      <c r="D3408" s="1390">
        <f t="shared" si="501"/>
        <v>41100</v>
      </c>
      <c r="E3408" s="560">
        <f t="shared" si="501"/>
        <v>3.0802000000000014</v>
      </c>
      <c r="F3408" s="1508">
        <f t="shared" si="492"/>
        <v>0</v>
      </c>
      <c r="G3408" s="1508">
        <f t="shared" si="493"/>
        <v>0</v>
      </c>
      <c r="H3408" s="1508">
        <f t="shared" si="496"/>
        <v>0</v>
      </c>
      <c r="I3408" s="1480">
        <v>0</v>
      </c>
      <c r="J3408" s="1480">
        <v>0</v>
      </c>
      <c r="K3408" s="1508"/>
      <c r="L3408" s="1508"/>
      <c r="M3408" s="1509">
        <f t="shared" si="497"/>
        <v>0</v>
      </c>
      <c r="N3408" s="1508">
        <f t="shared" si="498"/>
        <v>0</v>
      </c>
      <c r="O3408" s="1481">
        <f t="shared" si="494"/>
        <v>0</v>
      </c>
      <c r="P3408" s="1427">
        <f t="shared" si="495"/>
        <v>0</v>
      </c>
    </row>
    <row r="3409" spans="1:16" ht="15.5" outlineLevel="1" x14ac:dyDescent="0.25">
      <c r="A3409" s="1477">
        <f t="shared" si="501"/>
        <v>8</v>
      </c>
      <c r="B3409" s="1478" t="str">
        <f t="shared" si="501"/>
        <v>Upgradation of IDCT Unit 5</v>
      </c>
      <c r="C3409" s="1477" t="str">
        <f t="shared" si="501"/>
        <v>MERC/CAPEX/20122013/00914</v>
      </c>
      <c r="D3409" s="1479">
        <f t="shared" si="501"/>
        <v>41108</v>
      </c>
      <c r="E3409" s="1383">
        <f t="shared" si="501"/>
        <v>18.2</v>
      </c>
      <c r="F3409" s="1480">
        <f t="shared" si="492"/>
        <v>0</v>
      </c>
      <c r="G3409" s="1480">
        <f t="shared" si="493"/>
        <v>0</v>
      </c>
      <c r="H3409" s="1480">
        <f t="shared" si="496"/>
        <v>0</v>
      </c>
      <c r="I3409" s="1480">
        <v>0</v>
      </c>
      <c r="J3409" s="1480">
        <v>0</v>
      </c>
      <c r="K3409" s="1480"/>
      <c r="L3409" s="1480"/>
      <c r="M3409" s="1480">
        <f t="shared" si="497"/>
        <v>0</v>
      </c>
      <c r="N3409" s="1480">
        <f t="shared" si="498"/>
        <v>0</v>
      </c>
      <c r="O3409" s="1481">
        <f t="shared" si="494"/>
        <v>0</v>
      </c>
      <c r="P3409" s="1427">
        <f t="shared" si="495"/>
        <v>0</v>
      </c>
    </row>
    <row r="3410" spans="1:16" ht="15.5" outlineLevel="1" x14ac:dyDescent="0.25">
      <c r="A3410" s="1482">
        <f t="shared" si="501"/>
        <v>8.1</v>
      </c>
      <c r="B3410" s="1483" t="str">
        <f t="shared" si="501"/>
        <v>Cooling Tower IDCT for Unit-5A</v>
      </c>
      <c r="C3410" s="1482" t="str">
        <f t="shared" si="501"/>
        <v>MERC/CAPEX/20122013/00914</v>
      </c>
      <c r="D3410" s="1390">
        <f t="shared" si="501"/>
        <v>41108</v>
      </c>
      <c r="E3410" s="560">
        <f t="shared" si="501"/>
        <v>8.5</v>
      </c>
      <c r="F3410" s="1508">
        <f t="shared" si="492"/>
        <v>0</v>
      </c>
      <c r="G3410" s="1508">
        <f t="shared" si="493"/>
        <v>0</v>
      </c>
      <c r="H3410" s="1508">
        <f t="shared" si="496"/>
        <v>0</v>
      </c>
      <c r="I3410" s="1480">
        <v>0</v>
      </c>
      <c r="J3410" s="1480">
        <v>0</v>
      </c>
      <c r="K3410" s="1508"/>
      <c r="L3410" s="1508"/>
      <c r="M3410" s="1509">
        <f t="shared" si="497"/>
        <v>0</v>
      </c>
      <c r="N3410" s="1508">
        <f t="shared" si="498"/>
        <v>0</v>
      </c>
      <c r="O3410" s="1481">
        <f t="shared" si="494"/>
        <v>0</v>
      </c>
      <c r="P3410" s="1427">
        <f t="shared" si="495"/>
        <v>0</v>
      </c>
    </row>
    <row r="3411" spans="1:16" ht="15.5" outlineLevel="1" x14ac:dyDescent="0.25">
      <c r="A3411" s="1482">
        <f t="shared" si="501"/>
        <v>8.1999999999999993</v>
      </c>
      <c r="B3411" s="1483" t="str">
        <f t="shared" si="501"/>
        <v>Cooling Tower IDCT for Unit-5B</v>
      </c>
      <c r="C3411" s="1482" t="str">
        <f t="shared" si="501"/>
        <v>MERC/CAPEX/20122013/00914</v>
      </c>
      <c r="D3411" s="1390">
        <f t="shared" si="501"/>
        <v>41108</v>
      </c>
      <c r="E3411" s="560">
        <f t="shared" si="501"/>
        <v>8.5</v>
      </c>
      <c r="F3411" s="1508">
        <f t="shared" si="492"/>
        <v>0</v>
      </c>
      <c r="G3411" s="1508">
        <f t="shared" si="493"/>
        <v>0</v>
      </c>
      <c r="H3411" s="1508">
        <f t="shared" si="496"/>
        <v>0</v>
      </c>
      <c r="I3411" s="1480">
        <v>0</v>
      </c>
      <c r="J3411" s="1480">
        <v>0</v>
      </c>
      <c r="K3411" s="1508"/>
      <c r="L3411" s="1508"/>
      <c r="M3411" s="1509">
        <f t="shared" si="497"/>
        <v>0</v>
      </c>
      <c r="N3411" s="1508">
        <f t="shared" si="498"/>
        <v>0</v>
      </c>
      <c r="O3411" s="1481">
        <f t="shared" si="494"/>
        <v>0</v>
      </c>
      <c r="P3411" s="1427">
        <f t="shared" si="495"/>
        <v>0</v>
      </c>
    </row>
    <row r="3412" spans="1:16" ht="15.5" outlineLevel="1" x14ac:dyDescent="0.25">
      <c r="A3412" s="1482">
        <f t="shared" si="501"/>
        <v>0</v>
      </c>
      <c r="B3412" s="1483" t="str">
        <f t="shared" si="501"/>
        <v>IDC</v>
      </c>
      <c r="C3412" s="1482" t="str">
        <f t="shared" si="501"/>
        <v>MERC/CAPEX/20122013/00914</v>
      </c>
      <c r="D3412" s="1390">
        <f t="shared" si="501"/>
        <v>41108</v>
      </c>
      <c r="E3412" s="560">
        <f t="shared" si="501"/>
        <v>1.2</v>
      </c>
      <c r="F3412" s="1508">
        <f t="shared" si="492"/>
        <v>0</v>
      </c>
      <c r="G3412" s="1508">
        <f t="shared" si="493"/>
        <v>0</v>
      </c>
      <c r="H3412" s="1508">
        <f t="shared" si="496"/>
        <v>0</v>
      </c>
      <c r="I3412" s="1480">
        <v>0</v>
      </c>
      <c r="J3412" s="1480">
        <v>0</v>
      </c>
      <c r="K3412" s="1508"/>
      <c r="L3412" s="1508"/>
      <c r="M3412" s="1509">
        <f t="shared" si="497"/>
        <v>0</v>
      </c>
      <c r="N3412" s="1508">
        <f t="shared" si="498"/>
        <v>0</v>
      </c>
      <c r="O3412" s="1481">
        <f t="shared" si="494"/>
        <v>0</v>
      </c>
      <c r="P3412" s="1427">
        <f t="shared" si="495"/>
        <v>0</v>
      </c>
    </row>
    <row r="3413" spans="1:16" ht="31" outlineLevel="1" x14ac:dyDescent="0.25">
      <c r="A3413" s="1477">
        <f t="shared" si="501"/>
        <v>9</v>
      </c>
      <c r="B3413" s="1478" t="str">
        <f t="shared" si="501"/>
        <v>LPT Retrofit at Chandrapur TPS Units 3 &amp; 4</v>
      </c>
      <c r="C3413" s="1477" t="str">
        <f t="shared" si="501"/>
        <v>MERC/TECH 1/CAPEX/20132014/00823</v>
      </c>
      <c r="D3413" s="1479">
        <f t="shared" si="501"/>
        <v>41464</v>
      </c>
      <c r="E3413" s="1383">
        <f t="shared" si="501"/>
        <v>107.8364</v>
      </c>
      <c r="F3413" s="1480">
        <f t="shared" si="492"/>
        <v>0</v>
      </c>
      <c r="G3413" s="1480">
        <f t="shared" si="493"/>
        <v>0</v>
      </c>
      <c r="H3413" s="1480">
        <f t="shared" si="496"/>
        <v>0</v>
      </c>
      <c r="I3413" s="1480">
        <v>0</v>
      </c>
      <c r="J3413" s="1480">
        <v>0</v>
      </c>
      <c r="K3413" s="1480"/>
      <c r="L3413" s="1480"/>
      <c r="M3413" s="1480">
        <f t="shared" si="497"/>
        <v>0</v>
      </c>
      <c r="N3413" s="1480">
        <f t="shared" si="498"/>
        <v>0</v>
      </c>
      <c r="O3413" s="1481">
        <f t="shared" si="494"/>
        <v>0</v>
      </c>
      <c r="P3413" s="1427">
        <f t="shared" si="495"/>
        <v>0</v>
      </c>
    </row>
    <row r="3414" spans="1:16" ht="46.5" outlineLevel="1" x14ac:dyDescent="0.25">
      <c r="A3414" s="1482">
        <f t="shared" si="501"/>
        <v>9.1</v>
      </c>
      <c r="B3414" s="1483" t="str">
        <f t="shared" si="501"/>
        <v xml:space="preserve">Design, Engineering, Supply and Retrofitting of LP Cylinder with Modified Bladed rotor without Bauman’s Stages, diaphragms, liners, Gland sealing and exhaust hood spray. (total 2 units) </v>
      </c>
      <c r="C3414" s="1482" t="str">
        <f t="shared" si="501"/>
        <v>MERC/TECH 1/CAPEX/20132014/00823</v>
      </c>
      <c r="D3414" s="1390">
        <f t="shared" si="501"/>
        <v>41464</v>
      </c>
      <c r="E3414" s="560">
        <f t="shared" si="501"/>
        <v>101.8526</v>
      </c>
      <c r="F3414" s="1508">
        <f t="shared" si="492"/>
        <v>0</v>
      </c>
      <c r="G3414" s="1508">
        <f t="shared" si="493"/>
        <v>0</v>
      </c>
      <c r="H3414" s="1508">
        <f t="shared" si="496"/>
        <v>0</v>
      </c>
      <c r="I3414" s="1480">
        <v>0</v>
      </c>
      <c r="J3414" s="1480">
        <v>0</v>
      </c>
      <c r="K3414" s="1508"/>
      <c r="L3414" s="1508"/>
      <c r="M3414" s="1509">
        <f t="shared" si="497"/>
        <v>0</v>
      </c>
      <c r="N3414" s="1508">
        <f t="shared" si="498"/>
        <v>0</v>
      </c>
      <c r="O3414" s="1481">
        <f t="shared" si="494"/>
        <v>0</v>
      </c>
      <c r="P3414" s="1427">
        <f t="shared" si="495"/>
        <v>0</v>
      </c>
    </row>
    <row r="3415" spans="1:16" ht="31" outlineLevel="1" x14ac:dyDescent="0.25">
      <c r="A3415" s="1482">
        <f t="shared" si="501"/>
        <v>0</v>
      </c>
      <c r="B3415" s="1483" t="str">
        <f t="shared" si="501"/>
        <v>IDC</v>
      </c>
      <c r="C3415" s="1482" t="str">
        <f t="shared" si="501"/>
        <v>MERC/TECH 1/CAPEX/20132014/00823</v>
      </c>
      <c r="D3415" s="1390">
        <f t="shared" si="501"/>
        <v>41464</v>
      </c>
      <c r="E3415" s="560">
        <f t="shared" si="501"/>
        <v>5.9837999999999996</v>
      </c>
      <c r="F3415" s="1508">
        <f t="shared" si="492"/>
        <v>0</v>
      </c>
      <c r="G3415" s="1508">
        <f t="shared" si="493"/>
        <v>0</v>
      </c>
      <c r="H3415" s="1508">
        <f t="shared" si="496"/>
        <v>0</v>
      </c>
      <c r="I3415" s="1480">
        <v>0</v>
      </c>
      <c r="J3415" s="1480">
        <v>0</v>
      </c>
      <c r="K3415" s="1508"/>
      <c r="L3415" s="1508"/>
      <c r="M3415" s="1509">
        <f t="shared" si="497"/>
        <v>0</v>
      </c>
      <c r="N3415" s="1508">
        <f t="shared" si="498"/>
        <v>0</v>
      </c>
      <c r="O3415" s="1481">
        <f t="shared" si="494"/>
        <v>0</v>
      </c>
      <c r="P3415" s="1427">
        <f t="shared" si="495"/>
        <v>0</v>
      </c>
    </row>
    <row r="3416" spans="1:16" ht="15.5" outlineLevel="1" x14ac:dyDescent="0.25">
      <c r="A3416" s="1489">
        <f t="shared" si="501"/>
        <v>10</v>
      </c>
      <c r="B3416" s="1490" t="str">
        <f t="shared" si="501"/>
        <v>Modification in Ash Handling Plant at Chandrapur TPS unit 5 &amp; 6</v>
      </c>
      <c r="C3416" s="1477" t="str">
        <f t="shared" si="501"/>
        <v>MERC/CAPEX/20122013/02104</v>
      </c>
      <c r="D3416" s="1479">
        <f t="shared" si="501"/>
        <v>41281</v>
      </c>
      <c r="E3416" s="1383">
        <f t="shared" si="501"/>
        <v>15.25</v>
      </c>
      <c r="F3416" s="1480">
        <f t="shared" si="492"/>
        <v>0</v>
      </c>
      <c r="G3416" s="1480">
        <f t="shared" si="493"/>
        <v>0</v>
      </c>
      <c r="H3416" s="1480">
        <f t="shared" si="496"/>
        <v>0</v>
      </c>
      <c r="I3416" s="1480">
        <v>0</v>
      </c>
      <c r="J3416" s="1480">
        <v>0</v>
      </c>
      <c r="K3416" s="1480"/>
      <c r="L3416" s="1480"/>
      <c r="M3416" s="1480">
        <f t="shared" si="497"/>
        <v>0</v>
      </c>
      <c r="N3416" s="1480">
        <f t="shared" si="498"/>
        <v>0</v>
      </c>
      <c r="O3416" s="1481">
        <f t="shared" si="494"/>
        <v>0</v>
      </c>
      <c r="P3416" s="1427">
        <f t="shared" si="495"/>
        <v>0</v>
      </c>
    </row>
    <row r="3417" spans="1:16" ht="15.5" outlineLevel="1" x14ac:dyDescent="0.25">
      <c r="A3417" s="1484">
        <f t="shared" si="501"/>
        <v>10.1</v>
      </c>
      <c r="B3417" s="1485" t="str">
        <f t="shared" si="501"/>
        <v>Complete series replacement in U-5 &amp; 6</v>
      </c>
      <c r="C3417" s="1482" t="str">
        <f t="shared" si="501"/>
        <v>MERC/CAPEX/20122013/02104</v>
      </c>
      <c r="D3417" s="1390">
        <f t="shared" si="501"/>
        <v>41281</v>
      </c>
      <c r="E3417" s="560">
        <f t="shared" si="501"/>
        <v>7.12</v>
      </c>
      <c r="F3417" s="1508">
        <f t="shared" si="492"/>
        <v>1.4079700719999999</v>
      </c>
      <c r="G3417" s="1508">
        <f t="shared" si="493"/>
        <v>1.4079700719999999</v>
      </c>
      <c r="H3417" s="1508">
        <f t="shared" si="496"/>
        <v>0</v>
      </c>
      <c r="I3417" s="1480">
        <v>0</v>
      </c>
      <c r="J3417" s="1480">
        <v>0</v>
      </c>
      <c r="K3417" s="1508"/>
      <c r="L3417" s="1508"/>
      <c r="M3417" s="1509">
        <f t="shared" si="497"/>
        <v>0</v>
      </c>
      <c r="N3417" s="1508">
        <f t="shared" si="498"/>
        <v>0</v>
      </c>
      <c r="O3417" s="1481">
        <f t="shared" si="494"/>
        <v>0</v>
      </c>
      <c r="P3417" s="1427">
        <f t="shared" si="495"/>
        <v>0</v>
      </c>
    </row>
    <row r="3418" spans="1:16" ht="15.5" outlineLevel="1" x14ac:dyDescent="0.25">
      <c r="A3418" s="1484">
        <f t="shared" si="501"/>
        <v>10.199999999999999</v>
      </c>
      <c r="B3418" s="1485" t="str">
        <f t="shared" si="501"/>
        <v>Extension of ash lines inside ash bund (9000 Rmt)</v>
      </c>
      <c r="C3418" s="1482" t="str">
        <f t="shared" si="501"/>
        <v>MERC/CAPEX/20122013/02104</v>
      </c>
      <c r="D3418" s="1390">
        <f t="shared" si="501"/>
        <v>41281</v>
      </c>
      <c r="E3418" s="560">
        <f t="shared" si="501"/>
        <v>3.03</v>
      </c>
      <c r="F3418" s="1508">
        <f t="shared" si="492"/>
        <v>2.4823816700000001</v>
      </c>
      <c r="G3418" s="1508">
        <f t="shared" si="493"/>
        <v>2.4823816700000001</v>
      </c>
      <c r="H3418" s="1508">
        <f t="shared" si="496"/>
        <v>0</v>
      </c>
      <c r="I3418" s="1480">
        <v>0</v>
      </c>
      <c r="J3418" s="1480">
        <v>0</v>
      </c>
      <c r="K3418" s="1508"/>
      <c r="L3418" s="1508"/>
      <c r="M3418" s="1509">
        <f t="shared" si="497"/>
        <v>0</v>
      </c>
      <c r="N3418" s="1508">
        <f t="shared" si="498"/>
        <v>0</v>
      </c>
      <c r="O3418" s="1481">
        <f t="shared" si="494"/>
        <v>0</v>
      </c>
      <c r="P3418" s="1427">
        <f t="shared" si="495"/>
        <v>0</v>
      </c>
    </row>
    <row r="3419" spans="1:16" ht="15.5" outlineLevel="1" x14ac:dyDescent="0.25">
      <c r="A3419" s="1484">
        <f t="shared" si="501"/>
        <v>10.3</v>
      </c>
      <c r="B3419" s="1485" t="str">
        <f t="shared" si="501"/>
        <v>Replacement ash line worn out pipes</v>
      </c>
      <c r="C3419" s="1482" t="str">
        <f t="shared" si="501"/>
        <v>MERC/CAPEX/20122013/02104</v>
      </c>
      <c r="D3419" s="1390">
        <f t="shared" si="501"/>
        <v>41281</v>
      </c>
      <c r="E3419" s="560">
        <f t="shared" si="501"/>
        <v>3.6</v>
      </c>
      <c r="F3419" s="1508">
        <f t="shared" si="492"/>
        <v>4.4210943270000005</v>
      </c>
      <c r="G3419" s="1508">
        <f t="shared" si="493"/>
        <v>4.4210943270000005</v>
      </c>
      <c r="H3419" s="1508">
        <f t="shared" si="496"/>
        <v>0</v>
      </c>
      <c r="I3419" s="1480">
        <v>0</v>
      </c>
      <c r="J3419" s="1480">
        <v>0</v>
      </c>
      <c r="K3419" s="1508"/>
      <c r="L3419" s="1508"/>
      <c r="M3419" s="1509">
        <f t="shared" si="497"/>
        <v>0</v>
      </c>
      <c r="N3419" s="1508">
        <f t="shared" si="498"/>
        <v>0</v>
      </c>
      <c r="O3419" s="1481">
        <f t="shared" si="494"/>
        <v>0</v>
      </c>
      <c r="P3419" s="1427">
        <f t="shared" si="495"/>
        <v>0</v>
      </c>
    </row>
    <row r="3420" spans="1:16" ht="15.5" outlineLevel="1" x14ac:dyDescent="0.25">
      <c r="A3420" s="1484">
        <f t="shared" si="501"/>
        <v>0</v>
      </c>
      <c r="B3420" s="1485" t="str">
        <f t="shared" si="501"/>
        <v>IDC</v>
      </c>
      <c r="C3420" s="1482" t="str">
        <f t="shared" si="501"/>
        <v>MERC/CAPEX/20122013/02104</v>
      </c>
      <c r="D3420" s="1390">
        <f t="shared" si="501"/>
        <v>41281</v>
      </c>
      <c r="E3420" s="560">
        <f t="shared" si="501"/>
        <v>1.5</v>
      </c>
      <c r="F3420" s="1508">
        <f t="shared" si="492"/>
        <v>0</v>
      </c>
      <c r="G3420" s="1508">
        <f t="shared" si="493"/>
        <v>0</v>
      </c>
      <c r="H3420" s="1508">
        <f t="shared" si="496"/>
        <v>0</v>
      </c>
      <c r="I3420" s="1480">
        <v>0</v>
      </c>
      <c r="J3420" s="1480">
        <v>0</v>
      </c>
      <c r="K3420" s="1508"/>
      <c r="L3420" s="1508"/>
      <c r="M3420" s="1509">
        <f t="shared" si="497"/>
        <v>0</v>
      </c>
      <c r="N3420" s="1508">
        <f t="shared" si="498"/>
        <v>0</v>
      </c>
      <c r="O3420" s="1481">
        <f t="shared" si="494"/>
        <v>0</v>
      </c>
      <c r="P3420" s="1427">
        <f t="shared" si="495"/>
        <v>0</v>
      </c>
    </row>
    <row r="3421" spans="1:16" ht="31" outlineLevel="1" x14ac:dyDescent="0.25">
      <c r="A3421" s="1477">
        <f t="shared" si="501"/>
        <v>11</v>
      </c>
      <c r="B3421" s="1478" t="str">
        <f t="shared" si="501"/>
        <v>Fully Integrated Security Surveillance System</v>
      </c>
      <c r="C3421" s="1477" t="str">
        <f t="shared" si="501"/>
        <v>MERC/TECH 1/CAPEX/20122013/00190</v>
      </c>
      <c r="D3421" s="1479">
        <f t="shared" si="501"/>
        <v>41382</v>
      </c>
      <c r="E3421" s="1383">
        <f t="shared" si="501"/>
        <v>54.197924999999991</v>
      </c>
      <c r="F3421" s="1480">
        <f t="shared" si="492"/>
        <v>0</v>
      </c>
      <c r="G3421" s="1480">
        <f t="shared" si="493"/>
        <v>0</v>
      </c>
      <c r="H3421" s="1480">
        <f t="shared" si="496"/>
        <v>0</v>
      </c>
      <c r="I3421" s="1480">
        <v>0</v>
      </c>
      <c r="J3421" s="1480">
        <v>0</v>
      </c>
      <c r="K3421" s="1480"/>
      <c r="L3421" s="1480"/>
      <c r="M3421" s="1480">
        <f t="shared" si="497"/>
        <v>0</v>
      </c>
      <c r="N3421" s="1480">
        <f t="shared" si="498"/>
        <v>0</v>
      </c>
      <c r="O3421" s="1481">
        <f t="shared" si="494"/>
        <v>0</v>
      </c>
      <c r="P3421" s="1427">
        <f t="shared" si="495"/>
        <v>0</v>
      </c>
    </row>
    <row r="3422" spans="1:16" ht="31" outlineLevel="1" x14ac:dyDescent="0.25">
      <c r="A3422" s="1482">
        <f t="shared" si="501"/>
        <v>11.1</v>
      </c>
      <c r="B3422" s="1483" t="str">
        <f t="shared" si="501"/>
        <v xml:space="preserve">Long range cameras </v>
      </c>
      <c r="C3422" s="1482" t="str">
        <f t="shared" si="501"/>
        <v>MERC/TECH 1/CAPEX/20122013/00190</v>
      </c>
      <c r="D3422" s="1390">
        <f t="shared" si="501"/>
        <v>41382</v>
      </c>
      <c r="E3422" s="560">
        <f t="shared" si="501"/>
        <v>12.3</v>
      </c>
      <c r="F3422" s="1508">
        <f t="shared" si="492"/>
        <v>0</v>
      </c>
      <c r="G3422" s="1508">
        <f t="shared" si="493"/>
        <v>0</v>
      </c>
      <c r="H3422" s="1508">
        <f t="shared" si="496"/>
        <v>0</v>
      </c>
      <c r="I3422" s="1480">
        <v>0</v>
      </c>
      <c r="J3422" s="1480">
        <v>0</v>
      </c>
      <c r="K3422" s="1508"/>
      <c r="L3422" s="1508"/>
      <c r="M3422" s="1509">
        <f t="shared" si="497"/>
        <v>0</v>
      </c>
      <c r="N3422" s="1508">
        <f t="shared" si="498"/>
        <v>0</v>
      </c>
      <c r="O3422" s="1481">
        <f t="shared" si="494"/>
        <v>0</v>
      </c>
      <c r="P3422" s="1427">
        <f t="shared" si="495"/>
        <v>0</v>
      </c>
    </row>
    <row r="3423" spans="1:16" ht="31" outlineLevel="1" x14ac:dyDescent="0.25">
      <c r="A3423" s="1482">
        <f t="shared" si="501"/>
        <v>11.2</v>
      </c>
      <c r="B3423" s="1483" t="str">
        <f t="shared" si="501"/>
        <v xml:space="preserve">Laser fence sensors/buried cable </v>
      </c>
      <c r="C3423" s="1482" t="str">
        <f t="shared" si="501"/>
        <v>MERC/TECH 1/CAPEX/20122013/00190</v>
      </c>
      <c r="D3423" s="1390">
        <f t="shared" si="501"/>
        <v>41382</v>
      </c>
      <c r="E3423" s="560">
        <f t="shared" si="501"/>
        <v>6.1</v>
      </c>
      <c r="F3423" s="1508">
        <f t="shared" si="492"/>
        <v>0</v>
      </c>
      <c r="G3423" s="1508">
        <f t="shared" si="493"/>
        <v>0</v>
      </c>
      <c r="H3423" s="1508">
        <f t="shared" si="496"/>
        <v>0</v>
      </c>
      <c r="I3423" s="1480">
        <v>0</v>
      </c>
      <c r="J3423" s="1480">
        <v>0</v>
      </c>
      <c r="K3423" s="1508"/>
      <c r="L3423" s="1508"/>
      <c r="M3423" s="1509">
        <f t="shared" si="497"/>
        <v>0</v>
      </c>
      <c r="N3423" s="1508">
        <f t="shared" si="498"/>
        <v>0</v>
      </c>
      <c r="O3423" s="1481">
        <f t="shared" si="494"/>
        <v>0</v>
      </c>
      <c r="P3423" s="1427">
        <f t="shared" si="495"/>
        <v>0</v>
      </c>
    </row>
    <row r="3424" spans="1:16" ht="31" outlineLevel="1" x14ac:dyDescent="0.25">
      <c r="A3424" s="1482">
        <f t="shared" ref="A3424:E3439" si="502">A2754</f>
        <v>11.3</v>
      </c>
      <c r="B3424" s="1483" t="str">
        <f t="shared" si="502"/>
        <v xml:space="preserve">PTZ/fixed cameras </v>
      </c>
      <c r="C3424" s="1482" t="str">
        <f t="shared" si="502"/>
        <v>MERC/TECH 1/CAPEX/20122013/00190</v>
      </c>
      <c r="D3424" s="1390">
        <f t="shared" si="502"/>
        <v>41382</v>
      </c>
      <c r="E3424" s="560">
        <f t="shared" si="502"/>
        <v>8.0749999999999993</v>
      </c>
      <c r="F3424" s="1508">
        <f t="shared" ref="F3424:F3487" si="503">F2754+I2754</f>
        <v>0</v>
      </c>
      <c r="G3424" s="1508">
        <f t="shared" ref="G3424:G3487" si="504">G2754+M2754</f>
        <v>0</v>
      </c>
      <c r="H3424" s="1508">
        <f t="shared" si="496"/>
        <v>0</v>
      </c>
      <c r="I3424" s="1480">
        <v>0</v>
      </c>
      <c r="J3424" s="1480">
        <v>0</v>
      </c>
      <c r="K3424" s="1508"/>
      <c r="L3424" s="1508"/>
      <c r="M3424" s="1509">
        <f t="shared" si="497"/>
        <v>0</v>
      </c>
      <c r="N3424" s="1508">
        <f t="shared" si="498"/>
        <v>0</v>
      </c>
      <c r="O3424" s="1481">
        <f t="shared" ref="O3424:O3487" si="505">MAX(0,IF(M3424=0,0,IF(G3424+M3424&lt;E3424,M3424,E3424-G3424)))</f>
        <v>0</v>
      </c>
      <c r="P3424" s="1427">
        <f t="shared" ref="P3424:P3487" si="506">M3424-O3424</f>
        <v>0</v>
      </c>
    </row>
    <row r="3425" spans="1:16" ht="31" outlineLevel="1" x14ac:dyDescent="0.25">
      <c r="A3425" s="1482">
        <f t="shared" si="502"/>
        <v>11.4</v>
      </c>
      <c r="B3425" s="1483" t="str">
        <f t="shared" si="502"/>
        <v xml:space="preserve">Command &amp; control /video wall </v>
      </c>
      <c r="C3425" s="1482" t="str">
        <f t="shared" si="502"/>
        <v>MERC/TECH 1/CAPEX/20122013/00190</v>
      </c>
      <c r="D3425" s="1390">
        <f t="shared" si="502"/>
        <v>41382</v>
      </c>
      <c r="E3425" s="560">
        <f t="shared" si="502"/>
        <v>16</v>
      </c>
      <c r="F3425" s="1508">
        <f t="shared" si="503"/>
        <v>0</v>
      </c>
      <c r="G3425" s="1508">
        <f t="shared" si="504"/>
        <v>0</v>
      </c>
      <c r="H3425" s="1508">
        <f t="shared" ref="H3425:H3488" si="507">F3425-G3425</f>
        <v>0</v>
      </c>
      <c r="I3425" s="1480">
        <v>0</v>
      </c>
      <c r="J3425" s="1480">
        <v>0</v>
      </c>
      <c r="K3425" s="1508"/>
      <c r="L3425" s="1508"/>
      <c r="M3425" s="1509">
        <f t="shared" ref="M3425:M3488" si="508">SUM(J3425:L3425)</f>
        <v>0</v>
      </c>
      <c r="N3425" s="1508">
        <f t="shared" ref="N3425:N3488" si="509">H3425+I3425-M3425</f>
        <v>0</v>
      </c>
      <c r="O3425" s="1481">
        <f t="shared" si="505"/>
        <v>0</v>
      </c>
      <c r="P3425" s="1427">
        <f t="shared" si="506"/>
        <v>0</v>
      </c>
    </row>
    <row r="3426" spans="1:16" ht="31" outlineLevel="1" x14ac:dyDescent="0.25">
      <c r="A3426" s="1482">
        <f t="shared" si="502"/>
        <v>11.5</v>
      </c>
      <c r="B3426" s="1483" t="str">
        <f t="shared" si="502"/>
        <v xml:space="preserve">Communication </v>
      </c>
      <c r="C3426" s="1482" t="str">
        <f t="shared" si="502"/>
        <v>MERC/TECH 1/CAPEX/20122013/00190</v>
      </c>
      <c r="D3426" s="1390">
        <f t="shared" si="502"/>
        <v>41382</v>
      </c>
      <c r="E3426" s="560">
        <f t="shared" si="502"/>
        <v>0.45950000000000002</v>
      </c>
      <c r="F3426" s="1508">
        <f t="shared" si="503"/>
        <v>0</v>
      </c>
      <c r="G3426" s="1508">
        <f t="shared" si="504"/>
        <v>0</v>
      </c>
      <c r="H3426" s="1508">
        <f t="shared" si="507"/>
        <v>0</v>
      </c>
      <c r="I3426" s="1480">
        <v>0</v>
      </c>
      <c r="J3426" s="1480">
        <v>0</v>
      </c>
      <c r="K3426" s="1508"/>
      <c r="L3426" s="1508"/>
      <c r="M3426" s="1509">
        <f t="shared" si="508"/>
        <v>0</v>
      </c>
      <c r="N3426" s="1508">
        <f t="shared" si="509"/>
        <v>0</v>
      </c>
      <c r="O3426" s="1481">
        <f t="shared" si="505"/>
        <v>0</v>
      </c>
      <c r="P3426" s="1427">
        <f t="shared" si="506"/>
        <v>0</v>
      </c>
    </row>
    <row r="3427" spans="1:16" ht="31" outlineLevel="1" x14ac:dyDescent="0.25">
      <c r="A3427" s="1482">
        <f t="shared" si="502"/>
        <v>11.6</v>
      </c>
      <c r="B3427" s="1483" t="str">
        <f t="shared" si="502"/>
        <v>RFID</v>
      </c>
      <c r="C3427" s="1482" t="str">
        <f t="shared" si="502"/>
        <v>MERC/TECH 1/CAPEX/20122013/00190</v>
      </c>
      <c r="D3427" s="1390">
        <f t="shared" si="502"/>
        <v>41382</v>
      </c>
      <c r="E3427" s="560">
        <f t="shared" si="502"/>
        <v>0.83</v>
      </c>
      <c r="F3427" s="1508">
        <f t="shared" si="503"/>
        <v>0</v>
      </c>
      <c r="G3427" s="1508">
        <f t="shared" si="504"/>
        <v>0</v>
      </c>
      <c r="H3427" s="1508">
        <f t="shared" si="507"/>
        <v>0</v>
      </c>
      <c r="I3427" s="1480">
        <v>0</v>
      </c>
      <c r="J3427" s="1480">
        <v>0</v>
      </c>
      <c r="K3427" s="1508"/>
      <c r="L3427" s="1508"/>
      <c r="M3427" s="1509">
        <f t="shared" si="508"/>
        <v>0</v>
      </c>
      <c r="N3427" s="1508">
        <f t="shared" si="509"/>
        <v>0</v>
      </c>
      <c r="O3427" s="1481">
        <f t="shared" si="505"/>
        <v>0</v>
      </c>
      <c r="P3427" s="1427">
        <f t="shared" si="506"/>
        <v>0</v>
      </c>
    </row>
    <row r="3428" spans="1:16" ht="31" outlineLevel="1" x14ac:dyDescent="0.25">
      <c r="A3428" s="1482">
        <f t="shared" si="502"/>
        <v>11.7</v>
      </c>
      <c r="B3428" s="1483" t="str">
        <f t="shared" si="502"/>
        <v>LPR</v>
      </c>
      <c r="C3428" s="1482" t="str">
        <f t="shared" si="502"/>
        <v>MERC/TECH 1/CAPEX/20122013/00190</v>
      </c>
      <c r="D3428" s="1390">
        <f t="shared" si="502"/>
        <v>41382</v>
      </c>
      <c r="E3428" s="560">
        <f t="shared" si="502"/>
        <v>0.6</v>
      </c>
      <c r="F3428" s="1508">
        <f t="shared" si="503"/>
        <v>0</v>
      </c>
      <c r="G3428" s="1508">
        <f t="shared" si="504"/>
        <v>0</v>
      </c>
      <c r="H3428" s="1508">
        <f t="shared" si="507"/>
        <v>0</v>
      </c>
      <c r="I3428" s="1480">
        <v>0</v>
      </c>
      <c r="J3428" s="1480">
        <v>0</v>
      </c>
      <c r="K3428" s="1508"/>
      <c r="L3428" s="1508"/>
      <c r="M3428" s="1509">
        <f t="shared" si="508"/>
        <v>0</v>
      </c>
      <c r="N3428" s="1508">
        <f t="shared" si="509"/>
        <v>0</v>
      </c>
      <c r="O3428" s="1481">
        <f t="shared" si="505"/>
        <v>0</v>
      </c>
      <c r="P3428" s="1427">
        <f t="shared" si="506"/>
        <v>0</v>
      </c>
    </row>
    <row r="3429" spans="1:16" ht="31" outlineLevel="1" x14ac:dyDescent="0.25">
      <c r="A3429" s="1482">
        <f t="shared" si="502"/>
        <v>11.8</v>
      </c>
      <c r="B3429" s="1483" t="str">
        <f t="shared" si="502"/>
        <v xml:space="preserve">Electricals/networking </v>
      </c>
      <c r="C3429" s="1482" t="str">
        <f t="shared" si="502"/>
        <v>MERC/TECH 1/CAPEX/20122013/00190</v>
      </c>
      <c r="D3429" s="1390">
        <f t="shared" si="502"/>
        <v>41382</v>
      </c>
      <c r="E3429" s="560">
        <f t="shared" si="502"/>
        <v>2.8674249999999999</v>
      </c>
      <c r="F3429" s="1508">
        <f t="shared" si="503"/>
        <v>0</v>
      </c>
      <c r="G3429" s="1508">
        <f t="shared" si="504"/>
        <v>0</v>
      </c>
      <c r="H3429" s="1508">
        <f t="shared" si="507"/>
        <v>0</v>
      </c>
      <c r="I3429" s="1480">
        <v>0</v>
      </c>
      <c r="J3429" s="1480">
        <v>0</v>
      </c>
      <c r="K3429" s="1508"/>
      <c r="L3429" s="1508"/>
      <c r="M3429" s="1509">
        <f t="shared" si="508"/>
        <v>0</v>
      </c>
      <c r="N3429" s="1508">
        <f t="shared" si="509"/>
        <v>0</v>
      </c>
      <c r="O3429" s="1481">
        <f t="shared" si="505"/>
        <v>0</v>
      </c>
      <c r="P3429" s="1427">
        <f t="shared" si="506"/>
        <v>0</v>
      </c>
    </row>
    <row r="3430" spans="1:16" ht="31" outlineLevel="1" x14ac:dyDescent="0.25">
      <c r="A3430" s="1482">
        <f t="shared" si="502"/>
        <v>11.9</v>
      </c>
      <c r="B3430" s="1483" t="str">
        <f t="shared" si="502"/>
        <v xml:space="preserve">Infrastructure </v>
      </c>
      <c r="C3430" s="1482" t="str">
        <f t="shared" si="502"/>
        <v>MERC/TECH 1/CAPEX/20122013/00190</v>
      </c>
      <c r="D3430" s="1390">
        <f t="shared" si="502"/>
        <v>41382</v>
      </c>
      <c r="E3430" s="560">
        <f t="shared" si="502"/>
        <v>3.8959999999999999</v>
      </c>
      <c r="F3430" s="1508">
        <f t="shared" si="503"/>
        <v>0</v>
      </c>
      <c r="G3430" s="1508">
        <f t="shared" si="504"/>
        <v>0</v>
      </c>
      <c r="H3430" s="1508">
        <f t="shared" si="507"/>
        <v>0</v>
      </c>
      <c r="I3430" s="1480">
        <v>0</v>
      </c>
      <c r="J3430" s="1480">
        <v>0</v>
      </c>
      <c r="K3430" s="1508"/>
      <c r="L3430" s="1508"/>
      <c r="M3430" s="1509">
        <f t="shared" si="508"/>
        <v>0</v>
      </c>
      <c r="N3430" s="1508">
        <f t="shared" si="509"/>
        <v>0</v>
      </c>
      <c r="O3430" s="1481">
        <f t="shared" si="505"/>
        <v>0</v>
      </c>
      <c r="P3430" s="1427">
        <f t="shared" si="506"/>
        <v>0</v>
      </c>
    </row>
    <row r="3431" spans="1:16" ht="31" outlineLevel="1" x14ac:dyDescent="0.25">
      <c r="A3431" s="1482">
        <f t="shared" si="502"/>
        <v>0</v>
      </c>
      <c r="B3431" s="1483" t="str">
        <f t="shared" si="502"/>
        <v>IDC</v>
      </c>
      <c r="C3431" s="1482" t="str">
        <f t="shared" si="502"/>
        <v>MERC/TECH 1/CAPEX/20122013/00190</v>
      </c>
      <c r="D3431" s="1390">
        <f t="shared" si="502"/>
        <v>41382</v>
      </c>
      <c r="E3431" s="560">
        <f t="shared" si="502"/>
        <v>3.07</v>
      </c>
      <c r="F3431" s="1508">
        <f t="shared" si="503"/>
        <v>0</v>
      </c>
      <c r="G3431" s="1508">
        <f t="shared" si="504"/>
        <v>0</v>
      </c>
      <c r="H3431" s="1508">
        <f t="shared" si="507"/>
        <v>0</v>
      </c>
      <c r="I3431" s="1480">
        <v>0</v>
      </c>
      <c r="J3431" s="1480">
        <v>0</v>
      </c>
      <c r="K3431" s="1508"/>
      <c r="L3431" s="1508"/>
      <c r="M3431" s="1509">
        <f t="shared" si="508"/>
        <v>0</v>
      </c>
      <c r="N3431" s="1508">
        <f t="shared" si="509"/>
        <v>0</v>
      </c>
      <c r="O3431" s="1481">
        <f t="shared" si="505"/>
        <v>0</v>
      </c>
      <c r="P3431" s="1427">
        <f t="shared" si="506"/>
        <v>0</v>
      </c>
    </row>
    <row r="3432" spans="1:16" ht="31" outlineLevel="1" x14ac:dyDescent="0.25">
      <c r="A3432" s="1489">
        <f t="shared" si="502"/>
        <v>12</v>
      </c>
      <c r="B3432" s="1490" t="str">
        <f t="shared" si="502"/>
        <v>Revamping of existing SWAS installed at U#1 to 4 and commissioning of new  (AFGC) System of U#5&amp;7</v>
      </c>
      <c r="C3432" s="1486" t="str">
        <f t="shared" si="502"/>
        <v>MERC/TECH 1/CAPEX/20132014/01366</v>
      </c>
      <c r="D3432" s="1487">
        <f t="shared" si="502"/>
        <v>41551</v>
      </c>
      <c r="E3432" s="1383">
        <f t="shared" si="502"/>
        <v>10.083855999999999</v>
      </c>
      <c r="F3432" s="1480">
        <f t="shared" si="503"/>
        <v>0</v>
      </c>
      <c r="G3432" s="1480">
        <f t="shared" si="504"/>
        <v>0</v>
      </c>
      <c r="H3432" s="1480">
        <f t="shared" si="507"/>
        <v>0</v>
      </c>
      <c r="I3432" s="1480">
        <v>0</v>
      </c>
      <c r="J3432" s="1480">
        <v>0</v>
      </c>
      <c r="K3432" s="1480"/>
      <c r="L3432" s="1480"/>
      <c r="M3432" s="1480">
        <f t="shared" si="508"/>
        <v>0</v>
      </c>
      <c r="N3432" s="1480">
        <f t="shared" si="509"/>
        <v>0</v>
      </c>
      <c r="O3432" s="1481">
        <f t="shared" si="505"/>
        <v>0</v>
      </c>
      <c r="P3432" s="1427">
        <f t="shared" si="506"/>
        <v>0</v>
      </c>
    </row>
    <row r="3433" spans="1:16" ht="31" outlineLevel="1" x14ac:dyDescent="0.25">
      <c r="A3433" s="1484">
        <f t="shared" si="502"/>
        <v>12.1</v>
      </c>
      <c r="B3433" s="1485" t="str">
        <f t="shared" si="502"/>
        <v>AFGC U 5,7</v>
      </c>
      <c r="C3433" s="1482" t="str">
        <f t="shared" si="502"/>
        <v>MERC/TECH 1/CAPEX/20132014/01366</v>
      </c>
      <c r="D3433" s="1390">
        <f t="shared" si="502"/>
        <v>41551</v>
      </c>
      <c r="E3433" s="560">
        <f t="shared" si="502"/>
        <v>2.08</v>
      </c>
      <c r="F3433" s="1508">
        <f t="shared" si="503"/>
        <v>2.0369565389999997</v>
      </c>
      <c r="G3433" s="1508">
        <f t="shared" si="504"/>
        <v>2.0369565389999997</v>
      </c>
      <c r="H3433" s="1508">
        <f t="shared" si="507"/>
        <v>0</v>
      </c>
      <c r="I3433" s="1480">
        <v>0</v>
      </c>
      <c r="J3433" s="1480">
        <v>0</v>
      </c>
      <c r="K3433" s="1508"/>
      <c r="L3433" s="1508"/>
      <c r="M3433" s="1509">
        <f t="shared" si="508"/>
        <v>0</v>
      </c>
      <c r="N3433" s="1508">
        <f t="shared" si="509"/>
        <v>0</v>
      </c>
      <c r="O3433" s="1481">
        <f t="shared" si="505"/>
        <v>0</v>
      </c>
      <c r="P3433" s="1427">
        <f t="shared" si="506"/>
        <v>0</v>
      </c>
    </row>
    <row r="3434" spans="1:16" ht="31" outlineLevel="1" x14ac:dyDescent="0.25">
      <c r="A3434" s="1484">
        <f t="shared" si="502"/>
        <v>12.2</v>
      </c>
      <c r="B3434" s="1485" t="str">
        <f t="shared" si="502"/>
        <v>Dismantling and revamping of Sample panels of Unit 1 to 4. (4 Nos.)</v>
      </c>
      <c r="C3434" s="1488" t="str">
        <f t="shared" si="502"/>
        <v>MERC/TECH 1/CAPEX/20132014/01366</v>
      </c>
      <c r="D3434" s="1413">
        <f t="shared" si="502"/>
        <v>41551</v>
      </c>
      <c r="E3434" s="560">
        <f t="shared" si="502"/>
        <v>7.1338559999999998</v>
      </c>
      <c r="F3434" s="1508">
        <f t="shared" si="503"/>
        <v>5</v>
      </c>
      <c r="G3434" s="1508">
        <f t="shared" si="504"/>
        <v>5</v>
      </c>
      <c r="H3434" s="1508">
        <f t="shared" si="507"/>
        <v>0</v>
      </c>
      <c r="I3434" s="1480">
        <v>0</v>
      </c>
      <c r="J3434" s="1480">
        <v>0</v>
      </c>
      <c r="K3434" s="1508"/>
      <c r="L3434" s="1508"/>
      <c r="M3434" s="1509">
        <f t="shared" si="508"/>
        <v>0</v>
      </c>
      <c r="N3434" s="1508">
        <f t="shared" si="509"/>
        <v>0</v>
      </c>
      <c r="O3434" s="1481">
        <f t="shared" si="505"/>
        <v>0</v>
      </c>
      <c r="P3434" s="1427">
        <f t="shared" si="506"/>
        <v>0</v>
      </c>
    </row>
    <row r="3435" spans="1:16" ht="31" outlineLevel="1" x14ac:dyDescent="0.25">
      <c r="A3435" s="1484">
        <f t="shared" si="502"/>
        <v>0</v>
      </c>
      <c r="B3435" s="1485" t="str">
        <f t="shared" si="502"/>
        <v>IDC</v>
      </c>
      <c r="C3435" s="1482" t="str">
        <f t="shared" si="502"/>
        <v>MERC/TECH 1/CAPEX/20132014/01366</v>
      </c>
      <c r="D3435" s="1390">
        <f t="shared" si="502"/>
        <v>41551</v>
      </c>
      <c r="E3435" s="560">
        <f t="shared" si="502"/>
        <v>0.87</v>
      </c>
      <c r="F3435" s="1508">
        <f t="shared" si="503"/>
        <v>0</v>
      </c>
      <c r="G3435" s="1508">
        <f t="shared" si="504"/>
        <v>0</v>
      </c>
      <c r="H3435" s="1508">
        <f t="shared" si="507"/>
        <v>0</v>
      </c>
      <c r="I3435" s="1480">
        <v>0</v>
      </c>
      <c r="J3435" s="1480">
        <v>0</v>
      </c>
      <c r="K3435" s="1508"/>
      <c r="L3435" s="1508"/>
      <c r="M3435" s="1509">
        <f t="shared" si="508"/>
        <v>0</v>
      </c>
      <c r="N3435" s="1508">
        <f t="shared" si="509"/>
        <v>0</v>
      </c>
      <c r="O3435" s="1481">
        <f t="shared" si="505"/>
        <v>0</v>
      </c>
      <c r="P3435" s="1427">
        <f t="shared" si="506"/>
        <v>0</v>
      </c>
    </row>
    <row r="3436" spans="1:16" ht="31" outlineLevel="1" x14ac:dyDescent="0.25">
      <c r="A3436" s="1477">
        <f t="shared" si="502"/>
        <v>13</v>
      </c>
      <c r="B3436" s="1478" t="str">
        <f t="shared" si="502"/>
        <v>Replacements Platen Super Heater &amp; Eco Additional of U-5 &amp; U-6 and Upper &amp; Lower LTSH &amp; Eco Bottom assemblies of U-7</v>
      </c>
      <c r="C3436" s="1477" t="str">
        <f t="shared" si="502"/>
        <v>MERC/TECH 1/CAPEX/20132014/01936</v>
      </c>
      <c r="D3436" s="1479">
        <f t="shared" si="502"/>
        <v>41647</v>
      </c>
      <c r="E3436" s="1383">
        <f t="shared" si="502"/>
        <v>76.570000000000007</v>
      </c>
      <c r="F3436" s="1480">
        <f t="shared" si="503"/>
        <v>0</v>
      </c>
      <c r="G3436" s="1480">
        <f t="shared" si="504"/>
        <v>0</v>
      </c>
      <c r="H3436" s="1480">
        <f t="shared" si="507"/>
        <v>0</v>
      </c>
      <c r="I3436" s="1480">
        <v>0</v>
      </c>
      <c r="J3436" s="1480">
        <v>0</v>
      </c>
      <c r="K3436" s="1480"/>
      <c r="L3436" s="1480"/>
      <c r="M3436" s="1480">
        <f t="shared" si="508"/>
        <v>0</v>
      </c>
      <c r="N3436" s="1480">
        <f t="shared" si="509"/>
        <v>0</v>
      </c>
      <c r="O3436" s="1481">
        <f t="shared" si="505"/>
        <v>0</v>
      </c>
      <c r="P3436" s="1427">
        <f t="shared" si="506"/>
        <v>0</v>
      </c>
    </row>
    <row r="3437" spans="1:16" ht="31" outlineLevel="1" x14ac:dyDescent="0.25">
      <c r="A3437" s="1482">
        <f t="shared" si="502"/>
        <v>13.1</v>
      </c>
      <c r="B3437" s="1483" t="str">
        <f t="shared" si="502"/>
        <v>Platen super heater assemblies – 24 nos each for Unit-5 &amp; 6(2 sets)</v>
      </c>
      <c r="C3437" s="1482" t="str">
        <f t="shared" si="502"/>
        <v>MERC/TECH 1/CAPEX/20132014/01936</v>
      </c>
      <c r="D3437" s="1390">
        <f t="shared" si="502"/>
        <v>41647</v>
      </c>
      <c r="E3437" s="560">
        <f t="shared" si="502"/>
        <v>32.76</v>
      </c>
      <c r="F3437" s="1508">
        <f t="shared" si="503"/>
        <v>11.660929755000002</v>
      </c>
      <c r="G3437" s="1508">
        <f t="shared" si="504"/>
        <v>11.660929755000002</v>
      </c>
      <c r="H3437" s="1508">
        <f t="shared" si="507"/>
        <v>0</v>
      </c>
      <c r="I3437" s="1480">
        <v>0</v>
      </c>
      <c r="J3437" s="1480">
        <v>0</v>
      </c>
      <c r="K3437" s="1508"/>
      <c r="L3437" s="1508"/>
      <c r="M3437" s="1509">
        <f t="shared" si="508"/>
        <v>0</v>
      </c>
      <c r="N3437" s="1508">
        <f t="shared" si="509"/>
        <v>0</v>
      </c>
      <c r="O3437" s="1481">
        <f t="shared" si="505"/>
        <v>0</v>
      </c>
      <c r="P3437" s="1427">
        <f t="shared" si="506"/>
        <v>0</v>
      </c>
    </row>
    <row r="3438" spans="1:16" ht="31" outlineLevel="1" x14ac:dyDescent="0.25">
      <c r="A3438" s="1482">
        <f t="shared" si="502"/>
        <v>13.2</v>
      </c>
      <c r="B3438" s="1483" t="str">
        <f t="shared" si="502"/>
        <v>Economizer additional  Assemblies along with cassette baffles – 65 Nos. each for unit-  5 &amp; 6  (2Set )</v>
      </c>
      <c r="C3438" s="1482" t="str">
        <f t="shared" si="502"/>
        <v>MERC/TECH 1/CAPEX/20132014/01936</v>
      </c>
      <c r="D3438" s="1390">
        <f t="shared" si="502"/>
        <v>41647</v>
      </c>
      <c r="E3438" s="560">
        <f t="shared" si="502"/>
        <v>3.88</v>
      </c>
      <c r="F3438" s="1508">
        <f t="shared" si="503"/>
        <v>3.5012203659999996</v>
      </c>
      <c r="G3438" s="1508">
        <f t="shared" si="504"/>
        <v>3.5012203659999996</v>
      </c>
      <c r="H3438" s="1508">
        <f t="shared" si="507"/>
        <v>0</v>
      </c>
      <c r="I3438" s="1480">
        <v>0</v>
      </c>
      <c r="J3438" s="1480">
        <v>0</v>
      </c>
      <c r="K3438" s="1508"/>
      <c r="L3438" s="1508"/>
      <c r="M3438" s="1509">
        <f t="shared" si="508"/>
        <v>0</v>
      </c>
      <c r="N3438" s="1508">
        <f t="shared" si="509"/>
        <v>0</v>
      </c>
      <c r="O3438" s="1481">
        <f t="shared" si="505"/>
        <v>0</v>
      </c>
      <c r="P3438" s="1427">
        <f t="shared" si="506"/>
        <v>0</v>
      </c>
    </row>
    <row r="3439" spans="1:16" ht="31" outlineLevel="1" x14ac:dyDescent="0.25">
      <c r="A3439" s="1482">
        <f t="shared" si="502"/>
        <v>13.3</v>
      </c>
      <c r="B3439" s="1483" t="str">
        <f t="shared" si="502"/>
        <v>Upper LTSH  Assemblies along with cassette baffles – 62 Nos. each for unit – 7 (1 Set)</v>
      </c>
      <c r="C3439" s="1482" t="str">
        <f t="shared" si="502"/>
        <v>MERC/TECH 1/CAPEX/20132014/01936</v>
      </c>
      <c r="D3439" s="1390">
        <f t="shared" si="502"/>
        <v>41647</v>
      </c>
      <c r="E3439" s="560">
        <f t="shared" si="502"/>
        <v>9.81</v>
      </c>
      <c r="F3439" s="1508">
        <f t="shared" si="503"/>
        <v>4.9252947999999996</v>
      </c>
      <c r="G3439" s="1508">
        <f t="shared" si="504"/>
        <v>4.9252947999999996</v>
      </c>
      <c r="H3439" s="1508">
        <f t="shared" si="507"/>
        <v>0</v>
      </c>
      <c r="I3439" s="1480">
        <v>0</v>
      </c>
      <c r="J3439" s="1480">
        <v>0</v>
      </c>
      <c r="K3439" s="1508"/>
      <c r="L3439" s="1508"/>
      <c r="M3439" s="1509">
        <f t="shared" si="508"/>
        <v>0</v>
      </c>
      <c r="N3439" s="1508">
        <f t="shared" si="509"/>
        <v>0</v>
      </c>
      <c r="O3439" s="1481">
        <f t="shared" si="505"/>
        <v>0</v>
      </c>
      <c r="P3439" s="1427">
        <f t="shared" si="506"/>
        <v>0</v>
      </c>
    </row>
    <row r="3440" spans="1:16" ht="31" outlineLevel="1" x14ac:dyDescent="0.25">
      <c r="A3440" s="1482">
        <f t="shared" ref="A3440:E3455" si="510">A2770</f>
        <v>13.4</v>
      </c>
      <c r="B3440" s="1483" t="str">
        <f t="shared" si="510"/>
        <v>Lower LTSH  Assemblies along with cassette baffles  – 62Nos. for unit – 7 (1 Set)</v>
      </c>
      <c r="C3440" s="1482" t="str">
        <f t="shared" si="510"/>
        <v>MERC/TECH 1/CAPEX/20132014/01936</v>
      </c>
      <c r="D3440" s="1390">
        <f t="shared" si="510"/>
        <v>41647</v>
      </c>
      <c r="E3440" s="560">
        <f t="shared" si="510"/>
        <v>4.76</v>
      </c>
      <c r="F3440" s="1508">
        <f t="shared" si="503"/>
        <v>2.7667891</v>
      </c>
      <c r="G3440" s="1508">
        <f t="shared" si="504"/>
        <v>2.7667891</v>
      </c>
      <c r="H3440" s="1508">
        <f t="shared" si="507"/>
        <v>0</v>
      </c>
      <c r="I3440" s="1480">
        <v>0</v>
      </c>
      <c r="J3440" s="1480">
        <v>0</v>
      </c>
      <c r="K3440" s="1508"/>
      <c r="L3440" s="1508"/>
      <c r="M3440" s="1509">
        <f t="shared" si="508"/>
        <v>0</v>
      </c>
      <c r="N3440" s="1508">
        <f t="shared" si="509"/>
        <v>0</v>
      </c>
      <c r="O3440" s="1481">
        <f t="shared" si="505"/>
        <v>0</v>
      </c>
      <c r="P3440" s="1427">
        <f t="shared" si="506"/>
        <v>0</v>
      </c>
    </row>
    <row r="3441" spans="1:16" ht="31" outlineLevel="1" x14ac:dyDescent="0.25">
      <c r="A3441" s="1482">
        <f t="shared" si="510"/>
        <v>13.5</v>
      </c>
      <c r="B3441" s="1483" t="str">
        <f t="shared" si="510"/>
        <v>Lower Eco + Eco additional along with cassette baffles  for Unit-7</v>
      </c>
      <c r="C3441" s="1482" t="str">
        <f t="shared" si="510"/>
        <v>MERC/TECH 1/CAPEX/20132014/01936</v>
      </c>
      <c r="D3441" s="1390">
        <f t="shared" si="510"/>
        <v>41647</v>
      </c>
      <c r="E3441" s="560">
        <f t="shared" si="510"/>
        <v>13.41</v>
      </c>
      <c r="F3441" s="1508">
        <f t="shared" si="503"/>
        <v>6.3205716000000001</v>
      </c>
      <c r="G3441" s="1508">
        <f t="shared" si="504"/>
        <v>6.3205716000000001</v>
      </c>
      <c r="H3441" s="1508">
        <f t="shared" si="507"/>
        <v>0</v>
      </c>
      <c r="I3441" s="1480">
        <v>0</v>
      </c>
      <c r="J3441" s="1480">
        <v>0</v>
      </c>
      <c r="K3441" s="1508"/>
      <c r="L3441" s="1508"/>
      <c r="M3441" s="1509">
        <f t="shared" si="508"/>
        <v>0</v>
      </c>
      <c r="N3441" s="1508">
        <f t="shared" si="509"/>
        <v>0</v>
      </c>
      <c r="O3441" s="1481">
        <f t="shared" si="505"/>
        <v>0</v>
      </c>
      <c r="P3441" s="1427">
        <f t="shared" si="506"/>
        <v>0</v>
      </c>
    </row>
    <row r="3442" spans="1:16" ht="31" outlineLevel="1" x14ac:dyDescent="0.25">
      <c r="A3442" s="1482">
        <f t="shared" si="510"/>
        <v>13.6</v>
      </c>
      <c r="B3442" s="1483" t="str">
        <f t="shared" si="510"/>
        <v>Work Cost for Replacement of above Assemblies.</v>
      </c>
      <c r="C3442" s="1482" t="str">
        <f t="shared" si="510"/>
        <v>MERC/TECH 1/CAPEX/20132014/01936</v>
      </c>
      <c r="D3442" s="1390">
        <f t="shared" si="510"/>
        <v>41647</v>
      </c>
      <c r="E3442" s="560">
        <f t="shared" si="510"/>
        <v>5.05</v>
      </c>
      <c r="F3442" s="1508">
        <f t="shared" si="503"/>
        <v>0</v>
      </c>
      <c r="G3442" s="1508">
        <f t="shared" si="504"/>
        <v>0</v>
      </c>
      <c r="H3442" s="1508">
        <f t="shared" si="507"/>
        <v>0</v>
      </c>
      <c r="I3442" s="1480">
        <v>0</v>
      </c>
      <c r="J3442" s="1480">
        <v>0</v>
      </c>
      <c r="K3442" s="1508"/>
      <c r="L3442" s="1508"/>
      <c r="M3442" s="1509">
        <f t="shared" si="508"/>
        <v>0</v>
      </c>
      <c r="N3442" s="1508">
        <f t="shared" si="509"/>
        <v>0</v>
      </c>
      <c r="O3442" s="1481">
        <f t="shared" si="505"/>
        <v>0</v>
      </c>
      <c r="P3442" s="1427">
        <f t="shared" si="506"/>
        <v>0</v>
      </c>
    </row>
    <row r="3443" spans="1:16" ht="31" outlineLevel="1" x14ac:dyDescent="0.25">
      <c r="A3443" s="1482">
        <f t="shared" si="510"/>
        <v>0</v>
      </c>
      <c r="B3443" s="1483" t="str">
        <f t="shared" si="510"/>
        <v>IDC</v>
      </c>
      <c r="C3443" s="1482" t="str">
        <f t="shared" si="510"/>
        <v>MERC/TECH 1/CAPEX/20132014/01936</v>
      </c>
      <c r="D3443" s="1390">
        <f t="shared" si="510"/>
        <v>41647</v>
      </c>
      <c r="E3443" s="560">
        <f t="shared" si="510"/>
        <v>6.9</v>
      </c>
      <c r="F3443" s="1508">
        <f t="shared" si="503"/>
        <v>0</v>
      </c>
      <c r="G3443" s="1508">
        <f t="shared" si="504"/>
        <v>0</v>
      </c>
      <c r="H3443" s="1508">
        <f t="shared" si="507"/>
        <v>0</v>
      </c>
      <c r="I3443" s="1480">
        <v>0</v>
      </c>
      <c r="J3443" s="1480">
        <v>0</v>
      </c>
      <c r="K3443" s="1508"/>
      <c r="L3443" s="1508"/>
      <c r="M3443" s="1509">
        <f t="shared" si="508"/>
        <v>0</v>
      </c>
      <c r="N3443" s="1508">
        <f t="shared" si="509"/>
        <v>0</v>
      </c>
      <c r="O3443" s="1481">
        <f t="shared" si="505"/>
        <v>0</v>
      </c>
      <c r="P3443" s="1427">
        <f t="shared" si="506"/>
        <v>0</v>
      </c>
    </row>
    <row r="3444" spans="1:16" ht="31" outlineLevel="1" x14ac:dyDescent="0.25">
      <c r="A3444" s="1477">
        <f t="shared" si="510"/>
        <v>14</v>
      </c>
      <c r="B3444" s="1478" t="str">
        <f t="shared" si="510"/>
        <v>Procurement of Complete IPT Module for 500MW Unit-7 and Fully Bladed Rotor for LP Turbine of 500 MW Unit-5, 6, &amp; 7</v>
      </c>
      <c r="C3444" s="1477" t="str">
        <f t="shared" si="510"/>
        <v>MERC/TECH 1/CAPEX/20132014/01334</v>
      </c>
      <c r="D3444" s="1479">
        <f t="shared" si="510"/>
        <v>41548</v>
      </c>
      <c r="E3444" s="1383">
        <f t="shared" si="510"/>
        <v>83.823654699999992</v>
      </c>
      <c r="F3444" s="1480">
        <f t="shared" si="503"/>
        <v>0</v>
      </c>
      <c r="G3444" s="1480">
        <f t="shared" si="504"/>
        <v>0</v>
      </c>
      <c r="H3444" s="1480">
        <f t="shared" si="507"/>
        <v>0</v>
      </c>
      <c r="I3444" s="1480">
        <v>0</v>
      </c>
      <c r="J3444" s="1480">
        <v>0</v>
      </c>
      <c r="K3444" s="1480"/>
      <c r="L3444" s="1480"/>
      <c r="M3444" s="1480">
        <f t="shared" si="508"/>
        <v>0</v>
      </c>
      <c r="N3444" s="1480">
        <f t="shared" si="509"/>
        <v>0</v>
      </c>
      <c r="O3444" s="1481">
        <f t="shared" si="505"/>
        <v>0</v>
      </c>
      <c r="P3444" s="1427">
        <f t="shared" si="506"/>
        <v>0</v>
      </c>
    </row>
    <row r="3445" spans="1:16" ht="46.5" outlineLevel="1" x14ac:dyDescent="0.25">
      <c r="A3445" s="1482">
        <f t="shared" si="510"/>
        <v>14.1</v>
      </c>
      <c r="B3445" s="1483" t="str">
        <f t="shared" si="510"/>
        <v>IPT Module complete Type-M30-63 with advance class blading suitable for 500 MW Chandrapur Unit-7, Khaperkheda 1x500, Bhusawal 2x500</v>
      </c>
      <c r="C3445" s="1482" t="str">
        <f t="shared" si="510"/>
        <v>MERC/TECH 1/CAPEX/20132014/01334</v>
      </c>
      <c r="D3445" s="1390">
        <f t="shared" si="510"/>
        <v>41548</v>
      </c>
      <c r="E3445" s="560">
        <f t="shared" si="510"/>
        <v>48.039384900000002</v>
      </c>
      <c r="F3445" s="1508">
        <f t="shared" si="503"/>
        <v>48.039384900000002</v>
      </c>
      <c r="G3445" s="1508">
        <f t="shared" si="504"/>
        <v>48.039384900000002</v>
      </c>
      <c r="H3445" s="1508">
        <f t="shared" si="507"/>
        <v>0</v>
      </c>
      <c r="I3445" s="1480">
        <v>0</v>
      </c>
      <c r="J3445" s="1480">
        <v>0</v>
      </c>
      <c r="K3445" s="1508"/>
      <c r="L3445" s="1508"/>
      <c r="M3445" s="1509">
        <f t="shared" si="508"/>
        <v>0</v>
      </c>
      <c r="N3445" s="1508">
        <f t="shared" si="509"/>
        <v>0</v>
      </c>
      <c r="O3445" s="1481">
        <f t="shared" si="505"/>
        <v>0</v>
      </c>
      <c r="P3445" s="1427">
        <f t="shared" si="506"/>
        <v>0</v>
      </c>
    </row>
    <row r="3446" spans="1:16" ht="31" outlineLevel="1" x14ac:dyDescent="0.25">
      <c r="A3446" s="1482">
        <f t="shared" si="510"/>
        <v>14.2</v>
      </c>
      <c r="B3446" s="1483" t="str">
        <f t="shared" si="510"/>
        <v>Fully bladed dynamically balanced LP Rotor for 500 MW Units-5,6 &amp;7 at Chandrapur STPS</v>
      </c>
      <c r="C3446" s="1482" t="str">
        <f t="shared" si="510"/>
        <v>MERC/TECH 1/CAPEX/20132014/01334</v>
      </c>
      <c r="D3446" s="1390">
        <f t="shared" si="510"/>
        <v>41548</v>
      </c>
      <c r="E3446" s="560">
        <f t="shared" si="510"/>
        <v>35.784269799999997</v>
      </c>
      <c r="F3446" s="1508">
        <f t="shared" si="503"/>
        <v>35.784269799999997</v>
      </c>
      <c r="G3446" s="1508">
        <f t="shared" si="504"/>
        <v>35.784269799999997</v>
      </c>
      <c r="H3446" s="1508">
        <f t="shared" si="507"/>
        <v>0</v>
      </c>
      <c r="I3446" s="1480">
        <v>0</v>
      </c>
      <c r="J3446" s="1480">
        <v>0</v>
      </c>
      <c r="K3446" s="1508"/>
      <c r="L3446" s="1508"/>
      <c r="M3446" s="1509">
        <f t="shared" si="508"/>
        <v>0</v>
      </c>
      <c r="N3446" s="1508">
        <f t="shared" si="509"/>
        <v>0</v>
      </c>
      <c r="O3446" s="1481">
        <f t="shared" si="505"/>
        <v>0</v>
      </c>
      <c r="P3446" s="1427">
        <f t="shared" si="506"/>
        <v>0</v>
      </c>
    </row>
    <row r="3447" spans="1:16" ht="31" outlineLevel="1" x14ac:dyDescent="0.25">
      <c r="A3447" s="1477">
        <f t="shared" si="510"/>
        <v>15</v>
      </c>
      <c r="B3447" s="1478" t="str">
        <f t="shared" si="510"/>
        <v>Performance Improvement of Air Preheater Unit 1 &amp; 2 CSTPS Chandrapur</v>
      </c>
      <c r="C3447" s="1477" t="str">
        <f t="shared" si="510"/>
        <v>MERC/TECH 1/CAPEX/20132014/01431</v>
      </c>
      <c r="D3447" s="1479">
        <f t="shared" si="510"/>
        <v>41565</v>
      </c>
      <c r="E3447" s="1383">
        <f t="shared" si="510"/>
        <v>11.1699751</v>
      </c>
      <c r="F3447" s="1480">
        <f t="shared" si="503"/>
        <v>0</v>
      </c>
      <c r="G3447" s="1480">
        <f t="shared" si="504"/>
        <v>0</v>
      </c>
      <c r="H3447" s="1480">
        <f t="shared" si="507"/>
        <v>0</v>
      </c>
      <c r="I3447" s="1480">
        <v>0</v>
      </c>
      <c r="J3447" s="1480">
        <v>0</v>
      </c>
      <c r="K3447" s="1480"/>
      <c r="L3447" s="1480"/>
      <c r="M3447" s="1480">
        <f t="shared" si="508"/>
        <v>0</v>
      </c>
      <c r="N3447" s="1480">
        <f t="shared" si="509"/>
        <v>0</v>
      </c>
      <c r="O3447" s="1481">
        <f t="shared" si="505"/>
        <v>0</v>
      </c>
      <c r="P3447" s="1427">
        <f t="shared" si="506"/>
        <v>0</v>
      </c>
    </row>
    <row r="3448" spans="1:16" ht="31" outlineLevel="1" x14ac:dyDescent="0.25">
      <c r="A3448" s="1482">
        <f t="shared" si="510"/>
        <v>15.1</v>
      </c>
      <c r="B3448" s="1483" t="str">
        <f t="shared" si="510"/>
        <v xml:space="preserve">supply of MSERW / high frequency induction welding tubes for Air pre-heater in Unit 1&amp;2 </v>
      </c>
      <c r="C3448" s="1482" t="str">
        <f t="shared" si="510"/>
        <v>MERC/TECH 1/CAPEX/20132014/01431</v>
      </c>
      <c r="D3448" s="1390">
        <f t="shared" si="510"/>
        <v>41565</v>
      </c>
      <c r="E3448" s="560">
        <f t="shared" si="510"/>
        <v>8.8553540000000002</v>
      </c>
      <c r="F3448" s="1508">
        <f t="shared" si="503"/>
        <v>0</v>
      </c>
      <c r="G3448" s="1508">
        <f t="shared" si="504"/>
        <v>0</v>
      </c>
      <c r="H3448" s="1508">
        <f t="shared" si="507"/>
        <v>0</v>
      </c>
      <c r="I3448" s="1480">
        <v>0</v>
      </c>
      <c r="J3448" s="1480">
        <v>0</v>
      </c>
      <c r="K3448" s="1508"/>
      <c r="L3448" s="1508"/>
      <c r="M3448" s="1509">
        <f t="shared" si="508"/>
        <v>0</v>
      </c>
      <c r="N3448" s="1508">
        <f t="shared" si="509"/>
        <v>0</v>
      </c>
      <c r="O3448" s="1481">
        <f t="shared" si="505"/>
        <v>0</v>
      </c>
      <c r="P3448" s="1427">
        <f t="shared" si="506"/>
        <v>0</v>
      </c>
    </row>
    <row r="3449" spans="1:16" ht="31" outlineLevel="1" x14ac:dyDescent="0.25">
      <c r="A3449" s="1482">
        <f t="shared" si="510"/>
        <v>15.2</v>
      </c>
      <c r="B3449" s="1483" t="str">
        <f t="shared" si="510"/>
        <v xml:space="preserve">Compete Replacement of the air heater tubes in top ,intermediate and bottom bank(LHS and RHS) of unit 1 &amp; 2 </v>
      </c>
      <c r="C3449" s="1482" t="str">
        <f t="shared" si="510"/>
        <v>MERC/TECH 1/CAPEX/20132014/01431</v>
      </c>
      <c r="D3449" s="1390">
        <f t="shared" si="510"/>
        <v>41565</v>
      </c>
      <c r="E3449" s="560">
        <f t="shared" si="510"/>
        <v>2.14452</v>
      </c>
      <c r="F3449" s="1508">
        <f t="shared" si="503"/>
        <v>0</v>
      </c>
      <c r="G3449" s="1508">
        <f t="shared" si="504"/>
        <v>0</v>
      </c>
      <c r="H3449" s="1508">
        <f t="shared" si="507"/>
        <v>0</v>
      </c>
      <c r="I3449" s="1480">
        <v>0</v>
      </c>
      <c r="J3449" s="1480">
        <v>0</v>
      </c>
      <c r="K3449" s="1508"/>
      <c r="L3449" s="1508"/>
      <c r="M3449" s="1509">
        <f t="shared" si="508"/>
        <v>0</v>
      </c>
      <c r="N3449" s="1508">
        <f t="shared" si="509"/>
        <v>0</v>
      </c>
      <c r="O3449" s="1481">
        <f t="shared" si="505"/>
        <v>0</v>
      </c>
      <c r="P3449" s="1427">
        <f t="shared" si="506"/>
        <v>0</v>
      </c>
    </row>
    <row r="3450" spans="1:16" ht="31" outlineLevel="1" x14ac:dyDescent="0.25">
      <c r="A3450" s="1482">
        <f t="shared" si="510"/>
        <v>0</v>
      </c>
      <c r="B3450" s="1483" t="str">
        <f t="shared" si="510"/>
        <v>IDC</v>
      </c>
      <c r="C3450" s="1482" t="str">
        <f t="shared" si="510"/>
        <v>MERC/TECH 1/CAPEX/20132014/01431</v>
      </c>
      <c r="D3450" s="1390">
        <f t="shared" si="510"/>
        <v>41565</v>
      </c>
      <c r="E3450" s="560">
        <f t="shared" si="510"/>
        <v>0.17010110000000001</v>
      </c>
      <c r="F3450" s="1508">
        <f t="shared" si="503"/>
        <v>0</v>
      </c>
      <c r="G3450" s="1508">
        <f t="shared" si="504"/>
        <v>0</v>
      </c>
      <c r="H3450" s="1508">
        <f t="shared" si="507"/>
        <v>0</v>
      </c>
      <c r="I3450" s="1480">
        <v>0</v>
      </c>
      <c r="J3450" s="1480">
        <v>0</v>
      </c>
      <c r="K3450" s="1508"/>
      <c r="L3450" s="1508"/>
      <c r="M3450" s="1509">
        <f t="shared" si="508"/>
        <v>0</v>
      </c>
      <c r="N3450" s="1508">
        <f t="shared" si="509"/>
        <v>0</v>
      </c>
      <c r="O3450" s="1481">
        <f t="shared" si="505"/>
        <v>0</v>
      </c>
      <c r="P3450" s="1427">
        <f t="shared" si="506"/>
        <v>0</v>
      </c>
    </row>
    <row r="3451" spans="1:16" ht="31" outlineLevel="1" x14ac:dyDescent="0.25">
      <c r="A3451" s="1477">
        <f t="shared" si="510"/>
        <v>16</v>
      </c>
      <c r="B3451" s="1478" t="str">
        <f t="shared" si="510"/>
        <v>Procurement &amp; Replacement of heating elements (baskets) of primary and secondary air pre-heaters of unit # 5 &amp; 6</v>
      </c>
      <c r="C3451" s="1477" t="str">
        <f t="shared" si="510"/>
        <v>MERC/TECH 1/CAPEX/20142015/00432</v>
      </c>
      <c r="D3451" s="1479">
        <f t="shared" si="510"/>
        <v>41792</v>
      </c>
      <c r="E3451" s="1383">
        <f t="shared" si="510"/>
        <v>11.7446</v>
      </c>
      <c r="F3451" s="1480">
        <f t="shared" si="503"/>
        <v>0</v>
      </c>
      <c r="G3451" s="1480">
        <f t="shared" si="504"/>
        <v>0</v>
      </c>
      <c r="H3451" s="1480">
        <f t="shared" si="507"/>
        <v>0</v>
      </c>
      <c r="I3451" s="1480">
        <v>0</v>
      </c>
      <c r="J3451" s="1480">
        <v>0</v>
      </c>
      <c r="K3451" s="1480"/>
      <c r="L3451" s="1480"/>
      <c r="M3451" s="1480">
        <f t="shared" si="508"/>
        <v>0</v>
      </c>
      <c r="N3451" s="1480">
        <f t="shared" si="509"/>
        <v>0</v>
      </c>
      <c r="O3451" s="1481">
        <f t="shared" si="505"/>
        <v>0</v>
      </c>
      <c r="P3451" s="1427">
        <f t="shared" si="506"/>
        <v>0</v>
      </c>
    </row>
    <row r="3452" spans="1:16" ht="31" outlineLevel="1" x14ac:dyDescent="0.25">
      <c r="A3452" s="1482">
        <f t="shared" si="510"/>
        <v>16.100000000000001</v>
      </c>
      <c r="B3452" s="1483" t="str">
        <f t="shared" si="510"/>
        <v>Primary  &amp;  Secondary Air Pre-heater baskets hot end, intermediate  &amp; cold end (2 sets) for U-5 (Including works cost)</v>
      </c>
      <c r="C3452" s="1482" t="str">
        <f t="shared" si="510"/>
        <v>MERC/TECH 1/CAPEX/20142015/00432</v>
      </c>
      <c r="D3452" s="1390">
        <f t="shared" si="510"/>
        <v>41792</v>
      </c>
      <c r="E3452" s="560">
        <f t="shared" si="510"/>
        <v>5.5023</v>
      </c>
      <c r="F3452" s="1508">
        <f t="shared" si="503"/>
        <v>4.2318929900000004</v>
      </c>
      <c r="G3452" s="1508">
        <f t="shared" si="504"/>
        <v>4.2318929900000004</v>
      </c>
      <c r="H3452" s="1508">
        <f t="shared" si="507"/>
        <v>0</v>
      </c>
      <c r="I3452" s="1480">
        <v>0</v>
      </c>
      <c r="J3452" s="1480">
        <v>0</v>
      </c>
      <c r="K3452" s="1508"/>
      <c r="L3452" s="1508"/>
      <c r="M3452" s="1509">
        <f t="shared" si="508"/>
        <v>0</v>
      </c>
      <c r="N3452" s="1508">
        <f t="shared" si="509"/>
        <v>0</v>
      </c>
      <c r="O3452" s="1481">
        <f t="shared" si="505"/>
        <v>0</v>
      </c>
      <c r="P3452" s="1427">
        <f t="shared" si="506"/>
        <v>0</v>
      </c>
    </row>
    <row r="3453" spans="1:16" ht="31" outlineLevel="1" x14ac:dyDescent="0.25">
      <c r="A3453" s="1482">
        <f t="shared" si="510"/>
        <v>16.2</v>
      </c>
      <c r="B3453" s="1483" t="str">
        <f t="shared" si="510"/>
        <v>Primary  &amp;  Secondary Air Pre-heater baskets hot end, intermediate  &amp; cold end (2 sets) for U-6 (Including works cost)</v>
      </c>
      <c r="C3453" s="1482" t="str">
        <f t="shared" si="510"/>
        <v>MERC/TECH 1/CAPEX/20142015/00432</v>
      </c>
      <c r="D3453" s="1390">
        <f t="shared" si="510"/>
        <v>41792</v>
      </c>
      <c r="E3453" s="560">
        <f t="shared" si="510"/>
        <v>5.5023</v>
      </c>
      <c r="F3453" s="1508">
        <f t="shared" si="503"/>
        <v>4.5024009140000008</v>
      </c>
      <c r="G3453" s="1508">
        <f t="shared" si="504"/>
        <v>4.5024009140000008</v>
      </c>
      <c r="H3453" s="1508">
        <f t="shared" si="507"/>
        <v>0</v>
      </c>
      <c r="I3453" s="1480">
        <v>0</v>
      </c>
      <c r="J3453" s="1480">
        <v>0</v>
      </c>
      <c r="K3453" s="1508"/>
      <c r="L3453" s="1508"/>
      <c r="M3453" s="1509">
        <f t="shared" si="508"/>
        <v>0</v>
      </c>
      <c r="N3453" s="1508">
        <f t="shared" si="509"/>
        <v>0</v>
      </c>
      <c r="O3453" s="1481">
        <f t="shared" si="505"/>
        <v>0</v>
      </c>
      <c r="P3453" s="1427">
        <f t="shared" si="506"/>
        <v>0</v>
      </c>
    </row>
    <row r="3454" spans="1:16" ht="31" outlineLevel="1" x14ac:dyDescent="0.25">
      <c r="A3454" s="1482">
        <f t="shared" si="510"/>
        <v>0</v>
      </c>
      <c r="B3454" s="1483" t="str">
        <f t="shared" si="510"/>
        <v>IDC</v>
      </c>
      <c r="C3454" s="1482" t="str">
        <f t="shared" si="510"/>
        <v>MERC/TECH 1/CAPEX/20142015/00432</v>
      </c>
      <c r="D3454" s="1390">
        <f t="shared" si="510"/>
        <v>41792</v>
      </c>
      <c r="E3454" s="560">
        <f t="shared" si="510"/>
        <v>0.74</v>
      </c>
      <c r="F3454" s="1508">
        <f t="shared" si="503"/>
        <v>0</v>
      </c>
      <c r="G3454" s="1508">
        <f t="shared" si="504"/>
        <v>0</v>
      </c>
      <c r="H3454" s="1508">
        <f t="shared" si="507"/>
        <v>0</v>
      </c>
      <c r="I3454" s="1480">
        <v>0</v>
      </c>
      <c r="J3454" s="1480">
        <v>0</v>
      </c>
      <c r="K3454" s="1508"/>
      <c r="L3454" s="1508"/>
      <c r="M3454" s="1509">
        <f t="shared" si="508"/>
        <v>0</v>
      </c>
      <c r="N3454" s="1508">
        <f t="shared" si="509"/>
        <v>0</v>
      </c>
      <c r="O3454" s="1481">
        <f t="shared" si="505"/>
        <v>0</v>
      </c>
      <c r="P3454" s="1427">
        <f t="shared" si="506"/>
        <v>0</v>
      </c>
    </row>
    <row r="3455" spans="1:16" ht="31" outlineLevel="1" x14ac:dyDescent="0.25">
      <c r="A3455" s="1486">
        <f t="shared" si="510"/>
        <v>17</v>
      </c>
      <c r="B3455" s="1491" t="str">
        <f t="shared" si="510"/>
        <v>Procurement of moving blades for LP Turbine, Control Fluid Pumps &amp; AOP of 500MW Unit 5,6 &amp;7</v>
      </c>
      <c r="C3455" s="1486" t="str">
        <f t="shared" si="510"/>
        <v>MERC/TECH 1/CAPEX/20142015/0010</v>
      </c>
      <c r="D3455" s="1487">
        <f t="shared" si="510"/>
        <v>41928</v>
      </c>
      <c r="E3455" s="1383">
        <f t="shared" si="510"/>
        <v>19.310244699999998</v>
      </c>
      <c r="F3455" s="1480">
        <f t="shared" si="503"/>
        <v>0</v>
      </c>
      <c r="G3455" s="1480">
        <f t="shared" si="504"/>
        <v>0</v>
      </c>
      <c r="H3455" s="1480">
        <f t="shared" si="507"/>
        <v>0</v>
      </c>
      <c r="I3455" s="1480">
        <v>0</v>
      </c>
      <c r="J3455" s="1480">
        <v>0</v>
      </c>
      <c r="K3455" s="1480"/>
      <c r="L3455" s="1480"/>
      <c r="M3455" s="1480">
        <f t="shared" si="508"/>
        <v>0</v>
      </c>
      <c r="N3455" s="1480">
        <f t="shared" si="509"/>
        <v>0</v>
      </c>
      <c r="O3455" s="1481">
        <f t="shared" si="505"/>
        <v>0</v>
      </c>
      <c r="P3455" s="1427">
        <f t="shared" si="506"/>
        <v>0</v>
      </c>
    </row>
    <row r="3456" spans="1:16" ht="62" outlineLevel="1" x14ac:dyDescent="0.25">
      <c r="A3456" s="1488">
        <f t="shared" ref="A3456:E3471" si="511">A2786</f>
        <v>17.100000000000001</v>
      </c>
      <c r="B3456" s="1492" t="str">
        <f t="shared" si="511"/>
        <v>Moving blades for LPT—2L
Moving blades for LPT—2R
Moving blades for LPT—3L
Moving blades for LPT—3R</v>
      </c>
      <c r="C3456" s="1488" t="str">
        <f t="shared" si="511"/>
        <v>MERC/TECH 1/CAPEX/20142015/0010</v>
      </c>
      <c r="D3456" s="1413">
        <f t="shared" si="511"/>
        <v>41928</v>
      </c>
      <c r="E3456" s="560">
        <f t="shared" si="511"/>
        <v>13.5092</v>
      </c>
      <c r="F3456" s="1508">
        <f t="shared" si="503"/>
        <v>5.3885199799999999</v>
      </c>
      <c r="G3456" s="1508">
        <f t="shared" si="504"/>
        <v>5.3885199799999999</v>
      </c>
      <c r="H3456" s="1508">
        <f t="shared" si="507"/>
        <v>0</v>
      </c>
      <c r="I3456" s="1480">
        <v>0</v>
      </c>
      <c r="J3456" s="1480">
        <v>0</v>
      </c>
      <c r="K3456" s="1508"/>
      <c r="L3456" s="1508"/>
      <c r="M3456" s="1509">
        <f t="shared" si="508"/>
        <v>0</v>
      </c>
      <c r="N3456" s="1508">
        <f t="shared" si="509"/>
        <v>0</v>
      </c>
      <c r="O3456" s="1481">
        <f t="shared" si="505"/>
        <v>0</v>
      </c>
      <c r="P3456" s="1427">
        <f t="shared" si="506"/>
        <v>0</v>
      </c>
    </row>
    <row r="3457" spans="1:16" ht="93" outlineLevel="1" x14ac:dyDescent="0.25">
      <c r="A3457" s="1488">
        <f t="shared" si="511"/>
        <v>17.2</v>
      </c>
      <c r="B3457" s="1492" t="str">
        <f t="shared" si="511"/>
        <v>1. Control Fluid Pump for 500 MW Unit-5&amp;6_KSB Make- Type : WKVM 100/1+4
2. Control Fluid Pump for 500 MW Unit-7_KSB Make- Type : WKVM 80/1+3
3. Aux. Oil Pump for Main Turbine of 500 MW Unit-5,6&amp; 7
KSB Make- Type : ETA 150-50VL</v>
      </c>
      <c r="C3457" s="1488" t="str">
        <f t="shared" si="511"/>
        <v>MERC/TECH 1/CAPEX/20142015/0010</v>
      </c>
      <c r="D3457" s="1413">
        <f t="shared" si="511"/>
        <v>41928</v>
      </c>
      <c r="E3457" s="560">
        <f t="shared" si="511"/>
        <v>4.5510447000000003</v>
      </c>
      <c r="F3457" s="1508">
        <f t="shared" si="503"/>
        <v>7.2470200000000009</v>
      </c>
      <c r="G3457" s="1508">
        <f t="shared" si="504"/>
        <v>7.2470200000000009</v>
      </c>
      <c r="H3457" s="1508">
        <f t="shared" si="507"/>
        <v>0</v>
      </c>
      <c r="I3457" s="1480">
        <v>0</v>
      </c>
      <c r="J3457" s="1480">
        <v>0</v>
      </c>
      <c r="K3457" s="1508"/>
      <c r="L3457" s="1508"/>
      <c r="M3457" s="1509">
        <f t="shared" si="508"/>
        <v>0</v>
      </c>
      <c r="N3457" s="1508">
        <f t="shared" si="509"/>
        <v>0</v>
      </c>
      <c r="O3457" s="1481">
        <f t="shared" si="505"/>
        <v>0</v>
      </c>
      <c r="P3457" s="1427">
        <f t="shared" si="506"/>
        <v>0</v>
      </c>
    </row>
    <row r="3458" spans="1:16" ht="31" outlineLevel="1" x14ac:dyDescent="0.25">
      <c r="A3458" s="1482">
        <f t="shared" si="511"/>
        <v>0</v>
      </c>
      <c r="B3458" s="1483" t="str">
        <f t="shared" si="511"/>
        <v>IDC</v>
      </c>
      <c r="C3458" s="1482" t="str">
        <f t="shared" si="511"/>
        <v>MERC/TECH 1/CAPEX/20142015/0010</v>
      </c>
      <c r="D3458" s="1390">
        <f t="shared" si="511"/>
        <v>41928</v>
      </c>
      <c r="E3458" s="560">
        <f t="shared" si="511"/>
        <v>1.25</v>
      </c>
      <c r="F3458" s="1508">
        <f t="shared" si="503"/>
        <v>0</v>
      </c>
      <c r="G3458" s="1508">
        <f t="shared" si="504"/>
        <v>0</v>
      </c>
      <c r="H3458" s="1508">
        <f t="shared" si="507"/>
        <v>0</v>
      </c>
      <c r="I3458" s="1480">
        <v>0</v>
      </c>
      <c r="J3458" s="1480">
        <v>0</v>
      </c>
      <c r="K3458" s="1508"/>
      <c r="L3458" s="1508"/>
      <c r="M3458" s="1509">
        <f t="shared" si="508"/>
        <v>0</v>
      </c>
      <c r="N3458" s="1508">
        <f t="shared" si="509"/>
        <v>0</v>
      </c>
      <c r="O3458" s="1481">
        <f t="shared" si="505"/>
        <v>0</v>
      </c>
      <c r="P3458" s="1427">
        <f t="shared" si="506"/>
        <v>0</v>
      </c>
    </row>
    <row r="3459" spans="1:16" ht="31" outlineLevel="1" x14ac:dyDescent="0.25">
      <c r="A3459" s="1477">
        <f t="shared" si="511"/>
        <v>18</v>
      </c>
      <c r="B3459" s="1478" t="str">
        <f t="shared" si="511"/>
        <v>Procurement of Gear Box &amp; Wear Resistance liners for coal mills of Unit#5&amp;6 &amp; Supply of Gear Box for Coal Mills of Unit#7</v>
      </c>
      <c r="C3459" s="1477" t="str">
        <f t="shared" si="511"/>
        <v>MERC/TECH 1/CAPEX/20142015/01220</v>
      </c>
      <c r="D3459" s="1479">
        <f t="shared" si="511"/>
        <v>41968</v>
      </c>
      <c r="E3459" s="1383">
        <f t="shared" si="511"/>
        <v>11.914453259999998</v>
      </c>
      <c r="F3459" s="1480">
        <f t="shared" si="503"/>
        <v>0</v>
      </c>
      <c r="G3459" s="1480">
        <f t="shared" si="504"/>
        <v>0</v>
      </c>
      <c r="H3459" s="1480">
        <f t="shared" si="507"/>
        <v>0</v>
      </c>
      <c r="I3459" s="1480">
        <v>0</v>
      </c>
      <c r="J3459" s="1480">
        <v>0</v>
      </c>
      <c r="K3459" s="1480"/>
      <c r="L3459" s="1480"/>
      <c r="M3459" s="1480">
        <f t="shared" si="508"/>
        <v>0</v>
      </c>
      <c r="N3459" s="1480">
        <f t="shared" si="509"/>
        <v>0</v>
      </c>
      <c r="O3459" s="1481">
        <f t="shared" si="505"/>
        <v>0</v>
      </c>
      <c r="P3459" s="1427">
        <f t="shared" si="506"/>
        <v>0</v>
      </c>
    </row>
    <row r="3460" spans="1:16" ht="62" outlineLevel="1" x14ac:dyDescent="0.25">
      <c r="A3460" s="1482">
        <f t="shared" si="511"/>
        <v>18.100000000000001</v>
      </c>
      <c r="B3460" s="1483" t="str">
        <f t="shared" si="511"/>
        <v>Complete bevel gear stage consisting of pinion with part nos 100, 106, 107, 109, 110, 158, 159 and gear with part nos 102, 401, 402, 12 X 403 of Flender make Bocholt KMS 850 Gear Boxes of XRP-1043 Coal Mill in Unit#5&amp;6.</v>
      </c>
      <c r="C3460" s="1482" t="str">
        <f t="shared" si="511"/>
        <v>MERC/TECH 1/CAPEX/20142015/01220</v>
      </c>
      <c r="D3460" s="1390">
        <f t="shared" si="511"/>
        <v>41968</v>
      </c>
      <c r="E3460" s="560">
        <f t="shared" si="511"/>
        <v>4.4387999999999996</v>
      </c>
      <c r="F3460" s="1508">
        <f t="shared" si="503"/>
        <v>1.621920096</v>
      </c>
      <c r="G3460" s="1508">
        <f t="shared" si="504"/>
        <v>1.621920096</v>
      </c>
      <c r="H3460" s="1508">
        <f t="shared" si="507"/>
        <v>0</v>
      </c>
      <c r="I3460" s="1480">
        <v>0</v>
      </c>
      <c r="J3460" s="1480">
        <v>0</v>
      </c>
      <c r="K3460" s="1508"/>
      <c r="L3460" s="1508"/>
      <c r="M3460" s="1509">
        <f t="shared" si="508"/>
        <v>0</v>
      </c>
      <c r="N3460" s="1508">
        <f t="shared" si="509"/>
        <v>0</v>
      </c>
      <c r="O3460" s="1481">
        <f t="shared" si="505"/>
        <v>0</v>
      </c>
      <c r="P3460" s="1427">
        <f t="shared" si="506"/>
        <v>0</v>
      </c>
    </row>
    <row r="3461" spans="1:16" ht="31" outlineLevel="1" x14ac:dyDescent="0.25">
      <c r="A3461" s="1482">
        <f t="shared" si="511"/>
        <v>18.2</v>
      </c>
      <c r="B3461" s="1483" t="str">
        <f t="shared" si="511"/>
        <v>Manufacturing, Supply and Application of Wear Resistance Liners inside the mill body of XRP 1043 Coal Mill in unit-5&amp;6</v>
      </c>
      <c r="C3461" s="1482" t="str">
        <f t="shared" si="511"/>
        <v>MERC/TECH 1/CAPEX/20142015/01220</v>
      </c>
      <c r="D3461" s="1390">
        <f t="shared" si="511"/>
        <v>41968</v>
      </c>
      <c r="E3461" s="560">
        <f t="shared" si="511"/>
        <v>2.2756532600000003</v>
      </c>
      <c r="F3461" s="1508">
        <f t="shared" si="503"/>
        <v>2.2756532600000003</v>
      </c>
      <c r="G3461" s="1508">
        <f t="shared" si="504"/>
        <v>2.2756532600000003</v>
      </c>
      <c r="H3461" s="1508">
        <f t="shared" si="507"/>
        <v>0</v>
      </c>
      <c r="I3461" s="1480">
        <v>0</v>
      </c>
      <c r="J3461" s="1480">
        <v>0</v>
      </c>
      <c r="K3461" s="1508"/>
      <c r="L3461" s="1508"/>
      <c r="M3461" s="1509">
        <f t="shared" si="508"/>
        <v>0</v>
      </c>
      <c r="N3461" s="1508">
        <f t="shared" si="509"/>
        <v>0</v>
      </c>
      <c r="O3461" s="1481">
        <f t="shared" si="505"/>
        <v>0</v>
      </c>
      <c r="P3461" s="1427">
        <f t="shared" si="506"/>
        <v>0</v>
      </c>
    </row>
    <row r="3462" spans="1:16" ht="62" outlineLevel="1" x14ac:dyDescent="0.25">
      <c r="A3462" s="1482">
        <f t="shared" si="511"/>
        <v>18.3</v>
      </c>
      <c r="B3462" s="1483" t="str">
        <f t="shared" si="511"/>
        <v>Complete Gear Box type H2C630 without coupling, without lubrication unit. As per order CMD ref: 20/0900212-GA Dwg No 524932 and as per attached list for main reducer gear box of coal mill BBD 4772 in Unit#7.</v>
      </c>
      <c r="C3462" s="1482" t="str">
        <f t="shared" si="511"/>
        <v>MERC/TECH 1/CAPEX/20142015/01220</v>
      </c>
      <c r="D3462" s="1390">
        <f t="shared" si="511"/>
        <v>41968</v>
      </c>
      <c r="E3462" s="560">
        <f t="shared" si="511"/>
        <v>4.4664999999999999</v>
      </c>
      <c r="F3462" s="1508">
        <f t="shared" si="503"/>
        <v>2.2257651389999999</v>
      </c>
      <c r="G3462" s="1508">
        <f t="shared" si="504"/>
        <v>2.2257651389999999</v>
      </c>
      <c r="H3462" s="1508">
        <f t="shared" si="507"/>
        <v>0</v>
      </c>
      <c r="I3462" s="1480">
        <v>0</v>
      </c>
      <c r="J3462" s="1480">
        <v>0</v>
      </c>
      <c r="K3462" s="1508"/>
      <c r="L3462" s="1508"/>
      <c r="M3462" s="1509">
        <f t="shared" si="508"/>
        <v>0</v>
      </c>
      <c r="N3462" s="1508">
        <f t="shared" si="509"/>
        <v>0</v>
      </c>
      <c r="O3462" s="1481">
        <f t="shared" si="505"/>
        <v>0</v>
      </c>
      <c r="P3462" s="1427">
        <f t="shared" si="506"/>
        <v>0</v>
      </c>
    </row>
    <row r="3463" spans="1:16" ht="31" outlineLevel="1" x14ac:dyDescent="0.25">
      <c r="A3463" s="1482">
        <f t="shared" si="511"/>
        <v>0</v>
      </c>
      <c r="B3463" s="1483" t="str">
        <f t="shared" si="511"/>
        <v>IDC</v>
      </c>
      <c r="C3463" s="1482" t="str">
        <f t="shared" si="511"/>
        <v>MERC/TECH 1/CAPEX/20142015/01220</v>
      </c>
      <c r="D3463" s="1390">
        <f t="shared" si="511"/>
        <v>41968</v>
      </c>
      <c r="E3463" s="560">
        <f t="shared" si="511"/>
        <v>0.73350000000000004</v>
      </c>
      <c r="F3463" s="1508">
        <f t="shared" si="503"/>
        <v>0</v>
      </c>
      <c r="G3463" s="1508">
        <f t="shared" si="504"/>
        <v>0</v>
      </c>
      <c r="H3463" s="1508">
        <f t="shared" si="507"/>
        <v>0</v>
      </c>
      <c r="I3463" s="1480">
        <v>0</v>
      </c>
      <c r="J3463" s="1480">
        <v>0</v>
      </c>
      <c r="K3463" s="1508"/>
      <c r="L3463" s="1508"/>
      <c r="M3463" s="1509">
        <f t="shared" si="508"/>
        <v>0</v>
      </c>
      <c r="N3463" s="1508">
        <f t="shared" si="509"/>
        <v>0</v>
      </c>
      <c r="O3463" s="1481">
        <f t="shared" si="505"/>
        <v>0</v>
      </c>
      <c r="P3463" s="1427">
        <f t="shared" si="506"/>
        <v>0</v>
      </c>
    </row>
    <row r="3464" spans="1:16" ht="31" outlineLevel="1" x14ac:dyDescent="0.25">
      <c r="A3464" s="1477">
        <f t="shared" si="511"/>
        <v>19</v>
      </c>
      <c r="B3464" s="1478" t="str">
        <f t="shared" si="511"/>
        <v>Procurement &amp; Replacement of Condenser tubes for 500MW Unit-6 &amp; BFP cartridge for Unit 5, 6 &amp; 7</v>
      </c>
      <c r="C3464" s="1477" t="str">
        <f t="shared" si="511"/>
        <v>MERC/TECH 1/CAPEX/20142015/00950</v>
      </c>
      <c r="D3464" s="1479">
        <f t="shared" si="511"/>
        <v>41893</v>
      </c>
      <c r="E3464" s="1383">
        <f t="shared" si="511"/>
        <v>13.163734</v>
      </c>
      <c r="F3464" s="1480">
        <f t="shared" si="503"/>
        <v>0</v>
      </c>
      <c r="G3464" s="1480">
        <f t="shared" si="504"/>
        <v>0</v>
      </c>
      <c r="H3464" s="1480">
        <f t="shared" si="507"/>
        <v>0</v>
      </c>
      <c r="I3464" s="1480">
        <v>0</v>
      </c>
      <c r="J3464" s="1480">
        <v>0</v>
      </c>
      <c r="K3464" s="1480"/>
      <c r="L3464" s="1480"/>
      <c r="M3464" s="1480">
        <f t="shared" si="508"/>
        <v>0</v>
      </c>
      <c r="N3464" s="1480">
        <f t="shared" si="509"/>
        <v>0</v>
      </c>
      <c r="O3464" s="1481">
        <f t="shared" si="505"/>
        <v>0</v>
      </c>
      <c r="P3464" s="1427">
        <f t="shared" si="506"/>
        <v>0</v>
      </c>
    </row>
    <row r="3465" spans="1:16" ht="31" outlineLevel="1" x14ac:dyDescent="0.25">
      <c r="A3465" s="1482">
        <f t="shared" si="511"/>
        <v>19.100000000000001</v>
      </c>
      <c r="B3465" s="1483" t="str">
        <f t="shared" si="511"/>
        <v>Procurement of Cartridge Assembly for Boiler Feed Pump type FK 4E 36</v>
      </c>
      <c r="C3465" s="1482" t="str">
        <f t="shared" si="511"/>
        <v>MERC/TECH 1/CAPEX/20142015/00950</v>
      </c>
      <c r="D3465" s="1390">
        <f t="shared" si="511"/>
        <v>41893</v>
      </c>
      <c r="E3465" s="560">
        <f t="shared" si="511"/>
        <v>4.87</v>
      </c>
      <c r="F3465" s="1508">
        <f t="shared" si="503"/>
        <v>2.8937499999999998</v>
      </c>
      <c r="G3465" s="1508">
        <f t="shared" si="504"/>
        <v>2.8937499999999998</v>
      </c>
      <c r="H3465" s="1508">
        <f t="shared" si="507"/>
        <v>0</v>
      </c>
      <c r="I3465" s="1480">
        <v>0</v>
      </c>
      <c r="J3465" s="1480">
        <v>0</v>
      </c>
      <c r="K3465" s="1508"/>
      <c r="L3465" s="1508"/>
      <c r="M3465" s="1509">
        <f t="shared" si="508"/>
        <v>0</v>
      </c>
      <c r="N3465" s="1508">
        <f t="shared" si="509"/>
        <v>0</v>
      </c>
      <c r="O3465" s="1481">
        <f t="shared" si="505"/>
        <v>0</v>
      </c>
      <c r="P3465" s="1427">
        <f t="shared" si="506"/>
        <v>0</v>
      </c>
    </row>
    <row r="3466" spans="1:16" ht="31" outlineLevel="1" x14ac:dyDescent="0.25">
      <c r="A3466" s="1482">
        <f t="shared" si="511"/>
        <v>19.2</v>
      </c>
      <c r="B3466" s="1483" t="str">
        <f t="shared" si="511"/>
        <v>Procurement &amp; Replacement of Condenser tubes for 500MW Unit-6</v>
      </c>
      <c r="C3466" s="1482" t="str">
        <f t="shared" si="511"/>
        <v>MERC/TECH 1/CAPEX/20142015/00950</v>
      </c>
      <c r="D3466" s="1390">
        <f t="shared" si="511"/>
        <v>41893</v>
      </c>
      <c r="E3466" s="560">
        <f t="shared" si="511"/>
        <v>7.0937340000000004</v>
      </c>
      <c r="F3466" s="1508">
        <f t="shared" si="503"/>
        <v>6.1698368290000003</v>
      </c>
      <c r="G3466" s="1508">
        <f t="shared" si="504"/>
        <v>6.1698368290000003</v>
      </c>
      <c r="H3466" s="1508">
        <f t="shared" si="507"/>
        <v>0</v>
      </c>
      <c r="I3466" s="1480">
        <v>0</v>
      </c>
      <c r="J3466" s="1480">
        <v>0</v>
      </c>
      <c r="K3466" s="1508"/>
      <c r="L3466" s="1508"/>
      <c r="M3466" s="1509">
        <f t="shared" si="508"/>
        <v>0</v>
      </c>
      <c r="N3466" s="1508">
        <f t="shared" si="509"/>
        <v>0</v>
      </c>
      <c r="O3466" s="1481">
        <f t="shared" si="505"/>
        <v>0</v>
      </c>
      <c r="P3466" s="1427">
        <f t="shared" si="506"/>
        <v>0</v>
      </c>
    </row>
    <row r="3467" spans="1:16" ht="31" outlineLevel="1" x14ac:dyDescent="0.25">
      <c r="A3467" s="1482">
        <f t="shared" si="511"/>
        <v>0</v>
      </c>
      <c r="B3467" s="1483" t="str">
        <f t="shared" si="511"/>
        <v>IDC</v>
      </c>
      <c r="C3467" s="1482" t="str">
        <f t="shared" si="511"/>
        <v>MERC/TECH 1/CAPEX/20142015/00950</v>
      </c>
      <c r="D3467" s="1390">
        <f t="shared" si="511"/>
        <v>41893</v>
      </c>
      <c r="E3467" s="560">
        <f t="shared" si="511"/>
        <v>1.2</v>
      </c>
      <c r="F3467" s="1508">
        <f t="shared" si="503"/>
        <v>0</v>
      </c>
      <c r="G3467" s="1508">
        <f t="shared" si="504"/>
        <v>0</v>
      </c>
      <c r="H3467" s="1508">
        <f t="shared" si="507"/>
        <v>0</v>
      </c>
      <c r="I3467" s="1480">
        <v>0</v>
      </c>
      <c r="J3467" s="1480">
        <v>0</v>
      </c>
      <c r="K3467" s="1508"/>
      <c r="L3467" s="1508"/>
      <c r="M3467" s="1509">
        <f t="shared" si="508"/>
        <v>0</v>
      </c>
      <c r="N3467" s="1508">
        <f t="shared" si="509"/>
        <v>0</v>
      </c>
      <c r="O3467" s="1481">
        <f t="shared" si="505"/>
        <v>0</v>
      </c>
      <c r="P3467" s="1427">
        <f t="shared" si="506"/>
        <v>0</v>
      </c>
    </row>
    <row r="3468" spans="1:16" ht="31" outlineLevel="1" x14ac:dyDescent="0.25">
      <c r="A3468" s="1477">
        <f t="shared" si="511"/>
        <v>20</v>
      </c>
      <c r="B3468" s="1478" t="str">
        <f t="shared" si="511"/>
        <v>210/500 MW CHP performance improvement</v>
      </c>
      <c r="C3468" s="1477" t="str">
        <f t="shared" si="511"/>
        <v>MERC/Cell No. 1/CAPEX/ 20152016/00634</v>
      </c>
      <c r="D3468" s="1479">
        <f t="shared" si="511"/>
        <v>42256</v>
      </c>
      <c r="E3468" s="1383">
        <f t="shared" si="511"/>
        <v>16.303000000000001</v>
      </c>
      <c r="F3468" s="1480">
        <f t="shared" si="503"/>
        <v>0</v>
      </c>
      <c r="G3468" s="1480">
        <f t="shared" si="504"/>
        <v>0</v>
      </c>
      <c r="H3468" s="1480">
        <f t="shared" si="507"/>
        <v>0</v>
      </c>
      <c r="I3468" s="1480">
        <v>0</v>
      </c>
      <c r="J3468" s="1480">
        <v>0</v>
      </c>
      <c r="K3468" s="1480"/>
      <c r="L3468" s="1480"/>
      <c r="M3468" s="1480">
        <f t="shared" si="508"/>
        <v>0</v>
      </c>
      <c r="N3468" s="1480">
        <f t="shared" si="509"/>
        <v>0</v>
      </c>
      <c r="O3468" s="1481">
        <f t="shared" si="505"/>
        <v>0</v>
      </c>
      <c r="P3468" s="1427">
        <f t="shared" si="506"/>
        <v>0</v>
      </c>
    </row>
    <row r="3469" spans="1:16" ht="31" outlineLevel="1" x14ac:dyDescent="0.25">
      <c r="A3469" s="1482">
        <f t="shared" si="511"/>
        <v>20.100000000000001</v>
      </c>
      <c r="B3469" s="1483" t="str">
        <f t="shared" si="511"/>
        <v>Provision of over band suspended magnets for CHP-C.</v>
      </c>
      <c r="C3469" s="1482" t="str">
        <f t="shared" si="511"/>
        <v>MERC/Cell No. 1/CAPEX/ 20152016/00634</v>
      </c>
      <c r="D3469" s="1390">
        <f t="shared" si="511"/>
        <v>42256</v>
      </c>
      <c r="E3469" s="560">
        <f t="shared" si="511"/>
        <v>1.077</v>
      </c>
      <c r="F3469" s="1508">
        <f t="shared" si="503"/>
        <v>0.90834481999999994</v>
      </c>
      <c r="G3469" s="1508">
        <f t="shared" si="504"/>
        <v>0.90834481999999994</v>
      </c>
      <c r="H3469" s="1508">
        <f t="shared" si="507"/>
        <v>0</v>
      </c>
      <c r="I3469" s="1480">
        <v>0</v>
      </c>
      <c r="J3469" s="1480">
        <v>0</v>
      </c>
      <c r="K3469" s="1508"/>
      <c r="L3469" s="1508"/>
      <c r="M3469" s="1509">
        <f t="shared" si="508"/>
        <v>0</v>
      </c>
      <c r="N3469" s="1508">
        <f t="shared" si="509"/>
        <v>0</v>
      </c>
      <c r="O3469" s="1481">
        <f t="shared" si="505"/>
        <v>0</v>
      </c>
      <c r="P3469" s="1427">
        <f t="shared" si="506"/>
        <v>0</v>
      </c>
    </row>
    <row r="3470" spans="1:16" ht="62" outlineLevel="1" x14ac:dyDescent="0.25">
      <c r="A3470" s="1482">
        <f t="shared" si="511"/>
        <v>20.2</v>
      </c>
      <c r="B3470" s="1483" t="str">
        <f t="shared" si="511"/>
        <v>1. Procurement of HT contactor for bunkering side auxiliary at CHP B
2. Procurement of HT contactor for unloading side Critical Auxiliary at CHP-B</v>
      </c>
      <c r="C3470" s="1482" t="str">
        <f t="shared" si="511"/>
        <v>MERC/Cell No. 1/CAPEX/ 20152016/00634</v>
      </c>
      <c r="D3470" s="1390">
        <f t="shared" si="511"/>
        <v>42256</v>
      </c>
      <c r="E3470" s="560">
        <f t="shared" si="511"/>
        <v>5.7590000000000003</v>
      </c>
      <c r="F3470" s="1508">
        <f t="shared" si="503"/>
        <v>2.894304</v>
      </c>
      <c r="G3470" s="1508">
        <f t="shared" si="504"/>
        <v>2.894304</v>
      </c>
      <c r="H3470" s="1508">
        <f t="shared" si="507"/>
        <v>0</v>
      </c>
      <c r="I3470" s="1480">
        <v>0</v>
      </c>
      <c r="J3470" s="1480">
        <v>0</v>
      </c>
      <c r="K3470" s="1508"/>
      <c r="L3470" s="1508"/>
      <c r="M3470" s="1509">
        <f t="shared" si="508"/>
        <v>0</v>
      </c>
      <c r="N3470" s="1508">
        <f t="shared" si="509"/>
        <v>0</v>
      </c>
      <c r="O3470" s="1481">
        <f t="shared" si="505"/>
        <v>0</v>
      </c>
      <c r="P3470" s="1427">
        <f t="shared" si="506"/>
        <v>0</v>
      </c>
    </row>
    <row r="3471" spans="1:16" ht="31" outlineLevel="1" x14ac:dyDescent="0.25">
      <c r="A3471" s="1482">
        <f t="shared" si="511"/>
        <v>20.3</v>
      </c>
      <c r="B3471" s="1483" t="str">
        <f t="shared" si="511"/>
        <v>Bulldozer BD-155</v>
      </c>
      <c r="C3471" s="1482" t="str">
        <f t="shared" si="511"/>
        <v>MERC/Cell No. 1/CAPEX/ 20152016/00634</v>
      </c>
      <c r="D3471" s="1390">
        <f t="shared" si="511"/>
        <v>42256</v>
      </c>
      <c r="E3471" s="560">
        <f t="shared" si="511"/>
        <v>5.12</v>
      </c>
      <c r="F3471" s="1508">
        <f t="shared" si="503"/>
        <v>7.9707386820000004</v>
      </c>
      <c r="G3471" s="1508">
        <f t="shared" si="504"/>
        <v>7.9707386820000004</v>
      </c>
      <c r="H3471" s="1508">
        <f t="shared" si="507"/>
        <v>0</v>
      </c>
      <c r="I3471" s="1480">
        <v>0</v>
      </c>
      <c r="J3471" s="1480">
        <v>0</v>
      </c>
      <c r="K3471" s="1508"/>
      <c r="L3471" s="1508"/>
      <c r="M3471" s="1509">
        <f t="shared" si="508"/>
        <v>0</v>
      </c>
      <c r="N3471" s="1508">
        <f t="shared" si="509"/>
        <v>0</v>
      </c>
      <c r="O3471" s="1481">
        <f t="shared" si="505"/>
        <v>0</v>
      </c>
      <c r="P3471" s="1427">
        <f t="shared" si="506"/>
        <v>0</v>
      </c>
    </row>
    <row r="3472" spans="1:16" ht="31" outlineLevel="1" x14ac:dyDescent="0.25">
      <c r="A3472" s="1482">
        <f t="shared" ref="A3472:E3487" si="512">A2802</f>
        <v>20.399999999999999</v>
      </c>
      <c r="B3472" s="1483" t="str">
        <f t="shared" si="512"/>
        <v>Modification of wagon tippler CHP-A</v>
      </c>
      <c r="C3472" s="1482" t="str">
        <f t="shared" si="512"/>
        <v>MERC/Cell No. 1/CAPEX/ 20152016/00634</v>
      </c>
      <c r="D3472" s="1390">
        <f t="shared" si="512"/>
        <v>42256</v>
      </c>
      <c r="E3472" s="560">
        <f t="shared" si="512"/>
        <v>3.8969999999999998</v>
      </c>
      <c r="F3472" s="1508">
        <f t="shared" si="503"/>
        <v>4.488435977</v>
      </c>
      <c r="G3472" s="1508">
        <f t="shared" si="504"/>
        <v>4.488435977</v>
      </c>
      <c r="H3472" s="1508">
        <f t="shared" si="507"/>
        <v>0</v>
      </c>
      <c r="I3472" s="1480">
        <v>0</v>
      </c>
      <c r="J3472" s="1480">
        <v>0</v>
      </c>
      <c r="K3472" s="1508"/>
      <c r="L3472" s="1508"/>
      <c r="M3472" s="1509">
        <f t="shared" si="508"/>
        <v>0</v>
      </c>
      <c r="N3472" s="1508">
        <f t="shared" si="509"/>
        <v>0</v>
      </c>
      <c r="O3472" s="1481">
        <f t="shared" si="505"/>
        <v>0</v>
      </c>
      <c r="P3472" s="1427">
        <f t="shared" si="506"/>
        <v>0</v>
      </c>
    </row>
    <row r="3473" spans="1:16" ht="31" outlineLevel="1" x14ac:dyDescent="0.25">
      <c r="A3473" s="1482">
        <f t="shared" si="512"/>
        <v>0</v>
      </c>
      <c r="B3473" s="1483" t="str">
        <f t="shared" si="512"/>
        <v>IDC</v>
      </c>
      <c r="C3473" s="1482" t="str">
        <f t="shared" si="512"/>
        <v>MERC/Cell No. 1/CAPEX/ 20152016/00634</v>
      </c>
      <c r="D3473" s="1390">
        <f t="shared" si="512"/>
        <v>42256</v>
      </c>
      <c r="E3473" s="560">
        <f t="shared" si="512"/>
        <v>0.45</v>
      </c>
      <c r="F3473" s="1508">
        <f t="shared" si="503"/>
        <v>0</v>
      </c>
      <c r="G3473" s="1508">
        <f t="shared" si="504"/>
        <v>0</v>
      </c>
      <c r="H3473" s="1508">
        <f t="shared" si="507"/>
        <v>0</v>
      </c>
      <c r="I3473" s="1480">
        <v>0</v>
      </c>
      <c r="J3473" s="1480">
        <v>0</v>
      </c>
      <c r="K3473" s="1508"/>
      <c r="L3473" s="1508"/>
      <c r="M3473" s="1509">
        <f t="shared" si="508"/>
        <v>0</v>
      </c>
      <c r="N3473" s="1508">
        <f t="shared" si="509"/>
        <v>0</v>
      </c>
      <c r="O3473" s="1481">
        <f t="shared" si="505"/>
        <v>0</v>
      </c>
      <c r="P3473" s="1427">
        <f t="shared" si="506"/>
        <v>0</v>
      </c>
    </row>
    <row r="3474" spans="1:16" ht="15.5" outlineLevel="1" x14ac:dyDescent="0.25">
      <c r="A3474" s="1489">
        <f t="shared" si="512"/>
        <v>21</v>
      </c>
      <c r="B3474" s="1490" t="str">
        <f t="shared" si="512"/>
        <v>Improvement in Electrical Systems</v>
      </c>
      <c r="C3474" s="1477" t="str">
        <f t="shared" si="512"/>
        <v>MERC/CAPEX/20162017/00192</v>
      </c>
      <c r="D3474" s="1479">
        <f t="shared" si="512"/>
        <v>42500</v>
      </c>
      <c r="E3474" s="1383">
        <f t="shared" si="512"/>
        <v>10.499999999999998</v>
      </c>
      <c r="F3474" s="1480">
        <f t="shared" si="503"/>
        <v>0</v>
      </c>
      <c r="G3474" s="1480">
        <f t="shared" si="504"/>
        <v>0</v>
      </c>
      <c r="H3474" s="1480">
        <f t="shared" si="507"/>
        <v>0</v>
      </c>
      <c r="I3474" s="1480">
        <v>0</v>
      </c>
      <c r="J3474" s="1480">
        <v>0</v>
      </c>
      <c r="K3474" s="1480"/>
      <c r="L3474" s="1480"/>
      <c r="M3474" s="1480">
        <f t="shared" si="508"/>
        <v>0</v>
      </c>
      <c r="N3474" s="1480">
        <f t="shared" si="509"/>
        <v>0</v>
      </c>
      <c r="O3474" s="1481">
        <f t="shared" si="505"/>
        <v>0</v>
      </c>
      <c r="P3474" s="1427">
        <f t="shared" si="506"/>
        <v>0</v>
      </c>
    </row>
    <row r="3475" spans="1:16" ht="31" outlineLevel="1" x14ac:dyDescent="0.25">
      <c r="A3475" s="1484">
        <f t="shared" si="512"/>
        <v>21.1</v>
      </c>
      <c r="B3475" s="1485" t="str">
        <f t="shared" si="512"/>
        <v>Station Battery set 1 &amp; 2 of 220V, 2190  AH Capacity (2V X 110 Cells) New type Make- Exide</v>
      </c>
      <c r="C3475" s="1482" t="str">
        <f t="shared" si="512"/>
        <v>MERC/CAPEX/20162017/00192</v>
      </c>
      <c r="D3475" s="1390">
        <f t="shared" si="512"/>
        <v>42500</v>
      </c>
      <c r="E3475" s="560">
        <f t="shared" si="512"/>
        <v>2.71</v>
      </c>
      <c r="F3475" s="1508">
        <f t="shared" si="503"/>
        <v>3.7130741999999999</v>
      </c>
      <c r="G3475" s="1508">
        <f t="shared" si="504"/>
        <v>3.7130741</v>
      </c>
      <c r="H3475" s="1508">
        <f t="shared" si="507"/>
        <v>9.9999999836342113E-8</v>
      </c>
      <c r="I3475" s="1480">
        <v>0</v>
      </c>
      <c r="J3475" s="1480">
        <v>0</v>
      </c>
      <c r="K3475" s="1508"/>
      <c r="L3475" s="1508"/>
      <c r="M3475" s="1509">
        <f t="shared" si="508"/>
        <v>0</v>
      </c>
      <c r="N3475" s="1508">
        <f t="shared" si="509"/>
        <v>9.9999999836342113E-8</v>
      </c>
      <c r="O3475" s="1481">
        <f t="shared" si="505"/>
        <v>0</v>
      </c>
      <c r="P3475" s="1427">
        <f t="shared" si="506"/>
        <v>0</v>
      </c>
    </row>
    <row r="3476" spans="1:16" ht="31" outlineLevel="1" x14ac:dyDescent="0.25">
      <c r="A3476" s="1484">
        <f t="shared" si="512"/>
        <v>21.2</v>
      </c>
      <c r="B3476" s="1485" t="str">
        <f t="shared" si="512"/>
        <v>The G1 &amp; G2 Battery sets of 24V, 1825AH Capacity (13 Nos. cells X 2= 26 Nos. cells) plantetype Make- Exide</v>
      </c>
      <c r="C3476" s="1482" t="str">
        <f t="shared" si="512"/>
        <v>MERC/CAPEX/20162017/00192</v>
      </c>
      <c r="D3476" s="1390">
        <f t="shared" si="512"/>
        <v>42500</v>
      </c>
      <c r="E3476" s="560">
        <f t="shared" si="512"/>
        <v>0.55000000000000004</v>
      </c>
      <c r="F3476" s="1508">
        <f t="shared" si="503"/>
        <v>0.53016459999999999</v>
      </c>
      <c r="G3476" s="1508">
        <f t="shared" si="504"/>
        <v>0.53016459999999999</v>
      </c>
      <c r="H3476" s="1508">
        <f t="shared" si="507"/>
        <v>0</v>
      </c>
      <c r="I3476" s="1480">
        <v>0</v>
      </c>
      <c r="J3476" s="1480">
        <v>0</v>
      </c>
      <c r="K3476" s="1508"/>
      <c r="L3476" s="1508"/>
      <c r="M3476" s="1509">
        <f t="shared" si="508"/>
        <v>0</v>
      </c>
      <c r="N3476" s="1508">
        <f t="shared" si="509"/>
        <v>0</v>
      </c>
      <c r="O3476" s="1481">
        <f t="shared" si="505"/>
        <v>0</v>
      </c>
      <c r="P3476" s="1427">
        <f t="shared" si="506"/>
        <v>0</v>
      </c>
    </row>
    <row r="3477" spans="1:16" ht="31" outlineLevel="1" x14ac:dyDescent="0.25">
      <c r="A3477" s="1484">
        <f t="shared" si="512"/>
        <v>21.3</v>
      </c>
      <c r="B3477" s="1485" t="str">
        <f t="shared" si="512"/>
        <v>Replacement of 6.6 KV HT breakers at Ash Handling Plant by 6.6 KV SF6 contactors  suitable for frequent ON/OFFs.</v>
      </c>
      <c r="C3477" s="1482" t="str">
        <f t="shared" si="512"/>
        <v>MERC/CAPEX/20162017/00192</v>
      </c>
      <c r="D3477" s="1390">
        <f t="shared" si="512"/>
        <v>42500</v>
      </c>
      <c r="E3477" s="560">
        <f t="shared" si="512"/>
        <v>3.12</v>
      </c>
      <c r="F3477" s="1508">
        <f t="shared" si="503"/>
        <v>3.5539240080000001</v>
      </c>
      <c r="G3477" s="1508">
        <f t="shared" si="504"/>
        <v>3.5539240080000001</v>
      </c>
      <c r="H3477" s="1508">
        <f t="shared" si="507"/>
        <v>0</v>
      </c>
      <c r="I3477" s="1480">
        <v>0</v>
      </c>
      <c r="J3477" s="1480">
        <v>0</v>
      </c>
      <c r="K3477" s="1508"/>
      <c r="L3477" s="1508"/>
      <c r="M3477" s="1509">
        <f t="shared" si="508"/>
        <v>0</v>
      </c>
      <c r="N3477" s="1508">
        <f t="shared" si="509"/>
        <v>0</v>
      </c>
      <c r="O3477" s="1481">
        <f t="shared" si="505"/>
        <v>0</v>
      </c>
      <c r="P3477" s="1427">
        <f t="shared" si="506"/>
        <v>0</v>
      </c>
    </row>
    <row r="3478" spans="1:16" ht="15.5" outlineLevel="1" x14ac:dyDescent="0.25">
      <c r="A3478" s="1484">
        <f t="shared" si="512"/>
        <v>21.4</v>
      </c>
      <c r="B3478" s="1485" t="str">
        <f t="shared" si="512"/>
        <v>Micro-processor based flame scanners at Unit#3&amp;4 (210 MW)</v>
      </c>
      <c r="C3478" s="1482" t="str">
        <f t="shared" si="512"/>
        <v>MERC/CAPEX/20162017/00192</v>
      </c>
      <c r="D3478" s="1390">
        <f t="shared" si="512"/>
        <v>42500</v>
      </c>
      <c r="E3478" s="560">
        <f t="shared" si="512"/>
        <v>2.34</v>
      </c>
      <c r="F3478" s="1508">
        <f t="shared" si="503"/>
        <v>3.3241367359999998</v>
      </c>
      <c r="G3478" s="1508">
        <f t="shared" si="504"/>
        <v>3.3241367359999998</v>
      </c>
      <c r="H3478" s="1508">
        <f t="shared" si="507"/>
        <v>0</v>
      </c>
      <c r="I3478" s="1480">
        <v>0</v>
      </c>
      <c r="J3478" s="1480">
        <v>0</v>
      </c>
      <c r="K3478" s="1508"/>
      <c r="L3478" s="1508"/>
      <c r="M3478" s="1509">
        <f t="shared" si="508"/>
        <v>0</v>
      </c>
      <c r="N3478" s="1508">
        <f t="shared" si="509"/>
        <v>0</v>
      </c>
      <c r="O3478" s="1481">
        <f t="shared" si="505"/>
        <v>0</v>
      </c>
      <c r="P3478" s="1427">
        <f t="shared" si="506"/>
        <v>0</v>
      </c>
    </row>
    <row r="3479" spans="1:16" ht="46.5" outlineLevel="1" x14ac:dyDescent="0.25">
      <c r="A3479" s="1484">
        <f t="shared" si="512"/>
        <v>21.5</v>
      </c>
      <c r="B3479" s="1485" t="str">
        <f t="shared" si="512"/>
        <v>Supply, erection and commissioning of Generator Protection scheme as per enclosed material schedule and scope of work for Unit-6</v>
      </c>
      <c r="C3479" s="1482" t="str">
        <f t="shared" si="512"/>
        <v>MERC/CAPEX/20162017/00192</v>
      </c>
      <c r="D3479" s="1390">
        <f t="shared" si="512"/>
        <v>42500</v>
      </c>
      <c r="E3479" s="560">
        <f t="shared" si="512"/>
        <v>1.03</v>
      </c>
      <c r="F3479" s="1508">
        <f t="shared" si="503"/>
        <v>1.1915800000000001</v>
      </c>
      <c r="G3479" s="1508">
        <f t="shared" si="504"/>
        <v>1.1915800000000001</v>
      </c>
      <c r="H3479" s="1508">
        <f t="shared" si="507"/>
        <v>0</v>
      </c>
      <c r="I3479" s="1480">
        <v>0</v>
      </c>
      <c r="J3479" s="1480">
        <v>0</v>
      </c>
      <c r="K3479" s="1508"/>
      <c r="L3479" s="1508"/>
      <c r="M3479" s="1509">
        <f t="shared" si="508"/>
        <v>0</v>
      </c>
      <c r="N3479" s="1508">
        <f t="shared" si="509"/>
        <v>0</v>
      </c>
      <c r="O3479" s="1481">
        <f t="shared" si="505"/>
        <v>0</v>
      </c>
      <c r="P3479" s="1427">
        <f t="shared" si="506"/>
        <v>0</v>
      </c>
    </row>
    <row r="3480" spans="1:16" ht="15.5" outlineLevel="1" x14ac:dyDescent="0.25">
      <c r="A3480" s="1484">
        <f t="shared" si="512"/>
        <v>0</v>
      </c>
      <c r="B3480" s="1485" t="str">
        <f t="shared" si="512"/>
        <v>IDC</v>
      </c>
      <c r="C3480" s="1482" t="str">
        <f t="shared" si="512"/>
        <v>MERC/CAPEX/20162017/00192</v>
      </c>
      <c r="D3480" s="1390">
        <f t="shared" si="512"/>
        <v>42500</v>
      </c>
      <c r="E3480" s="560">
        <f t="shared" si="512"/>
        <v>0.75</v>
      </c>
      <c r="F3480" s="1508">
        <f t="shared" si="503"/>
        <v>0</v>
      </c>
      <c r="G3480" s="1508">
        <f t="shared" si="504"/>
        <v>0</v>
      </c>
      <c r="H3480" s="1508">
        <f t="shared" si="507"/>
        <v>0</v>
      </c>
      <c r="I3480" s="1480">
        <v>0</v>
      </c>
      <c r="J3480" s="1480">
        <v>0</v>
      </c>
      <c r="K3480" s="1508"/>
      <c r="L3480" s="1508"/>
      <c r="M3480" s="1509">
        <f t="shared" si="508"/>
        <v>0</v>
      </c>
      <c r="N3480" s="1508">
        <f t="shared" si="509"/>
        <v>0</v>
      </c>
      <c r="O3480" s="1481">
        <f t="shared" si="505"/>
        <v>0</v>
      </c>
      <c r="P3480" s="1427">
        <f t="shared" si="506"/>
        <v>0</v>
      </c>
    </row>
    <row r="3481" spans="1:16" ht="31" outlineLevel="1" x14ac:dyDescent="0.25">
      <c r="A3481" s="1489">
        <f t="shared" si="512"/>
        <v>22</v>
      </c>
      <c r="B3481" s="1490" t="str">
        <f t="shared" si="512"/>
        <v>Implementation of MPCB related ESP performance Improvement schemes at Chandrapur STPS Unit 3 to 7</v>
      </c>
      <c r="C3481" s="1486" t="str">
        <f t="shared" si="512"/>
        <v>MERC/CAPEX/20152016/00420</v>
      </c>
      <c r="D3481" s="1487">
        <f t="shared" si="512"/>
        <v>42584</v>
      </c>
      <c r="E3481" s="1383">
        <f t="shared" si="512"/>
        <v>18.170000000000002</v>
      </c>
      <c r="F3481" s="1480">
        <f t="shared" si="503"/>
        <v>0</v>
      </c>
      <c r="G3481" s="1480">
        <f t="shared" si="504"/>
        <v>0</v>
      </c>
      <c r="H3481" s="1480">
        <f t="shared" si="507"/>
        <v>0</v>
      </c>
      <c r="I3481" s="1480">
        <v>0</v>
      </c>
      <c r="J3481" s="1480">
        <v>0</v>
      </c>
      <c r="K3481" s="1480"/>
      <c r="L3481" s="1480"/>
      <c r="M3481" s="1480">
        <f t="shared" si="508"/>
        <v>0</v>
      </c>
      <c r="N3481" s="1480">
        <f t="shared" si="509"/>
        <v>0</v>
      </c>
      <c r="O3481" s="1481">
        <f t="shared" si="505"/>
        <v>0</v>
      </c>
      <c r="P3481" s="1427">
        <f t="shared" si="506"/>
        <v>0</v>
      </c>
    </row>
    <row r="3482" spans="1:16" ht="31" outlineLevel="1" x14ac:dyDescent="0.25">
      <c r="A3482" s="1484">
        <f t="shared" si="512"/>
        <v>22.1</v>
      </c>
      <c r="B3482" s="1485" t="str">
        <f t="shared" si="512"/>
        <v>Supply of internals of ESP. ( model-2FAA-5 X 32-13290-2) 1st &amp; 2nd fields in Unit #3 &amp; Works</v>
      </c>
      <c r="C3482" s="1488" t="str">
        <f t="shared" si="512"/>
        <v>MERC/CAPEX/20152016/00420</v>
      </c>
      <c r="D3482" s="1413">
        <f t="shared" si="512"/>
        <v>42584</v>
      </c>
      <c r="E3482" s="560">
        <f t="shared" si="512"/>
        <v>4.6100000000000003</v>
      </c>
      <c r="F3482" s="1508">
        <f t="shared" si="503"/>
        <v>3.9121787139999999</v>
      </c>
      <c r="G3482" s="1508">
        <f t="shared" si="504"/>
        <v>3.9121787139999999</v>
      </c>
      <c r="H3482" s="1508">
        <f t="shared" si="507"/>
        <v>0</v>
      </c>
      <c r="I3482" s="1480">
        <v>0</v>
      </c>
      <c r="J3482" s="1480">
        <v>0</v>
      </c>
      <c r="K3482" s="1508"/>
      <c r="L3482" s="1508"/>
      <c r="M3482" s="1509">
        <f t="shared" si="508"/>
        <v>0</v>
      </c>
      <c r="N3482" s="1508">
        <f t="shared" si="509"/>
        <v>0</v>
      </c>
      <c r="O3482" s="1481">
        <f t="shared" si="505"/>
        <v>0</v>
      </c>
      <c r="P3482" s="1427">
        <f t="shared" si="506"/>
        <v>0</v>
      </c>
    </row>
    <row r="3483" spans="1:16" ht="31" outlineLevel="1" x14ac:dyDescent="0.25">
      <c r="A3483" s="1484">
        <f t="shared" si="512"/>
        <v>22.2</v>
      </c>
      <c r="B3483" s="1485" t="str">
        <f t="shared" si="512"/>
        <v>Supply of internals of ESP. ( model-2FAA-5 X 32-13290-2) 1st &amp; 2nd fields in Unit #4 &amp; Works</v>
      </c>
      <c r="C3483" s="1488" t="str">
        <f t="shared" si="512"/>
        <v>MERC/CAPEX/20152016/00420</v>
      </c>
      <c r="D3483" s="1413">
        <f t="shared" si="512"/>
        <v>42584</v>
      </c>
      <c r="E3483" s="560">
        <f t="shared" si="512"/>
        <v>4.6100000000000003</v>
      </c>
      <c r="F3483" s="1508">
        <f t="shared" si="503"/>
        <v>4.6100000000000003</v>
      </c>
      <c r="G3483" s="1508">
        <f t="shared" si="504"/>
        <v>4.6100000000000003</v>
      </c>
      <c r="H3483" s="1508">
        <f t="shared" si="507"/>
        <v>0</v>
      </c>
      <c r="I3483" s="1480">
        <v>0</v>
      </c>
      <c r="J3483" s="1480">
        <v>0</v>
      </c>
      <c r="K3483" s="1508"/>
      <c r="L3483" s="1508"/>
      <c r="M3483" s="1509">
        <f t="shared" si="508"/>
        <v>0</v>
      </c>
      <c r="N3483" s="1508">
        <f t="shared" si="509"/>
        <v>0</v>
      </c>
      <c r="O3483" s="1481">
        <f t="shared" si="505"/>
        <v>0</v>
      </c>
      <c r="P3483" s="1427">
        <f t="shared" si="506"/>
        <v>0</v>
      </c>
    </row>
    <row r="3484" spans="1:16" ht="31" outlineLevel="1" x14ac:dyDescent="0.25">
      <c r="A3484" s="1484">
        <f t="shared" si="512"/>
        <v>22.3</v>
      </c>
      <c r="B3484" s="1485" t="str">
        <f t="shared" si="512"/>
        <v>Installation of SOx/ NOx analyzers for unit-3 to 7 along with all required hardware and software (Statutory requirement).</v>
      </c>
      <c r="C3484" s="1482" t="str">
        <f t="shared" si="512"/>
        <v>MERC/CAPEX/20152016/00420</v>
      </c>
      <c r="D3484" s="1390">
        <f t="shared" si="512"/>
        <v>42584</v>
      </c>
      <c r="E3484" s="560">
        <f t="shared" si="512"/>
        <v>2.98</v>
      </c>
      <c r="F3484" s="1508">
        <f t="shared" si="503"/>
        <v>1.37732225</v>
      </c>
      <c r="G3484" s="1508">
        <f t="shared" si="504"/>
        <v>1.37732225</v>
      </c>
      <c r="H3484" s="1508">
        <f t="shared" si="507"/>
        <v>0</v>
      </c>
      <c r="I3484" s="1480">
        <v>0</v>
      </c>
      <c r="J3484" s="1480">
        <v>0</v>
      </c>
      <c r="K3484" s="1508"/>
      <c r="L3484" s="1508"/>
      <c r="M3484" s="1509">
        <f t="shared" si="508"/>
        <v>0</v>
      </c>
      <c r="N3484" s="1508">
        <f t="shared" si="509"/>
        <v>0</v>
      </c>
      <c r="O3484" s="1481">
        <f t="shared" si="505"/>
        <v>0</v>
      </c>
      <c r="P3484" s="1427">
        <f t="shared" si="506"/>
        <v>0</v>
      </c>
    </row>
    <row r="3485" spans="1:16" ht="62" outlineLevel="1" x14ac:dyDescent="0.25">
      <c r="A3485" s="1484">
        <f t="shared" si="512"/>
        <v>22.4</v>
      </c>
      <c r="B3485" s="1485" t="str">
        <f t="shared" si="512"/>
        <v>Design, Engineering, Supply, Erection and Commissioning of High pressure MIST/FOG Generating System at Track hopper, WT 1 &amp; 2 of 500MW, Crusher House, Transfer Points &amp; Bunker house of 500MW</v>
      </c>
      <c r="C3485" s="1488" t="str">
        <f t="shared" si="512"/>
        <v>MERC/CAPEX/20152016/00420</v>
      </c>
      <c r="D3485" s="1413">
        <f t="shared" si="512"/>
        <v>42584</v>
      </c>
      <c r="E3485" s="560">
        <f t="shared" si="512"/>
        <v>5.37</v>
      </c>
      <c r="F3485" s="1508">
        <f t="shared" si="503"/>
        <v>4.5728099999999996</v>
      </c>
      <c r="G3485" s="1508">
        <f t="shared" si="504"/>
        <v>4.5728099999999996</v>
      </c>
      <c r="H3485" s="1508">
        <f t="shared" si="507"/>
        <v>0</v>
      </c>
      <c r="I3485" s="1480">
        <v>0</v>
      </c>
      <c r="J3485" s="1480">
        <v>0</v>
      </c>
      <c r="K3485" s="1508"/>
      <c r="L3485" s="1508"/>
      <c r="M3485" s="1509">
        <f t="shared" si="508"/>
        <v>0</v>
      </c>
      <c r="N3485" s="1508">
        <f t="shared" si="509"/>
        <v>0</v>
      </c>
      <c r="O3485" s="1481">
        <f t="shared" si="505"/>
        <v>0</v>
      </c>
      <c r="P3485" s="1427">
        <f t="shared" si="506"/>
        <v>0</v>
      </c>
    </row>
    <row r="3486" spans="1:16" ht="15.5" outlineLevel="1" x14ac:dyDescent="0.25">
      <c r="A3486" s="1484">
        <f t="shared" si="512"/>
        <v>0</v>
      </c>
      <c r="B3486" s="1485" t="str">
        <f t="shared" si="512"/>
        <v>IDC</v>
      </c>
      <c r="C3486" s="1482" t="str">
        <f t="shared" si="512"/>
        <v>MERC/CAPEX/20152016/00420</v>
      </c>
      <c r="D3486" s="1390">
        <f t="shared" si="512"/>
        <v>42584</v>
      </c>
      <c r="E3486" s="560">
        <f t="shared" si="512"/>
        <v>0.6</v>
      </c>
      <c r="F3486" s="1508">
        <f t="shared" si="503"/>
        <v>0</v>
      </c>
      <c r="G3486" s="1508">
        <f t="shared" si="504"/>
        <v>0</v>
      </c>
      <c r="H3486" s="1508">
        <f t="shared" si="507"/>
        <v>0</v>
      </c>
      <c r="I3486" s="1480">
        <v>0</v>
      </c>
      <c r="J3486" s="1480">
        <v>0</v>
      </c>
      <c r="K3486" s="1508"/>
      <c r="L3486" s="1508"/>
      <c r="M3486" s="1509">
        <f t="shared" si="508"/>
        <v>0</v>
      </c>
      <c r="N3486" s="1508">
        <f t="shared" si="509"/>
        <v>0</v>
      </c>
      <c r="O3486" s="1481">
        <f t="shared" si="505"/>
        <v>0</v>
      </c>
      <c r="P3486" s="1427">
        <f t="shared" si="506"/>
        <v>0</v>
      </c>
    </row>
    <row r="3487" spans="1:16" ht="15.5" outlineLevel="1" x14ac:dyDescent="0.25">
      <c r="A3487" s="1477">
        <f t="shared" si="512"/>
        <v>23</v>
      </c>
      <c r="B3487" s="1478" t="str">
        <f t="shared" si="512"/>
        <v>Performance Improvement &amp; Life enhancement of 500MW CHP-B</v>
      </c>
      <c r="C3487" s="1477" t="str">
        <f t="shared" si="512"/>
        <v>MERC/CAPEX/20162017/01067</v>
      </c>
      <c r="D3487" s="1479">
        <f t="shared" si="512"/>
        <v>42702</v>
      </c>
      <c r="E3487" s="1383">
        <f t="shared" si="512"/>
        <v>18.78</v>
      </c>
      <c r="F3487" s="1480">
        <f t="shared" si="503"/>
        <v>0</v>
      </c>
      <c r="G3487" s="1480">
        <f t="shared" si="504"/>
        <v>0</v>
      </c>
      <c r="H3487" s="1480">
        <f t="shared" si="507"/>
        <v>0</v>
      </c>
      <c r="I3487" s="1480">
        <v>0</v>
      </c>
      <c r="J3487" s="1480">
        <v>0</v>
      </c>
      <c r="K3487" s="1480"/>
      <c r="L3487" s="1480"/>
      <c r="M3487" s="1480">
        <f t="shared" si="508"/>
        <v>0</v>
      </c>
      <c r="N3487" s="1480">
        <f t="shared" si="509"/>
        <v>0</v>
      </c>
      <c r="O3487" s="1481">
        <f t="shared" si="505"/>
        <v>0</v>
      </c>
      <c r="P3487" s="1427">
        <f t="shared" si="506"/>
        <v>0</v>
      </c>
    </row>
    <row r="3488" spans="1:16" ht="15.5" outlineLevel="1" x14ac:dyDescent="0.25">
      <c r="A3488" s="1482">
        <f t="shared" ref="A3488:E3503" si="513">A2818</f>
        <v>23.1</v>
      </c>
      <c r="B3488" s="1483" t="str">
        <f t="shared" si="513"/>
        <v>Life Enhancement of Stacker reclaimer of CHP-B.</v>
      </c>
      <c r="C3488" s="1482" t="str">
        <f t="shared" si="513"/>
        <v>MERC/CAPEX/20162017/01067</v>
      </c>
      <c r="D3488" s="1390">
        <f t="shared" si="513"/>
        <v>42702</v>
      </c>
      <c r="E3488" s="560">
        <f t="shared" si="513"/>
        <v>5.76</v>
      </c>
      <c r="F3488" s="1508">
        <f t="shared" ref="F3488:F3551" si="514">F2818+I2818</f>
        <v>5.2949505139999999</v>
      </c>
      <c r="G3488" s="1508">
        <f t="shared" ref="G3488:G3551" si="515">G2818+M2818</f>
        <v>5.2949505139999999</v>
      </c>
      <c r="H3488" s="1508">
        <f t="shared" si="507"/>
        <v>0</v>
      </c>
      <c r="I3488" s="1480">
        <v>0</v>
      </c>
      <c r="J3488" s="1480">
        <v>0</v>
      </c>
      <c r="K3488" s="1508"/>
      <c r="L3488" s="1508"/>
      <c r="M3488" s="1509">
        <f t="shared" si="508"/>
        <v>0</v>
      </c>
      <c r="N3488" s="1508">
        <f t="shared" si="509"/>
        <v>0</v>
      </c>
      <c r="O3488" s="1481">
        <f t="shared" ref="O3488:O3551" si="516">MAX(0,IF(M3488=0,0,IF(G3488+M3488&lt;E3488,M3488,E3488-G3488)))</f>
        <v>0</v>
      </c>
      <c r="P3488" s="1427">
        <f t="shared" ref="P3488:P3551" si="517">M3488-O3488</f>
        <v>0</v>
      </c>
    </row>
    <row r="3489" spans="1:16" ht="31" outlineLevel="1" x14ac:dyDescent="0.25">
      <c r="A3489" s="1482">
        <f t="shared" si="513"/>
        <v>23.2</v>
      </c>
      <c r="B3489" s="1483" t="str">
        <f t="shared" si="513"/>
        <v>Renovation including replacement of hydraulic system of paddle feeder with up gradations at CHPB.</v>
      </c>
      <c r="C3489" s="1482" t="str">
        <f t="shared" si="513"/>
        <v>MERC/CAPEX/20162017/01067</v>
      </c>
      <c r="D3489" s="1390">
        <f t="shared" si="513"/>
        <v>42702</v>
      </c>
      <c r="E3489" s="560">
        <f t="shared" si="513"/>
        <v>2.19</v>
      </c>
      <c r="F3489" s="1508">
        <f t="shared" si="514"/>
        <v>2.3147547999999998</v>
      </c>
      <c r="G3489" s="1508">
        <f t="shared" si="515"/>
        <v>2.3147547999999998</v>
      </c>
      <c r="H3489" s="1508">
        <f t="shared" ref="H3489:H3544" si="518">F3489-G3489</f>
        <v>0</v>
      </c>
      <c r="I3489" s="1480">
        <v>0</v>
      </c>
      <c r="J3489" s="1480">
        <v>0</v>
      </c>
      <c r="K3489" s="1508"/>
      <c r="L3489" s="1508"/>
      <c r="M3489" s="1509">
        <f t="shared" ref="M3489:M3544" si="519">SUM(J3489:L3489)</f>
        <v>0</v>
      </c>
      <c r="N3489" s="1508">
        <f t="shared" ref="N3489:N3544" si="520">H3489+I3489-M3489</f>
        <v>0</v>
      </c>
      <c r="O3489" s="1481">
        <f t="shared" si="516"/>
        <v>0</v>
      </c>
      <c r="P3489" s="1427">
        <f t="shared" si="517"/>
        <v>0</v>
      </c>
    </row>
    <row r="3490" spans="1:16" ht="31" outlineLevel="1" x14ac:dyDescent="0.25">
      <c r="A3490" s="1482">
        <f t="shared" si="513"/>
        <v>23.3</v>
      </c>
      <c r="B3490" s="1483" t="str">
        <f t="shared" si="513"/>
        <v>Renovation of hydraulic system of wagon tippler and side arm charger with procurement of its essential spares at CHPB.</v>
      </c>
      <c r="C3490" s="1482" t="str">
        <f t="shared" si="513"/>
        <v>MERC/CAPEX/20162017/01067</v>
      </c>
      <c r="D3490" s="1390">
        <f t="shared" si="513"/>
        <v>42702</v>
      </c>
      <c r="E3490" s="560">
        <f t="shared" si="513"/>
        <v>10.33</v>
      </c>
      <c r="F3490" s="1508">
        <f t="shared" si="514"/>
        <v>11.7941</v>
      </c>
      <c r="G3490" s="1508">
        <f t="shared" si="515"/>
        <v>11.7941</v>
      </c>
      <c r="H3490" s="1508">
        <f t="shared" si="518"/>
        <v>0</v>
      </c>
      <c r="I3490" s="1480">
        <v>0</v>
      </c>
      <c r="J3490" s="1480">
        <v>0</v>
      </c>
      <c r="K3490" s="1508"/>
      <c r="L3490" s="1508"/>
      <c r="M3490" s="1509">
        <f t="shared" si="519"/>
        <v>0</v>
      </c>
      <c r="N3490" s="1508">
        <f t="shared" si="520"/>
        <v>0</v>
      </c>
      <c r="O3490" s="1481">
        <f t="shared" si="516"/>
        <v>0</v>
      </c>
      <c r="P3490" s="1427">
        <f t="shared" si="517"/>
        <v>0</v>
      </c>
    </row>
    <row r="3491" spans="1:16" ht="15.5" outlineLevel="1" x14ac:dyDescent="0.25">
      <c r="A3491" s="1482">
        <f t="shared" si="513"/>
        <v>0</v>
      </c>
      <c r="B3491" s="1483" t="str">
        <f t="shared" si="513"/>
        <v>IDC</v>
      </c>
      <c r="C3491" s="1482" t="str">
        <f t="shared" si="513"/>
        <v>MERC/CAPEX/20162017/01067</v>
      </c>
      <c r="D3491" s="1390">
        <f t="shared" si="513"/>
        <v>42702</v>
      </c>
      <c r="E3491" s="560">
        <f t="shared" si="513"/>
        <v>0.5</v>
      </c>
      <c r="F3491" s="1508">
        <f t="shared" si="514"/>
        <v>0</v>
      </c>
      <c r="G3491" s="1508">
        <f t="shared" si="515"/>
        <v>0</v>
      </c>
      <c r="H3491" s="1508">
        <f t="shared" si="518"/>
        <v>0</v>
      </c>
      <c r="I3491" s="1480">
        <v>0</v>
      </c>
      <c r="J3491" s="1480">
        <v>0</v>
      </c>
      <c r="K3491" s="1508"/>
      <c r="L3491" s="1508"/>
      <c r="M3491" s="1509">
        <f t="shared" si="519"/>
        <v>0</v>
      </c>
      <c r="N3491" s="1508">
        <f t="shared" si="520"/>
        <v>0</v>
      </c>
      <c r="O3491" s="1481">
        <f t="shared" si="516"/>
        <v>0</v>
      </c>
      <c r="P3491" s="1427">
        <f t="shared" si="517"/>
        <v>0</v>
      </c>
    </row>
    <row r="3492" spans="1:16" ht="31" outlineLevel="1" x14ac:dyDescent="0.25">
      <c r="A3492" s="1477">
        <f t="shared" si="513"/>
        <v>24</v>
      </c>
      <c r="B3492" s="1478" t="str">
        <f t="shared" si="513"/>
        <v>Retrofitting of existing circuit breakers at Chandrapur STPS Unit-3, 4, 5, 6 and ODP-II</v>
      </c>
      <c r="C3492" s="1477" t="str">
        <f t="shared" si="513"/>
        <v>MERC/CAPEX/20162017/01475</v>
      </c>
      <c r="D3492" s="1479">
        <f t="shared" si="513"/>
        <v>42772</v>
      </c>
      <c r="E3492" s="1383">
        <f t="shared" si="513"/>
        <v>13.700000000000001</v>
      </c>
      <c r="F3492" s="1480">
        <f t="shared" si="514"/>
        <v>0</v>
      </c>
      <c r="G3492" s="1480">
        <f t="shared" si="515"/>
        <v>0</v>
      </c>
      <c r="H3492" s="1480">
        <f t="shared" si="518"/>
        <v>0</v>
      </c>
      <c r="I3492" s="1480">
        <v>0</v>
      </c>
      <c r="J3492" s="1480">
        <v>0</v>
      </c>
      <c r="K3492" s="1480"/>
      <c r="L3492" s="1480"/>
      <c r="M3492" s="1480">
        <f t="shared" si="519"/>
        <v>0</v>
      </c>
      <c r="N3492" s="1480">
        <f t="shared" si="520"/>
        <v>0</v>
      </c>
      <c r="O3492" s="1481">
        <f t="shared" si="516"/>
        <v>0</v>
      </c>
      <c r="P3492" s="1427">
        <f t="shared" si="517"/>
        <v>0</v>
      </c>
    </row>
    <row r="3493" spans="1:16" ht="31" outlineLevel="1" x14ac:dyDescent="0.25">
      <c r="A3493" s="1482">
        <f t="shared" si="513"/>
        <v>24.1</v>
      </c>
      <c r="B3493" s="1483" t="str">
        <f t="shared" si="513"/>
        <v>Retrofitting of existing Circuit breakers of AHP motor feeders at Unit # 5 &amp; 6</v>
      </c>
      <c r="C3493" s="1482" t="str">
        <f t="shared" si="513"/>
        <v>MERC/CAPEX/20162017/01475</v>
      </c>
      <c r="D3493" s="1390">
        <f t="shared" si="513"/>
        <v>42772</v>
      </c>
      <c r="E3493" s="560">
        <f t="shared" si="513"/>
        <v>3.25</v>
      </c>
      <c r="F3493" s="1508">
        <f t="shared" si="514"/>
        <v>3.8744195499999998</v>
      </c>
      <c r="G3493" s="1508">
        <f t="shared" si="515"/>
        <v>3.8744195500000003</v>
      </c>
      <c r="H3493" s="1508">
        <f t="shared" si="518"/>
        <v>0</v>
      </c>
      <c r="I3493" s="1480">
        <v>0</v>
      </c>
      <c r="J3493" s="1480">
        <v>0</v>
      </c>
      <c r="K3493" s="1508"/>
      <c r="L3493" s="1508"/>
      <c r="M3493" s="1509">
        <f t="shared" si="519"/>
        <v>0</v>
      </c>
      <c r="N3493" s="1508">
        <f t="shared" si="520"/>
        <v>0</v>
      </c>
      <c r="O3493" s="1481">
        <f t="shared" si="516"/>
        <v>0</v>
      </c>
      <c r="P3493" s="1427">
        <f t="shared" si="517"/>
        <v>0</v>
      </c>
    </row>
    <row r="3494" spans="1:16" ht="31" outlineLevel="1" x14ac:dyDescent="0.25">
      <c r="A3494" s="1482">
        <f t="shared" si="513"/>
        <v>24.2</v>
      </c>
      <c r="B3494" s="1483" t="str">
        <f t="shared" si="513"/>
        <v>Retrofitting of existing Circuit breakers installed at Unit Boards at Unit –5  &amp; Aundha Pump House (ODP-II)</v>
      </c>
      <c r="C3494" s="1482" t="str">
        <f t="shared" si="513"/>
        <v>MERC/CAPEX/20162017/01475</v>
      </c>
      <c r="D3494" s="1390">
        <f t="shared" si="513"/>
        <v>42772</v>
      </c>
      <c r="E3494" s="560">
        <f t="shared" si="513"/>
        <v>3.46</v>
      </c>
      <c r="F3494" s="1508">
        <f t="shared" si="514"/>
        <v>3.5522795499999997</v>
      </c>
      <c r="G3494" s="1508">
        <f t="shared" si="515"/>
        <v>3.5522795500000002</v>
      </c>
      <c r="H3494" s="1508">
        <f t="shared" si="518"/>
        <v>0</v>
      </c>
      <c r="I3494" s="1480">
        <v>0</v>
      </c>
      <c r="J3494" s="1480">
        <v>0</v>
      </c>
      <c r="K3494" s="1508"/>
      <c r="L3494" s="1508"/>
      <c r="M3494" s="1509">
        <f t="shared" si="519"/>
        <v>0</v>
      </c>
      <c r="N3494" s="1508">
        <f t="shared" si="520"/>
        <v>0</v>
      </c>
      <c r="O3494" s="1481">
        <f t="shared" si="516"/>
        <v>0</v>
      </c>
      <c r="P3494" s="1427">
        <f t="shared" si="517"/>
        <v>0</v>
      </c>
    </row>
    <row r="3495" spans="1:16" ht="31" outlineLevel="1" x14ac:dyDescent="0.25">
      <c r="A3495" s="1482">
        <f t="shared" si="513"/>
        <v>24.3</v>
      </c>
      <c r="B3495" s="1483" t="str">
        <f t="shared" si="513"/>
        <v xml:space="preserve">Retrofitting of existing Circuit breakers installed at Unit Boards at Unit –3&amp;4 </v>
      </c>
      <c r="C3495" s="1482" t="str">
        <f t="shared" si="513"/>
        <v>MERC/CAPEX/20162017/01475</v>
      </c>
      <c r="D3495" s="1390">
        <f t="shared" si="513"/>
        <v>42772</v>
      </c>
      <c r="E3495" s="560">
        <f t="shared" si="513"/>
        <v>6.19</v>
      </c>
      <c r="F3495" s="1508">
        <f t="shared" si="514"/>
        <v>4.5767479</v>
      </c>
      <c r="G3495" s="1508">
        <f t="shared" si="515"/>
        <v>4.5767479</v>
      </c>
      <c r="H3495" s="1508">
        <f t="shared" si="518"/>
        <v>0</v>
      </c>
      <c r="I3495" s="1480">
        <v>0</v>
      </c>
      <c r="J3495" s="1480">
        <v>0</v>
      </c>
      <c r="K3495" s="1508"/>
      <c r="L3495" s="1508"/>
      <c r="M3495" s="1509">
        <f t="shared" si="519"/>
        <v>0</v>
      </c>
      <c r="N3495" s="1508">
        <f t="shared" si="520"/>
        <v>0</v>
      </c>
      <c r="O3495" s="1481">
        <f t="shared" si="516"/>
        <v>0</v>
      </c>
      <c r="P3495" s="1427">
        <f t="shared" si="517"/>
        <v>0</v>
      </c>
    </row>
    <row r="3496" spans="1:16" ht="15.5" outlineLevel="1" x14ac:dyDescent="0.25">
      <c r="A3496" s="1482">
        <f t="shared" si="513"/>
        <v>0</v>
      </c>
      <c r="B3496" s="1483" t="str">
        <f t="shared" si="513"/>
        <v>IDC</v>
      </c>
      <c r="C3496" s="1482" t="str">
        <f t="shared" si="513"/>
        <v>MERC/CAPEX/20162017/01475</v>
      </c>
      <c r="D3496" s="1390">
        <f t="shared" si="513"/>
        <v>42772</v>
      </c>
      <c r="E3496" s="560">
        <f t="shared" si="513"/>
        <v>0.8</v>
      </c>
      <c r="F3496" s="1508">
        <f t="shared" si="514"/>
        <v>0</v>
      </c>
      <c r="G3496" s="1508">
        <f t="shared" si="515"/>
        <v>0</v>
      </c>
      <c r="H3496" s="1508">
        <f t="shared" si="518"/>
        <v>0</v>
      </c>
      <c r="I3496" s="1480">
        <v>0</v>
      </c>
      <c r="J3496" s="1480">
        <v>0</v>
      </c>
      <c r="K3496" s="1508"/>
      <c r="L3496" s="1508"/>
      <c r="M3496" s="1509">
        <f t="shared" si="519"/>
        <v>0</v>
      </c>
      <c r="N3496" s="1508">
        <f t="shared" si="520"/>
        <v>0</v>
      </c>
      <c r="O3496" s="1481">
        <f t="shared" si="516"/>
        <v>0</v>
      </c>
      <c r="P3496" s="1427">
        <f t="shared" si="517"/>
        <v>0</v>
      </c>
    </row>
    <row r="3497" spans="1:16" ht="31" outlineLevel="1" x14ac:dyDescent="0.25">
      <c r="A3497" s="1489">
        <f t="shared" si="513"/>
        <v>25</v>
      </c>
      <c r="B3497" s="1490" t="str">
        <f t="shared" si="513"/>
        <v>Construction of Quarter Guard, Bachelor Accomodation &amp; Allied Structures in Phase I &amp; II for Induction of CISF Security</v>
      </c>
      <c r="C3497" s="1477" t="str">
        <f t="shared" si="513"/>
        <v>MERC/CAPEX/20162017/01269</v>
      </c>
      <c r="D3497" s="1479">
        <f t="shared" si="513"/>
        <v>42737</v>
      </c>
      <c r="E3497" s="1383">
        <f t="shared" si="513"/>
        <v>14.686</v>
      </c>
      <c r="F3497" s="1480">
        <f t="shared" si="514"/>
        <v>0</v>
      </c>
      <c r="G3497" s="1480">
        <f t="shared" si="515"/>
        <v>0</v>
      </c>
      <c r="H3497" s="1480">
        <f t="shared" si="518"/>
        <v>0</v>
      </c>
      <c r="I3497" s="1480">
        <v>0</v>
      </c>
      <c r="J3497" s="1480">
        <v>0</v>
      </c>
      <c r="K3497" s="1480"/>
      <c r="L3497" s="1480"/>
      <c r="M3497" s="1480">
        <f t="shared" si="519"/>
        <v>0</v>
      </c>
      <c r="N3497" s="1480">
        <f t="shared" si="520"/>
        <v>0</v>
      </c>
      <c r="O3497" s="1481">
        <f t="shared" si="516"/>
        <v>0</v>
      </c>
      <c r="P3497" s="1427">
        <f t="shared" si="517"/>
        <v>0</v>
      </c>
    </row>
    <row r="3498" spans="1:16" ht="31" outlineLevel="1" x14ac:dyDescent="0.25">
      <c r="A3498" s="1484">
        <f t="shared" si="513"/>
        <v>25.1</v>
      </c>
      <c r="B3498" s="1485" t="str">
        <f t="shared" si="513"/>
        <v>Construction of Quarter Guard, Bachelor Accomodation &amp; Allied Structures in Phase I &amp; II for Induction of CISF Security</v>
      </c>
      <c r="C3498" s="1482" t="str">
        <f t="shared" si="513"/>
        <v>MERC/CAPEX/20162017/01269</v>
      </c>
      <c r="D3498" s="1390">
        <f t="shared" si="513"/>
        <v>42737</v>
      </c>
      <c r="E3498" s="560">
        <f t="shared" si="513"/>
        <v>14.686</v>
      </c>
      <c r="F3498" s="1508">
        <f t="shared" si="514"/>
        <v>14.690374417000001</v>
      </c>
      <c r="G3498" s="1508">
        <f t="shared" si="515"/>
        <v>14.690374417000001</v>
      </c>
      <c r="H3498" s="1508">
        <f t="shared" si="518"/>
        <v>0</v>
      </c>
      <c r="I3498" s="1480">
        <v>0</v>
      </c>
      <c r="J3498" s="1480">
        <v>0</v>
      </c>
      <c r="K3498" s="1508"/>
      <c r="L3498" s="1508"/>
      <c r="M3498" s="1509">
        <f t="shared" si="519"/>
        <v>0</v>
      </c>
      <c r="N3498" s="1508">
        <f t="shared" si="520"/>
        <v>0</v>
      </c>
      <c r="O3498" s="1481">
        <f t="shared" si="516"/>
        <v>0</v>
      </c>
      <c r="P3498" s="1427">
        <f t="shared" si="517"/>
        <v>0</v>
      </c>
    </row>
    <row r="3499" spans="1:16" ht="31" outlineLevel="1" x14ac:dyDescent="0.25">
      <c r="A3499" s="1489">
        <f t="shared" si="513"/>
        <v>26</v>
      </c>
      <c r="B3499" s="1490" t="str">
        <f t="shared" si="513"/>
        <v>Pipe Conveyor System for Transporting Coal from Bhatadi Coal Mine to Chandrapur STPS.</v>
      </c>
      <c r="C3499" s="1477" t="str">
        <f t="shared" si="513"/>
        <v>MERC/CAPEX/20172018/4171</v>
      </c>
      <c r="D3499" s="1479">
        <f t="shared" si="513"/>
        <v>42986</v>
      </c>
      <c r="E3499" s="1383">
        <f t="shared" si="513"/>
        <v>196.26</v>
      </c>
      <c r="F3499" s="1480">
        <f t="shared" si="514"/>
        <v>0</v>
      </c>
      <c r="G3499" s="1480">
        <f t="shared" si="515"/>
        <v>0</v>
      </c>
      <c r="H3499" s="1480">
        <f t="shared" si="518"/>
        <v>0</v>
      </c>
      <c r="I3499" s="1480">
        <v>0</v>
      </c>
      <c r="J3499" s="1480">
        <v>0</v>
      </c>
      <c r="K3499" s="1480"/>
      <c r="L3499" s="1480"/>
      <c r="M3499" s="1480">
        <f t="shared" si="519"/>
        <v>0</v>
      </c>
      <c r="N3499" s="1480">
        <f t="shared" si="520"/>
        <v>0</v>
      </c>
      <c r="O3499" s="1481">
        <f t="shared" si="516"/>
        <v>0</v>
      </c>
      <c r="P3499" s="1427">
        <f t="shared" si="517"/>
        <v>0</v>
      </c>
    </row>
    <row r="3500" spans="1:16" ht="31" outlineLevel="1" x14ac:dyDescent="0.25">
      <c r="A3500" s="1484">
        <f t="shared" si="513"/>
        <v>26.1</v>
      </c>
      <c r="B3500" s="1485" t="str">
        <f t="shared" si="513"/>
        <v>Pipe Conveyor System for Transporting Coal from Bhatadi Coal Mine to Chandrapur STPS.</v>
      </c>
      <c r="C3500" s="1482" t="str">
        <f t="shared" si="513"/>
        <v>MERC/CAPEX/20172018/4171</v>
      </c>
      <c r="D3500" s="1390">
        <f t="shared" si="513"/>
        <v>42986</v>
      </c>
      <c r="E3500" s="560">
        <f t="shared" si="513"/>
        <v>196.26</v>
      </c>
      <c r="F3500" s="1508">
        <f t="shared" si="514"/>
        <v>256.81526693500001</v>
      </c>
      <c r="G3500" s="1508">
        <f t="shared" si="515"/>
        <v>256.81526693500001</v>
      </c>
      <c r="H3500" s="1508">
        <f t="shared" si="518"/>
        <v>0</v>
      </c>
      <c r="I3500" s="1480">
        <v>0</v>
      </c>
      <c r="J3500" s="1480">
        <v>0</v>
      </c>
      <c r="K3500" s="1508"/>
      <c r="L3500" s="1508"/>
      <c r="M3500" s="1509">
        <f t="shared" si="519"/>
        <v>0</v>
      </c>
      <c r="N3500" s="1508">
        <f t="shared" si="520"/>
        <v>0</v>
      </c>
      <c r="O3500" s="1481">
        <f t="shared" si="516"/>
        <v>0</v>
      </c>
      <c r="P3500" s="1427">
        <f t="shared" si="517"/>
        <v>0</v>
      </c>
    </row>
    <row r="3501" spans="1:16" ht="31" outlineLevel="1" x14ac:dyDescent="0.25">
      <c r="A3501" s="1477">
        <f t="shared" si="513"/>
        <v>27</v>
      </c>
      <c r="B3501" s="1478" t="str">
        <f t="shared" si="513"/>
        <v>Procurement &amp; replacement of Economizer upper assemblies of Unit-5,6 &amp; hot Reheater coil complete set of Unit-3 of CSTPS</v>
      </c>
      <c r="C3501" s="1477" t="str">
        <f t="shared" si="513"/>
        <v>MERC/CAPEX/20172018/4071</v>
      </c>
      <c r="D3501" s="1479">
        <f t="shared" si="513"/>
        <v>42965</v>
      </c>
      <c r="E3501" s="1403">
        <f t="shared" si="513"/>
        <v>25.27</v>
      </c>
      <c r="F3501" s="1510">
        <f t="shared" si="514"/>
        <v>0</v>
      </c>
      <c r="G3501" s="1510">
        <f t="shared" si="515"/>
        <v>0</v>
      </c>
      <c r="H3501" s="1510">
        <f t="shared" si="518"/>
        <v>0</v>
      </c>
      <c r="I3501" s="1480">
        <v>0</v>
      </c>
      <c r="J3501" s="1480">
        <v>0</v>
      </c>
      <c r="K3501" s="1510"/>
      <c r="L3501" s="1510"/>
      <c r="M3501" s="1510">
        <f t="shared" si="519"/>
        <v>0</v>
      </c>
      <c r="N3501" s="1510">
        <f t="shared" si="520"/>
        <v>0</v>
      </c>
      <c r="O3501" s="1481">
        <f t="shared" si="516"/>
        <v>0</v>
      </c>
      <c r="P3501" s="1427">
        <f t="shared" si="517"/>
        <v>0</v>
      </c>
    </row>
    <row r="3502" spans="1:16" ht="31" outlineLevel="1" x14ac:dyDescent="0.25">
      <c r="A3502" s="1482">
        <f t="shared" si="513"/>
        <v>27.1</v>
      </c>
      <c r="B3502" s="1483" t="str">
        <f t="shared" si="513"/>
        <v>supply &amp; replacement of Economizer Upper Assemblies of unit no.5 &amp; 6</v>
      </c>
      <c r="C3502" s="1482" t="str">
        <f t="shared" si="513"/>
        <v>MERC/CAPEX/20172018/4071</v>
      </c>
      <c r="D3502" s="1390">
        <f t="shared" si="513"/>
        <v>42965</v>
      </c>
      <c r="E3502" s="560">
        <f t="shared" si="513"/>
        <v>18.25</v>
      </c>
      <c r="F3502" s="1508">
        <f t="shared" si="514"/>
        <v>8.2829930689999998</v>
      </c>
      <c r="G3502" s="1508">
        <f t="shared" si="515"/>
        <v>8.2829930689999998</v>
      </c>
      <c r="H3502" s="1508">
        <f t="shared" si="518"/>
        <v>0</v>
      </c>
      <c r="I3502" s="1480">
        <v>0</v>
      </c>
      <c r="J3502" s="1480">
        <v>0</v>
      </c>
      <c r="K3502" s="1508"/>
      <c r="L3502" s="1508"/>
      <c r="M3502" s="1509">
        <f t="shared" si="519"/>
        <v>0</v>
      </c>
      <c r="N3502" s="1508">
        <f t="shared" si="520"/>
        <v>0</v>
      </c>
      <c r="O3502" s="1481">
        <f t="shared" si="516"/>
        <v>0</v>
      </c>
      <c r="P3502" s="1427">
        <f t="shared" si="517"/>
        <v>0</v>
      </c>
    </row>
    <row r="3503" spans="1:16" ht="31" outlineLevel="1" x14ac:dyDescent="0.25">
      <c r="A3503" s="1482">
        <f t="shared" si="513"/>
        <v>27.2</v>
      </c>
      <c r="B3503" s="1483" t="str">
        <f t="shared" si="513"/>
        <v>Supply &amp; replacement of hot reheater coil complete set of Unit-3.</v>
      </c>
      <c r="C3503" s="1482" t="str">
        <f t="shared" si="513"/>
        <v>MERC/CAPEX/20172018/4071</v>
      </c>
      <c r="D3503" s="1390">
        <f t="shared" si="513"/>
        <v>42965</v>
      </c>
      <c r="E3503" s="560">
        <f t="shared" si="513"/>
        <v>6.72</v>
      </c>
      <c r="F3503" s="1508">
        <f t="shared" si="514"/>
        <v>6.0757019999999997</v>
      </c>
      <c r="G3503" s="1508">
        <f t="shared" si="515"/>
        <v>6.0757019999999997</v>
      </c>
      <c r="H3503" s="1508">
        <f t="shared" si="518"/>
        <v>0</v>
      </c>
      <c r="I3503" s="1480">
        <v>0</v>
      </c>
      <c r="J3503" s="1480">
        <v>0</v>
      </c>
      <c r="K3503" s="1508"/>
      <c r="L3503" s="1508"/>
      <c r="M3503" s="1509">
        <f t="shared" si="519"/>
        <v>0</v>
      </c>
      <c r="N3503" s="1508">
        <f t="shared" si="520"/>
        <v>0</v>
      </c>
      <c r="O3503" s="1481">
        <f t="shared" si="516"/>
        <v>0</v>
      </c>
      <c r="P3503" s="1427">
        <f t="shared" si="517"/>
        <v>0</v>
      </c>
    </row>
    <row r="3504" spans="1:16" ht="15.5" outlineLevel="1" x14ac:dyDescent="0.25">
      <c r="A3504" s="1482">
        <f t="shared" ref="A3504:E3519" si="521">A2834</f>
        <v>0</v>
      </c>
      <c r="B3504" s="1483" t="str">
        <f t="shared" si="521"/>
        <v>IDC</v>
      </c>
      <c r="C3504" s="1482" t="str">
        <f t="shared" si="521"/>
        <v>MERC/CAPEX/20172018/4071</v>
      </c>
      <c r="D3504" s="1390">
        <f t="shared" si="521"/>
        <v>42965</v>
      </c>
      <c r="E3504" s="560">
        <f t="shared" si="521"/>
        <v>0.3</v>
      </c>
      <c r="F3504" s="1508">
        <f t="shared" si="514"/>
        <v>0</v>
      </c>
      <c r="G3504" s="1508">
        <f t="shared" si="515"/>
        <v>0</v>
      </c>
      <c r="H3504" s="1508">
        <f t="shared" si="518"/>
        <v>0</v>
      </c>
      <c r="I3504" s="1480">
        <v>0</v>
      </c>
      <c r="J3504" s="1480">
        <v>0</v>
      </c>
      <c r="K3504" s="1508"/>
      <c r="L3504" s="1508"/>
      <c r="M3504" s="1509">
        <f t="shared" si="519"/>
        <v>0</v>
      </c>
      <c r="N3504" s="1508">
        <f t="shared" si="520"/>
        <v>0</v>
      </c>
      <c r="O3504" s="1481">
        <f t="shared" si="516"/>
        <v>0</v>
      </c>
      <c r="P3504" s="1427">
        <f t="shared" si="517"/>
        <v>0</v>
      </c>
    </row>
    <row r="3505" spans="1:16" ht="46.5" outlineLevel="1" x14ac:dyDescent="0.25">
      <c r="A3505" s="1477">
        <f t="shared" si="521"/>
        <v>28</v>
      </c>
      <c r="B3505" s="1478" t="str">
        <f t="shared" si="521"/>
        <v xml:space="preserve">Replacement of H2 Generator with new Hydrogen Generator (Non Asbestos Design), procurement of 3-phase TR sets for stage II &amp; other electrical items for ORC at Chandrapur STPS.” </v>
      </c>
      <c r="C3505" s="1486" t="str">
        <f t="shared" si="521"/>
        <v>MERC/CAPEX/20172018/4686</v>
      </c>
      <c r="D3505" s="1487">
        <f t="shared" si="521"/>
        <v>43054</v>
      </c>
      <c r="E3505" s="1383">
        <f t="shared" si="521"/>
        <v>12.456</v>
      </c>
      <c r="F3505" s="1480">
        <f t="shared" si="514"/>
        <v>0</v>
      </c>
      <c r="G3505" s="1480">
        <f t="shared" si="515"/>
        <v>0</v>
      </c>
      <c r="H3505" s="1480">
        <f t="shared" si="518"/>
        <v>0</v>
      </c>
      <c r="I3505" s="1480">
        <v>0</v>
      </c>
      <c r="J3505" s="1480">
        <v>0</v>
      </c>
      <c r="K3505" s="1480"/>
      <c r="L3505" s="1480"/>
      <c r="M3505" s="1480">
        <f t="shared" si="519"/>
        <v>0</v>
      </c>
      <c r="N3505" s="1480">
        <f t="shared" si="520"/>
        <v>0</v>
      </c>
      <c r="O3505" s="1481">
        <f t="shared" si="516"/>
        <v>0</v>
      </c>
      <c r="P3505" s="1427">
        <f t="shared" si="517"/>
        <v>0</v>
      </c>
    </row>
    <row r="3506" spans="1:16" ht="31" outlineLevel="1" x14ac:dyDescent="0.25">
      <c r="A3506" s="1482">
        <f t="shared" si="521"/>
        <v>28.1</v>
      </c>
      <c r="B3506" s="1483" t="str">
        <f t="shared" si="521"/>
        <v>Supply, Installation &amp; Commissioning of   Hydrogen Generator Model : HMXT 200 (Non Asbestos Design)</v>
      </c>
      <c r="C3506" s="1482" t="str">
        <f t="shared" si="521"/>
        <v>MERC/CAPEX/20172018/4686</v>
      </c>
      <c r="D3506" s="1390">
        <f t="shared" si="521"/>
        <v>43054</v>
      </c>
      <c r="E3506" s="560">
        <f t="shared" si="521"/>
        <v>10.36</v>
      </c>
      <c r="F3506" s="1508">
        <f t="shared" si="514"/>
        <v>11.5757999</v>
      </c>
      <c r="G3506" s="1508">
        <f t="shared" si="515"/>
        <v>11.5757999</v>
      </c>
      <c r="H3506" s="1508">
        <f t="shared" si="518"/>
        <v>0</v>
      </c>
      <c r="I3506" s="1480">
        <v>0</v>
      </c>
      <c r="J3506" s="1480">
        <v>0</v>
      </c>
      <c r="K3506" s="1508"/>
      <c r="L3506" s="1508"/>
      <c r="M3506" s="1509">
        <f t="shared" si="519"/>
        <v>0</v>
      </c>
      <c r="N3506" s="1508">
        <f t="shared" si="520"/>
        <v>0</v>
      </c>
      <c r="O3506" s="1481">
        <f t="shared" si="516"/>
        <v>0</v>
      </c>
      <c r="P3506" s="1427">
        <f t="shared" si="517"/>
        <v>0</v>
      </c>
    </row>
    <row r="3507" spans="1:16" ht="31" outlineLevel="1" x14ac:dyDescent="0.25">
      <c r="A3507" s="1482">
        <f t="shared" si="521"/>
        <v>28.2</v>
      </c>
      <c r="B3507" s="1483" t="str">
        <f t="shared" si="521"/>
        <v>Supply of 3 phase high frequency T-R sets for replacement of T-R sets of ESP Stg-II</v>
      </c>
      <c r="C3507" s="1488" t="str">
        <f t="shared" si="521"/>
        <v>MERC/CAPEX/20172018/4686</v>
      </c>
      <c r="D3507" s="1413">
        <f t="shared" si="521"/>
        <v>43054</v>
      </c>
      <c r="E3507" s="560">
        <f t="shared" si="521"/>
        <v>0.63</v>
      </c>
      <c r="F3507" s="1508">
        <f t="shared" si="514"/>
        <v>0</v>
      </c>
      <c r="G3507" s="1508">
        <f t="shared" si="515"/>
        <v>0</v>
      </c>
      <c r="H3507" s="1508">
        <f t="shared" si="518"/>
        <v>0</v>
      </c>
      <c r="I3507" s="1480">
        <v>0</v>
      </c>
      <c r="J3507" s="1480">
        <v>0</v>
      </c>
      <c r="K3507" s="1508"/>
      <c r="L3507" s="1508"/>
      <c r="M3507" s="1509">
        <f t="shared" si="519"/>
        <v>0</v>
      </c>
      <c r="N3507" s="1508">
        <f t="shared" si="520"/>
        <v>0</v>
      </c>
      <c r="O3507" s="1481">
        <f t="shared" si="516"/>
        <v>0</v>
      </c>
      <c r="P3507" s="1427">
        <f t="shared" si="517"/>
        <v>0</v>
      </c>
    </row>
    <row r="3508" spans="1:16" ht="31" outlineLevel="1" x14ac:dyDescent="0.25">
      <c r="A3508" s="1482">
        <f t="shared" si="521"/>
        <v>28.3</v>
      </c>
      <c r="B3508" s="1483" t="str">
        <f t="shared" si="521"/>
        <v>Replacement of HPSV High Mast Towers by Stadium LED  High Mast at ORC ground CSTPS Chandrapur</v>
      </c>
      <c r="C3508" s="1482" t="str">
        <f t="shared" si="521"/>
        <v>MERC/CAPEX/20172018/4686</v>
      </c>
      <c r="D3508" s="1390">
        <f t="shared" si="521"/>
        <v>43054</v>
      </c>
      <c r="E3508" s="560">
        <f t="shared" si="521"/>
        <v>0.53600000000000003</v>
      </c>
      <c r="F3508" s="1508">
        <f t="shared" si="514"/>
        <v>0.51656219999999997</v>
      </c>
      <c r="G3508" s="1508">
        <f t="shared" si="515"/>
        <v>0.51656219999999997</v>
      </c>
      <c r="H3508" s="1508">
        <f t="shared" si="518"/>
        <v>0</v>
      </c>
      <c r="I3508" s="1480">
        <v>0</v>
      </c>
      <c r="J3508" s="1480">
        <v>0</v>
      </c>
      <c r="K3508" s="1508"/>
      <c r="L3508" s="1508"/>
      <c r="M3508" s="1509">
        <f t="shared" si="519"/>
        <v>0</v>
      </c>
      <c r="N3508" s="1508">
        <f t="shared" si="520"/>
        <v>0</v>
      </c>
      <c r="O3508" s="1481">
        <f t="shared" si="516"/>
        <v>0</v>
      </c>
      <c r="P3508" s="1427">
        <f t="shared" si="517"/>
        <v>0</v>
      </c>
    </row>
    <row r="3509" spans="1:16" ht="15.5" outlineLevel="1" x14ac:dyDescent="0.25">
      <c r="A3509" s="1482">
        <f t="shared" si="521"/>
        <v>0</v>
      </c>
      <c r="B3509" s="1483" t="str">
        <f t="shared" si="521"/>
        <v>IDC</v>
      </c>
      <c r="C3509" s="1482" t="str">
        <f t="shared" si="521"/>
        <v>MERC/CAPEX/20172018/4686</v>
      </c>
      <c r="D3509" s="1390">
        <f t="shared" si="521"/>
        <v>43054</v>
      </c>
      <c r="E3509" s="560">
        <f t="shared" si="521"/>
        <v>0.93</v>
      </c>
      <c r="F3509" s="1508">
        <f t="shared" si="514"/>
        <v>0</v>
      </c>
      <c r="G3509" s="1508">
        <f t="shared" si="515"/>
        <v>0</v>
      </c>
      <c r="H3509" s="1508">
        <f t="shared" si="518"/>
        <v>0</v>
      </c>
      <c r="I3509" s="1480">
        <v>0</v>
      </c>
      <c r="J3509" s="1480">
        <v>0</v>
      </c>
      <c r="K3509" s="1508"/>
      <c r="L3509" s="1508"/>
      <c r="M3509" s="1509">
        <f t="shared" si="519"/>
        <v>0</v>
      </c>
      <c r="N3509" s="1508">
        <f t="shared" si="520"/>
        <v>0</v>
      </c>
      <c r="O3509" s="1481">
        <f t="shared" si="516"/>
        <v>0</v>
      </c>
      <c r="P3509" s="1427">
        <f t="shared" si="517"/>
        <v>0</v>
      </c>
    </row>
    <row r="3510" spans="1:16" ht="46.5" outlineLevel="1" x14ac:dyDescent="0.25">
      <c r="A3510" s="1477">
        <f t="shared" si="521"/>
        <v>29</v>
      </c>
      <c r="B3510" s="1478" t="str">
        <f t="shared" si="521"/>
        <v>Procurement of Boiler Feed Booster Pumps to improve availability &amp; performance of feed system, moving blades for LPT &amp; Condenser Tubes of (3 x 500 MW) Units at Chandrapur STPS</v>
      </c>
      <c r="C3510" s="1477" t="str">
        <f t="shared" si="521"/>
        <v>MERC/CAPEX/20172018/0272</v>
      </c>
      <c r="D3510" s="1479">
        <f t="shared" si="521"/>
        <v>43154</v>
      </c>
      <c r="E3510" s="1383">
        <f t="shared" si="521"/>
        <v>15.489999999999998</v>
      </c>
      <c r="F3510" s="1480">
        <f t="shared" si="514"/>
        <v>0</v>
      </c>
      <c r="G3510" s="1480">
        <f t="shared" si="515"/>
        <v>0</v>
      </c>
      <c r="H3510" s="1480">
        <f t="shared" si="518"/>
        <v>0</v>
      </c>
      <c r="I3510" s="1480">
        <v>0</v>
      </c>
      <c r="J3510" s="1480">
        <v>0</v>
      </c>
      <c r="K3510" s="1480"/>
      <c r="L3510" s="1480"/>
      <c r="M3510" s="1480">
        <f t="shared" si="519"/>
        <v>0</v>
      </c>
      <c r="N3510" s="1480">
        <f t="shared" si="520"/>
        <v>0</v>
      </c>
      <c r="O3510" s="1481">
        <f t="shared" si="516"/>
        <v>0</v>
      </c>
      <c r="P3510" s="1427">
        <f t="shared" si="517"/>
        <v>0</v>
      </c>
    </row>
    <row r="3511" spans="1:16" ht="46.5" outlineLevel="1" x14ac:dyDescent="0.25">
      <c r="A3511" s="1482">
        <f t="shared" si="521"/>
        <v>29.1</v>
      </c>
      <c r="B3511" s="1483" t="str">
        <f t="shared" si="521"/>
        <v>Procurement of Boiler Feed Booster pumps to improve availability and performance of Feed system of 500 MW Unit-5, 6 &amp; 7 at CSTPS, Chandrapur</v>
      </c>
      <c r="C3511" s="1482" t="str">
        <f t="shared" si="521"/>
        <v>MERC/CAPEX/20172018/0272</v>
      </c>
      <c r="D3511" s="1390">
        <f t="shared" si="521"/>
        <v>43154</v>
      </c>
      <c r="E3511" s="560">
        <f t="shared" si="521"/>
        <v>2.0099999999999998</v>
      </c>
      <c r="F3511" s="1508">
        <f t="shared" si="514"/>
        <v>2.1150194</v>
      </c>
      <c r="G3511" s="1508">
        <f t="shared" si="515"/>
        <v>2.1150194</v>
      </c>
      <c r="H3511" s="1508">
        <f t="shared" si="518"/>
        <v>0</v>
      </c>
      <c r="I3511" s="1480">
        <v>0</v>
      </c>
      <c r="J3511" s="1480">
        <v>0</v>
      </c>
      <c r="K3511" s="1508"/>
      <c r="L3511" s="1508"/>
      <c r="M3511" s="1509">
        <f t="shared" si="519"/>
        <v>0</v>
      </c>
      <c r="N3511" s="1508">
        <f t="shared" si="520"/>
        <v>0</v>
      </c>
      <c r="O3511" s="1481">
        <f t="shared" si="516"/>
        <v>0</v>
      </c>
      <c r="P3511" s="1427">
        <f t="shared" si="517"/>
        <v>0</v>
      </c>
    </row>
    <row r="3512" spans="1:16" ht="31" outlineLevel="1" x14ac:dyDescent="0.25">
      <c r="A3512" s="1482">
        <f t="shared" si="521"/>
        <v>29.2</v>
      </c>
      <c r="B3512" s="1483" t="str">
        <f t="shared" si="521"/>
        <v>Procurement of moving blades for 500 MW Unit-5, 6 &amp; 7 LPT at CSTPS, Chandrapur</v>
      </c>
      <c r="C3512" s="1482" t="str">
        <f t="shared" si="521"/>
        <v>MERC/CAPEX/20172018/0272</v>
      </c>
      <c r="D3512" s="1390">
        <f t="shared" si="521"/>
        <v>43154</v>
      </c>
      <c r="E3512" s="560">
        <f t="shared" si="521"/>
        <v>3.34</v>
      </c>
      <c r="F3512" s="1508">
        <f t="shared" si="514"/>
        <v>1.9274450000000001</v>
      </c>
      <c r="G3512" s="1508">
        <f t="shared" si="515"/>
        <v>1.9274450000000001</v>
      </c>
      <c r="H3512" s="1508">
        <f t="shared" si="518"/>
        <v>0</v>
      </c>
      <c r="I3512" s="1480">
        <v>0</v>
      </c>
      <c r="J3512" s="1480">
        <v>0</v>
      </c>
      <c r="K3512" s="1508"/>
      <c r="L3512" s="1508"/>
      <c r="M3512" s="1509">
        <f t="shared" si="519"/>
        <v>0</v>
      </c>
      <c r="N3512" s="1508">
        <f t="shared" si="520"/>
        <v>0</v>
      </c>
      <c r="O3512" s="1481">
        <f t="shared" si="516"/>
        <v>0</v>
      </c>
      <c r="P3512" s="1427">
        <f t="shared" si="517"/>
        <v>0</v>
      </c>
    </row>
    <row r="3513" spans="1:16" ht="31" outlineLevel="1" x14ac:dyDescent="0.25">
      <c r="A3513" s="1482">
        <f t="shared" si="521"/>
        <v>29.3</v>
      </c>
      <c r="B3513" s="1483" t="str">
        <f t="shared" si="521"/>
        <v>Procurement &amp; Replacement of Condenser Tubes in 500MW, Unit-7 at CSTPS, Chandrapur</v>
      </c>
      <c r="C3513" s="1482" t="str">
        <f t="shared" si="521"/>
        <v>MERC/CAPEX/20172018/0272</v>
      </c>
      <c r="D3513" s="1390">
        <f t="shared" si="521"/>
        <v>43154</v>
      </c>
      <c r="E3513" s="560">
        <f t="shared" si="521"/>
        <v>9.02</v>
      </c>
      <c r="F3513" s="1508">
        <f t="shared" si="514"/>
        <v>8.8301990999999997</v>
      </c>
      <c r="G3513" s="1508">
        <f t="shared" si="515"/>
        <v>8.8301990999999997</v>
      </c>
      <c r="H3513" s="1508">
        <f t="shared" si="518"/>
        <v>0</v>
      </c>
      <c r="I3513" s="1480">
        <v>0</v>
      </c>
      <c r="J3513" s="1480">
        <v>0</v>
      </c>
      <c r="K3513" s="1508"/>
      <c r="L3513" s="1508"/>
      <c r="M3513" s="1509">
        <f t="shared" si="519"/>
        <v>0</v>
      </c>
      <c r="N3513" s="1508">
        <f t="shared" si="520"/>
        <v>0</v>
      </c>
      <c r="O3513" s="1481">
        <f t="shared" si="516"/>
        <v>0</v>
      </c>
      <c r="P3513" s="1427">
        <f t="shared" si="517"/>
        <v>0</v>
      </c>
    </row>
    <row r="3514" spans="1:16" ht="15.5" outlineLevel="1" x14ac:dyDescent="0.25">
      <c r="A3514" s="1482">
        <f t="shared" si="521"/>
        <v>0</v>
      </c>
      <c r="B3514" s="1483" t="str">
        <f t="shared" si="521"/>
        <v>IDC</v>
      </c>
      <c r="C3514" s="1482" t="str">
        <f t="shared" si="521"/>
        <v>MERC/CAPEX/20172018/0272</v>
      </c>
      <c r="D3514" s="1390">
        <f t="shared" si="521"/>
        <v>43154</v>
      </c>
      <c r="E3514" s="560">
        <f t="shared" si="521"/>
        <v>1.1200000000000001</v>
      </c>
      <c r="F3514" s="1508">
        <f t="shared" si="514"/>
        <v>0</v>
      </c>
      <c r="G3514" s="1508">
        <f t="shared" si="515"/>
        <v>0</v>
      </c>
      <c r="H3514" s="1508">
        <f t="shared" si="518"/>
        <v>0</v>
      </c>
      <c r="I3514" s="1480">
        <v>0</v>
      </c>
      <c r="J3514" s="1480">
        <v>0</v>
      </c>
      <c r="K3514" s="1508"/>
      <c r="L3514" s="1508"/>
      <c r="M3514" s="1509">
        <f t="shared" si="519"/>
        <v>0</v>
      </c>
      <c r="N3514" s="1508">
        <f t="shared" si="520"/>
        <v>0</v>
      </c>
      <c r="O3514" s="1481">
        <f t="shared" si="516"/>
        <v>0</v>
      </c>
      <c r="P3514" s="1427">
        <f t="shared" si="517"/>
        <v>0</v>
      </c>
    </row>
    <row r="3515" spans="1:16" ht="15.5" outlineLevel="1" x14ac:dyDescent="0.25">
      <c r="A3515" s="1489">
        <f t="shared" si="521"/>
        <v>30</v>
      </c>
      <c r="B3515" s="1490" t="str">
        <f t="shared" si="521"/>
        <v>Renovation &amp; Beautification of Colony at Chandrapur STPS</v>
      </c>
      <c r="C3515" s="1486" t="str">
        <f t="shared" si="521"/>
        <v>MERC/CAPEX/20182019/0644</v>
      </c>
      <c r="D3515" s="1487">
        <f t="shared" si="521"/>
        <v>43238</v>
      </c>
      <c r="E3515" s="1383">
        <f t="shared" si="521"/>
        <v>117.57</v>
      </c>
      <c r="F3515" s="1480">
        <f t="shared" si="514"/>
        <v>0</v>
      </c>
      <c r="G3515" s="1480">
        <f t="shared" si="515"/>
        <v>0</v>
      </c>
      <c r="H3515" s="1480">
        <f t="shared" si="518"/>
        <v>0</v>
      </c>
      <c r="I3515" s="1480">
        <v>0</v>
      </c>
      <c r="J3515" s="1480">
        <v>0</v>
      </c>
      <c r="K3515" s="1480"/>
      <c r="L3515" s="1480"/>
      <c r="M3515" s="1480">
        <f t="shared" si="519"/>
        <v>0</v>
      </c>
      <c r="N3515" s="1480">
        <f t="shared" si="520"/>
        <v>0</v>
      </c>
      <c r="O3515" s="1481">
        <f t="shared" si="516"/>
        <v>0</v>
      </c>
      <c r="P3515" s="1427">
        <f t="shared" si="517"/>
        <v>0</v>
      </c>
    </row>
    <row r="3516" spans="1:16" ht="31" outlineLevel="1" x14ac:dyDescent="0.25">
      <c r="A3516" s="1484">
        <f t="shared" si="521"/>
        <v>30.1</v>
      </c>
      <c r="B3516" s="1485" t="str">
        <f t="shared" si="521"/>
        <v>Face- lifting and Renovation of staff quarters &amp; related work at CSTPS, Chandrapur</v>
      </c>
      <c r="C3516" s="1482" t="str">
        <f t="shared" si="521"/>
        <v>MERC/CAPEX/20182019/0644</v>
      </c>
      <c r="D3516" s="1390">
        <f t="shared" si="521"/>
        <v>43238</v>
      </c>
      <c r="E3516" s="560">
        <f t="shared" si="521"/>
        <v>82.6</v>
      </c>
      <c r="F3516" s="1508">
        <f t="shared" si="514"/>
        <v>82.6</v>
      </c>
      <c r="G3516" s="1508">
        <f t="shared" si="515"/>
        <v>82.6</v>
      </c>
      <c r="H3516" s="1508">
        <f t="shared" si="518"/>
        <v>0</v>
      </c>
      <c r="I3516" s="1480">
        <v>0</v>
      </c>
      <c r="J3516" s="1480">
        <v>0</v>
      </c>
      <c r="K3516" s="1508"/>
      <c r="L3516" s="1508"/>
      <c r="M3516" s="1509">
        <f t="shared" si="519"/>
        <v>0</v>
      </c>
      <c r="N3516" s="1508">
        <f t="shared" si="520"/>
        <v>0</v>
      </c>
      <c r="O3516" s="1481">
        <f t="shared" si="516"/>
        <v>0</v>
      </c>
      <c r="P3516" s="1427">
        <f t="shared" si="517"/>
        <v>0</v>
      </c>
    </row>
    <row r="3517" spans="1:16" ht="15.5" outlineLevel="1" x14ac:dyDescent="0.25">
      <c r="A3517" s="1484">
        <f t="shared" si="521"/>
        <v>30.2</v>
      </c>
      <c r="B3517" s="1485" t="str">
        <f t="shared" si="521"/>
        <v>Colony Internal Roads at CSTPS, Chandrapur</v>
      </c>
      <c r="C3517" s="1482" t="str">
        <f t="shared" si="521"/>
        <v>MERC/CAPEX/20182019/0644</v>
      </c>
      <c r="D3517" s="1390">
        <f t="shared" si="521"/>
        <v>43238</v>
      </c>
      <c r="E3517" s="560">
        <f t="shared" si="521"/>
        <v>7.08</v>
      </c>
      <c r="F3517" s="1508">
        <f t="shared" si="514"/>
        <v>7.08</v>
      </c>
      <c r="G3517" s="1508">
        <f t="shared" si="515"/>
        <v>7.08</v>
      </c>
      <c r="H3517" s="1508">
        <f t="shared" si="518"/>
        <v>0</v>
      </c>
      <c r="I3517" s="1480">
        <v>0</v>
      </c>
      <c r="J3517" s="1480">
        <v>0</v>
      </c>
      <c r="K3517" s="1508"/>
      <c r="L3517" s="1508"/>
      <c r="M3517" s="1509">
        <f t="shared" si="519"/>
        <v>0</v>
      </c>
      <c r="N3517" s="1508">
        <f t="shared" si="520"/>
        <v>0</v>
      </c>
      <c r="O3517" s="1481">
        <f t="shared" si="516"/>
        <v>0</v>
      </c>
      <c r="P3517" s="1427">
        <f t="shared" si="517"/>
        <v>0</v>
      </c>
    </row>
    <row r="3518" spans="1:16" ht="31" outlineLevel="1" x14ac:dyDescent="0.25">
      <c r="A3518" s="1484">
        <f t="shared" si="521"/>
        <v>30.3</v>
      </c>
      <c r="B3518" s="1485" t="str">
        <f t="shared" si="521"/>
        <v>Development of existing open spaces and Garden at CSTPS, Chandrapur</v>
      </c>
      <c r="C3518" s="1488" t="str">
        <f t="shared" si="521"/>
        <v>MERC/CAPEX/20182019/0644</v>
      </c>
      <c r="D3518" s="1413">
        <f t="shared" si="521"/>
        <v>43238</v>
      </c>
      <c r="E3518" s="560">
        <f t="shared" si="521"/>
        <v>4.72</v>
      </c>
      <c r="F3518" s="1508">
        <f t="shared" si="514"/>
        <v>4.72</v>
      </c>
      <c r="G3518" s="1508">
        <f t="shared" si="515"/>
        <v>4.72</v>
      </c>
      <c r="H3518" s="1508">
        <f t="shared" si="518"/>
        <v>0</v>
      </c>
      <c r="I3518" s="1480">
        <v>0</v>
      </c>
      <c r="J3518" s="1480">
        <v>0</v>
      </c>
      <c r="K3518" s="1508"/>
      <c r="L3518" s="1508"/>
      <c r="M3518" s="1509">
        <f t="shared" si="519"/>
        <v>0</v>
      </c>
      <c r="N3518" s="1508">
        <f t="shared" si="520"/>
        <v>0</v>
      </c>
      <c r="O3518" s="1481">
        <f t="shared" si="516"/>
        <v>0</v>
      </c>
      <c r="P3518" s="1427">
        <f t="shared" si="517"/>
        <v>0</v>
      </c>
    </row>
    <row r="3519" spans="1:16" ht="46.5" outlineLevel="1" x14ac:dyDescent="0.25">
      <c r="A3519" s="1484">
        <f t="shared" si="521"/>
        <v>30.4</v>
      </c>
      <c r="B3519" s="1485" t="str">
        <f t="shared" si="521"/>
        <v>Renovation of club building /community building and providing new swimming pool and other misc works including Architectural and Consultancy Charges at CSTPS, Chandrapur</v>
      </c>
      <c r="C3519" s="1488" t="str">
        <f t="shared" si="521"/>
        <v>MERC/CAPEX/20182019/0644</v>
      </c>
      <c r="D3519" s="1413">
        <f t="shared" si="521"/>
        <v>43238</v>
      </c>
      <c r="E3519" s="560">
        <f t="shared" si="521"/>
        <v>15.34</v>
      </c>
      <c r="F3519" s="1508">
        <f t="shared" si="514"/>
        <v>15.34</v>
      </c>
      <c r="G3519" s="1508">
        <f t="shared" si="515"/>
        <v>15.34</v>
      </c>
      <c r="H3519" s="1508">
        <f t="shared" si="518"/>
        <v>0</v>
      </c>
      <c r="I3519" s="1480">
        <v>0</v>
      </c>
      <c r="J3519" s="1480">
        <v>0</v>
      </c>
      <c r="K3519" s="1508"/>
      <c r="L3519" s="1508"/>
      <c r="M3519" s="1509">
        <f t="shared" si="519"/>
        <v>0</v>
      </c>
      <c r="N3519" s="1508">
        <f t="shared" si="520"/>
        <v>0</v>
      </c>
      <c r="O3519" s="1481">
        <f t="shared" si="516"/>
        <v>0</v>
      </c>
      <c r="P3519" s="1427">
        <f t="shared" si="517"/>
        <v>0</v>
      </c>
    </row>
    <row r="3520" spans="1:16" ht="15.5" outlineLevel="1" x14ac:dyDescent="0.25">
      <c r="A3520" s="1484">
        <f t="shared" ref="A3520:E3535" si="522">A2850</f>
        <v>0</v>
      </c>
      <c r="B3520" s="1485" t="str">
        <f t="shared" si="522"/>
        <v>IDC</v>
      </c>
      <c r="C3520" s="1482" t="str">
        <f t="shared" si="522"/>
        <v>MERC/CAPEX/20182019/0644</v>
      </c>
      <c r="D3520" s="1390">
        <f t="shared" si="522"/>
        <v>43238</v>
      </c>
      <c r="E3520" s="560">
        <f t="shared" si="522"/>
        <v>7.83</v>
      </c>
      <c r="F3520" s="1508">
        <f t="shared" si="514"/>
        <v>10.9403115</v>
      </c>
      <c r="G3520" s="1508">
        <f t="shared" si="515"/>
        <v>10.9403115</v>
      </c>
      <c r="H3520" s="1508">
        <f t="shared" si="518"/>
        <v>0</v>
      </c>
      <c r="I3520" s="1480">
        <v>0</v>
      </c>
      <c r="J3520" s="1480">
        <v>0</v>
      </c>
      <c r="K3520" s="1508"/>
      <c r="L3520" s="1508"/>
      <c r="M3520" s="1509">
        <f t="shared" si="519"/>
        <v>0</v>
      </c>
      <c r="N3520" s="1508">
        <f t="shared" si="520"/>
        <v>0</v>
      </c>
      <c r="O3520" s="1481">
        <f t="shared" si="516"/>
        <v>0</v>
      </c>
      <c r="P3520" s="1427">
        <f t="shared" si="517"/>
        <v>0</v>
      </c>
    </row>
    <row r="3521" spans="1:16" ht="15.5" outlineLevel="1" x14ac:dyDescent="0.25">
      <c r="A3521" s="1486">
        <f t="shared" si="522"/>
        <v>31</v>
      </c>
      <c r="B3521" s="1491" t="str">
        <f t="shared" si="522"/>
        <v>Fully Integrated Security Surveillance System</v>
      </c>
      <c r="C3521" s="1486" t="str">
        <f t="shared" si="522"/>
        <v>MERC/CAPEX/2018-19/066</v>
      </c>
      <c r="D3521" s="1487">
        <f t="shared" si="522"/>
        <v>43529</v>
      </c>
      <c r="E3521" s="1383">
        <f t="shared" si="522"/>
        <v>76.410000000000025</v>
      </c>
      <c r="F3521" s="1480">
        <f t="shared" si="514"/>
        <v>0</v>
      </c>
      <c r="G3521" s="1480">
        <f t="shared" si="515"/>
        <v>0</v>
      </c>
      <c r="H3521" s="1480">
        <f t="shared" si="518"/>
        <v>0</v>
      </c>
      <c r="I3521" s="1480">
        <v>0</v>
      </c>
      <c r="J3521" s="1480">
        <v>0</v>
      </c>
      <c r="K3521" s="1480"/>
      <c r="L3521" s="1480"/>
      <c r="M3521" s="1480">
        <f t="shared" si="519"/>
        <v>0</v>
      </c>
      <c r="N3521" s="1480">
        <f t="shared" si="520"/>
        <v>0</v>
      </c>
      <c r="O3521" s="1481">
        <f t="shared" si="516"/>
        <v>0</v>
      </c>
      <c r="P3521" s="1427">
        <f t="shared" si="517"/>
        <v>0</v>
      </c>
    </row>
    <row r="3522" spans="1:16" ht="15.5" outlineLevel="1" x14ac:dyDescent="0.25">
      <c r="A3522" s="1488">
        <f t="shared" si="522"/>
        <v>31.1</v>
      </c>
      <c r="B3522" s="1492" t="str">
        <f t="shared" si="522"/>
        <v>CLOSE CIRCUIT TELEVISION SYSTEM (CCTV), MOBILE DVR</v>
      </c>
      <c r="C3522" s="1488" t="str">
        <f t="shared" si="522"/>
        <v>MERC/CAPEX/2018-19/066</v>
      </c>
      <c r="D3522" s="1413">
        <f t="shared" si="522"/>
        <v>43529</v>
      </c>
      <c r="E3522" s="560">
        <f t="shared" si="522"/>
        <v>24.03</v>
      </c>
      <c r="F3522" s="1508">
        <f t="shared" si="514"/>
        <v>24.03</v>
      </c>
      <c r="G3522" s="1508">
        <f t="shared" si="515"/>
        <v>24.03</v>
      </c>
      <c r="H3522" s="1508">
        <f t="shared" si="518"/>
        <v>0</v>
      </c>
      <c r="I3522" s="1480">
        <v>0</v>
      </c>
      <c r="J3522" s="1480">
        <v>0</v>
      </c>
      <c r="K3522" s="1508"/>
      <c r="L3522" s="1508"/>
      <c r="M3522" s="1509">
        <f t="shared" si="519"/>
        <v>0</v>
      </c>
      <c r="N3522" s="1508">
        <f t="shared" si="520"/>
        <v>0</v>
      </c>
      <c r="O3522" s="1481">
        <f t="shared" si="516"/>
        <v>0</v>
      </c>
      <c r="P3522" s="1427">
        <f t="shared" si="517"/>
        <v>0</v>
      </c>
    </row>
    <row r="3523" spans="1:16" ht="15.5" outlineLevel="1" x14ac:dyDescent="0.25">
      <c r="A3523" s="1488">
        <f t="shared" si="522"/>
        <v>31.2</v>
      </c>
      <c r="B3523" s="1492" t="str">
        <f t="shared" si="522"/>
        <v>FIRE ALARM SYSTEM</v>
      </c>
      <c r="C3523" s="1488" t="str">
        <f t="shared" si="522"/>
        <v>MERC/CAPEX/2018-19/066</v>
      </c>
      <c r="D3523" s="1413">
        <f t="shared" si="522"/>
        <v>43529</v>
      </c>
      <c r="E3523" s="560">
        <f t="shared" si="522"/>
        <v>4.33</v>
      </c>
      <c r="F3523" s="1508">
        <f t="shared" si="514"/>
        <v>4.33</v>
      </c>
      <c r="G3523" s="1508">
        <f t="shared" si="515"/>
        <v>4.33</v>
      </c>
      <c r="H3523" s="1508">
        <f t="shared" si="518"/>
        <v>0</v>
      </c>
      <c r="I3523" s="1480">
        <v>0</v>
      </c>
      <c r="J3523" s="1480">
        <v>0</v>
      </c>
      <c r="K3523" s="1508"/>
      <c r="L3523" s="1508"/>
      <c r="M3523" s="1509">
        <f t="shared" si="519"/>
        <v>0</v>
      </c>
      <c r="N3523" s="1508">
        <f t="shared" si="520"/>
        <v>0</v>
      </c>
      <c r="O3523" s="1481">
        <f t="shared" si="516"/>
        <v>0</v>
      </c>
      <c r="P3523" s="1427">
        <f t="shared" si="517"/>
        <v>0</v>
      </c>
    </row>
    <row r="3524" spans="1:16" ht="15.5" outlineLevel="1" x14ac:dyDescent="0.25">
      <c r="A3524" s="1488">
        <f t="shared" si="522"/>
        <v>31.3</v>
      </c>
      <c r="B3524" s="1492" t="str">
        <f t="shared" si="522"/>
        <v>ACCESS CONTROL SYSTEM</v>
      </c>
      <c r="C3524" s="1488" t="str">
        <f t="shared" si="522"/>
        <v>MERC/CAPEX/2018-19/066</v>
      </c>
      <c r="D3524" s="1413">
        <f t="shared" si="522"/>
        <v>43529</v>
      </c>
      <c r="E3524" s="560">
        <f t="shared" si="522"/>
        <v>0.48</v>
      </c>
      <c r="F3524" s="1508">
        <f t="shared" si="514"/>
        <v>0.48</v>
      </c>
      <c r="G3524" s="1508">
        <f t="shared" si="515"/>
        <v>0.48</v>
      </c>
      <c r="H3524" s="1508">
        <f t="shared" si="518"/>
        <v>0</v>
      </c>
      <c r="I3524" s="1480">
        <v>0</v>
      </c>
      <c r="J3524" s="1480">
        <v>0</v>
      </c>
      <c r="K3524" s="1508"/>
      <c r="L3524" s="1508"/>
      <c r="M3524" s="1509">
        <f t="shared" si="519"/>
        <v>0</v>
      </c>
      <c r="N3524" s="1508">
        <f t="shared" si="520"/>
        <v>0</v>
      </c>
      <c r="O3524" s="1481">
        <f t="shared" si="516"/>
        <v>0</v>
      </c>
      <c r="P3524" s="1427">
        <f t="shared" si="517"/>
        <v>0</v>
      </c>
    </row>
    <row r="3525" spans="1:16" ht="15.5" outlineLevel="1" x14ac:dyDescent="0.25">
      <c r="A3525" s="1488">
        <f t="shared" si="522"/>
        <v>31.4</v>
      </c>
      <c r="B3525" s="1492" t="str">
        <f t="shared" si="522"/>
        <v>EPABX</v>
      </c>
      <c r="C3525" s="1488" t="str">
        <f t="shared" si="522"/>
        <v>MERC/CAPEX/2018-19/066</v>
      </c>
      <c r="D3525" s="1413">
        <f t="shared" si="522"/>
        <v>43529</v>
      </c>
      <c r="E3525" s="560">
        <f t="shared" si="522"/>
        <v>1.93</v>
      </c>
      <c r="F3525" s="1508">
        <f t="shared" si="514"/>
        <v>1.93</v>
      </c>
      <c r="G3525" s="1508">
        <f t="shared" si="515"/>
        <v>1.93</v>
      </c>
      <c r="H3525" s="1508">
        <f t="shared" si="518"/>
        <v>0</v>
      </c>
      <c r="I3525" s="1480">
        <v>0</v>
      </c>
      <c r="J3525" s="1480">
        <v>0</v>
      </c>
      <c r="K3525" s="1508"/>
      <c r="L3525" s="1508"/>
      <c r="M3525" s="1509">
        <f t="shared" si="519"/>
        <v>0</v>
      </c>
      <c r="N3525" s="1508">
        <f t="shared" si="520"/>
        <v>0</v>
      </c>
      <c r="O3525" s="1481">
        <f t="shared" si="516"/>
        <v>0</v>
      </c>
      <c r="P3525" s="1427">
        <f t="shared" si="517"/>
        <v>0</v>
      </c>
    </row>
    <row r="3526" spans="1:16" ht="15.5" outlineLevel="1" x14ac:dyDescent="0.25">
      <c r="A3526" s="1488">
        <f t="shared" si="522"/>
        <v>31.5</v>
      </c>
      <c r="B3526" s="1492" t="str">
        <f t="shared" si="522"/>
        <v>RADIO COMMUNICATION AND CONNECTIVITY (Wireless)</v>
      </c>
      <c r="C3526" s="1488" t="str">
        <f t="shared" si="522"/>
        <v>MERC/CAPEX/2018-19/066</v>
      </c>
      <c r="D3526" s="1413">
        <f t="shared" si="522"/>
        <v>43529</v>
      </c>
      <c r="E3526" s="560">
        <f t="shared" si="522"/>
        <v>1.76</v>
      </c>
      <c r="F3526" s="1508">
        <f t="shared" si="514"/>
        <v>1.76</v>
      </c>
      <c r="G3526" s="1508">
        <f t="shared" si="515"/>
        <v>1.76</v>
      </c>
      <c r="H3526" s="1508">
        <f t="shared" si="518"/>
        <v>0</v>
      </c>
      <c r="I3526" s="1480">
        <v>0</v>
      </c>
      <c r="J3526" s="1480">
        <v>0</v>
      </c>
      <c r="K3526" s="1508"/>
      <c r="L3526" s="1508"/>
      <c r="M3526" s="1509">
        <f t="shared" si="519"/>
        <v>0</v>
      </c>
      <c r="N3526" s="1508">
        <f t="shared" si="520"/>
        <v>0</v>
      </c>
      <c r="O3526" s="1481">
        <f t="shared" si="516"/>
        <v>0</v>
      </c>
      <c r="P3526" s="1427">
        <f t="shared" si="517"/>
        <v>0</v>
      </c>
    </row>
    <row r="3527" spans="1:16" ht="15.5" outlineLevel="1" x14ac:dyDescent="0.25">
      <c r="A3527" s="1488">
        <f t="shared" si="522"/>
        <v>31.6</v>
      </c>
      <c r="B3527" s="1492" t="str">
        <f t="shared" si="522"/>
        <v>ENTRY MANAGEMENT SYSTEM, TRUCK TRACKING SYSTEM</v>
      </c>
      <c r="C3527" s="1488" t="str">
        <f t="shared" si="522"/>
        <v>MERC/CAPEX/2018-19/066</v>
      </c>
      <c r="D3527" s="1413">
        <f t="shared" si="522"/>
        <v>43529</v>
      </c>
      <c r="E3527" s="560">
        <f t="shared" si="522"/>
        <v>1.25</v>
      </c>
      <c r="F3527" s="1508">
        <f t="shared" si="514"/>
        <v>1.25</v>
      </c>
      <c r="G3527" s="1508">
        <f t="shared" si="515"/>
        <v>1.25</v>
      </c>
      <c r="H3527" s="1508">
        <f t="shared" si="518"/>
        <v>0</v>
      </c>
      <c r="I3527" s="1480">
        <v>0</v>
      </c>
      <c r="J3527" s="1480">
        <v>0</v>
      </c>
      <c r="K3527" s="1508"/>
      <c r="L3527" s="1508"/>
      <c r="M3527" s="1509">
        <f t="shared" si="519"/>
        <v>0</v>
      </c>
      <c r="N3527" s="1508">
        <f t="shared" si="520"/>
        <v>0</v>
      </c>
      <c r="O3527" s="1481">
        <f t="shared" si="516"/>
        <v>0</v>
      </c>
      <c r="P3527" s="1427">
        <f t="shared" si="517"/>
        <v>0</v>
      </c>
    </row>
    <row r="3528" spans="1:16" ht="15.5" outlineLevel="1" x14ac:dyDescent="0.25">
      <c r="A3528" s="1488">
        <f t="shared" si="522"/>
        <v>31.7</v>
      </c>
      <c r="B3528" s="1492" t="str">
        <f t="shared" si="522"/>
        <v>NETWORKING</v>
      </c>
      <c r="C3528" s="1488" t="str">
        <f t="shared" si="522"/>
        <v>MERC/CAPEX/2018-19/066</v>
      </c>
      <c r="D3528" s="1413">
        <f t="shared" si="522"/>
        <v>43529</v>
      </c>
      <c r="E3528" s="560">
        <f t="shared" si="522"/>
        <v>9.35</v>
      </c>
      <c r="F3528" s="1508">
        <f t="shared" si="514"/>
        <v>9.35</v>
      </c>
      <c r="G3528" s="1508">
        <f t="shared" si="515"/>
        <v>9.35</v>
      </c>
      <c r="H3528" s="1508">
        <f t="shared" si="518"/>
        <v>0</v>
      </c>
      <c r="I3528" s="1480">
        <v>0</v>
      </c>
      <c r="J3528" s="1480">
        <v>0</v>
      </c>
      <c r="K3528" s="1508"/>
      <c r="L3528" s="1508"/>
      <c r="M3528" s="1509">
        <f t="shared" si="519"/>
        <v>0</v>
      </c>
      <c r="N3528" s="1508">
        <f t="shared" si="520"/>
        <v>0</v>
      </c>
      <c r="O3528" s="1481">
        <f t="shared" si="516"/>
        <v>0</v>
      </c>
      <c r="P3528" s="1427">
        <f t="shared" si="517"/>
        <v>0</v>
      </c>
    </row>
    <row r="3529" spans="1:16" ht="15.5" outlineLevel="1" x14ac:dyDescent="0.25">
      <c r="A3529" s="1488">
        <f t="shared" si="522"/>
        <v>31.8</v>
      </c>
      <c r="B3529" s="1492" t="str">
        <f t="shared" si="522"/>
        <v>MESSAGE DISPLAY SYSTEM</v>
      </c>
      <c r="C3529" s="1488" t="str">
        <f t="shared" si="522"/>
        <v>MERC/CAPEX/2018-19/066</v>
      </c>
      <c r="D3529" s="1413">
        <f t="shared" si="522"/>
        <v>43529</v>
      </c>
      <c r="E3529" s="560">
        <f t="shared" si="522"/>
        <v>0.31</v>
      </c>
      <c r="F3529" s="1508">
        <f t="shared" si="514"/>
        <v>0.31</v>
      </c>
      <c r="G3529" s="1508">
        <f t="shared" si="515"/>
        <v>0.31</v>
      </c>
      <c r="H3529" s="1508">
        <f t="shared" si="518"/>
        <v>0</v>
      </c>
      <c r="I3529" s="1480">
        <v>0</v>
      </c>
      <c r="J3529" s="1480">
        <v>0</v>
      </c>
      <c r="K3529" s="1508"/>
      <c r="L3529" s="1508"/>
      <c r="M3529" s="1509">
        <f t="shared" si="519"/>
        <v>0</v>
      </c>
      <c r="N3529" s="1508">
        <f t="shared" si="520"/>
        <v>0</v>
      </c>
      <c r="O3529" s="1481">
        <f t="shared" si="516"/>
        <v>0</v>
      </c>
      <c r="P3529" s="1427">
        <f t="shared" si="517"/>
        <v>0</v>
      </c>
    </row>
    <row r="3530" spans="1:16" ht="15.5" outlineLevel="1" x14ac:dyDescent="0.25">
      <c r="A3530" s="1488">
        <f t="shared" si="522"/>
        <v>31.9</v>
      </c>
      <c r="B3530" s="1492" t="str">
        <f t="shared" si="522"/>
        <v>IP PA SYSTEM</v>
      </c>
      <c r="C3530" s="1488" t="str">
        <f t="shared" si="522"/>
        <v>MERC/CAPEX/2018-19/066</v>
      </c>
      <c r="D3530" s="1413">
        <f t="shared" si="522"/>
        <v>43529</v>
      </c>
      <c r="E3530" s="560">
        <f t="shared" si="522"/>
        <v>2.74</v>
      </c>
      <c r="F3530" s="1508">
        <f t="shared" si="514"/>
        <v>2.74</v>
      </c>
      <c r="G3530" s="1508">
        <f t="shared" si="515"/>
        <v>2.74</v>
      </c>
      <c r="H3530" s="1508">
        <f t="shared" si="518"/>
        <v>0</v>
      </c>
      <c r="I3530" s="1480">
        <v>0</v>
      </c>
      <c r="J3530" s="1480">
        <v>0</v>
      </c>
      <c r="K3530" s="1508"/>
      <c r="L3530" s="1508"/>
      <c r="M3530" s="1509">
        <f t="shared" si="519"/>
        <v>0</v>
      </c>
      <c r="N3530" s="1508">
        <f t="shared" si="520"/>
        <v>0</v>
      </c>
      <c r="O3530" s="1481">
        <f t="shared" si="516"/>
        <v>0</v>
      </c>
      <c r="P3530" s="1427">
        <f t="shared" si="517"/>
        <v>0</v>
      </c>
    </row>
    <row r="3531" spans="1:16" ht="15.5" outlineLevel="1" x14ac:dyDescent="0.25">
      <c r="A3531" s="1488" t="str">
        <f t="shared" si="522"/>
        <v>31.10</v>
      </c>
      <c r="B3531" s="1492" t="str">
        <f t="shared" si="522"/>
        <v>TOWERS, EARTHING /POLES, CONDUITING, DIGGING</v>
      </c>
      <c r="C3531" s="1488" t="str">
        <f t="shared" si="522"/>
        <v>MERC/CAPEX/2018-19/066</v>
      </c>
      <c r="D3531" s="1413">
        <f t="shared" si="522"/>
        <v>43529</v>
      </c>
      <c r="E3531" s="560">
        <f t="shared" si="522"/>
        <v>7.63</v>
      </c>
      <c r="F3531" s="1508">
        <f t="shared" si="514"/>
        <v>7.63</v>
      </c>
      <c r="G3531" s="1508">
        <f t="shared" si="515"/>
        <v>7.63</v>
      </c>
      <c r="H3531" s="1508">
        <f t="shared" si="518"/>
        <v>0</v>
      </c>
      <c r="I3531" s="1480">
        <v>0</v>
      </c>
      <c r="J3531" s="1480">
        <v>0</v>
      </c>
      <c r="K3531" s="1508"/>
      <c r="L3531" s="1508"/>
      <c r="M3531" s="1509">
        <f t="shared" si="519"/>
        <v>0</v>
      </c>
      <c r="N3531" s="1508">
        <f t="shared" si="520"/>
        <v>0</v>
      </c>
      <c r="O3531" s="1481">
        <f t="shared" si="516"/>
        <v>0</v>
      </c>
      <c r="P3531" s="1427">
        <f t="shared" si="517"/>
        <v>0</v>
      </c>
    </row>
    <row r="3532" spans="1:16" ht="46.5" outlineLevel="1" x14ac:dyDescent="0.25">
      <c r="A3532" s="1488">
        <f t="shared" si="522"/>
        <v>31.11</v>
      </c>
      <c r="B3532" s="1492" t="str">
        <f t="shared" si="522"/>
        <v>RDBMS, SERVER, WORKSTATIONS, IN CON. ROOM WITH FURINITURE DOCUMENTATION, CAMERA &amp; ANALYTICS LICENSES</v>
      </c>
      <c r="C3532" s="1488" t="str">
        <f t="shared" si="522"/>
        <v>MERC/CAPEX/2018-19/066</v>
      </c>
      <c r="D3532" s="1413">
        <f t="shared" si="522"/>
        <v>43529</v>
      </c>
      <c r="E3532" s="560">
        <f t="shared" si="522"/>
        <v>18.670000000000002</v>
      </c>
      <c r="F3532" s="1508">
        <f t="shared" si="514"/>
        <v>18.670000000000002</v>
      </c>
      <c r="G3532" s="1508">
        <f t="shared" si="515"/>
        <v>18.670000000000002</v>
      </c>
      <c r="H3532" s="1508">
        <f t="shared" si="518"/>
        <v>0</v>
      </c>
      <c r="I3532" s="1480">
        <v>0</v>
      </c>
      <c r="J3532" s="1480">
        <v>0</v>
      </c>
      <c r="K3532" s="1508"/>
      <c r="L3532" s="1508"/>
      <c r="M3532" s="1509">
        <f t="shared" si="519"/>
        <v>0</v>
      </c>
      <c r="N3532" s="1508">
        <f t="shared" si="520"/>
        <v>0</v>
      </c>
      <c r="O3532" s="1481">
        <f t="shared" si="516"/>
        <v>0</v>
      </c>
      <c r="P3532" s="1427">
        <f t="shared" si="517"/>
        <v>0</v>
      </c>
    </row>
    <row r="3533" spans="1:16" ht="15.5" outlineLevel="1" x14ac:dyDescent="0.25">
      <c r="A3533" s="1488">
        <f t="shared" si="522"/>
        <v>31.12</v>
      </c>
      <c r="B3533" s="1492" t="str">
        <f t="shared" si="522"/>
        <v>ADDITIONAL CIVIL WORK</v>
      </c>
      <c r="C3533" s="1488" t="str">
        <f t="shared" si="522"/>
        <v>MERC/CAPEX/2018-19/066</v>
      </c>
      <c r="D3533" s="1413">
        <f t="shared" si="522"/>
        <v>43529</v>
      </c>
      <c r="E3533" s="560">
        <f t="shared" si="522"/>
        <v>3.93</v>
      </c>
      <c r="F3533" s="1508">
        <f t="shared" si="514"/>
        <v>3.93</v>
      </c>
      <c r="G3533" s="1508">
        <f t="shared" si="515"/>
        <v>3.93</v>
      </c>
      <c r="H3533" s="1508">
        <f t="shared" si="518"/>
        <v>0</v>
      </c>
      <c r="I3533" s="1480">
        <v>0</v>
      </c>
      <c r="J3533" s="1480">
        <v>0</v>
      </c>
      <c r="K3533" s="1508"/>
      <c r="L3533" s="1508"/>
      <c r="M3533" s="1509">
        <f t="shared" si="519"/>
        <v>0</v>
      </c>
      <c r="N3533" s="1508">
        <f t="shared" si="520"/>
        <v>0</v>
      </c>
      <c r="O3533" s="1481">
        <f t="shared" si="516"/>
        <v>0</v>
      </c>
      <c r="P3533" s="1427">
        <f t="shared" si="517"/>
        <v>0</v>
      </c>
    </row>
    <row r="3534" spans="1:16" ht="46.5" outlineLevel="1" x14ac:dyDescent="0.25">
      <c r="A3534" s="1486">
        <f t="shared" si="522"/>
        <v>32</v>
      </c>
      <c r="B3534" s="1491" t="str">
        <f t="shared" si="522"/>
        <v>Provision of VFD panel along with bypasses arrangement for HT/LT conveyors &amp; automation of control room at Coal Handling Plant-B</v>
      </c>
      <c r="C3534" s="1486" t="str">
        <f t="shared" si="522"/>
        <v>MERC/CAPEX/20182019/1240</v>
      </c>
      <c r="D3534" s="1487">
        <f t="shared" si="522"/>
        <v>43363</v>
      </c>
      <c r="E3534" s="1383">
        <f t="shared" si="522"/>
        <v>38.629999999999995</v>
      </c>
      <c r="F3534" s="1480">
        <f t="shared" si="514"/>
        <v>0</v>
      </c>
      <c r="G3534" s="1480">
        <f t="shared" si="515"/>
        <v>0</v>
      </c>
      <c r="H3534" s="1480">
        <f t="shared" si="518"/>
        <v>0</v>
      </c>
      <c r="I3534" s="1480">
        <v>0</v>
      </c>
      <c r="J3534" s="1480">
        <v>0</v>
      </c>
      <c r="K3534" s="1480"/>
      <c r="L3534" s="1480"/>
      <c r="M3534" s="1480">
        <f t="shared" si="519"/>
        <v>0</v>
      </c>
      <c r="N3534" s="1480">
        <f t="shared" si="520"/>
        <v>0</v>
      </c>
      <c r="O3534" s="1481">
        <f t="shared" si="516"/>
        <v>0</v>
      </c>
      <c r="P3534" s="1427">
        <f t="shared" si="517"/>
        <v>0</v>
      </c>
    </row>
    <row r="3535" spans="1:16" ht="46.5" outlineLevel="1" x14ac:dyDescent="0.25">
      <c r="A3535" s="1488">
        <f t="shared" si="522"/>
        <v>32.1</v>
      </c>
      <c r="B3535" s="1492" t="str">
        <f t="shared" si="522"/>
        <v>Procurement, Installation and commissioning of MV/LT VFD panel along with bypass arrangement for HT/LT Conveyors of CHP-B</v>
      </c>
      <c r="C3535" s="1488" t="str">
        <f t="shared" si="522"/>
        <v>MERC/CAPEX/20182019/1240</v>
      </c>
      <c r="D3535" s="1413">
        <f t="shared" si="522"/>
        <v>43363</v>
      </c>
      <c r="E3535" s="560">
        <f t="shared" si="522"/>
        <v>32.56</v>
      </c>
      <c r="F3535" s="1508">
        <f t="shared" si="514"/>
        <v>32.56</v>
      </c>
      <c r="G3535" s="1508">
        <f t="shared" si="515"/>
        <v>32.56</v>
      </c>
      <c r="H3535" s="1508">
        <f t="shared" si="518"/>
        <v>0</v>
      </c>
      <c r="I3535" s="1480">
        <v>0</v>
      </c>
      <c r="J3535" s="1480">
        <v>0</v>
      </c>
      <c r="K3535" s="1508"/>
      <c r="L3535" s="1508"/>
      <c r="M3535" s="1509">
        <f t="shared" si="519"/>
        <v>0</v>
      </c>
      <c r="N3535" s="1508">
        <f t="shared" si="520"/>
        <v>0</v>
      </c>
      <c r="O3535" s="1481">
        <f t="shared" si="516"/>
        <v>0</v>
      </c>
      <c r="P3535" s="1427">
        <f t="shared" si="517"/>
        <v>0</v>
      </c>
    </row>
    <row r="3536" spans="1:16" ht="15.5" outlineLevel="1" x14ac:dyDescent="0.25">
      <c r="A3536" s="1488">
        <f t="shared" ref="A3536:E3551" si="523">A2866</f>
        <v>32.200000000000003</v>
      </c>
      <c r="B3536" s="1492" t="str">
        <f t="shared" si="523"/>
        <v>Automation of Control Room of CHP-B Using PLC System</v>
      </c>
      <c r="C3536" s="1488" t="str">
        <f t="shared" si="523"/>
        <v>MERC/CAPEX/20182019/1240</v>
      </c>
      <c r="D3536" s="1413">
        <f t="shared" si="523"/>
        <v>43363</v>
      </c>
      <c r="E3536" s="560">
        <f t="shared" si="523"/>
        <v>4.91</v>
      </c>
      <c r="F3536" s="1508">
        <f t="shared" si="514"/>
        <v>8</v>
      </c>
      <c r="G3536" s="1508">
        <f t="shared" si="515"/>
        <v>8</v>
      </c>
      <c r="H3536" s="1508">
        <f t="shared" si="518"/>
        <v>0</v>
      </c>
      <c r="I3536" s="1480">
        <v>0</v>
      </c>
      <c r="J3536" s="1480">
        <v>0</v>
      </c>
      <c r="K3536" s="1508"/>
      <c r="L3536" s="1508"/>
      <c r="M3536" s="1509">
        <f t="shared" si="519"/>
        <v>0</v>
      </c>
      <c r="N3536" s="1508">
        <f t="shared" si="520"/>
        <v>0</v>
      </c>
      <c r="O3536" s="1481">
        <f t="shared" si="516"/>
        <v>0</v>
      </c>
      <c r="P3536" s="1427">
        <f t="shared" si="517"/>
        <v>0</v>
      </c>
    </row>
    <row r="3537" spans="1:16" ht="15.5" outlineLevel="1" x14ac:dyDescent="0.25">
      <c r="A3537" s="1482">
        <f t="shared" si="523"/>
        <v>0</v>
      </c>
      <c r="B3537" s="1483" t="str">
        <f t="shared" si="523"/>
        <v>IDC</v>
      </c>
      <c r="C3537" s="1482" t="str">
        <f t="shared" si="523"/>
        <v>MERC/CAPEX/20182019/1240</v>
      </c>
      <c r="D3537" s="1390">
        <f t="shared" si="523"/>
        <v>43363</v>
      </c>
      <c r="E3537" s="560">
        <f t="shared" si="523"/>
        <v>1.1599999999999999</v>
      </c>
      <c r="F3537" s="1508">
        <f t="shared" si="514"/>
        <v>0</v>
      </c>
      <c r="G3537" s="1508">
        <f t="shared" si="515"/>
        <v>0</v>
      </c>
      <c r="H3537" s="1508">
        <f t="shared" si="518"/>
        <v>0</v>
      </c>
      <c r="I3537" s="1480">
        <v>0</v>
      </c>
      <c r="J3537" s="1480">
        <v>0</v>
      </c>
      <c r="K3537" s="1508"/>
      <c r="L3537" s="1508"/>
      <c r="M3537" s="1509">
        <f t="shared" si="519"/>
        <v>0</v>
      </c>
      <c r="N3537" s="1508">
        <f t="shared" si="520"/>
        <v>0</v>
      </c>
      <c r="O3537" s="1481">
        <f t="shared" si="516"/>
        <v>0</v>
      </c>
      <c r="P3537" s="1427">
        <f t="shared" si="517"/>
        <v>0</v>
      </c>
    </row>
    <row r="3538" spans="1:16" ht="31" outlineLevel="1" x14ac:dyDescent="0.25">
      <c r="A3538" s="1486">
        <f t="shared" si="523"/>
        <v>33</v>
      </c>
      <c r="B3538" s="1491" t="str">
        <f t="shared" si="523"/>
        <v>Complete Track Renewal (CTR)/Renovation of existing Broad Gauge Railway Siding of 500MW Yard in CSTPS</v>
      </c>
      <c r="C3538" s="1486" t="str">
        <f t="shared" si="523"/>
        <v>MERC/CAPEX/2019-2020/362</v>
      </c>
      <c r="D3538" s="1487">
        <f t="shared" si="523"/>
        <v>43657</v>
      </c>
      <c r="E3538" s="1383">
        <f t="shared" si="523"/>
        <v>15.22025</v>
      </c>
      <c r="F3538" s="1480">
        <f t="shared" si="514"/>
        <v>0</v>
      </c>
      <c r="G3538" s="1480">
        <f t="shared" si="515"/>
        <v>0</v>
      </c>
      <c r="H3538" s="1480">
        <f t="shared" si="518"/>
        <v>0</v>
      </c>
      <c r="I3538" s="1480">
        <v>0</v>
      </c>
      <c r="J3538" s="1480">
        <v>0</v>
      </c>
      <c r="K3538" s="1480"/>
      <c r="L3538" s="1480"/>
      <c r="M3538" s="1480">
        <f t="shared" si="519"/>
        <v>0</v>
      </c>
      <c r="N3538" s="1480">
        <f t="shared" si="520"/>
        <v>0</v>
      </c>
      <c r="O3538" s="1481">
        <f t="shared" si="516"/>
        <v>0</v>
      </c>
      <c r="P3538" s="1427">
        <f t="shared" si="517"/>
        <v>0</v>
      </c>
    </row>
    <row r="3539" spans="1:16" ht="31" outlineLevel="1" x14ac:dyDescent="0.25">
      <c r="A3539" s="1488">
        <f t="shared" si="523"/>
        <v>33.1</v>
      </c>
      <c r="B3539" s="1492" t="str">
        <f t="shared" si="523"/>
        <v>Complete Track Renewal (CTR)/Renovation of existing Broad Gauge Railway Siding of 500MW Yard in CSTPS</v>
      </c>
      <c r="C3539" s="1488" t="str">
        <f t="shared" si="523"/>
        <v>MERC/CAPEX/2019-2020/362</v>
      </c>
      <c r="D3539" s="1413">
        <f t="shared" si="523"/>
        <v>43657</v>
      </c>
      <c r="E3539" s="560">
        <f t="shared" si="523"/>
        <v>14.20025</v>
      </c>
      <c r="F3539" s="1508">
        <f t="shared" si="514"/>
        <v>16.899999999999999</v>
      </c>
      <c r="G3539" s="1508">
        <f t="shared" si="515"/>
        <v>16.899999999999999</v>
      </c>
      <c r="H3539" s="1508">
        <f t="shared" si="518"/>
        <v>0</v>
      </c>
      <c r="I3539" s="1480">
        <v>0</v>
      </c>
      <c r="J3539" s="1480">
        <v>0</v>
      </c>
      <c r="K3539" s="1508"/>
      <c r="L3539" s="1508"/>
      <c r="M3539" s="1509">
        <f t="shared" si="519"/>
        <v>0</v>
      </c>
      <c r="N3539" s="1508">
        <f t="shared" si="520"/>
        <v>0</v>
      </c>
      <c r="O3539" s="1481">
        <f t="shared" si="516"/>
        <v>0</v>
      </c>
      <c r="P3539" s="1427">
        <f t="shared" si="517"/>
        <v>0</v>
      </c>
    </row>
    <row r="3540" spans="1:16" ht="15.5" outlineLevel="1" x14ac:dyDescent="0.25">
      <c r="A3540" s="1482">
        <f t="shared" si="523"/>
        <v>0</v>
      </c>
      <c r="B3540" s="1483" t="str">
        <f t="shared" si="523"/>
        <v>IDC</v>
      </c>
      <c r="C3540" s="1482" t="str">
        <f t="shared" si="523"/>
        <v>MERC/CAPEX/2019-2020/362</v>
      </c>
      <c r="D3540" s="1390">
        <f t="shared" si="523"/>
        <v>43657</v>
      </c>
      <c r="E3540" s="560">
        <f t="shared" si="523"/>
        <v>1.02</v>
      </c>
      <c r="F3540" s="1508">
        <f t="shared" si="514"/>
        <v>0</v>
      </c>
      <c r="G3540" s="1508">
        <f t="shared" si="515"/>
        <v>0</v>
      </c>
      <c r="H3540" s="1508">
        <f t="shared" si="518"/>
        <v>0</v>
      </c>
      <c r="I3540" s="1480">
        <v>0</v>
      </c>
      <c r="J3540" s="1480">
        <v>0</v>
      </c>
      <c r="K3540" s="1508"/>
      <c r="L3540" s="1508"/>
      <c r="M3540" s="1509">
        <f t="shared" si="519"/>
        <v>0</v>
      </c>
      <c r="N3540" s="1508">
        <f t="shared" si="520"/>
        <v>0</v>
      </c>
      <c r="O3540" s="1481">
        <f t="shared" si="516"/>
        <v>0</v>
      </c>
      <c r="P3540" s="1427">
        <f t="shared" si="517"/>
        <v>0</v>
      </c>
    </row>
    <row r="3541" spans="1:16" ht="31" outlineLevel="1" x14ac:dyDescent="0.25">
      <c r="A3541" s="1486">
        <f t="shared" si="523"/>
        <v>34</v>
      </c>
      <c r="B3541" s="1491" t="str">
        <f t="shared" si="523"/>
        <v>Procurement of Spare Generator Rotor along with one set of Bearings for Unit # 5, 6 &amp; 7 CSTPS, Chandrapur</v>
      </c>
      <c r="C3541" s="1486" t="str">
        <f t="shared" si="523"/>
        <v>MERC/CAPEX/2019-2020/129</v>
      </c>
      <c r="D3541" s="1487">
        <f t="shared" si="523"/>
        <v>43588</v>
      </c>
      <c r="E3541" s="1383">
        <f t="shared" si="523"/>
        <v>41.469115199999997</v>
      </c>
      <c r="F3541" s="1480">
        <f t="shared" si="514"/>
        <v>0</v>
      </c>
      <c r="G3541" s="1480">
        <f t="shared" si="515"/>
        <v>0</v>
      </c>
      <c r="H3541" s="1480">
        <f t="shared" si="518"/>
        <v>0</v>
      </c>
      <c r="I3541" s="1480">
        <v>0</v>
      </c>
      <c r="J3541" s="1480">
        <v>0</v>
      </c>
      <c r="K3541" s="1480"/>
      <c r="L3541" s="1480"/>
      <c r="M3541" s="1480">
        <f t="shared" si="519"/>
        <v>0</v>
      </c>
      <c r="N3541" s="1480">
        <f t="shared" si="520"/>
        <v>0</v>
      </c>
      <c r="O3541" s="1481">
        <f t="shared" si="516"/>
        <v>0</v>
      </c>
      <c r="P3541" s="1427">
        <f t="shared" si="517"/>
        <v>0</v>
      </c>
    </row>
    <row r="3542" spans="1:16" ht="46.5" outlineLevel="1" x14ac:dyDescent="0.25">
      <c r="A3542" s="1488">
        <f t="shared" si="523"/>
        <v>34.1</v>
      </c>
      <c r="B3542" s="1492" t="str">
        <f t="shared" si="523"/>
        <v xml:space="preserve">Generator Rotor suitable for THDF 115/59
One Set of Bearings (Comprising of 2 nos. of bearings)
</v>
      </c>
      <c r="C3542" s="1488" t="str">
        <f t="shared" si="523"/>
        <v>MERC/CAPEX/2019-2020/129</v>
      </c>
      <c r="D3542" s="1413">
        <f t="shared" si="523"/>
        <v>43588</v>
      </c>
      <c r="E3542" s="560">
        <f t="shared" si="523"/>
        <v>40.359115199999998</v>
      </c>
      <c r="F3542" s="1508">
        <f t="shared" si="514"/>
        <v>42.189589900000001</v>
      </c>
      <c r="G3542" s="1508">
        <f t="shared" si="515"/>
        <v>42.189589900000001</v>
      </c>
      <c r="H3542" s="1508">
        <f t="shared" si="518"/>
        <v>0</v>
      </c>
      <c r="I3542" s="1480">
        <v>0</v>
      </c>
      <c r="J3542" s="1480">
        <v>0</v>
      </c>
      <c r="K3542" s="1508"/>
      <c r="L3542" s="1508"/>
      <c r="M3542" s="1509">
        <f t="shared" si="519"/>
        <v>0</v>
      </c>
      <c r="N3542" s="1508">
        <f t="shared" si="520"/>
        <v>0</v>
      </c>
      <c r="O3542" s="1481">
        <f t="shared" si="516"/>
        <v>0</v>
      </c>
      <c r="P3542" s="1427">
        <f t="shared" si="517"/>
        <v>0</v>
      </c>
    </row>
    <row r="3543" spans="1:16" ht="15.5" outlineLevel="1" x14ac:dyDescent="0.25">
      <c r="A3543" s="1482">
        <f t="shared" si="523"/>
        <v>0</v>
      </c>
      <c r="B3543" s="1483" t="str">
        <f t="shared" si="523"/>
        <v>IDC</v>
      </c>
      <c r="C3543" s="1482" t="str">
        <f t="shared" si="523"/>
        <v>MERC/CAPEX/2019-2020/129</v>
      </c>
      <c r="D3543" s="1390">
        <f t="shared" si="523"/>
        <v>43588</v>
      </c>
      <c r="E3543" s="560">
        <f t="shared" si="523"/>
        <v>1.1100000000000001</v>
      </c>
      <c r="F3543" s="1508">
        <f t="shared" si="514"/>
        <v>0</v>
      </c>
      <c r="G3543" s="1508">
        <f t="shared" si="515"/>
        <v>0</v>
      </c>
      <c r="H3543" s="1508">
        <f t="shared" si="518"/>
        <v>0</v>
      </c>
      <c r="I3543" s="1480">
        <v>0</v>
      </c>
      <c r="J3543" s="1480">
        <v>0</v>
      </c>
      <c r="K3543" s="1508"/>
      <c r="L3543" s="1508"/>
      <c r="M3543" s="1509">
        <f t="shared" si="519"/>
        <v>0</v>
      </c>
      <c r="N3543" s="1508">
        <f t="shared" si="520"/>
        <v>0</v>
      </c>
      <c r="O3543" s="1481">
        <f t="shared" si="516"/>
        <v>0</v>
      </c>
      <c r="P3543" s="1427">
        <f t="shared" si="517"/>
        <v>0</v>
      </c>
    </row>
    <row r="3544" spans="1:16" ht="31" outlineLevel="1" x14ac:dyDescent="0.25">
      <c r="A3544" s="1477">
        <f t="shared" si="523"/>
        <v>35</v>
      </c>
      <c r="B3544" s="1478" t="str">
        <f t="shared" si="523"/>
        <v>Procurement of 2 NOS. OF 3100 HP, WDG-3A Locomotives for CSTPS, Chandrapur</v>
      </c>
      <c r="C3544" s="1486" t="str">
        <f t="shared" si="523"/>
        <v>MERC/CAPEX/2019-2020/1214</v>
      </c>
      <c r="D3544" s="1487">
        <f t="shared" si="523"/>
        <v>43822</v>
      </c>
      <c r="E3544" s="1383">
        <f t="shared" si="523"/>
        <v>22.05</v>
      </c>
      <c r="F3544" s="1480">
        <f t="shared" si="514"/>
        <v>0</v>
      </c>
      <c r="G3544" s="1480">
        <f t="shared" si="515"/>
        <v>0</v>
      </c>
      <c r="H3544" s="1480">
        <f t="shared" si="518"/>
        <v>0</v>
      </c>
      <c r="I3544" s="1480">
        <v>0</v>
      </c>
      <c r="J3544" s="1480">
        <v>0</v>
      </c>
      <c r="K3544" s="1480"/>
      <c r="L3544" s="1480"/>
      <c r="M3544" s="1480">
        <f t="shared" si="519"/>
        <v>0</v>
      </c>
      <c r="N3544" s="1480">
        <f t="shared" si="520"/>
        <v>0</v>
      </c>
      <c r="O3544" s="1481">
        <f t="shared" si="516"/>
        <v>0</v>
      </c>
      <c r="P3544" s="1427">
        <f t="shared" si="517"/>
        <v>0</v>
      </c>
    </row>
    <row r="3545" spans="1:16" ht="31" outlineLevel="1" x14ac:dyDescent="0.25">
      <c r="A3545" s="1482">
        <f t="shared" si="523"/>
        <v>35.1</v>
      </c>
      <c r="B3545" s="1483" t="str">
        <f t="shared" si="523"/>
        <v>Procurement of 2 NOS. OF 3100 HP, WDG-3A Locomotives for CSTPS, Chandrapur</v>
      </c>
      <c r="C3545" s="1488" t="str">
        <f t="shared" si="523"/>
        <v>MERC/CAPEX/2019-2020/1214</v>
      </c>
      <c r="D3545" s="1413">
        <f t="shared" si="523"/>
        <v>43822</v>
      </c>
      <c r="E3545" s="1383">
        <f t="shared" si="523"/>
        <v>21.66</v>
      </c>
      <c r="F3545" s="1480">
        <f t="shared" si="514"/>
        <v>22.854784800000001</v>
      </c>
      <c r="G3545" s="1480">
        <f t="shared" si="515"/>
        <v>22.854784800000001</v>
      </c>
      <c r="H3545" s="1480">
        <f>F3545-G3545</f>
        <v>0</v>
      </c>
      <c r="I3545" s="1480">
        <v>0</v>
      </c>
      <c r="J3545" s="1480">
        <v>0</v>
      </c>
      <c r="K3545" s="1480"/>
      <c r="L3545" s="1480"/>
      <c r="M3545" s="1480">
        <f>SUM(J3545:L3545)</f>
        <v>0</v>
      </c>
      <c r="N3545" s="1480">
        <f>H3545+I3545-M3545</f>
        <v>0</v>
      </c>
      <c r="O3545" s="1481">
        <f t="shared" si="516"/>
        <v>0</v>
      </c>
      <c r="P3545" s="1427">
        <f t="shared" si="517"/>
        <v>0</v>
      </c>
    </row>
    <row r="3546" spans="1:16" ht="15.5" outlineLevel="1" x14ac:dyDescent="0.25">
      <c r="A3546" s="1482">
        <f t="shared" si="523"/>
        <v>0</v>
      </c>
      <c r="B3546" s="1483" t="str">
        <f t="shared" si="523"/>
        <v>IDC</v>
      </c>
      <c r="C3546" s="1482" t="str">
        <f t="shared" si="523"/>
        <v>MERC/CAPEX/2019-2020/1214</v>
      </c>
      <c r="D3546" s="1390">
        <f t="shared" si="523"/>
        <v>43822</v>
      </c>
      <c r="E3546" s="560">
        <f t="shared" si="523"/>
        <v>0.39</v>
      </c>
      <c r="F3546" s="1508">
        <f t="shared" si="514"/>
        <v>0</v>
      </c>
      <c r="G3546" s="1508">
        <f t="shared" si="515"/>
        <v>0</v>
      </c>
      <c r="H3546" s="1508">
        <f t="shared" ref="H3546:H3609" si="524">F3546-G3546</f>
        <v>0</v>
      </c>
      <c r="I3546" s="1480">
        <v>0</v>
      </c>
      <c r="J3546" s="1480">
        <v>0</v>
      </c>
      <c r="K3546" s="1508"/>
      <c r="L3546" s="1508"/>
      <c r="M3546" s="1509">
        <f t="shared" ref="M3546:M3602" si="525">SUM(J3546:L3546)</f>
        <v>0</v>
      </c>
      <c r="N3546" s="1508">
        <f t="shared" ref="N3546:N3609" si="526">H3546+I3546-M3546</f>
        <v>0</v>
      </c>
      <c r="O3546" s="1481">
        <f t="shared" si="516"/>
        <v>0</v>
      </c>
      <c r="P3546" s="1427">
        <f t="shared" si="517"/>
        <v>0</v>
      </c>
    </row>
    <row r="3547" spans="1:16" ht="46.5" outlineLevel="1" x14ac:dyDescent="0.25">
      <c r="A3547" s="1486">
        <f t="shared" si="523"/>
        <v>36</v>
      </c>
      <c r="B3547" s="1491" t="str">
        <f t="shared" si="523"/>
        <v>Replacement of 220 V Station Battery Sets &amp; UPS Battery Sets of Unit# 5 &amp; 6 and 24 V G1 G2 Battery sets of Unit# 5, 6 &amp; 7 for 500MW Stage-III CSTPS.</v>
      </c>
      <c r="C3547" s="1486" t="str">
        <f t="shared" si="523"/>
        <v>MERC/CAPEX/2020-2021/WFH/SBR/32</v>
      </c>
      <c r="D3547" s="1487">
        <f t="shared" si="523"/>
        <v>44104</v>
      </c>
      <c r="E3547" s="1383">
        <f t="shared" si="523"/>
        <v>18.559999999999999</v>
      </c>
      <c r="F3547" s="1480">
        <f t="shared" si="514"/>
        <v>0</v>
      </c>
      <c r="G3547" s="1480">
        <f t="shared" si="515"/>
        <v>0</v>
      </c>
      <c r="H3547" s="1480">
        <f t="shared" si="524"/>
        <v>0</v>
      </c>
      <c r="I3547" s="1480">
        <v>0</v>
      </c>
      <c r="J3547" s="1480">
        <v>0</v>
      </c>
      <c r="K3547" s="1480"/>
      <c r="L3547" s="1480"/>
      <c r="M3547" s="1480">
        <f t="shared" si="525"/>
        <v>0</v>
      </c>
      <c r="N3547" s="1480">
        <f t="shared" si="526"/>
        <v>0</v>
      </c>
      <c r="O3547" s="1481">
        <f t="shared" si="516"/>
        <v>0</v>
      </c>
      <c r="P3547" s="1427">
        <f t="shared" si="517"/>
        <v>0</v>
      </c>
    </row>
    <row r="3548" spans="1:16" ht="46.5" outlineLevel="1" x14ac:dyDescent="0.25">
      <c r="A3548" s="1488">
        <f t="shared" si="523"/>
        <v>36.1</v>
      </c>
      <c r="B3548" s="1492" t="str">
        <f t="shared" si="523"/>
        <v>Replacement of 220 V Station Battery Sets &amp; UPS Battery Sets of Unit# 5 &amp; 6 and 24 V G1 G2 Battery sets of Unit# 5, 6 &amp; 7 for 500MW Stage-III, CSTPS.</v>
      </c>
      <c r="C3548" s="1488" t="str">
        <f t="shared" si="523"/>
        <v>MERC/CAPEX/2020-2021/WFH/SBR/32</v>
      </c>
      <c r="D3548" s="1413">
        <f t="shared" si="523"/>
        <v>44104</v>
      </c>
      <c r="E3548" s="560">
        <f t="shared" si="523"/>
        <v>18.32</v>
      </c>
      <c r="F3548" s="1508">
        <f t="shared" si="514"/>
        <v>18.32</v>
      </c>
      <c r="G3548" s="1508">
        <f t="shared" si="515"/>
        <v>18.32</v>
      </c>
      <c r="H3548" s="1508">
        <f t="shared" si="524"/>
        <v>0</v>
      </c>
      <c r="I3548" s="1480">
        <v>0</v>
      </c>
      <c r="J3548" s="1480">
        <v>0</v>
      </c>
      <c r="K3548" s="1508"/>
      <c r="L3548" s="1508"/>
      <c r="M3548" s="1509">
        <f t="shared" si="525"/>
        <v>0</v>
      </c>
      <c r="N3548" s="1508">
        <f t="shared" si="526"/>
        <v>0</v>
      </c>
      <c r="O3548" s="1481">
        <f t="shared" si="516"/>
        <v>0</v>
      </c>
      <c r="P3548" s="1427">
        <f t="shared" si="517"/>
        <v>0</v>
      </c>
    </row>
    <row r="3549" spans="1:16" ht="31" outlineLevel="1" x14ac:dyDescent="0.25">
      <c r="A3549" s="1482">
        <f t="shared" si="523"/>
        <v>0</v>
      </c>
      <c r="B3549" s="1483" t="str">
        <f t="shared" si="523"/>
        <v>IDC</v>
      </c>
      <c r="C3549" s="1482" t="str">
        <f t="shared" si="523"/>
        <v>MERC/CAPEX/2020-2021/WFH/SBR/32</v>
      </c>
      <c r="D3549" s="1390">
        <f t="shared" si="523"/>
        <v>44104</v>
      </c>
      <c r="E3549" s="560">
        <f t="shared" si="523"/>
        <v>0.24</v>
      </c>
      <c r="F3549" s="1508">
        <f t="shared" si="514"/>
        <v>0</v>
      </c>
      <c r="G3549" s="1508">
        <f t="shared" si="515"/>
        <v>0</v>
      </c>
      <c r="H3549" s="1508">
        <f t="shared" si="524"/>
        <v>0</v>
      </c>
      <c r="I3549" s="1480">
        <v>0</v>
      </c>
      <c r="J3549" s="1480">
        <v>0</v>
      </c>
      <c r="K3549" s="1508"/>
      <c r="L3549" s="1508"/>
      <c r="M3549" s="1509">
        <f t="shared" si="525"/>
        <v>0</v>
      </c>
      <c r="N3549" s="1508">
        <f t="shared" si="526"/>
        <v>0</v>
      </c>
      <c r="O3549" s="1481">
        <f t="shared" si="516"/>
        <v>0</v>
      </c>
      <c r="P3549" s="1427">
        <f t="shared" si="517"/>
        <v>0</v>
      </c>
    </row>
    <row r="3550" spans="1:16" ht="46.5" outlineLevel="1" x14ac:dyDescent="0.25">
      <c r="A3550" s="1486">
        <f t="shared" si="523"/>
        <v>37</v>
      </c>
      <c r="B3550" s="1491" t="str">
        <f t="shared" si="523"/>
        <v>Flue Gas Desulphurization (FGD) System for 500 MW UnitS (Total 8 Nos) of MSPGCL
(Chandrapur Unit # 5-7)</v>
      </c>
      <c r="C3550" s="1486" t="str">
        <f t="shared" si="523"/>
        <v>MERC/CAPEX/2020-2021/WFH/SBR/43</v>
      </c>
      <c r="D3550" s="1487">
        <f t="shared" si="523"/>
        <v>44179</v>
      </c>
      <c r="E3550" s="1383">
        <f t="shared" si="523"/>
        <v>656.25</v>
      </c>
      <c r="F3550" s="1480">
        <f t="shared" si="514"/>
        <v>0</v>
      </c>
      <c r="G3550" s="1480">
        <f t="shared" si="515"/>
        <v>0</v>
      </c>
      <c r="H3550" s="1480">
        <f t="shared" si="524"/>
        <v>0</v>
      </c>
      <c r="I3550" s="1480">
        <v>0</v>
      </c>
      <c r="J3550" s="1480">
        <v>0</v>
      </c>
      <c r="K3550" s="1480"/>
      <c r="L3550" s="1480"/>
      <c r="M3550" s="1480">
        <f t="shared" si="525"/>
        <v>0</v>
      </c>
      <c r="N3550" s="1480">
        <f t="shared" si="526"/>
        <v>0</v>
      </c>
      <c r="O3550" s="1481">
        <f t="shared" si="516"/>
        <v>0</v>
      </c>
      <c r="P3550" s="1427">
        <f t="shared" si="517"/>
        <v>0</v>
      </c>
    </row>
    <row r="3551" spans="1:16" ht="46.5" outlineLevel="1" x14ac:dyDescent="0.25">
      <c r="A3551" s="1488">
        <f t="shared" si="523"/>
        <v>37.1</v>
      </c>
      <c r="B3551" s="1492" t="str">
        <f t="shared" si="523"/>
        <v>Flue Gas Desulphurization (FGD) System for 500 MW UnitS (Total 8 Nos) of MSPGCL
(Chandrapur Unit # 5-7)</v>
      </c>
      <c r="C3551" s="1488" t="str">
        <f t="shared" si="523"/>
        <v>MERC/CAPEX/2020-2021/WFH/SBR/43</v>
      </c>
      <c r="D3551" s="1413">
        <f t="shared" si="523"/>
        <v>44179</v>
      </c>
      <c r="E3551" s="560">
        <f t="shared" si="523"/>
        <v>602.58000000000004</v>
      </c>
      <c r="F3551" s="1508">
        <f t="shared" si="514"/>
        <v>1196.5700000000002</v>
      </c>
      <c r="G3551" s="1508">
        <f t="shared" si="515"/>
        <v>0</v>
      </c>
      <c r="H3551" s="1508">
        <f t="shared" si="524"/>
        <v>1196.5700000000002</v>
      </c>
      <c r="I3551" s="1480">
        <v>0</v>
      </c>
      <c r="J3551" s="1480">
        <v>1196.57</v>
      </c>
      <c r="K3551" s="1508"/>
      <c r="L3551" s="1508"/>
      <c r="M3551" s="1509">
        <f t="shared" si="525"/>
        <v>1196.57</v>
      </c>
      <c r="N3551" s="1508">
        <f t="shared" si="526"/>
        <v>0</v>
      </c>
      <c r="O3551" s="1481">
        <f t="shared" si="516"/>
        <v>602.58000000000004</v>
      </c>
      <c r="P3551" s="1427">
        <f t="shared" si="517"/>
        <v>593.9899999999999</v>
      </c>
    </row>
    <row r="3552" spans="1:16" ht="31" outlineLevel="1" x14ac:dyDescent="0.25">
      <c r="A3552" s="1488">
        <f t="shared" ref="A3552:E3567" si="527">A2882</f>
        <v>0</v>
      </c>
      <c r="B3552" s="1492" t="str">
        <f t="shared" si="527"/>
        <v>IDC</v>
      </c>
      <c r="C3552" s="1488" t="str">
        <f t="shared" si="527"/>
        <v>MERC/CAPEX/2020-2021/WFH/SBR/43</v>
      </c>
      <c r="D3552" s="1413">
        <f t="shared" si="527"/>
        <v>44179</v>
      </c>
      <c r="E3552" s="560">
        <f t="shared" si="527"/>
        <v>53.67</v>
      </c>
      <c r="F3552" s="1508">
        <f t="shared" ref="F3552:F3615" si="528">F2882+I2882</f>
        <v>0</v>
      </c>
      <c r="G3552" s="1508">
        <f t="shared" ref="G3552:G3615" si="529">G2882+M2882</f>
        <v>0</v>
      </c>
      <c r="H3552" s="1508">
        <f t="shared" si="524"/>
        <v>0</v>
      </c>
      <c r="I3552" s="1480">
        <v>0</v>
      </c>
      <c r="J3552" s="1480">
        <v>0</v>
      </c>
      <c r="K3552" s="1508"/>
      <c r="L3552" s="1508"/>
      <c r="M3552" s="1509">
        <f t="shared" si="525"/>
        <v>0</v>
      </c>
      <c r="N3552" s="1508">
        <f t="shared" si="526"/>
        <v>0</v>
      </c>
      <c r="O3552" s="1481">
        <f t="shared" ref="O3552:O3602" si="530">MAX(0,IF(M3552=0,0,IF(G3552+M3552&lt;E3552,M3552,E3552-G3552)))</f>
        <v>0</v>
      </c>
      <c r="P3552" s="1427">
        <f t="shared" ref="P3552:P3602" si="531">M3552-O3552</f>
        <v>0</v>
      </c>
    </row>
    <row r="3553" spans="1:16" ht="31" outlineLevel="1" x14ac:dyDescent="0.25">
      <c r="A3553" s="1486">
        <f t="shared" si="527"/>
        <v>38</v>
      </c>
      <c r="B3553" s="1491" t="str">
        <f t="shared" si="527"/>
        <v>Replacement of ECO and LTSH coils to Unit-4 Chandrapur (Parli DPR)</v>
      </c>
      <c r="C3553" s="1486" t="str">
        <f t="shared" si="527"/>
        <v xml:space="preserve">MERC/TECH1/CAPEX/20142015/01526 </v>
      </c>
      <c r="D3553" s="1487">
        <f t="shared" si="527"/>
        <v>42033</v>
      </c>
      <c r="E3553" s="1383">
        <f t="shared" si="527"/>
        <v>10</v>
      </c>
      <c r="F3553" s="1480">
        <f t="shared" si="528"/>
        <v>0</v>
      </c>
      <c r="G3553" s="1480">
        <f t="shared" si="529"/>
        <v>0</v>
      </c>
      <c r="H3553" s="1480">
        <f t="shared" si="524"/>
        <v>0</v>
      </c>
      <c r="I3553" s="1480">
        <v>0</v>
      </c>
      <c r="J3553" s="1480">
        <v>0</v>
      </c>
      <c r="K3553" s="1480"/>
      <c r="L3553" s="1480"/>
      <c r="M3553" s="1480">
        <f t="shared" si="525"/>
        <v>0</v>
      </c>
      <c r="N3553" s="1480">
        <f t="shared" si="526"/>
        <v>0</v>
      </c>
      <c r="O3553" s="1481">
        <f t="shared" si="530"/>
        <v>0</v>
      </c>
      <c r="P3553" s="1427">
        <f t="shared" si="531"/>
        <v>0</v>
      </c>
    </row>
    <row r="3554" spans="1:16" ht="31" outlineLevel="1" x14ac:dyDescent="0.25">
      <c r="A3554" s="1488">
        <f t="shared" si="527"/>
        <v>0</v>
      </c>
      <c r="B3554" s="1492" t="str">
        <f t="shared" si="527"/>
        <v>Replacement of ECO and LTSH coils to Unit-4 Chandrapur</v>
      </c>
      <c r="C3554" s="1493" t="str">
        <f t="shared" si="527"/>
        <v xml:space="preserve">MERC/TECH1/CAPEX/20142015/01526 </v>
      </c>
      <c r="D3554" s="1494">
        <f t="shared" si="527"/>
        <v>42033</v>
      </c>
      <c r="E3554" s="560">
        <f t="shared" si="527"/>
        <v>9.4</v>
      </c>
      <c r="F3554" s="1508">
        <f t="shared" si="528"/>
        <v>9.3998608000000008</v>
      </c>
      <c r="G3554" s="1508">
        <f t="shared" si="529"/>
        <v>9.3998608000000008</v>
      </c>
      <c r="H3554" s="1508">
        <f t="shared" si="524"/>
        <v>0</v>
      </c>
      <c r="I3554" s="1480">
        <v>0</v>
      </c>
      <c r="J3554" s="1480">
        <v>0</v>
      </c>
      <c r="K3554" s="1508"/>
      <c r="L3554" s="1508"/>
      <c r="M3554" s="1509">
        <f t="shared" si="525"/>
        <v>0</v>
      </c>
      <c r="N3554" s="1508">
        <f t="shared" si="526"/>
        <v>0</v>
      </c>
      <c r="O3554" s="1481">
        <f t="shared" si="530"/>
        <v>0</v>
      </c>
      <c r="P3554" s="1427">
        <f t="shared" si="531"/>
        <v>0</v>
      </c>
    </row>
    <row r="3555" spans="1:16" ht="31" outlineLevel="1" x14ac:dyDescent="0.25">
      <c r="A3555" s="1488">
        <f t="shared" si="527"/>
        <v>0</v>
      </c>
      <c r="B3555" s="1492" t="str">
        <f t="shared" si="527"/>
        <v>IDC</v>
      </c>
      <c r="C3555" s="1493" t="str">
        <f t="shared" si="527"/>
        <v xml:space="preserve">MERC/TECH1/CAPEX/20142015/01526 </v>
      </c>
      <c r="D3555" s="1494">
        <f t="shared" si="527"/>
        <v>42033</v>
      </c>
      <c r="E3555" s="560">
        <f t="shared" si="527"/>
        <v>0.6</v>
      </c>
      <c r="F3555" s="1508">
        <f t="shared" si="528"/>
        <v>0</v>
      </c>
      <c r="G3555" s="1508">
        <f t="shared" si="529"/>
        <v>0</v>
      </c>
      <c r="H3555" s="1508">
        <f t="shared" si="524"/>
        <v>0</v>
      </c>
      <c r="I3555" s="1480">
        <v>0</v>
      </c>
      <c r="J3555" s="1480">
        <v>0</v>
      </c>
      <c r="K3555" s="1508"/>
      <c r="L3555" s="1508"/>
      <c r="M3555" s="1509">
        <f t="shared" si="525"/>
        <v>0</v>
      </c>
      <c r="N3555" s="1508">
        <f t="shared" si="526"/>
        <v>0</v>
      </c>
      <c r="O3555" s="1481">
        <f t="shared" si="530"/>
        <v>0</v>
      </c>
      <c r="P3555" s="1427">
        <f t="shared" si="531"/>
        <v>0</v>
      </c>
    </row>
    <row r="3556" spans="1:16" ht="31" outlineLevel="1" x14ac:dyDescent="0.25">
      <c r="A3556" s="1486">
        <f t="shared" si="527"/>
        <v>39</v>
      </c>
      <c r="B3556" s="1491" t="str">
        <f t="shared" si="527"/>
        <v>Supply of complete gear box assembly for XRP-1043 coal mill at U-5 &amp;  U-6 for FY 2019-20 &amp; FY 20-21 at CSTPS, Chandrapur</v>
      </c>
      <c r="C3556" s="1486" t="str">
        <f t="shared" si="527"/>
        <v>MERC/CAPEX/2020-2021/WFH/SBR/05</v>
      </c>
      <c r="D3556" s="1487">
        <f t="shared" si="527"/>
        <v>44335</v>
      </c>
      <c r="E3556" s="1383">
        <f t="shared" si="527"/>
        <v>21.53</v>
      </c>
      <c r="F3556" s="1480">
        <f t="shared" si="528"/>
        <v>0</v>
      </c>
      <c r="G3556" s="1480">
        <f t="shared" si="529"/>
        <v>0</v>
      </c>
      <c r="H3556" s="1480">
        <f t="shared" si="524"/>
        <v>0</v>
      </c>
      <c r="I3556" s="1480">
        <v>0</v>
      </c>
      <c r="J3556" s="1480">
        <v>0</v>
      </c>
      <c r="K3556" s="1480"/>
      <c r="L3556" s="1480"/>
      <c r="M3556" s="1480">
        <f t="shared" si="525"/>
        <v>0</v>
      </c>
      <c r="N3556" s="1480">
        <f t="shared" si="526"/>
        <v>0</v>
      </c>
      <c r="O3556" s="1481">
        <f t="shared" si="530"/>
        <v>0</v>
      </c>
      <c r="P3556" s="1427">
        <f t="shared" si="531"/>
        <v>0</v>
      </c>
    </row>
    <row r="3557" spans="1:16" ht="77.5" outlineLevel="1" x14ac:dyDescent="0.25">
      <c r="A3557" s="1488">
        <f t="shared" si="527"/>
        <v>39.1</v>
      </c>
      <c r="B3557" s="1492" t="str">
        <f t="shared" si="527"/>
        <v>Supply of complete gear box assembly for XRP-1043coal mill unit
5&amp;6and complete lub oil system of XRP-1043Coal Mill in Unit-5&amp;6.
(Qty. 02 nos. one for each unit)</v>
      </c>
      <c r="C3557" s="1488" t="str">
        <f t="shared" si="527"/>
        <v>MERC/CAPEX/2020-2021/WFH/SBR/05</v>
      </c>
      <c r="D3557" s="1413">
        <f t="shared" si="527"/>
        <v>44335</v>
      </c>
      <c r="E3557" s="560">
        <f t="shared" si="527"/>
        <v>21.02</v>
      </c>
      <c r="F3557" s="1508">
        <f t="shared" si="528"/>
        <v>9.9520900000000001</v>
      </c>
      <c r="G3557" s="1508">
        <f t="shared" si="529"/>
        <v>9.9520900000000001</v>
      </c>
      <c r="H3557" s="1508">
        <f t="shared" si="524"/>
        <v>0</v>
      </c>
      <c r="I3557" s="1480">
        <v>0</v>
      </c>
      <c r="J3557" s="1480">
        <v>0</v>
      </c>
      <c r="K3557" s="1508"/>
      <c r="L3557" s="1508"/>
      <c r="M3557" s="1509">
        <f t="shared" si="525"/>
        <v>0</v>
      </c>
      <c r="N3557" s="1508">
        <f t="shared" si="526"/>
        <v>0</v>
      </c>
      <c r="O3557" s="1481">
        <f t="shared" si="530"/>
        <v>0</v>
      </c>
      <c r="P3557" s="1427">
        <f t="shared" si="531"/>
        <v>0</v>
      </c>
    </row>
    <row r="3558" spans="1:16" ht="31" outlineLevel="1" x14ac:dyDescent="0.25">
      <c r="A3558" s="1488">
        <f t="shared" si="527"/>
        <v>0</v>
      </c>
      <c r="B3558" s="1492" t="str">
        <f t="shared" si="527"/>
        <v>IDC</v>
      </c>
      <c r="C3558" s="1488" t="str">
        <f t="shared" si="527"/>
        <v>MERC/CAPEX/2020-2021/WFH/SBR/05</v>
      </c>
      <c r="D3558" s="1413">
        <f t="shared" si="527"/>
        <v>44335</v>
      </c>
      <c r="E3558" s="560">
        <f t="shared" si="527"/>
        <v>0.51</v>
      </c>
      <c r="F3558" s="1508">
        <f t="shared" si="528"/>
        <v>0</v>
      </c>
      <c r="G3558" s="1508">
        <f t="shared" si="529"/>
        <v>0</v>
      </c>
      <c r="H3558" s="1508">
        <f t="shared" si="524"/>
        <v>0</v>
      </c>
      <c r="I3558" s="1480">
        <v>0</v>
      </c>
      <c r="J3558" s="1480">
        <v>0</v>
      </c>
      <c r="K3558" s="1508"/>
      <c r="L3558" s="1508"/>
      <c r="M3558" s="1509">
        <f t="shared" si="525"/>
        <v>0</v>
      </c>
      <c r="N3558" s="1508">
        <f t="shared" si="526"/>
        <v>0</v>
      </c>
      <c r="O3558" s="1481">
        <f t="shared" si="530"/>
        <v>0</v>
      </c>
      <c r="P3558" s="1427">
        <f t="shared" si="531"/>
        <v>0</v>
      </c>
    </row>
    <row r="3559" spans="1:16" ht="31" outlineLevel="1" x14ac:dyDescent="0.25">
      <c r="A3559" s="1477" t="str">
        <f t="shared" si="527"/>
        <v>HO
DPR 1</v>
      </c>
      <c r="B3559" s="1478" t="str">
        <f t="shared" si="527"/>
        <v>AFGC/DFGC SYSTEM 210MW</v>
      </c>
      <c r="C3559" s="1477" t="str">
        <f t="shared" si="527"/>
        <v>MERC/CAP/DPR/10/07/1149</v>
      </c>
      <c r="D3559" s="1479">
        <f t="shared" si="527"/>
        <v>39232</v>
      </c>
      <c r="E3559" s="1383">
        <f t="shared" si="527"/>
        <v>9.6</v>
      </c>
      <c r="F3559" s="1480">
        <f t="shared" si="528"/>
        <v>0</v>
      </c>
      <c r="G3559" s="1480">
        <f t="shared" si="529"/>
        <v>0</v>
      </c>
      <c r="H3559" s="1480">
        <f t="shared" si="524"/>
        <v>0</v>
      </c>
      <c r="I3559" s="1480">
        <v>0</v>
      </c>
      <c r="J3559" s="1480">
        <v>0</v>
      </c>
      <c r="K3559" s="1480"/>
      <c r="L3559" s="1480"/>
      <c r="M3559" s="1480">
        <f t="shared" si="525"/>
        <v>0</v>
      </c>
      <c r="N3559" s="1480">
        <f t="shared" si="526"/>
        <v>0</v>
      </c>
      <c r="O3559" s="1481">
        <f t="shared" si="530"/>
        <v>0</v>
      </c>
      <c r="P3559" s="1427">
        <f t="shared" si="531"/>
        <v>0</v>
      </c>
    </row>
    <row r="3560" spans="1:16" ht="31" outlineLevel="1" x14ac:dyDescent="0.25">
      <c r="A3560" s="1482" t="str">
        <f t="shared" si="527"/>
        <v>HO
DPR 1.1</v>
      </c>
      <c r="B3560" s="1483" t="str">
        <f t="shared" si="527"/>
        <v>CSTPS U-1,2&amp;4</v>
      </c>
      <c r="C3560" s="1482" t="str">
        <f t="shared" si="527"/>
        <v>MERC/CAP/DPR/10/07/1149</v>
      </c>
      <c r="D3560" s="1390">
        <f t="shared" si="527"/>
        <v>39232</v>
      </c>
      <c r="E3560" s="560">
        <f t="shared" si="527"/>
        <v>9.6</v>
      </c>
      <c r="F3560" s="1508">
        <f t="shared" si="528"/>
        <v>4.9831317769999997</v>
      </c>
      <c r="G3560" s="1508">
        <f t="shared" si="529"/>
        <v>4.9831317769999997</v>
      </c>
      <c r="H3560" s="1508">
        <f t="shared" si="524"/>
        <v>0</v>
      </c>
      <c r="I3560" s="1480">
        <v>0</v>
      </c>
      <c r="J3560" s="1480">
        <v>0</v>
      </c>
      <c r="K3560" s="1508"/>
      <c r="L3560" s="1508"/>
      <c r="M3560" s="1509">
        <f t="shared" si="525"/>
        <v>0</v>
      </c>
      <c r="N3560" s="1508">
        <f t="shared" si="526"/>
        <v>0</v>
      </c>
      <c r="O3560" s="1481">
        <f t="shared" si="530"/>
        <v>0</v>
      </c>
      <c r="P3560" s="1427">
        <f t="shared" si="531"/>
        <v>0</v>
      </c>
    </row>
    <row r="3561" spans="1:16" ht="31" outlineLevel="1" x14ac:dyDescent="0.25">
      <c r="A3561" s="1477" t="str">
        <f t="shared" si="527"/>
        <v>HO
DPR 4</v>
      </c>
      <c r="B3561" s="1478" t="str">
        <f t="shared" si="527"/>
        <v>Construction of coal platform for Chandrapur TPS, Khaperkheda TPS &amp; Parli TPS</v>
      </c>
      <c r="C3561" s="1477" t="str">
        <f t="shared" si="527"/>
        <v>MERC/TECH 1/CAPEX/20132014/00827</v>
      </c>
      <c r="D3561" s="1479">
        <f t="shared" si="527"/>
        <v>41464</v>
      </c>
      <c r="E3561" s="1383">
        <f t="shared" si="527"/>
        <v>10.36</v>
      </c>
      <c r="F3561" s="1480">
        <f t="shared" si="528"/>
        <v>0</v>
      </c>
      <c r="G3561" s="1480">
        <f t="shared" si="529"/>
        <v>0</v>
      </c>
      <c r="H3561" s="1480">
        <f t="shared" si="524"/>
        <v>0</v>
      </c>
      <c r="I3561" s="1480">
        <v>0</v>
      </c>
      <c r="J3561" s="1480">
        <v>0</v>
      </c>
      <c r="K3561" s="1480"/>
      <c r="L3561" s="1480"/>
      <c r="M3561" s="1480">
        <f t="shared" si="525"/>
        <v>0</v>
      </c>
      <c r="N3561" s="1480">
        <f t="shared" si="526"/>
        <v>0</v>
      </c>
      <c r="O3561" s="1481">
        <f t="shared" si="530"/>
        <v>0</v>
      </c>
      <c r="P3561" s="1427">
        <f t="shared" si="531"/>
        <v>0</v>
      </c>
    </row>
    <row r="3562" spans="1:16" ht="31" outlineLevel="1" x14ac:dyDescent="0.25">
      <c r="A3562" s="1482" t="str">
        <f t="shared" si="527"/>
        <v>HO
DPR 4.1</v>
      </c>
      <c r="B3562" s="1483" t="str">
        <f t="shared" si="527"/>
        <v>Chandrapur TPS</v>
      </c>
      <c r="C3562" s="1482" t="str">
        <f t="shared" si="527"/>
        <v>MERC/TECH 1/CAPEX/20132014/00827</v>
      </c>
      <c r="D3562" s="1390">
        <f t="shared" si="527"/>
        <v>41464</v>
      </c>
      <c r="E3562" s="560">
        <f t="shared" si="527"/>
        <v>10.36</v>
      </c>
      <c r="F3562" s="1508">
        <f t="shared" si="528"/>
        <v>0</v>
      </c>
      <c r="G3562" s="1508">
        <f t="shared" si="529"/>
        <v>0</v>
      </c>
      <c r="H3562" s="1508">
        <f t="shared" si="524"/>
        <v>0</v>
      </c>
      <c r="I3562" s="1480">
        <v>0</v>
      </c>
      <c r="J3562" s="1480">
        <v>0</v>
      </c>
      <c r="K3562" s="1508"/>
      <c r="L3562" s="1508"/>
      <c r="M3562" s="1509">
        <f t="shared" si="525"/>
        <v>0</v>
      </c>
      <c r="N3562" s="1508">
        <f t="shared" si="526"/>
        <v>0</v>
      </c>
      <c r="O3562" s="1481">
        <f t="shared" si="530"/>
        <v>0</v>
      </c>
      <c r="P3562" s="1427">
        <f t="shared" si="531"/>
        <v>0</v>
      </c>
    </row>
    <row r="3563" spans="1:16" ht="31" outlineLevel="1" x14ac:dyDescent="0.25">
      <c r="A3563" s="1482">
        <f t="shared" si="527"/>
        <v>0</v>
      </c>
      <c r="B3563" s="1483" t="str">
        <f t="shared" si="527"/>
        <v>IDC</v>
      </c>
      <c r="C3563" s="1482" t="str">
        <f t="shared" si="527"/>
        <v>MERC/TECH 1/CAPEX/20132014/00827</v>
      </c>
      <c r="D3563" s="1390">
        <f t="shared" si="527"/>
        <v>41464</v>
      </c>
      <c r="E3563" s="560">
        <f t="shared" si="527"/>
        <v>0</v>
      </c>
      <c r="F3563" s="1508">
        <f t="shared" si="528"/>
        <v>0</v>
      </c>
      <c r="G3563" s="1508">
        <f t="shared" si="529"/>
        <v>0</v>
      </c>
      <c r="H3563" s="1508">
        <f t="shared" si="524"/>
        <v>0</v>
      </c>
      <c r="I3563" s="1480">
        <v>0</v>
      </c>
      <c r="J3563" s="1480">
        <v>0</v>
      </c>
      <c r="K3563" s="1508"/>
      <c r="L3563" s="1508"/>
      <c r="M3563" s="1509">
        <f t="shared" si="525"/>
        <v>0</v>
      </c>
      <c r="N3563" s="1508">
        <f t="shared" si="526"/>
        <v>0</v>
      </c>
      <c r="O3563" s="1481">
        <f t="shared" si="530"/>
        <v>0</v>
      </c>
      <c r="P3563" s="1427">
        <f t="shared" si="531"/>
        <v>0</v>
      </c>
    </row>
    <row r="3564" spans="1:16" ht="46.5" outlineLevel="1" x14ac:dyDescent="0.25">
      <c r="A3564" s="1477" t="str">
        <f t="shared" si="527"/>
        <v>HO
DPR 5</v>
      </c>
      <c r="B3564" s="1478" t="str">
        <f t="shared" si="527"/>
        <v>Procurement of energy efficient HT motors at Bhusawal TPS, Koradi TPS, Chandrapur TPS, khaperkheda TPS, Parli TPS &amp; Paras TPS as insurance spares</v>
      </c>
      <c r="C3564" s="1477" t="str">
        <f t="shared" si="527"/>
        <v>MERC/TECH 1/CAPEX/20142015/01218</v>
      </c>
      <c r="D3564" s="1479">
        <f t="shared" si="527"/>
        <v>41968</v>
      </c>
      <c r="E3564" s="1383">
        <f t="shared" si="527"/>
        <v>16.956</v>
      </c>
      <c r="F3564" s="1480">
        <f t="shared" si="528"/>
        <v>0</v>
      </c>
      <c r="G3564" s="1480">
        <f t="shared" si="529"/>
        <v>0</v>
      </c>
      <c r="H3564" s="1480">
        <f t="shared" si="524"/>
        <v>0</v>
      </c>
      <c r="I3564" s="1480">
        <v>0</v>
      </c>
      <c r="J3564" s="1480">
        <v>0</v>
      </c>
      <c r="K3564" s="1480"/>
      <c r="L3564" s="1480"/>
      <c r="M3564" s="1480">
        <f t="shared" si="525"/>
        <v>0</v>
      </c>
      <c r="N3564" s="1480">
        <f t="shared" si="526"/>
        <v>0</v>
      </c>
      <c r="O3564" s="1481">
        <f t="shared" si="530"/>
        <v>0</v>
      </c>
      <c r="P3564" s="1427">
        <f t="shared" si="531"/>
        <v>0</v>
      </c>
    </row>
    <row r="3565" spans="1:16" ht="46.5" outlineLevel="1" x14ac:dyDescent="0.25">
      <c r="A3565" s="1482" t="str">
        <f t="shared" si="527"/>
        <v>HO
DPR 5.3a</v>
      </c>
      <c r="B3565" s="1483" t="str">
        <f t="shared" si="527"/>
        <v>CSTPS (U-3/4, 210 MW, 7Nos)</v>
      </c>
      <c r="C3565" s="1482" t="str">
        <f t="shared" si="527"/>
        <v>MERC/TECH 1/CAPEX/20142015/01218</v>
      </c>
      <c r="D3565" s="1390">
        <f t="shared" si="527"/>
        <v>41968</v>
      </c>
      <c r="E3565" s="560">
        <f t="shared" si="527"/>
        <v>5.7060000000000004</v>
      </c>
      <c r="F3565" s="1508">
        <f t="shared" si="528"/>
        <v>0.90661499000000001</v>
      </c>
      <c r="G3565" s="1508">
        <f t="shared" si="529"/>
        <v>0.90661499000000001</v>
      </c>
      <c r="H3565" s="1508">
        <f t="shared" si="524"/>
        <v>0</v>
      </c>
      <c r="I3565" s="1480">
        <v>0</v>
      </c>
      <c r="J3565" s="1480">
        <v>0</v>
      </c>
      <c r="K3565" s="1508"/>
      <c r="L3565" s="1508"/>
      <c r="M3565" s="1509">
        <f t="shared" si="525"/>
        <v>0</v>
      </c>
      <c r="N3565" s="1508">
        <f t="shared" si="526"/>
        <v>0</v>
      </c>
      <c r="O3565" s="1481">
        <f t="shared" si="530"/>
        <v>0</v>
      </c>
      <c r="P3565" s="1427">
        <f t="shared" si="531"/>
        <v>0</v>
      </c>
    </row>
    <row r="3566" spans="1:16" ht="46.5" outlineLevel="1" x14ac:dyDescent="0.25">
      <c r="A3566" s="1482" t="str">
        <f t="shared" si="527"/>
        <v>HO
DPR 5.3b</v>
      </c>
      <c r="B3566" s="1483" t="str">
        <f t="shared" si="527"/>
        <v>CSTPS (U-5/6/7, 500 MW, 11Nos)</v>
      </c>
      <c r="C3566" s="1482" t="str">
        <f t="shared" si="527"/>
        <v>MERC/TECH 1/CAPEX/20142015/01218</v>
      </c>
      <c r="D3566" s="1390">
        <f t="shared" si="527"/>
        <v>41968</v>
      </c>
      <c r="E3566" s="560">
        <f t="shared" si="527"/>
        <v>11.25</v>
      </c>
      <c r="F3566" s="1508">
        <f t="shared" si="528"/>
        <v>5.7542039999999997</v>
      </c>
      <c r="G3566" s="1508">
        <f t="shared" si="529"/>
        <v>5.7542039999999997</v>
      </c>
      <c r="H3566" s="1508">
        <f t="shared" si="524"/>
        <v>0</v>
      </c>
      <c r="I3566" s="1480">
        <v>0</v>
      </c>
      <c r="J3566" s="1480">
        <v>0</v>
      </c>
      <c r="K3566" s="1508"/>
      <c r="L3566" s="1508"/>
      <c r="M3566" s="1509">
        <f t="shared" si="525"/>
        <v>0</v>
      </c>
      <c r="N3566" s="1508">
        <f t="shared" si="526"/>
        <v>0</v>
      </c>
      <c r="O3566" s="1481">
        <f t="shared" si="530"/>
        <v>0</v>
      </c>
      <c r="P3566" s="1427">
        <f t="shared" si="531"/>
        <v>0</v>
      </c>
    </row>
    <row r="3567" spans="1:16" ht="46.5" outlineLevel="1" x14ac:dyDescent="0.25">
      <c r="A3567" s="1477" t="str">
        <f t="shared" si="527"/>
        <v>HO
DPR 6</v>
      </c>
      <c r="B3567" s="1478" t="str">
        <f t="shared" si="527"/>
        <v>Supply, Installation, Commissioning and Operation &amp; Maintenance Services of Continuous Ambient Air Quality Monitoring Stations (CAAQMS) at various TPS</v>
      </c>
      <c r="C3567" s="1477" t="str">
        <f t="shared" si="527"/>
        <v>MERC/CAPEX/20162017/00423</v>
      </c>
      <c r="D3567" s="1479">
        <f t="shared" si="527"/>
        <v>42585</v>
      </c>
      <c r="E3567" s="1383">
        <f t="shared" si="527"/>
        <v>1.3257526714285714</v>
      </c>
      <c r="F3567" s="1480">
        <f t="shared" si="528"/>
        <v>0</v>
      </c>
      <c r="G3567" s="1480">
        <f t="shared" si="529"/>
        <v>0</v>
      </c>
      <c r="H3567" s="1480">
        <f t="shared" si="524"/>
        <v>0</v>
      </c>
      <c r="I3567" s="1480">
        <v>0</v>
      </c>
      <c r="J3567" s="1480">
        <v>0</v>
      </c>
      <c r="K3567" s="1480"/>
      <c r="L3567" s="1480"/>
      <c r="M3567" s="1480">
        <f t="shared" si="525"/>
        <v>0</v>
      </c>
      <c r="N3567" s="1480">
        <f t="shared" si="526"/>
        <v>0</v>
      </c>
      <c r="O3567" s="1481">
        <f t="shared" si="530"/>
        <v>0</v>
      </c>
      <c r="P3567" s="1427">
        <f t="shared" si="531"/>
        <v>0</v>
      </c>
    </row>
    <row r="3568" spans="1:16" ht="31" outlineLevel="1" x14ac:dyDescent="0.25">
      <c r="A3568" s="1482" t="str">
        <f t="shared" ref="A3568:E3583" si="532">A2898</f>
        <v>HO
DPR 6.1</v>
      </c>
      <c r="B3568" s="1483" t="str">
        <f t="shared" si="532"/>
        <v>CSTPS (U-1 to 7) ( 1 Nos.)</v>
      </c>
      <c r="C3568" s="1482" t="str">
        <f t="shared" si="532"/>
        <v>MERC/CAPEX/20162017/00423</v>
      </c>
      <c r="D3568" s="1390">
        <f t="shared" si="532"/>
        <v>42585</v>
      </c>
      <c r="E3568" s="560">
        <f t="shared" si="532"/>
        <v>1.3257526714285714</v>
      </c>
      <c r="F3568" s="1508">
        <f t="shared" si="528"/>
        <v>0</v>
      </c>
      <c r="G3568" s="1508">
        <f t="shared" si="529"/>
        <v>0</v>
      </c>
      <c r="H3568" s="1508">
        <f t="shared" si="524"/>
        <v>0</v>
      </c>
      <c r="I3568" s="1480">
        <v>0</v>
      </c>
      <c r="J3568" s="1480">
        <v>0</v>
      </c>
      <c r="K3568" s="1508"/>
      <c r="L3568" s="1508"/>
      <c r="M3568" s="1509">
        <f t="shared" si="525"/>
        <v>0</v>
      </c>
      <c r="N3568" s="1508">
        <f t="shared" si="526"/>
        <v>0</v>
      </c>
      <c r="O3568" s="1481">
        <f t="shared" si="530"/>
        <v>0</v>
      </c>
      <c r="P3568" s="1427">
        <f t="shared" si="531"/>
        <v>0</v>
      </c>
    </row>
    <row r="3569" spans="1:16" ht="31" outlineLevel="1" x14ac:dyDescent="0.25">
      <c r="A3569" s="1486" t="str">
        <f t="shared" si="532"/>
        <v>HO
DPR 7</v>
      </c>
      <c r="B3569" s="1491" t="str">
        <f t="shared" si="532"/>
        <v>Installation of Real Time Online Coal-Ash Analyzer at various TPS</v>
      </c>
      <c r="C3569" s="1477" t="str">
        <f t="shared" si="532"/>
        <v>MERC/CAPEX/20162017/00774</v>
      </c>
      <c r="D3569" s="1479">
        <f t="shared" si="532"/>
        <v>42643</v>
      </c>
      <c r="E3569" s="1383">
        <f t="shared" si="532"/>
        <v>7.0965999999999996</v>
      </c>
      <c r="F3569" s="1480">
        <f t="shared" si="528"/>
        <v>0</v>
      </c>
      <c r="G3569" s="1480">
        <f t="shared" si="529"/>
        <v>0</v>
      </c>
      <c r="H3569" s="1480">
        <f t="shared" si="524"/>
        <v>0</v>
      </c>
      <c r="I3569" s="1480">
        <v>0</v>
      </c>
      <c r="J3569" s="1480">
        <v>0</v>
      </c>
      <c r="K3569" s="1480"/>
      <c r="L3569" s="1480"/>
      <c r="M3569" s="1480">
        <f t="shared" si="525"/>
        <v>0</v>
      </c>
      <c r="N3569" s="1480">
        <f t="shared" si="526"/>
        <v>0</v>
      </c>
      <c r="O3569" s="1481">
        <f t="shared" si="530"/>
        <v>0</v>
      </c>
      <c r="P3569" s="1427">
        <f t="shared" si="531"/>
        <v>0</v>
      </c>
    </row>
    <row r="3570" spans="1:16" ht="31" outlineLevel="1" x14ac:dyDescent="0.25">
      <c r="A3570" s="1488" t="str">
        <f t="shared" si="532"/>
        <v>HO
DPR 7.1</v>
      </c>
      <c r="B3570" s="1492" t="str">
        <f t="shared" si="532"/>
        <v>Chandrapur STPS</v>
      </c>
      <c r="C3570" s="1482" t="str">
        <f t="shared" si="532"/>
        <v>MERC/CAPEX/20162017/00774</v>
      </c>
      <c r="D3570" s="1390">
        <f t="shared" si="532"/>
        <v>42643</v>
      </c>
      <c r="E3570" s="560">
        <f t="shared" si="532"/>
        <v>7.0965999999999996</v>
      </c>
      <c r="F3570" s="1508">
        <f t="shared" si="528"/>
        <v>7.0965999999999996</v>
      </c>
      <c r="G3570" s="1508">
        <f t="shared" si="529"/>
        <v>7.0965999999999996</v>
      </c>
      <c r="H3570" s="1508">
        <f t="shared" si="524"/>
        <v>0</v>
      </c>
      <c r="I3570" s="1480">
        <v>0</v>
      </c>
      <c r="J3570" s="1480">
        <v>0</v>
      </c>
      <c r="K3570" s="1508"/>
      <c r="L3570" s="1508"/>
      <c r="M3570" s="1509">
        <f t="shared" si="525"/>
        <v>0</v>
      </c>
      <c r="N3570" s="1508">
        <f t="shared" si="526"/>
        <v>0</v>
      </c>
      <c r="O3570" s="1481">
        <f t="shared" si="530"/>
        <v>0</v>
      </c>
      <c r="P3570" s="1427">
        <f t="shared" si="531"/>
        <v>0</v>
      </c>
    </row>
    <row r="3571" spans="1:16" ht="31" outlineLevel="1" x14ac:dyDescent="0.25">
      <c r="A3571" s="1489" t="str">
        <f t="shared" si="532"/>
        <v>HO
DPR 8</v>
      </c>
      <c r="B3571" s="1490" t="str">
        <f t="shared" si="532"/>
        <v>Replacement of Fire Tenders at Various Power Stations of Mahagenco</v>
      </c>
      <c r="C3571" s="1477" t="str">
        <f t="shared" si="532"/>
        <v>MERC/CAPEX/20172018/4653</v>
      </c>
      <c r="D3571" s="1479">
        <f t="shared" si="532"/>
        <v>43052</v>
      </c>
      <c r="E3571" s="1383">
        <f t="shared" si="532"/>
        <v>4.1500000000000004</v>
      </c>
      <c r="F3571" s="1480">
        <f t="shared" si="528"/>
        <v>0</v>
      </c>
      <c r="G3571" s="1480">
        <f t="shared" si="529"/>
        <v>0</v>
      </c>
      <c r="H3571" s="1480">
        <f t="shared" si="524"/>
        <v>0</v>
      </c>
      <c r="I3571" s="1480">
        <v>0</v>
      </c>
      <c r="J3571" s="1480">
        <v>0</v>
      </c>
      <c r="K3571" s="1480"/>
      <c r="L3571" s="1480"/>
      <c r="M3571" s="1480">
        <f t="shared" si="525"/>
        <v>0</v>
      </c>
      <c r="N3571" s="1480">
        <f t="shared" si="526"/>
        <v>0</v>
      </c>
      <c r="O3571" s="1481">
        <f t="shared" si="530"/>
        <v>0</v>
      </c>
      <c r="P3571" s="1427">
        <f t="shared" si="531"/>
        <v>0</v>
      </c>
    </row>
    <row r="3572" spans="1:16" ht="31" outlineLevel="1" x14ac:dyDescent="0.25">
      <c r="A3572" s="1484" t="str">
        <f t="shared" si="532"/>
        <v>HO
DPR 8.1</v>
      </c>
      <c r="B3572" s="1485" t="str">
        <f t="shared" si="532"/>
        <v>Advance Multipurpose Fire Tender for CSTPS</v>
      </c>
      <c r="C3572" s="1482" t="str">
        <f t="shared" si="532"/>
        <v>MERC/CAPEX/20172018/4653</v>
      </c>
      <c r="D3572" s="1390">
        <f t="shared" si="532"/>
        <v>43052</v>
      </c>
      <c r="E3572" s="560">
        <f t="shared" si="532"/>
        <v>2.9</v>
      </c>
      <c r="F3572" s="1508">
        <f t="shared" si="528"/>
        <v>0.26772339999999994</v>
      </c>
      <c r="G3572" s="1508">
        <f t="shared" si="529"/>
        <v>0.2677234</v>
      </c>
      <c r="H3572" s="1508">
        <f t="shared" si="524"/>
        <v>0</v>
      </c>
      <c r="I3572" s="1480">
        <v>0</v>
      </c>
      <c r="J3572" s="1480">
        <v>0</v>
      </c>
      <c r="K3572" s="1508"/>
      <c r="L3572" s="1508"/>
      <c r="M3572" s="1509">
        <f t="shared" si="525"/>
        <v>0</v>
      </c>
      <c r="N3572" s="1508">
        <f t="shared" si="526"/>
        <v>0</v>
      </c>
      <c r="O3572" s="1481">
        <f t="shared" si="530"/>
        <v>0</v>
      </c>
      <c r="P3572" s="1427">
        <f t="shared" si="531"/>
        <v>0</v>
      </c>
    </row>
    <row r="3573" spans="1:16" ht="31" outlineLevel="1" x14ac:dyDescent="0.25">
      <c r="A3573" s="1484" t="str">
        <f t="shared" si="532"/>
        <v>HO
DPR 8.2</v>
      </c>
      <c r="B3573" s="1485" t="str">
        <f t="shared" si="532"/>
        <v>Normal Multipurpose Fire Tender for CSTPS</v>
      </c>
      <c r="C3573" s="1482" t="str">
        <f t="shared" si="532"/>
        <v>MERC/CAPEX/20172018/4653</v>
      </c>
      <c r="D3573" s="1390">
        <f t="shared" si="532"/>
        <v>43052</v>
      </c>
      <c r="E3573" s="560">
        <f t="shared" si="532"/>
        <v>1.25</v>
      </c>
      <c r="F3573" s="1508">
        <f t="shared" si="528"/>
        <v>2.1846524010000001</v>
      </c>
      <c r="G3573" s="1508">
        <f t="shared" si="529"/>
        <v>2.1846524010000001</v>
      </c>
      <c r="H3573" s="1508">
        <f t="shared" si="524"/>
        <v>0</v>
      </c>
      <c r="I3573" s="1480">
        <v>0</v>
      </c>
      <c r="J3573" s="1480">
        <v>0</v>
      </c>
      <c r="K3573" s="1508"/>
      <c r="L3573" s="1508"/>
      <c r="M3573" s="1509">
        <f t="shared" si="525"/>
        <v>0</v>
      </c>
      <c r="N3573" s="1508">
        <f t="shared" si="526"/>
        <v>0</v>
      </c>
      <c r="O3573" s="1481">
        <f t="shared" si="530"/>
        <v>0</v>
      </c>
      <c r="P3573" s="1427">
        <f t="shared" si="531"/>
        <v>0</v>
      </c>
    </row>
    <row r="3574" spans="1:16" ht="15.5" outlineLevel="1" x14ac:dyDescent="0.25">
      <c r="A3574" s="1484">
        <f t="shared" si="532"/>
        <v>0</v>
      </c>
      <c r="B3574" s="1485" t="str">
        <f t="shared" si="532"/>
        <v>IDC</v>
      </c>
      <c r="C3574" s="1482" t="str">
        <f t="shared" si="532"/>
        <v>MERC/CAPEX/20172018/4653</v>
      </c>
      <c r="D3574" s="1390">
        <f t="shared" si="532"/>
        <v>43052</v>
      </c>
      <c r="E3574" s="560">
        <f t="shared" si="532"/>
        <v>0</v>
      </c>
      <c r="F3574" s="1508">
        <f t="shared" si="528"/>
        <v>0</v>
      </c>
      <c r="G3574" s="1508">
        <f t="shared" si="529"/>
        <v>0</v>
      </c>
      <c r="H3574" s="1508">
        <f t="shared" si="524"/>
        <v>0</v>
      </c>
      <c r="I3574" s="1480">
        <v>0</v>
      </c>
      <c r="J3574" s="1480">
        <v>0</v>
      </c>
      <c r="K3574" s="1508"/>
      <c r="L3574" s="1508"/>
      <c r="M3574" s="1509">
        <f t="shared" si="525"/>
        <v>0</v>
      </c>
      <c r="N3574" s="1508">
        <f t="shared" si="526"/>
        <v>0</v>
      </c>
      <c r="O3574" s="1481">
        <f t="shared" si="530"/>
        <v>0</v>
      </c>
      <c r="P3574" s="1427">
        <f t="shared" si="531"/>
        <v>0</v>
      </c>
    </row>
    <row r="3575" spans="1:16" ht="31" outlineLevel="1" x14ac:dyDescent="0.25">
      <c r="A3575" s="1489" t="str">
        <f t="shared" si="532"/>
        <v>HO
DPR 10</v>
      </c>
      <c r="B3575" s="1490" t="str">
        <f t="shared" si="532"/>
        <v>Implementation of IB recommendations- Civil works at various TPS of Mahagenco</v>
      </c>
      <c r="C3575" s="1486" t="str">
        <f t="shared" si="532"/>
        <v>MERC/CAPEX/20172018/0177</v>
      </c>
      <c r="D3575" s="1487">
        <f t="shared" si="532"/>
        <v>43137</v>
      </c>
      <c r="E3575" s="1383">
        <f t="shared" si="532"/>
        <v>9.0741999999999994</v>
      </c>
      <c r="F3575" s="1480">
        <f t="shared" si="528"/>
        <v>0</v>
      </c>
      <c r="G3575" s="1480">
        <f t="shared" si="529"/>
        <v>0</v>
      </c>
      <c r="H3575" s="1480">
        <f t="shared" si="524"/>
        <v>0</v>
      </c>
      <c r="I3575" s="1480">
        <v>0</v>
      </c>
      <c r="J3575" s="1480">
        <v>0</v>
      </c>
      <c r="K3575" s="1480"/>
      <c r="L3575" s="1480"/>
      <c r="M3575" s="1480">
        <f t="shared" si="525"/>
        <v>0</v>
      </c>
      <c r="N3575" s="1480">
        <f t="shared" si="526"/>
        <v>0</v>
      </c>
      <c r="O3575" s="1481">
        <f t="shared" si="530"/>
        <v>0</v>
      </c>
      <c r="P3575" s="1427">
        <f t="shared" si="531"/>
        <v>0</v>
      </c>
    </row>
    <row r="3576" spans="1:16" ht="46.5" outlineLevel="1" x14ac:dyDescent="0.25">
      <c r="A3576" s="1484" t="str">
        <f t="shared" si="532"/>
        <v>HO
DPR 10.1</v>
      </c>
      <c r="B3576" s="1485" t="str">
        <f t="shared" si="532"/>
        <v>CSTPS Chandrapur</v>
      </c>
      <c r="C3576" s="1488" t="str">
        <f t="shared" si="532"/>
        <v>MERC/CAPEX/20172018/0177</v>
      </c>
      <c r="D3576" s="1413">
        <f t="shared" si="532"/>
        <v>43137</v>
      </c>
      <c r="E3576" s="560">
        <f t="shared" si="532"/>
        <v>9.0741999999999994</v>
      </c>
      <c r="F3576" s="1508">
        <f t="shared" si="528"/>
        <v>9.6122519690000008</v>
      </c>
      <c r="G3576" s="1508">
        <f t="shared" si="529"/>
        <v>9.6122519690000008</v>
      </c>
      <c r="H3576" s="1508">
        <f t="shared" si="524"/>
        <v>0</v>
      </c>
      <c r="I3576" s="1480">
        <v>0</v>
      </c>
      <c r="J3576" s="1480">
        <v>0</v>
      </c>
      <c r="K3576" s="1508"/>
      <c r="L3576" s="1508"/>
      <c r="M3576" s="1509">
        <f t="shared" si="525"/>
        <v>0</v>
      </c>
      <c r="N3576" s="1508">
        <f t="shared" si="526"/>
        <v>0</v>
      </c>
      <c r="O3576" s="1481">
        <f t="shared" si="530"/>
        <v>0</v>
      </c>
      <c r="P3576" s="1427">
        <f t="shared" si="531"/>
        <v>0</v>
      </c>
    </row>
    <row r="3577" spans="1:16" ht="31" outlineLevel="1" x14ac:dyDescent="0.25">
      <c r="A3577" s="1489" t="str">
        <f t="shared" si="532"/>
        <v>HO
DPR 15</v>
      </c>
      <c r="B3577" s="1490" t="str">
        <f t="shared" si="532"/>
        <v>Procurement &amp; Replacement of Complete Sets of Air Pre-heater Baskets at Nashik, Parli &amp; Chandrapur TPS of Mahagenco</v>
      </c>
      <c r="C3577" s="1477" t="str">
        <f t="shared" si="532"/>
        <v>MERC/CAPEX/2019-2020/643</v>
      </c>
      <c r="D3577" s="1479">
        <f t="shared" si="532"/>
        <v>43703</v>
      </c>
      <c r="E3577" s="1383">
        <f t="shared" si="532"/>
        <v>11.13</v>
      </c>
      <c r="F3577" s="1480">
        <f t="shared" si="528"/>
        <v>0</v>
      </c>
      <c r="G3577" s="1480">
        <f t="shared" si="529"/>
        <v>0</v>
      </c>
      <c r="H3577" s="1480">
        <f t="shared" si="524"/>
        <v>0</v>
      </c>
      <c r="I3577" s="1480">
        <v>0</v>
      </c>
      <c r="J3577" s="1480">
        <v>0</v>
      </c>
      <c r="K3577" s="1480"/>
      <c r="L3577" s="1480"/>
      <c r="M3577" s="1480">
        <f t="shared" si="525"/>
        <v>0</v>
      </c>
      <c r="N3577" s="1480">
        <f t="shared" si="526"/>
        <v>0</v>
      </c>
      <c r="O3577" s="1481">
        <f t="shared" si="530"/>
        <v>0</v>
      </c>
      <c r="P3577" s="1427">
        <f t="shared" si="531"/>
        <v>0</v>
      </c>
    </row>
    <row r="3578" spans="1:16" ht="46.5" outlineLevel="1" x14ac:dyDescent="0.25">
      <c r="A3578" s="1484" t="str">
        <f t="shared" si="532"/>
        <v>HO
DPR 15.2</v>
      </c>
      <c r="B3578" s="1485" t="str">
        <f t="shared" si="532"/>
        <v>Procurement of Complete set of assembly of baskets for air preheater of type tri-sector APH in27 VI(T) 80”CSTPS unit No-4 (210MW). (2 Sets Per Unit)</v>
      </c>
      <c r="C3578" s="1482" t="str">
        <f t="shared" si="532"/>
        <v>MERC/CAPEX/2019-2020/643</v>
      </c>
      <c r="D3578" s="1390">
        <f t="shared" si="532"/>
        <v>43703</v>
      </c>
      <c r="E3578" s="560">
        <f t="shared" si="532"/>
        <v>1.73</v>
      </c>
      <c r="F3578" s="1508">
        <f t="shared" si="528"/>
        <v>1.6959658</v>
      </c>
      <c r="G3578" s="1508">
        <f t="shared" si="529"/>
        <v>1.6959658</v>
      </c>
      <c r="H3578" s="1508">
        <f t="shared" si="524"/>
        <v>0</v>
      </c>
      <c r="I3578" s="1480">
        <v>0</v>
      </c>
      <c r="J3578" s="1480">
        <v>0</v>
      </c>
      <c r="K3578" s="1508"/>
      <c r="L3578" s="1508"/>
      <c r="M3578" s="1509">
        <f t="shared" si="525"/>
        <v>0</v>
      </c>
      <c r="N3578" s="1508">
        <f t="shared" si="526"/>
        <v>0</v>
      </c>
      <c r="O3578" s="1481">
        <f t="shared" si="530"/>
        <v>0</v>
      </c>
      <c r="P3578" s="1427">
        <f t="shared" si="531"/>
        <v>0</v>
      </c>
    </row>
    <row r="3579" spans="1:16" ht="46.5" outlineLevel="1" x14ac:dyDescent="0.25">
      <c r="A3579" s="1484" t="str">
        <f t="shared" si="532"/>
        <v>HO
DPR 15.4</v>
      </c>
      <c r="B3579" s="1485" t="str">
        <f t="shared" si="532"/>
        <v>Procurement of Complete set of assembly of baskets for air preheater of type bi-sector APH “BI-SECTOR 27VI 1250(1400)”in CSTPS unit no. 5 &amp; 6 (500MW). (4 Sets Per Unit)</v>
      </c>
      <c r="C3579" s="1482" t="str">
        <f t="shared" si="532"/>
        <v>MERC/CAPEX/2019-2020/643</v>
      </c>
      <c r="D3579" s="1390">
        <f t="shared" si="532"/>
        <v>43703</v>
      </c>
      <c r="E3579" s="560">
        <f t="shared" si="532"/>
        <v>9.4</v>
      </c>
      <c r="F3579" s="1508">
        <f t="shared" si="528"/>
        <v>8.9105042999999995</v>
      </c>
      <c r="G3579" s="1508">
        <f t="shared" si="529"/>
        <v>8.9105042999999995</v>
      </c>
      <c r="H3579" s="1508">
        <f t="shared" si="524"/>
        <v>0</v>
      </c>
      <c r="I3579" s="1480">
        <v>0</v>
      </c>
      <c r="J3579" s="1480">
        <v>0</v>
      </c>
      <c r="K3579" s="1508"/>
      <c r="L3579" s="1508"/>
      <c r="M3579" s="1509">
        <f t="shared" si="525"/>
        <v>0</v>
      </c>
      <c r="N3579" s="1508">
        <f t="shared" si="526"/>
        <v>0</v>
      </c>
      <c r="O3579" s="1481">
        <f t="shared" si="530"/>
        <v>0</v>
      </c>
      <c r="P3579" s="1427">
        <f t="shared" si="531"/>
        <v>0</v>
      </c>
    </row>
    <row r="3580" spans="1:16" ht="15.5" outlineLevel="1" x14ac:dyDescent="0.25">
      <c r="A3580" s="1484">
        <f t="shared" si="532"/>
        <v>0</v>
      </c>
      <c r="B3580" s="1485" t="str">
        <f t="shared" si="532"/>
        <v>IDC</v>
      </c>
      <c r="C3580" s="1482" t="str">
        <f t="shared" si="532"/>
        <v>MERC/CAPEX/2019-2020/643</v>
      </c>
      <c r="D3580" s="1390">
        <f t="shared" si="532"/>
        <v>43703</v>
      </c>
      <c r="E3580" s="560">
        <f t="shared" si="532"/>
        <v>0</v>
      </c>
      <c r="F3580" s="1508">
        <f t="shared" si="528"/>
        <v>0</v>
      </c>
      <c r="G3580" s="1508">
        <f t="shared" si="529"/>
        <v>0</v>
      </c>
      <c r="H3580" s="1508">
        <f t="shared" si="524"/>
        <v>0</v>
      </c>
      <c r="I3580" s="1480">
        <v>0</v>
      </c>
      <c r="J3580" s="1480">
        <v>0</v>
      </c>
      <c r="K3580" s="1508"/>
      <c r="L3580" s="1508"/>
      <c r="M3580" s="1509">
        <f t="shared" si="525"/>
        <v>0</v>
      </c>
      <c r="N3580" s="1508">
        <f t="shared" si="526"/>
        <v>0</v>
      </c>
      <c r="O3580" s="1481">
        <f t="shared" si="530"/>
        <v>0</v>
      </c>
      <c r="P3580" s="1427">
        <f t="shared" si="531"/>
        <v>0</v>
      </c>
    </row>
    <row r="3581" spans="1:16" ht="31" outlineLevel="1" x14ac:dyDescent="0.25">
      <c r="A3581" s="1489" t="str">
        <f t="shared" si="532"/>
        <v>HO
DPR 16</v>
      </c>
      <c r="B3581" s="1490" t="str">
        <f t="shared" si="532"/>
        <v>Implementation of Water Flow Monitoring system at Chandrapur STPS &amp; Khaperkheda TPS</v>
      </c>
      <c r="C3581" s="1486" t="str">
        <f t="shared" si="532"/>
        <v>MERC/CAPEX/2020-2021/WFH/SBR/37</v>
      </c>
      <c r="D3581" s="1487">
        <f t="shared" si="532"/>
        <v>44131</v>
      </c>
      <c r="E3581" s="1383">
        <f t="shared" si="532"/>
        <v>3.7552319999999999</v>
      </c>
      <c r="F3581" s="1480">
        <f t="shared" si="528"/>
        <v>0</v>
      </c>
      <c r="G3581" s="1480">
        <f t="shared" si="529"/>
        <v>0</v>
      </c>
      <c r="H3581" s="1480">
        <f t="shared" si="524"/>
        <v>0</v>
      </c>
      <c r="I3581" s="1480">
        <v>0</v>
      </c>
      <c r="J3581" s="1480">
        <v>0</v>
      </c>
      <c r="K3581" s="1480"/>
      <c r="L3581" s="1480"/>
      <c r="M3581" s="1480">
        <f t="shared" si="525"/>
        <v>0</v>
      </c>
      <c r="N3581" s="1480">
        <f t="shared" si="526"/>
        <v>0</v>
      </c>
      <c r="O3581" s="1481">
        <f t="shared" si="530"/>
        <v>0</v>
      </c>
      <c r="P3581" s="1427">
        <f t="shared" si="531"/>
        <v>0</v>
      </c>
    </row>
    <row r="3582" spans="1:16" ht="46.5" outlineLevel="1" x14ac:dyDescent="0.25">
      <c r="A3582" s="1484" t="str">
        <f t="shared" si="532"/>
        <v>HO
DPR 16.1</v>
      </c>
      <c r="B3582" s="1485" t="str">
        <f t="shared" si="532"/>
        <v>Electromagnetic Flow meters at various lines &amp; Locations of CSTPS unit-3 to 7</v>
      </c>
      <c r="C3582" s="1488" t="str">
        <f t="shared" si="532"/>
        <v>MERC/CAPEX/2020-2021/WFH/SBR/37</v>
      </c>
      <c r="D3582" s="1413">
        <f t="shared" si="532"/>
        <v>44131</v>
      </c>
      <c r="E3582" s="560">
        <f t="shared" si="532"/>
        <v>2.912712</v>
      </c>
      <c r="F3582" s="1508">
        <f t="shared" si="528"/>
        <v>2.8883319000000003</v>
      </c>
      <c r="G3582" s="1508">
        <f t="shared" si="529"/>
        <v>2.8883319000000003</v>
      </c>
      <c r="H3582" s="1508">
        <f t="shared" si="524"/>
        <v>0</v>
      </c>
      <c r="I3582" s="1480">
        <v>0</v>
      </c>
      <c r="J3582" s="1480">
        <v>0</v>
      </c>
      <c r="K3582" s="1508"/>
      <c r="L3582" s="1508"/>
      <c r="M3582" s="1509">
        <f t="shared" si="525"/>
        <v>0</v>
      </c>
      <c r="N3582" s="1508">
        <f t="shared" si="526"/>
        <v>0</v>
      </c>
      <c r="O3582" s="1481">
        <f t="shared" si="530"/>
        <v>0</v>
      </c>
      <c r="P3582" s="1427">
        <f t="shared" si="531"/>
        <v>0</v>
      </c>
    </row>
    <row r="3583" spans="1:16" ht="62" outlineLevel="1" x14ac:dyDescent="0.25">
      <c r="A3583" s="1484" t="str">
        <f t="shared" si="532"/>
        <v>HO
DPR 16.2</v>
      </c>
      <c r="B3583" s="1485" t="str">
        <f t="shared" si="532"/>
        <v xml:space="preserve">Automation: Centralized SCADA, RTU, MODBUS Cable, Power cable &amp; Operation &amp; Maintenance for 1 Year &amp; mandatory spares
</v>
      </c>
      <c r="C3583" s="1488" t="str">
        <f t="shared" si="532"/>
        <v>MERC/CAPEX/2020-2021/WFH/SBR/37</v>
      </c>
      <c r="D3583" s="1413">
        <f t="shared" si="532"/>
        <v>44131</v>
      </c>
      <c r="E3583" s="560">
        <f t="shared" si="532"/>
        <v>0.84251999999999994</v>
      </c>
      <c r="F3583" s="1508">
        <f t="shared" si="528"/>
        <v>0.84251999999999994</v>
      </c>
      <c r="G3583" s="1508">
        <f t="shared" si="529"/>
        <v>0.84251999999999994</v>
      </c>
      <c r="H3583" s="1508">
        <f t="shared" si="524"/>
        <v>0</v>
      </c>
      <c r="I3583" s="1480">
        <v>0</v>
      </c>
      <c r="J3583" s="1480">
        <v>0</v>
      </c>
      <c r="K3583" s="1508"/>
      <c r="L3583" s="1508"/>
      <c r="M3583" s="1509">
        <f t="shared" si="525"/>
        <v>0</v>
      </c>
      <c r="N3583" s="1508">
        <f t="shared" si="526"/>
        <v>0</v>
      </c>
      <c r="O3583" s="1481">
        <f t="shared" si="530"/>
        <v>0</v>
      </c>
      <c r="P3583" s="1427">
        <f t="shared" si="531"/>
        <v>0</v>
      </c>
    </row>
    <row r="3584" spans="1:16" ht="31" outlineLevel="1" x14ac:dyDescent="0.25">
      <c r="A3584" s="1484">
        <f t="shared" ref="A3584:E3599" si="533">A2914</f>
        <v>0</v>
      </c>
      <c r="B3584" s="1485" t="str">
        <f t="shared" si="533"/>
        <v>IDC</v>
      </c>
      <c r="C3584" s="1482" t="str">
        <f t="shared" si="533"/>
        <v>MERC/CAPEX/2020-2021/WFH/SBR/37</v>
      </c>
      <c r="D3584" s="1390">
        <f t="shared" si="533"/>
        <v>44131</v>
      </c>
      <c r="E3584" s="560">
        <f t="shared" si="533"/>
        <v>0</v>
      </c>
      <c r="F3584" s="1508">
        <f t="shared" si="528"/>
        <v>0</v>
      </c>
      <c r="G3584" s="1508">
        <f t="shared" si="529"/>
        <v>0</v>
      </c>
      <c r="H3584" s="1508">
        <f t="shared" si="524"/>
        <v>0</v>
      </c>
      <c r="I3584" s="1480">
        <v>0</v>
      </c>
      <c r="J3584" s="1480">
        <v>0</v>
      </c>
      <c r="K3584" s="1508"/>
      <c r="L3584" s="1508"/>
      <c r="M3584" s="1509">
        <f t="shared" si="525"/>
        <v>0</v>
      </c>
      <c r="N3584" s="1508">
        <f t="shared" si="526"/>
        <v>0</v>
      </c>
      <c r="O3584" s="1481">
        <f t="shared" si="530"/>
        <v>0</v>
      </c>
      <c r="P3584" s="1427">
        <f t="shared" si="531"/>
        <v>0</v>
      </c>
    </row>
    <row r="3585" spans="1:16" ht="46.5" outlineLevel="1" x14ac:dyDescent="0.25">
      <c r="A3585" s="1489">
        <f t="shared" si="533"/>
        <v>40</v>
      </c>
      <c r="B3585" s="1490" t="str">
        <f t="shared" si="533"/>
        <v>Procurement of Condensate Extraction Pump for 500MW Unit-5, 6 &amp; 7 And Supply &amp; Replacement of complete PVC Fills of cell of cooling tower of Unit-7 in ODP-II at CSTPS, Chandrapur</v>
      </c>
      <c r="C3585" s="1486" t="str">
        <f t="shared" si="533"/>
        <v>MERC/CAPEX/2021-2022/ WFH/SBR/ 10</v>
      </c>
      <c r="D3585" s="1487">
        <f t="shared" si="533"/>
        <v>44357</v>
      </c>
      <c r="E3585" s="1383">
        <f t="shared" si="533"/>
        <v>10.89</v>
      </c>
      <c r="F3585" s="1480">
        <f t="shared" si="528"/>
        <v>0</v>
      </c>
      <c r="G3585" s="1480">
        <f t="shared" si="529"/>
        <v>0</v>
      </c>
      <c r="H3585" s="1480">
        <f t="shared" si="524"/>
        <v>0</v>
      </c>
      <c r="I3585" s="1480">
        <v>0</v>
      </c>
      <c r="J3585" s="1480">
        <v>0</v>
      </c>
      <c r="K3585" s="1480"/>
      <c r="L3585" s="1480"/>
      <c r="M3585" s="1480">
        <f t="shared" si="525"/>
        <v>0</v>
      </c>
      <c r="N3585" s="1480">
        <f t="shared" si="526"/>
        <v>0</v>
      </c>
      <c r="O3585" s="1481">
        <f t="shared" si="530"/>
        <v>0</v>
      </c>
      <c r="P3585" s="1427">
        <f t="shared" si="531"/>
        <v>0</v>
      </c>
    </row>
    <row r="3586" spans="1:16" ht="46.5" outlineLevel="1" x14ac:dyDescent="0.25">
      <c r="A3586" s="1484">
        <f t="shared" si="533"/>
        <v>40.1</v>
      </c>
      <c r="B3586" s="1485" t="str">
        <f t="shared" si="533"/>
        <v>Procurement of Condensate Extraction
Pump for 500MW Unit-5, 6 &amp; 7, CSTPS,
Chandrapur as insurance spare</v>
      </c>
      <c r="C3586" s="1488" t="str">
        <f t="shared" si="533"/>
        <v>MERC/CAPEX/2021-2022/ WFH/SBR/ 10</v>
      </c>
      <c r="D3586" s="1413">
        <f t="shared" si="533"/>
        <v>44357</v>
      </c>
      <c r="E3586" s="560">
        <f t="shared" si="533"/>
        <v>6.2</v>
      </c>
      <c r="F3586" s="1508">
        <f t="shared" si="528"/>
        <v>6.0121000000000002</v>
      </c>
      <c r="G3586" s="1508">
        <f t="shared" si="529"/>
        <v>6.0121000000000002</v>
      </c>
      <c r="H3586" s="1508">
        <f t="shared" si="524"/>
        <v>0</v>
      </c>
      <c r="I3586" s="1480">
        <v>0</v>
      </c>
      <c r="J3586" s="1480">
        <v>0</v>
      </c>
      <c r="K3586" s="1508"/>
      <c r="L3586" s="1508"/>
      <c r="M3586" s="1509">
        <f t="shared" si="525"/>
        <v>0</v>
      </c>
      <c r="N3586" s="1508">
        <f t="shared" si="526"/>
        <v>0</v>
      </c>
      <c r="O3586" s="1481">
        <f t="shared" si="530"/>
        <v>0</v>
      </c>
      <c r="P3586" s="1427">
        <f t="shared" si="531"/>
        <v>0</v>
      </c>
    </row>
    <row r="3587" spans="1:16" ht="46.5" outlineLevel="1" x14ac:dyDescent="0.25">
      <c r="A3587" s="1484">
        <f t="shared" si="533"/>
        <v>40.200000000000003</v>
      </c>
      <c r="B3587" s="1485" t="str">
        <f t="shared" si="533"/>
        <v>Supply and replacement of complete
PVC Fills of cell of cooling tower in Unit-
7</v>
      </c>
      <c r="C3587" s="1488" t="str">
        <f t="shared" si="533"/>
        <v>MERC/CAPEX/2021-2022/ WFH/SBR/ 10</v>
      </c>
      <c r="D3587" s="1413">
        <f t="shared" si="533"/>
        <v>44357</v>
      </c>
      <c r="E3587" s="560">
        <f t="shared" si="533"/>
        <v>4.3899999999999997</v>
      </c>
      <c r="F3587" s="1508">
        <f t="shared" si="528"/>
        <v>4.3293638999999997</v>
      </c>
      <c r="G3587" s="1508">
        <f t="shared" si="529"/>
        <v>4.3293638999999997</v>
      </c>
      <c r="H3587" s="1508">
        <f t="shared" si="524"/>
        <v>0</v>
      </c>
      <c r="I3587" s="1480">
        <v>0</v>
      </c>
      <c r="J3587" s="1480">
        <v>0</v>
      </c>
      <c r="K3587" s="1508"/>
      <c r="L3587" s="1508"/>
      <c r="M3587" s="1509">
        <f t="shared" si="525"/>
        <v>0</v>
      </c>
      <c r="N3587" s="1508">
        <f t="shared" si="526"/>
        <v>0</v>
      </c>
      <c r="O3587" s="1481">
        <f t="shared" si="530"/>
        <v>0</v>
      </c>
      <c r="P3587" s="1427">
        <f t="shared" si="531"/>
        <v>0</v>
      </c>
    </row>
    <row r="3588" spans="1:16" ht="31" outlineLevel="1" x14ac:dyDescent="0.25">
      <c r="A3588" s="1484">
        <f t="shared" si="533"/>
        <v>0</v>
      </c>
      <c r="B3588" s="1485" t="str">
        <f t="shared" si="533"/>
        <v>IDC</v>
      </c>
      <c r="C3588" s="1482" t="str">
        <f t="shared" si="533"/>
        <v>MERC/CAPEX/2021-2022/ WFH/SBR/ 10</v>
      </c>
      <c r="D3588" s="1390">
        <f t="shared" si="533"/>
        <v>44357</v>
      </c>
      <c r="E3588" s="560">
        <f t="shared" si="533"/>
        <v>0.3</v>
      </c>
      <c r="F3588" s="1508">
        <f t="shared" si="528"/>
        <v>0</v>
      </c>
      <c r="G3588" s="1508">
        <f t="shared" si="529"/>
        <v>0</v>
      </c>
      <c r="H3588" s="1508">
        <f t="shared" si="524"/>
        <v>0</v>
      </c>
      <c r="I3588" s="1480">
        <v>0</v>
      </c>
      <c r="J3588" s="1480">
        <v>0</v>
      </c>
      <c r="K3588" s="1508"/>
      <c r="L3588" s="1508"/>
      <c r="M3588" s="1509">
        <f t="shared" si="525"/>
        <v>0</v>
      </c>
      <c r="N3588" s="1508">
        <f t="shared" si="526"/>
        <v>0</v>
      </c>
      <c r="O3588" s="1481">
        <f t="shared" si="530"/>
        <v>0</v>
      </c>
      <c r="P3588" s="1427">
        <f t="shared" si="531"/>
        <v>0</v>
      </c>
    </row>
    <row r="3589" spans="1:16" ht="77.5" outlineLevel="1" x14ac:dyDescent="0.25">
      <c r="A3589" s="1489">
        <f t="shared" si="533"/>
        <v>41</v>
      </c>
      <c r="B3589" s="1490" t="str">
        <f t="shared" si="533"/>
        <v>Supply &amp; Commissioning of Advanced Microprocessor based Fast Bus Transfer panels; Up-gradation of Thyristor based 24V &amp; 220V DC battery chargers by SMPS Microprocessor based Battery Chargers at U-5,6 &amp;7
and Generator Protection scheme at U-7, at CSTPS, Chandrapur</v>
      </c>
      <c r="C3589" s="1486" t="str">
        <f t="shared" si="533"/>
        <v>MERC/CAPEX/2022-2023/0321</v>
      </c>
      <c r="D3589" s="1487">
        <f t="shared" si="533"/>
        <v>44760</v>
      </c>
      <c r="E3589" s="1383">
        <f t="shared" si="533"/>
        <v>14.06</v>
      </c>
      <c r="F3589" s="1480">
        <f t="shared" si="528"/>
        <v>0</v>
      </c>
      <c r="G3589" s="1480">
        <f t="shared" si="529"/>
        <v>0</v>
      </c>
      <c r="H3589" s="1480">
        <f t="shared" si="524"/>
        <v>0</v>
      </c>
      <c r="I3589" s="1480">
        <v>0</v>
      </c>
      <c r="J3589" s="1480">
        <v>0</v>
      </c>
      <c r="K3589" s="1480"/>
      <c r="L3589" s="1480"/>
      <c r="M3589" s="1480">
        <f t="shared" si="525"/>
        <v>0</v>
      </c>
      <c r="N3589" s="1480">
        <f t="shared" si="526"/>
        <v>0</v>
      </c>
      <c r="O3589" s="1481">
        <f t="shared" si="530"/>
        <v>0</v>
      </c>
      <c r="P3589" s="1427">
        <f t="shared" si="531"/>
        <v>0</v>
      </c>
    </row>
    <row r="3590" spans="1:16" ht="46.5" outlineLevel="1" x14ac:dyDescent="0.25">
      <c r="A3590" s="1484">
        <f t="shared" si="533"/>
        <v>41.1</v>
      </c>
      <c r="B3590" s="1485" t="str">
        <f t="shared" si="533"/>
        <v>Supply &amp; commissioning of Advanced Microprocessor based Fast Bus Transfer Panels for Unit#5,6,7, Stage-III, CSTPS, Chandrapur.</v>
      </c>
      <c r="C3590" s="1488" t="str">
        <f t="shared" si="533"/>
        <v>MERC/CAPEX/2022-2023/0321</v>
      </c>
      <c r="D3590" s="1413">
        <f t="shared" si="533"/>
        <v>44760</v>
      </c>
      <c r="E3590" s="560">
        <f t="shared" si="533"/>
        <v>6.08</v>
      </c>
      <c r="F3590" s="1508">
        <f t="shared" si="528"/>
        <v>6.0770239999999998</v>
      </c>
      <c r="G3590" s="1508">
        <f t="shared" si="529"/>
        <v>6.0770239999999998</v>
      </c>
      <c r="H3590" s="1508">
        <f t="shared" si="524"/>
        <v>0</v>
      </c>
      <c r="I3590" s="1480">
        <v>0</v>
      </c>
      <c r="J3590" s="1480">
        <v>0</v>
      </c>
      <c r="K3590" s="1508"/>
      <c r="L3590" s="1508"/>
      <c r="M3590" s="1509">
        <f t="shared" si="525"/>
        <v>0</v>
      </c>
      <c r="N3590" s="1508">
        <f t="shared" si="526"/>
        <v>0</v>
      </c>
      <c r="O3590" s="1481">
        <f t="shared" si="530"/>
        <v>0</v>
      </c>
      <c r="P3590" s="1427">
        <f t="shared" si="531"/>
        <v>0</v>
      </c>
    </row>
    <row r="3591" spans="1:16" ht="46.5" outlineLevel="1" x14ac:dyDescent="0.25">
      <c r="A3591" s="1484">
        <f t="shared" si="533"/>
        <v>41.2</v>
      </c>
      <c r="B3591" s="1485" t="str">
        <f t="shared" si="533"/>
        <v>Up-gradation of thyristor based 24V &amp; 220V DC Battery Chargers by SMPS Microprocessor based Battery Chargers at Stage-III, CSTPS, Chandrapur.</v>
      </c>
      <c r="C3591" s="1488" t="str">
        <f t="shared" si="533"/>
        <v>MERC/CAPEX/2022-2023/0321</v>
      </c>
      <c r="D3591" s="1413">
        <f t="shared" si="533"/>
        <v>44760</v>
      </c>
      <c r="E3591" s="560">
        <f t="shared" si="533"/>
        <v>5.28</v>
      </c>
      <c r="F3591" s="1508">
        <f t="shared" si="528"/>
        <v>5.28</v>
      </c>
      <c r="G3591" s="1508">
        <f t="shared" si="529"/>
        <v>5.28</v>
      </c>
      <c r="H3591" s="1508">
        <f t="shared" si="524"/>
        <v>0</v>
      </c>
      <c r="I3591" s="1480">
        <v>0</v>
      </c>
      <c r="J3591" s="1480">
        <v>0</v>
      </c>
      <c r="K3591" s="1508"/>
      <c r="L3591" s="1508"/>
      <c r="M3591" s="1509">
        <f t="shared" si="525"/>
        <v>0</v>
      </c>
      <c r="N3591" s="1508">
        <f t="shared" si="526"/>
        <v>0</v>
      </c>
      <c r="O3591" s="1481">
        <f t="shared" si="530"/>
        <v>0</v>
      </c>
      <c r="P3591" s="1427">
        <f t="shared" si="531"/>
        <v>0</v>
      </c>
    </row>
    <row r="3592" spans="1:16" ht="15.5" outlineLevel="1" x14ac:dyDescent="0.25">
      <c r="A3592" s="1484">
        <f t="shared" si="533"/>
        <v>41.3</v>
      </c>
      <c r="B3592" s="1485" t="str">
        <f t="shared" si="533"/>
        <v>Generator Protection Scheme U-7</v>
      </c>
      <c r="C3592" s="1488" t="str">
        <f t="shared" si="533"/>
        <v>MERC/CAPEX/2022-2023/0321</v>
      </c>
      <c r="D3592" s="1413">
        <f t="shared" si="533"/>
        <v>44760</v>
      </c>
      <c r="E3592" s="560">
        <f t="shared" si="533"/>
        <v>1.98</v>
      </c>
      <c r="F3592" s="1508">
        <f t="shared" si="528"/>
        <v>1.98</v>
      </c>
      <c r="G3592" s="1508">
        <f t="shared" si="529"/>
        <v>1.98</v>
      </c>
      <c r="H3592" s="1508">
        <f t="shared" si="524"/>
        <v>0</v>
      </c>
      <c r="I3592" s="1480">
        <v>0</v>
      </c>
      <c r="J3592" s="1480">
        <v>0</v>
      </c>
      <c r="K3592" s="1508"/>
      <c r="L3592" s="1508"/>
      <c r="M3592" s="1509">
        <f t="shared" si="525"/>
        <v>0</v>
      </c>
      <c r="N3592" s="1508">
        <f t="shared" si="526"/>
        <v>0</v>
      </c>
      <c r="O3592" s="1481">
        <f t="shared" si="530"/>
        <v>0</v>
      </c>
      <c r="P3592" s="1427">
        <f t="shared" si="531"/>
        <v>0</v>
      </c>
    </row>
    <row r="3593" spans="1:16" ht="15.5" outlineLevel="1" x14ac:dyDescent="0.25">
      <c r="A3593" s="1484">
        <f t="shared" si="533"/>
        <v>0</v>
      </c>
      <c r="B3593" s="1485" t="str">
        <f t="shared" si="533"/>
        <v>IDC</v>
      </c>
      <c r="C3593" s="1482" t="str">
        <f t="shared" si="533"/>
        <v>MERC/CAPEX/2022-2023/0321</v>
      </c>
      <c r="D3593" s="1390">
        <f t="shared" si="533"/>
        <v>44760</v>
      </c>
      <c r="E3593" s="560">
        <f t="shared" si="533"/>
        <v>0.72</v>
      </c>
      <c r="F3593" s="1508">
        <f t="shared" si="528"/>
        <v>0</v>
      </c>
      <c r="G3593" s="1508">
        <f t="shared" si="529"/>
        <v>0</v>
      </c>
      <c r="H3593" s="1508">
        <f t="shared" si="524"/>
        <v>0</v>
      </c>
      <c r="I3593" s="1480">
        <v>0</v>
      </c>
      <c r="J3593" s="1480">
        <v>0</v>
      </c>
      <c r="K3593" s="1508"/>
      <c r="L3593" s="1508"/>
      <c r="M3593" s="1509">
        <f t="shared" si="525"/>
        <v>0</v>
      </c>
      <c r="N3593" s="1508">
        <f t="shared" si="526"/>
        <v>0</v>
      </c>
      <c r="O3593" s="1481">
        <f t="shared" si="530"/>
        <v>0</v>
      </c>
      <c r="P3593" s="1427">
        <f t="shared" si="531"/>
        <v>0</v>
      </c>
    </row>
    <row r="3594" spans="1:16" ht="31" outlineLevel="1" x14ac:dyDescent="0.25">
      <c r="A3594" s="1489">
        <f t="shared" si="533"/>
        <v>42</v>
      </c>
      <c r="B3594" s="1490" t="str">
        <f t="shared" si="533"/>
        <v>ESP Upgradation of 5 Nos. of 210/500MW Units at Khaperkheda, Koradi &amp; Chandrapur TPS</v>
      </c>
      <c r="C3594" s="1486" t="str">
        <f t="shared" si="533"/>
        <v>MERC/CAPEX/2022-2023/MSPGCL/0453</v>
      </c>
      <c r="D3594" s="1487">
        <f t="shared" si="533"/>
        <v>44833</v>
      </c>
      <c r="E3594" s="1383">
        <f t="shared" si="533"/>
        <v>219.44</v>
      </c>
      <c r="F3594" s="1480">
        <f t="shared" si="528"/>
        <v>0</v>
      </c>
      <c r="G3594" s="1480">
        <f t="shared" si="529"/>
        <v>0</v>
      </c>
      <c r="H3594" s="1480">
        <f t="shared" si="524"/>
        <v>0</v>
      </c>
      <c r="I3594" s="1480">
        <v>0</v>
      </c>
      <c r="J3594" s="1480">
        <v>0</v>
      </c>
      <c r="K3594" s="1480"/>
      <c r="L3594" s="1480"/>
      <c r="M3594" s="1480">
        <f t="shared" si="525"/>
        <v>0</v>
      </c>
      <c r="N3594" s="1480">
        <f t="shared" si="526"/>
        <v>0</v>
      </c>
      <c r="O3594" s="1481">
        <f t="shared" si="530"/>
        <v>0</v>
      </c>
      <c r="P3594" s="1427">
        <f t="shared" si="531"/>
        <v>0</v>
      </c>
    </row>
    <row r="3595" spans="1:16" ht="31" outlineLevel="1" x14ac:dyDescent="0.25">
      <c r="A3595" s="1484">
        <f t="shared" si="533"/>
        <v>42.1</v>
      </c>
      <c r="B3595" s="1485" t="str">
        <f t="shared" si="533"/>
        <v>ESP Upgradation at Unit # 5 &amp; 6, Chandrapur TPS</v>
      </c>
      <c r="C3595" s="1488" t="str">
        <f t="shared" si="533"/>
        <v>MERC/CAPEX/2022-2023/MSPGCL/0453</v>
      </c>
      <c r="D3595" s="1413">
        <f t="shared" si="533"/>
        <v>44833</v>
      </c>
      <c r="E3595" s="560">
        <f t="shared" si="533"/>
        <v>207.46</v>
      </c>
      <c r="F3595" s="1508">
        <f t="shared" si="528"/>
        <v>232.76</v>
      </c>
      <c r="G3595" s="1508">
        <f t="shared" si="529"/>
        <v>232.76</v>
      </c>
      <c r="H3595" s="1508">
        <f t="shared" si="524"/>
        <v>0</v>
      </c>
      <c r="I3595" s="1480">
        <v>0</v>
      </c>
      <c r="J3595" s="1480">
        <v>0</v>
      </c>
      <c r="K3595" s="1508"/>
      <c r="L3595" s="1508"/>
      <c r="M3595" s="1509">
        <f t="shared" si="525"/>
        <v>0</v>
      </c>
      <c r="N3595" s="1508">
        <f t="shared" si="526"/>
        <v>0</v>
      </c>
      <c r="O3595" s="1481">
        <f t="shared" si="530"/>
        <v>0</v>
      </c>
      <c r="P3595" s="1427">
        <f t="shared" si="531"/>
        <v>0</v>
      </c>
    </row>
    <row r="3596" spans="1:16" ht="31" outlineLevel="1" x14ac:dyDescent="0.25">
      <c r="A3596" s="1484">
        <f t="shared" si="533"/>
        <v>0</v>
      </c>
      <c r="B3596" s="1485" t="str">
        <f t="shared" si="533"/>
        <v>IDC</v>
      </c>
      <c r="C3596" s="1482" t="str">
        <f t="shared" si="533"/>
        <v>MERC/CAPEX/2022-2023/MSPGCL/0453</v>
      </c>
      <c r="D3596" s="1390">
        <f t="shared" si="533"/>
        <v>44833</v>
      </c>
      <c r="E3596" s="560">
        <f t="shared" si="533"/>
        <v>11.98</v>
      </c>
      <c r="F3596" s="1508">
        <f t="shared" si="528"/>
        <v>0</v>
      </c>
      <c r="G3596" s="1508">
        <f t="shared" si="529"/>
        <v>0</v>
      </c>
      <c r="H3596" s="1508">
        <f t="shared" si="524"/>
        <v>0</v>
      </c>
      <c r="I3596" s="1480">
        <v>0</v>
      </c>
      <c r="J3596" s="1480">
        <v>0</v>
      </c>
      <c r="K3596" s="1508"/>
      <c r="L3596" s="1508"/>
      <c r="M3596" s="1509">
        <f t="shared" si="525"/>
        <v>0</v>
      </c>
      <c r="N3596" s="1508">
        <f t="shared" si="526"/>
        <v>0</v>
      </c>
      <c r="O3596" s="1481">
        <f t="shared" si="530"/>
        <v>0</v>
      </c>
      <c r="P3596" s="1427">
        <f t="shared" si="531"/>
        <v>0</v>
      </c>
    </row>
    <row r="3597" spans="1:16" ht="31" outlineLevel="1" x14ac:dyDescent="0.25">
      <c r="A3597" s="1489">
        <f t="shared" si="533"/>
        <v>43</v>
      </c>
      <c r="B3597" s="1490" t="str">
        <f t="shared" si="533"/>
        <v>Flue Gas Desulphurization (FGD) System at 10 Nos. of 210 MW Units at Chandrapur, Koradi, Khaperkheda &amp; Nasik TPS</v>
      </c>
      <c r="C3597" s="1486" t="str">
        <f t="shared" si="533"/>
        <v>MERC/CAPEX/MSPGCL/2023-2024/0459</v>
      </c>
      <c r="D3597" s="1487">
        <f t="shared" si="533"/>
        <v>45174</v>
      </c>
      <c r="E3597" s="1383">
        <f t="shared" si="533"/>
        <v>115.34</v>
      </c>
      <c r="F3597" s="1480">
        <f t="shared" si="528"/>
        <v>0</v>
      </c>
      <c r="G3597" s="1480">
        <f t="shared" si="529"/>
        <v>0</v>
      </c>
      <c r="H3597" s="1480">
        <f t="shared" si="524"/>
        <v>0</v>
      </c>
      <c r="I3597" s="1480">
        <v>0</v>
      </c>
      <c r="J3597" s="1480">
        <v>0</v>
      </c>
      <c r="K3597" s="1480"/>
      <c r="L3597" s="1480"/>
      <c r="M3597" s="1480">
        <f t="shared" si="525"/>
        <v>0</v>
      </c>
      <c r="N3597" s="1480">
        <f t="shared" si="526"/>
        <v>0</v>
      </c>
      <c r="O3597" s="1481">
        <f t="shared" si="530"/>
        <v>0</v>
      </c>
      <c r="P3597" s="1427">
        <f t="shared" si="531"/>
        <v>0</v>
      </c>
    </row>
    <row r="3598" spans="1:16" ht="31" outlineLevel="1" x14ac:dyDescent="0.25">
      <c r="A3598" s="1484">
        <f t="shared" si="533"/>
        <v>43.1</v>
      </c>
      <c r="B3598" s="1485" t="str">
        <f t="shared" si="533"/>
        <v>Flue Gas Desulphurization (FGD) System at Unit 3 &amp; 4, Chandrapur</v>
      </c>
      <c r="C3598" s="1488" t="str">
        <f t="shared" si="533"/>
        <v>MERC/CAPEX/MSPGCL/2023-2024/0459</v>
      </c>
      <c r="D3598" s="1413">
        <f t="shared" si="533"/>
        <v>45174</v>
      </c>
      <c r="E3598" s="560">
        <f t="shared" si="533"/>
        <v>109.4</v>
      </c>
      <c r="F3598" s="1508">
        <f t="shared" si="528"/>
        <v>147.38</v>
      </c>
      <c r="G3598" s="1508">
        <f t="shared" si="529"/>
        <v>256.32</v>
      </c>
      <c r="H3598" s="1508">
        <f t="shared" si="524"/>
        <v>-108.94</v>
      </c>
      <c r="I3598" s="1480">
        <v>0</v>
      </c>
      <c r="J3598" s="1480">
        <v>0</v>
      </c>
      <c r="K3598" s="1508"/>
      <c r="L3598" s="1508"/>
      <c r="M3598" s="1509">
        <f t="shared" si="525"/>
        <v>0</v>
      </c>
      <c r="N3598" s="1508">
        <f t="shared" si="526"/>
        <v>-108.94</v>
      </c>
      <c r="O3598" s="1481">
        <f t="shared" si="530"/>
        <v>0</v>
      </c>
      <c r="P3598" s="1427">
        <f t="shared" si="531"/>
        <v>0</v>
      </c>
    </row>
    <row r="3599" spans="1:16" ht="31" outlineLevel="1" x14ac:dyDescent="0.25">
      <c r="A3599" s="1484">
        <f t="shared" si="533"/>
        <v>0</v>
      </c>
      <c r="B3599" s="1485" t="str">
        <f t="shared" si="533"/>
        <v>IDC</v>
      </c>
      <c r="C3599" s="1488" t="str">
        <f t="shared" si="533"/>
        <v>MERC/CAPEX/MSPGCL/2023-2024/0459</v>
      </c>
      <c r="D3599" s="1413">
        <f t="shared" si="533"/>
        <v>45174</v>
      </c>
      <c r="E3599" s="560">
        <f t="shared" si="533"/>
        <v>5.94</v>
      </c>
      <c r="F3599" s="1508">
        <f t="shared" si="528"/>
        <v>0</v>
      </c>
      <c r="G3599" s="1508">
        <f t="shared" si="529"/>
        <v>0</v>
      </c>
      <c r="H3599" s="1508">
        <f t="shared" si="524"/>
        <v>0</v>
      </c>
      <c r="I3599" s="1480">
        <v>0</v>
      </c>
      <c r="J3599" s="1480">
        <v>0</v>
      </c>
      <c r="K3599" s="1508"/>
      <c r="L3599" s="1508"/>
      <c r="M3599" s="1509">
        <f t="shared" si="525"/>
        <v>0</v>
      </c>
      <c r="N3599" s="1508">
        <f t="shared" si="526"/>
        <v>0</v>
      </c>
      <c r="O3599" s="1481">
        <f t="shared" si="530"/>
        <v>0</v>
      </c>
      <c r="P3599" s="1427">
        <f t="shared" si="531"/>
        <v>0</v>
      </c>
    </row>
    <row r="3600" spans="1:16" ht="77.5" outlineLevel="1" x14ac:dyDescent="0.25">
      <c r="A3600" s="1489">
        <f t="shared" ref="A3600:E3615" si="534">A2930</f>
        <v>44</v>
      </c>
      <c r="B3600" s="1490" t="str">
        <f t="shared" si="534"/>
        <v>Design, Engineering, Manufacturing, Transportation to CSTPS site, unloading, Erection, Testing &amp; Commissioning of 3 nos. of new 200MVA. 21/400/√3KV, Single phase Generator Transformers, BHEL make for 3 X 500 MW Unit#5,6&amp;7 500MW Stage-III CSTPS, Chandrapur</v>
      </c>
      <c r="C3600" s="1486" t="str">
        <f t="shared" si="534"/>
        <v>MERC/CAPEX/2022-2023/0409</v>
      </c>
      <c r="D3600" s="1487">
        <f t="shared" si="534"/>
        <v>44806</v>
      </c>
      <c r="E3600" s="1383">
        <f t="shared" si="534"/>
        <v>33.268000000000001</v>
      </c>
      <c r="F3600" s="1480">
        <f t="shared" si="528"/>
        <v>0</v>
      </c>
      <c r="G3600" s="1480">
        <f t="shared" si="529"/>
        <v>0</v>
      </c>
      <c r="H3600" s="1480">
        <f t="shared" si="524"/>
        <v>0</v>
      </c>
      <c r="I3600" s="1480">
        <v>0</v>
      </c>
      <c r="J3600" s="1480">
        <v>0</v>
      </c>
      <c r="K3600" s="1480"/>
      <c r="L3600" s="1480"/>
      <c r="M3600" s="1480">
        <f t="shared" si="525"/>
        <v>0</v>
      </c>
      <c r="N3600" s="1480">
        <f t="shared" si="526"/>
        <v>0</v>
      </c>
      <c r="O3600" s="1481">
        <f t="shared" si="530"/>
        <v>0</v>
      </c>
      <c r="P3600" s="1427">
        <f t="shared" si="531"/>
        <v>0</v>
      </c>
    </row>
    <row r="3601" spans="1:16" ht="93" outlineLevel="1" x14ac:dyDescent="0.25">
      <c r="A3601" s="1484">
        <f t="shared" si="534"/>
        <v>44.1</v>
      </c>
      <c r="B3601" s="1485" t="str">
        <f t="shared" si="534"/>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3601" s="1488" t="str">
        <f t="shared" si="534"/>
        <v>MERC/CAPEX/2022-2023/0409</v>
      </c>
      <c r="D3601" s="1413">
        <f t="shared" si="534"/>
        <v>44806</v>
      </c>
      <c r="E3601" s="560">
        <f t="shared" si="534"/>
        <v>32.567999999999998</v>
      </c>
      <c r="F3601" s="1508">
        <f t="shared" si="528"/>
        <v>39</v>
      </c>
      <c r="G3601" s="1508">
        <f t="shared" si="529"/>
        <v>39</v>
      </c>
      <c r="H3601" s="1508">
        <f t="shared" si="524"/>
        <v>0</v>
      </c>
      <c r="I3601" s="1480">
        <v>0</v>
      </c>
      <c r="J3601" s="1480">
        <v>0</v>
      </c>
      <c r="K3601" s="1508"/>
      <c r="L3601" s="1508"/>
      <c r="M3601" s="1509">
        <f t="shared" si="525"/>
        <v>0</v>
      </c>
      <c r="N3601" s="1508">
        <f t="shared" si="526"/>
        <v>0</v>
      </c>
      <c r="O3601" s="1481">
        <f t="shared" si="530"/>
        <v>0</v>
      </c>
      <c r="P3601" s="1427">
        <f t="shared" si="531"/>
        <v>0</v>
      </c>
    </row>
    <row r="3602" spans="1:16" ht="15.5" outlineLevel="1" x14ac:dyDescent="0.25">
      <c r="A3602" s="1484">
        <f t="shared" si="534"/>
        <v>0</v>
      </c>
      <c r="B3602" s="1485" t="str">
        <f t="shared" si="534"/>
        <v>IDC</v>
      </c>
      <c r="C3602" s="1482" t="str">
        <f t="shared" si="534"/>
        <v>MERC/CAPEX/2022-2023/0409</v>
      </c>
      <c r="D3602" s="1390">
        <f t="shared" si="534"/>
        <v>44806</v>
      </c>
      <c r="E3602" s="560">
        <f t="shared" si="534"/>
        <v>0.7</v>
      </c>
      <c r="F3602" s="1508">
        <f t="shared" si="528"/>
        <v>0</v>
      </c>
      <c r="G3602" s="1508">
        <f t="shared" si="529"/>
        <v>0</v>
      </c>
      <c r="H3602" s="1508">
        <f t="shared" si="524"/>
        <v>0</v>
      </c>
      <c r="I3602" s="1480">
        <v>0</v>
      </c>
      <c r="J3602" s="1480">
        <v>0</v>
      </c>
      <c r="K3602" s="1508"/>
      <c r="L3602" s="1508"/>
      <c r="M3602" s="1509">
        <f t="shared" si="525"/>
        <v>0</v>
      </c>
      <c r="N3602" s="1508">
        <f t="shared" si="526"/>
        <v>0</v>
      </c>
      <c r="O3602" s="1481">
        <f t="shared" si="530"/>
        <v>0</v>
      </c>
      <c r="P3602" s="1427">
        <f t="shared" si="531"/>
        <v>0</v>
      </c>
    </row>
    <row r="3603" spans="1:16" ht="93" outlineLevel="1" x14ac:dyDescent="0.25">
      <c r="A3603" s="1489">
        <f t="shared" si="534"/>
        <v>45</v>
      </c>
      <c r="B3603" s="1490" t="str">
        <f t="shared" si="534"/>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3603" s="1486" t="str">
        <f t="shared" si="534"/>
        <v>MERC/CAPEX/2022-2023/MSPGCL/0458</v>
      </c>
      <c r="D3603" s="1487">
        <f t="shared" si="534"/>
        <v>45174</v>
      </c>
      <c r="E3603" s="560">
        <f t="shared" si="534"/>
        <v>145.05495436368</v>
      </c>
      <c r="F3603" s="1508">
        <f t="shared" si="528"/>
        <v>0</v>
      </c>
      <c r="G3603" s="1508">
        <f t="shared" si="529"/>
        <v>0</v>
      </c>
      <c r="H3603" s="1508">
        <f t="shared" si="524"/>
        <v>0</v>
      </c>
      <c r="I3603" s="1480">
        <v>0</v>
      </c>
      <c r="J3603" s="1480">
        <v>0</v>
      </c>
      <c r="K3603" s="1508"/>
      <c r="L3603" s="1508"/>
      <c r="M3603" s="1509">
        <f t="shared" ref="M3603:M3631" si="535">SUM(J3603:L3603)</f>
        <v>0</v>
      </c>
      <c r="N3603" s="1508">
        <f t="shared" si="526"/>
        <v>0</v>
      </c>
      <c r="O3603" s="1481"/>
      <c r="P3603" s="1427"/>
    </row>
    <row r="3604" spans="1:16" ht="31" outlineLevel="1" x14ac:dyDescent="0.25">
      <c r="A3604" s="1484">
        <f t="shared" si="534"/>
        <v>45.1</v>
      </c>
      <c r="B3604" s="1485" t="str">
        <f t="shared" si="534"/>
        <v>Construction of 4th raising of existing Ash Bund from T.B.L. 198.00 M to T.B.L 201.00 M</v>
      </c>
      <c r="C3604" s="1488" t="str">
        <f t="shared" si="534"/>
        <v>MERC/CAPEX/2022-2023/MSPGCL/0458</v>
      </c>
      <c r="D3604" s="1413">
        <f t="shared" si="534"/>
        <v>45174</v>
      </c>
      <c r="E3604" s="560">
        <f t="shared" si="534"/>
        <v>101.81018586775998</v>
      </c>
      <c r="F3604" s="1508">
        <f t="shared" si="528"/>
        <v>66.943683858253138</v>
      </c>
      <c r="G3604" s="1508">
        <f t="shared" si="529"/>
        <v>66.943683858253138</v>
      </c>
      <c r="H3604" s="1508">
        <f t="shared" si="524"/>
        <v>0</v>
      </c>
      <c r="I3604" s="1480">
        <v>0</v>
      </c>
      <c r="J3604" s="1480">
        <v>0</v>
      </c>
      <c r="K3604" s="1508"/>
      <c r="L3604" s="1508"/>
      <c r="M3604" s="1509">
        <f t="shared" si="535"/>
        <v>0</v>
      </c>
      <c r="N3604" s="1508">
        <f t="shared" si="526"/>
        <v>0</v>
      </c>
      <c r="O3604" s="1481"/>
      <c r="P3604" s="1427"/>
    </row>
    <row r="3605" spans="1:16" ht="31" outlineLevel="1" x14ac:dyDescent="0.25">
      <c r="A3605" s="1484">
        <f t="shared" si="534"/>
        <v>45.2</v>
      </c>
      <c r="B3605" s="1485" t="str">
        <f t="shared" si="534"/>
        <v>Construction of New Drain Wells (12 Nos.) along with necessary connection to existing drain wells at CSTPS</v>
      </c>
      <c r="C3605" s="1488" t="str">
        <f t="shared" si="534"/>
        <v>MERC/CAPEX/2022-2023/MSPGCL/0458</v>
      </c>
      <c r="D3605" s="1413">
        <f t="shared" si="534"/>
        <v>45174</v>
      </c>
      <c r="E3605" s="560">
        <f t="shared" si="534"/>
        <v>1.7079926814999997</v>
      </c>
      <c r="F3605" s="1508">
        <f t="shared" si="528"/>
        <v>1.1230636809863013</v>
      </c>
      <c r="G3605" s="1508">
        <f t="shared" si="529"/>
        <v>1.1230636809863013</v>
      </c>
      <c r="H3605" s="1508">
        <f t="shared" si="524"/>
        <v>0</v>
      </c>
      <c r="I3605" s="1480">
        <v>0</v>
      </c>
      <c r="J3605" s="1480">
        <v>0</v>
      </c>
      <c r="K3605" s="1508"/>
      <c r="L3605" s="1508"/>
      <c r="M3605" s="1509">
        <f t="shared" si="535"/>
        <v>0</v>
      </c>
      <c r="N3605" s="1508">
        <f t="shared" si="526"/>
        <v>0</v>
      </c>
      <c r="O3605" s="1481"/>
      <c r="P3605" s="1427"/>
    </row>
    <row r="3606" spans="1:16" ht="31" outlineLevel="1" x14ac:dyDescent="0.25">
      <c r="A3606" s="1484">
        <f t="shared" si="534"/>
        <v>45.3</v>
      </c>
      <c r="B3606" s="1485" t="str">
        <f t="shared" si="534"/>
        <v xml:space="preserve"> Construction of waste weir for raising of ash bund (Waste Weir &amp; Non overflow structure)</v>
      </c>
      <c r="C3606" s="1488" t="str">
        <f t="shared" si="534"/>
        <v>MERC/CAPEX/2022-2023/MSPGCL/0458</v>
      </c>
      <c r="D3606" s="1413">
        <f t="shared" si="534"/>
        <v>45174</v>
      </c>
      <c r="E3606" s="560">
        <f t="shared" si="534"/>
        <v>4.2692499462199995</v>
      </c>
      <c r="F3606" s="1508">
        <f t="shared" si="528"/>
        <v>2.8071780468295886</v>
      </c>
      <c r="G3606" s="1508">
        <f t="shared" si="529"/>
        <v>2.8071780468295886</v>
      </c>
      <c r="H3606" s="1508">
        <f t="shared" si="524"/>
        <v>0</v>
      </c>
      <c r="I3606" s="1480">
        <v>0</v>
      </c>
      <c r="J3606" s="1480">
        <v>0</v>
      </c>
      <c r="K3606" s="1508"/>
      <c r="L3606" s="1508"/>
      <c r="M3606" s="1509">
        <f t="shared" si="535"/>
        <v>0</v>
      </c>
      <c r="N3606" s="1508">
        <f t="shared" si="526"/>
        <v>0</v>
      </c>
      <c r="O3606" s="1481"/>
      <c r="P3606" s="1427"/>
    </row>
    <row r="3607" spans="1:16" ht="31" outlineLevel="1" x14ac:dyDescent="0.25">
      <c r="A3607" s="1484">
        <f t="shared" si="534"/>
        <v>45.4</v>
      </c>
      <c r="B3607" s="1485" t="str">
        <f t="shared" si="534"/>
        <v>Raising of Ash Compartment i.e. Lagoon in Ash Bund</v>
      </c>
      <c r="C3607" s="1488" t="str">
        <f t="shared" si="534"/>
        <v>MERC/CAPEX/2022-2023/MSPGCL/0458</v>
      </c>
      <c r="D3607" s="1413">
        <f t="shared" si="534"/>
        <v>45174</v>
      </c>
      <c r="E3607" s="560">
        <f t="shared" si="534"/>
        <v>25.657525868199997</v>
      </c>
      <c r="F3607" s="1508">
        <f t="shared" si="528"/>
        <v>16.870701940734246</v>
      </c>
      <c r="G3607" s="1508">
        <f t="shared" si="529"/>
        <v>16.870701940734246</v>
      </c>
      <c r="H3607" s="1508">
        <f t="shared" si="524"/>
        <v>0</v>
      </c>
      <c r="I3607" s="1480">
        <v>0</v>
      </c>
      <c r="J3607" s="1480">
        <v>0</v>
      </c>
      <c r="K3607" s="1508"/>
      <c r="L3607" s="1508"/>
      <c r="M3607" s="1509">
        <f t="shared" si="535"/>
        <v>0</v>
      </c>
      <c r="N3607" s="1508">
        <f t="shared" si="526"/>
        <v>0</v>
      </c>
      <c r="O3607" s="1481"/>
      <c r="P3607" s="1427"/>
    </row>
    <row r="3608" spans="1:16" ht="31" outlineLevel="1" x14ac:dyDescent="0.25">
      <c r="A3608" s="1484">
        <f t="shared" si="534"/>
        <v>0</v>
      </c>
      <c r="B3608" s="1485" t="str">
        <f t="shared" si="534"/>
        <v>IDC</v>
      </c>
      <c r="C3608" s="1482" t="str">
        <f t="shared" si="534"/>
        <v>MERC/CAPEX/2022-2023/MSPGCL/0458</v>
      </c>
      <c r="D3608" s="1390">
        <f t="shared" si="534"/>
        <v>45174</v>
      </c>
      <c r="E3608" s="560">
        <f t="shared" si="534"/>
        <v>11.61</v>
      </c>
      <c r="F3608" s="1508">
        <f t="shared" si="528"/>
        <v>0</v>
      </c>
      <c r="G3608" s="1508">
        <f t="shared" si="529"/>
        <v>0</v>
      </c>
      <c r="H3608" s="1508">
        <f t="shared" si="524"/>
        <v>0</v>
      </c>
      <c r="I3608" s="1480">
        <v>0</v>
      </c>
      <c r="J3608" s="1480">
        <v>0</v>
      </c>
      <c r="K3608" s="1508"/>
      <c r="L3608" s="1508"/>
      <c r="M3608" s="1509">
        <f t="shared" si="535"/>
        <v>0</v>
      </c>
      <c r="N3608" s="1508">
        <f t="shared" si="526"/>
        <v>0</v>
      </c>
      <c r="O3608" s="1481"/>
      <c r="P3608" s="1427"/>
    </row>
    <row r="3609" spans="1:16" ht="46.5" outlineLevel="1" x14ac:dyDescent="0.25">
      <c r="A3609" s="1489">
        <f t="shared" si="534"/>
        <v>46</v>
      </c>
      <c r="B3609" s="1490" t="str">
        <f t="shared" si="534"/>
        <v>Procurement of 03 Nos. of complete assembly of 3.3 KV, 300 KW Boiler Circulation Water Pump - Motors along with Impeller for Unit#5&amp;6, 500MW Stage-III CSTPS Chandrapur</v>
      </c>
      <c r="C3609" s="1486" t="str">
        <f t="shared" si="534"/>
        <v>MERC/CAPEX/2024-2025/MSPGCL/0308</v>
      </c>
      <c r="D3609" s="1487">
        <f t="shared" si="534"/>
        <v>45429</v>
      </c>
      <c r="E3609" s="560">
        <f t="shared" si="534"/>
        <v>37.32</v>
      </c>
      <c r="F3609" s="1508">
        <f t="shared" si="528"/>
        <v>0</v>
      </c>
      <c r="G3609" s="1508">
        <f t="shared" si="529"/>
        <v>0</v>
      </c>
      <c r="H3609" s="1508">
        <f t="shared" si="524"/>
        <v>0</v>
      </c>
      <c r="I3609" s="1480">
        <v>0</v>
      </c>
      <c r="J3609" s="1480">
        <v>0</v>
      </c>
      <c r="K3609" s="1508"/>
      <c r="L3609" s="1508"/>
      <c r="M3609" s="1509">
        <f t="shared" si="535"/>
        <v>0</v>
      </c>
      <c r="N3609" s="1508">
        <f t="shared" si="526"/>
        <v>0</v>
      </c>
      <c r="O3609" s="1481"/>
      <c r="P3609" s="1427"/>
    </row>
    <row r="3610" spans="1:16" ht="46.5" outlineLevel="1" x14ac:dyDescent="0.25">
      <c r="A3610" s="1484">
        <f t="shared" si="534"/>
        <v>46.1</v>
      </c>
      <c r="B3610" s="1485" t="str">
        <f t="shared" si="534"/>
        <v>Procurement of 03 Nos. of complete assembly of 3.3 KV, 300 KW Boiler Circulation Water Pump - Motors along with Impeller for Unit#5&amp;6, 500MW Stage-III CSTPS Chandrapur</v>
      </c>
      <c r="C3610" s="1488" t="str">
        <f t="shared" si="534"/>
        <v>MERC/CAPEX/2024-2025/MSPGCL/0308</v>
      </c>
      <c r="D3610" s="1495">
        <f t="shared" si="534"/>
        <v>45429</v>
      </c>
      <c r="E3610" s="560">
        <f t="shared" si="534"/>
        <v>0</v>
      </c>
      <c r="F3610" s="1508">
        <f t="shared" si="528"/>
        <v>35.944000000000003</v>
      </c>
      <c r="G3610" s="1508">
        <f t="shared" si="529"/>
        <v>35.944000000000003</v>
      </c>
      <c r="H3610" s="1508">
        <f t="shared" ref="H3610:H3673" si="536">F3610-G3610</f>
        <v>0</v>
      </c>
      <c r="I3610" s="1480">
        <v>0</v>
      </c>
      <c r="J3610" s="1480">
        <v>0</v>
      </c>
      <c r="K3610" s="1508"/>
      <c r="L3610" s="1508"/>
      <c r="M3610" s="1509">
        <f t="shared" si="535"/>
        <v>0</v>
      </c>
      <c r="N3610" s="1508">
        <f t="shared" ref="N3610:N3673" si="537">H3610+I3610-M3610</f>
        <v>0</v>
      </c>
      <c r="O3610" s="1481"/>
      <c r="P3610" s="1427"/>
    </row>
    <row r="3611" spans="1:16" ht="31" outlineLevel="1" x14ac:dyDescent="0.25">
      <c r="A3611" s="1484">
        <f t="shared" si="534"/>
        <v>0</v>
      </c>
      <c r="B3611" s="1485" t="str">
        <f t="shared" si="534"/>
        <v>IDC</v>
      </c>
      <c r="C3611" s="1488" t="str">
        <f t="shared" si="534"/>
        <v>MERC/CAPEX/2024-2025/MSPGCL/0308</v>
      </c>
      <c r="D3611" s="1495">
        <f t="shared" si="534"/>
        <v>45429</v>
      </c>
      <c r="E3611" s="560">
        <f t="shared" si="534"/>
        <v>0</v>
      </c>
      <c r="F3611" s="1508">
        <f t="shared" si="528"/>
        <v>0</v>
      </c>
      <c r="G3611" s="1508">
        <f t="shared" si="529"/>
        <v>0</v>
      </c>
      <c r="H3611" s="1508">
        <f t="shared" si="536"/>
        <v>0</v>
      </c>
      <c r="I3611" s="1480">
        <v>0</v>
      </c>
      <c r="J3611" s="1480">
        <v>0</v>
      </c>
      <c r="K3611" s="1508"/>
      <c r="L3611" s="1508"/>
      <c r="M3611" s="1509">
        <f t="shared" si="535"/>
        <v>0</v>
      </c>
      <c r="N3611" s="1508">
        <f t="shared" si="537"/>
        <v>0</v>
      </c>
      <c r="O3611" s="1481"/>
      <c r="P3611" s="1427"/>
    </row>
    <row r="3612" spans="1:16" ht="31" outlineLevel="1" x14ac:dyDescent="0.25">
      <c r="A3612" s="1489">
        <f t="shared" si="534"/>
        <v>47</v>
      </c>
      <c r="B3612" s="1490" t="str">
        <f t="shared" si="534"/>
        <v>Performance Improvement &amp; Life Extension Schemes for CHP of Unit 3 to 7 of CSTPS, Chandrapur</v>
      </c>
      <c r="C3612" s="1486" t="str">
        <f t="shared" si="534"/>
        <v>MERC/CAPEX/MSPGCL/2023-24/0560</v>
      </c>
      <c r="D3612" s="1413">
        <f t="shared" si="534"/>
        <v>45230</v>
      </c>
      <c r="E3612" s="560">
        <f t="shared" si="534"/>
        <v>43.01</v>
      </c>
      <c r="F3612" s="1508">
        <f t="shared" si="528"/>
        <v>0</v>
      </c>
      <c r="G3612" s="1508">
        <f t="shared" si="529"/>
        <v>0</v>
      </c>
      <c r="H3612" s="1508">
        <f t="shared" si="536"/>
        <v>0</v>
      </c>
      <c r="I3612" s="1480">
        <v>0</v>
      </c>
      <c r="J3612" s="1480">
        <v>0</v>
      </c>
      <c r="K3612" s="1508"/>
      <c r="L3612" s="1508"/>
      <c r="M3612" s="1509">
        <f t="shared" si="535"/>
        <v>0</v>
      </c>
      <c r="N3612" s="1508">
        <f t="shared" si="537"/>
        <v>0</v>
      </c>
      <c r="O3612" s="1481"/>
      <c r="P3612" s="1427"/>
    </row>
    <row r="3613" spans="1:16" ht="31" outlineLevel="1" x14ac:dyDescent="0.25">
      <c r="A3613" s="1484">
        <f t="shared" si="534"/>
        <v>47.1</v>
      </c>
      <c r="B3613" s="1485" t="str">
        <f t="shared" si="534"/>
        <v>Work of Renovation/Upgradation/Modification of Crusher House of CHPA of Unit 3&amp;4 of CSTPS Chandrapur.</v>
      </c>
      <c r="C3613" s="1488" t="str">
        <f t="shared" si="534"/>
        <v>MERC/CAPEX/MSPGCL/2023-24/0560</v>
      </c>
      <c r="D3613" s="1413">
        <f t="shared" si="534"/>
        <v>45230</v>
      </c>
      <c r="E3613" s="560">
        <f t="shared" si="534"/>
        <v>5.66</v>
      </c>
      <c r="F3613" s="1508">
        <f t="shared" si="528"/>
        <v>5.66</v>
      </c>
      <c r="G3613" s="1508">
        <f t="shared" si="529"/>
        <v>5.66</v>
      </c>
      <c r="H3613" s="1508">
        <f t="shared" si="536"/>
        <v>0</v>
      </c>
      <c r="I3613" s="1480">
        <v>0</v>
      </c>
      <c r="J3613" s="1480">
        <v>0</v>
      </c>
      <c r="K3613" s="1508"/>
      <c r="L3613" s="1508"/>
      <c r="M3613" s="1509">
        <f t="shared" si="535"/>
        <v>0</v>
      </c>
      <c r="N3613" s="1508">
        <f t="shared" si="537"/>
        <v>0</v>
      </c>
      <c r="O3613" s="1481"/>
      <c r="P3613" s="1427"/>
    </row>
    <row r="3614" spans="1:16" ht="31" outlineLevel="1" x14ac:dyDescent="0.25">
      <c r="A3614" s="1484">
        <f t="shared" si="534"/>
        <v>47.2</v>
      </c>
      <c r="B3614" s="1485" t="str">
        <f t="shared" si="534"/>
        <v>Work of Renovation/Upgradation/Modification of Belt Conveyor 10A/B/C of CHPA of Unit 3&amp;4 of CSTPS Chandrapur.</v>
      </c>
      <c r="C3614" s="1488" t="str">
        <f t="shared" si="534"/>
        <v>MERC/CAPEX/MSPGCL/2023-24/0560</v>
      </c>
      <c r="D3614" s="1413">
        <f t="shared" si="534"/>
        <v>45230</v>
      </c>
      <c r="E3614" s="560">
        <f t="shared" si="534"/>
        <v>8.17</v>
      </c>
      <c r="F3614" s="1508">
        <f t="shared" si="528"/>
        <v>8.17</v>
      </c>
      <c r="G3614" s="1508">
        <f t="shared" si="529"/>
        <v>8.17</v>
      </c>
      <c r="H3614" s="1508">
        <f t="shared" si="536"/>
        <v>0</v>
      </c>
      <c r="I3614" s="1480">
        <v>0</v>
      </c>
      <c r="J3614" s="1480">
        <v>0</v>
      </c>
      <c r="K3614" s="1508"/>
      <c r="L3614" s="1508"/>
      <c r="M3614" s="1509">
        <f t="shared" si="535"/>
        <v>0</v>
      </c>
      <c r="N3614" s="1508">
        <f t="shared" si="537"/>
        <v>0</v>
      </c>
      <c r="O3614" s="1481"/>
      <c r="P3614" s="1427"/>
    </row>
    <row r="3615" spans="1:16" ht="31" outlineLevel="1" x14ac:dyDescent="0.25">
      <c r="A3615" s="1484">
        <f t="shared" si="534"/>
        <v>47.3</v>
      </c>
      <c r="B3615" s="1485" t="str">
        <f t="shared" si="534"/>
        <v xml:space="preserve">Work of Modification/Modernization of conveyor cable of 10 A/B/C of CHPA of Unit 3&amp;4 of CSTPS Chandrapur. </v>
      </c>
      <c r="C3615" s="1488" t="str">
        <f t="shared" si="534"/>
        <v>MERC/CAPEX/MSPGCL/2023-24/0560</v>
      </c>
      <c r="D3615" s="1413">
        <f t="shared" si="534"/>
        <v>45230</v>
      </c>
      <c r="E3615" s="560">
        <f t="shared" si="534"/>
        <v>4.12</v>
      </c>
      <c r="F3615" s="1508">
        <f t="shared" si="528"/>
        <v>4.12</v>
      </c>
      <c r="G3615" s="1508">
        <f t="shared" si="529"/>
        <v>4.12</v>
      </c>
      <c r="H3615" s="1508">
        <f t="shared" si="536"/>
        <v>0</v>
      </c>
      <c r="I3615" s="1480">
        <v>0</v>
      </c>
      <c r="J3615" s="1480">
        <v>0</v>
      </c>
      <c r="K3615" s="1508"/>
      <c r="L3615" s="1508"/>
      <c r="M3615" s="1509">
        <f t="shared" si="535"/>
        <v>0</v>
      </c>
      <c r="N3615" s="1508">
        <f t="shared" si="537"/>
        <v>0</v>
      </c>
      <c r="O3615" s="1481"/>
      <c r="P3615" s="1427"/>
    </row>
    <row r="3616" spans="1:16" ht="46.5" outlineLevel="1" x14ac:dyDescent="0.25">
      <c r="A3616" s="1484">
        <f t="shared" ref="A3616:E3631" si="538">A2946</f>
        <v>47.4</v>
      </c>
      <c r="B3616" s="1485" t="str">
        <f t="shared" si="538"/>
        <v xml:space="preserve">Design, Engineering, Supply, Erection and commissioning of bypass chute with hydraulic cylinder &amp; modification/renovation at JT-06 of CHPA of Unit 3&amp;4 of CSTPS Chandrapur. </v>
      </c>
      <c r="C3616" s="1488" t="str">
        <f t="shared" si="538"/>
        <v>MERC/CAPEX/MSPGCL/2023-24/0560</v>
      </c>
      <c r="D3616" s="1413">
        <f t="shared" si="538"/>
        <v>45230</v>
      </c>
      <c r="E3616" s="560">
        <f t="shared" si="538"/>
        <v>3.72</v>
      </c>
      <c r="F3616" s="1508">
        <f t="shared" ref="F3616:F3679" si="539">F2946+I2946</f>
        <v>3.72</v>
      </c>
      <c r="G3616" s="1508">
        <f t="shared" ref="G3616:G3679" si="540">G2946+M2946</f>
        <v>3.72</v>
      </c>
      <c r="H3616" s="1508">
        <f t="shared" si="536"/>
        <v>0</v>
      </c>
      <c r="I3616" s="1480">
        <v>0</v>
      </c>
      <c r="J3616" s="1480">
        <v>0</v>
      </c>
      <c r="K3616" s="1508"/>
      <c r="L3616" s="1508"/>
      <c r="M3616" s="1509">
        <f t="shared" si="535"/>
        <v>0</v>
      </c>
      <c r="N3616" s="1508">
        <f t="shared" si="537"/>
        <v>0</v>
      </c>
      <c r="O3616" s="1481"/>
      <c r="P3616" s="1427"/>
    </row>
    <row r="3617" spans="1:16" ht="46.5" outlineLevel="1" x14ac:dyDescent="0.25">
      <c r="A3617" s="1484">
        <f t="shared" si="538"/>
        <v>47.5</v>
      </c>
      <c r="B3617" s="1485" t="str">
        <f t="shared" si="538"/>
        <v xml:space="preserve">Design, Engineering, Supply, Erection and Installation of Wear Resistance Chutes for Belt Conveyor System at CHPA/B of Unit 3to9 of CSTPS Chandrapur. </v>
      </c>
      <c r="C3617" s="1488" t="str">
        <f t="shared" si="538"/>
        <v>MERC/CAPEX/MSPGCL/2023-24/0560</v>
      </c>
      <c r="D3617" s="1413">
        <f t="shared" si="538"/>
        <v>45230</v>
      </c>
      <c r="E3617" s="560">
        <f t="shared" si="538"/>
        <v>3.45</v>
      </c>
      <c r="F3617" s="1508">
        <f t="shared" si="539"/>
        <v>3.45</v>
      </c>
      <c r="G3617" s="1508">
        <f t="shared" si="540"/>
        <v>3.45</v>
      </c>
      <c r="H3617" s="1508">
        <f t="shared" si="536"/>
        <v>0</v>
      </c>
      <c r="I3617" s="1480">
        <v>0</v>
      </c>
      <c r="J3617" s="1480">
        <v>0</v>
      </c>
      <c r="K3617" s="1508"/>
      <c r="L3617" s="1508"/>
      <c r="M3617" s="1509">
        <f t="shared" si="535"/>
        <v>0</v>
      </c>
      <c r="N3617" s="1508">
        <f t="shared" si="537"/>
        <v>0</v>
      </c>
      <c r="O3617" s="1481"/>
      <c r="P3617" s="1427"/>
    </row>
    <row r="3618" spans="1:16" ht="46.5" outlineLevel="1" x14ac:dyDescent="0.25">
      <c r="A3618" s="1484">
        <f t="shared" si="538"/>
        <v>47.6</v>
      </c>
      <c r="B3618" s="1485" t="str">
        <f t="shared" si="538"/>
        <v xml:space="preserve">Work of Modification/Renovation/Upgradation of Ventilation System of Track Hopper of CHPB of Unit 5,6&amp;7 of CSTPS Chandrapur. </v>
      </c>
      <c r="C3618" s="1488" t="str">
        <f t="shared" si="538"/>
        <v>MERC/CAPEX/MSPGCL/2023-24/0560</v>
      </c>
      <c r="D3618" s="1413">
        <f t="shared" si="538"/>
        <v>45230</v>
      </c>
      <c r="E3618" s="560">
        <f t="shared" si="538"/>
        <v>4.5999999999999996</v>
      </c>
      <c r="F3618" s="1508">
        <f t="shared" si="539"/>
        <v>4.5999999999999996</v>
      </c>
      <c r="G3618" s="1508">
        <f t="shared" si="540"/>
        <v>4.5999999999999996</v>
      </c>
      <c r="H3618" s="1508">
        <f t="shared" si="536"/>
        <v>0</v>
      </c>
      <c r="I3618" s="1480">
        <v>0</v>
      </c>
      <c r="J3618" s="1480">
        <v>0</v>
      </c>
      <c r="K3618" s="1508"/>
      <c r="L3618" s="1508"/>
      <c r="M3618" s="1509">
        <f t="shared" si="535"/>
        <v>0</v>
      </c>
      <c r="N3618" s="1508">
        <f t="shared" si="537"/>
        <v>0</v>
      </c>
      <c r="O3618" s="1481"/>
      <c r="P3618" s="1427"/>
    </row>
    <row r="3619" spans="1:16" ht="31" outlineLevel="1" x14ac:dyDescent="0.25">
      <c r="A3619" s="1484">
        <f t="shared" si="538"/>
        <v>47.7</v>
      </c>
      <c r="B3619" s="1485" t="str">
        <f t="shared" si="538"/>
        <v xml:space="preserve">Work of Renovation /Upgradation of Hydraulic System of Paddle Feeder at CHPB of Unit 5,6&amp;7 of CSTPS Chandrapur.  </v>
      </c>
      <c r="C3619" s="1488" t="str">
        <f t="shared" si="538"/>
        <v>MERC/CAPEX/MSPGCL/2023-24/0560</v>
      </c>
      <c r="D3619" s="1413">
        <f t="shared" si="538"/>
        <v>45230</v>
      </c>
      <c r="E3619" s="560">
        <f t="shared" si="538"/>
        <v>8.14</v>
      </c>
      <c r="F3619" s="1508">
        <f t="shared" si="539"/>
        <v>8.14</v>
      </c>
      <c r="G3619" s="1508">
        <f t="shared" si="540"/>
        <v>8.14</v>
      </c>
      <c r="H3619" s="1508">
        <f t="shared" si="536"/>
        <v>0</v>
      </c>
      <c r="I3619" s="1480">
        <v>0</v>
      </c>
      <c r="J3619" s="1480">
        <v>0</v>
      </c>
      <c r="K3619" s="1508"/>
      <c r="L3619" s="1508"/>
      <c r="M3619" s="1509">
        <f t="shared" si="535"/>
        <v>0</v>
      </c>
      <c r="N3619" s="1508">
        <f t="shared" si="537"/>
        <v>0</v>
      </c>
      <c r="O3619" s="1481"/>
      <c r="P3619" s="1427"/>
    </row>
    <row r="3620" spans="1:16" ht="46.5" outlineLevel="1" x14ac:dyDescent="0.25">
      <c r="A3620" s="1484">
        <f t="shared" si="538"/>
        <v>47.8</v>
      </c>
      <c r="B3620" s="1485" t="str">
        <f t="shared" si="538"/>
        <v xml:space="preserve">Design, Engineering, Manufacturing, Fabrication, Erection and commissioning of Modified Wobbler Feeder at CHPB of Unit 5,6&amp;7 of CSTPS Chandrapur. </v>
      </c>
      <c r="C3620" s="1488" t="str">
        <f t="shared" si="538"/>
        <v>MERC/CAPEX/MSPGCL/2023-24/0560</v>
      </c>
      <c r="D3620" s="1413">
        <f t="shared" si="538"/>
        <v>45230</v>
      </c>
      <c r="E3620" s="560">
        <f t="shared" si="538"/>
        <v>4.18</v>
      </c>
      <c r="F3620" s="1508">
        <f t="shared" si="539"/>
        <v>4.18</v>
      </c>
      <c r="G3620" s="1508">
        <f t="shared" si="540"/>
        <v>4.18</v>
      </c>
      <c r="H3620" s="1508">
        <f t="shared" si="536"/>
        <v>0</v>
      </c>
      <c r="I3620" s="1480">
        <v>0</v>
      </c>
      <c r="J3620" s="1480">
        <v>0</v>
      </c>
      <c r="K3620" s="1508"/>
      <c r="L3620" s="1508"/>
      <c r="M3620" s="1509">
        <f t="shared" si="535"/>
        <v>0</v>
      </c>
      <c r="N3620" s="1508">
        <f t="shared" si="537"/>
        <v>0</v>
      </c>
      <c r="O3620" s="1481"/>
      <c r="P3620" s="1427"/>
    </row>
    <row r="3621" spans="1:16" ht="31" outlineLevel="1" x14ac:dyDescent="0.25">
      <c r="A3621" s="1484">
        <f t="shared" si="538"/>
        <v>0</v>
      </c>
      <c r="B3621" s="1485" t="str">
        <f t="shared" si="538"/>
        <v>IDC</v>
      </c>
      <c r="C3621" s="1488" t="str">
        <f t="shared" si="538"/>
        <v>MERC/CAPEX/MSPGCL/2023-24/0560</v>
      </c>
      <c r="D3621" s="1413">
        <f t="shared" si="538"/>
        <v>45230</v>
      </c>
      <c r="E3621" s="560">
        <f t="shared" si="538"/>
        <v>0.97</v>
      </c>
      <c r="F3621" s="1508">
        <f t="shared" si="539"/>
        <v>0</v>
      </c>
      <c r="G3621" s="1508">
        <f t="shared" si="540"/>
        <v>0</v>
      </c>
      <c r="H3621" s="1508">
        <f t="shared" si="536"/>
        <v>0</v>
      </c>
      <c r="I3621" s="1480">
        <v>0</v>
      </c>
      <c r="J3621" s="1480">
        <v>0</v>
      </c>
      <c r="K3621" s="1508"/>
      <c r="L3621" s="1508"/>
      <c r="M3621" s="1509">
        <f t="shared" si="535"/>
        <v>0</v>
      </c>
      <c r="N3621" s="1508">
        <f t="shared" si="537"/>
        <v>0</v>
      </c>
      <c r="O3621" s="1481"/>
      <c r="P3621" s="1427"/>
    </row>
    <row r="3622" spans="1:16" ht="31" outlineLevel="1" x14ac:dyDescent="0.25">
      <c r="A3622" s="1489" t="str">
        <f t="shared" si="538"/>
        <v>HO
DPR 17</v>
      </c>
      <c r="B3622" s="1490" t="str">
        <f t="shared" si="538"/>
        <v>Construction of new Administrative Building for Mahagenco at Vidyut Bhawan, Katol Road, Nagpur</v>
      </c>
      <c r="C3622" s="1486" t="str">
        <f t="shared" si="538"/>
        <v>MERC/CAPEX/2021-2022/MSPGCL/063</v>
      </c>
      <c r="D3622" s="1487">
        <f t="shared" si="538"/>
        <v>44604</v>
      </c>
      <c r="E3622" s="560">
        <f t="shared" si="538"/>
        <v>57</v>
      </c>
      <c r="F3622" s="1508">
        <f t="shared" si="539"/>
        <v>0</v>
      </c>
      <c r="G3622" s="1508">
        <f t="shared" si="540"/>
        <v>0</v>
      </c>
      <c r="H3622" s="1508">
        <f t="shared" si="536"/>
        <v>0</v>
      </c>
      <c r="I3622" s="1480">
        <v>0</v>
      </c>
      <c r="J3622" s="1480">
        <v>0</v>
      </c>
      <c r="K3622" s="1508"/>
      <c r="L3622" s="1508"/>
      <c r="M3622" s="1509">
        <f t="shared" si="535"/>
        <v>0</v>
      </c>
      <c r="N3622" s="1508">
        <f t="shared" si="537"/>
        <v>0</v>
      </c>
      <c r="O3622" s="1481"/>
      <c r="P3622" s="1427"/>
    </row>
    <row r="3623" spans="1:16" ht="46.5" outlineLevel="1" x14ac:dyDescent="0.25">
      <c r="A3623" s="1484" t="str">
        <f t="shared" si="538"/>
        <v>HO
DPR 17.1</v>
      </c>
      <c r="B3623" s="1485" t="str">
        <f t="shared" si="538"/>
        <v>Construction of new Administrative Building for Mahagenco at Vidyut Bhawan, Katol Road, Nagpur</v>
      </c>
      <c r="C3623" s="1493" t="str">
        <f t="shared" si="538"/>
        <v>MERC/CAPEX/2021-2022/MSPGCL/063</v>
      </c>
      <c r="D3623" s="1494">
        <f t="shared" si="538"/>
        <v>44604</v>
      </c>
      <c r="E3623" s="560">
        <f t="shared" si="538"/>
        <v>54.24</v>
      </c>
      <c r="F3623" s="1508">
        <f t="shared" si="539"/>
        <v>27.12</v>
      </c>
      <c r="G3623" s="1508">
        <f t="shared" si="540"/>
        <v>27.12</v>
      </c>
      <c r="H3623" s="1508">
        <f t="shared" si="536"/>
        <v>0</v>
      </c>
      <c r="I3623" s="1480">
        <v>0</v>
      </c>
      <c r="J3623" s="1480">
        <v>0</v>
      </c>
      <c r="K3623" s="1508"/>
      <c r="L3623" s="1508"/>
      <c r="M3623" s="1509">
        <f t="shared" si="535"/>
        <v>0</v>
      </c>
      <c r="N3623" s="1508">
        <f t="shared" si="537"/>
        <v>0</v>
      </c>
      <c r="O3623" s="1481"/>
      <c r="P3623" s="1427"/>
    </row>
    <row r="3624" spans="1:16" ht="31" outlineLevel="1" x14ac:dyDescent="0.25">
      <c r="A3624" s="1496">
        <f t="shared" si="538"/>
        <v>0</v>
      </c>
      <c r="B3624" s="1485" t="str">
        <f t="shared" si="538"/>
        <v>IDC</v>
      </c>
      <c r="C3624" s="1493" t="str">
        <f t="shared" si="538"/>
        <v>MERC/CAPEX/2021-2022/MSPGCL/063</v>
      </c>
      <c r="D3624" s="1494">
        <f t="shared" si="538"/>
        <v>44604</v>
      </c>
      <c r="E3624" s="560">
        <f t="shared" si="538"/>
        <v>2.76</v>
      </c>
      <c r="F3624" s="1508">
        <f t="shared" si="539"/>
        <v>0</v>
      </c>
      <c r="G3624" s="1508">
        <f t="shared" si="540"/>
        <v>0</v>
      </c>
      <c r="H3624" s="1508">
        <f t="shared" si="536"/>
        <v>0</v>
      </c>
      <c r="I3624" s="1480">
        <v>0</v>
      </c>
      <c r="J3624" s="1480">
        <v>0</v>
      </c>
      <c r="K3624" s="1508"/>
      <c r="L3624" s="1508"/>
      <c r="M3624" s="1509">
        <f t="shared" si="535"/>
        <v>0</v>
      </c>
      <c r="N3624" s="1508">
        <f t="shared" si="537"/>
        <v>0</v>
      </c>
      <c r="O3624" s="1481"/>
      <c r="P3624" s="1427"/>
    </row>
    <row r="3625" spans="1:16" ht="31" outlineLevel="1" x14ac:dyDescent="0.25">
      <c r="A3625" s="1489" t="str">
        <f t="shared" si="538"/>
        <v>HO
DPR 18</v>
      </c>
      <c r="B3625" s="1490" t="str">
        <f t="shared" si="538"/>
        <v>Centralized Monitoring Solution</v>
      </c>
      <c r="C3625" s="1486" t="str">
        <f t="shared" si="538"/>
        <v>MERC/CAPEX/MSPGCL/2023-24/0576</v>
      </c>
      <c r="D3625" s="1487">
        <f t="shared" si="538"/>
        <v>45232</v>
      </c>
      <c r="E3625" s="560">
        <f t="shared" si="538"/>
        <v>69.308999999999997</v>
      </c>
      <c r="F3625" s="1508">
        <f t="shared" si="539"/>
        <v>0</v>
      </c>
      <c r="G3625" s="1508">
        <f t="shared" si="540"/>
        <v>0</v>
      </c>
      <c r="H3625" s="1508">
        <f t="shared" si="536"/>
        <v>0</v>
      </c>
      <c r="I3625" s="1480">
        <v>0</v>
      </c>
      <c r="J3625" s="1480">
        <v>0</v>
      </c>
      <c r="K3625" s="1508"/>
      <c r="L3625" s="1508"/>
      <c r="M3625" s="1509">
        <f t="shared" si="535"/>
        <v>0</v>
      </c>
      <c r="N3625" s="1508">
        <f t="shared" si="537"/>
        <v>0</v>
      </c>
      <c r="O3625" s="1481"/>
      <c r="P3625" s="1427"/>
    </row>
    <row r="3626" spans="1:16" ht="46.5" outlineLevel="1" x14ac:dyDescent="0.25">
      <c r="A3626" s="1484" t="str">
        <f t="shared" si="538"/>
        <v>HO
DPR 18.1</v>
      </c>
      <c r="B3626" s="1485" t="str">
        <f t="shared" si="538"/>
        <v>Centralized Monitoring Solution</v>
      </c>
      <c r="C3626" s="1493" t="str">
        <f t="shared" si="538"/>
        <v>MERC/CAPEX/MSPGCL/2023-24/0576</v>
      </c>
      <c r="D3626" s="1494">
        <f t="shared" si="538"/>
        <v>45232</v>
      </c>
      <c r="E3626" s="560">
        <f t="shared" si="538"/>
        <v>66.009</v>
      </c>
      <c r="F3626" s="1508">
        <f t="shared" si="539"/>
        <v>66.009</v>
      </c>
      <c r="G3626" s="1508">
        <f t="shared" si="540"/>
        <v>66.009</v>
      </c>
      <c r="H3626" s="1508">
        <f t="shared" si="536"/>
        <v>0</v>
      </c>
      <c r="I3626" s="1480">
        <v>0</v>
      </c>
      <c r="J3626" s="1480">
        <v>0</v>
      </c>
      <c r="K3626" s="1508"/>
      <c r="L3626" s="1508"/>
      <c r="M3626" s="1509">
        <f t="shared" si="535"/>
        <v>0</v>
      </c>
      <c r="N3626" s="1508">
        <f t="shared" si="537"/>
        <v>0</v>
      </c>
      <c r="O3626" s="1481"/>
      <c r="P3626" s="1427"/>
    </row>
    <row r="3627" spans="1:16" ht="31" outlineLevel="1" x14ac:dyDescent="0.25">
      <c r="A3627" s="1496">
        <f t="shared" si="538"/>
        <v>0</v>
      </c>
      <c r="B3627" s="1485" t="str">
        <f t="shared" si="538"/>
        <v>IDC</v>
      </c>
      <c r="C3627" s="1493" t="str">
        <f t="shared" si="538"/>
        <v>MERC/CAPEX/MSPGCL/2023-24/0576</v>
      </c>
      <c r="D3627" s="1494">
        <f t="shared" si="538"/>
        <v>45232</v>
      </c>
      <c r="E3627" s="560">
        <f t="shared" si="538"/>
        <v>3.3</v>
      </c>
      <c r="F3627" s="1508">
        <f t="shared" si="539"/>
        <v>0</v>
      </c>
      <c r="G3627" s="1508">
        <f t="shared" si="540"/>
        <v>0</v>
      </c>
      <c r="H3627" s="1508">
        <f t="shared" si="536"/>
        <v>0</v>
      </c>
      <c r="I3627" s="1480">
        <v>0</v>
      </c>
      <c r="J3627" s="1480">
        <v>0</v>
      </c>
      <c r="K3627" s="1508"/>
      <c r="L3627" s="1508"/>
      <c r="M3627" s="1509">
        <f t="shared" si="535"/>
        <v>0</v>
      </c>
      <c r="N3627" s="1508">
        <f t="shared" si="537"/>
        <v>0</v>
      </c>
      <c r="O3627" s="1481"/>
      <c r="P3627" s="1427"/>
    </row>
    <row r="3628" spans="1:16" ht="62" outlineLevel="1" x14ac:dyDescent="0.25">
      <c r="A3628" s="1486" t="str">
        <f t="shared" si="538"/>
        <v>Y2</v>
      </c>
      <c r="B3628" s="1491" t="str">
        <f t="shared" si="538"/>
        <v>Procurement &amp; replacement of 400 NB Cast Basalt Pipelines with the existing MSERW pipe of ash disposal system of Unit #5,6 &amp; 7 at CSTPS, Chandrapur” under capital expenditure during the FY 2023-24.</v>
      </c>
      <c r="C3628" s="1486" t="str">
        <f t="shared" si="538"/>
        <v>MERC/CAPEX/2024-2025/MSPGCL/0475 Dt 06.08.2024</v>
      </c>
      <c r="D3628" s="1487">
        <f t="shared" si="538"/>
        <v>45510</v>
      </c>
      <c r="E3628" s="560">
        <f t="shared" si="538"/>
        <v>81.350000000000009</v>
      </c>
      <c r="F3628" s="1508">
        <f t="shared" si="539"/>
        <v>0</v>
      </c>
      <c r="G3628" s="1508">
        <f t="shared" si="540"/>
        <v>0</v>
      </c>
      <c r="H3628" s="1508">
        <f t="shared" si="536"/>
        <v>0</v>
      </c>
      <c r="I3628" s="1480">
        <v>0</v>
      </c>
      <c r="J3628" s="1480">
        <v>0</v>
      </c>
      <c r="K3628" s="1508"/>
      <c r="L3628" s="1508"/>
      <c r="M3628" s="1509">
        <f t="shared" si="535"/>
        <v>0</v>
      </c>
      <c r="N3628" s="1508">
        <f t="shared" si="537"/>
        <v>0</v>
      </c>
      <c r="O3628" s="1481"/>
      <c r="P3628" s="1427"/>
    </row>
    <row r="3629" spans="1:16" ht="62" outlineLevel="1" x14ac:dyDescent="0.25">
      <c r="A3629" s="1488">
        <f t="shared" si="538"/>
        <v>2.1</v>
      </c>
      <c r="B3629" s="1492" t="str">
        <f t="shared" si="538"/>
        <v>Procurement &amp; replacement of 400 NB Cast Basalt Pipelines with the existing MSERW pipe of ash disposal system of Unit #5,6 &amp; 7 at CSTPS, Chandrapur” under capital expenditure during the FY 2023-24.</v>
      </c>
      <c r="C3629" s="1488" t="str">
        <f t="shared" si="538"/>
        <v>MERC/CAPEX/2024-2025/MSPGCL/0475 Dt 06.08.2024</v>
      </c>
      <c r="D3629" s="1413">
        <f t="shared" si="538"/>
        <v>45510</v>
      </c>
      <c r="E3629" s="560">
        <f t="shared" si="538"/>
        <v>80.150000000000006</v>
      </c>
      <c r="F3629" s="1508">
        <f t="shared" si="539"/>
        <v>80.150000000000006</v>
      </c>
      <c r="G3629" s="1508">
        <f t="shared" si="540"/>
        <v>80.150000000000006</v>
      </c>
      <c r="H3629" s="1508">
        <f t="shared" si="536"/>
        <v>0</v>
      </c>
      <c r="I3629" s="1480">
        <v>0</v>
      </c>
      <c r="J3629" s="1480">
        <v>0</v>
      </c>
      <c r="K3629" s="1508"/>
      <c r="L3629" s="1508"/>
      <c r="M3629" s="1509">
        <f t="shared" si="535"/>
        <v>0</v>
      </c>
      <c r="N3629" s="1508">
        <f t="shared" si="537"/>
        <v>0</v>
      </c>
      <c r="O3629" s="1481"/>
      <c r="P3629" s="1427"/>
    </row>
    <row r="3630" spans="1:16" ht="31" outlineLevel="1" x14ac:dyDescent="0.25">
      <c r="A3630" s="1488">
        <f t="shared" si="538"/>
        <v>0</v>
      </c>
      <c r="B3630" s="1492" t="str">
        <f t="shared" si="538"/>
        <v>IDC</v>
      </c>
      <c r="C3630" s="1488" t="str">
        <f t="shared" si="538"/>
        <v>MERC/CAPEX/2024-2025/MSPGCL/0475 Dt 06.08.2024</v>
      </c>
      <c r="D3630" s="1413">
        <f t="shared" si="538"/>
        <v>45510</v>
      </c>
      <c r="E3630" s="560">
        <f t="shared" si="538"/>
        <v>1.2</v>
      </c>
      <c r="F3630" s="1508">
        <f t="shared" si="539"/>
        <v>0</v>
      </c>
      <c r="G3630" s="1508">
        <f t="shared" si="540"/>
        <v>0</v>
      </c>
      <c r="H3630" s="1508">
        <f t="shared" si="536"/>
        <v>0</v>
      </c>
      <c r="I3630" s="1480">
        <v>0</v>
      </c>
      <c r="J3630" s="1480">
        <v>0</v>
      </c>
      <c r="K3630" s="1508"/>
      <c r="L3630" s="1508"/>
      <c r="M3630" s="1509">
        <f t="shared" si="535"/>
        <v>0</v>
      </c>
      <c r="N3630" s="1508">
        <f t="shared" si="537"/>
        <v>0</v>
      </c>
      <c r="O3630" s="1481"/>
      <c r="P3630" s="1427"/>
    </row>
    <row r="3631" spans="1:16" ht="77.5" outlineLevel="1" x14ac:dyDescent="0.25">
      <c r="A3631" s="1486" t="str">
        <f t="shared" si="538"/>
        <v>Y3</v>
      </c>
      <c r="B3631" s="1491" t="str">
        <f t="shared" si="538"/>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3631" s="1486" t="str">
        <f t="shared" si="538"/>
        <v>MERC/CAPEX/2024-25/MSPGCL/0473 Dt 06.08.2024</v>
      </c>
      <c r="D3631" s="1487">
        <f t="shared" si="538"/>
        <v>45510</v>
      </c>
      <c r="E3631" s="560">
        <f t="shared" si="538"/>
        <v>25.78</v>
      </c>
      <c r="F3631" s="1508">
        <f t="shared" si="539"/>
        <v>0</v>
      </c>
      <c r="G3631" s="1508">
        <f t="shared" si="540"/>
        <v>0</v>
      </c>
      <c r="H3631" s="1508">
        <f t="shared" si="536"/>
        <v>0</v>
      </c>
      <c r="I3631" s="1480">
        <v>0</v>
      </c>
      <c r="J3631" s="1480">
        <v>0</v>
      </c>
      <c r="K3631" s="1508"/>
      <c r="L3631" s="1508"/>
      <c r="M3631" s="1509">
        <f t="shared" si="535"/>
        <v>0</v>
      </c>
      <c r="N3631" s="1508">
        <f t="shared" si="537"/>
        <v>0</v>
      </c>
      <c r="O3631" s="1481"/>
      <c r="P3631" s="1427"/>
    </row>
    <row r="3632" spans="1:16" ht="31" outlineLevel="1" x14ac:dyDescent="0.25">
      <c r="A3632" s="1488">
        <f t="shared" ref="A3632:E3647" si="541">A2962</f>
        <v>3.1</v>
      </c>
      <c r="B3632" s="1497" t="str">
        <f t="shared" si="541"/>
        <v>Scheme-1: Upgradation of 11KV Sub-stations of Urjanagar colony, CSTPS, Chandrapur.</v>
      </c>
      <c r="C3632" s="1488" t="str">
        <f t="shared" si="541"/>
        <v>MERC/CAPEX/2024-25/MSPGCL/0473 Dt 06.08.2024</v>
      </c>
      <c r="D3632" s="1413">
        <f t="shared" si="541"/>
        <v>45510</v>
      </c>
      <c r="E3632" s="1383">
        <f t="shared" si="541"/>
        <v>7.19</v>
      </c>
      <c r="F3632" s="1480">
        <f t="shared" si="539"/>
        <v>7.19</v>
      </c>
      <c r="G3632" s="1480">
        <f t="shared" si="540"/>
        <v>7.19</v>
      </c>
      <c r="H3632" s="1480">
        <f t="shared" si="536"/>
        <v>0</v>
      </c>
      <c r="I3632" s="1480">
        <v>0</v>
      </c>
      <c r="J3632" s="1480">
        <v>0</v>
      </c>
      <c r="K3632" s="1480"/>
      <c r="L3632" s="1480"/>
      <c r="M3632" s="1480">
        <f t="shared" ref="M3632:M3690" si="542">SUM(J3632:L3632)</f>
        <v>0</v>
      </c>
      <c r="N3632" s="1480">
        <f t="shared" si="537"/>
        <v>0</v>
      </c>
      <c r="O3632" s="1481">
        <f t="shared" ref="O3632:O3654" si="543">MAX(0,IF(M3632=0,0,IF(G3632+M3632&lt;E3632,M3632,E3632-G3632)))</f>
        <v>0</v>
      </c>
      <c r="P3632" s="1427">
        <f t="shared" ref="P3632:P3654" si="544">M3632-O3632</f>
        <v>0</v>
      </c>
    </row>
    <row r="3633" spans="1:16" ht="31" outlineLevel="1" x14ac:dyDescent="0.25">
      <c r="A3633" s="1488">
        <f t="shared" si="541"/>
        <v>3.1</v>
      </c>
      <c r="B3633" s="1497" t="str">
        <f t="shared" si="541"/>
        <v>Scheme-3: Replacement of old energy meters by electronics energy meters at Urjanagar colony, CSTPS, Chandrapur.</v>
      </c>
      <c r="C3633" s="1488" t="str">
        <f t="shared" si="541"/>
        <v>MERC/CAPEX/2024-25/MSPGCL/0473 Dt 06.08.2024</v>
      </c>
      <c r="D3633" s="1413">
        <f t="shared" si="541"/>
        <v>45510</v>
      </c>
      <c r="E3633" s="560">
        <f t="shared" si="541"/>
        <v>0.8</v>
      </c>
      <c r="F3633" s="1508">
        <f t="shared" si="539"/>
        <v>0.8</v>
      </c>
      <c r="G3633" s="1508">
        <f t="shared" si="540"/>
        <v>0.8</v>
      </c>
      <c r="H3633" s="1508">
        <f t="shared" si="536"/>
        <v>0</v>
      </c>
      <c r="I3633" s="1480">
        <v>0</v>
      </c>
      <c r="J3633" s="1480">
        <v>0</v>
      </c>
      <c r="K3633" s="1508"/>
      <c r="L3633" s="1508"/>
      <c r="M3633" s="1509">
        <f t="shared" si="542"/>
        <v>0</v>
      </c>
      <c r="N3633" s="1508">
        <f t="shared" si="537"/>
        <v>0</v>
      </c>
      <c r="O3633" s="1481">
        <f t="shared" si="543"/>
        <v>0</v>
      </c>
      <c r="P3633" s="1427">
        <f t="shared" si="544"/>
        <v>0</v>
      </c>
    </row>
    <row r="3634" spans="1:16" ht="31" outlineLevel="1" x14ac:dyDescent="0.25">
      <c r="A3634" s="1488">
        <f t="shared" si="541"/>
        <v>3.1</v>
      </c>
      <c r="B3634" s="1497" t="str">
        <f t="shared" si="541"/>
        <v>Scheme-5 : Provision of 11KV  supply to Urjanagar colony from station board of Stage-III, CSTPS Chandrapur.</v>
      </c>
      <c r="C3634" s="1488" t="str">
        <f t="shared" si="541"/>
        <v>MERC/CAPEX/2024-25/MSPGCL/0473 Dt 06.08.2024</v>
      </c>
      <c r="D3634" s="1413">
        <f t="shared" si="541"/>
        <v>45510</v>
      </c>
      <c r="E3634" s="560">
        <f t="shared" si="541"/>
        <v>2.97</v>
      </c>
      <c r="F3634" s="1508">
        <f t="shared" si="539"/>
        <v>2.9193972000000001</v>
      </c>
      <c r="G3634" s="1508">
        <f t="shared" si="540"/>
        <v>2.9193972000000001</v>
      </c>
      <c r="H3634" s="1508">
        <f t="shared" si="536"/>
        <v>0</v>
      </c>
      <c r="I3634" s="1480">
        <v>0</v>
      </c>
      <c r="J3634" s="1480">
        <v>0</v>
      </c>
      <c r="K3634" s="1508"/>
      <c r="L3634" s="1508"/>
      <c r="M3634" s="1509">
        <f t="shared" si="542"/>
        <v>0</v>
      </c>
      <c r="N3634" s="1508">
        <f t="shared" si="537"/>
        <v>0</v>
      </c>
      <c r="O3634" s="1481">
        <f t="shared" si="543"/>
        <v>0</v>
      </c>
      <c r="P3634" s="1427">
        <f t="shared" si="544"/>
        <v>0</v>
      </c>
    </row>
    <row r="3635" spans="1:16" ht="77.5" outlineLevel="1" x14ac:dyDescent="0.25">
      <c r="A3635" s="1488">
        <f t="shared" si="541"/>
        <v>3.1</v>
      </c>
      <c r="B3635" s="1497" t="str">
        <f t="shared" si="541"/>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3635" s="1488" t="str">
        <f t="shared" si="541"/>
        <v>MERC/CAPEX/2024-25/MSPGCL/0473 Dt 06.08.2024</v>
      </c>
      <c r="D3635" s="1413">
        <f t="shared" si="541"/>
        <v>45510</v>
      </c>
      <c r="E3635" s="560">
        <f t="shared" si="541"/>
        <v>10.48</v>
      </c>
      <c r="F3635" s="1508">
        <f t="shared" si="539"/>
        <v>10.48</v>
      </c>
      <c r="G3635" s="1508">
        <f t="shared" si="540"/>
        <v>10.48</v>
      </c>
      <c r="H3635" s="1508">
        <f t="shared" si="536"/>
        <v>0</v>
      </c>
      <c r="I3635" s="1480">
        <v>0</v>
      </c>
      <c r="J3635" s="1480">
        <v>0</v>
      </c>
      <c r="K3635" s="1508"/>
      <c r="L3635" s="1508"/>
      <c r="M3635" s="1509">
        <f t="shared" si="542"/>
        <v>0</v>
      </c>
      <c r="N3635" s="1508">
        <f t="shared" si="537"/>
        <v>0</v>
      </c>
      <c r="O3635" s="1481">
        <f t="shared" si="543"/>
        <v>0</v>
      </c>
      <c r="P3635" s="1427">
        <f t="shared" si="544"/>
        <v>0</v>
      </c>
    </row>
    <row r="3636" spans="1:16" ht="62" outlineLevel="1" x14ac:dyDescent="0.25">
      <c r="A3636" s="1488">
        <f t="shared" si="541"/>
        <v>3.1</v>
      </c>
      <c r="B3636" s="1497" t="str">
        <f t="shared" si="541"/>
        <v>Scheme-7: Design, supply, erection, installation, testing and commissioning of the boiler goods lifts in place of the existing old lifts installed at Unit#6&amp;7 500MW Stage-III CSTPS Chandrapur</v>
      </c>
      <c r="C3636" s="1488" t="str">
        <f t="shared" si="541"/>
        <v>MERC/CAPEX/2024-25/MSPGCL/0473 Dt 06.08.2024</v>
      </c>
      <c r="D3636" s="1413">
        <f t="shared" si="541"/>
        <v>45510</v>
      </c>
      <c r="E3636" s="560">
        <f t="shared" si="541"/>
        <v>3.66</v>
      </c>
      <c r="F3636" s="1508">
        <f t="shared" si="539"/>
        <v>3.66</v>
      </c>
      <c r="G3636" s="1508">
        <f t="shared" si="540"/>
        <v>3.66</v>
      </c>
      <c r="H3636" s="1508">
        <f t="shared" si="536"/>
        <v>0</v>
      </c>
      <c r="I3636" s="1480">
        <v>0</v>
      </c>
      <c r="J3636" s="1480">
        <v>0</v>
      </c>
      <c r="K3636" s="1508"/>
      <c r="L3636" s="1508"/>
      <c r="M3636" s="1509">
        <f t="shared" si="542"/>
        <v>0</v>
      </c>
      <c r="N3636" s="1508">
        <f t="shared" si="537"/>
        <v>0</v>
      </c>
      <c r="O3636" s="1481">
        <f t="shared" si="543"/>
        <v>0</v>
      </c>
      <c r="P3636" s="1427">
        <f t="shared" si="544"/>
        <v>0</v>
      </c>
    </row>
    <row r="3637" spans="1:16" ht="31" outlineLevel="1" x14ac:dyDescent="0.25">
      <c r="A3637" s="1488">
        <f t="shared" si="541"/>
        <v>0</v>
      </c>
      <c r="B3637" s="1497" t="str">
        <f t="shared" si="541"/>
        <v>IDC</v>
      </c>
      <c r="C3637" s="1488" t="str">
        <f t="shared" si="541"/>
        <v>MERC/CAPEX/2024-25/MSPGCL/0473 Dt 06.08.2024</v>
      </c>
      <c r="D3637" s="1413">
        <f t="shared" si="541"/>
        <v>45510</v>
      </c>
      <c r="E3637" s="560">
        <f t="shared" si="541"/>
        <v>0.68</v>
      </c>
      <c r="F3637" s="1508">
        <f t="shared" si="539"/>
        <v>0</v>
      </c>
      <c r="G3637" s="1508">
        <f t="shared" si="540"/>
        <v>0</v>
      </c>
      <c r="H3637" s="1508">
        <f t="shared" si="536"/>
        <v>0</v>
      </c>
      <c r="I3637" s="1480">
        <v>0</v>
      </c>
      <c r="J3637" s="1480">
        <v>0</v>
      </c>
      <c r="K3637" s="1508"/>
      <c r="L3637" s="1508"/>
      <c r="M3637" s="1509">
        <f t="shared" si="542"/>
        <v>0</v>
      </c>
      <c r="N3637" s="1508">
        <f t="shared" si="537"/>
        <v>0</v>
      </c>
      <c r="O3637" s="1481">
        <f t="shared" si="543"/>
        <v>0</v>
      </c>
      <c r="P3637" s="1427">
        <f t="shared" si="544"/>
        <v>0</v>
      </c>
    </row>
    <row r="3638" spans="1:16" ht="31" outlineLevel="1" x14ac:dyDescent="0.25">
      <c r="A3638" s="1486" t="str">
        <f t="shared" si="541"/>
        <v>Y4</v>
      </c>
      <c r="B3638" s="1491" t="str">
        <f t="shared" si="541"/>
        <v>Providing 1600 mm pipeline from Erdai Dam to CSTPS, Chandrapur</v>
      </c>
      <c r="C3638" s="1486" t="str">
        <f t="shared" si="541"/>
        <v>MERC/CAPEX/2024-2025/MSPGCL/0476 Dt 06.08.2024</v>
      </c>
      <c r="D3638" s="1487">
        <f t="shared" si="541"/>
        <v>45510</v>
      </c>
      <c r="E3638" s="1383">
        <f t="shared" si="541"/>
        <v>0</v>
      </c>
      <c r="F3638" s="1480">
        <f t="shared" si="539"/>
        <v>0</v>
      </c>
      <c r="G3638" s="1480">
        <f t="shared" si="540"/>
        <v>0</v>
      </c>
      <c r="H3638" s="1480">
        <f t="shared" si="536"/>
        <v>0</v>
      </c>
      <c r="I3638" s="1480">
        <v>0</v>
      </c>
      <c r="J3638" s="1480">
        <v>0</v>
      </c>
      <c r="K3638" s="1480"/>
      <c r="L3638" s="1480"/>
      <c r="M3638" s="1480">
        <f t="shared" si="542"/>
        <v>0</v>
      </c>
      <c r="N3638" s="1480">
        <f t="shared" si="537"/>
        <v>0</v>
      </c>
      <c r="O3638" s="1481">
        <f t="shared" si="543"/>
        <v>0</v>
      </c>
      <c r="P3638" s="1427">
        <f t="shared" si="544"/>
        <v>0</v>
      </c>
    </row>
    <row r="3639" spans="1:16" ht="31" outlineLevel="1" x14ac:dyDescent="0.25">
      <c r="A3639" s="1488">
        <f t="shared" si="541"/>
        <v>4.0999999999999996</v>
      </c>
      <c r="B3639" s="1492" t="str">
        <f t="shared" si="541"/>
        <v>Providing 1600 mm pipeline from Erdai Dam to CSTPS, Chandrapur</v>
      </c>
      <c r="C3639" s="1488" t="str">
        <f t="shared" si="541"/>
        <v>MERC/CAPEX/2024-2025/MSPGCL/0476 Dt 06.08.2024</v>
      </c>
      <c r="D3639" s="1413">
        <f t="shared" si="541"/>
        <v>45510</v>
      </c>
      <c r="E3639" s="560">
        <f t="shared" si="541"/>
        <v>0</v>
      </c>
      <c r="F3639" s="1508">
        <f t="shared" si="539"/>
        <v>78.325479452054807</v>
      </c>
      <c r="G3639" s="1508">
        <f t="shared" si="540"/>
        <v>78.325479452054807</v>
      </c>
      <c r="H3639" s="1508">
        <f t="shared" si="536"/>
        <v>0</v>
      </c>
      <c r="I3639" s="1480">
        <v>0</v>
      </c>
      <c r="J3639" s="1480">
        <v>0</v>
      </c>
      <c r="K3639" s="1508"/>
      <c r="L3639" s="1508"/>
      <c r="M3639" s="1509">
        <f t="shared" si="542"/>
        <v>0</v>
      </c>
      <c r="N3639" s="1508">
        <f t="shared" si="537"/>
        <v>0</v>
      </c>
      <c r="O3639" s="1481">
        <f t="shared" si="543"/>
        <v>0</v>
      </c>
      <c r="P3639" s="1427">
        <f t="shared" si="544"/>
        <v>0</v>
      </c>
    </row>
    <row r="3640" spans="1:16" ht="31" outlineLevel="1" x14ac:dyDescent="0.25">
      <c r="A3640" s="1488">
        <f t="shared" si="541"/>
        <v>0</v>
      </c>
      <c r="B3640" s="1492" t="str">
        <f t="shared" si="541"/>
        <v>IDC</v>
      </c>
      <c r="C3640" s="1488" t="str">
        <f t="shared" si="541"/>
        <v>MERC/CAPEX/2024-2025/MSPGCL/0476 Dt 06.08.2024</v>
      </c>
      <c r="D3640" s="1413">
        <f t="shared" si="541"/>
        <v>45510</v>
      </c>
      <c r="E3640" s="560">
        <f t="shared" si="541"/>
        <v>0</v>
      </c>
      <c r="F3640" s="1508">
        <f t="shared" si="539"/>
        <v>0</v>
      </c>
      <c r="G3640" s="1508">
        <f t="shared" si="540"/>
        <v>0</v>
      </c>
      <c r="H3640" s="1508">
        <f t="shared" si="536"/>
        <v>0</v>
      </c>
      <c r="I3640" s="1480">
        <v>0</v>
      </c>
      <c r="J3640" s="1480">
        <v>0</v>
      </c>
      <c r="K3640" s="1508"/>
      <c r="L3640" s="1508"/>
      <c r="M3640" s="1509">
        <f t="shared" si="542"/>
        <v>0</v>
      </c>
      <c r="N3640" s="1508">
        <f t="shared" si="537"/>
        <v>0</v>
      </c>
      <c r="O3640" s="1481">
        <f t="shared" si="543"/>
        <v>0</v>
      </c>
      <c r="P3640" s="1427">
        <f t="shared" si="544"/>
        <v>0</v>
      </c>
    </row>
    <row r="3641" spans="1:16" ht="31" outlineLevel="1" x14ac:dyDescent="0.25">
      <c r="A3641" s="1486" t="str">
        <f t="shared" si="541"/>
        <v>Y5</v>
      </c>
      <c r="B3641" s="1491" t="str">
        <f t="shared" si="541"/>
        <v>Performance Improvement &amp; Life Extension Schemes for CHP of Unit 5 to 7 of CSTPS, Chandrapur. -Part-2</v>
      </c>
      <c r="C3641" s="1486" t="str">
        <f t="shared" si="541"/>
        <v>MERC/CAPEX/MSPGCL/2023-2024/0466 Dt 02.08.2024</v>
      </c>
      <c r="D3641" s="1487">
        <f t="shared" si="541"/>
        <v>45506</v>
      </c>
      <c r="E3641" s="560">
        <f t="shared" si="541"/>
        <v>0</v>
      </c>
      <c r="F3641" s="1508">
        <f t="shared" si="539"/>
        <v>0</v>
      </c>
      <c r="G3641" s="1508">
        <f t="shared" si="540"/>
        <v>0</v>
      </c>
      <c r="H3641" s="1508">
        <f t="shared" si="536"/>
        <v>0</v>
      </c>
      <c r="I3641" s="1480">
        <v>0</v>
      </c>
      <c r="J3641" s="1480">
        <v>0</v>
      </c>
      <c r="K3641" s="1508"/>
      <c r="L3641" s="1508"/>
      <c r="M3641" s="1509">
        <f t="shared" si="542"/>
        <v>0</v>
      </c>
      <c r="N3641" s="1508">
        <f t="shared" si="537"/>
        <v>0</v>
      </c>
      <c r="O3641" s="1481">
        <f t="shared" si="543"/>
        <v>0</v>
      </c>
      <c r="P3641" s="1427">
        <f t="shared" si="544"/>
        <v>0</v>
      </c>
    </row>
    <row r="3642" spans="1:16" ht="31" outlineLevel="1" x14ac:dyDescent="0.25">
      <c r="A3642" s="1488">
        <f t="shared" si="541"/>
        <v>5.0999999999999996</v>
      </c>
      <c r="B3642" s="1492" t="str">
        <f t="shared" si="541"/>
        <v>Scheme-1: Upgradation/Renovation of Deck Module of Under Ground Conveyor stream of CHPB of Unit-5,6&amp;7 Chandrapur.</v>
      </c>
      <c r="C3642" s="1488" t="str">
        <f t="shared" si="541"/>
        <v>MERC/CAPEX/MSPGCL/2023-2024/0466 Dt 02.08.2024</v>
      </c>
      <c r="D3642" s="1413">
        <f t="shared" si="541"/>
        <v>45506</v>
      </c>
      <c r="E3642" s="1383">
        <f t="shared" si="541"/>
        <v>0</v>
      </c>
      <c r="F3642" s="1480">
        <f t="shared" si="539"/>
        <v>4.43</v>
      </c>
      <c r="G3642" s="1480">
        <f t="shared" si="540"/>
        <v>4.43</v>
      </c>
      <c r="H3642" s="1480">
        <f t="shared" si="536"/>
        <v>0</v>
      </c>
      <c r="I3642" s="1480">
        <v>0</v>
      </c>
      <c r="J3642" s="1480">
        <v>0</v>
      </c>
      <c r="K3642" s="1480"/>
      <c r="L3642" s="1480"/>
      <c r="M3642" s="1480">
        <f t="shared" si="542"/>
        <v>0</v>
      </c>
      <c r="N3642" s="1480">
        <f t="shared" si="537"/>
        <v>0</v>
      </c>
      <c r="O3642" s="1481">
        <f t="shared" si="543"/>
        <v>0</v>
      </c>
      <c r="P3642" s="1427">
        <f t="shared" si="544"/>
        <v>0</v>
      </c>
    </row>
    <row r="3643" spans="1:16" ht="31" outlineLevel="1" x14ac:dyDescent="0.25">
      <c r="A3643" s="1488">
        <f t="shared" si="541"/>
        <v>5.2</v>
      </c>
      <c r="B3643" s="1492" t="str">
        <f t="shared" si="541"/>
        <v>Scheme-2: Renovation &amp; Upgradation of Transfer Point of CHPB of Unit 5 to 7 of CSTPS Chandrapur.</v>
      </c>
      <c r="C3643" s="1488" t="str">
        <f t="shared" si="541"/>
        <v>MERC/CAPEX/MSPGCL/2023-2024/0466 Dt 02.08.2024</v>
      </c>
      <c r="D3643" s="1413">
        <f t="shared" si="541"/>
        <v>45506</v>
      </c>
      <c r="E3643" s="560">
        <f t="shared" si="541"/>
        <v>0</v>
      </c>
      <c r="F3643" s="1508">
        <f t="shared" si="539"/>
        <v>4.54</v>
      </c>
      <c r="G3643" s="1508">
        <f t="shared" si="540"/>
        <v>4.54</v>
      </c>
      <c r="H3643" s="1508">
        <f t="shared" si="536"/>
        <v>0</v>
      </c>
      <c r="I3643" s="1480">
        <v>0</v>
      </c>
      <c r="J3643" s="1480">
        <v>0</v>
      </c>
      <c r="K3643" s="1508"/>
      <c r="L3643" s="1508"/>
      <c r="M3643" s="1509">
        <f t="shared" si="542"/>
        <v>0</v>
      </c>
      <c r="N3643" s="1508">
        <f t="shared" si="537"/>
        <v>0</v>
      </c>
      <c r="O3643" s="1481">
        <f t="shared" si="543"/>
        <v>0</v>
      </c>
      <c r="P3643" s="1427">
        <f t="shared" si="544"/>
        <v>0</v>
      </c>
    </row>
    <row r="3644" spans="1:16" ht="31" outlineLevel="1" x14ac:dyDescent="0.25">
      <c r="A3644" s="1488">
        <f t="shared" si="541"/>
        <v>5.3</v>
      </c>
      <c r="B3644" s="1492" t="str">
        <f t="shared" si="541"/>
        <v>Scheme-3: Renovation &amp; Upgradation of Walkway Platform of CHPB of Unit 5 to 7 of CSTPS Chandrapur.</v>
      </c>
      <c r="C3644" s="1488" t="str">
        <f t="shared" si="541"/>
        <v>MERC/CAPEX/MSPGCL/2023-2024/0466 Dt 02.08.2024</v>
      </c>
      <c r="D3644" s="1413">
        <f t="shared" si="541"/>
        <v>45506</v>
      </c>
      <c r="E3644" s="560">
        <f t="shared" si="541"/>
        <v>0</v>
      </c>
      <c r="F3644" s="1508">
        <f t="shared" si="539"/>
        <v>5.25</v>
      </c>
      <c r="G3644" s="1508">
        <f t="shared" si="540"/>
        <v>5.25</v>
      </c>
      <c r="H3644" s="1508">
        <f t="shared" si="536"/>
        <v>0</v>
      </c>
      <c r="I3644" s="1480">
        <v>0</v>
      </c>
      <c r="J3644" s="1480">
        <v>0</v>
      </c>
      <c r="K3644" s="1508"/>
      <c r="L3644" s="1508"/>
      <c r="M3644" s="1509">
        <f t="shared" si="542"/>
        <v>0</v>
      </c>
      <c r="N3644" s="1508">
        <f t="shared" si="537"/>
        <v>0</v>
      </c>
      <c r="O3644" s="1481">
        <f t="shared" si="543"/>
        <v>0</v>
      </c>
      <c r="P3644" s="1427">
        <f t="shared" si="544"/>
        <v>0</v>
      </c>
    </row>
    <row r="3645" spans="1:16" ht="31" outlineLevel="1" x14ac:dyDescent="0.25">
      <c r="A3645" s="1488">
        <f t="shared" si="541"/>
        <v>5.4</v>
      </c>
      <c r="B3645" s="1492" t="str">
        <f t="shared" si="541"/>
        <v>Scheme-4: Work of Renovation &amp; Modernization of Bunker Shuttle Conveyor of CHPB of Unit 5, 6 &amp; 7 in CSTPS Chandrapur.</v>
      </c>
      <c r="C3645" s="1488" t="str">
        <f t="shared" si="541"/>
        <v>MERC/CAPEX/MSPGCL/2023-2024/0466 Dt 02.08.2024</v>
      </c>
      <c r="D3645" s="1413">
        <f t="shared" si="541"/>
        <v>45506</v>
      </c>
      <c r="E3645" s="560">
        <f t="shared" si="541"/>
        <v>0</v>
      </c>
      <c r="F3645" s="1508">
        <f t="shared" si="539"/>
        <v>4.6100000000000003</v>
      </c>
      <c r="G3645" s="1508">
        <f t="shared" si="540"/>
        <v>4.6100000000000003</v>
      </c>
      <c r="H3645" s="1508">
        <f t="shared" si="536"/>
        <v>0</v>
      </c>
      <c r="I3645" s="1480">
        <v>0</v>
      </c>
      <c r="J3645" s="1480">
        <v>0</v>
      </c>
      <c r="K3645" s="1508"/>
      <c r="L3645" s="1508"/>
      <c r="M3645" s="1509">
        <f t="shared" si="542"/>
        <v>0</v>
      </c>
      <c r="N3645" s="1508">
        <f t="shared" si="537"/>
        <v>0</v>
      </c>
      <c r="O3645" s="1481">
        <f t="shared" si="543"/>
        <v>0</v>
      </c>
      <c r="P3645" s="1427">
        <f t="shared" si="544"/>
        <v>0</v>
      </c>
    </row>
    <row r="3646" spans="1:16" ht="46.5" outlineLevel="1" x14ac:dyDescent="0.25">
      <c r="A3646" s="1488">
        <f t="shared" si="541"/>
        <v>5.5</v>
      </c>
      <c r="B3646" s="1492" t="str">
        <f t="shared" si="541"/>
        <v>Scheme-5: Renovation &amp; Modernization of Wagon Tippler Concrete Hopper of Coal Handling Plant-B of Unit 5,6&amp;7 at CSTPS Chandrapur.</v>
      </c>
      <c r="C3646" s="1488" t="str">
        <f t="shared" si="541"/>
        <v>MERC/CAPEX/MSPGCL/2023-2024/0466 Dt 02.08.2024</v>
      </c>
      <c r="D3646" s="1413">
        <f t="shared" si="541"/>
        <v>45506</v>
      </c>
      <c r="E3646" s="560">
        <f t="shared" si="541"/>
        <v>0</v>
      </c>
      <c r="F3646" s="1508">
        <f t="shared" si="539"/>
        <v>3.83</v>
      </c>
      <c r="G3646" s="1508">
        <f t="shared" si="540"/>
        <v>3.83</v>
      </c>
      <c r="H3646" s="1508">
        <f t="shared" si="536"/>
        <v>0</v>
      </c>
      <c r="I3646" s="1480">
        <v>0</v>
      </c>
      <c r="J3646" s="1480">
        <v>0</v>
      </c>
      <c r="K3646" s="1508"/>
      <c r="L3646" s="1508"/>
      <c r="M3646" s="1509">
        <f t="shared" si="542"/>
        <v>0</v>
      </c>
      <c r="N3646" s="1508">
        <f t="shared" si="537"/>
        <v>0</v>
      </c>
      <c r="O3646" s="1481">
        <f t="shared" si="543"/>
        <v>0</v>
      </c>
      <c r="P3646" s="1427">
        <f t="shared" si="544"/>
        <v>0</v>
      </c>
    </row>
    <row r="3647" spans="1:16" ht="46.5" outlineLevel="1" x14ac:dyDescent="0.25">
      <c r="A3647" s="1488">
        <f t="shared" si="541"/>
        <v>5.6</v>
      </c>
      <c r="B3647" s="1492" t="str">
        <f t="shared" si="541"/>
        <v>Scheme-6: Renovation &amp; Modernization of Wagon Tippler Concrete Hopper of Coal Handling Plant-D of Unit 8&amp;9 at CSTPS Chandrapur.</v>
      </c>
      <c r="C3647" s="1488" t="str">
        <f t="shared" si="541"/>
        <v>MERC/CAPEX/MSPGCL/2023-2024/0466 Dt 02.08.2024</v>
      </c>
      <c r="D3647" s="1413">
        <f t="shared" si="541"/>
        <v>45506</v>
      </c>
      <c r="E3647" s="1383">
        <f t="shared" si="541"/>
        <v>0</v>
      </c>
      <c r="F3647" s="1480">
        <f t="shared" si="539"/>
        <v>3.83</v>
      </c>
      <c r="G3647" s="1480">
        <f t="shared" si="540"/>
        <v>3.83</v>
      </c>
      <c r="H3647" s="1480">
        <f t="shared" si="536"/>
        <v>0</v>
      </c>
      <c r="I3647" s="1480">
        <v>0</v>
      </c>
      <c r="J3647" s="1480">
        <v>0</v>
      </c>
      <c r="K3647" s="1480"/>
      <c r="L3647" s="1480"/>
      <c r="M3647" s="1480">
        <f t="shared" si="542"/>
        <v>0</v>
      </c>
      <c r="N3647" s="1480">
        <f t="shared" si="537"/>
        <v>0</v>
      </c>
      <c r="O3647" s="1481">
        <f t="shared" si="543"/>
        <v>0</v>
      </c>
      <c r="P3647" s="1427">
        <f t="shared" si="544"/>
        <v>0</v>
      </c>
    </row>
    <row r="3648" spans="1:16" ht="46.5" outlineLevel="1" x14ac:dyDescent="0.25">
      <c r="A3648" s="1488">
        <f t="shared" ref="A3648:E3663" si="545">A2978</f>
        <v>5.7</v>
      </c>
      <c r="B3648" s="1492" t="str">
        <f t="shared" si="545"/>
        <v xml:space="preserve">Scheme-7: Design, supply, installation &amp; commissioning of LED based energy efficient illumination system at CHP-A, B &amp; C, C.S.T.P.S., Chandrapur.  </v>
      </c>
      <c r="C3648" s="1488" t="str">
        <f t="shared" si="545"/>
        <v>MERC/CAPEX/MSPGCL/2023-2024/0466 Dt 02.08.2024</v>
      </c>
      <c r="D3648" s="1413">
        <f t="shared" si="545"/>
        <v>45506</v>
      </c>
      <c r="E3648" s="560">
        <f t="shared" si="545"/>
        <v>0</v>
      </c>
      <c r="F3648" s="1508">
        <f t="shared" si="539"/>
        <v>5.31</v>
      </c>
      <c r="G3648" s="1508">
        <f t="shared" si="540"/>
        <v>5.31</v>
      </c>
      <c r="H3648" s="1508">
        <f t="shared" si="536"/>
        <v>0</v>
      </c>
      <c r="I3648" s="1480">
        <v>0</v>
      </c>
      <c r="J3648" s="1480">
        <v>0</v>
      </c>
      <c r="K3648" s="1508"/>
      <c r="L3648" s="1508"/>
      <c r="M3648" s="1509">
        <f t="shared" si="542"/>
        <v>0</v>
      </c>
      <c r="N3648" s="1508">
        <f t="shared" si="537"/>
        <v>0</v>
      </c>
      <c r="O3648" s="1481">
        <f t="shared" si="543"/>
        <v>0</v>
      </c>
      <c r="P3648" s="1427">
        <f t="shared" si="544"/>
        <v>0</v>
      </c>
    </row>
    <row r="3649" spans="1:16" ht="31" outlineLevel="1" x14ac:dyDescent="0.25">
      <c r="A3649" s="1488">
        <f t="shared" si="545"/>
        <v>0</v>
      </c>
      <c r="B3649" s="1492" t="str">
        <f t="shared" si="545"/>
        <v>IDC</v>
      </c>
      <c r="C3649" s="1488" t="str">
        <f t="shared" si="545"/>
        <v>MERC/CAPEX/MSPGCL/2023-2024/0466 Dt 02.08.2024</v>
      </c>
      <c r="D3649" s="1413">
        <f t="shared" si="545"/>
        <v>45506</v>
      </c>
      <c r="E3649" s="1383">
        <f t="shared" si="545"/>
        <v>0</v>
      </c>
      <c r="F3649" s="1480">
        <f t="shared" si="539"/>
        <v>0</v>
      </c>
      <c r="G3649" s="1480">
        <f t="shared" si="540"/>
        <v>0</v>
      </c>
      <c r="H3649" s="1480">
        <f t="shared" si="536"/>
        <v>0</v>
      </c>
      <c r="I3649" s="1480">
        <v>0</v>
      </c>
      <c r="J3649" s="1480">
        <v>0</v>
      </c>
      <c r="K3649" s="1480"/>
      <c r="L3649" s="1480"/>
      <c r="M3649" s="1480">
        <f t="shared" si="542"/>
        <v>0</v>
      </c>
      <c r="N3649" s="1480">
        <f t="shared" si="537"/>
        <v>0</v>
      </c>
      <c r="O3649" s="1481">
        <f t="shared" si="543"/>
        <v>0</v>
      </c>
      <c r="P3649" s="1427">
        <f t="shared" si="544"/>
        <v>0</v>
      </c>
    </row>
    <row r="3650" spans="1:16" ht="62" outlineLevel="1" x14ac:dyDescent="0.25">
      <c r="A3650" s="1486">
        <f t="shared" si="545"/>
        <v>63</v>
      </c>
      <c r="B3650" s="1491" t="str">
        <f t="shared" si="545"/>
        <v>Procurement of Equipment’s for Stack yard management at Coal Handling Plant &amp; Upgradation of existing ash disposal pump system by installing higher efficiency pump system in Ash Handling Plant of Unit- 5 &amp; 6 at CSTPS, Chandrapur.</v>
      </c>
      <c r="C3650" s="1486" t="str">
        <f t="shared" si="545"/>
        <v>MERC/CAPEX/MSPGCL/2023-24/496 Dt 08.08.2024</v>
      </c>
      <c r="D3650" s="1413">
        <f t="shared" si="545"/>
        <v>45512</v>
      </c>
      <c r="E3650" s="560">
        <f t="shared" si="545"/>
        <v>38.4</v>
      </c>
      <c r="F3650" s="1508">
        <f t="shared" si="539"/>
        <v>0</v>
      </c>
      <c r="G3650" s="1508">
        <f t="shared" si="540"/>
        <v>0</v>
      </c>
      <c r="H3650" s="1508">
        <f t="shared" si="536"/>
        <v>0</v>
      </c>
      <c r="I3650" s="1480">
        <v>0</v>
      </c>
      <c r="J3650" s="1480">
        <v>0</v>
      </c>
      <c r="K3650" s="1508"/>
      <c r="L3650" s="1508"/>
      <c r="M3650" s="1509">
        <f t="shared" si="542"/>
        <v>0</v>
      </c>
      <c r="N3650" s="1508">
        <f t="shared" si="537"/>
        <v>0</v>
      </c>
      <c r="O3650" s="1481">
        <f t="shared" si="543"/>
        <v>0</v>
      </c>
      <c r="P3650" s="1427">
        <f t="shared" si="544"/>
        <v>0</v>
      </c>
    </row>
    <row r="3651" spans="1:16" ht="31" outlineLevel="1" x14ac:dyDescent="0.25">
      <c r="A3651" s="1488">
        <f t="shared" si="545"/>
        <v>6.1</v>
      </c>
      <c r="B3651" s="1492" t="str">
        <f t="shared" si="545"/>
        <v>Scheme-1: Procurement of 04 Nos Bulldozers.</v>
      </c>
      <c r="C3651" s="1488" t="str">
        <f t="shared" si="545"/>
        <v>MERC/CAPEX/MSPGCL/2023-24/496 Dt 08.08.2024</v>
      </c>
      <c r="D3651" s="1413">
        <f t="shared" si="545"/>
        <v>45512</v>
      </c>
      <c r="E3651" s="560">
        <f t="shared" si="545"/>
        <v>9.58</v>
      </c>
      <c r="F3651" s="1508">
        <f t="shared" si="539"/>
        <v>9.58</v>
      </c>
      <c r="G3651" s="1508">
        <f t="shared" si="540"/>
        <v>9.58</v>
      </c>
      <c r="H3651" s="1508">
        <f t="shared" si="536"/>
        <v>0</v>
      </c>
      <c r="I3651" s="1480">
        <v>0</v>
      </c>
      <c r="J3651" s="1480">
        <v>0</v>
      </c>
      <c r="K3651" s="1508"/>
      <c r="L3651" s="1508"/>
      <c r="M3651" s="1509">
        <f t="shared" si="542"/>
        <v>0</v>
      </c>
      <c r="N3651" s="1508">
        <f t="shared" si="537"/>
        <v>0</v>
      </c>
      <c r="O3651" s="1481">
        <f t="shared" si="543"/>
        <v>0</v>
      </c>
      <c r="P3651" s="1427">
        <f t="shared" si="544"/>
        <v>0</v>
      </c>
    </row>
    <row r="3652" spans="1:16" ht="31" outlineLevel="1" x14ac:dyDescent="0.25">
      <c r="A3652" s="1488">
        <f t="shared" si="545"/>
        <v>6.2</v>
      </c>
      <c r="B3652" s="1492" t="str">
        <f t="shared" si="545"/>
        <v>Scheme-2:  Procurement of 01 No Wheel Dozer</v>
      </c>
      <c r="C3652" s="1488" t="str">
        <f t="shared" si="545"/>
        <v>MERC/CAPEX/MSPGCL/2023-24/496 Dt 08.08.2024</v>
      </c>
      <c r="D3652" s="1413">
        <f t="shared" si="545"/>
        <v>45512</v>
      </c>
      <c r="E3652" s="1383">
        <f t="shared" si="545"/>
        <v>2.95</v>
      </c>
      <c r="F3652" s="1480">
        <f t="shared" si="539"/>
        <v>2.95</v>
      </c>
      <c r="G3652" s="1480">
        <f t="shared" si="540"/>
        <v>2.95</v>
      </c>
      <c r="H3652" s="1480">
        <f t="shared" si="536"/>
        <v>0</v>
      </c>
      <c r="I3652" s="1480">
        <v>0</v>
      </c>
      <c r="J3652" s="1480">
        <v>0</v>
      </c>
      <c r="K3652" s="1480"/>
      <c r="L3652" s="1480"/>
      <c r="M3652" s="1480">
        <f t="shared" si="542"/>
        <v>0</v>
      </c>
      <c r="N3652" s="1480">
        <f t="shared" si="537"/>
        <v>0</v>
      </c>
      <c r="O3652" s="1481">
        <f t="shared" si="543"/>
        <v>0</v>
      </c>
      <c r="P3652" s="1427">
        <f t="shared" si="544"/>
        <v>0</v>
      </c>
    </row>
    <row r="3653" spans="1:16" ht="31" outlineLevel="1" x14ac:dyDescent="0.25">
      <c r="A3653" s="1488">
        <f t="shared" si="545"/>
        <v>6.3</v>
      </c>
      <c r="B3653" s="1492" t="str">
        <f t="shared" si="545"/>
        <v>Scheme-3: Procurement 02 Nos. 800 HP Diesel Hydraulic Locomotives.</v>
      </c>
      <c r="C3653" s="1488" t="str">
        <f t="shared" si="545"/>
        <v>MERC/CAPEX/MSPGCL/2023-24/496 Dt 08.08.2024</v>
      </c>
      <c r="D3653" s="1413">
        <f t="shared" si="545"/>
        <v>45512</v>
      </c>
      <c r="E3653" s="560">
        <f t="shared" si="545"/>
        <v>7.95</v>
      </c>
      <c r="F3653" s="1508">
        <f t="shared" si="539"/>
        <v>7.95</v>
      </c>
      <c r="G3653" s="1508">
        <f t="shared" si="540"/>
        <v>7.95</v>
      </c>
      <c r="H3653" s="1508">
        <f t="shared" si="536"/>
        <v>0</v>
      </c>
      <c r="I3653" s="1480">
        <v>0</v>
      </c>
      <c r="J3653" s="1480">
        <v>0</v>
      </c>
      <c r="K3653" s="1508"/>
      <c r="L3653" s="1508"/>
      <c r="M3653" s="1509">
        <f t="shared" si="542"/>
        <v>0</v>
      </c>
      <c r="N3653" s="1508">
        <f t="shared" si="537"/>
        <v>0</v>
      </c>
      <c r="O3653" s="1481">
        <f t="shared" si="543"/>
        <v>0</v>
      </c>
      <c r="P3653" s="1427">
        <f t="shared" si="544"/>
        <v>0</v>
      </c>
    </row>
    <row r="3654" spans="1:16" ht="31" outlineLevel="1" x14ac:dyDescent="0.25">
      <c r="A3654" s="1488">
        <f t="shared" si="545"/>
        <v>6.4</v>
      </c>
      <c r="B3654" s="1492" t="str">
        <f t="shared" si="545"/>
        <v>Scheme-4: Upgradation of existing ash disposal pump assembly by higher efficiency pump assembly in ash handling plant.</v>
      </c>
      <c r="C3654" s="1488" t="str">
        <f t="shared" si="545"/>
        <v>MERC/CAPEX/MSPGCL/2023-24/496 Dt 08.08.2024</v>
      </c>
      <c r="D3654" s="1413">
        <f t="shared" si="545"/>
        <v>45512</v>
      </c>
      <c r="E3654" s="560">
        <f t="shared" si="545"/>
        <v>17.46</v>
      </c>
      <c r="F3654" s="1508">
        <f t="shared" si="539"/>
        <v>17.46</v>
      </c>
      <c r="G3654" s="1508">
        <f t="shared" si="540"/>
        <v>17.46</v>
      </c>
      <c r="H3654" s="1508">
        <f t="shared" si="536"/>
        <v>0</v>
      </c>
      <c r="I3654" s="1480">
        <v>0</v>
      </c>
      <c r="J3654" s="1480">
        <v>0</v>
      </c>
      <c r="K3654" s="1508"/>
      <c r="L3654" s="1508"/>
      <c r="M3654" s="1509">
        <f t="shared" si="542"/>
        <v>0</v>
      </c>
      <c r="N3654" s="1508">
        <f t="shared" si="537"/>
        <v>0</v>
      </c>
      <c r="O3654" s="1481">
        <f t="shared" si="543"/>
        <v>0</v>
      </c>
      <c r="P3654" s="1427">
        <f t="shared" si="544"/>
        <v>0</v>
      </c>
    </row>
    <row r="3655" spans="1:16" ht="31" outlineLevel="1" x14ac:dyDescent="0.25">
      <c r="A3655" s="1488">
        <f t="shared" si="545"/>
        <v>0</v>
      </c>
      <c r="B3655" s="1492" t="str">
        <f t="shared" si="545"/>
        <v>IDC</v>
      </c>
      <c r="C3655" s="1488" t="str">
        <f t="shared" si="545"/>
        <v>MERC/CAPEX/MSPGCL/2023-24/496 Dt 08.08.2024</v>
      </c>
      <c r="D3655" s="1413">
        <f t="shared" si="545"/>
        <v>45512</v>
      </c>
      <c r="E3655" s="560">
        <f t="shared" si="545"/>
        <v>0.46</v>
      </c>
      <c r="F3655" s="1508">
        <f t="shared" si="539"/>
        <v>0</v>
      </c>
      <c r="G3655" s="1508">
        <f t="shared" si="540"/>
        <v>0</v>
      </c>
      <c r="H3655" s="1508">
        <f t="shared" si="536"/>
        <v>0</v>
      </c>
      <c r="I3655" s="1480">
        <v>0</v>
      </c>
      <c r="J3655" s="1480">
        <v>0</v>
      </c>
      <c r="K3655" s="1508"/>
      <c r="L3655" s="1508"/>
      <c r="M3655" s="1509">
        <f t="shared" si="542"/>
        <v>0</v>
      </c>
      <c r="N3655" s="1508">
        <f t="shared" si="537"/>
        <v>0</v>
      </c>
    </row>
    <row r="3656" spans="1:16" ht="46.5" outlineLevel="1" x14ac:dyDescent="0.25">
      <c r="A3656" s="1486">
        <f t="shared" si="545"/>
        <v>64</v>
      </c>
      <c r="B3656" s="1491" t="str">
        <f t="shared" si="545"/>
        <v>Stacker Reclaimer, Impact Crusher and Conveyor Drive reliability &amp; availability improvement scheme for CHP of Unit 5,6&amp;7 CSTPS Chandrapur.- Elecon</v>
      </c>
      <c r="C3656" s="1488" t="str">
        <f t="shared" si="545"/>
        <v>MERC approved MERC/CAPEX/MSPGCL/2023-24/566  Dt 09.09.2024</v>
      </c>
      <c r="D3656" s="1413">
        <f t="shared" si="545"/>
        <v>45544</v>
      </c>
      <c r="E3656" s="1383">
        <f t="shared" si="545"/>
        <v>32.549999999999997</v>
      </c>
      <c r="F3656" s="1480">
        <f t="shared" si="539"/>
        <v>0</v>
      </c>
      <c r="G3656" s="1480">
        <f t="shared" si="540"/>
        <v>0</v>
      </c>
      <c r="H3656" s="1480">
        <f t="shared" si="536"/>
        <v>0</v>
      </c>
      <c r="I3656" s="1480">
        <v>0</v>
      </c>
      <c r="J3656" s="1480">
        <v>0</v>
      </c>
      <c r="K3656" s="1480"/>
      <c r="L3656" s="1480"/>
      <c r="M3656" s="1480">
        <f t="shared" si="542"/>
        <v>0</v>
      </c>
      <c r="N3656" s="1480">
        <f t="shared" si="537"/>
        <v>0</v>
      </c>
    </row>
    <row r="3657" spans="1:16" ht="46.5" outlineLevel="1" x14ac:dyDescent="0.25">
      <c r="A3657" s="1488">
        <f t="shared" si="545"/>
        <v>0</v>
      </c>
      <c r="B3657" s="1497" t="str">
        <f t="shared" si="545"/>
        <v xml:space="preserve">Scheme-1: Reliability &amp; availability improvement for Stacker Reclaimer by supply &amp; commissioning of essential equipment at CHPB of Unit 5,6&amp;7 CSTPS  Chandrapur. </v>
      </c>
      <c r="C3657" s="1488" t="str">
        <f t="shared" si="545"/>
        <v>MERC approved MERC/CAPEX/MSPGCL/2023-24/566  Dt 09.09.2024</v>
      </c>
      <c r="D3657" s="1413">
        <f t="shared" si="545"/>
        <v>45544</v>
      </c>
      <c r="E3657" s="560">
        <f t="shared" si="545"/>
        <v>17.61</v>
      </c>
      <c r="F3657" s="1508">
        <f t="shared" si="539"/>
        <v>17.61</v>
      </c>
      <c r="G3657" s="1508">
        <f t="shared" si="540"/>
        <v>17.61</v>
      </c>
      <c r="H3657" s="1508">
        <f t="shared" si="536"/>
        <v>0</v>
      </c>
      <c r="I3657" s="1480">
        <v>0</v>
      </c>
      <c r="J3657" s="1480">
        <v>0</v>
      </c>
      <c r="K3657" s="1508"/>
      <c r="L3657" s="1508"/>
      <c r="M3657" s="1509">
        <f t="shared" si="542"/>
        <v>0</v>
      </c>
      <c r="N3657" s="1508">
        <f t="shared" si="537"/>
        <v>0</v>
      </c>
    </row>
    <row r="3658" spans="1:16" ht="46.5" outlineLevel="1" x14ac:dyDescent="0.25">
      <c r="A3658" s="1488">
        <f t="shared" si="545"/>
        <v>0</v>
      </c>
      <c r="B3658" s="1497" t="str">
        <f t="shared" si="545"/>
        <v xml:space="preserve">Scheme-2: Reliability &amp; availability improvement for Conveyor Drive by supply &amp; commissioning of essential equipment at CHPB of Unit 5,6&amp;7 CSTPS </v>
      </c>
      <c r="C3658" s="1488" t="str">
        <f t="shared" si="545"/>
        <v>MERC approved MERC/CAPEX/MSPGCL/2023-24/566  Dt 09.09.2024</v>
      </c>
      <c r="D3658" s="1413">
        <f t="shared" si="545"/>
        <v>45544</v>
      </c>
      <c r="E3658" s="560">
        <f t="shared" si="545"/>
        <v>14.65</v>
      </c>
      <c r="F3658" s="1508">
        <f t="shared" si="539"/>
        <v>14.65</v>
      </c>
      <c r="G3658" s="1508">
        <f t="shared" si="540"/>
        <v>14.65</v>
      </c>
      <c r="H3658" s="1508">
        <f t="shared" si="536"/>
        <v>0</v>
      </c>
      <c r="I3658" s="1480">
        <v>0</v>
      </c>
      <c r="J3658" s="1480">
        <v>0</v>
      </c>
      <c r="K3658" s="1508"/>
      <c r="L3658" s="1508"/>
      <c r="M3658" s="1509">
        <f t="shared" si="542"/>
        <v>0</v>
      </c>
      <c r="N3658" s="1508">
        <f t="shared" si="537"/>
        <v>0</v>
      </c>
    </row>
    <row r="3659" spans="1:16" ht="46.5" outlineLevel="1" x14ac:dyDescent="0.25">
      <c r="A3659" s="1488">
        <f t="shared" si="545"/>
        <v>0</v>
      </c>
      <c r="B3659" s="1497" t="str">
        <f t="shared" si="545"/>
        <v>IDC</v>
      </c>
      <c r="C3659" s="1488" t="str">
        <f t="shared" si="545"/>
        <v>MERC approved MERC/CAPEX/MSPGCL/2023-24/566  Dt 09.09.2024</v>
      </c>
      <c r="D3659" s="1413">
        <f t="shared" si="545"/>
        <v>45544</v>
      </c>
      <c r="E3659" s="560">
        <f t="shared" si="545"/>
        <v>0.28999999999999998</v>
      </c>
      <c r="F3659" s="1508">
        <f t="shared" si="539"/>
        <v>0.28999999999999998</v>
      </c>
      <c r="G3659" s="1508">
        <f t="shared" si="540"/>
        <v>0.28999999999999998</v>
      </c>
      <c r="H3659" s="1508">
        <f t="shared" si="536"/>
        <v>0</v>
      </c>
      <c r="I3659" s="1480">
        <v>0</v>
      </c>
      <c r="J3659" s="1480">
        <v>0</v>
      </c>
      <c r="K3659" s="1508"/>
      <c r="L3659" s="1508"/>
      <c r="M3659" s="1509">
        <f t="shared" si="542"/>
        <v>0</v>
      </c>
      <c r="N3659" s="1508">
        <f t="shared" si="537"/>
        <v>0</v>
      </c>
    </row>
    <row r="3660" spans="1:16" ht="15.5" outlineLevel="1" x14ac:dyDescent="0.25">
      <c r="A3660" s="1498">
        <f t="shared" si="545"/>
        <v>0</v>
      </c>
      <c r="B3660" s="1492">
        <f t="shared" si="545"/>
        <v>0</v>
      </c>
      <c r="C3660" s="1498">
        <f t="shared" si="545"/>
        <v>0</v>
      </c>
      <c r="D3660" s="1499" t="str">
        <f t="shared" si="545"/>
        <v>-</v>
      </c>
      <c r="E3660" s="560">
        <f t="shared" si="545"/>
        <v>0</v>
      </c>
      <c r="F3660" s="1508">
        <f t="shared" si="539"/>
        <v>0</v>
      </c>
      <c r="G3660" s="1508">
        <f t="shared" si="540"/>
        <v>0</v>
      </c>
      <c r="H3660" s="1508">
        <f t="shared" si="536"/>
        <v>0</v>
      </c>
      <c r="I3660" s="1480">
        <v>0</v>
      </c>
      <c r="J3660" s="1480">
        <v>0</v>
      </c>
      <c r="K3660" s="1508"/>
      <c r="L3660" s="1508"/>
      <c r="M3660" s="1509">
        <f t="shared" si="542"/>
        <v>0</v>
      </c>
      <c r="N3660" s="1508">
        <f t="shared" si="537"/>
        <v>0</v>
      </c>
    </row>
    <row r="3661" spans="1:16" ht="15.5" outlineLevel="1" x14ac:dyDescent="0.25">
      <c r="A3661" s="1498">
        <f t="shared" si="545"/>
        <v>0</v>
      </c>
      <c r="B3661" s="1492">
        <f t="shared" si="545"/>
        <v>0</v>
      </c>
      <c r="C3661" s="1498">
        <f t="shared" si="545"/>
        <v>0</v>
      </c>
      <c r="D3661" s="1499" t="str">
        <f t="shared" si="545"/>
        <v>-</v>
      </c>
      <c r="E3661" s="560">
        <f t="shared" si="545"/>
        <v>0</v>
      </c>
      <c r="F3661" s="1508">
        <f t="shared" si="539"/>
        <v>0</v>
      </c>
      <c r="G3661" s="1508">
        <f t="shared" si="540"/>
        <v>0</v>
      </c>
      <c r="H3661" s="1508">
        <f t="shared" si="536"/>
        <v>0</v>
      </c>
      <c r="I3661" s="1480">
        <v>0</v>
      </c>
      <c r="J3661" s="1480">
        <v>0</v>
      </c>
      <c r="K3661" s="1508"/>
      <c r="L3661" s="1508"/>
      <c r="M3661" s="1509">
        <f t="shared" si="542"/>
        <v>0</v>
      </c>
      <c r="N3661" s="1508">
        <f t="shared" si="537"/>
        <v>0</v>
      </c>
    </row>
    <row r="3662" spans="1:16" ht="15.5" outlineLevel="1" x14ac:dyDescent="0.25">
      <c r="A3662" s="1500">
        <f t="shared" si="545"/>
        <v>0</v>
      </c>
      <c r="B3662" s="1483">
        <f t="shared" si="545"/>
        <v>0</v>
      </c>
      <c r="C3662" s="1500">
        <f t="shared" si="545"/>
        <v>0</v>
      </c>
      <c r="D3662" s="1501" t="str">
        <f t="shared" si="545"/>
        <v>-</v>
      </c>
      <c r="E3662" s="560">
        <f t="shared" si="545"/>
        <v>0</v>
      </c>
      <c r="F3662" s="1508">
        <f t="shared" si="539"/>
        <v>0</v>
      </c>
      <c r="G3662" s="1508">
        <f t="shared" si="540"/>
        <v>0</v>
      </c>
      <c r="H3662" s="1508">
        <f t="shared" si="536"/>
        <v>0</v>
      </c>
      <c r="I3662" s="1480">
        <v>0</v>
      </c>
      <c r="J3662" s="1480">
        <v>0</v>
      </c>
      <c r="K3662" s="1508"/>
      <c r="L3662" s="1508"/>
      <c r="M3662" s="1509">
        <f t="shared" si="542"/>
        <v>0</v>
      </c>
      <c r="N3662" s="1508">
        <f t="shared" si="537"/>
        <v>0</v>
      </c>
    </row>
    <row r="3663" spans="1:16" ht="15.5" outlineLevel="1" x14ac:dyDescent="0.25">
      <c r="A3663" s="131">
        <f t="shared" si="545"/>
        <v>0</v>
      </c>
      <c r="B3663" s="1476" t="str">
        <f t="shared" si="545"/>
        <v>(ii) Submitted to MERC, Yet To Receive Approval</v>
      </c>
      <c r="C3663" s="166">
        <f t="shared" si="545"/>
        <v>0</v>
      </c>
      <c r="D3663" s="1413" t="str">
        <f t="shared" si="545"/>
        <v>-</v>
      </c>
      <c r="E3663" s="1383">
        <f t="shared" si="545"/>
        <v>0</v>
      </c>
      <c r="F3663" s="1480">
        <f t="shared" si="539"/>
        <v>0</v>
      </c>
      <c r="G3663" s="1480">
        <f t="shared" si="540"/>
        <v>0</v>
      </c>
      <c r="H3663" s="1480">
        <f t="shared" si="536"/>
        <v>0</v>
      </c>
      <c r="I3663" s="1480">
        <v>0</v>
      </c>
      <c r="J3663" s="1480">
        <v>0</v>
      </c>
      <c r="K3663" s="1480"/>
      <c r="L3663" s="1480"/>
      <c r="M3663" s="1480">
        <f t="shared" si="542"/>
        <v>0</v>
      </c>
      <c r="N3663" s="1480">
        <f t="shared" si="537"/>
        <v>0</v>
      </c>
    </row>
    <row r="3664" spans="1:16" ht="93" outlineLevel="1" x14ac:dyDescent="0.25">
      <c r="A3664" s="1486" t="str">
        <f t="shared" ref="A3664:E3679" si="546">A2994</f>
        <v>Y8, Y9</v>
      </c>
      <c r="B3664" s="1491" t="str">
        <f t="shared" si="546"/>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3664" s="1486" t="str">
        <f t="shared" si="546"/>
        <v>Yet To Receive Approval</v>
      </c>
      <c r="D3664" s="1487" t="str">
        <f t="shared" si="546"/>
        <v>-</v>
      </c>
      <c r="E3664" s="560">
        <f t="shared" si="546"/>
        <v>0</v>
      </c>
      <c r="F3664" s="1508">
        <f t="shared" si="539"/>
        <v>0</v>
      </c>
      <c r="G3664" s="1508">
        <f t="shared" si="540"/>
        <v>0</v>
      </c>
      <c r="H3664" s="1508">
        <f t="shared" si="536"/>
        <v>0</v>
      </c>
      <c r="I3664" s="1480">
        <v>0</v>
      </c>
      <c r="J3664" s="1480">
        <v>0</v>
      </c>
      <c r="K3664" s="1508"/>
      <c r="L3664" s="1508"/>
      <c r="M3664" s="1509">
        <f t="shared" si="542"/>
        <v>0</v>
      </c>
      <c r="N3664" s="1508">
        <f t="shared" si="537"/>
        <v>0</v>
      </c>
    </row>
    <row r="3665" spans="1:14" ht="15.5" outlineLevel="1" x14ac:dyDescent="0.25">
      <c r="A3665" s="1488">
        <f t="shared" si="546"/>
        <v>0</v>
      </c>
      <c r="B3665" s="1497" t="str">
        <f t="shared" si="546"/>
        <v>Procurement of BOXN-HL Wagons for C.S.T.P.S., Chandrapur.</v>
      </c>
      <c r="C3665" s="1488" t="str">
        <f t="shared" si="546"/>
        <v>Yet To Receive Approval</v>
      </c>
      <c r="D3665" s="1413" t="str">
        <f t="shared" si="546"/>
        <v>-</v>
      </c>
      <c r="E3665" s="560">
        <f t="shared" si="546"/>
        <v>0</v>
      </c>
      <c r="F3665" s="1508">
        <f t="shared" si="539"/>
        <v>13.8</v>
      </c>
      <c r="G3665" s="1508">
        <f t="shared" si="540"/>
        <v>13.8</v>
      </c>
      <c r="H3665" s="1508">
        <f t="shared" si="536"/>
        <v>0</v>
      </c>
      <c r="I3665" s="1480">
        <v>0</v>
      </c>
      <c r="J3665" s="1480">
        <v>0</v>
      </c>
      <c r="K3665" s="1508"/>
      <c r="L3665" s="1508"/>
      <c r="M3665" s="1509">
        <f t="shared" si="542"/>
        <v>0</v>
      </c>
      <c r="N3665" s="1508">
        <f t="shared" si="537"/>
        <v>0</v>
      </c>
    </row>
    <row r="3666" spans="1:14" ht="31" outlineLevel="1" x14ac:dyDescent="0.25">
      <c r="A3666" s="1488">
        <f t="shared" si="546"/>
        <v>0</v>
      </c>
      <c r="B3666" s="1497" t="str">
        <f t="shared" si="546"/>
        <v>Combined Fire and Rescue vehicle with Hydraulic Platform (Multipurpose Fire Tender)</v>
      </c>
      <c r="C3666" s="1488" t="str">
        <f t="shared" si="546"/>
        <v>Yet To Receive Approval</v>
      </c>
      <c r="D3666" s="1413" t="str">
        <f t="shared" si="546"/>
        <v>-</v>
      </c>
      <c r="E3666" s="1383">
        <f t="shared" si="546"/>
        <v>0</v>
      </c>
      <c r="F3666" s="1480">
        <f t="shared" si="539"/>
        <v>10.19</v>
      </c>
      <c r="G3666" s="1480">
        <f t="shared" si="540"/>
        <v>10.19</v>
      </c>
      <c r="H3666" s="1480">
        <f t="shared" si="536"/>
        <v>0</v>
      </c>
      <c r="I3666" s="1480">
        <v>0</v>
      </c>
      <c r="J3666" s="1480">
        <v>0</v>
      </c>
      <c r="K3666" s="1480"/>
      <c r="L3666" s="1480"/>
      <c r="M3666" s="1480">
        <f t="shared" si="542"/>
        <v>0</v>
      </c>
      <c r="N3666" s="1480">
        <f t="shared" si="537"/>
        <v>0</v>
      </c>
    </row>
    <row r="3667" spans="1:14" ht="15.5" outlineLevel="1" x14ac:dyDescent="0.25">
      <c r="A3667" s="1488">
        <f t="shared" si="546"/>
        <v>0</v>
      </c>
      <c r="B3667" s="1497" t="str">
        <f t="shared" si="546"/>
        <v>Quick Response Vehicle (Multipurpose Fire Tender)</v>
      </c>
      <c r="C3667" s="1488" t="str">
        <f t="shared" si="546"/>
        <v>Yet To Receive Approval</v>
      </c>
      <c r="D3667" s="1413" t="str">
        <f t="shared" si="546"/>
        <v>-</v>
      </c>
      <c r="E3667" s="560">
        <f t="shared" si="546"/>
        <v>0</v>
      </c>
      <c r="F3667" s="1508">
        <f t="shared" si="539"/>
        <v>2.5499999999999998</v>
      </c>
      <c r="G3667" s="1508">
        <f t="shared" si="540"/>
        <v>2.5499999999999998</v>
      </c>
      <c r="H3667" s="1508">
        <f t="shared" si="536"/>
        <v>0</v>
      </c>
      <c r="I3667" s="1480">
        <v>0</v>
      </c>
      <c r="J3667" s="1480">
        <v>0</v>
      </c>
      <c r="K3667" s="1508"/>
      <c r="L3667" s="1508"/>
      <c r="M3667" s="1509">
        <f t="shared" si="542"/>
        <v>0</v>
      </c>
      <c r="N3667" s="1508">
        <f t="shared" si="537"/>
        <v>0</v>
      </c>
    </row>
    <row r="3668" spans="1:14" ht="31" outlineLevel="1" x14ac:dyDescent="0.25">
      <c r="A3668" s="1488">
        <f t="shared" si="546"/>
        <v>0</v>
      </c>
      <c r="B3668" s="1497" t="str">
        <f t="shared" si="546"/>
        <v xml:space="preserve">High capacity Machine for debris transporting by Mechanized way (Vehicle) along with jetting machine </v>
      </c>
      <c r="C3668" s="1488" t="str">
        <f t="shared" si="546"/>
        <v>Yet To Receive Approval</v>
      </c>
      <c r="D3668" s="1413" t="str">
        <f t="shared" si="546"/>
        <v>-</v>
      </c>
      <c r="E3668" s="560">
        <f t="shared" si="546"/>
        <v>0</v>
      </c>
      <c r="F3668" s="1508">
        <f t="shared" si="539"/>
        <v>8.35</v>
      </c>
      <c r="G3668" s="1508">
        <f t="shared" si="540"/>
        <v>8.35</v>
      </c>
      <c r="H3668" s="1508">
        <f t="shared" si="536"/>
        <v>0</v>
      </c>
      <c r="I3668" s="1480">
        <v>0</v>
      </c>
      <c r="J3668" s="1480">
        <v>0</v>
      </c>
      <c r="K3668" s="1508"/>
      <c r="L3668" s="1508"/>
      <c r="M3668" s="1509">
        <f t="shared" si="542"/>
        <v>0</v>
      </c>
      <c r="N3668" s="1508">
        <f t="shared" si="537"/>
        <v>0</v>
      </c>
    </row>
    <row r="3669" spans="1:14" ht="15.5" outlineLevel="1" x14ac:dyDescent="0.25">
      <c r="A3669" s="1488">
        <f t="shared" si="546"/>
        <v>0</v>
      </c>
      <c r="B3669" s="1497" t="str">
        <f t="shared" si="546"/>
        <v>IDC</v>
      </c>
      <c r="C3669" s="1488" t="str">
        <f t="shared" si="546"/>
        <v>Yet To Receive Approval</v>
      </c>
      <c r="D3669" s="1413" t="str">
        <f t="shared" si="546"/>
        <v>-</v>
      </c>
      <c r="E3669" s="1383">
        <f t="shared" si="546"/>
        <v>0</v>
      </c>
      <c r="F3669" s="1480">
        <f t="shared" si="539"/>
        <v>0</v>
      </c>
      <c r="G3669" s="1480">
        <f t="shared" si="540"/>
        <v>0</v>
      </c>
      <c r="H3669" s="1480">
        <f t="shared" si="536"/>
        <v>0</v>
      </c>
      <c r="I3669" s="1480">
        <v>0</v>
      </c>
      <c r="J3669" s="1480">
        <v>0</v>
      </c>
      <c r="K3669" s="1480"/>
      <c r="L3669" s="1480"/>
      <c r="M3669" s="1480">
        <f t="shared" si="542"/>
        <v>0</v>
      </c>
      <c r="N3669" s="1480">
        <f t="shared" si="537"/>
        <v>0</v>
      </c>
    </row>
    <row r="3670" spans="1:14" ht="62" outlineLevel="1" x14ac:dyDescent="0.25">
      <c r="A3670" s="1486" t="str">
        <f t="shared" si="546"/>
        <v>Y10</v>
      </c>
      <c r="B3670" s="1491" t="str">
        <f t="shared" si="546"/>
        <v>Retrofitting of existing SF6 HT Circuit Breakers installed at Unit # 7 &amp; EM-II (Outdoor plant) of 3X500MW CSTPS Chandrapur by latest technology HT Contactor/ Vacuum Circuit breakers along with Supply, Installation &amp; Commissioning</v>
      </c>
      <c r="C3670" s="1486" t="str">
        <f t="shared" si="546"/>
        <v>Yet To Receive Approval</v>
      </c>
      <c r="D3670" s="1413" t="str">
        <f t="shared" si="546"/>
        <v>-</v>
      </c>
      <c r="E3670" s="1383">
        <f t="shared" si="546"/>
        <v>0</v>
      </c>
      <c r="F3670" s="1480">
        <f t="shared" si="539"/>
        <v>0</v>
      </c>
      <c r="G3670" s="1480">
        <f t="shared" si="540"/>
        <v>0</v>
      </c>
      <c r="H3670" s="1480">
        <f t="shared" si="536"/>
        <v>0</v>
      </c>
      <c r="I3670" s="1480">
        <v>0</v>
      </c>
      <c r="J3670" s="1480">
        <v>0</v>
      </c>
      <c r="K3670" s="1480"/>
      <c r="L3670" s="1480"/>
      <c r="M3670" s="1480">
        <f t="shared" si="542"/>
        <v>0</v>
      </c>
      <c r="N3670" s="1480">
        <f t="shared" si="537"/>
        <v>0</v>
      </c>
    </row>
    <row r="3671" spans="1:14" ht="46.5" outlineLevel="1" x14ac:dyDescent="0.25">
      <c r="A3671" s="1488">
        <f t="shared" si="546"/>
        <v>0</v>
      </c>
      <c r="B3671" s="1497" t="str">
        <f t="shared" si="546"/>
        <v>Retrofitting of existing ABB make SF6 Circuit Breakers installed at AHP Unit#7 by latest technology SF6 HT Contactor/ Vacuum Circuit Breaker</v>
      </c>
      <c r="C3671" s="1488" t="str">
        <f t="shared" si="546"/>
        <v>Yet To Receive Approval</v>
      </c>
      <c r="D3671" s="1413" t="str">
        <f t="shared" si="546"/>
        <v>-</v>
      </c>
      <c r="E3671" s="1383">
        <f t="shared" si="546"/>
        <v>0</v>
      </c>
      <c r="F3671" s="1480">
        <f t="shared" si="539"/>
        <v>7</v>
      </c>
      <c r="G3671" s="1480">
        <f t="shared" si="540"/>
        <v>7</v>
      </c>
      <c r="H3671" s="1480">
        <f t="shared" si="536"/>
        <v>0</v>
      </c>
      <c r="I3671" s="1480">
        <v>0</v>
      </c>
      <c r="J3671" s="1480">
        <v>0</v>
      </c>
      <c r="K3671" s="1480"/>
      <c r="L3671" s="1480"/>
      <c r="M3671" s="1480">
        <f t="shared" si="542"/>
        <v>0</v>
      </c>
      <c r="N3671" s="1480">
        <f t="shared" si="537"/>
        <v>0</v>
      </c>
    </row>
    <row r="3672" spans="1:14" ht="62" outlineLevel="1" x14ac:dyDescent="0.25">
      <c r="A3672" s="1488">
        <f t="shared" si="546"/>
        <v>0</v>
      </c>
      <c r="B3672" s="1497" t="str">
        <f t="shared" si="546"/>
        <v>Retrofitting of existing ABB/Voltas make SF6 Circuit Breakers installed at CCW Board of Unit#5,6&amp;7 ODP-II, WTP- II Board of ODP-II, Raw water RWS Board of ODP-II by latest technology Vacuum Circuit Breaker:</v>
      </c>
      <c r="C3672" s="1488" t="str">
        <f t="shared" si="546"/>
        <v>Yet To Receive Approval</v>
      </c>
      <c r="D3672" s="1413" t="str">
        <f t="shared" si="546"/>
        <v>-</v>
      </c>
      <c r="E3672" s="560">
        <f t="shared" si="546"/>
        <v>0</v>
      </c>
      <c r="F3672" s="1508">
        <f t="shared" si="539"/>
        <v>17</v>
      </c>
      <c r="G3672" s="1508">
        <f t="shared" si="540"/>
        <v>17</v>
      </c>
      <c r="H3672" s="1508">
        <f t="shared" si="536"/>
        <v>0</v>
      </c>
      <c r="I3672" s="1480">
        <v>0</v>
      </c>
      <c r="J3672" s="1480">
        <v>0</v>
      </c>
      <c r="K3672" s="1508"/>
      <c r="L3672" s="1508"/>
      <c r="M3672" s="1509">
        <f t="shared" si="542"/>
        <v>0</v>
      </c>
      <c r="N3672" s="1508">
        <f t="shared" si="537"/>
        <v>0</v>
      </c>
    </row>
    <row r="3673" spans="1:14" ht="15.5" outlineLevel="1" x14ac:dyDescent="0.25">
      <c r="A3673" s="1488">
        <f t="shared" si="546"/>
        <v>0</v>
      </c>
      <c r="B3673" s="1497" t="str">
        <f t="shared" si="546"/>
        <v>IDC</v>
      </c>
      <c r="C3673" s="1488" t="str">
        <f t="shared" si="546"/>
        <v>Yet To Receive Approval</v>
      </c>
      <c r="D3673" s="1413" t="str">
        <f t="shared" si="546"/>
        <v>-</v>
      </c>
      <c r="E3673" s="560">
        <f t="shared" si="546"/>
        <v>0</v>
      </c>
      <c r="F3673" s="1508">
        <f t="shared" si="539"/>
        <v>0</v>
      </c>
      <c r="G3673" s="1508">
        <f t="shared" si="540"/>
        <v>0</v>
      </c>
      <c r="H3673" s="1508">
        <f t="shared" si="536"/>
        <v>0</v>
      </c>
      <c r="I3673" s="1480">
        <v>0</v>
      </c>
      <c r="J3673" s="1480">
        <v>0</v>
      </c>
      <c r="K3673" s="1508"/>
      <c r="L3673" s="1508"/>
      <c r="M3673" s="1509">
        <f t="shared" si="542"/>
        <v>0</v>
      </c>
      <c r="N3673" s="1508">
        <f t="shared" si="537"/>
        <v>0</v>
      </c>
    </row>
    <row r="3674" spans="1:14" ht="62" outlineLevel="1" x14ac:dyDescent="0.25">
      <c r="A3674" s="1486" t="str">
        <f t="shared" si="546"/>
        <v>Y11</v>
      </c>
      <c r="B3674" s="1491" t="str">
        <f t="shared" si="546"/>
        <v>Design, Engineering, Manufacturing, Supply, Erection, Commissioning and testing of Wagon Locking System for wagon Tippler &amp; Portable Reclaim Feeder for CHP of Unit 5 to 9 of CSTPS, Chandrapur</v>
      </c>
      <c r="C3674" s="1486" t="str">
        <f t="shared" si="546"/>
        <v>Yet To Receive Approval</v>
      </c>
      <c r="D3674" s="1413" t="str">
        <f t="shared" si="546"/>
        <v>-</v>
      </c>
      <c r="E3674" s="560">
        <f t="shared" si="546"/>
        <v>0</v>
      </c>
      <c r="F3674" s="1508">
        <f t="shared" si="539"/>
        <v>0</v>
      </c>
      <c r="G3674" s="1508">
        <f t="shared" si="540"/>
        <v>0</v>
      </c>
      <c r="H3674" s="1508">
        <f t="shared" ref="H3674:H3690" si="547">F3674-G3674</f>
        <v>0</v>
      </c>
      <c r="I3674" s="1480">
        <v>0</v>
      </c>
      <c r="J3674" s="1480">
        <v>0</v>
      </c>
      <c r="K3674" s="1508"/>
      <c r="L3674" s="1508"/>
      <c r="M3674" s="1509">
        <f t="shared" si="542"/>
        <v>0</v>
      </c>
      <c r="N3674" s="1508">
        <f t="shared" ref="N3674:N3690" si="548">H3674+I3674-M3674</f>
        <v>0</v>
      </c>
    </row>
    <row r="3675" spans="1:14" ht="46.5" outlineLevel="1" x14ac:dyDescent="0.25">
      <c r="A3675" s="1488">
        <f t="shared" si="546"/>
        <v>0</v>
      </c>
      <c r="B3675" s="1497" t="str">
        <f t="shared" si="546"/>
        <v>Scheme-1: Design, Engineering, Manufacturing, Supply, Erection, Commissioning and testing of Wagon Locking System for Wagon Tippler of CHP of Unit 5 to 9 of CSTPS Chandrapur.</v>
      </c>
      <c r="C3675" s="1488" t="str">
        <f t="shared" si="546"/>
        <v>Yet To Receive Approval</v>
      </c>
      <c r="D3675" s="1413" t="str">
        <f t="shared" si="546"/>
        <v>-</v>
      </c>
      <c r="E3675" s="560">
        <f t="shared" si="546"/>
        <v>0</v>
      </c>
      <c r="F3675" s="1508">
        <f t="shared" si="539"/>
        <v>11.9</v>
      </c>
      <c r="G3675" s="1508">
        <f t="shared" si="540"/>
        <v>11.9</v>
      </c>
      <c r="H3675" s="1508">
        <f t="shared" si="547"/>
        <v>0</v>
      </c>
      <c r="I3675" s="1480">
        <v>0</v>
      </c>
      <c r="J3675" s="1480">
        <v>0</v>
      </c>
      <c r="K3675" s="1508"/>
      <c r="L3675" s="1508"/>
      <c r="M3675" s="1509">
        <f t="shared" si="542"/>
        <v>0</v>
      </c>
      <c r="N3675" s="1508">
        <f t="shared" si="548"/>
        <v>0</v>
      </c>
    </row>
    <row r="3676" spans="1:14" ht="46.5" outlineLevel="1" x14ac:dyDescent="0.25">
      <c r="A3676" s="1488">
        <f t="shared" si="546"/>
        <v>0</v>
      </c>
      <c r="B3676" s="1497" t="str">
        <f t="shared" si="546"/>
        <v>Scheme-2: Design, Engineering, Manufacturing, Supply, Erection, Commissioning, and testing of Portable Reclaim Feeder for CHP of Unit 5 to 9 in CSTPS Chandrapur.</v>
      </c>
      <c r="C3676" s="1488" t="str">
        <f t="shared" si="546"/>
        <v>Yet To Receive Approval</v>
      </c>
      <c r="D3676" s="1413" t="str">
        <f t="shared" si="546"/>
        <v>-</v>
      </c>
      <c r="E3676" s="560">
        <f t="shared" si="546"/>
        <v>0</v>
      </c>
      <c r="F3676" s="1508">
        <f t="shared" si="539"/>
        <v>18.489999999999998</v>
      </c>
      <c r="G3676" s="1508">
        <f t="shared" si="540"/>
        <v>18.489999999999998</v>
      </c>
      <c r="H3676" s="1508">
        <f t="shared" si="547"/>
        <v>0</v>
      </c>
      <c r="I3676" s="1480">
        <v>0</v>
      </c>
      <c r="J3676" s="1480">
        <v>0</v>
      </c>
      <c r="K3676" s="1508"/>
      <c r="L3676" s="1508"/>
      <c r="M3676" s="1509">
        <f t="shared" si="542"/>
        <v>0</v>
      </c>
      <c r="N3676" s="1508">
        <f t="shared" si="548"/>
        <v>0</v>
      </c>
    </row>
    <row r="3677" spans="1:14" ht="15.5" outlineLevel="1" x14ac:dyDescent="0.25">
      <c r="A3677" s="1488">
        <f t="shared" si="546"/>
        <v>0</v>
      </c>
      <c r="B3677" s="1497" t="str">
        <f t="shared" si="546"/>
        <v>IDC</v>
      </c>
      <c r="C3677" s="1488" t="str">
        <f t="shared" si="546"/>
        <v>Yet To Receive Approval</v>
      </c>
      <c r="D3677" s="1413" t="str">
        <f t="shared" si="546"/>
        <v>-</v>
      </c>
      <c r="E3677" s="560">
        <f t="shared" si="546"/>
        <v>0</v>
      </c>
      <c r="F3677" s="1508">
        <f t="shared" si="539"/>
        <v>0</v>
      </c>
      <c r="G3677" s="1508">
        <f t="shared" si="540"/>
        <v>0</v>
      </c>
      <c r="H3677" s="1508">
        <f t="shared" si="547"/>
        <v>0</v>
      </c>
      <c r="I3677" s="1480">
        <v>0</v>
      </c>
      <c r="J3677" s="1480">
        <v>0</v>
      </c>
      <c r="K3677" s="1508"/>
      <c r="L3677" s="1508"/>
      <c r="M3677" s="1509">
        <f t="shared" si="542"/>
        <v>0</v>
      </c>
      <c r="N3677" s="1508">
        <f t="shared" si="548"/>
        <v>0</v>
      </c>
    </row>
    <row r="3678" spans="1:14" ht="46.5" outlineLevel="1" x14ac:dyDescent="0.25">
      <c r="A3678" s="1486" t="str">
        <f t="shared" si="546"/>
        <v>Y12</v>
      </c>
      <c r="B3678" s="1491" t="str">
        <f t="shared" si="546"/>
        <v>Efficiency and Reliability improvement of PRDS, HP Heaters &amp;
Boiler pressure part system by rejuvenation of control valves, CSTPS Chandrapur</v>
      </c>
      <c r="C3678" s="1486" t="str">
        <f t="shared" si="546"/>
        <v>Yet To Receive Approval</v>
      </c>
      <c r="D3678" s="1413" t="str">
        <f t="shared" si="546"/>
        <v>-</v>
      </c>
      <c r="E3678" s="560">
        <f t="shared" si="546"/>
        <v>0</v>
      </c>
      <c r="F3678" s="1508">
        <f t="shared" si="539"/>
        <v>0</v>
      </c>
      <c r="G3678" s="1508">
        <f t="shared" si="540"/>
        <v>0</v>
      </c>
      <c r="H3678" s="1508">
        <f t="shared" si="547"/>
        <v>0</v>
      </c>
      <c r="I3678" s="1480">
        <v>0</v>
      </c>
      <c r="J3678" s="1480">
        <v>0</v>
      </c>
      <c r="K3678" s="1508"/>
      <c r="L3678" s="1508"/>
      <c r="M3678" s="1509">
        <f t="shared" si="542"/>
        <v>0</v>
      </c>
      <c r="N3678" s="1508">
        <f t="shared" si="548"/>
        <v>0</v>
      </c>
    </row>
    <row r="3679" spans="1:14" ht="31" outlineLevel="1" x14ac:dyDescent="0.25">
      <c r="A3679" s="1488">
        <f t="shared" si="546"/>
        <v>0</v>
      </c>
      <c r="B3679" s="1497" t="str">
        <f t="shared" si="546"/>
        <v>Scheme-1: Procurement of Sub body assembly &amp; Actuator for control &amp; motorized valves for U#3 &amp; U#4 (210MW).</v>
      </c>
      <c r="C3679" s="1488" t="str">
        <f t="shared" si="546"/>
        <v>Yet To Receive Approval</v>
      </c>
      <c r="D3679" s="1413" t="str">
        <f t="shared" si="546"/>
        <v>-</v>
      </c>
      <c r="E3679" s="560">
        <f t="shared" si="546"/>
        <v>0</v>
      </c>
      <c r="F3679" s="1508">
        <f t="shared" si="539"/>
        <v>16.5</v>
      </c>
      <c r="G3679" s="1508">
        <f t="shared" si="540"/>
        <v>16.5</v>
      </c>
      <c r="H3679" s="1508">
        <f t="shared" si="547"/>
        <v>0</v>
      </c>
      <c r="I3679" s="1480">
        <v>0</v>
      </c>
      <c r="J3679" s="1480">
        <v>0</v>
      </c>
      <c r="K3679" s="1508"/>
      <c r="L3679" s="1508"/>
      <c r="M3679" s="1509">
        <f t="shared" si="542"/>
        <v>0</v>
      </c>
      <c r="N3679" s="1508">
        <f t="shared" si="548"/>
        <v>0</v>
      </c>
    </row>
    <row r="3680" spans="1:14" ht="46.5" outlineLevel="1" x14ac:dyDescent="0.25">
      <c r="A3680" s="1488">
        <f t="shared" ref="A3680:E3695" si="549">A3010</f>
        <v>0</v>
      </c>
      <c r="B3680" s="1497" t="str">
        <f t="shared" si="549"/>
        <v>Scheme-2: Procurement of HC &amp; LC Feed and Soot Blower Drain Control sub body assembly for control valves for boiler Unit- 5, 6 &amp; 7 (500MW).</v>
      </c>
      <c r="C3680" s="1488" t="str">
        <f t="shared" si="549"/>
        <v>Yet To Receive Approval</v>
      </c>
      <c r="D3680" s="1413" t="str">
        <f t="shared" si="549"/>
        <v>-</v>
      </c>
      <c r="E3680" s="560">
        <f t="shared" si="549"/>
        <v>0</v>
      </c>
      <c r="F3680" s="1508">
        <f t="shared" ref="F3680:F3743" si="550">F3010+I3010</f>
        <v>3.05</v>
      </c>
      <c r="G3680" s="1508">
        <f t="shared" ref="G3680:G3743" si="551">G3010+M3010</f>
        <v>3.05</v>
      </c>
      <c r="H3680" s="1508">
        <f t="shared" si="547"/>
        <v>0</v>
      </c>
      <c r="I3680" s="1480">
        <v>0</v>
      </c>
      <c r="J3680" s="1480">
        <v>0</v>
      </c>
      <c r="K3680" s="1508"/>
      <c r="L3680" s="1508"/>
      <c r="M3680" s="1509">
        <f t="shared" si="542"/>
        <v>0</v>
      </c>
      <c r="N3680" s="1508">
        <f t="shared" si="548"/>
        <v>0</v>
      </c>
    </row>
    <row r="3681" spans="1:14" ht="31" outlineLevel="1" x14ac:dyDescent="0.25">
      <c r="A3681" s="1488">
        <f t="shared" si="549"/>
        <v>0</v>
      </c>
      <c r="B3681" s="1497" t="str">
        <f t="shared" si="549"/>
        <v>Scheme-3: Procurement of actuator assembly for control valves for boiler Unit- 5, 6 &amp; 7 (500MW).</v>
      </c>
      <c r="C3681" s="1488" t="str">
        <f t="shared" si="549"/>
        <v>Yet To Receive Approval</v>
      </c>
      <c r="D3681" s="1413" t="str">
        <f t="shared" si="549"/>
        <v>-</v>
      </c>
      <c r="E3681" s="560">
        <f t="shared" si="549"/>
        <v>0</v>
      </c>
      <c r="F3681" s="1508">
        <f t="shared" si="550"/>
        <v>2.21</v>
      </c>
      <c r="G3681" s="1508">
        <f t="shared" si="551"/>
        <v>2.21</v>
      </c>
      <c r="H3681" s="1508">
        <f t="shared" si="547"/>
        <v>0</v>
      </c>
      <c r="I3681" s="1480">
        <v>0</v>
      </c>
      <c r="J3681" s="1480">
        <v>0</v>
      </c>
      <c r="K3681" s="1508"/>
      <c r="L3681" s="1508"/>
      <c r="M3681" s="1509">
        <f t="shared" si="542"/>
        <v>0</v>
      </c>
      <c r="N3681" s="1508">
        <f t="shared" si="548"/>
        <v>0</v>
      </c>
    </row>
    <row r="3682" spans="1:14" ht="31" outlineLevel="1" x14ac:dyDescent="0.25">
      <c r="A3682" s="1488">
        <f t="shared" si="549"/>
        <v>0</v>
      </c>
      <c r="B3682" s="1497" t="str">
        <f t="shared" si="549"/>
        <v>Scheme-4: Procurement of HP heaters drip sub body assembly for control valve of 500MW Unit-5,6&amp;7.</v>
      </c>
      <c r="C3682" s="1488" t="str">
        <f t="shared" si="549"/>
        <v>Yet To Receive Approval</v>
      </c>
      <c r="D3682" s="1413" t="str">
        <f t="shared" si="549"/>
        <v>-</v>
      </c>
      <c r="E3682" s="560">
        <f t="shared" si="549"/>
        <v>0</v>
      </c>
      <c r="F3682" s="1508">
        <f t="shared" si="550"/>
        <v>1.39</v>
      </c>
      <c r="G3682" s="1508">
        <f t="shared" si="551"/>
        <v>1.39</v>
      </c>
      <c r="H3682" s="1508">
        <f t="shared" si="547"/>
        <v>0</v>
      </c>
      <c r="I3682" s="1480">
        <v>0</v>
      </c>
      <c r="J3682" s="1480">
        <v>0</v>
      </c>
      <c r="K3682" s="1508"/>
      <c r="L3682" s="1508"/>
      <c r="M3682" s="1509">
        <f t="shared" si="542"/>
        <v>0</v>
      </c>
      <c r="N3682" s="1508">
        <f t="shared" si="548"/>
        <v>0</v>
      </c>
    </row>
    <row r="3683" spans="1:14" ht="31" outlineLevel="1" x14ac:dyDescent="0.25">
      <c r="A3683" s="1488">
        <f t="shared" si="549"/>
        <v>0</v>
      </c>
      <c r="B3683" s="1497" t="str">
        <f t="shared" si="549"/>
        <v>Scheme-5: Procurement of actuator assembly for control valve of 500MW Unit-5,6&amp;7.</v>
      </c>
      <c r="C3683" s="1488" t="str">
        <f t="shared" si="549"/>
        <v>Yet To Receive Approval</v>
      </c>
      <c r="D3683" s="1413" t="str">
        <f t="shared" si="549"/>
        <v>-</v>
      </c>
      <c r="E3683" s="560">
        <f t="shared" si="549"/>
        <v>0</v>
      </c>
      <c r="F3683" s="1508">
        <f t="shared" si="550"/>
        <v>1.95</v>
      </c>
      <c r="G3683" s="1508">
        <f t="shared" si="551"/>
        <v>1.95</v>
      </c>
      <c r="H3683" s="1508">
        <f t="shared" si="547"/>
        <v>0</v>
      </c>
      <c r="I3683" s="1480">
        <v>0</v>
      </c>
      <c r="J3683" s="1480">
        <v>0</v>
      </c>
      <c r="K3683" s="1508"/>
      <c r="L3683" s="1508"/>
      <c r="M3683" s="1509">
        <f t="shared" si="542"/>
        <v>0</v>
      </c>
      <c r="N3683" s="1508">
        <f t="shared" si="548"/>
        <v>0</v>
      </c>
    </row>
    <row r="3684" spans="1:14" ht="15.5" outlineLevel="1" x14ac:dyDescent="0.25">
      <c r="A3684" s="1488">
        <f t="shared" si="549"/>
        <v>0</v>
      </c>
      <c r="B3684" s="1497" t="str">
        <f t="shared" si="549"/>
        <v>IDC</v>
      </c>
      <c r="C3684" s="1488" t="str">
        <f t="shared" si="549"/>
        <v>Yet To Receive Approval</v>
      </c>
      <c r="D3684" s="1413" t="str">
        <f t="shared" si="549"/>
        <v>-</v>
      </c>
      <c r="E3684" s="560">
        <f t="shared" si="549"/>
        <v>0</v>
      </c>
      <c r="F3684" s="1508">
        <f t="shared" si="550"/>
        <v>0</v>
      </c>
      <c r="G3684" s="1508">
        <f t="shared" si="551"/>
        <v>0</v>
      </c>
      <c r="H3684" s="1508">
        <f t="shared" si="547"/>
        <v>0</v>
      </c>
      <c r="I3684" s="1480">
        <v>0</v>
      </c>
      <c r="J3684" s="1480">
        <v>0</v>
      </c>
      <c r="K3684" s="1508"/>
      <c r="L3684" s="1508"/>
      <c r="M3684" s="1509">
        <f t="shared" si="542"/>
        <v>0</v>
      </c>
      <c r="N3684" s="1508">
        <f t="shared" si="548"/>
        <v>0</v>
      </c>
    </row>
    <row r="3685" spans="1:14" ht="46.5" outlineLevel="1" x14ac:dyDescent="0.25">
      <c r="A3685" s="1486" t="str">
        <f t="shared" si="549"/>
        <v>Y13</v>
      </c>
      <c r="B3685" s="1491" t="str">
        <f t="shared" si="549"/>
        <v>Supply &amp; installation of Advanced ESP Controller &amp; Numerical relay at U-7 and DAVR &amp; Up-gradation of Servo valves (ST) for HP-Bypass system at U-5,6,7, CSTPS</v>
      </c>
      <c r="C3685" s="1486" t="str">
        <f t="shared" si="549"/>
        <v>Yet To Receive Approval</v>
      </c>
      <c r="D3685" s="1413" t="str">
        <f t="shared" si="549"/>
        <v>-</v>
      </c>
      <c r="E3685" s="560">
        <f t="shared" si="549"/>
        <v>0</v>
      </c>
      <c r="F3685" s="1508">
        <f t="shared" si="550"/>
        <v>0</v>
      </c>
      <c r="G3685" s="1508">
        <f t="shared" si="551"/>
        <v>0</v>
      </c>
      <c r="H3685" s="1508">
        <f t="shared" si="547"/>
        <v>0</v>
      </c>
      <c r="I3685" s="1480">
        <v>0</v>
      </c>
      <c r="J3685" s="1480">
        <v>0</v>
      </c>
      <c r="K3685" s="1508"/>
      <c r="L3685" s="1508"/>
      <c r="M3685" s="1509">
        <f t="shared" si="542"/>
        <v>0</v>
      </c>
      <c r="N3685" s="1508">
        <f t="shared" si="548"/>
        <v>0</v>
      </c>
    </row>
    <row r="3686" spans="1:14" ht="46.5" outlineLevel="1" x14ac:dyDescent="0.25">
      <c r="A3686" s="1488">
        <f t="shared" si="549"/>
        <v>0</v>
      </c>
      <c r="B3686" s="1497" t="str">
        <f t="shared" si="549"/>
        <v xml:space="preserve">Scheme1: Supply and installation of advanced ESP Controllers for retrofitting in place of existing Alstom make EPIC-II controllers at ESP U-7 </v>
      </c>
      <c r="C3686" s="1488" t="str">
        <f t="shared" si="549"/>
        <v>Yet To Receive Approval</v>
      </c>
      <c r="D3686" s="1413" t="str">
        <f t="shared" si="549"/>
        <v>-</v>
      </c>
      <c r="E3686" s="560">
        <f t="shared" si="549"/>
        <v>0</v>
      </c>
      <c r="F3686" s="1508">
        <f t="shared" si="550"/>
        <v>4.1500000000000004</v>
      </c>
      <c r="G3686" s="1508">
        <f t="shared" si="551"/>
        <v>4.1500000000000004</v>
      </c>
      <c r="H3686" s="1508">
        <f t="shared" si="547"/>
        <v>0</v>
      </c>
      <c r="I3686" s="1480">
        <v>0</v>
      </c>
      <c r="J3686" s="1480">
        <v>0</v>
      </c>
      <c r="K3686" s="1508"/>
      <c r="L3686" s="1508"/>
      <c r="M3686" s="1509">
        <f t="shared" si="542"/>
        <v>0</v>
      </c>
      <c r="N3686" s="1508">
        <f t="shared" si="548"/>
        <v>0</v>
      </c>
    </row>
    <row r="3687" spans="1:14" ht="15.5" outlineLevel="1" x14ac:dyDescent="0.25">
      <c r="A3687" s="1488">
        <f t="shared" si="549"/>
        <v>0</v>
      </c>
      <c r="B3687" s="1497" t="str">
        <f t="shared" si="549"/>
        <v>Scheme-2: Supply and installation of DAVR at U-5,6,7</v>
      </c>
      <c r="C3687" s="1488" t="str">
        <f t="shared" si="549"/>
        <v>Yet To Receive Approval</v>
      </c>
      <c r="D3687" s="1413" t="str">
        <f t="shared" si="549"/>
        <v>-</v>
      </c>
      <c r="E3687" s="560">
        <f t="shared" si="549"/>
        <v>0</v>
      </c>
      <c r="F3687" s="1508">
        <f t="shared" si="550"/>
        <v>6.07</v>
      </c>
      <c r="G3687" s="1508">
        <f t="shared" si="551"/>
        <v>6.07</v>
      </c>
      <c r="H3687" s="1508">
        <f t="shared" si="547"/>
        <v>0</v>
      </c>
      <c r="I3687" s="1480">
        <v>0</v>
      </c>
      <c r="J3687" s="1480">
        <v>0</v>
      </c>
      <c r="K3687" s="1508"/>
      <c r="L3687" s="1508"/>
      <c r="M3687" s="1509">
        <f t="shared" si="542"/>
        <v>0</v>
      </c>
      <c r="N3687" s="1508">
        <f t="shared" si="548"/>
        <v>0</v>
      </c>
    </row>
    <row r="3688" spans="1:14" ht="46.5" outlineLevel="1" x14ac:dyDescent="0.25">
      <c r="A3688" s="1488">
        <f t="shared" si="549"/>
        <v>0</v>
      </c>
      <c r="B3688" s="1497" t="str">
        <f t="shared" si="549"/>
        <v>Scheme 3: Supply, installation and commissioning of numerical protection relays with set of auxiliary relays for HT switchgear, Unit-7</v>
      </c>
      <c r="C3688" s="1488" t="str">
        <f t="shared" si="549"/>
        <v>Yet To Receive Approval</v>
      </c>
      <c r="D3688" s="1413" t="str">
        <f t="shared" si="549"/>
        <v>-</v>
      </c>
      <c r="E3688" s="560">
        <f t="shared" si="549"/>
        <v>0</v>
      </c>
      <c r="F3688" s="1508">
        <f t="shared" si="550"/>
        <v>9.01</v>
      </c>
      <c r="G3688" s="1508">
        <f t="shared" si="551"/>
        <v>9.01</v>
      </c>
      <c r="H3688" s="1508">
        <f t="shared" si="547"/>
        <v>0</v>
      </c>
      <c r="I3688" s="1480">
        <v>0</v>
      </c>
      <c r="J3688" s="1480">
        <v>0</v>
      </c>
      <c r="K3688" s="1508"/>
      <c r="L3688" s="1508"/>
      <c r="M3688" s="1509">
        <f t="shared" si="542"/>
        <v>0</v>
      </c>
      <c r="N3688" s="1508">
        <f t="shared" si="548"/>
        <v>0</v>
      </c>
    </row>
    <row r="3689" spans="1:14" ht="31" outlineLevel="1" x14ac:dyDescent="0.25">
      <c r="A3689" s="1488">
        <f t="shared" si="549"/>
        <v>0</v>
      </c>
      <c r="B3689" s="1497" t="str">
        <f t="shared" si="549"/>
        <v>Scheme 4: Up-gradation of Servo valves (ST) by Proportional valves (PV) &amp; oil unitOV to HV for HP- Bypass system in U-5,6,7</v>
      </c>
      <c r="C3689" s="1488" t="str">
        <f t="shared" si="549"/>
        <v>Yet To Receive Approval</v>
      </c>
      <c r="D3689" s="1413" t="str">
        <f t="shared" si="549"/>
        <v>-</v>
      </c>
      <c r="E3689" s="560">
        <f t="shared" si="549"/>
        <v>0</v>
      </c>
      <c r="F3689" s="1508">
        <f t="shared" si="550"/>
        <v>9.86</v>
      </c>
      <c r="G3689" s="1508">
        <f t="shared" si="551"/>
        <v>9.86</v>
      </c>
      <c r="H3689" s="1508">
        <f t="shared" si="547"/>
        <v>0</v>
      </c>
      <c r="I3689" s="1480">
        <v>0</v>
      </c>
      <c r="J3689" s="1480">
        <v>0</v>
      </c>
      <c r="K3689" s="1508"/>
      <c r="L3689" s="1508"/>
      <c r="M3689" s="1509">
        <f t="shared" si="542"/>
        <v>0</v>
      </c>
      <c r="N3689" s="1508">
        <f t="shared" si="548"/>
        <v>0</v>
      </c>
    </row>
    <row r="3690" spans="1:14" ht="15.5" outlineLevel="1" x14ac:dyDescent="0.25">
      <c r="A3690" s="1488">
        <f t="shared" si="549"/>
        <v>0</v>
      </c>
      <c r="B3690" s="1497" t="str">
        <f t="shared" si="549"/>
        <v>IDC</v>
      </c>
      <c r="C3690" s="1488" t="str">
        <f t="shared" si="549"/>
        <v>Yet To Receive Approval</v>
      </c>
      <c r="D3690" s="1413" t="str">
        <f t="shared" si="549"/>
        <v>-</v>
      </c>
      <c r="E3690" s="560">
        <f t="shared" si="549"/>
        <v>0</v>
      </c>
      <c r="F3690" s="1508">
        <f t="shared" si="550"/>
        <v>0</v>
      </c>
      <c r="G3690" s="1508">
        <f t="shared" si="551"/>
        <v>0</v>
      </c>
      <c r="H3690" s="1508">
        <f t="shared" si="547"/>
        <v>0</v>
      </c>
      <c r="I3690" s="1480">
        <v>0</v>
      </c>
      <c r="J3690" s="1480">
        <v>0</v>
      </c>
      <c r="K3690" s="1508"/>
      <c r="L3690" s="1508"/>
      <c r="M3690" s="1509">
        <f t="shared" si="542"/>
        <v>0</v>
      </c>
      <c r="N3690" s="1508">
        <f t="shared" si="548"/>
        <v>0</v>
      </c>
    </row>
    <row r="3691" spans="1:14" ht="46.5" outlineLevel="1" x14ac:dyDescent="0.25">
      <c r="A3691" s="1486" t="str">
        <f t="shared" si="549"/>
        <v>Y14</v>
      </c>
      <c r="B3691" s="1491" t="str">
        <f t="shared" si="549"/>
        <v>Improvement in Reliability and Life Enhancement of Coal Mill by Refurbishment of Flender make KMS 850 Gear Box of XRP-1043 Coal Mill Unit 5 &amp; 6 at CSTPS, Chandrapur</v>
      </c>
      <c r="C3691" s="1486" t="str">
        <f t="shared" si="549"/>
        <v>Yet To Receive Approval</v>
      </c>
      <c r="D3691" s="1413" t="str">
        <f t="shared" si="549"/>
        <v>-</v>
      </c>
      <c r="E3691" s="560">
        <f t="shared" si="549"/>
        <v>0</v>
      </c>
      <c r="F3691" s="1508">
        <f t="shared" si="550"/>
        <v>0</v>
      </c>
      <c r="G3691" s="1508">
        <f t="shared" si="551"/>
        <v>0</v>
      </c>
      <c r="H3691" s="1508">
        <f>F3691-G3691</f>
        <v>0</v>
      </c>
      <c r="I3691" s="1480">
        <v>0</v>
      </c>
      <c r="J3691" s="1480">
        <v>0</v>
      </c>
      <c r="K3691" s="1508"/>
      <c r="L3691" s="1508"/>
      <c r="M3691" s="1509">
        <f>SUM(J3691:L3691)</f>
        <v>0</v>
      </c>
      <c r="N3691" s="1508">
        <f>H3691+I3691-M3691</f>
        <v>0</v>
      </c>
    </row>
    <row r="3692" spans="1:14" ht="31" outlineLevel="1" x14ac:dyDescent="0.25">
      <c r="A3692" s="1488">
        <f t="shared" si="549"/>
        <v>0</v>
      </c>
      <c r="B3692" s="1497" t="str">
        <f t="shared" si="549"/>
        <v>Coal Mill Life Enhancement by Refurbishment of Flender make KMS 850 gear box of XRP-1043 coal mill in Unit-5&amp;6</v>
      </c>
      <c r="C3692" s="1488" t="str">
        <f t="shared" si="549"/>
        <v>Yet To Receive Approval</v>
      </c>
      <c r="D3692" s="1413" t="str">
        <f t="shared" si="549"/>
        <v>-</v>
      </c>
      <c r="E3692" s="560">
        <f t="shared" si="549"/>
        <v>0</v>
      </c>
      <c r="F3692" s="1508">
        <f t="shared" si="550"/>
        <v>24.96</v>
      </c>
      <c r="G3692" s="1508">
        <f t="shared" si="551"/>
        <v>24.96</v>
      </c>
      <c r="H3692" s="1508">
        <f>F3692-G3692</f>
        <v>0</v>
      </c>
      <c r="I3692" s="1480">
        <v>0</v>
      </c>
      <c r="J3692" s="1480">
        <v>0</v>
      </c>
      <c r="K3692" s="1508"/>
      <c r="L3692" s="1508"/>
      <c r="M3692" s="1509">
        <f>SUM(J3692:L3692)</f>
        <v>0</v>
      </c>
      <c r="N3692" s="1508">
        <f>H3692+I3692-M3692</f>
        <v>0</v>
      </c>
    </row>
    <row r="3693" spans="1:14" ht="15.5" outlineLevel="1" x14ac:dyDescent="0.25">
      <c r="A3693" s="1488">
        <f t="shared" si="549"/>
        <v>0</v>
      </c>
      <c r="B3693" s="1497" t="str">
        <f t="shared" si="549"/>
        <v>IDC</v>
      </c>
      <c r="C3693" s="1488" t="str">
        <f t="shared" si="549"/>
        <v>Yet To Receive Approval</v>
      </c>
      <c r="D3693" s="1413" t="str">
        <f t="shared" si="549"/>
        <v>-</v>
      </c>
      <c r="E3693" s="560">
        <f t="shared" si="549"/>
        <v>0</v>
      </c>
      <c r="F3693" s="1508">
        <f t="shared" si="550"/>
        <v>0</v>
      </c>
      <c r="G3693" s="1508">
        <f t="shared" si="551"/>
        <v>0</v>
      </c>
      <c r="H3693" s="1508">
        <f>F3693-G3693</f>
        <v>0</v>
      </c>
      <c r="I3693" s="1480">
        <v>0</v>
      </c>
      <c r="J3693" s="1480">
        <v>0</v>
      </c>
      <c r="K3693" s="1508"/>
      <c r="L3693" s="1508"/>
      <c r="M3693" s="1509">
        <f>SUM(J3693:L3693)</f>
        <v>0</v>
      </c>
      <c r="N3693" s="1508">
        <f>H3693+I3693-M3693</f>
        <v>0</v>
      </c>
    </row>
    <row r="3694" spans="1:14" ht="15.5" outlineLevel="1" x14ac:dyDescent="0.25">
      <c r="A3694" s="1488">
        <f t="shared" si="549"/>
        <v>0</v>
      </c>
      <c r="B3694" s="1497">
        <f t="shared" si="549"/>
        <v>0</v>
      </c>
      <c r="C3694" s="1488">
        <f t="shared" si="549"/>
        <v>0</v>
      </c>
      <c r="D3694" s="1413" t="str">
        <f t="shared" si="549"/>
        <v>-</v>
      </c>
      <c r="E3694" s="560">
        <f t="shared" si="549"/>
        <v>0</v>
      </c>
      <c r="F3694" s="1508">
        <f t="shared" si="550"/>
        <v>0</v>
      </c>
      <c r="G3694" s="1508">
        <f t="shared" si="551"/>
        <v>0</v>
      </c>
      <c r="H3694" s="1508">
        <f t="shared" ref="H3694:H3757" si="552">F3694-G3694</f>
        <v>0</v>
      </c>
      <c r="I3694" s="1480">
        <v>0</v>
      </c>
      <c r="J3694" s="1480">
        <v>0</v>
      </c>
      <c r="K3694" s="1508"/>
      <c r="L3694" s="1508"/>
      <c r="M3694" s="1509">
        <f t="shared" ref="M3694:M3757" si="553">SUM(J3694:L3694)</f>
        <v>0</v>
      </c>
      <c r="N3694" s="1508">
        <f t="shared" ref="N3694:N3757" si="554">H3694+I3694-M3694</f>
        <v>0</v>
      </c>
    </row>
    <row r="3695" spans="1:14" ht="15.5" outlineLevel="1" x14ac:dyDescent="0.25">
      <c r="A3695" s="1488">
        <f t="shared" si="549"/>
        <v>0</v>
      </c>
      <c r="B3695" s="1497">
        <f t="shared" si="549"/>
        <v>0</v>
      </c>
      <c r="C3695" s="1488">
        <f t="shared" si="549"/>
        <v>0</v>
      </c>
      <c r="D3695" s="1413" t="str">
        <f t="shared" si="549"/>
        <v>-</v>
      </c>
      <c r="E3695" s="560">
        <f t="shared" si="549"/>
        <v>0</v>
      </c>
      <c r="F3695" s="1508">
        <f t="shared" si="550"/>
        <v>0</v>
      </c>
      <c r="G3695" s="1508">
        <f t="shared" si="551"/>
        <v>0</v>
      </c>
      <c r="H3695" s="1508">
        <f t="shared" si="552"/>
        <v>0</v>
      </c>
      <c r="I3695" s="1480">
        <v>0</v>
      </c>
      <c r="J3695" s="1480">
        <v>0</v>
      </c>
      <c r="K3695" s="1508"/>
      <c r="L3695" s="1508"/>
      <c r="M3695" s="1509">
        <f t="shared" si="553"/>
        <v>0</v>
      </c>
      <c r="N3695" s="1508">
        <f t="shared" si="554"/>
        <v>0</v>
      </c>
    </row>
    <row r="3696" spans="1:14" ht="15.5" outlineLevel="1" x14ac:dyDescent="0.25">
      <c r="A3696" s="1500">
        <f t="shared" ref="A3696:E3711" si="555">A3026</f>
        <v>0</v>
      </c>
      <c r="B3696" s="1502">
        <f t="shared" si="555"/>
        <v>0</v>
      </c>
      <c r="C3696" s="1500">
        <f t="shared" si="555"/>
        <v>0</v>
      </c>
      <c r="D3696" s="1501" t="str">
        <f t="shared" si="555"/>
        <v>-</v>
      </c>
      <c r="E3696" s="560">
        <f t="shared" si="555"/>
        <v>0</v>
      </c>
      <c r="F3696" s="1508">
        <f t="shared" si="550"/>
        <v>0</v>
      </c>
      <c r="G3696" s="1508">
        <f t="shared" si="551"/>
        <v>0</v>
      </c>
      <c r="H3696" s="1508">
        <f t="shared" si="552"/>
        <v>0</v>
      </c>
      <c r="I3696" s="1480">
        <v>0</v>
      </c>
      <c r="J3696" s="1480">
        <v>0</v>
      </c>
      <c r="K3696" s="1508"/>
      <c r="L3696" s="1508"/>
      <c r="M3696" s="1509">
        <f t="shared" si="553"/>
        <v>0</v>
      </c>
      <c r="N3696" s="1508">
        <f t="shared" si="554"/>
        <v>0</v>
      </c>
    </row>
    <row r="3697" spans="1:14" ht="15.5" outlineLevel="1" x14ac:dyDescent="0.25">
      <c r="A3697" s="1453">
        <f t="shared" si="555"/>
        <v>0</v>
      </c>
      <c r="B3697" s="1476" t="str">
        <f t="shared" si="555"/>
        <v>(ii) Yet to be submitted to MERC</v>
      </c>
      <c r="C3697" s="1453">
        <f t="shared" si="555"/>
        <v>0</v>
      </c>
      <c r="D3697" s="1503" t="str">
        <f t="shared" si="555"/>
        <v>-</v>
      </c>
      <c r="E3697" s="560">
        <f t="shared" si="555"/>
        <v>0</v>
      </c>
      <c r="F3697" s="1508">
        <f t="shared" si="550"/>
        <v>0</v>
      </c>
      <c r="G3697" s="1508">
        <f t="shared" si="551"/>
        <v>0</v>
      </c>
      <c r="H3697" s="1508">
        <f t="shared" si="552"/>
        <v>0</v>
      </c>
      <c r="I3697" s="1480">
        <v>0</v>
      </c>
      <c r="J3697" s="1480">
        <v>0</v>
      </c>
      <c r="K3697" s="1508"/>
      <c r="L3697" s="1508"/>
      <c r="M3697" s="1509">
        <f t="shared" si="553"/>
        <v>0</v>
      </c>
      <c r="N3697" s="1508">
        <f t="shared" si="554"/>
        <v>0</v>
      </c>
    </row>
    <row r="3698" spans="1:14" ht="15.5" outlineLevel="1" x14ac:dyDescent="0.25">
      <c r="A3698" s="1453">
        <f t="shared" si="555"/>
        <v>0</v>
      </c>
      <c r="B3698" s="1476">
        <f t="shared" si="555"/>
        <v>0</v>
      </c>
      <c r="C3698" s="1453">
        <f t="shared" si="555"/>
        <v>0</v>
      </c>
      <c r="D3698" s="1503" t="str">
        <f t="shared" si="555"/>
        <v>-</v>
      </c>
      <c r="E3698" s="560">
        <f t="shared" si="555"/>
        <v>0</v>
      </c>
      <c r="F3698" s="1508">
        <f t="shared" si="550"/>
        <v>0</v>
      </c>
      <c r="G3698" s="1508">
        <f t="shared" si="551"/>
        <v>0</v>
      </c>
      <c r="H3698" s="1508">
        <f t="shared" si="552"/>
        <v>0</v>
      </c>
      <c r="I3698" s="1480">
        <v>0</v>
      </c>
      <c r="J3698" s="1480">
        <v>0</v>
      </c>
      <c r="K3698" s="1508"/>
      <c r="L3698" s="1508"/>
      <c r="M3698" s="1509">
        <f t="shared" si="553"/>
        <v>0</v>
      </c>
      <c r="N3698" s="1508">
        <f t="shared" si="554"/>
        <v>0</v>
      </c>
    </row>
    <row r="3699" spans="1:14" ht="77.5" outlineLevel="1" x14ac:dyDescent="0.25">
      <c r="A3699" s="1486">
        <f t="shared" si="555"/>
        <v>2</v>
      </c>
      <c r="B3699" s="1491" t="str">
        <f t="shared" si="555"/>
        <v>‘Supply, installation, restoration, up-gradation and revamping of Fire Protection Systems viz Fire Hydrant System, Passive Fire Protection System, DV House Construction &amp; Fire Water Spray System at plant &amp; ODP area of Unit-3to9 and CHPs (CHP-A,B,C,&amp;D) of CSTPS, Chandrapur’</v>
      </c>
      <c r="C3699" s="166">
        <f t="shared" si="555"/>
        <v>0</v>
      </c>
      <c r="D3699" s="1413" t="str">
        <f t="shared" si="555"/>
        <v>-</v>
      </c>
      <c r="E3699" s="560">
        <f t="shared" si="555"/>
        <v>118.75</v>
      </c>
      <c r="F3699" s="1508">
        <f t="shared" si="550"/>
        <v>0</v>
      </c>
      <c r="G3699" s="1508">
        <f t="shared" si="551"/>
        <v>0</v>
      </c>
      <c r="H3699" s="1508">
        <f t="shared" si="552"/>
        <v>0</v>
      </c>
      <c r="I3699" s="1480">
        <v>0</v>
      </c>
      <c r="J3699" s="1480">
        <v>0</v>
      </c>
      <c r="K3699" s="1508"/>
      <c r="L3699" s="1508"/>
      <c r="M3699" s="1509">
        <f t="shared" si="553"/>
        <v>0</v>
      </c>
      <c r="N3699" s="1508">
        <f t="shared" si="554"/>
        <v>0</v>
      </c>
    </row>
    <row r="3700" spans="1:14" ht="77.5" outlineLevel="1" x14ac:dyDescent="0.25">
      <c r="A3700" s="1492">
        <f t="shared" si="555"/>
        <v>0</v>
      </c>
      <c r="B3700" s="1492" t="str">
        <f t="shared" si="555"/>
        <v>‘Supply, installation, restoration, up-gradation and revamping of Fire Protection Systems viz Fire Hydrant System, Passive Fire Protection System, DV House Construction &amp; Fire Water Spray System at plant &amp; ODP area of Unit-3to9 and CHPs (CHP-A,B,C,&amp;D) of CSTPS, Chandrapur’</v>
      </c>
      <c r="C3700" s="166">
        <f t="shared" si="555"/>
        <v>0</v>
      </c>
      <c r="D3700" s="1413" t="str">
        <f t="shared" si="555"/>
        <v>-</v>
      </c>
      <c r="E3700" s="560">
        <f t="shared" si="555"/>
        <v>118.75</v>
      </c>
      <c r="F3700" s="1508">
        <f t="shared" si="550"/>
        <v>118.75</v>
      </c>
      <c r="G3700" s="1508">
        <f t="shared" si="551"/>
        <v>118.75</v>
      </c>
      <c r="H3700" s="1508">
        <f t="shared" si="552"/>
        <v>0</v>
      </c>
      <c r="I3700" s="1480">
        <v>0</v>
      </c>
      <c r="J3700" s="1480">
        <v>0</v>
      </c>
      <c r="K3700" s="1508"/>
      <c r="L3700" s="1508"/>
      <c r="M3700" s="1509">
        <f t="shared" si="553"/>
        <v>0</v>
      </c>
      <c r="N3700" s="1508">
        <f t="shared" si="554"/>
        <v>0</v>
      </c>
    </row>
    <row r="3701" spans="1:14" ht="62" outlineLevel="1" x14ac:dyDescent="0.25">
      <c r="A3701" s="1486">
        <f t="shared" si="555"/>
        <v>3</v>
      </c>
      <c r="B3701" s="1491" t="str">
        <f t="shared" si="555"/>
        <v>DPR for Fire Detection &amp; Alarm and Protection System from Fire and Providing Rapid Extinguishing Clean Agent (CA) System at Unit -7, Outdoor Plants, CHPs, Service building &amp; Admin Building at CSTPS</v>
      </c>
      <c r="C3701" s="166">
        <f t="shared" si="555"/>
        <v>0</v>
      </c>
      <c r="D3701" s="1413" t="str">
        <f t="shared" si="555"/>
        <v>-</v>
      </c>
      <c r="E3701" s="560">
        <f t="shared" si="555"/>
        <v>31.56</v>
      </c>
      <c r="F3701" s="1508">
        <f t="shared" si="550"/>
        <v>0</v>
      </c>
      <c r="G3701" s="1508">
        <f t="shared" si="551"/>
        <v>0</v>
      </c>
      <c r="H3701" s="1508">
        <f t="shared" si="552"/>
        <v>0</v>
      </c>
      <c r="I3701" s="1480">
        <v>0</v>
      </c>
      <c r="J3701" s="1480">
        <v>0</v>
      </c>
      <c r="K3701" s="1508"/>
      <c r="L3701" s="1508"/>
      <c r="M3701" s="1509">
        <f t="shared" si="553"/>
        <v>0</v>
      </c>
      <c r="N3701" s="1508">
        <f t="shared" si="554"/>
        <v>0</v>
      </c>
    </row>
    <row r="3702" spans="1:14" ht="62" outlineLevel="1" x14ac:dyDescent="0.25">
      <c r="A3702" s="1492">
        <f t="shared" si="555"/>
        <v>0</v>
      </c>
      <c r="B3702" s="1492" t="str">
        <f t="shared" si="555"/>
        <v>DPR for Fire Detection &amp; Alarm and Protection System from Fire and Providing Rapid Extinguishing Clean Agent (CA) System at Unit -7, Outdoor Plants, CHPs, Service building &amp; Admin Building at CSTPS</v>
      </c>
      <c r="C3702" s="166">
        <f t="shared" si="555"/>
        <v>0</v>
      </c>
      <c r="D3702" s="1413" t="str">
        <f t="shared" si="555"/>
        <v>-</v>
      </c>
      <c r="E3702" s="560">
        <f t="shared" si="555"/>
        <v>31.56</v>
      </c>
      <c r="F3702" s="1508">
        <f t="shared" si="550"/>
        <v>31.56</v>
      </c>
      <c r="G3702" s="1508">
        <f t="shared" si="551"/>
        <v>31.56</v>
      </c>
      <c r="H3702" s="1508">
        <f t="shared" si="552"/>
        <v>0</v>
      </c>
      <c r="I3702" s="1480">
        <v>0</v>
      </c>
      <c r="J3702" s="1480">
        <v>0</v>
      </c>
      <c r="K3702" s="1508"/>
      <c r="L3702" s="1508"/>
      <c r="M3702" s="1509">
        <f t="shared" si="553"/>
        <v>0</v>
      </c>
      <c r="N3702" s="1508">
        <f t="shared" si="554"/>
        <v>0</v>
      </c>
    </row>
    <row r="3703" spans="1:14" ht="46.5" outlineLevel="1" x14ac:dyDescent="0.25">
      <c r="A3703" s="1486">
        <f t="shared" si="555"/>
        <v>4</v>
      </c>
      <c r="B3703" s="1491" t="str">
        <f t="shared" si="555"/>
        <v>Renovation of various component of bottom opening bogie frame at CSTPS Chandrapur &amp; Provision of Wagon Tippler Safety System in Coal Handling Plant at CSTPS</v>
      </c>
      <c r="C3703" s="166">
        <f t="shared" si="555"/>
        <v>0</v>
      </c>
      <c r="D3703" s="1413" t="str">
        <f t="shared" si="555"/>
        <v>-</v>
      </c>
      <c r="E3703" s="560">
        <f t="shared" si="555"/>
        <v>35</v>
      </c>
      <c r="F3703" s="1508">
        <f t="shared" si="550"/>
        <v>0</v>
      </c>
      <c r="G3703" s="1508">
        <f t="shared" si="551"/>
        <v>0</v>
      </c>
      <c r="H3703" s="1508">
        <f t="shared" si="552"/>
        <v>0</v>
      </c>
      <c r="I3703" s="1480">
        <v>0</v>
      </c>
      <c r="J3703" s="1480">
        <v>0</v>
      </c>
      <c r="K3703" s="1508"/>
      <c r="L3703" s="1508"/>
      <c r="M3703" s="1509">
        <f t="shared" si="553"/>
        <v>0</v>
      </c>
      <c r="N3703" s="1508">
        <f t="shared" si="554"/>
        <v>0</v>
      </c>
    </row>
    <row r="3704" spans="1:14" ht="46.5" outlineLevel="1" x14ac:dyDescent="0.25">
      <c r="A3704" s="1492">
        <f t="shared" si="555"/>
        <v>0</v>
      </c>
      <c r="B3704" s="1492" t="str">
        <f t="shared" si="555"/>
        <v>Renovation of various component of bottom opening bogie frame at CSTPS Chandrapur &amp; Provision of Wagon Tippler Safety System in Coal Handling Plant at CSTPS</v>
      </c>
      <c r="C3704" s="166">
        <f t="shared" si="555"/>
        <v>0</v>
      </c>
      <c r="D3704" s="1413" t="str">
        <f t="shared" si="555"/>
        <v>-</v>
      </c>
      <c r="E3704" s="560">
        <f t="shared" si="555"/>
        <v>35</v>
      </c>
      <c r="F3704" s="1508">
        <f t="shared" si="550"/>
        <v>35</v>
      </c>
      <c r="G3704" s="1508">
        <f t="shared" si="551"/>
        <v>35</v>
      </c>
      <c r="H3704" s="1508">
        <f t="shared" si="552"/>
        <v>0</v>
      </c>
      <c r="I3704" s="1480">
        <v>0</v>
      </c>
      <c r="J3704" s="1480">
        <v>0</v>
      </c>
      <c r="K3704" s="1508"/>
      <c r="L3704" s="1508"/>
      <c r="M3704" s="1509">
        <f t="shared" si="553"/>
        <v>0</v>
      </c>
      <c r="N3704" s="1508">
        <f t="shared" si="554"/>
        <v>0</v>
      </c>
    </row>
    <row r="3705" spans="1:14" ht="31" outlineLevel="1" x14ac:dyDescent="0.25">
      <c r="A3705" s="1486">
        <f t="shared" si="555"/>
        <v>5</v>
      </c>
      <c r="B3705" s="1491" t="str">
        <f t="shared" si="555"/>
        <v>Construction of road from CHP Weighbridge to Railway Crossing &amp; provision of Road Under Bridge (RUB) at CSTPS, Chandrapur</v>
      </c>
      <c r="C3705" s="166">
        <f t="shared" si="555"/>
        <v>0</v>
      </c>
      <c r="D3705" s="1413" t="str">
        <f t="shared" si="555"/>
        <v>-</v>
      </c>
      <c r="E3705" s="560">
        <f t="shared" si="555"/>
        <v>41.24</v>
      </c>
      <c r="F3705" s="1508">
        <f t="shared" si="550"/>
        <v>0</v>
      </c>
      <c r="G3705" s="1508">
        <f t="shared" si="551"/>
        <v>0</v>
      </c>
      <c r="H3705" s="1508">
        <f t="shared" si="552"/>
        <v>0</v>
      </c>
      <c r="I3705" s="1480">
        <v>0</v>
      </c>
      <c r="J3705" s="1480">
        <v>0</v>
      </c>
      <c r="K3705" s="1508"/>
      <c r="L3705" s="1508"/>
      <c r="M3705" s="1509">
        <f t="shared" si="553"/>
        <v>0</v>
      </c>
      <c r="N3705" s="1508">
        <f t="shared" si="554"/>
        <v>0</v>
      </c>
    </row>
    <row r="3706" spans="1:14" ht="31" outlineLevel="1" x14ac:dyDescent="0.25">
      <c r="A3706" s="1492">
        <f t="shared" si="555"/>
        <v>0</v>
      </c>
      <c r="B3706" s="1492" t="str">
        <f t="shared" si="555"/>
        <v>Construction of concrete pavement road connecting to CHP weighbridge to Railway crossing at CSTPS, Chandrapur.</v>
      </c>
      <c r="C3706" s="166">
        <f t="shared" si="555"/>
        <v>0</v>
      </c>
      <c r="D3706" s="1413" t="str">
        <f t="shared" si="555"/>
        <v>-</v>
      </c>
      <c r="E3706" s="560">
        <f t="shared" si="555"/>
        <v>5.42</v>
      </c>
      <c r="F3706" s="1508">
        <f t="shared" si="550"/>
        <v>5.42</v>
      </c>
      <c r="G3706" s="1508">
        <f t="shared" si="551"/>
        <v>5.42</v>
      </c>
      <c r="H3706" s="1508">
        <f t="shared" si="552"/>
        <v>0</v>
      </c>
      <c r="I3706" s="1480">
        <v>0</v>
      </c>
      <c r="J3706" s="1480">
        <v>0</v>
      </c>
      <c r="K3706" s="1508"/>
      <c r="L3706" s="1508"/>
      <c r="M3706" s="1509">
        <f t="shared" si="553"/>
        <v>0</v>
      </c>
      <c r="N3706" s="1508">
        <f t="shared" si="554"/>
        <v>0</v>
      </c>
    </row>
    <row r="3707" spans="1:14" ht="31" outlineLevel="1" x14ac:dyDescent="0.25">
      <c r="A3707" s="1492">
        <f t="shared" si="555"/>
        <v>0</v>
      </c>
      <c r="B3707" s="1492" t="str">
        <f t="shared" si="555"/>
        <v>Provision of Road Under Bridge at Vivekanand Nagar Tukum At CSTPS, Chandrapur.</v>
      </c>
      <c r="C3707" s="166">
        <f t="shared" si="555"/>
        <v>0</v>
      </c>
      <c r="D3707" s="1413" t="str">
        <f t="shared" si="555"/>
        <v>-</v>
      </c>
      <c r="E3707" s="560">
        <f t="shared" si="555"/>
        <v>35.82</v>
      </c>
      <c r="F3707" s="1508">
        <f t="shared" si="550"/>
        <v>35.82</v>
      </c>
      <c r="G3707" s="1508">
        <f t="shared" si="551"/>
        <v>35.82</v>
      </c>
      <c r="H3707" s="1508">
        <f t="shared" si="552"/>
        <v>0</v>
      </c>
      <c r="I3707" s="1480">
        <v>0</v>
      </c>
      <c r="J3707" s="1480">
        <v>0</v>
      </c>
      <c r="K3707" s="1508"/>
      <c r="L3707" s="1508"/>
      <c r="M3707" s="1509">
        <f t="shared" si="553"/>
        <v>0</v>
      </c>
      <c r="N3707" s="1508">
        <f t="shared" si="554"/>
        <v>0</v>
      </c>
    </row>
    <row r="3708" spans="1:14" ht="31" outlineLevel="1" x14ac:dyDescent="0.25">
      <c r="A3708" s="1486">
        <f t="shared" si="555"/>
        <v>6</v>
      </c>
      <c r="B3708" s="1491" t="str">
        <f t="shared" si="555"/>
        <v>Construction of UCR wall and bed of Neri Nallah at CSTPS, Chandrapur.</v>
      </c>
      <c r="C3708" s="166">
        <f t="shared" si="555"/>
        <v>0</v>
      </c>
      <c r="D3708" s="1413" t="str">
        <f t="shared" si="555"/>
        <v>-</v>
      </c>
      <c r="E3708" s="560">
        <f t="shared" si="555"/>
        <v>33.47</v>
      </c>
      <c r="F3708" s="1508">
        <f t="shared" si="550"/>
        <v>0</v>
      </c>
      <c r="G3708" s="1508">
        <f t="shared" si="551"/>
        <v>0</v>
      </c>
      <c r="H3708" s="1508">
        <f t="shared" si="552"/>
        <v>0</v>
      </c>
      <c r="I3708" s="1480">
        <v>0</v>
      </c>
      <c r="J3708" s="1480">
        <v>0</v>
      </c>
      <c r="K3708" s="1508"/>
      <c r="L3708" s="1508"/>
      <c r="M3708" s="1509">
        <f t="shared" si="553"/>
        <v>0</v>
      </c>
      <c r="N3708" s="1508">
        <f t="shared" si="554"/>
        <v>0</v>
      </c>
    </row>
    <row r="3709" spans="1:14" ht="31" outlineLevel="1" x14ac:dyDescent="0.25">
      <c r="A3709" s="1492">
        <f t="shared" si="555"/>
        <v>0</v>
      </c>
      <c r="B3709" s="1492" t="str">
        <f t="shared" si="555"/>
        <v>Construction of UCR wall and bed of Neri Nallah at CSTPS, Chandrapur.</v>
      </c>
      <c r="C3709" s="166">
        <f t="shared" si="555"/>
        <v>0</v>
      </c>
      <c r="D3709" s="1413" t="str">
        <f t="shared" si="555"/>
        <v>-</v>
      </c>
      <c r="E3709" s="560">
        <f t="shared" si="555"/>
        <v>33.47</v>
      </c>
      <c r="F3709" s="1508">
        <f t="shared" si="550"/>
        <v>33.47</v>
      </c>
      <c r="G3709" s="1508">
        <f t="shared" si="551"/>
        <v>33.47</v>
      </c>
      <c r="H3709" s="1508">
        <f t="shared" si="552"/>
        <v>0</v>
      </c>
      <c r="I3709" s="1480">
        <v>0</v>
      </c>
      <c r="J3709" s="1480">
        <v>0</v>
      </c>
      <c r="K3709" s="1508"/>
      <c r="L3709" s="1508"/>
      <c r="M3709" s="1509">
        <f t="shared" si="553"/>
        <v>0</v>
      </c>
      <c r="N3709" s="1508">
        <f t="shared" si="554"/>
        <v>0</v>
      </c>
    </row>
    <row r="3710" spans="1:14" ht="46.5" outlineLevel="1" x14ac:dyDescent="0.25">
      <c r="A3710" s="1486">
        <f t="shared" si="555"/>
        <v>7</v>
      </c>
      <c r="B3710" s="1491" t="str">
        <f t="shared" si="555"/>
        <v>Construction of  Concrete Pavement  Road  Connecting to Reject Coal Gate &amp; F point upto  Ash water recovery pump house &amp; F point to CP No- 635 at CSTPS Chandrapur</v>
      </c>
      <c r="C3710" s="166">
        <f t="shared" si="555"/>
        <v>0</v>
      </c>
      <c r="D3710" s="1413" t="str">
        <f t="shared" si="555"/>
        <v>-</v>
      </c>
      <c r="E3710" s="560">
        <f t="shared" si="555"/>
        <v>71.5</v>
      </c>
      <c r="F3710" s="1508">
        <f t="shared" si="550"/>
        <v>0</v>
      </c>
      <c r="G3710" s="1508">
        <f t="shared" si="551"/>
        <v>0</v>
      </c>
      <c r="H3710" s="1508">
        <f t="shared" si="552"/>
        <v>0</v>
      </c>
      <c r="I3710" s="1480">
        <v>0</v>
      </c>
      <c r="J3710" s="1480">
        <v>0</v>
      </c>
      <c r="K3710" s="1508"/>
      <c r="L3710" s="1508"/>
      <c r="M3710" s="1509">
        <f t="shared" si="553"/>
        <v>0</v>
      </c>
      <c r="N3710" s="1508">
        <f t="shared" si="554"/>
        <v>0</v>
      </c>
    </row>
    <row r="3711" spans="1:14" ht="46.5" outlineLevel="1" x14ac:dyDescent="0.25">
      <c r="A3711" s="1492">
        <f t="shared" si="555"/>
        <v>0</v>
      </c>
      <c r="B3711" s="1492" t="str">
        <f t="shared" si="555"/>
        <v>Construction of  Concrete Pavement  Road  Connecting to Reject Coal Gate &amp; F point upto  Ash water recovery pump house &amp; F point to CP No- 635 at CSTPS Chandrapur</v>
      </c>
      <c r="C3711" s="166">
        <f t="shared" si="555"/>
        <v>0</v>
      </c>
      <c r="D3711" s="1413" t="str">
        <f t="shared" si="555"/>
        <v>-</v>
      </c>
      <c r="E3711" s="560">
        <f t="shared" si="555"/>
        <v>71.5</v>
      </c>
      <c r="F3711" s="1508">
        <f t="shared" si="550"/>
        <v>71.5</v>
      </c>
      <c r="G3711" s="1508">
        <f t="shared" si="551"/>
        <v>71.5</v>
      </c>
      <c r="H3711" s="1508">
        <f t="shared" si="552"/>
        <v>0</v>
      </c>
      <c r="I3711" s="1480">
        <v>0</v>
      </c>
      <c r="J3711" s="1480">
        <v>0</v>
      </c>
      <c r="K3711" s="1508"/>
      <c r="L3711" s="1508"/>
      <c r="M3711" s="1509">
        <f t="shared" si="553"/>
        <v>0</v>
      </c>
      <c r="N3711" s="1508">
        <f t="shared" si="554"/>
        <v>0</v>
      </c>
    </row>
    <row r="3712" spans="1:14" ht="15.5" outlineLevel="1" x14ac:dyDescent="0.25">
      <c r="A3712" s="1504">
        <f t="shared" ref="A3712:E3727" si="556">A3042</f>
        <v>0</v>
      </c>
      <c r="B3712" s="1504" t="str">
        <f t="shared" si="556"/>
        <v>Boiler Maintenance-I</v>
      </c>
      <c r="C3712" s="166">
        <f t="shared" si="556"/>
        <v>0</v>
      </c>
      <c r="D3712" s="1413" t="str">
        <f t="shared" si="556"/>
        <v>-</v>
      </c>
      <c r="E3712" s="560">
        <f t="shared" si="556"/>
        <v>0</v>
      </c>
      <c r="F3712" s="1508">
        <f t="shared" si="550"/>
        <v>0</v>
      </c>
      <c r="G3712" s="1508">
        <f t="shared" si="551"/>
        <v>0</v>
      </c>
      <c r="H3712" s="1508">
        <f t="shared" si="552"/>
        <v>0</v>
      </c>
      <c r="I3712" s="1480">
        <v>0</v>
      </c>
      <c r="J3712" s="1480">
        <v>0</v>
      </c>
      <c r="K3712" s="1508"/>
      <c r="L3712" s="1508"/>
      <c r="M3712" s="1509">
        <f t="shared" si="553"/>
        <v>0</v>
      </c>
      <c r="N3712" s="1508">
        <f t="shared" si="554"/>
        <v>0</v>
      </c>
    </row>
    <row r="3713" spans="1:14" ht="15.5" outlineLevel="1" x14ac:dyDescent="0.25">
      <c r="A3713" s="1486">
        <f t="shared" si="556"/>
        <v>1</v>
      </c>
      <c r="B3713" s="1491" t="str">
        <f t="shared" si="556"/>
        <v>DPR for Coal mill improvement</v>
      </c>
      <c r="C3713" s="166">
        <f t="shared" si="556"/>
        <v>0</v>
      </c>
      <c r="D3713" s="1413" t="str">
        <f t="shared" si="556"/>
        <v>-</v>
      </c>
      <c r="E3713" s="560">
        <f t="shared" si="556"/>
        <v>54.74</v>
      </c>
      <c r="F3713" s="1508">
        <f t="shared" si="550"/>
        <v>0</v>
      </c>
      <c r="G3713" s="1508">
        <f t="shared" si="551"/>
        <v>0</v>
      </c>
      <c r="H3713" s="1508">
        <f t="shared" si="552"/>
        <v>0</v>
      </c>
      <c r="I3713" s="1480">
        <v>0</v>
      </c>
      <c r="J3713" s="1480">
        <v>0</v>
      </c>
      <c r="K3713" s="1508"/>
      <c r="L3713" s="1508"/>
      <c r="M3713" s="1509">
        <f t="shared" si="553"/>
        <v>0</v>
      </c>
      <c r="N3713" s="1508">
        <f t="shared" si="554"/>
        <v>0</v>
      </c>
    </row>
    <row r="3714" spans="1:14" ht="31" outlineLevel="1" x14ac:dyDescent="0.25">
      <c r="A3714" s="1492">
        <f t="shared" si="556"/>
        <v>0</v>
      </c>
      <c r="B3714" s="1492" t="str">
        <f t="shared" si="556"/>
        <v>The performance improvement &amp; availability enhancement of coal millsXRP-803 at U#3&amp;4(210MW)CSTPS, Chandrapur</v>
      </c>
      <c r="C3714" s="166">
        <f t="shared" si="556"/>
        <v>0</v>
      </c>
      <c r="D3714" s="1413" t="str">
        <f t="shared" si="556"/>
        <v>-</v>
      </c>
      <c r="E3714" s="560">
        <f t="shared" si="556"/>
        <v>18.739999999999998</v>
      </c>
      <c r="F3714" s="1508">
        <f t="shared" si="550"/>
        <v>18.739999999999998</v>
      </c>
      <c r="G3714" s="1508">
        <f t="shared" si="551"/>
        <v>18.739999999999998</v>
      </c>
      <c r="H3714" s="1508">
        <f t="shared" si="552"/>
        <v>0</v>
      </c>
      <c r="I3714" s="1480">
        <v>0</v>
      </c>
      <c r="J3714" s="1480">
        <v>0</v>
      </c>
      <c r="K3714" s="1508"/>
      <c r="L3714" s="1508"/>
      <c r="M3714" s="1509">
        <f t="shared" si="553"/>
        <v>0</v>
      </c>
      <c r="N3714" s="1508">
        <f t="shared" si="554"/>
        <v>0</v>
      </c>
    </row>
    <row r="3715" spans="1:14" ht="31" outlineLevel="1" x14ac:dyDescent="0.25">
      <c r="A3715" s="1492">
        <f t="shared" si="556"/>
        <v>0</v>
      </c>
      <c r="B3715" s="1492" t="str">
        <f t="shared" si="556"/>
        <v>Replacement of Existing Volumetric coal feeders by Rotary Gravimetric coal feeders</v>
      </c>
      <c r="C3715" s="166">
        <f t="shared" si="556"/>
        <v>0</v>
      </c>
      <c r="D3715" s="1413" t="str">
        <f t="shared" si="556"/>
        <v>-</v>
      </c>
      <c r="E3715" s="560">
        <f t="shared" si="556"/>
        <v>36</v>
      </c>
      <c r="F3715" s="1508">
        <f t="shared" si="550"/>
        <v>24</v>
      </c>
      <c r="G3715" s="1508">
        <f t="shared" si="551"/>
        <v>24</v>
      </c>
      <c r="H3715" s="1508">
        <f t="shared" si="552"/>
        <v>0</v>
      </c>
      <c r="I3715" s="1480">
        <v>12</v>
      </c>
      <c r="J3715" s="1480">
        <v>12</v>
      </c>
      <c r="K3715" s="1508"/>
      <c r="L3715" s="1508"/>
      <c r="M3715" s="1509">
        <f t="shared" si="553"/>
        <v>12</v>
      </c>
      <c r="N3715" s="1508">
        <f t="shared" si="554"/>
        <v>0</v>
      </c>
    </row>
    <row r="3716" spans="1:14" ht="15.5" outlineLevel="1" x14ac:dyDescent="0.25">
      <c r="A3716" s="1486">
        <f t="shared" si="556"/>
        <v>2</v>
      </c>
      <c r="B3716" s="1491" t="str">
        <f t="shared" si="556"/>
        <v>DPR for APH basket, HRH coil and Valves</v>
      </c>
      <c r="C3716" s="1488">
        <f t="shared" si="556"/>
        <v>0</v>
      </c>
      <c r="D3716" s="1413" t="str">
        <f t="shared" si="556"/>
        <v>-</v>
      </c>
      <c r="E3716" s="560">
        <f t="shared" si="556"/>
        <v>28.94</v>
      </c>
      <c r="F3716" s="1508">
        <f t="shared" si="550"/>
        <v>0</v>
      </c>
      <c r="G3716" s="1508">
        <f t="shared" si="551"/>
        <v>0</v>
      </c>
      <c r="H3716" s="1508">
        <f t="shared" si="552"/>
        <v>0</v>
      </c>
      <c r="I3716" s="1480">
        <v>0</v>
      </c>
      <c r="J3716" s="1480">
        <v>0</v>
      </c>
      <c r="K3716" s="1508"/>
      <c r="L3716" s="1508"/>
      <c r="M3716" s="1509">
        <f t="shared" si="553"/>
        <v>0</v>
      </c>
      <c r="N3716" s="1508">
        <f t="shared" si="554"/>
        <v>0</v>
      </c>
    </row>
    <row r="3717" spans="1:14" ht="31" outlineLevel="1" x14ac:dyDescent="0.25">
      <c r="A3717" s="1492">
        <f t="shared" si="556"/>
        <v>0</v>
      </c>
      <c r="B3717" s="1492" t="str">
        <f t="shared" si="556"/>
        <v>Procurement &amp; replacement of APH Basket assemblies at U#3&amp;4,CSTPS, Chandrapur</v>
      </c>
      <c r="C3717" s="1488">
        <f t="shared" si="556"/>
        <v>0</v>
      </c>
      <c r="D3717" s="1413" t="str">
        <f t="shared" si="556"/>
        <v>-</v>
      </c>
      <c r="E3717" s="560">
        <f t="shared" si="556"/>
        <v>4.9400000000000004</v>
      </c>
      <c r="F3717" s="1508">
        <f t="shared" si="550"/>
        <v>4.9400000000000004</v>
      </c>
      <c r="G3717" s="1508">
        <f t="shared" si="551"/>
        <v>4.9400000000000004</v>
      </c>
      <c r="H3717" s="1508">
        <f t="shared" si="552"/>
        <v>0</v>
      </c>
      <c r="I3717" s="1480">
        <v>0</v>
      </c>
      <c r="J3717" s="1480">
        <v>0</v>
      </c>
      <c r="K3717" s="1508"/>
      <c r="L3717" s="1508"/>
      <c r="M3717" s="1509">
        <f t="shared" si="553"/>
        <v>0</v>
      </c>
      <c r="N3717" s="1508">
        <f t="shared" si="554"/>
        <v>0</v>
      </c>
    </row>
    <row r="3718" spans="1:14" ht="31" outlineLevel="1" x14ac:dyDescent="0.25">
      <c r="A3718" s="1492">
        <f t="shared" si="556"/>
        <v>0</v>
      </c>
      <c r="B3718" s="1492" t="str">
        <f t="shared" si="556"/>
        <v>Procurement &amp; replacement of complete HRH coils assembly in U#4</v>
      </c>
      <c r="C3718" s="1488">
        <f t="shared" si="556"/>
        <v>0</v>
      </c>
      <c r="D3718" s="1413" t="str">
        <f t="shared" si="556"/>
        <v>-</v>
      </c>
      <c r="E3718" s="560">
        <f t="shared" si="556"/>
        <v>24</v>
      </c>
      <c r="F3718" s="1508">
        <f t="shared" si="550"/>
        <v>24</v>
      </c>
      <c r="G3718" s="1508">
        <f t="shared" si="551"/>
        <v>24</v>
      </c>
      <c r="H3718" s="1508">
        <f t="shared" si="552"/>
        <v>0</v>
      </c>
      <c r="I3718" s="1480">
        <v>0</v>
      </c>
      <c r="J3718" s="1480">
        <v>0</v>
      </c>
      <c r="K3718" s="1508"/>
      <c r="L3718" s="1508"/>
      <c r="M3718" s="1509">
        <f t="shared" si="553"/>
        <v>0</v>
      </c>
      <c r="N3718" s="1508">
        <f t="shared" si="554"/>
        <v>0</v>
      </c>
    </row>
    <row r="3719" spans="1:14" ht="15.5" outlineLevel="1" x14ac:dyDescent="0.25">
      <c r="A3719" s="1486">
        <f t="shared" si="556"/>
        <v>3</v>
      </c>
      <c r="B3719" s="1491" t="str">
        <f t="shared" si="556"/>
        <v>DPR for ESP internal and CRH coil</v>
      </c>
      <c r="C3719" s="1488">
        <f t="shared" si="556"/>
        <v>0</v>
      </c>
      <c r="D3719" s="1413" t="str">
        <f t="shared" si="556"/>
        <v>-</v>
      </c>
      <c r="E3719" s="560">
        <f t="shared" si="556"/>
        <v>45</v>
      </c>
      <c r="F3719" s="1508">
        <f t="shared" si="550"/>
        <v>0</v>
      </c>
      <c r="G3719" s="1508">
        <f t="shared" si="551"/>
        <v>0</v>
      </c>
      <c r="H3719" s="1508">
        <f t="shared" si="552"/>
        <v>0</v>
      </c>
      <c r="I3719" s="1480">
        <v>0</v>
      </c>
      <c r="J3719" s="1480">
        <v>0</v>
      </c>
      <c r="K3719" s="1508"/>
      <c r="L3719" s="1508"/>
      <c r="M3719" s="1509">
        <f t="shared" si="553"/>
        <v>0</v>
      </c>
      <c r="N3719" s="1508">
        <f t="shared" si="554"/>
        <v>0</v>
      </c>
    </row>
    <row r="3720" spans="1:14" ht="15.5" outlineLevel="1" x14ac:dyDescent="0.25">
      <c r="A3720" s="1492">
        <f t="shared" si="556"/>
        <v>0</v>
      </c>
      <c r="B3720" s="1492" t="str">
        <f t="shared" si="556"/>
        <v>Replacement of complete internals of ESP U#3&amp;4</v>
      </c>
      <c r="C3720" s="1488">
        <f t="shared" si="556"/>
        <v>0</v>
      </c>
      <c r="D3720" s="1413" t="str">
        <f t="shared" si="556"/>
        <v>-</v>
      </c>
      <c r="E3720" s="560">
        <f t="shared" si="556"/>
        <v>20</v>
      </c>
      <c r="F3720" s="1508">
        <f t="shared" si="550"/>
        <v>20</v>
      </c>
      <c r="G3720" s="1508">
        <f t="shared" si="551"/>
        <v>20</v>
      </c>
      <c r="H3720" s="1508">
        <f t="shared" si="552"/>
        <v>0</v>
      </c>
      <c r="I3720" s="1480">
        <v>0</v>
      </c>
      <c r="J3720" s="1480">
        <v>0</v>
      </c>
      <c r="K3720" s="1508"/>
      <c r="L3720" s="1508"/>
      <c r="M3720" s="1509">
        <f t="shared" si="553"/>
        <v>0</v>
      </c>
      <c r="N3720" s="1508">
        <f t="shared" si="554"/>
        <v>0</v>
      </c>
    </row>
    <row r="3721" spans="1:14" ht="15.5" outlineLevel="1" x14ac:dyDescent="0.25">
      <c r="A3721" s="1492">
        <f t="shared" si="556"/>
        <v>0</v>
      </c>
      <c r="B3721" s="1492" t="str">
        <f t="shared" si="556"/>
        <v xml:space="preserve">Procurement &amp; replacement of CRH coil assemblies in U#3 </v>
      </c>
      <c r="C3721" s="1488">
        <f t="shared" si="556"/>
        <v>0</v>
      </c>
      <c r="D3721" s="1413" t="str">
        <f t="shared" si="556"/>
        <v>-</v>
      </c>
      <c r="E3721" s="560">
        <f t="shared" si="556"/>
        <v>25</v>
      </c>
      <c r="F3721" s="1508">
        <f t="shared" si="550"/>
        <v>25</v>
      </c>
      <c r="G3721" s="1508">
        <f t="shared" si="551"/>
        <v>25</v>
      </c>
      <c r="H3721" s="1508">
        <f t="shared" si="552"/>
        <v>0</v>
      </c>
      <c r="I3721" s="1480">
        <v>0</v>
      </c>
      <c r="J3721" s="1480">
        <v>0</v>
      </c>
      <c r="K3721" s="1508"/>
      <c r="L3721" s="1508"/>
      <c r="M3721" s="1509">
        <f t="shared" si="553"/>
        <v>0</v>
      </c>
      <c r="N3721" s="1508">
        <f t="shared" si="554"/>
        <v>0</v>
      </c>
    </row>
    <row r="3722" spans="1:14" ht="31" outlineLevel="1" x14ac:dyDescent="0.25">
      <c r="A3722" s="1486">
        <f t="shared" si="556"/>
        <v>4</v>
      </c>
      <c r="B3722" s="1491" t="str">
        <f t="shared" si="556"/>
        <v>Procurement &amp; replacement of LTSH &amp; Economiser coil assemblies in U#3</v>
      </c>
      <c r="C3722" s="1488">
        <f t="shared" si="556"/>
        <v>0</v>
      </c>
      <c r="D3722" s="1413" t="str">
        <f t="shared" si="556"/>
        <v>-</v>
      </c>
      <c r="E3722" s="560">
        <f t="shared" si="556"/>
        <v>30</v>
      </c>
      <c r="F3722" s="1508">
        <f t="shared" si="550"/>
        <v>0</v>
      </c>
      <c r="G3722" s="1508">
        <f t="shared" si="551"/>
        <v>0</v>
      </c>
      <c r="H3722" s="1508">
        <f t="shared" si="552"/>
        <v>0</v>
      </c>
      <c r="I3722" s="1480">
        <v>0</v>
      </c>
      <c r="J3722" s="1480">
        <v>0</v>
      </c>
      <c r="K3722" s="1508"/>
      <c r="L3722" s="1508"/>
      <c r="M3722" s="1509">
        <f t="shared" si="553"/>
        <v>0</v>
      </c>
      <c r="N3722" s="1508">
        <f t="shared" si="554"/>
        <v>0</v>
      </c>
    </row>
    <row r="3723" spans="1:14" ht="31" outlineLevel="1" x14ac:dyDescent="0.25">
      <c r="A3723" s="1492">
        <f t="shared" si="556"/>
        <v>0</v>
      </c>
      <c r="B3723" s="1492" t="str">
        <f t="shared" si="556"/>
        <v>Procurement &amp; replacement of LTSH &amp; Economiser coil assemblies in U#3</v>
      </c>
      <c r="C3723" s="1488">
        <f t="shared" si="556"/>
        <v>0</v>
      </c>
      <c r="D3723" s="1413" t="str">
        <f t="shared" si="556"/>
        <v>-</v>
      </c>
      <c r="E3723" s="560">
        <f t="shared" si="556"/>
        <v>30</v>
      </c>
      <c r="F3723" s="1508">
        <f t="shared" si="550"/>
        <v>30</v>
      </c>
      <c r="G3723" s="1508">
        <f t="shared" si="551"/>
        <v>30</v>
      </c>
      <c r="H3723" s="1508">
        <f t="shared" si="552"/>
        <v>0</v>
      </c>
      <c r="I3723" s="1480">
        <v>0</v>
      </c>
      <c r="J3723" s="1480">
        <v>0</v>
      </c>
      <c r="K3723" s="1508"/>
      <c r="L3723" s="1508"/>
      <c r="M3723" s="1509">
        <f t="shared" si="553"/>
        <v>0</v>
      </c>
      <c r="N3723" s="1508">
        <f t="shared" si="554"/>
        <v>0</v>
      </c>
    </row>
    <row r="3724" spans="1:14" ht="15.5" outlineLevel="1" x14ac:dyDescent="0.25">
      <c r="A3724" s="1504">
        <f t="shared" si="556"/>
        <v>0</v>
      </c>
      <c r="B3724" s="1504" t="str">
        <f t="shared" si="556"/>
        <v>Turbine Maintenance-I</v>
      </c>
      <c r="C3724" s="1488">
        <f t="shared" si="556"/>
        <v>0</v>
      </c>
      <c r="D3724" s="1413" t="str">
        <f t="shared" si="556"/>
        <v>-</v>
      </c>
      <c r="E3724" s="560">
        <f t="shared" si="556"/>
        <v>0</v>
      </c>
      <c r="F3724" s="1508">
        <f t="shared" si="550"/>
        <v>0</v>
      </c>
      <c r="G3724" s="1508">
        <f t="shared" si="551"/>
        <v>0</v>
      </c>
      <c r="H3724" s="1508">
        <f t="shared" si="552"/>
        <v>0</v>
      </c>
      <c r="I3724" s="1480">
        <v>0</v>
      </c>
      <c r="J3724" s="1480">
        <v>0</v>
      </c>
      <c r="K3724" s="1508"/>
      <c r="L3724" s="1508"/>
      <c r="M3724" s="1509">
        <f t="shared" si="553"/>
        <v>0</v>
      </c>
      <c r="N3724" s="1508">
        <f t="shared" si="554"/>
        <v>0</v>
      </c>
    </row>
    <row r="3725" spans="1:14" ht="31" outlineLevel="1" x14ac:dyDescent="0.25">
      <c r="A3725" s="1486">
        <f t="shared" si="556"/>
        <v>1</v>
      </c>
      <c r="B3725" s="1491" t="str">
        <f t="shared" si="556"/>
        <v>DPR for Vaccuum system improvement and procurment of BFP cartridge</v>
      </c>
      <c r="C3725" s="1488">
        <f t="shared" si="556"/>
        <v>0</v>
      </c>
      <c r="D3725" s="1413" t="str">
        <f t="shared" si="556"/>
        <v>-</v>
      </c>
      <c r="E3725" s="560">
        <f t="shared" si="556"/>
        <v>35</v>
      </c>
      <c r="F3725" s="1508">
        <f t="shared" si="550"/>
        <v>0</v>
      </c>
      <c r="G3725" s="1508">
        <f t="shared" si="551"/>
        <v>0</v>
      </c>
      <c r="H3725" s="1508">
        <f t="shared" si="552"/>
        <v>0</v>
      </c>
      <c r="I3725" s="1480">
        <v>0</v>
      </c>
      <c r="J3725" s="1480">
        <v>0</v>
      </c>
      <c r="K3725" s="1508"/>
      <c r="L3725" s="1508"/>
      <c r="M3725" s="1509">
        <f t="shared" si="553"/>
        <v>0</v>
      </c>
      <c r="N3725" s="1508">
        <f t="shared" si="554"/>
        <v>0</v>
      </c>
    </row>
    <row r="3726" spans="1:14" ht="15.5" outlineLevel="1" x14ac:dyDescent="0.25">
      <c r="A3726" s="1492">
        <f t="shared" si="556"/>
        <v>0</v>
      </c>
      <c r="B3726" s="1492" t="str">
        <f t="shared" si="556"/>
        <v>Condenser vaccuum system improvement</v>
      </c>
      <c r="C3726" s="1488">
        <f t="shared" si="556"/>
        <v>0</v>
      </c>
      <c r="D3726" s="1413" t="str">
        <f t="shared" si="556"/>
        <v>-</v>
      </c>
      <c r="E3726" s="560">
        <f t="shared" si="556"/>
        <v>16</v>
      </c>
      <c r="F3726" s="1508">
        <f t="shared" si="550"/>
        <v>16</v>
      </c>
      <c r="G3726" s="1508">
        <f t="shared" si="551"/>
        <v>16</v>
      </c>
      <c r="H3726" s="1508">
        <f t="shared" si="552"/>
        <v>0</v>
      </c>
      <c r="I3726" s="1480">
        <v>0</v>
      </c>
      <c r="J3726" s="1480">
        <v>0</v>
      </c>
      <c r="K3726" s="1508"/>
      <c r="L3726" s="1508"/>
      <c r="M3726" s="1509">
        <f t="shared" si="553"/>
        <v>0</v>
      </c>
      <c r="N3726" s="1508">
        <f t="shared" si="554"/>
        <v>0</v>
      </c>
    </row>
    <row r="3727" spans="1:14" ht="31" outlineLevel="1" x14ac:dyDescent="0.25">
      <c r="A3727" s="1492">
        <f t="shared" si="556"/>
        <v>0</v>
      </c>
      <c r="B3727" s="1492" t="str">
        <f t="shared" si="556"/>
        <v>Procurement of BFP main pump cartridges for 200 KHI/s BHEL pump &amp; Procurment of Voith Hydraulic Coupling R17K for BFP</v>
      </c>
      <c r="C3727" s="1488">
        <f t="shared" si="556"/>
        <v>0</v>
      </c>
      <c r="D3727" s="1413" t="str">
        <f t="shared" si="556"/>
        <v>-</v>
      </c>
      <c r="E3727" s="560">
        <f t="shared" si="556"/>
        <v>19</v>
      </c>
      <c r="F3727" s="1508">
        <f t="shared" si="550"/>
        <v>19</v>
      </c>
      <c r="G3727" s="1508">
        <f t="shared" si="551"/>
        <v>19</v>
      </c>
      <c r="H3727" s="1508">
        <f t="shared" si="552"/>
        <v>0</v>
      </c>
      <c r="I3727" s="1480">
        <v>0</v>
      </c>
      <c r="J3727" s="1480">
        <v>0</v>
      </c>
      <c r="K3727" s="1508"/>
      <c r="L3727" s="1508"/>
      <c r="M3727" s="1509">
        <f t="shared" si="553"/>
        <v>0</v>
      </c>
      <c r="N3727" s="1508">
        <f t="shared" si="554"/>
        <v>0</v>
      </c>
    </row>
    <row r="3728" spans="1:14" ht="15.5" outlineLevel="1" x14ac:dyDescent="0.25">
      <c r="A3728" s="1486">
        <f t="shared" ref="A3728:E3743" si="557">A3058</f>
        <v>2</v>
      </c>
      <c r="B3728" s="1491" t="str">
        <f t="shared" si="557"/>
        <v>WTP-I improvement schemes</v>
      </c>
      <c r="C3728" s="1488">
        <f t="shared" si="557"/>
        <v>0</v>
      </c>
      <c r="D3728" s="1413" t="str">
        <f t="shared" si="557"/>
        <v>-</v>
      </c>
      <c r="E3728" s="560">
        <f t="shared" si="557"/>
        <v>26</v>
      </c>
      <c r="F3728" s="1508">
        <f t="shared" si="550"/>
        <v>0</v>
      </c>
      <c r="G3728" s="1508">
        <f t="shared" si="551"/>
        <v>0</v>
      </c>
      <c r="H3728" s="1508">
        <f t="shared" si="552"/>
        <v>0</v>
      </c>
      <c r="I3728" s="1480">
        <v>0</v>
      </c>
      <c r="J3728" s="1480">
        <v>0</v>
      </c>
      <c r="K3728" s="1508"/>
      <c r="L3728" s="1508"/>
      <c r="M3728" s="1509">
        <f t="shared" si="553"/>
        <v>0</v>
      </c>
      <c r="N3728" s="1508">
        <f t="shared" si="554"/>
        <v>0</v>
      </c>
    </row>
    <row r="3729" spans="1:14" ht="46.5" outlineLevel="1" x14ac:dyDescent="0.25">
      <c r="A3729" s="1492">
        <f t="shared" si="557"/>
        <v>0</v>
      </c>
      <c r="B3729" s="1492" t="str">
        <f t="shared" si="557"/>
        <v>Replacement of instrument air an service air compressors in Unit 3 &amp; 4, WTP-I with screw type compressors including refrigerant type air dryer system</v>
      </c>
      <c r="C3729" s="1488">
        <f t="shared" si="557"/>
        <v>0</v>
      </c>
      <c r="D3729" s="1413" t="str">
        <f t="shared" si="557"/>
        <v>-</v>
      </c>
      <c r="E3729" s="560">
        <f t="shared" si="557"/>
        <v>6</v>
      </c>
      <c r="F3729" s="1508">
        <f t="shared" si="550"/>
        <v>6</v>
      </c>
      <c r="G3729" s="1508">
        <f t="shared" si="551"/>
        <v>6</v>
      </c>
      <c r="H3729" s="1508">
        <f t="shared" si="552"/>
        <v>0</v>
      </c>
      <c r="I3729" s="1480">
        <v>0</v>
      </c>
      <c r="J3729" s="1480">
        <v>0</v>
      </c>
      <c r="K3729" s="1508"/>
      <c r="L3729" s="1508"/>
      <c r="M3729" s="1509">
        <f t="shared" si="553"/>
        <v>0</v>
      </c>
      <c r="N3729" s="1508">
        <f t="shared" si="554"/>
        <v>0</v>
      </c>
    </row>
    <row r="3730" spans="1:14" ht="31" outlineLevel="1" x14ac:dyDescent="0.25">
      <c r="A3730" s="1492">
        <f t="shared" si="557"/>
        <v>0</v>
      </c>
      <c r="B3730" s="1492" t="str">
        <f t="shared" si="557"/>
        <v>Refurbishment of hydrogen compressors at Hydrogen plant WTP-I</v>
      </c>
      <c r="C3730" s="1488">
        <f t="shared" si="557"/>
        <v>0</v>
      </c>
      <c r="D3730" s="1413" t="str">
        <f t="shared" si="557"/>
        <v>-</v>
      </c>
      <c r="E3730" s="560">
        <f t="shared" si="557"/>
        <v>10</v>
      </c>
      <c r="F3730" s="1508">
        <f t="shared" si="550"/>
        <v>10</v>
      </c>
      <c r="G3730" s="1508">
        <f t="shared" si="551"/>
        <v>10</v>
      </c>
      <c r="H3730" s="1508">
        <f t="shared" si="552"/>
        <v>0</v>
      </c>
      <c r="I3730" s="1480">
        <v>0</v>
      </c>
      <c r="J3730" s="1480">
        <v>0</v>
      </c>
      <c r="K3730" s="1508"/>
      <c r="L3730" s="1508"/>
      <c r="M3730" s="1509">
        <f t="shared" si="553"/>
        <v>0</v>
      </c>
      <c r="N3730" s="1508">
        <f t="shared" si="554"/>
        <v>0</v>
      </c>
    </row>
    <row r="3731" spans="1:14" ht="15.5" outlineLevel="1" x14ac:dyDescent="0.25">
      <c r="A3731" s="1492">
        <f t="shared" si="557"/>
        <v>0</v>
      </c>
      <c r="B3731" s="1492" t="str">
        <f t="shared" si="557"/>
        <v>Replacement of Circulating water pumps in Unit 3 &amp; 4</v>
      </c>
      <c r="C3731" s="1488">
        <f t="shared" si="557"/>
        <v>0</v>
      </c>
      <c r="D3731" s="1413" t="str">
        <f t="shared" si="557"/>
        <v>-</v>
      </c>
      <c r="E3731" s="560">
        <f t="shared" si="557"/>
        <v>10</v>
      </c>
      <c r="F3731" s="1508">
        <f t="shared" si="550"/>
        <v>10</v>
      </c>
      <c r="G3731" s="1508">
        <f t="shared" si="551"/>
        <v>10</v>
      </c>
      <c r="H3731" s="1508">
        <f t="shared" si="552"/>
        <v>0</v>
      </c>
      <c r="I3731" s="1480">
        <v>0</v>
      </c>
      <c r="J3731" s="1480">
        <v>0</v>
      </c>
      <c r="K3731" s="1508"/>
      <c r="L3731" s="1508"/>
      <c r="M3731" s="1509">
        <f t="shared" si="553"/>
        <v>0</v>
      </c>
      <c r="N3731" s="1508">
        <f t="shared" si="554"/>
        <v>0</v>
      </c>
    </row>
    <row r="3732" spans="1:14" ht="15.5" outlineLevel="1" x14ac:dyDescent="0.25">
      <c r="A3732" s="1486">
        <f t="shared" si="557"/>
        <v>3</v>
      </c>
      <c r="B3732" s="1491" t="str">
        <f t="shared" si="557"/>
        <v>Procurment of HP valves, CEP Cartridge, GS pump</v>
      </c>
      <c r="C3732" s="1488">
        <f t="shared" si="557"/>
        <v>0</v>
      </c>
      <c r="D3732" s="1413" t="str">
        <f t="shared" si="557"/>
        <v>-</v>
      </c>
      <c r="E3732" s="560">
        <f t="shared" si="557"/>
        <v>25</v>
      </c>
      <c r="F3732" s="1508">
        <f t="shared" si="550"/>
        <v>0</v>
      </c>
      <c r="G3732" s="1508">
        <f t="shared" si="551"/>
        <v>0</v>
      </c>
      <c r="H3732" s="1508">
        <f t="shared" si="552"/>
        <v>0</v>
      </c>
      <c r="I3732" s="1480">
        <v>0</v>
      </c>
      <c r="J3732" s="1480">
        <v>0</v>
      </c>
      <c r="K3732" s="1508"/>
      <c r="L3732" s="1508"/>
      <c r="M3732" s="1509">
        <f t="shared" si="553"/>
        <v>0</v>
      </c>
      <c r="N3732" s="1508">
        <f t="shared" si="554"/>
        <v>0</v>
      </c>
    </row>
    <row r="3733" spans="1:14" ht="15.5" outlineLevel="1" x14ac:dyDescent="0.25">
      <c r="A3733" s="1492">
        <f t="shared" si="557"/>
        <v>0</v>
      </c>
      <c r="B3733" s="1492" t="str">
        <f t="shared" si="557"/>
        <v>Procurement of HP valves for Unit 3 &amp; 4</v>
      </c>
      <c r="C3733" s="1488">
        <f t="shared" si="557"/>
        <v>0</v>
      </c>
      <c r="D3733" s="1413" t="str">
        <f t="shared" si="557"/>
        <v>-</v>
      </c>
      <c r="E3733" s="560">
        <f t="shared" si="557"/>
        <v>15</v>
      </c>
      <c r="F3733" s="1508">
        <f t="shared" si="550"/>
        <v>15</v>
      </c>
      <c r="G3733" s="1508">
        <f t="shared" si="551"/>
        <v>15</v>
      </c>
      <c r="H3733" s="1508">
        <f t="shared" si="552"/>
        <v>0</v>
      </c>
      <c r="I3733" s="1480">
        <v>0</v>
      </c>
      <c r="J3733" s="1480">
        <v>0</v>
      </c>
      <c r="K3733" s="1508"/>
      <c r="L3733" s="1508"/>
      <c r="M3733" s="1509">
        <f t="shared" si="553"/>
        <v>0</v>
      </c>
      <c r="N3733" s="1508">
        <f t="shared" si="554"/>
        <v>0</v>
      </c>
    </row>
    <row r="3734" spans="1:14" ht="31" outlineLevel="1" x14ac:dyDescent="0.25">
      <c r="A3734" s="1492">
        <f t="shared" si="557"/>
        <v>0</v>
      </c>
      <c r="B3734" s="1492" t="str">
        <f t="shared" si="557"/>
        <v>Procurement cartridges for Condensate extraction pump ( Make KSB WKT 150/7)</v>
      </c>
      <c r="C3734" s="1488">
        <f t="shared" si="557"/>
        <v>0</v>
      </c>
      <c r="D3734" s="1413" t="str">
        <f t="shared" si="557"/>
        <v>-</v>
      </c>
      <c r="E3734" s="560">
        <f t="shared" si="557"/>
        <v>5</v>
      </c>
      <c r="F3734" s="1508">
        <f t="shared" si="550"/>
        <v>5</v>
      </c>
      <c r="G3734" s="1508">
        <f t="shared" si="551"/>
        <v>5</v>
      </c>
      <c r="H3734" s="1508">
        <f t="shared" si="552"/>
        <v>0</v>
      </c>
      <c r="I3734" s="1480">
        <v>0</v>
      </c>
      <c r="J3734" s="1480">
        <v>0</v>
      </c>
      <c r="K3734" s="1508"/>
      <c r="L3734" s="1508"/>
      <c r="M3734" s="1509">
        <f t="shared" si="553"/>
        <v>0</v>
      </c>
      <c r="N3734" s="1508">
        <f t="shared" si="554"/>
        <v>0</v>
      </c>
    </row>
    <row r="3735" spans="1:14" ht="31" outlineLevel="1" x14ac:dyDescent="0.25">
      <c r="A3735" s="1492">
        <f t="shared" si="557"/>
        <v>0</v>
      </c>
      <c r="B3735" s="1492" t="str">
        <f t="shared" si="557"/>
        <v>Procurement of WPIL make GS pump JTC 24E with pipelines and valves for Unit 3 &amp; 4</v>
      </c>
      <c r="C3735" s="1488">
        <f t="shared" si="557"/>
        <v>0</v>
      </c>
      <c r="D3735" s="1413" t="str">
        <f t="shared" si="557"/>
        <v>-</v>
      </c>
      <c r="E3735" s="560">
        <f t="shared" si="557"/>
        <v>5</v>
      </c>
      <c r="F3735" s="1508">
        <f t="shared" si="550"/>
        <v>5</v>
      </c>
      <c r="G3735" s="1508">
        <f t="shared" si="551"/>
        <v>5</v>
      </c>
      <c r="H3735" s="1508">
        <f t="shared" si="552"/>
        <v>0</v>
      </c>
      <c r="I3735" s="1480">
        <v>0</v>
      </c>
      <c r="J3735" s="1480">
        <v>0</v>
      </c>
      <c r="K3735" s="1508"/>
      <c r="L3735" s="1508"/>
      <c r="M3735" s="1509">
        <f t="shared" si="553"/>
        <v>0</v>
      </c>
      <c r="N3735" s="1508">
        <f t="shared" si="554"/>
        <v>0</v>
      </c>
    </row>
    <row r="3736" spans="1:14" ht="15.5" outlineLevel="1" x14ac:dyDescent="0.25">
      <c r="A3736" s="1504">
        <f t="shared" si="557"/>
        <v>0</v>
      </c>
      <c r="B3736" s="1504" t="str">
        <f t="shared" si="557"/>
        <v>Electrical maintenance -I</v>
      </c>
      <c r="C3736" s="1488">
        <f t="shared" si="557"/>
        <v>0</v>
      </c>
      <c r="D3736" s="1413" t="str">
        <f t="shared" si="557"/>
        <v>-</v>
      </c>
      <c r="E3736" s="560">
        <f t="shared" si="557"/>
        <v>0</v>
      </c>
      <c r="F3736" s="1508">
        <f t="shared" si="550"/>
        <v>0</v>
      </c>
      <c r="G3736" s="1508">
        <f t="shared" si="551"/>
        <v>0</v>
      </c>
      <c r="H3736" s="1508">
        <f t="shared" si="552"/>
        <v>0</v>
      </c>
      <c r="I3736" s="1480">
        <v>0</v>
      </c>
      <c r="J3736" s="1480">
        <v>0</v>
      </c>
      <c r="K3736" s="1508"/>
      <c r="L3736" s="1508"/>
      <c r="M3736" s="1509">
        <f t="shared" si="553"/>
        <v>0</v>
      </c>
      <c r="N3736" s="1508">
        <f t="shared" si="554"/>
        <v>0</v>
      </c>
    </row>
    <row r="3737" spans="1:14" ht="31" outlineLevel="1" x14ac:dyDescent="0.25">
      <c r="A3737" s="1486">
        <f t="shared" si="557"/>
        <v>1</v>
      </c>
      <c r="B3737" s="1491" t="str">
        <f t="shared" si="557"/>
        <v>DPR  for colony electrical renovation, switchgear, Energy meter, breaker</v>
      </c>
      <c r="C3737" s="1488">
        <f t="shared" si="557"/>
        <v>0</v>
      </c>
      <c r="D3737" s="1413" t="str">
        <f t="shared" si="557"/>
        <v>-</v>
      </c>
      <c r="E3737" s="560">
        <f t="shared" si="557"/>
        <v>47.3</v>
      </c>
      <c r="F3737" s="1508">
        <f t="shared" si="550"/>
        <v>0</v>
      </c>
      <c r="G3737" s="1508">
        <f t="shared" si="551"/>
        <v>0</v>
      </c>
      <c r="H3737" s="1508">
        <f t="shared" si="552"/>
        <v>0</v>
      </c>
      <c r="I3737" s="1480">
        <v>0</v>
      </c>
      <c r="J3737" s="1480">
        <v>0</v>
      </c>
      <c r="K3737" s="1508"/>
      <c r="L3737" s="1508"/>
      <c r="M3737" s="1509">
        <f t="shared" si="553"/>
        <v>0</v>
      </c>
      <c r="N3737" s="1508">
        <f t="shared" si="554"/>
        <v>0</v>
      </c>
    </row>
    <row r="3738" spans="1:14" ht="15.5" outlineLevel="1" x14ac:dyDescent="0.25">
      <c r="A3738" s="1492">
        <f t="shared" si="557"/>
        <v>0</v>
      </c>
      <c r="B3738" s="1492" t="str">
        <f t="shared" si="557"/>
        <v>Colony electrical renovation</v>
      </c>
      <c r="C3738" s="1488">
        <f t="shared" si="557"/>
        <v>0</v>
      </c>
      <c r="D3738" s="1413" t="str">
        <f t="shared" si="557"/>
        <v>-</v>
      </c>
      <c r="E3738" s="560">
        <f t="shared" si="557"/>
        <v>47.3</v>
      </c>
      <c r="F3738" s="1508">
        <f t="shared" si="550"/>
        <v>17.3</v>
      </c>
      <c r="G3738" s="1508">
        <f t="shared" si="551"/>
        <v>17.3</v>
      </c>
      <c r="H3738" s="1508">
        <f t="shared" si="552"/>
        <v>0</v>
      </c>
      <c r="I3738" s="1480">
        <v>10</v>
      </c>
      <c r="J3738" s="1480">
        <v>10</v>
      </c>
      <c r="K3738" s="1508"/>
      <c r="L3738" s="1508"/>
      <c r="M3738" s="1509">
        <f t="shared" si="553"/>
        <v>10</v>
      </c>
      <c r="N3738" s="1508">
        <f t="shared" si="554"/>
        <v>0</v>
      </c>
    </row>
    <row r="3739" spans="1:14" ht="31" outlineLevel="1" x14ac:dyDescent="0.25">
      <c r="A3739" s="1486">
        <f t="shared" si="557"/>
        <v>2</v>
      </c>
      <c r="B3739" s="1491" t="str">
        <f t="shared" si="557"/>
        <v>Electrification and illumination of perimeter wall CSTPS, Chandapur as per IB recomm</v>
      </c>
      <c r="C3739" s="1488">
        <f t="shared" si="557"/>
        <v>0</v>
      </c>
      <c r="D3739" s="1413" t="str">
        <f t="shared" si="557"/>
        <v>-</v>
      </c>
      <c r="E3739" s="560">
        <f t="shared" si="557"/>
        <v>25.679999999999996</v>
      </c>
      <c r="F3739" s="1508">
        <f t="shared" si="550"/>
        <v>0</v>
      </c>
      <c r="G3739" s="1508">
        <f t="shared" si="551"/>
        <v>0</v>
      </c>
      <c r="H3739" s="1508">
        <f t="shared" si="552"/>
        <v>0</v>
      </c>
      <c r="I3739" s="1480">
        <v>0</v>
      </c>
      <c r="J3739" s="1480">
        <v>0</v>
      </c>
      <c r="K3739" s="1508"/>
      <c r="L3739" s="1508"/>
      <c r="M3739" s="1509">
        <f t="shared" si="553"/>
        <v>0</v>
      </c>
      <c r="N3739" s="1508">
        <f t="shared" si="554"/>
        <v>0</v>
      </c>
    </row>
    <row r="3740" spans="1:14" ht="31" outlineLevel="1" x14ac:dyDescent="0.25">
      <c r="A3740" s="1492">
        <f t="shared" si="557"/>
        <v>0</v>
      </c>
      <c r="B3740" s="1492" t="str">
        <f t="shared" si="557"/>
        <v>Electrification and illumination of perimeter wall CSTPS, Chandapur</v>
      </c>
      <c r="C3740" s="1488">
        <f t="shared" si="557"/>
        <v>0</v>
      </c>
      <c r="D3740" s="1413" t="str">
        <f t="shared" si="557"/>
        <v>-</v>
      </c>
      <c r="E3740" s="560">
        <f t="shared" si="557"/>
        <v>12.52</v>
      </c>
      <c r="F3740" s="1508">
        <f t="shared" si="550"/>
        <v>12.52</v>
      </c>
      <c r="G3740" s="1508">
        <f t="shared" si="551"/>
        <v>12.52</v>
      </c>
      <c r="H3740" s="1508">
        <f t="shared" si="552"/>
        <v>0</v>
      </c>
      <c r="I3740" s="1480">
        <v>0</v>
      </c>
      <c r="J3740" s="1480">
        <v>0</v>
      </c>
      <c r="K3740" s="1508"/>
      <c r="L3740" s="1508"/>
      <c r="M3740" s="1509">
        <f t="shared" si="553"/>
        <v>0</v>
      </c>
      <c r="N3740" s="1508">
        <f t="shared" si="554"/>
        <v>0</v>
      </c>
    </row>
    <row r="3741" spans="1:14" ht="31" outlineLevel="1" x14ac:dyDescent="0.25">
      <c r="A3741" s="1492">
        <f t="shared" si="557"/>
        <v>0</v>
      </c>
      <c r="B3741" s="1492" t="str">
        <f t="shared" si="557"/>
        <v>Replacement of Distibution board, and switchgear at different areas of plant, colony, Dam</v>
      </c>
      <c r="C3741" s="1488">
        <f t="shared" si="557"/>
        <v>0</v>
      </c>
      <c r="D3741" s="1413" t="str">
        <f t="shared" si="557"/>
        <v>-</v>
      </c>
      <c r="E3741" s="560">
        <f t="shared" si="557"/>
        <v>12.35</v>
      </c>
      <c r="F3741" s="1508">
        <f t="shared" si="550"/>
        <v>6.35</v>
      </c>
      <c r="G3741" s="1508">
        <f t="shared" si="551"/>
        <v>6.35</v>
      </c>
      <c r="H3741" s="1508">
        <f t="shared" si="552"/>
        <v>0</v>
      </c>
      <c r="I3741" s="1480">
        <v>1</v>
      </c>
      <c r="J3741" s="1480">
        <v>1</v>
      </c>
      <c r="K3741" s="1508"/>
      <c r="L3741" s="1508"/>
      <c r="M3741" s="1509">
        <f t="shared" si="553"/>
        <v>1</v>
      </c>
      <c r="N3741" s="1508">
        <f t="shared" si="554"/>
        <v>0</v>
      </c>
    </row>
    <row r="3742" spans="1:14" ht="15.5" outlineLevel="1" x14ac:dyDescent="0.25">
      <c r="A3742" s="1492">
        <f t="shared" si="557"/>
        <v>0</v>
      </c>
      <c r="B3742" s="1492" t="str">
        <f t="shared" si="557"/>
        <v>Replacement of Energy meter</v>
      </c>
      <c r="C3742" s="1488">
        <f t="shared" si="557"/>
        <v>0</v>
      </c>
      <c r="D3742" s="1413" t="str">
        <f t="shared" si="557"/>
        <v>-</v>
      </c>
      <c r="E3742" s="560">
        <f t="shared" si="557"/>
        <v>0.81</v>
      </c>
      <c r="F3742" s="1508">
        <f t="shared" si="550"/>
        <v>0.81</v>
      </c>
      <c r="G3742" s="1508">
        <f t="shared" si="551"/>
        <v>0.81</v>
      </c>
      <c r="H3742" s="1508">
        <f t="shared" si="552"/>
        <v>0</v>
      </c>
      <c r="I3742" s="1480">
        <v>0</v>
      </c>
      <c r="J3742" s="1480">
        <v>0</v>
      </c>
      <c r="K3742" s="1508"/>
      <c r="L3742" s="1508"/>
      <c r="M3742" s="1509">
        <f t="shared" si="553"/>
        <v>0</v>
      </c>
      <c r="N3742" s="1508">
        <f t="shared" si="554"/>
        <v>0</v>
      </c>
    </row>
    <row r="3743" spans="1:14" ht="31" outlineLevel="1" x14ac:dyDescent="0.25">
      <c r="A3743" s="1486">
        <f t="shared" si="557"/>
        <v>3</v>
      </c>
      <c r="B3743" s="1491" t="str">
        <f t="shared" si="557"/>
        <v>Replacement of 400V, 220V, 50V, 26V batteries and its battery chargers at 210MW, Breakers, VFDs at compressor, Watch Tower</v>
      </c>
      <c r="C3743" s="1488">
        <f t="shared" si="557"/>
        <v>0</v>
      </c>
      <c r="D3743" s="1413" t="str">
        <f t="shared" si="557"/>
        <v>-</v>
      </c>
      <c r="E3743" s="560">
        <f t="shared" si="557"/>
        <v>29</v>
      </c>
      <c r="F3743" s="1508">
        <f t="shared" si="550"/>
        <v>0</v>
      </c>
      <c r="G3743" s="1508">
        <f t="shared" si="551"/>
        <v>0</v>
      </c>
      <c r="H3743" s="1508">
        <f t="shared" si="552"/>
        <v>0</v>
      </c>
      <c r="I3743" s="1480">
        <v>0</v>
      </c>
      <c r="J3743" s="1480">
        <v>0</v>
      </c>
      <c r="K3743" s="1508"/>
      <c r="L3743" s="1508"/>
      <c r="M3743" s="1509">
        <f t="shared" si="553"/>
        <v>0</v>
      </c>
      <c r="N3743" s="1508">
        <f t="shared" si="554"/>
        <v>0</v>
      </c>
    </row>
    <row r="3744" spans="1:14" ht="31" outlineLevel="1" x14ac:dyDescent="0.25">
      <c r="A3744" s="1492">
        <f t="shared" ref="A3744:E3759" si="558">A3074</f>
        <v>0</v>
      </c>
      <c r="B3744" s="1492" t="str">
        <f t="shared" si="558"/>
        <v>Replacement of 400V, 220V, 50V, 26V batteries and its battery chargers at 210MW, CSTPS.</v>
      </c>
      <c r="C3744" s="1488">
        <f t="shared" si="558"/>
        <v>0</v>
      </c>
      <c r="D3744" s="1413" t="str">
        <f t="shared" si="558"/>
        <v>-</v>
      </c>
      <c r="E3744" s="560">
        <f t="shared" si="558"/>
        <v>14</v>
      </c>
      <c r="F3744" s="1508">
        <f t="shared" ref="F3744:F3807" si="559">F3074+I3074</f>
        <v>14</v>
      </c>
      <c r="G3744" s="1508">
        <f t="shared" ref="G3744:G3807" si="560">G3074+M3074</f>
        <v>14</v>
      </c>
      <c r="H3744" s="1508">
        <f t="shared" si="552"/>
        <v>0</v>
      </c>
      <c r="I3744" s="1480">
        <v>0</v>
      </c>
      <c r="J3744" s="1480">
        <v>0</v>
      </c>
      <c r="K3744" s="1508"/>
      <c r="L3744" s="1508"/>
      <c r="M3744" s="1509">
        <f t="shared" si="553"/>
        <v>0</v>
      </c>
      <c r="N3744" s="1508">
        <f t="shared" si="554"/>
        <v>0</v>
      </c>
    </row>
    <row r="3745" spans="1:14" ht="15.5" outlineLevel="1" x14ac:dyDescent="0.25">
      <c r="A3745" s="1492">
        <f t="shared" si="558"/>
        <v>0</v>
      </c>
      <c r="B3745" s="1492" t="str">
        <f t="shared" si="558"/>
        <v>Retrofitting of Breakers</v>
      </c>
      <c r="C3745" s="1488">
        <f t="shared" si="558"/>
        <v>0</v>
      </c>
      <c r="D3745" s="1413" t="str">
        <f t="shared" si="558"/>
        <v>-</v>
      </c>
      <c r="E3745" s="560">
        <f t="shared" si="558"/>
        <v>6.8000000000000007</v>
      </c>
      <c r="F3745" s="1508">
        <f t="shared" si="559"/>
        <v>6.8000000000000007</v>
      </c>
      <c r="G3745" s="1508">
        <f t="shared" si="560"/>
        <v>6.8000000000000007</v>
      </c>
      <c r="H3745" s="1508">
        <f t="shared" si="552"/>
        <v>0</v>
      </c>
      <c r="I3745" s="1480">
        <v>0</v>
      </c>
      <c r="J3745" s="1480">
        <v>0</v>
      </c>
      <c r="K3745" s="1508"/>
      <c r="L3745" s="1508"/>
      <c r="M3745" s="1509">
        <f t="shared" si="553"/>
        <v>0</v>
      </c>
      <c r="N3745" s="1508">
        <f t="shared" si="554"/>
        <v>0</v>
      </c>
    </row>
    <row r="3746" spans="1:14" ht="31" outlineLevel="1" x14ac:dyDescent="0.25">
      <c r="A3746" s="1492">
        <f t="shared" si="558"/>
        <v>0</v>
      </c>
      <c r="B3746" s="1492" t="str">
        <f t="shared" si="558"/>
        <v>supply, installation and commissioning of VFDs at compressor and of soft starters  for clear water pump  at 210MW, CSTPS.</v>
      </c>
      <c r="C3746" s="1488">
        <f t="shared" si="558"/>
        <v>0</v>
      </c>
      <c r="D3746" s="1413" t="str">
        <f t="shared" si="558"/>
        <v>-</v>
      </c>
      <c r="E3746" s="560">
        <f t="shared" si="558"/>
        <v>1.8</v>
      </c>
      <c r="F3746" s="1508">
        <f t="shared" si="559"/>
        <v>1.8</v>
      </c>
      <c r="G3746" s="1508">
        <f t="shared" si="560"/>
        <v>1.8</v>
      </c>
      <c r="H3746" s="1508">
        <f t="shared" si="552"/>
        <v>0</v>
      </c>
      <c r="I3746" s="1480">
        <v>0</v>
      </c>
      <c r="J3746" s="1480">
        <v>0</v>
      </c>
      <c r="K3746" s="1508"/>
      <c r="L3746" s="1508"/>
      <c r="M3746" s="1509">
        <f t="shared" si="553"/>
        <v>0</v>
      </c>
      <c r="N3746" s="1508">
        <f t="shared" si="554"/>
        <v>0</v>
      </c>
    </row>
    <row r="3747" spans="1:14" ht="31" outlineLevel="1" x14ac:dyDescent="0.25">
      <c r="A3747" s="1492">
        <f t="shared" si="558"/>
        <v>0</v>
      </c>
      <c r="B3747" s="1492" t="str">
        <f t="shared" si="558"/>
        <v>Construction of Watch Tower along periphery compound wall as per IB recommendation at CSTPS, Chandrapur</v>
      </c>
      <c r="C3747" s="166">
        <f t="shared" si="558"/>
        <v>0</v>
      </c>
      <c r="D3747" s="1413" t="str">
        <f t="shared" si="558"/>
        <v>-</v>
      </c>
      <c r="E3747" s="560">
        <f t="shared" si="558"/>
        <v>6.4</v>
      </c>
      <c r="F3747" s="1508">
        <f t="shared" si="559"/>
        <v>6.4</v>
      </c>
      <c r="G3747" s="1508">
        <f t="shared" si="560"/>
        <v>6.4</v>
      </c>
      <c r="H3747" s="1508">
        <f t="shared" si="552"/>
        <v>0</v>
      </c>
      <c r="I3747" s="1480">
        <v>0</v>
      </c>
      <c r="J3747" s="1480">
        <v>0</v>
      </c>
      <c r="K3747" s="1508"/>
      <c r="L3747" s="1508"/>
      <c r="M3747" s="1509">
        <f t="shared" si="553"/>
        <v>0</v>
      </c>
      <c r="N3747" s="1508">
        <f t="shared" si="554"/>
        <v>0</v>
      </c>
    </row>
    <row r="3748" spans="1:14" ht="15.5" outlineLevel="1" x14ac:dyDescent="0.25">
      <c r="A3748" s="1504">
        <f t="shared" si="558"/>
        <v>0</v>
      </c>
      <c r="B3748" s="1504" t="str">
        <f t="shared" si="558"/>
        <v>TIC</v>
      </c>
      <c r="C3748" s="1488">
        <f t="shared" si="558"/>
        <v>0</v>
      </c>
      <c r="D3748" s="1413" t="str">
        <f t="shared" si="558"/>
        <v>-</v>
      </c>
      <c r="E3748" s="560">
        <f t="shared" si="558"/>
        <v>0</v>
      </c>
      <c r="F3748" s="1508">
        <f t="shared" si="559"/>
        <v>0</v>
      </c>
      <c r="G3748" s="1508">
        <f t="shared" si="560"/>
        <v>0</v>
      </c>
      <c r="H3748" s="1508">
        <f t="shared" si="552"/>
        <v>0</v>
      </c>
      <c r="I3748" s="1480">
        <v>0</v>
      </c>
      <c r="J3748" s="1480">
        <v>0</v>
      </c>
      <c r="K3748" s="1508"/>
      <c r="L3748" s="1508"/>
      <c r="M3748" s="1509">
        <f t="shared" si="553"/>
        <v>0</v>
      </c>
      <c r="N3748" s="1508">
        <f t="shared" si="554"/>
        <v>0</v>
      </c>
    </row>
    <row r="3749" spans="1:14" ht="62" outlineLevel="1" x14ac:dyDescent="0.25">
      <c r="A3749" s="1486">
        <f t="shared" si="558"/>
        <v>1</v>
      </c>
      <c r="B3749" s="1491" t="str">
        <f t="shared" si="558"/>
        <v xml:space="preserve">Up-gradation of complete Instrumentation System including  FSSS System , Soot Blower System, Station C &amp;I System ,Turbine protection system, Turbovisory, HP/LP and PRDS at CSTPS Unit # 3&amp;4 (210 MW) </v>
      </c>
      <c r="C3749" s="1488">
        <f t="shared" si="558"/>
        <v>0</v>
      </c>
      <c r="D3749" s="1413" t="str">
        <f t="shared" si="558"/>
        <v>-</v>
      </c>
      <c r="E3749" s="560">
        <f t="shared" si="558"/>
        <v>48.607999999999997</v>
      </c>
      <c r="F3749" s="1508">
        <f t="shared" si="559"/>
        <v>0</v>
      </c>
      <c r="G3749" s="1508">
        <f t="shared" si="560"/>
        <v>0</v>
      </c>
      <c r="H3749" s="1508">
        <f t="shared" si="552"/>
        <v>0</v>
      </c>
      <c r="I3749" s="1480">
        <v>0</v>
      </c>
      <c r="J3749" s="1480">
        <v>0</v>
      </c>
      <c r="K3749" s="1508"/>
      <c r="L3749" s="1508"/>
      <c r="M3749" s="1509">
        <f t="shared" si="553"/>
        <v>0</v>
      </c>
      <c r="N3749" s="1508">
        <f t="shared" si="554"/>
        <v>0</v>
      </c>
    </row>
    <row r="3750" spans="1:14" ht="62" outlineLevel="1" x14ac:dyDescent="0.25">
      <c r="A3750" s="1492">
        <f t="shared" si="558"/>
        <v>0</v>
      </c>
      <c r="B3750" s="1492" t="str">
        <f t="shared" si="558"/>
        <v>Up-gradation of complete Instrumentation System including  FSSS System , Soot Blower System, Station C &amp;I System ,Turbine protection system, Turbovisory, HP/LP and PRDS at CSTPS Unit # 3&amp;4 (210 MW)</v>
      </c>
      <c r="C3750" s="1488">
        <f t="shared" si="558"/>
        <v>0</v>
      </c>
      <c r="D3750" s="1413" t="str">
        <f t="shared" si="558"/>
        <v>-</v>
      </c>
      <c r="E3750" s="560">
        <f t="shared" si="558"/>
        <v>48.607999999999997</v>
      </c>
      <c r="F3750" s="1508">
        <f t="shared" si="559"/>
        <v>24.303999999999998</v>
      </c>
      <c r="G3750" s="1508">
        <f t="shared" si="560"/>
        <v>24.303999999999998</v>
      </c>
      <c r="H3750" s="1508">
        <f t="shared" si="552"/>
        <v>0</v>
      </c>
      <c r="I3750" s="1480">
        <v>24.303999999999998</v>
      </c>
      <c r="J3750" s="1480">
        <v>24.303999999999998</v>
      </c>
      <c r="K3750" s="1508"/>
      <c r="L3750" s="1508"/>
      <c r="M3750" s="1509">
        <f t="shared" si="553"/>
        <v>24.303999999999998</v>
      </c>
      <c r="N3750" s="1508">
        <f t="shared" si="554"/>
        <v>0</v>
      </c>
    </row>
    <row r="3751" spans="1:14" ht="62" outlineLevel="1" x14ac:dyDescent="0.25">
      <c r="A3751" s="1486">
        <f t="shared" si="558"/>
        <v>2</v>
      </c>
      <c r="B3751" s="1491" t="str">
        <f t="shared" si="558"/>
        <v>Retrofitting/Upgradation of critical control loops by multiloop programmable controllers at Unit #3 &amp; 4, Upgradation of old ACS, PLC, SCADA WTP, FBTS, WTP measuring and instrumentation &amp; other WTP improvement schemes</v>
      </c>
      <c r="C3751" s="1488">
        <f t="shared" si="558"/>
        <v>0</v>
      </c>
      <c r="D3751" s="1413" t="str">
        <f t="shared" si="558"/>
        <v>-</v>
      </c>
      <c r="E3751" s="560">
        <f t="shared" si="558"/>
        <v>25.39</v>
      </c>
      <c r="F3751" s="1508">
        <f t="shared" si="559"/>
        <v>0</v>
      </c>
      <c r="G3751" s="1508">
        <f t="shared" si="560"/>
        <v>0</v>
      </c>
      <c r="H3751" s="1508">
        <f t="shared" si="552"/>
        <v>0</v>
      </c>
      <c r="I3751" s="1480">
        <v>0</v>
      </c>
      <c r="J3751" s="1480">
        <v>0</v>
      </c>
      <c r="K3751" s="1508"/>
      <c r="L3751" s="1508"/>
      <c r="M3751" s="1509">
        <f t="shared" si="553"/>
        <v>0</v>
      </c>
      <c r="N3751" s="1508">
        <f t="shared" si="554"/>
        <v>0</v>
      </c>
    </row>
    <row r="3752" spans="1:14" ht="31" outlineLevel="1" x14ac:dyDescent="0.25">
      <c r="A3752" s="1492">
        <f t="shared" si="558"/>
        <v>0</v>
      </c>
      <c r="B3752" s="1492" t="str">
        <f t="shared" si="558"/>
        <v>Retrofitting/Upgradation of critical control loops by multiloop programmable controllers at Unit #3 &amp; 4 CSTPS,Chandrapur.</v>
      </c>
      <c r="C3752" s="1488">
        <f t="shared" si="558"/>
        <v>0</v>
      </c>
      <c r="D3752" s="1413" t="str">
        <f t="shared" si="558"/>
        <v>-</v>
      </c>
      <c r="E3752" s="560">
        <f t="shared" si="558"/>
        <v>6</v>
      </c>
      <c r="F3752" s="1508">
        <f t="shared" si="559"/>
        <v>0</v>
      </c>
      <c r="G3752" s="1508">
        <f t="shared" si="560"/>
        <v>0</v>
      </c>
      <c r="H3752" s="1508">
        <f t="shared" si="552"/>
        <v>0</v>
      </c>
      <c r="I3752" s="1480">
        <v>0</v>
      </c>
      <c r="J3752" s="1480">
        <v>0</v>
      </c>
      <c r="K3752" s="1508"/>
      <c r="L3752" s="1508"/>
      <c r="M3752" s="1509">
        <f t="shared" si="553"/>
        <v>0</v>
      </c>
      <c r="N3752" s="1508">
        <f t="shared" si="554"/>
        <v>0</v>
      </c>
    </row>
    <row r="3753" spans="1:14" ht="31" outlineLevel="1" x14ac:dyDescent="0.25">
      <c r="A3753" s="1492">
        <f t="shared" si="558"/>
        <v>0</v>
      </c>
      <c r="B3753" s="1492" t="str">
        <f t="shared" si="558"/>
        <v>Upgradation of Old control system with PLC and SCADA at WTP  Stg-I of U# 3,4, 8 and 9, CSTPS, Chandrapur.</v>
      </c>
      <c r="C3753" s="1488">
        <f t="shared" si="558"/>
        <v>0</v>
      </c>
      <c r="D3753" s="1413" t="str">
        <f t="shared" si="558"/>
        <v>-</v>
      </c>
      <c r="E3753" s="560">
        <f t="shared" si="558"/>
        <v>3.89</v>
      </c>
      <c r="F3753" s="1508">
        <f t="shared" si="559"/>
        <v>3.89</v>
      </c>
      <c r="G3753" s="1508">
        <f t="shared" si="560"/>
        <v>3.89</v>
      </c>
      <c r="H3753" s="1508">
        <f t="shared" si="552"/>
        <v>0</v>
      </c>
      <c r="I3753" s="1480">
        <v>0</v>
      </c>
      <c r="J3753" s="1480">
        <v>0</v>
      </c>
      <c r="K3753" s="1508"/>
      <c r="L3753" s="1508"/>
      <c r="M3753" s="1509">
        <f t="shared" si="553"/>
        <v>0</v>
      </c>
      <c r="N3753" s="1508">
        <f t="shared" si="554"/>
        <v>0</v>
      </c>
    </row>
    <row r="3754" spans="1:14" ht="46.5" outlineLevel="1" x14ac:dyDescent="0.25">
      <c r="A3754" s="1492">
        <f t="shared" si="558"/>
        <v>0</v>
      </c>
      <c r="B3754" s="1492" t="str">
        <f t="shared" si="558"/>
        <v xml:space="preserve">Supply &amp; commissioning of advanced Microprocessor based Fast Bus Transfer Scheme for Stage-II Unit 3&amp;4, CSTPS, Chandrapur. </v>
      </c>
      <c r="C3754" s="1488">
        <f t="shared" si="558"/>
        <v>0</v>
      </c>
      <c r="D3754" s="1413" t="str">
        <f t="shared" si="558"/>
        <v>-</v>
      </c>
      <c r="E3754" s="560">
        <f t="shared" si="558"/>
        <v>3</v>
      </c>
      <c r="F3754" s="1508">
        <f t="shared" si="559"/>
        <v>3</v>
      </c>
      <c r="G3754" s="1508">
        <f t="shared" si="560"/>
        <v>3</v>
      </c>
      <c r="H3754" s="1508">
        <f t="shared" si="552"/>
        <v>0</v>
      </c>
      <c r="I3754" s="1480">
        <v>0</v>
      </c>
      <c r="J3754" s="1480">
        <v>0</v>
      </c>
      <c r="K3754" s="1508"/>
      <c r="L3754" s="1508"/>
      <c r="M3754" s="1509">
        <f t="shared" si="553"/>
        <v>0</v>
      </c>
      <c r="N3754" s="1508">
        <f t="shared" si="554"/>
        <v>0</v>
      </c>
    </row>
    <row r="3755" spans="1:14" ht="31" outlineLevel="1" x14ac:dyDescent="0.25">
      <c r="A3755" s="1492">
        <f t="shared" si="558"/>
        <v>0</v>
      </c>
      <c r="B3755" s="1492" t="str">
        <f t="shared" si="558"/>
        <v>Upgradation of Measuring &amp; Instrumentation of  WTP  Stg-I of U# 3,4, 8 and 9, CSTPS, Chandrapur.</v>
      </c>
      <c r="C3755" s="1488">
        <f t="shared" si="558"/>
        <v>0</v>
      </c>
      <c r="D3755" s="1413" t="str">
        <f t="shared" si="558"/>
        <v>-</v>
      </c>
      <c r="E3755" s="560">
        <f t="shared" si="558"/>
        <v>3.5</v>
      </c>
      <c r="F3755" s="1508">
        <f t="shared" si="559"/>
        <v>0</v>
      </c>
      <c r="G3755" s="1508">
        <f t="shared" si="560"/>
        <v>0</v>
      </c>
      <c r="H3755" s="1508">
        <f t="shared" si="552"/>
        <v>0</v>
      </c>
      <c r="I3755" s="1480">
        <v>3.5</v>
      </c>
      <c r="J3755" s="1480">
        <v>3.5</v>
      </c>
      <c r="K3755" s="1508"/>
      <c r="L3755" s="1508"/>
      <c r="M3755" s="1509">
        <f t="shared" si="553"/>
        <v>3.5</v>
      </c>
      <c r="N3755" s="1508">
        <f t="shared" si="554"/>
        <v>0</v>
      </c>
    </row>
    <row r="3756" spans="1:14" ht="31" outlineLevel="1" x14ac:dyDescent="0.25">
      <c r="A3756" s="1492">
        <f t="shared" si="558"/>
        <v>0</v>
      </c>
      <c r="B3756" s="1492" t="str">
        <f t="shared" si="558"/>
        <v>Upgradation of Ash Level Monitoring System at ESP/Eco / AHP Ash Hoppers at U# 3,4 CSTPS, Chandrapur.</v>
      </c>
      <c r="C3756" s="1488">
        <f t="shared" si="558"/>
        <v>0</v>
      </c>
      <c r="D3756" s="1413" t="str">
        <f t="shared" si="558"/>
        <v>-</v>
      </c>
      <c r="E3756" s="560">
        <f t="shared" si="558"/>
        <v>3</v>
      </c>
      <c r="F3756" s="1508">
        <f t="shared" si="559"/>
        <v>0</v>
      </c>
      <c r="G3756" s="1508">
        <f t="shared" si="560"/>
        <v>0</v>
      </c>
      <c r="H3756" s="1508">
        <f t="shared" si="552"/>
        <v>0</v>
      </c>
      <c r="I3756" s="1480">
        <v>3</v>
      </c>
      <c r="J3756" s="1480">
        <v>3</v>
      </c>
      <c r="K3756" s="1508"/>
      <c r="L3756" s="1508"/>
      <c r="M3756" s="1509">
        <f t="shared" si="553"/>
        <v>3</v>
      </c>
      <c r="N3756" s="1508">
        <f t="shared" si="554"/>
        <v>0</v>
      </c>
    </row>
    <row r="3757" spans="1:14" ht="31" outlineLevel="1" x14ac:dyDescent="0.25">
      <c r="A3757" s="1492">
        <f t="shared" si="558"/>
        <v>0</v>
      </c>
      <c r="B3757" s="1492" t="str">
        <f t="shared" si="558"/>
        <v>Upgradation of Obsolete Electromechanical Protection Relays to advanced Numeric Relays Installed at WTP - I</v>
      </c>
      <c r="C3757" s="1488">
        <f t="shared" si="558"/>
        <v>0</v>
      </c>
      <c r="D3757" s="1413" t="str">
        <f t="shared" si="558"/>
        <v>-</v>
      </c>
      <c r="E3757" s="560">
        <f t="shared" si="558"/>
        <v>3</v>
      </c>
      <c r="F3757" s="1508">
        <f t="shared" si="559"/>
        <v>3</v>
      </c>
      <c r="G3757" s="1508">
        <f t="shared" si="560"/>
        <v>3</v>
      </c>
      <c r="H3757" s="1508">
        <f t="shared" si="552"/>
        <v>0</v>
      </c>
      <c r="I3757" s="1480">
        <v>0</v>
      </c>
      <c r="J3757" s="1480">
        <v>0</v>
      </c>
      <c r="K3757" s="1508"/>
      <c r="L3757" s="1508"/>
      <c r="M3757" s="1509">
        <f t="shared" si="553"/>
        <v>0</v>
      </c>
      <c r="N3757" s="1508">
        <f t="shared" si="554"/>
        <v>0</v>
      </c>
    </row>
    <row r="3758" spans="1:14" ht="31" outlineLevel="1" x14ac:dyDescent="0.25">
      <c r="A3758" s="1492">
        <f t="shared" si="558"/>
        <v>0</v>
      </c>
      <c r="B3758" s="1492" t="str">
        <f t="shared" si="558"/>
        <v>Upgardation of BPF Scoop with electrical actuators at U#3 &amp; 4 CSTPS, Chandrapur.</v>
      </c>
      <c r="C3758" s="1488">
        <f t="shared" si="558"/>
        <v>0</v>
      </c>
      <c r="D3758" s="1413" t="str">
        <f t="shared" si="558"/>
        <v>-</v>
      </c>
      <c r="E3758" s="560">
        <f t="shared" si="558"/>
        <v>3</v>
      </c>
      <c r="F3758" s="1508">
        <f t="shared" si="559"/>
        <v>3</v>
      </c>
      <c r="G3758" s="1508">
        <f t="shared" si="560"/>
        <v>3</v>
      </c>
      <c r="H3758" s="1508">
        <f t="shared" ref="H3758:H3821" si="561">F3758-G3758</f>
        <v>0</v>
      </c>
      <c r="I3758" s="1480">
        <v>0</v>
      </c>
      <c r="J3758" s="1480">
        <v>0</v>
      </c>
      <c r="K3758" s="1508"/>
      <c r="L3758" s="1508"/>
      <c r="M3758" s="1509">
        <f t="shared" ref="M3758:M3821" si="562">SUM(J3758:L3758)</f>
        <v>0</v>
      </c>
      <c r="N3758" s="1508">
        <f t="shared" ref="N3758:N3821" si="563">H3758+I3758-M3758</f>
        <v>0</v>
      </c>
    </row>
    <row r="3759" spans="1:14" ht="31" outlineLevel="1" x14ac:dyDescent="0.25">
      <c r="A3759" s="1486">
        <f t="shared" si="558"/>
        <v>3</v>
      </c>
      <c r="B3759" s="1491" t="str">
        <f t="shared" si="558"/>
        <v xml:space="preserve">Upgradation of Measuring Instruments, Final Control Elements and Control System for Unit #3/4, WTP, AHP CSTPS Chandrapur </v>
      </c>
      <c r="C3759" s="1488">
        <f t="shared" si="558"/>
        <v>0</v>
      </c>
      <c r="D3759" s="1413" t="str">
        <f t="shared" si="558"/>
        <v>-</v>
      </c>
      <c r="E3759" s="560">
        <f t="shared" si="558"/>
        <v>30</v>
      </c>
      <c r="F3759" s="1508">
        <f t="shared" si="559"/>
        <v>0</v>
      </c>
      <c r="G3759" s="1508">
        <f t="shared" si="560"/>
        <v>0</v>
      </c>
      <c r="H3759" s="1508">
        <f t="shared" si="561"/>
        <v>0</v>
      </c>
      <c r="I3759" s="1480">
        <v>0</v>
      </c>
      <c r="J3759" s="1480">
        <v>0</v>
      </c>
      <c r="K3759" s="1508"/>
      <c r="L3759" s="1508"/>
      <c r="M3759" s="1509">
        <f t="shared" si="562"/>
        <v>0</v>
      </c>
      <c r="N3759" s="1508">
        <f t="shared" si="563"/>
        <v>0</v>
      </c>
    </row>
    <row r="3760" spans="1:14" ht="31" outlineLevel="1" x14ac:dyDescent="0.25">
      <c r="A3760" s="1492">
        <f t="shared" ref="A3760:E3775" si="564">A3090</f>
        <v>0</v>
      </c>
      <c r="B3760" s="1492" t="str">
        <f t="shared" si="564"/>
        <v xml:space="preserve">Upgradation of Measuring Instruments, Final Control Elements and Control System for Unit #3/4, WTP, AHP CSTPS Chandrapur </v>
      </c>
      <c r="C3760" s="1488">
        <f t="shared" si="564"/>
        <v>0</v>
      </c>
      <c r="D3760" s="1413" t="str">
        <f t="shared" si="564"/>
        <v>-</v>
      </c>
      <c r="E3760" s="560">
        <f t="shared" si="564"/>
        <v>30</v>
      </c>
      <c r="F3760" s="1508">
        <f t="shared" si="559"/>
        <v>0</v>
      </c>
      <c r="G3760" s="1508">
        <f t="shared" si="560"/>
        <v>0</v>
      </c>
      <c r="H3760" s="1508">
        <f t="shared" si="561"/>
        <v>0</v>
      </c>
      <c r="I3760" s="1480">
        <v>0</v>
      </c>
      <c r="J3760" s="1480">
        <v>0</v>
      </c>
      <c r="K3760" s="1508"/>
      <c r="L3760" s="1508"/>
      <c r="M3760" s="1509">
        <f t="shared" si="562"/>
        <v>0</v>
      </c>
      <c r="N3760" s="1508">
        <f t="shared" si="563"/>
        <v>0</v>
      </c>
    </row>
    <row r="3761" spans="1:14" ht="31" outlineLevel="1" x14ac:dyDescent="0.25">
      <c r="A3761" s="1486">
        <f t="shared" si="564"/>
        <v>4</v>
      </c>
      <c r="B3761" s="1491" t="str">
        <f t="shared" si="564"/>
        <v>Installation Errection and commissioning of Solar System for Electrical Suppy to CSTPS Colony.</v>
      </c>
      <c r="C3761" s="1488">
        <f t="shared" si="564"/>
        <v>0</v>
      </c>
      <c r="D3761" s="1413" t="str">
        <f t="shared" si="564"/>
        <v>-</v>
      </c>
      <c r="E3761" s="560">
        <f t="shared" si="564"/>
        <v>60</v>
      </c>
      <c r="F3761" s="1508">
        <f t="shared" si="559"/>
        <v>0</v>
      </c>
      <c r="G3761" s="1508">
        <f t="shared" si="560"/>
        <v>0</v>
      </c>
      <c r="H3761" s="1508">
        <f t="shared" si="561"/>
        <v>0</v>
      </c>
      <c r="I3761" s="1480">
        <v>0</v>
      </c>
      <c r="J3761" s="1480">
        <v>0</v>
      </c>
      <c r="K3761" s="1508"/>
      <c r="L3761" s="1508"/>
      <c r="M3761" s="1509">
        <f t="shared" si="562"/>
        <v>0</v>
      </c>
      <c r="N3761" s="1508">
        <f t="shared" si="563"/>
        <v>0</v>
      </c>
    </row>
    <row r="3762" spans="1:14" ht="31" outlineLevel="1" x14ac:dyDescent="0.25">
      <c r="A3762" s="1492">
        <f t="shared" si="564"/>
        <v>0</v>
      </c>
      <c r="B3762" s="1492" t="str">
        <f t="shared" si="564"/>
        <v>Installation Errection and commissioning of Solar System for Electrical Suppy to CSTPS Colony.</v>
      </c>
      <c r="C3762" s="1488">
        <f t="shared" si="564"/>
        <v>0</v>
      </c>
      <c r="D3762" s="1413" t="str">
        <f t="shared" si="564"/>
        <v>-</v>
      </c>
      <c r="E3762" s="560">
        <f t="shared" si="564"/>
        <v>60</v>
      </c>
      <c r="F3762" s="1508">
        <f t="shared" si="559"/>
        <v>0</v>
      </c>
      <c r="G3762" s="1508">
        <f t="shared" si="560"/>
        <v>0</v>
      </c>
      <c r="H3762" s="1508">
        <f t="shared" si="561"/>
        <v>0</v>
      </c>
      <c r="I3762" s="1480">
        <v>0</v>
      </c>
      <c r="J3762" s="1480">
        <v>0</v>
      </c>
      <c r="K3762" s="1508"/>
      <c r="L3762" s="1508"/>
      <c r="M3762" s="1509">
        <f t="shared" si="562"/>
        <v>0</v>
      </c>
      <c r="N3762" s="1508">
        <f t="shared" si="563"/>
        <v>0</v>
      </c>
    </row>
    <row r="3763" spans="1:14" ht="15.5" outlineLevel="1" x14ac:dyDescent="0.25">
      <c r="A3763" s="1486">
        <f t="shared" si="564"/>
        <v>5</v>
      </c>
      <c r="B3763" s="1491" t="str">
        <f t="shared" si="564"/>
        <v>Rejuvenation of WTP-I</v>
      </c>
      <c r="C3763" s="1488">
        <f t="shared" si="564"/>
        <v>0</v>
      </c>
      <c r="D3763" s="1413" t="str">
        <f t="shared" si="564"/>
        <v>-</v>
      </c>
      <c r="E3763" s="560">
        <f t="shared" si="564"/>
        <v>26.4</v>
      </c>
      <c r="F3763" s="1508">
        <f t="shared" si="559"/>
        <v>0</v>
      </c>
      <c r="G3763" s="1508">
        <f t="shared" si="560"/>
        <v>0</v>
      </c>
      <c r="H3763" s="1508">
        <f t="shared" si="561"/>
        <v>0</v>
      </c>
      <c r="I3763" s="1480">
        <v>0</v>
      </c>
      <c r="J3763" s="1480">
        <v>0</v>
      </c>
      <c r="K3763" s="1508"/>
      <c r="L3763" s="1508"/>
      <c r="M3763" s="1509">
        <f t="shared" si="562"/>
        <v>0</v>
      </c>
      <c r="N3763" s="1508">
        <f t="shared" si="563"/>
        <v>0</v>
      </c>
    </row>
    <row r="3764" spans="1:14" ht="31" outlineLevel="1" x14ac:dyDescent="0.25">
      <c r="A3764" s="1492">
        <f t="shared" si="564"/>
        <v>0</v>
      </c>
      <c r="B3764" s="1492" t="str">
        <f t="shared" si="564"/>
        <v>Repairing rejuvenation with upgradation of rapid gravity sand filters under drain system.</v>
      </c>
      <c r="C3764" s="1488">
        <f t="shared" si="564"/>
        <v>0</v>
      </c>
      <c r="D3764" s="1413" t="str">
        <f t="shared" si="564"/>
        <v>-</v>
      </c>
      <c r="E3764" s="560">
        <f t="shared" si="564"/>
        <v>8.1999999999999993</v>
      </c>
      <c r="F3764" s="1508">
        <f t="shared" si="559"/>
        <v>0</v>
      </c>
      <c r="G3764" s="1508">
        <f t="shared" si="560"/>
        <v>0</v>
      </c>
      <c r="H3764" s="1508">
        <f t="shared" si="561"/>
        <v>0</v>
      </c>
      <c r="I3764" s="1480">
        <v>0</v>
      </c>
      <c r="J3764" s="1480">
        <v>0</v>
      </c>
      <c r="K3764" s="1508"/>
      <c r="L3764" s="1508"/>
      <c r="M3764" s="1509">
        <f t="shared" si="562"/>
        <v>0</v>
      </c>
      <c r="N3764" s="1508">
        <f t="shared" si="563"/>
        <v>0</v>
      </c>
    </row>
    <row r="3765" spans="1:14" ht="31" outlineLevel="1" x14ac:dyDescent="0.25">
      <c r="A3765" s="1492">
        <f t="shared" si="564"/>
        <v>0</v>
      </c>
      <c r="B3765" s="1492" t="str">
        <f t="shared" si="564"/>
        <v>Repairing &amp; reconditioning of NDM clarifier of 27 Mtr dia &amp; DM clarifier of 15 mtr dia.</v>
      </c>
      <c r="C3765" s="1488">
        <f t="shared" si="564"/>
        <v>0</v>
      </c>
      <c r="D3765" s="1413" t="str">
        <f t="shared" si="564"/>
        <v>-</v>
      </c>
      <c r="E3765" s="560">
        <f t="shared" si="564"/>
        <v>2.4500000000000002</v>
      </c>
      <c r="F3765" s="1508">
        <f t="shared" si="559"/>
        <v>0</v>
      </c>
      <c r="G3765" s="1508">
        <f t="shared" si="560"/>
        <v>0</v>
      </c>
      <c r="H3765" s="1508">
        <f t="shared" si="561"/>
        <v>0</v>
      </c>
      <c r="I3765" s="1480">
        <v>0</v>
      </c>
      <c r="J3765" s="1480">
        <v>0</v>
      </c>
      <c r="K3765" s="1508"/>
      <c r="L3765" s="1508"/>
      <c r="M3765" s="1509">
        <f t="shared" si="562"/>
        <v>0</v>
      </c>
      <c r="N3765" s="1508">
        <f t="shared" si="563"/>
        <v>0</v>
      </c>
    </row>
    <row r="3766" spans="1:14" ht="31" outlineLevel="1" x14ac:dyDescent="0.25">
      <c r="A3766" s="1492">
        <f t="shared" si="564"/>
        <v>0</v>
      </c>
      <c r="B3766" s="1492" t="str">
        <f t="shared" si="564"/>
        <v>Repairing &amp; reconditioning of ion exchanger vessels of DM plant stream (PF,ACF,SAC,WBA,SBA,MB &amp;Degassor)</v>
      </c>
      <c r="C3766" s="1488">
        <f t="shared" si="564"/>
        <v>0</v>
      </c>
      <c r="D3766" s="1413" t="str">
        <f t="shared" si="564"/>
        <v>-</v>
      </c>
      <c r="E3766" s="560">
        <f t="shared" si="564"/>
        <v>15.75</v>
      </c>
      <c r="F3766" s="1508">
        <f t="shared" si="559"/>
        <v>0</v>
      </c>
      <c r="G3766" s="1508">
        <f t="shared" si="560"/>
        <v>0</v>
      </c>
      <c r="H3766" s="1508">
        <f t="shared" si="561"/>
        <v>0</v>
      </c>
      <c r="I3766" s="1480">
        <v>0</v>
      </c>
      <c r="J3766" s="1480">
        <v>0</v>
      </c>
      <c r="K3766" s="1508"/>
      <c r="L3766" s="1508"/>
      <c r="M3766" s="1509">
        <f t="shared" si="562"/>
        <v>0</v>
      </c>
      <c r="N3766" s="1508">
        <f t="shared" si="563"/>
        <v>0</v>
      </c>
    </row>
    <row r="3767" spans="1:14" ht="15.5" outlineLevel="1" x14ac:dyDescent="0.25">
      <c r="A3767" s="1504">
        <f t="shared" si="564"/>
        <v>0</v>
      </c>
      <c r="B3767" s="1504" t="str">
        <f t="shared" si="564"/>
        <v>CHP-A</v>
      </c>
      <c r="C3767" s="1488">
        <f t="shared" si="564"/>
        <v>0</v>
      </c>
      <c r="D3767" s="1413" t="str">
        <f t="shared" si="564"/>
        <v>-</v>
      </c>
      <c r="E3767" s="560">
        <f t="shared" si="564"/>
        <v>0</v>
      </c>
      <c r="F3767" s="1508">
        <f t="shared" si="559"/>
        <v>0</v>
      </c>
      <c r="G3767" s="1508">
        <f t="shared" si="560"/>
        <v>0</v>
      </c>
      <c r="H3767" s="1508">
        <f t="shared" si="561"/>
        <v>0</v>
      </c>
      <c r="I3767" s="1480">
        <v>0</v>
      </c>
      <c r="J3767" s="1480">
        <v>0</v>
      </c>
      <c r="K3767" s="1508"/>
      <c r="L3767" s="1508"/>
      <c r="M3767" s="1509">
        <f t="shared" si="562"/>
        <v>0</v>
      </c>
      <c r="N3767" s="1508">
        <f t="shared" si="563"/>
        <v>0</v>
      </c>
    </row>
    <row r="3768" spans="1:14" ht="31" outlineLevel="1" x14ac:dyDescent="0.25">
      <c r="A3768" s="1486">
        <f t="shared" si="564"/>
        <v>1</v>
      </c>
      <c r="B3768" s="1491" t="str">
        <f t="shared" si="564"/>
        <v>Proc of Loco, Bulldozer, &amp; upgradation of Wagon Tippler, Stacker, Wing Tripper &amp; installation of  Dust Extraction system</v>
      </c>
      <c r="C3768" s="1488">
        <f t="shared" si="564"/>
        <v>0</v>
      </c>
      <c r="D3768" s="1413" t="str">
        <f t="shared" si="564"/>
        <v>-</v>
      </c>
      <c r="E3768" s="560">
        <f t="shared" si="564"/>
        <v>58</v>
      </c>
      <c r="F3768" s="1508">
        <f t="shared" si="559"/>
        <v>0</v>
      </c>
      <c r="G3768" s="1508">
        <f t="shared" si="560"/>
        <v>0</v>
      </c>
      <c r="H3768" s="1508">
        <f t="shared" si="561"/>
        <v>0</v>
      </c>
      <c r="I3768" s="1480">
        <v>0</v>
      </c>
      <c r="J3768" s="1480">
        <v>0</v>
      </c>
      <c r="K3768" s="1508"/>
      <c r="L3768" s="1508"/>
      <c r="M3768" s="1509">
        <f t="shared" si="562"/>
        <v>0</v>
      </c>
      <c r="N3768" s="1508">
        <f t="shared" si="563"/>
        <v>0</v>
      </c>
    </row>
    <row r="3769" spans="1:14" ht="31" outlineLevel="1" x14ac:dyDescent="0.25">
      <c r="A3769" s="1492">
        <f t="shared" si="564"/>
        <v>0</v>
      </c>
      <c r="B3769" s="1492" t="str">
        <f t="shared" si="564"/>
        <v>Procurement of 2 numbers WDG-3A Locomotives and 4 numbers Bulldozers</v>
      </c>
      <c r="C3769" s="1488">
        <f t="shared" si="564"/>
        <v>0</v>
      </c>
      <c r="D3769" s="1413" t="str">
        <f t="shared" si="564"/>
        <v>-</v>
      </c>
      <c r="E3769" s="560">
        <f t="shared" si="564"/>
        <v>38</v>
      </c>
      <c r="F3769" s="1508">
        <f t="shared" si="559"/>
        <v>38</v>
      </c>
      <c r="G3769" s="1508">
        <f t="shared" si="560"/>
        <v>38</v>
      </c>
      <c r="H3769" s="1508">
        <f t="shared" si="561"/>
        <v>0</v>
      </c>
      <c r="I3769" s="1480">
        <v>0</v>
      </c>
      <c r="J3769" s="1480">
        <v>0</v>
      </c>
      <c r="K3769" s="1508"/>
      <c r="L3769" s="1508"/>
      <c r="M3769" s="1509">
        <f t="shared" si="562"/>
        <v>0</v>
      </c>
      <c r="N3769" s="1508">
        <f t="shared" si="563"/>
        <v>0</v>
      </c>
    </row>
    <row r="3770" spans="1:14" ht="31" outlineLevel="1" x14ac:dyDescent="0.25">
      <c r="A3770" s="1492">
        <f t="shared" si="564"/>
        <v>0</v>
      </c>
      <c r="B3770" s="1492" t="str">
        <f t="shared" si="564"/>
        <v>Upgradation of Wagon Tipplers, Stacker Reclaimer Machine and Wing Tripper at CHP-A</v>
      </c>
      <c r="C3770" s="1488">
        <f t="shared" si="564"/>
        <v>0</v>
      </c>
      <c r="D3770" s="1413" t="str">
        <f t="shared" si="564"/>
        <v>-</v>
      </c>
      <c r="E3770" s="560">
        <f t="shared" si="564"/>
        <v>15</v>
      </c>
      <c r="F3770" s="1508">
        <f t="shared" si="559"/>
        <v>15</v>
      </c>
      <c r="G3770" s="1508">
        <f t="shared" si="560"/>
        <v>15</v>
      </c>
      <c r="H3770" s="1508">
        <f t="shared" si="561"/>
        <v>0</v>
      </c>
      <c r="I3770" s="1480">
        <v>0</v>
      </c>
      <c r="J3770" s="1480">
        <v>0</v>
      </c>
      <c r="K3770" s="1508"/>
      <c r="L3770" s="1508"/>
      <c r="M3770" s="1509">
        <f t="shared" si="562"/>
        <v>0</v>
      </c>
      <c r="N3770" s="1508">
        <f t="shared" si="563"/>
        <v>0</v>
      </c>
    </row>
    <row r="3771" spans="1:14" ht="31" outlineLevel="1" x14ac:dyDescent="0.25">
      <c r="A3771" s="1492">
        <f t="shared" si="564"/>
        <v>0</v>
      </c>
      <c r="B3771" s="1492" t="str">
        <f t="shared" si="564"/>
        <v>Installation of Dust Extraction system at Bunker and SCR buildings</v>
      </c>
      <c r="C3771" s="1488">
        <f t="shared" si="564"/>
        <v>0</v>
      </c>
      <c r="D3771" s="1413" t="str">
        <f t="shared" si="564"/>
        <v>-</v>
      </c>
      <c r="E3771" s="560">
        <f t="shared" si="564"/>
        <v>5</v>
      </c>
      <c r="F3771" s="1508">
        <f t="shared" si="559"/>
        <v>5</v>
      </c>
      <c r="G3771" s="1508">
        <f t="shared" si="560"/>
        <v>5</v>
      </c>
      <c r="H3771" s="1508">
        <f t="shared" si="561"/>
        <v>0</v>
      </c>
      <c r="I3771" s="1480">
        <v>0</v>
      </c>
      <c r="J3771" s="1480">
        <v>0</v>
      </c>
      <c r="K3771" s="1508"/>
      <c r="L3771" s="1508"/>
      <c r="M3771" s="1509">
        <f t="shared" si="562"/>
        <v>0</v>
      </c>
      <c r="N3771" s="1508">
        <f t="shared" si="563"/>
        <v>0</v>
      </c>
    </row>
    <row r="3772" spans="1:14" ht="77.5" outlineLevel="1" x14ac:dyDescent="0.25">
      <c r="A3772" s="1486">
        <f t="shared" si="564"/>
        <v>2</v>
      </c>
      <c r="B3772" s="1491" t="str">
        <f t="shared" si="564"/>
        <v>Upgradation of BC-9A &amp; BC-9C, Aerial Ropeway System 1 &amp; 2 &amp; BC-L1,L2 &amp; L3, Upgradation of Junction Tower-1 Hopper and Bunkering Trippers, Providing and Installation of Hopper Grills of Wagon Tippler-169 &amp; 170, Road Hopper, DT Ho[pper and DRCC Grills</v>
      </c>
      <c r="C3772" s="1488">
        <f t="shared" si="564"/>
        <v>0</v>
      </c>
      <c r="D3772" s="1413" t="str">
        <f t="shared" si="564"/>
        <v>-</v>
      </c>
      <c r="E3772" s="560">
        <f t="shared" si="564"/>
        <v>33</v>
      </c>
      <c r="F3772" s="1508">
        <f t="shared" si="559"/>
        <v>0</v>
      </c>
      <c r="G3772" s="1508">
        <f t="shared" si="560"/>
        <v>0</v>
      </c>
      <c r="H3772" s="1508">
        <f t="shared" si="561"/>
        <v>0</v>
      </c>
      <c r="I3772" s="1480">
        <v>0</v>
      </c>
      <c r="J3772" s="1480">
        <v>0</v>
      </c>
      <c r="K3772" s="1508"/>
      <c r="L3772" s="1508"/>
      <c r="M3772" s="1509">
        <f t="shared" si="562"/>
        <v>0</v>
      </c>
      <c r="N3772" s="1508">
        <f t="shared" si="563"/>
        <v>0</v>
      </c>
    </row>
    <row r="3773" spans="1:14" ht="31" outlineLevel="1" x14ac:dyDescent="0.25">
      <c r="A3773" s="1492">
        <f t="shared" si="564"/>
        <v>0</v>
      </c>
      <c r="B3773" s="1492" t="str">
        <f t="shared" si="564"/>
        <v>Upgradation of BC-9A &amp; BC-9C for converting 1000 mm to 1200 mm along with Gantry structure replacement</v>
      </c>
      <c r="C3773" s="1488">
        <f t="shared" si="564"/>
        <v>0</v>
      </c>
      <c r="D3773" s="1413" t="str">
        <f t="shared" si="564"/>
        <v>-</v>
      </c>
      <c r="E3773" s="560">
        <f t="shared" si="564"/>
        <v>12</v>
      </c>
      <c r="F3773" s="1508">
        <f t="shared" si="559"/>
        <v>12</v>
      </c>
      <c r="G3773" s="1508">
        <f t="shared" si="560"/>
        <v>12</v>
      </c>
      <c r="H3773" s="1508">
        <f t="shared" si="561"/>
        <v>0</v>
      </c>
      <c r="I3773" s="1480">
        <v>0</v>
      </c>
      <c r="J3773" s="1480">
        <v>0</v>
      </c>
      <c r="K3773" s="1508"/>
      <c r="L3773" s="1508"/>
      <c r="M3773" s="1509">
        <f t="shared" si="562"/>
        <v>0</v>
      </c>
      <c r="N3773" s="1508">
        <f t="shared" si="563"/>
        <v>0</v>
      </c>
    </row>
    <row r="3774" spans="1:14" ht="15.5" outlineLevel="1" x14ac:dyDescent="0.25">
      <c r="A3774" s="1492">
        <f t="shared" si="564"/>
        <v>0</v>
      </c>
      <c r="B3774" s="1492" t="str">
        <f t="shared" si="564"/>
        <v>Upgradation of Aerial Ropeway System 1 &amp; 2 &amp; BC-L1,L2 &amp; L3</v>
      </c>
      <c r="C3774" s="1488">
        <f t="shared" si="564"/>
        <v>0</v>
      </c>
      <c r="D3774" s="1413" t="str">
        <f t="shared" si="564"/>
        <v>-</v>
      </c>
      <c r="E3774" s="560">
        <f t="shared" si="564"/>
        <v>10</v>
      </c>
      <c r="F3774" s="1508">
        <f t="shared" si="559"/>
        <v>10</v>
      </c>
      <c r="G3774" s="1508">
        <f t="shared" si="560"/>
        <v>10</v>
      </c>
      <c r="H3774" s="1508">
        <f t="shared" si="561"/>
        <v>0</v>
      </c>
      <c r="I3774" s="1480">
        <v>0</v>
      </c>
      <c r="J3774" s="1480">
        <v>0</v>
      </c>
      <c r="K3774" s="1508"/>
      <c r="L3774" s="1508"/>
      <c r="M3774" s="1509">
        <f t="shared" si="562"/>
        <v>0</v>
      </c>
      <c r="N3774" s="1508">
        <f t="shared" si="563"/>
        <v>0</v>
      </c>
    </row>
    <row r="3775" spans="1:14" ht="31" outlineLevel="1" x14ac:dyDescent="0.25">
      <c r="A3775" s="1492">
        <f t="shared" si="564"/>
        <v>0</v>
      </c>
      <c r="B3775" s="1492" t="str">
        <f t="shared" si="564"/>
        <v>Upgradation of Junction Tower-1 Hopper and Bunkering Trippers</v>
      </c>
      <c r="C3775" s="1488">
        <f t="shared" si="564"/>
        <v>0</v>
      </c>
      <c r="D3775" s="1413" t="str">
        <f t="shared" si="564"/>
        <v>-</v>
      </c>
      <c r="E3775" s="560">
        <f t="shared" si="564"/>
        <v>5.5</v>
      </c>
      <c r="F3775" s="1508">
        <f t="shared" si="559"/>
        <v>5.5</v>
      </c>
      <c r="G3775" s="1508">
        <f t="shared" si="560"/>
        <v>5.5</v>
      </c>
      <c r="H3775" s="1508">
        <f t="shared" si="561"/>
        <v>0</v>
      </c>
      <c r="I3775" s="1480">
        <v>0</v>
      </c>
      <c r="J3775" s="1480">
        <v>0</v>
      </c>
      <c r="K3775" s="1508"/>
      <c r="L3775" s="1508"/>
      <c r="M3775" s="1509">
        <f t="shared" si="562"/>
        <v>0</v>
      </c>
      <c r="N3775" s="1508">
        <f t="shared" si="563"/>
        <v>0</v>
      </c>
    </row>
    <row r="3776" spans="1:14" ht="31" outlineLevel="1" x14ac:dyDescent="0.25">
      <c r="A3776" s="1492">
        <f t="shared" ref="A3776:E3791" si="565">A3106</f>
        <v>0</v>
      </c>
      <c r="B3776" s="1492" t="str">
        <f t="shared" si="565"/>
        <v>Providing and Installation of Hopper Grills of Wagon Tippler-169 &amp; 170, Road Hopper, DT Ho[pper and DRCC Grills</v>
      </c>
      <c r="C3776" s="1488">
        <f t="shared" si="565"/>
        <v>0</v>
      </c>
      <c r="D3776" s="1413" t="str">
        <f t="shared" si="565"/>
        <v>-</v>
      </c>
      <c r="E3776" s="560">
        <f t="shared" si="565"/>
        <v>5.5</v>
      </c>
      <c r="F3776" s="1508">
        <f t="shared" si="559"/>
        <v>5.5</v>
      </c>
      <c r="G3776" s="1508">
        <f t="shared" si="560"/>
        <v>5.5</v>
      </c>
      <c r="H3776" s="1508">
        <f t="shared" si="561"/>
        <v>0</v>
      </c>
      <c r="I3776" s="1480">
        <v>0</v>
      </c>
      <c r="J3776" s="1480">
        <v>0</v>
      </c>
      <c r="K3776" s="1508"/>
      <c r="L3776" s="1508"/>
      <c r="M3776" s="1509">
        <f t="shared" si="562"/>
        <v>0</v>
      </c>
      <c r="N3776" s="1508">
        <f t="shared" si="563"/>
        <v>0</v>
      </c>
    </row>
    <row r="3777" spans="1:14" ht="31" outlineLevel="1" x14ac:dyDescent="0.25">
      <c r="A3777" s="1486">
        <f t="shared" si="565"/>
        <v>3</v>
      </c>
      <c r="B3777" s="1491" t="str">
        <f t="shared" si="565"/>
        <v>DPR for Bulldozer, Locomotives, Tunnel conveyors, Augur machines</v>
      </c>
      <c r="C3777" s="1488">
        <f t="shared" si="565"/>
        <v>0</v>
      </c>
      <c r="D3777" s="1413" t="str">
        <f t="shared" si="565"/>
        <v>-</v>
      </c>
      <c r="E3777" s="560">
        <f t="shared" si="565"/>
        <v>32</v>
      </c>
      <c r="F3777" s="1508">
        <f t="shared" si="559"/>
        <v>0</v>
      </c>
      <c r="G3777" s="1508">
        <f t="shared" si="560"/>
        <v>0</v>
      </c>
      <c r="H3777" s="1508">
        <f t="shared" si="561"/>
        <v>0</v>
      </c>
      <c r="I3777" s="1480">
        <v>0</v>
      </c>
      <c r="J3777" s="1480">
        <v>0</v>
      </c>
      <c r="K3777" s="1508"/>
      <c r="L3777" s="1508"/>
      <c r="M3777" s="1509">
        <f t="shared" si="562"/>
        <v>0</v>
      </c>
      <c r="N3777" s="1508">
        <f t="shared" si="563"/>
        <v>0</v>
      </c>
    </row>
    <row r="3778" spans="1:14" ht="15.5" outlineLevel="1" x14ac:dyDescent="0.25">
      <c r="A3778" s="1492">
        <f t="shared" si="565"/>
        <v>0</v>
      </c>
      <c r="B3778" s="1492" t="str">
        <f t="shared" si="565"/>
        <v>Procurement of 4 Numbers Bulldozers</v>
      </c>
      <c r="C3778" s="1488">
        <f t="shared" si="565"/>
        <v>0</v>
      </c>
      <c r="D3778" s="1413" t="str">
        <f t="shared" si="565"/>
        <v>-</v>
      </c>
      <c r="E3778" s="560">
        <f t="shared" si="565"/>
        <v>12</v>
      </c>
      <c r="F3778" s="1508">
        <f t="shared" si="559"/>
        <v>0</v>
      </c>
      <c r="G3778" s="1508">
        <f t="shared" si="560"/>
        <v>0</v>
      </c>
      <c r="H3778" s="1508">
        <f t="shared" si="561"/>
        <v>0</v>
      </c>
      <c r="I3778" s="1480">
        <v>12</v>
      </c>
      <c r="J3778" s="1480">
        <v>12</v>
      </c>
      <c r="K3778" s="1508"/>
      <c r="L3778" s="1508"/>
      <c r="M3778" s="1509">
        <f t="shared" si="562"/>
        <v>12</v>
      </c>
      <c r="N3778" s="1508">
        <f t="shared" si="563"/>
        <v>0</v>
      </c>
    </row>
    <row r="3779" spans="1:14" ht="15.5" outlineLevel="1" x14ac:dyDescent="0.25">
      <c r="A3779" s="1492">
        <f t="shared" si="565"/>
        <v>0</v>
      </c>
      <c r="B3779" s="1492" t="str">
        <f t="shared" si="565"/>
        <v>Procurement of 2 Numbers 800 HP Locomotives</v>
      </c>
      <c r="C3779" s="1488">
        <f t="shared" si="565"/>
        <v>0</v>
      </c>
      <c r="D3779" s="1413" t="str">
        <f t="shared" si="565"/>
        <v>-</v>
      </c>
      <c r="E3779" s="560">
        <f t="shared" si="565"/>
        <v>9</v>
      </c>
      <c r="F3779" s="1508">
        <f t="shared" si="559"/>
        <v>0</v>
      </c>
      <c r="G3779" s="1508">
        <f t="shared" si="560"/>
        <v>0</v>
      </c>
      <c r="H3779" s="1508">
        <f t="shared" si="561"/>
        <v>0</v>
      </c>
      <c r="I3779" s="1480">
        <v>9</v>
      </c>
      <c r="J3779" s="1480">
        <v>9</v>
      </c>
      <c r="K3779" s="1508"/>
      <c r="L3779" s="1508"/>
      <c r="M3779" s="1509">
        <f t="shared" si="562"/>
        <v>9</v>
      </c>
      <c r="N3779" s="1508">
        <f t="shared" si="563"/>
        <v>0</v>
      </c>
    </row>
    <row r="3780" spans="1:14" ht="31" outlineLevel="1" x14ac:dyDescent="0.25">
      <c r="A3780" s="1492">
        <f t="shared" si="565"/>
        <v>0</v>
      </c>
      <c r="B3780" s="1492" t="str">
        <f t="shared" si="565"/>
        <v>Upgradation of Tunnel conveyors BC-1AB, BC-4AB, BC-3, BC-5AB &amp; BC-21B</v>
      </c>
      <c r="C3780" s="1488">
        <f t="shared" si="565"/>
        <v>0</v>
      </c>
      <c r="D3780" s="1413" t="str">
        <f t="shared" si="565"/>
        <v>-</v>
      </c>
      <c r="E3780" s="560">
        <f t="shared" si="565"/>
        <v>5</v>
      </c>
      <c r="F3780" s="1508">
        <f t="shared" si="559"/>
        <v>0</v>
      </c>
      <c r="G3780" s="1508">
        <f t="shared" si="560"/>
        <v>0</v>
      </c>
      <c r="H3780" s="1508">
        <f t="shared" si="561"/>
        <v>0</v>
      </c>
      <c r="I3780" s="1480">
        <v>5</v>
      </c>
      <c r="J3780" s="1480">
        <v>5</v>
      </c>
      <c r="K3780" s="1508"/>
      <c r="L3780" s="1508"/>
      <c r="M3780" s="1509">
        <f t="shared" si="562"/>
        <v>5</v>
      </c>
      <c r="N3780" s="1508">
        <f t="shared" si="563"/>
        <v>0</v>
      </c>
    </row>
    <row r="3781" spans="1:14" ht="31" outlineLevel="1" x14ac:dyDescent="0.25">
      <c r="A3781" s="1492">
        <f t="shared" si="565"/>
        <v>0</v>
      </c>
      <c r="B3781" s="1492" t="str">
        <f t="shared" si="565"/>
        <v>Procurement of 4 Numbers Mobile Coal sampling Equipments (Augur Machines)</v>
      </c>
      <c r="C3781" s="1488">
        <f t="shared" si="565"/>
        <v>0</v>
      </c>
      <c r="D3781" s="1413" t="str">
        <f t="shared" si="565"/>
        <v>-</v>
      </c>
      <c r="E3781" s="560">
        <f t="shared" si="565"/>
        <v>6</v>
      </c>
      <c r="F3781" s="1508">
        <f t="shared" si="559"/>
        <v>0</v>
      </c>
      <c r="G3781" s="1508">
        <f t="shared" si="560"/>
        <v>0</v>
      </c>
      <c r="H3781" s="1508">
        <f t="shared" si="561"/>
        <v>0</v>
      </c>
      <c r="I3781" s="1480">
        <v>0</v>
      </c>
      <c r="J3781" s="1480">
        <v>0</v>
      </c>
      <c r="K3781" s="1508"/>
      <c r="L3781" s="1508"/>
      <c r="M3781" s="1509">
        <f t="shared" si="562"/>
        <v>0</v>
      </c>
      <c r="N3781" s="1508">
        <f t="shared" si="563"/>
        <v>0</v>
      </c>
    </row>
    <row r="3782" spans="1:14" ht="15.5" outlineLevel="1" x14ac:dyDescent="0.25">
      <c r="A3782" s="1504">
        <f t="shared" si="565"/>
        <v>0</v>
      </c>
      <c r="B3782" s="1504" t="str">
        <f t="shared" si="565"/>
        <v>Boiler Maintenance -II</v>
      </c>
      <c r="C3782" s="1488">
        <f t="shared" si="565"/>
        <v>0</v>
      </c>
      <c r="D3782" s="1413" t="str">
        <f t="shared" si="565"/>
        <v>-</v>
      </c>
      <c r="E3782" s="560">
        <f t="shared" si="565"/>
        <v>0</v>
      </c>
      <c r="F3782" s="1508">
        <f t="shared" si="559"/>
        <v>0</v>
      </c>
      <c r="G3782" s="1508">
        <f t="shared" si="560"/>
        <v>0</v>
      </c>
      <c r="H3782" s="1508">
        <f t="shared" si="561"/>
        <v>0</v>
      </c>
      <c r="I3782" s="1480">
        <v>0</v>
      </c>
      <c r="J3782" s="1480">
        <v>0</v>
      </c>
      <c r="K3782" s="1508"/>
      <c r="L3782" s="1508"/>
      <c r="M3782" s="1509">
        <f t="shared" si="562"/>
        <v>0</v>
      </c>
      <c r="N3782" s="1508">
        <f t="shared" si="563"/>
        <v>0</v>
      </c>
    </row>
    <row r="3783" spans="1:14" ht="31" outlineLevel="1" x14ac:dyDescent="0.25">
      <c r="A3783" s="1486">
        <f t="shared" si="565"/>
        <v>1</v>
      </c>
      <c r="B3783" s="1491" t="str">
        <f t="shared" si="565"/>
        <v xml:space="preserve">Up  Gradation of existing volumetric belt type coal feeders to gravimetric rotary weigh coal feeder of U-5 &amp; 6 at CSTPS </v>
      </c>
      <c r="C3783" s="1488">
        <f t="shared" si="565"/>
        <v>0</v>
      </c>
      <c r="D3783" s="1413" t="str">
        <f t="shared" si="565"/>
        <v>-</v>
      </c>
      <c r="E3783" s="560">
        <f t="shared" si="565"/>
        <v>85.69</v>
      </c>
      <c r="F3783" s="1508">
        <f t="shared" si="559"/>
        <v>0</v>
      </c>
      <c r="G3783" s="1508">
        <f t="shared" si="560"/>
        <v>0</v>
      </c>
      <c r="H3783" s="1508">
        <f t="shared" si="561"/>
        <v>0</v>
      </c>
      <c r="I3783" s="1480">
        <v>0</v>
      </c>
      <c r="J3783" s="1480">
        <v>0</v>
      </c>
      <c r="K3783" s="1508"/>
      <c r="L3783" s="1508"/>
      <c r="M3783" s="1509">
        <f t="shared" si="562"/>
        <v>0</v>
      </c>
      <c r="N3783" s="1508">
        <f t="shared" si="563"/>
        <v>0</v>
      </c>
    </row>
    <row r="3784" spans="1:14" ht="31" outlineLevel="1" x14ac:dyDescent="0.25">
      <c r="A3784" s="1492">
        <f t="shared" si="565"/>
        <v>0</v>
      </c>
      <c r="B3784" s="1492" t="str">
        <f t="shared" si="565"/>
        <v xml:space="preserve">Up  Gradation of existing volumetric belt type coal feeders to gravimetric rotary weigh coal feeder of U-5 &amp; 6 at CSTPS </v>
      </c>
      <c r="C3784" s="1488">
        <f t="shared" si="565"/>
        <v>0</v>
      </c>
      <c r="D3784" s="1413" t="str">
        <f t="shared" si="565"/>
        <v>-</v>
      </c>
      <c r="E3784" s="560">
        <f t="shared" si="565"/>
        <v>85.679999999999993</v>
      </c>
      <c r="F3784" s="1508">
        <f t="shared" si="559"/>
        <v>57.12</v>
      </c>
      <c r="G3784" s="1508">
        <f t="shared" si="560"/>
        <v>57.12</v>
      </c>
      <c r="H3784" s="1508">
        <f t="shared" si="561"/>
        <v>0</v>
      </c>
      <c r="I3784" s="1480">
        <v>28.56</v>
      </c>
      <c r="J3784" s="1480">
        <v>28.56</v>
      </c>
      <c r="K3784" s="1508"/>
      <c r="L3784" s="1508"/>
      <c r="M3784" s="1509">
        <f t="shared" si="562"/>
        <v>28.56</v>
      </c>
      <c r="N3784" s="1508">
        <f t="shared" si="563"/>
        <v>0</v>
      </c>
    </row>
    <row r="3785" spans="1:14" ht="62" outlineLevel="1" x14ac:dyDescent="0.25">
      <c r="A3785" s="1486">
        <f t="shared" si="565"/>
        <v>2</v>
      </c>
      <c r="B3785" s="1491" t="str">
        <f t="shared" si="565"/>
        <v>DPR for the Work of Modification of existing coal bunker and commissioning of bunker chute assembly with vibrating motor to avoid bunker mouth coal choke up for Unit 5 &amp;6 at CSTPS, Chandrapur.</v>
      </c>
      <c r="C3785" s="1488">
        <f t="shared" si="565"/>
        <v>0</v>
      </c>
      <c r="D3785" s="1413" t="str">
        <f t="shared" si="565"/>
        <v>-</v>
      </c>
      <c r="E3785" s="560">
        <f t="shared" si="565"/>
        <v>32.28</v>
      </c>
      <c r="F3785" s="1508">
        <f t="shared" si="559"/>
        <v>0</v>
      </c>
      <c r="G3785" s="1508">
        <f t="shared" si="560"/>
        <v>0</v>
      </c>
      <c r="H3785" s="1508">
        <f t="shared" si="561"/>
        <v>0</v>
      </c>
      <c r="I3785" s="1480">
        <v>0</v>
      </c>
      <c r="J3785" s="1480">
        <v>0</v>
      </c>
      <c r="K3785" s="1508"/>
      <c r="L3785" s="1508"/>
      <c r="M3785" s="1509">
        <f t="shared" si="562"/>
        <v>0</v>
      </c>
      <c r="N3785" s="1508">
        <f t="shared" si="563"/>
        <v>0</v>
      </c>
    </row>
    <row r="3786" spans="1:14" ht="62" outlineLevel="1" x14ac:dyDescent="0.25">
      <c r="A3786" s="1492">
        <f t="shared" si="565"/>
        <v>0</v>
      </c>
      <c r="B3786" s="1492" t="str">
        <f t="shared" si="565"/>
        <v>DPR for the Work of Modification of existing coal bunker and commissioning of bunker chute assembly with vibrating motor to avoid bunker mouth coal choke up for Unit 5 &amp;6 at CSTPS, Chandrapur.</v>
      </c>
      <c r="C3786" s="1488">
        <f t="shared" si="565"/>
        <v>0</v>
      </c>
      <c r="D3786" s="1413" t="str">
        <f t="shared" si="565"/>
        <v>-</v>
      </c>
      <c r="E3786" s="560">
        <f t="shared" si="565"/>
        <v>32.28</v>
      </c>
      <c r="F3786" s="1508">
        <f t="shared" si="559"/>
        <v>32.28</v>
      </c>
      <c r="G3786" s="1508">
        <f t="shared" si="560"/>
        <v>32.28</v>
      </c>
      <c r="H3786" s="1508">
        <f t="shared" si="561"/>
        <v>0</v>
      </c>
      <c r="I3786" s="1480">
        <v>0</v>
      </c>
      <c r="J3786" s="1480">
        <v>0</v>
      </c>
      <c r="K3786" s="1508"/>
      <c r="L3786" s="1508"/>
      <c r="M3786" s="1509">
        <f t="shared" si="562"/>
        <v>0</v>
      </c>
      <c r="N3786" s="1508">
        <f t="shared" si="563"/>
        <v>0</v>
      </c>
    </row>
    <row r="3787" spans="1:14" ht="31" outlineLevel="1" x14ac:dyDescent="0.25">
      <c r="A3787" s="1486">
        <f t="shared" si="565"/>
        <v>3</v>
      </c>
      <c r="B3787" s="1491" t="str">
        <f t="shared" si="565"/>
        <v>DPR for  Supply &amp; Replacment of Boiler Thermal Insulation Unit 5 &amp;6, 7 at CSTPS, Chandrapur.</v>
      </c>
      <c r="C3787" s="1488">
        <f t="shared" si="565"/>
        <v>0</v>
      </c>
      <c r="D3787" s="1413" t="str">
        <f t="shared" si="565"/>
        <v>-</v>
      </c>
      <c r="E3787" s="560">
        <f t="shared" si="565"/>
        <v>30</v>
      </c>
      <c r="F3787" s="1508">
        <f t="shared" si="559"/>
        <v>0</v>
      </c>
      <c r="G3787" s="1508">
        <f t="shared" si="560"/>
        <v>0</v>
      </c>
      <c r="H3787" s="1508">
        <f t="shared" si="561"/>
        <v>0</v>
      </c>
      <c r="I3787" s="1480">
        <v>0</v>
      </c>
      <c r="J3787" s="1480">
        <v>0</v>
      </c>
      <c r="K3787" s="1508"/>
      <c r="L3787" s="1508"/>
      <c r="M3787" s="1509">
        <f t="shared" si="562"/>
        <v>0</v>
      </c>
      <c r="N3787" s="1508">
        <f t="shared" si="563"/>
        <v>0</v>
      </c>
    </row>
    <row r="3788" spans="1:14" ht="31" outlineLevel="1" x14ac:dyDescent="0.25">
      <c r="A3788" s="1492">
        <f t="shared" si="565"/>
        <v>0</v>
      </c>
      <c r="B3788" s="1492" t="str">
        <f t="shared" si="565"/>
        <v>DPR for  Supply &amp; Replacment of Boiler Thermal Insulation Unit 5 &amp;6, 7 at CSTPS, Chandrapur.</v>
      </c>
      <c r="C3788" s="1488">
        <f t="shared" si="565"/>
        <v>0</v>
      </c>
      <c r="D3788" s="1413" t="str">
        <f t="shared" si="565"/>
        <v>-</v>
      </c>
      <c r="E3788" s="560">
        <f t="shared" si="565"/>
        <v>30</v>
      </c>
      <c r="F3788" s="1508">
        <f t="shared" si="559"/>
        <v>30</v>
      </c>
      <c r="G3788" s="1508">
        <f t="shared" si="560"/>
        <v>30</v>
      </c>
      <c r="H3788" s="1508">
        <f t="shared" si="561"/>
        <v>0</v>
      </c>
      <c r="I3788" s="1480">
        <v>0</v>
      </c>
      <c r="J3788" s="1480">
        <v>0</v>
      </c>
      <c r="K3788" s="1508"/>
      <c r="L3788" s="1508"/>
      <c r="M3788" s="1509">
        <f t="shared" si="562"/>
        <v>0</v>
      </c>
      <c r="N3788" s="1508">
        <f t="shared" si="563"/>
        <v>0</v>
      </c>
    </row>
    <row r="3789" spans="1:14" ht="62" outlineLevel="1" x14ac:dyDescent="0.25">
      <c r="A3789" s="1486">
        <f t="shared" si="565"/>
        <v>4</v>
      </c>
      <c r="B3789" s="1491" t="str">
        <f t="shared" si="565"/>
        <v>Detailed Project Report for Manufacturing, supply and application of wear resistance liners for Coal Mill XRP-1043 and Procurement of Complete Gear box for Coal Mill XRP-1043, ID Fan impeller and sub assembly for Unit 5 &amp; 6 At CSTPS, Chandrapur.</v>
      </c>
      <c r="C3789" s="1488">
        <f t="shared" si="565"/>
        <v>0</v>
      </c>
      <c r="D3789" s="1413" t="str">
        <f t="shared" si="565"/>
        <v>-</v>
      </c>
      <c r="E3789" s="560">
        <f t="shared" si="565"/>
        <v>25</v>
      </c>
      <c r="F3789" s="1508">
        <f t="shared" si="559"/>
        <v>0</v>
      </c>
      <c r="G3789" s="1508">
        <f t="shared" si="560"/>
        <v>0</v>
      </c>
      <c r="H3789" s="1508">
        <f t="shared" si="561"/>
        <v>0</v>
      </c>
      <c r="I3789" s="1480">
        <v>0</v>
      </c>
      <c r="J3789" s="1480">
        <v>0</v>
      </c>
      <c r="K3789" s="1508"/>
      <c r="L3789" s="1508"/>
      <c r="M3789" s="1509">
        <f t="shared" si="562"/>
        <v>0</v>
      </c>
      <c r="N3789" s="1508">
        <f t="shared" si="563"/>
        <v>0</v>
      </c>
    </row>
    <row r="3790" spans="1:14" ht="77.5" outlineLevel="1" x14ac:dyDescent="0.25">
      <c r="A3790" s="1492">
        <f t="shared" si="565"/>
        <v>0</v>
      </c>
      <c r="B3790" s="1492" t="str">
        <f t="shared" si="565"/>
        <v>Detailed Project Report for Manufacturing, supply and application of wear resistance liners for Coal Mill XRP-1043 and Procurement of Complete Gear box for Coal Mill XRP-1043, ID Fan impeller and sub assembly for Unit 5 &amp; 6 At CSTPS, Chandrapur.</v>
      </c>
      <c r="C3790" s="1488">
        <f t="shared" si="565"/>
        <v>0</v>
      </c>
      <c r="D3790" s="1413" t="str">
        <f t="shared" si="565"/>
        <v>-</v>
      </c>
      <c r="E3790" s="560">
        <f t="shared" si="565"/>
        <v>25</v>
      </c>
      <c r="F3790" s="1508">
        <f t="shared" si="559"/>
        <v>25</v>
      </c>
      <c r="G3790" s="1508">
        <f t="shared" si="560"/>
        <v>25</v>
      </c>
      <c r="H3790" s="1508">
        <f t="shared" si="561"/>
        <v>0</v>
      </c>
      <c r="I3790" s="1480">
        <v>0</v>
      </c>
      <c r="J3790" s="1480">
        <v>0</v>
      </c>
      <c r="K3790" s="1508"/>
      <c r="L3790" s="1508"/>
      <c r="M3790" s="1509">
        <f t="shared" si="562"/>
        <v>0</v>
      </c>
      <c r="N3790" s="1508">
        <f t="shared" si="563"/>
        <v>0</v>
      </c>
    </row>
    <row r="3791" spans="1:14" ht="31" outlineLevel="1" x14ac:dyDescent="0.25">
      <c r="A3791" s="1486">
        <f t="shared" si="565"/>
        <v>5</v>
      </c>
      <c r="B3791" s="1491" t="str">
        <f t="shared" si="565"/>
        <v>DPR for Modification and Restoration of Eco. outlet to ESP inlet duct of Unit -6 (500MW) CSTPS, Chandrapur .</v>
      </c>
      <c r="C3791" s="1488">
        <f t="shared" si="565"/>
        <v>0</v>
      </c>
      <c r="D3791" s="1413" t="str">
        <f t="shared" si="565"/>
        <v>-</v>
      </c>
      <c r="E3791" s="560">
        <f t="shared" si="565"/>
        <v>25</v>
      </c>
      <c r="F3791" s="1508">
        <f t="shared" si="559"/>
        <v>0</v>
      </c>
      <c r="G3791" s="1508">
        <f t="shared" si="560"/>
        <v>0</v>
      </c>
      <c r="H3791" s="1508">
        <f t="shared" si="561"/>
        <v>0</v>
      </c>
      <c r="I3791" s="1480">
        <v>0</v>
      </c>
      <c r="J3791" s="1480">
        <v>0</v>
      </c>
      <c r="K3791" s="1508"/>
      <c r="L3791" s="1508"/>
      <c r="M3791" s="1509">
        <f t="shared" si="562"/>
        <v>0</v>
      </c>
      <c r="N3791" s="1508">
        <f t="shared" si="563"/>
        <v>0</v>
      </c>
    </row>
    <row r="3792" spans="1:14" ht="31" outlineLevel="1" x14ac:dyDescent="0.25">
      <c r="A3792" s="1492">
        <f t="shared" ref="A3792:E3807" si="566">A3122</f>
        <v>0</v>
      </c>
      <c r="B3792" s="1492" t="str">
        <f t="shared" si="566"/>
        <v>DPR for Modification and Restoration of Eco. outlet to ESP inlet duct of Unit -6 (500MW) CSTPS, Chandrapur .</v>
      </c>
      <c r="C3792" s="1488">
        <f t="shared" si="566"/>
        <v>0</v>
      </c>
      <c r="D3792" s="1413" t="str">
        <f t="shared" si="566"/>
        <v>-</v>
      </c>
      <c r="E3792" s="560">
        <f t="shared" si="566"/>
        <v>25</v>
      </c>
      <c r="F3792" s="1508">
        <f t="shared" si="559"/>
        <v>25</v>
      </c>
      <c r="G3792" s="1508">
        <f t="shared" si="560"/>
        <v>25</v>
      </c>
      <c r="H3792" s="1508">
        <f t="shared" si="561"/>
        <v>0</v>
      </c>
      <c r="I3792" s="1480">
        <v>0</v>
      </c>
      <c r="J3792" s="1480">
        <v>0</v>
      </c>
      <c r="K3792" s="1508"/>
      <c r="L3792" s="1508"/>
      <c r="M3792" s="1509">
        <f t="shared" si="562"/>
        <v>0</v>
      </c>
      <c r="N3792" s="1508">
        <f t="shared" si="563"/>
        <v>0</v>
      </c>
    </row>
    <row r="3793" spans="1:14" ht="108.5" outlineLevel="1" x14ac:dyDescent="0.25">
      <c r="A3793" s="1486">
        <f t="shared" si="566"/>
        <v>6</v>
      </c>
      <c r="B3793" s="1491" t="str">
        <f t="shared" si="566"/>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3793" s="1488">
        <f t="shared" si="566"/>
        <v>0</v>
      </c>
      <c r="D3793" s="1413" t="str">
        <f t="shared" si="566"/>
        <v>-</v>
      </c>
      <c r="E3793" s="560">
        <f t="shared" si="566"/>
        <v>40</v>
      </c>
      <c r="F3793" s="1508">
        <f t="shared" si="559"/>
        <v>0</v>
      </c>
      <c r="G3793" s="1508">
        <f t="shared" si="560"/>
        <v>0</v>
      </c>
      <c r="H3793" s="1508">
        <f t="shared" si="561"/>
        <v>0</v>
      </c>
      <c r="I3793" s="1480">
        <v>0</v>
      </c>
      <c r="J3793" s="1480">
        <v>0</v>
      </c>
      <c r="K3793" s="1508"/>
      <c r="L3793" s="1508"/>
      <c r="M3793" s="1509">
        <f t="shared" si="562"/>
        <v>0</v>
      </c>
      <c r="N3793" s="1508">
        <f t="shared" si="563"/>
        <v>0</v>
      </c>
    </row>
    <row r="3794" spans="1:14" ht="108.5" outlineLevel="1" x14ac:dyDescent="0.25">
      <c r="A3794" s="1492">
        <f t="shared" si="566"/>
        <v>0</v>
      </c>
      <c r="B3794" s="1492" t="str">
        <f t="shared" si="566"/>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3794" s="1488">
        <f t="shared" si="566"/>
        <v>0</v>
      </c>
      <c r="D3794" s="1413" t="str">
        <f t="shared" si="566"/>
        <v>-</v>
      </c>
      <c r="E3794" s="560">
        <f t="shared" si="566"/>
        <v>40</v>
      </c>
      <c r="F3794" s="1508">
        <f t="shared" si="559"/>
        <v>40</v>
      </c>
      <c r="G3794" s="1508">
        <f t="shared" si="560"/>
        <v>40</v>
      </c>
      <c r="H3794" s="1508">
        <f t="shared" si="561"/>
        <v>0</v>
      </c>
      <c r="I3794" s="1480">
        <v>0</v>
      </c>
      <c r="J3794" s="1480">
        <v>0</v>
      </c>
      <c r="K3794" s="1508"/>
      <c r="L3794" s="1508"/>
      <c r="M3794" s="1509">
        <f t="shared" si="562"/>
        <v>0</v>
      </c>
      <c r="N3794" s="1508">
        <f t="shared" si="563"/>
        <v>0</v>
      </c>
    </row>
    <row r="3795" spans="1:14" ht="46.5" outlineLevel="1" x14ac:dyDescent="0.25">
      <c r="A3795" s="1486">
        <f t="shared" si="566"/>
        <v>7</v>
      </c>
      <c r="B3795" s="1491" t="str">
        <f t="shared" si="566"/>
        <v>DPR for Supply &amp; Replacement of Divisional Panels in Boiler Unit 5,6 &amp; 7 and Economizer upper coil assembly in Unit 5 &amp; 6 CSTPS, Chandrapur.</v>
      </c>
      <c r="C3795" s="1488">
        <f t="shared" si="566"/>
        <v>0</v>
      </c>
      <c r="D3795" s="1413" t="str">
        <f t="shared" si="566"/>
        <v>-</v>
      </c>
      <c r="E3795" s="560">
        <f t="shared" si="566"/>
        <v>40</v>
      </c>
      <c r="F3795" s="1508">
        <f t="shared" si="559"/>
        <v>0</v>
      </c>
      <c r="G3795" s="1508">
        <f t="shared" si="560"/>
        <v>0</v>
      </c>
      <c r="H3795" s="1508">
        <f t="shared" si="561"/>
        <v>0</v>
      </c>
      <c r="I3795" s="1480">
        <v>0</v>
      </c>
      <c r="J3795" s="1480">
        <v>0</v>
      </c>
      <c r="K3795" s="1508"/>
      <c r="L3795" s="1508"/>
      <c r="M3795" s="1509">
        <f t="shared" si="562"/>
        <v>0</v>
      </c>
      <c r="N3795" s="1508">
        <f t="shared" si="563"/>
        <v>0</v>
      </c>
    </row>
    <row r="3796" spans="1:14" ht="46.5" outlineLevel="1" x14ac:dyDescent="0.25">
      <c r="A3796" s="1492">
        <f t="shared" si="566"/>
        <v>0</v>
      </c>
      <c r="B3796" s="1492" t="str">
        <f t="shared" si="566"/>
        <v>DPR for Supply &amp; Replacement of Divisional Panels in Boiler Unit 5,6 &amp; 7 and Economizer upper coil assembly in Unit 5 &amp; 6 CSTPS, Chandrapur.</v>
      </c>
      <c r="C3796" s="1488">
        <f t="shared" si="566"/>
        <v>0</v>
      </c>
      <c r="D3796" s="1413" t="str">
        <f t="shared" si="566"/>
        <v>-</v>
      </c>
      <c r="E3796" s="560">
        <f t="shared" si="566"/>
        <v>40</v>
      </c>
      <c r="F3796" s="1508">
        <f t="shared" si="559"/>
        <v>40</v>
      </c>
      <c r="G3796" s="1508">
        <f t="shared" si="560"/>
        <v>40</v>
      </c>
      <c r="H3796" s="1508">
        <f t="shared" si="561"/>
        <v>0</v>
      </c>
      <c r="I3796" s="1480">
        <v>0</v>
      </c>
      <c r="J3796" s="1480">
        <v>0</v>
      </c>
      <c r="K3796" s="1508"/>
      <c r="L3796" s="1508"/>
      <c r="M3796" s="1509">
        <f t="shared" si="562"/>
        <v>0</v>
      </c>
      <c r="N3796" s="1508">
        <f t="shared" si="563"/>
        <v>0</v>
      </c>
    </row>
    <row r="3797" spans="1:14" ht="46.5" outlineLevel="1" x14ac:dyDescent="0.25">
      <c r="A3797" s="1486">
        <f t="shared" si="566"/>
        <v>8</v>
      </c>
      <c r="B3797" s="1491" t="str">
        <f t="shared" si="566"/>
        <v>DPR for the Supply &amp; Replacement of Platen Superheater, Front Reheater in Unit-7 and Economizer middle &amp; Economizer lower coil assembly in Unit 5 &amp; 6 CSTPS, Chandrapur.</v>
      </c>
      <c r="C3797" s="1488">
        <f t="shared" si="566"/>
        <v>0</v>
      </c>
      <c r="D3797" s="1413" t="str">
        <f t="shared" si="566"/>
        <v>-</v>
      </c>
      <c r="E3797" s="560">
        <f t="shared" si="566"/>
        <v>52</v>
      </c>
      <c r="F3797" s="1508">
        <f t="shared" si="559"/>
        <v>0</v>
      </c>
      <c r="G3797" s="1508">
        <f t="shared" si="560"/>
        <v>0</v>
      </c>
      <c r="H3797" s="1508">
        <f t="shared" si="561"/>
        <v>0</v>
      </c>
      <c r="I3797" s="1480">
        <v>0</v>
      </c>
      <c r="J3797" s="1480">
        <v>0</v>
      </c>
      <c r="K3797" s="1508"/>
      <c r="L3797" s="1508"/>
      <c r="M3797" s="1509">
        <f t="shared" si="562"/>
        <v>0</v>
      </c>
      <c r="N3797" s="1508">
        <f t="shared" si="563"/>
        <v>0</v>
      </c>
    </row>
    <row r="3798" spans="1:14" ht="46.5" outlineLevel="1" x14ac:dyDescent="0.25">
      <c r="A3798" s="1492">
        <f t="shared" si="566"/>
        <v>0</v>
      </c>
      <c r="B3798" s="1492" t="str">
        <f t="shared" si="566"/>
        <v>DPR for the Supply &amp; Replacement of Platen Superheater, Front Reheater in Unit-7 and Economizer middle &amp; Economizer lower coil assembly in Unit 5 &amp; 6 CSTPS, Chandrapur.</v>
      </c>
      <c r="C3798" s="1488">
        <f t="shared" si="566"/>
        <v>0</v>
      </c>
      <c r="D3798" s="1413" t="str">
        <f t="shared" si="566"/>
        <v>-</v>
      </c>
      <c r="E3798" s="560">
        <f t="shared" si="566"/>
        <v>52</v>
      </c>
      <c r="F3798" s="1508">
        <f t="shared" si="559"/>
        <v>52</v>
      </c>
      <c r="G3798" s="1508">
        <f t="shared" si="560"/>
        <v>52</v>
      </c>
      <c r="H3798" s="1508">
        <f t="shared" si="561"/>
        <v>0</v>
      </c>
      <c r="I3798" s="1480">
        <v>0</v>
      </c>
      <c r="J3798" s="1480">
        <v>0</v>
      </c>
      <c r="K3798" s="1508"/>
      <c r="L3798" s="1508"/>
      <c r="M3798" s="1509">
        <f t="shared" si="562"/>
        <v>0</v>
      </c>
      <c r="N3798" s="1508">
        <f t="shared" si="563"/>
        <v>0</v>
      </c>
    </row>
    <row r="3799" spans="1:14" ht="31" outlineLevel="1" x14ac:dyDescent="0.25">
      <c r="A3799" s="1486">
        <f t="shared" si="566"/>
        <v>9</v>
      </c>
      <c r="B3799" s="1491" t="str">
        <f t="shared" si="566"/>
        <v>DPR for the Supply &amp; Replacement of Front &amp; Rear Reheater coil assemblies and LTSH terminal tube assembly in Boiler Unit 5 &amp; 6</v>
      </c>
      <c r="C3799" s="1488">
        <f t="shared" si="566"/>
        <v>0</v>
      </c>
      <c r="D3799" s="1413" t="str">
        <f t="shared" si="566"/>
        <v>-</v>
      </c>
      <c r="E3799" s="560">
        <f t="shared" si="566"/>
        <v>30</v>
      </c>
      <c r="F3799" s="1508">
        <f t="shared" si="559"/>
        <v>0</v>
      </c>
      <c r="G3799" s="1508">
        <f t="shared" si="560"/>
        <v>0</v>
      </c>
      <c r="H3799" s="1508">
        <f t="shared" si="561"/>
        <v>0</v>
      </c>
      <c r="I3799" s="1480">
        <v>0</v>
      </c>
      <c r="J3799" s="1480">
        <v>0</v>
      </c>
      <c r="K3799" s="1508"/>
      <c r="L3799" s="1508"/>
      <c r="M3799" s="1509">
        <f t="shared" si="562"/>
        <v>0</v>
      </c>
      <c r="N3799" s="1508">
        <f t="shared" si="563"/>
        <v>0</v>
      </c>
    </row>
    <row r="3800" spans="1:14" ht="46.5" outlineLevel="1" x14ac:dyDescent="0.25">
      <c r="A3800" s="1492">
        <f t="shared" si="566"/>
        <v>0</v>
      </c>
      <c r="B3800" s="1492" t="str">
        <f t="shared" si="566"/>
        <v xml:space="preserve">DPR for the Supply &amp; Replacement of Front &amp; Rear Reheater coil assemblies and LTSH terminal tube assembly in Boiler Unit 5 &amp; 6 . </v>
      </c>
      <c r="C3800" s="1488">
        <f t="shared" si="566"/>
        <v>0</v>
      </c>
      <c r="D3800" s="1413" t="str">
        <f t="shared" si="566"/>
        <v>-</v>
      </c>
      <c r="E3800" s="560">
        <f t="shared" si="566"/>
        <v>30</v>
      </c>
      <c r="F3800" s="1508">
        <f t="shared" si="559"/>
        <v>30</v>
      </c>
      <c r="G3800" s="1508">
        <f t="shared" si="560"/>
        <v>30</v>
      </c>
      <c r="H3800" s="1508">
        <f t="shared" si="561"/>
        <v>0</v>
      </c>
      <c r="I3800" s="1480">
        <v>0</v>
      </c>
      <c r="J3800" s="1480">
        <v>0</v>
      </c>
      <c r="K3800" s="1508"/>
      <c r="L3800" s="1508"/>
      <c r="M3800" s="1509">
        <f t="shared" si="562"/>
        <v>0</v>
      </c>
      <c r="N3800" s="1508">
        <f t="shared" si="563"/>
        <v>0</v>
      </c>
    </row>
    <row r="3801" spans="1:14" ht="46.5" outlineLevel="1" x14ac:dyDescent="0.25">
      <c r="A3801" s="1486">
        <f t="shared" si="566"/>
        <v>10</v>
      </c>
      <c r="B3801" s="1491" t="str">
        <f t="shared" si="566"/>
        <v>DPR For Coal Mill Performance Improvement and Life Enhancement of BHEL Make XRP-1043 Coal Mills in Unit 5 &amp; 6 At CSTPS, Chandrapur.</v>
      </c>
      <c r="C3801" s="1488">
        <f t="shared" si="566"/>
        <v>0</v>
      </c>
      <c r="D3801" s="1413" t="str">
        <f t="shared" si="566"/>
        <v>-</v>
      </c>
      <c r="E3801" s="560">
        <f t="shared" si="566"/>
        <v>52.62</v>
      </c>
      <c r="F3801" s="1508">
        <f t="shared" si="559"/>
        <v>0</v>
      </c>
      <c r="G3801" s="1508">
        <f t="shared" si="560"/>
        <v>0</v>
      </c>
      <c r="H3801" s="1508">
        <f t="shared" si="561"/>
        <v>0</v>
      </c>
      <c r="I3801" s="1480">
        <v>0</v>
      </c>
      <c r="J3801" s="1480">
        <v>0</v>
      </c>
      <c r="K3801" s="1508"/>
      <c r="L3801" s="1508"/>
      <c r="M3801" s="1509">
        <f t="shared" si="562"/>
        <v>0</v>
      </c>
      <c r="N3801" s="1508">
        <f t="shared" si="563"/>
        <v>0</v>
      </c>
    </row>
    <row r="3802" spans="1:14" ht="46.5" outlineLevel="1" x14ac:dyDescent="0.25">
      <c r="A3802" s="1492">
        <f t="shared" si="566"/>
        <v>0</v>
      </c>
      <c r="B3802" s="1492" t="str">
        <f t="shared" si="566"/>
        <v>DPR For Coal Mill Performance Improvement and Life Enhancement of BHEL Make XRP-1043 Coal Mills in Unit 5 &amp; 6 At CSTPS, Chandrapur.</v>
      </c>
      <c r="C3802" s="1488">
        <f t="shared" si="566"/>
        <v>0</v>
      </c>
      <c r="D3802" s="1413" t="str">
        <f t="shared" si="566"/>
        <v>-</v>
      </c>
      <c r="E3802" s="560">
        <f t="shared" si="566"/>
        <v>52.62</v>
      </c>
      <c r="F3802" s="1508">
        <f t="shared" si="559"/>
        <v>52.62</v>
      </c>
      <c r="G3802" s="1508">
        <f t="shared" si="560"/>
        <v>52.62</v>
      </c>
      <c r="H3802" s="1508">
        <f t="shared" si="561"/>
        <v>0</v>
      </c>
      <c r="I3802" s="1480">
        <v>0</v>
      </c>
      <c r="J3802" s="1480">
        <v>0</v>
      </c>
      <c r="K3802" s="1508"/>
      <c r="L3802" s="1508"/>
      <c r="M3802" s="1509">
        <f t="shared" si="562"/>
        <v>0</v>
      </c>
      <c r="N3802" s="1508">
        <f t="shared" si="563"/>
        <v>0</v>
      </c>
    </row>
    <row r="3803" spans="1:14" ht="15.5" outlineLevel="1" x14ac:dyDescent="0.25">
      <c r="A3803" s="1504">
        <f t="shared" si="566"/>
        <v>0</v>
      </c>
      <c r="B3803" s="1504" t="str">
        <f t="shared" si="566"/>
        <v>Turbine Maintenance-II</v>
      </c>
      <c r="C3803" s="1488">
        <f t="shared" si="566"/>
        <v>0</v>
      </c>
      <c r="D3803" s="1413" t="str">
        <f t="shared" si="566"/>
        <v>-</v>
      </c>
      <c r="E3803" s="560">
        <f t="shared" si="566"/>
        <v>0</v>
      </c>
      <c r="F3803" s="1508">
        <f t="shared" si="559"/>
        <v>0</v>
      </c>
      <c r="G3803" s="1508">
        <f t="shared" si="560"/>
        <v>0</v>
      </c>
      <c r="H3803" s="1508">
        <f t="shared" si="561"/>
        <v>0</v>
      </c>
      <c r="I3803" s="1480">
        <v>0</v>
      </c>
      <c r="J3803" s="1480">
        <v>0</v>
      </c>
      <c r="K3803" s="1508"/>
      <c r="L3803" s="1508"/>
      <c r="M3803" s="1509">
        <f t="shared" si="562"/>
        <v>0</v>
      </c>
      <c r="N3803" s="1508">
        <f t="shared" si="563"/>
        <v>0</v>
      </c>
    </row>
    <row r="3804" spans="1:14" ht="46.5" outlineLevel="1" x14ac:dyDescent="0.25">
      <c r="A3804" s="1486">
        <f t="shared" si="566"/>
        <v>1</v>
      </c>
      <c r="B3804" s="1491" t="str">
        <f t="shared" si="566"/>
        <v>Post facto DPR for "Urgent restoration and Life Enhancement of Unit#5 500 MW BHEL make Turbo Generator for prolonged efficient operation at Stage-III CSTPS Chandrapur"</v>
      </c>
      <c r="C3804" s="166">
        <f t="shared" si="566"/>
        <v>0</v>
      </c>
      <c r="D3804" s="1413" t="str">
        <f t="shared" si="566"/>
        <v>-</v>
      </c>
      <c r="E3804" s="560">
        <f t="shared" si="566"/>
        <v>25.42</v>
      </c>
      <c r="F3804" s="1508">
        <f t="shared" si="559"/>
        <v>0</v>
      </c>
      <c r="G3804" s="1508">
        <f t="shared" si="560"/>
        <v>0</v>
      </c>
      <c r="H3804" s="1508">
        <f t="shared" si="561"/>
        <v>0</v>
      </c>
      <c r="I3804" s="1480">
        <v>0</v>
      </c>
      <c r="J3804" s="1480">
        <v>0</v>
      </c>
      <c r="K3804" s="1508"/>
      <c r="L3804" s="1508"/>
      <c r="M3804" s="1509">
        <f t="shared" si="562"/>
        <v>0</v>
      </c>
      <c r="N3804" s="1508">
        <f t="shared" si="563"/>
        <v>0</v>
      </c>
    </row>
    <row r="3805" spans="1:14" ht="46.5" outlineLevel="1" x14ac:dyDescent="0.25">
      <c r="A3805" s="1492">
        <f t="shared" si="566"/>
        <v>0</v>
      </c>
      <c r="B3805" s="1492" t="str">
        <f t="shared" si="566"/>
        <v>Post facto DPR for "Urgent restoration and Life Enhancement of Unit#5 500 MW BHEL make Turbo Generator for prolonged efficient operation at Stage-III CSTPS Chandrapur"</v>
      </c>
      <c r="C3805" s="166">
        <f t="shared" si="566"/>
        <v>0</v>
      </c>
      <c r="D3805" s="1413" t="str">
        <f t="shared" si="566"/>
        <v>-</v>
      </c>
      <c r="E3805" s="560">
        <f t="shared" si="566"/>
        <v>25.42</v>
      </c>
      <c r="F3805" s="1508">
        <f t="shared" si="559"/>
        <v>25.42</v>
      </c>
      <c r="G3805" s="1508">
        <f t="shared" si="560"/>
        <v>25.42</v>
      </c>
      <c r="H3805" s="1508">
        <f t="shared" si="561"/>
        <v>0</v>
      </c>
      <c r="I3805" s="1480">
        <v>0</v>
      </c>
      <c r="J3805" s="1480">
        <v>0</v>
      </c>
      <c r="K3805" s="1508"/>
      <c r="L3805" s="1508"/>
      <c r="M3805" s="1509">
        <f t="shared" si="562"/>
        <v>0</v>
      </c>
      <c r="N3805" s="1508">
        <f t="shared" si="563"/>
        <v>0</v>
      </c>
    </row>
    <row r="3806" spans="1:14" ht="31" outlineLevel="1" x14ac:dyDescent="0.25">
      <c r="A3806" s="1486">
        <f t="shared" si="566"/>
        <v>2</v>
      </c>
      <c r="B3806" s="1491" t="str">
        <f t="shared" si="566"/>
        <v>Upgradation and modernization scheme for Air Washer system installed in U-5 &amp; 6, CSTPS, Chandrapur</v>
      </c>
      <c r="C3806" s="1488">
        <f t="shared" si="566"/>
        <v>0</v>
      </c>
      <c r="D3806" s="1413" t="str">
        <f t="shared" si="566"/>
        <v>-</v>
      </c>
      <c r="E3806" s="560">
        <f t="shared" si="566"/>
        <v>25</v>
      </c>
      <c r="F3806" s="1508">
        <f t="shared" si="559"/>
        <v>0</v>
      </c>
      <c r="G3806" s="1508">
        <f t="shared" si="560"/>
        <v>0</v>
      </c>
      <c r="H3806" s="1508">
        <f t="shared" si="561"/>
        <v>0</v>
      </c>
      <c r="I3806" s="1480">
        <v>0</v>
      </c>
      <c r="J3806" s="1480">
        <v>0</v>
      </c>
      <c r="K3806" s="1508"/>
      <c r="L3806" s="1508"/>
      <c r="M3806" s="1509">
        <f t="shared" si="562"/>
        <v>0</v>
      </c>
      <c r="N3806" s="1508">
        <f t="shared" si="563"/>
        <v>0</v>
      </c>
    </row>
    <row r="3807" spans="1:14" ht="46.5" outlineLevel="1" x14ac:dyDescent="0.25">
      <c r="A3807" s="1492">
        <f t="shared" si="566"/>
        <v>0</v>
      </c>
      <c r="B3807" s="1492" t="str">
        <f t="shared" si="566"/>
        <v>Design, Supply, Installation, Testing &amp; commissioning of Energy Efficient Air Washer System for Unit -5 &amp; 6, 500MW, CSTPS, Chandrapur</v>
      </c>
      <c r="C3807" s="1488">
        <f t="shared" si="566"/>
        <v>0</v>
      </c>
      <c r="D3807" s="1413" t="str">
        <f t="shared" si="566"/>
        <v>-</v>
      </c>
      <c r="E3807" s="560">
        <f t="shared" si="566"/>
        <v>25</v>
      </c>
      <c r="F3807" s="1508">
        <f t="shared" si="559"/>
        <v>6.25</v>
      </c>
      <c r="G3807" s="1508">
        <f t="shared" si="560"/>
        <v>6.25</v>
      </c>
      <c r="H3807" s="1508">
        <f t="shared" si="561"/>
        <v>0</v>
      </c>
      <c r="I3807" s="1480">
        <v>6.25</v>
      </c>
      <c r="J3807" s="1480">
        <v>6.25</v>
      </c>
      <c r="K3807" s="1508"/>
      <c r="L3807" s="1508"/>
      <c r="M3807" s="1509">
        <f t="shared" si="562"/>
        <v>6.25</v>
      </c>
      <c r="N3807" s="1508">
        <f t="shared" si="563"/>
        <v>0</v>
      </c>
    </row>
    <row r="3808" spans="1:14" ht="31" outlineLevel="1" x14ac:dyDescent="0.25">
      <c r="A3808" s="1486">
        <f t="shared" ref="A3808:E3823" si="567">A3138</f>
        <v>3</v>
      </c>
      <c r="B3808" s="1491" t="str">
        <f t="shared" si="567"/>
        <v>Schemes for Improvement in availability &amp; performance of feed system for U-5, 6 &amp; 7, CSTPS, Chandrapur</v>
      </c>
      <c r="C3808" s="1488">
        <f t="shared" si="567"/>
        <v>0</v>
      </c>
      <c r="D3808" s="1413" t="str">
        <f t="shared" si="567"/>
        <v>-</v>
      </c>
      <c r="E3808" s="560">
        <f t="shared" si="567"/>
        <v>44.25</v>
      </c>
      <c r="F3808" s="1508">
        <f t="shared" ref="F3808:F3871" si="568">F3138+I3138</f>
        <v>0</v>
      </c>
      <c r="G3808" s="1508">
        <f t="shared" ref="G3808:G3871" si="569">G3138+M3138</f>
        <v>0</v>
      </c>
      <c r="H3808" s="1508">
        <f t="shared" si="561"/>
        <v>0</v>
      </c>
      <c r="I3808" s="1480">
        <v>0</v>
      </c>
      <c r="J3808" s="1480">
        <v>0</v>
      </c>
      <c r="K3808" s="1508"/>
      <c r="L3808" s="1508"/>
      <c r="M3808" s="1509">
        <f t="shared" si="562"/>
        <v>0</v>
      </c>
      <c r="N3808" s="1508">
        <f t="shared" si="563"/>
        <v>0</v>
      </c>
    </row>
    <row r="3809" spans="1:14" ht="31" outlineLevel="1" x14ac:dyDescent="0.25">
      <c r="A3809" s="1492">
        <f t="shared" si="567"/>
        <v>0</v>
      </c>
      <c r="B3809" s="1492" t="str">
        <f t="shared" si="567"/>
        <v>Procurement of BFP Booster Pump assembly for Unit-5, 6 &amp; 7 CSTPS Chandrapur</v>
      </c>
      <c r="C3809" s="1488">
        <f t="shared" si="567"/>
        <v>0</v>
      </c>
      <c r="D3809" s="1413" t="str">
        <f t="shared" si="567"/>
        <v>-</v>
      </c>
      <c r="E3809" s="560">
        <f t="shared" si="567"/>
        <v>7.2</v>
      </c>
      <c r="F3809" s="1508">
        <f t="shared" si="568"/>
        <v>3.2</v>
      </c>
      <c r="G3809" s="1508">
        <f t="shared" si="569"/>
        <v>3.2</v>
      </c>
      <c r="H3809" s="1508">
        <f t="shared" si="561"/>
        <v>0</v>
      </c>
      <c r="I3809" s="1480">
        <v>0</v>
      </c>
      <c r="J3809" s="1480">
        <v>0</v>
      </c>
      <c r="K3809" s="1508"/>
      <c r="L3809" s="1508"/>
      <c r="M3809" s="1509">
        <f t="shared" si="562"/>
        <v>0</v>
      </c>
      <c r="N3809" s="1508">
        <f t="shared" si="563"/>
        <v>0</v>
      </c>
    </row>
    <row r="3810" spans="1:14" ht="31" outlineLevel="1" x14ac:dyDescent="0.25">
      <c r="A3810" s="1492">
        <f t="shared" si="567"/>
        <v>0</v>
      </c>
      <c r="B3810" s="1492" t="str">
        <f t="shared" si="567"/>
        <v>Procurement of Boiler Feed Pump catridge with CI sealing for Unit- 5 &amp; 6 CSTPS Chandrapur</v>
      </c>
      <c r="C3810" s="1488">
        <f t="shared" si="567"/>
        <v>0</v>
      </c>
      <c r="D3810" s="1413" t="str">
        <f t="shared" si="567"/>
        <v>-</v>
      </c>
      <c r="E3810" s="560">
        <f t="shared" si="567"/>
        <v>11.2</v>
      </c>
      <c r="F3810" s="1508">
        <f t="shared" si="568"/>
        <v>5.2</v>
      </c>
      <c r="G3810" s="1508">
        <f t="shared" si="569"/>
        <v>5.2</v>
      </c>
      <c r="H3810" s="1508">
        <f t="shared" si="561"/>
        <v>0</v>
      </c>
      <c r="I3810" s="1480">
        <v>0</v>
      </c>
      <c r="J3810" s="1480">
        <v>0</v>
      </c>
      <c r="K3810" s="1508"/>
      <c r="L3810" s="1508"/>
      <c r="M3810" s="1509">
        <f t="shared" si="562"/>
        <v>0</v>
      </c>
      <c r="N3810" s="1508">
        <f t="shared" si="563"/>
        <v>0</v>
      </c>
    </row>
    <row r="3811" spans="1:14" ht="31" outlineLevel="1" x14ac:dyDescent="0.25">
      <c r="A3811" s="1492">
        <f t="shared" si="567"/>
        <v>0</v>
      </c>
      <c r="B3811" s="1492" t="str">
        <f t="shared" si="567"/>
        <v>Procurement of Modulating type Boiler Feed Pump Recirculation valve  assembly for 500 MW, U-5, 6 &amp; 7</v>
      </c>
      <c r="C3811" s="1488">
        <f t="shared" si="567"/>
        <v>0</v>
      </c>
      <c r="D3811" s="1413" t="str">
        <f t="shared" si="567"/>
        <v>-</v>
      </c>
      <c r="E3811" s="560">
        <f t="shared" si="567"/>
        <v>15.85</v>
      </c>
      <c r="F3811" s="1508">
        <f t="shared" si="568"/>
        <v>0</v>
      </c>
      <c r="G3811" s="1508">
        <f t="shared" si="569"/>
        <v>0</v>
      </c>
      <c r="H3811" s="1508">
        <f t="shared" si="561"/>
        <v>0</v>
      </c>
      <c r="I3811" s="1480">
        <v>15.85</v>
      </c>
      <c r="J3811" s="1480">
        <v>15.85</v>
      </c>
      <c r="K3811" s="1508"/>
      <c r="L3811" s="1508"/>
      <c r="M3811" s="1509">
        <f t="shared" si="562"/>
        <v>15.85</v>
      </c>
      <c r="N3811" s="1508">
        <f t="shared" si="563"/>
        <v>0</v>
      </c>
    </row>
    <row r="3812" spans="1:14" ht="31" outlineLevel="1" x14ac:dyDescent="0.25">
      <c r="A3812" s="1492">
        <f t="shared" si="567"/>
        <v>0</v>
      </c>
      <c r="B3812" s="1492" t="str">
        <f t="shared" si="567"/>
        <v>Procurement of Fully bladed dynamically balanced Rotor (along with both side coupling hub) for TDBFP Turbine</v>
      </c>
      <c r="C3812" s="1488">
        <f t="shared" si="567"/>
        <v>0</v>
      </c>
      <c r="D3812" s="1413" t="str">
        <f t="shared" si="567"/>
        <v>-</v>
      </c>
      <c r="E3812" s="560">
        <f t="shared" si="567"/>
        <v>8.5</v>
      </c>
      <c r="F3812" s="1508">
        <f t="shared" si="568"/>
        <v>0</v>
      </c>
      <c r="G3812" s="1508">
        <f t="shared" si="569"/>
        <v>0</v>
      </c>
      <c r="H3812" s="1508">
        <f t="shared" si="561"/>
        <v>0</v>
      </c>
      <c r="I3812" s="1480">
        <v>0</v>
      </c>
      <c r="J3812" s="1480">
        <v>0</v>
      </c>
      <c r="K3812" s="1508"/>
      <c r="L3812" s="1508"/>
      <c r="M3812" s="1509">
        <f t="shared" si="562"/>
        <v>0</v>
      </c>
      <c r="N3812" s="1508">
        <f t="shared" si="563"/>
        <v>0</v>
      </c>
    </row>
    <row r="3813" spans="1:14" ht="31" outlineLevel="1" x14ac:dyDescent="0.25">
      <c r="A3813" s="1492">
        <f t="shared" si="567"/>
        <v>0</v>
      </c>
      <c r="B3813" s="1492" t="str">
        <f t="shared" si="567"/>
        <v>Life enhancement and efficiency improvement of 500MW U-5 &amp; 6 TDBFP Lub System</v>
      </c>
      <c r="C3813" s="1488">
        <f t="shared" si="567"/>
        <v>0</v>
      </c>
      <c r="D3813" s="1413" t="str">
        <f t="shared" si="567"/>
        <v>-</v>
      </c>
      <c r="E3813" s="560">
        <f t="shared" si="567"/>
        <v>1.5</v>
      </c>
      <c r="F3813" s="1508">
        <f t="shared" si="568"/>
        <v>0.75</v>
      </c>
      <c r="G3813" s="1508">
        <f t="shared" si="569"/>
        <v>0.75</v>
      </c>
      <c r="H3813" s="1508">
        <f t="shared" si="561"/>
        <v>0</v>
      </c>
      <c r="I3813" s="1480">
        <v>0.75</v>
      </c>
      <c r="J3813" s="1480">
        <v>0.75</v>
      </c>
      <c r="K3813" s="1508"/>
      <c r="L3813" s="1508"/>
      <c r="M3813" s="1509">
        <f t="shared" si="562"/>
        <v>0.75</v>
      </c>
      <c r="N3813" s="1508">
        <f t="shared" si="563"/>
        <v>0</v>
      </c>
    </row>
    <row r="3814" spans="1:14" ht="31" outlineLevel="1" x14ac:dyDescent="0.25">
      <c r="A3814" s="1486">
        <f t="shared" si="567"/>
        <v>4</v>
      </c>
      <c r="B3814" s="1491" t="str">
        <f t="shared" si="567"/>
        <v xml:space="preserve">Life enhancement and Reliability improvement schemes of 500MW Main Turbine Assests </v>
      </c>
      <c r="C3814" s="1488">
        <f t="shared" si="567"/>
        <v>0</v>
      </c>
      <c r="D3814" s="1413" t="str">
        <f t="shared" si="567"/>
        <v>-</v>
      </c>
      <c r="E3814" s="560">
        <f t="shared" si="567"/>
        <v>36.81</v>
      </c>
      <c r="F3814" s="1508">
        <f t="shared" si="568"/>
        <v>0</v>
      </c>
      <c r="G3814" s="1508">
        <f t="shared" si="569"/>
        <v>0</v>
      </c>
      <c r="H3814" s="1508">
        <f t="shared" si="561"/>
        <v>0</v>
      </c>
      <c r="I3814" s="1480">
        <v>0</v>
      </c>
      <c r="J3814" s="1480">
        <v>0</v>
      </c>
      <c r="K3814" s="1508"/>
      <c r="L3814" s="1508"/>
      <c r="M3814" s="1509">
        <f t="shared" si="562"/>
        <v>0</v>
      </c>
      <c r="N3814" s="1508">
        <f t="shared" si="563"/>
        <v>0</v>
      </c>
    </row>
    <row r="3815" spans="1:14" ht="46.5" outlineLevel="1" x14ac:dyDescent="0.25">
      <c r="A3815" s="1492">
        <f t="shared" si="567"/>
        <v>0</v>
      </c>
      <c r="B3815" s="1492" t="str">
        <f t="shared" si="567"/>
        <v>Reliability improvement of Low pressure Turbine by maintaining one set of LP free standing blades as insurance spare</v>
      </c>
      <c r="C3815" s="1488">
        <f t="shared" si="567"/>
        <v>0</v>
      </c>
      <c r="D3815" s="1413" t="str">
        <f t="shared" si="567"/>
        <v>-</v>
      </c>
      <c r="E3815" s="560">
        <f t="shared" si="567"/>
        <v>24</v>
      </c>
      <c r="F3815" s="1508">
        <f t="shared" si="568"/>
        <v>24</v>
      </c>
      <c r="G3815" s="1508">
        <f t="shared" si="569"/>
        <v>24</v>
      </c>
      <c r="H3815" s="1508">
        <f t="shared" si="561"/>
        <v>0</v>
      </c>
      <c r="I3815" s="1480">
        <v>0</v>
      </c>
      <c r="J3815" s="1480">
        <v>0</v>
      </c>
      <c r="K3815" s="1508"/>
      <c r="L3815" s="1508"/>
      <c r="M3815" s="1509">
        <f t="shared" si="562"/>
        <v>0</v>
      </c>
      <c r="N3815" s="1508">
        <f t="shared" si="563"/>
        <v>0</v>
      </c>
    </row>
    <row r="3816" spans="1:14" ht="31" outlineLevel="1" x14ac:dyDescent="0.25">
      <c r="A3816" s="1492">
        <f t="shared" si="567"/>
        <v>0</v>
      </c>
      <c r="B3816" s="1492" t="str">
        <f t="shared" si="567"/>
        <v>Performance and efficiency improvement of 500MW U-5 &amp; 6 High Pressure Turbine module</v>
      </c>
      <c r="C3816" s="1488">
        <f t="shared" si="567"/>
        <v>0</v>
      </c>
      <c r="D3816" s="1413" t="str">
        <f t="shared" si="567"/>
        <v>-</v>
      </c>
      <c r="E3816" s="560">
        <f t="shared" si="567"/>
        <v>9.81</v>
      </c>
      <c r="F3816" s="1508">
        <f t="shared" si="568"/>
        <v>9.81</v>
      </c>
      <c r="G3816" s="1508">
        <f t="shared" si="569"/>
        <v>9.81</v>
      </c>
      <c r="H3816" s="1508">
        <f t="shared" si="561"/>
        <v>0</v>
      </c>
      <c r="I3816" s="1480">
        <v>0</v>
      </c>
      <c r="J3816" s="1480">
        <v>0</v>
      </c>
      <c r="K3816" s="1508"/>
      <c r="L3816" s="1508"/>
      <c r="M3816" s="1509">
        <f t="shared" si="562"/>
        <v>0</v>
      </c>
      <c r="N3816" s="1508">
        <f t="shared" si="563"/>
        <v>0</v>
      </c>
    </row>
    <row r="3817" spans="1:14" ht="31" outlineLevel="1" x14ac:dyDescent="0.25">
      <c r="A3817" s="1492">
        <f t="shared" si="567"/>
        <v>0</v>
      </c>
      <c r="B3817" s="1492" t="str">
        <f t="shared" si="567"/>
        <v xml:space="preserve"> Life enhancement and efficiency improvement of 500MW U-5 &amp; 6 Main TG Lub System</v>
      </c>
      <c r="C3817" s="1488">
        <f t="shared" si="567"/>
        <v>0</v>
      </c>
      <c r="D3817" s="1413" t="str">
        <f t="shared" si="567"/>
        <v>-</v>
      </c>
      <c r="E3817" s="560">
        <f t="shared" si="567"/>
        <v>3</v>
      </c>
      <c r="F3817" s="1508">
        <f t="shared" si="568"/>
        <v>1.5</v>
      </c>
      <c r="G3817" s="1508">
        <f t="shared" si="569"/>
        <v>1.5</v>
      </c>
      <c r="H3817" s="1508">
        <f t="shared" si="561"/>
        <v>0</v>
      </c>
      <c r="I3817" s="1480">
        <v>1.5</v>
      </c>
      <c r="J3817" s="1480">
        <v>1.5</v>
      </c>
      <c r="K3817" s="1508"/>
      <c r="L3817" s="1508"/>
      <c r="M3817" s="1509">
        <f t="shared" si="562"/>
        <v>1.5</v>
      </c>
      <c r="N3817" s="1508">
        <f t="shared" si="563"/>
        <v>0</v>
      </c>
    </row>
    <row r="3818" spans="1:14" ht="15.5" outlineLevel="1" x14ac:dyDescent="0.25">
      <c r="A3818" s="1486">
        <f t="shared" si="567"/>
        <v>5</v>
      </c>
      <c r="B3818" s="1491" t="str">
        <f t="shared" si="567"/>
        <v xml:space="preserve"> Reliability improvement of Main Turbine </v>
      </c>
      <c r="C3818" s="1488">
        <f t="shared" si="567"/>
        <v>0</v>
      </c>
      <c r="D3818" s="1413" t="str">
        <f t="shared" si="567"/>
        <v>-</v>
      </c>
      <c r="E3818" s="560">
        <f t="shared" si="567"/>
        <v>45</v>
      </c>
      <c r="F3818" s="1508">
        <f t="shared" si="568"/>
        <v>0</v>
      </c>
      <c r="G3818" s="1508">
        <f t="shared" si="569"/>
        <v>0</v>
      </c>
      <c r="H3818" s="1508">
        <f t="shared" si="561"/>
        <v>0</v>
      </c>
      <c r="I3818" s="1480">
        <v>0</v>
      </c>
      <c r="J3818" s="1480">
        <v>0</v>
      </c>
      <c r="K3818" s="1508"/>
      <c r="L3818" s="1508"/>
      <c r="M3818" s="1509">
        <f t="shared" si="562"/>
        <v>0</v>
      </c>
      <c r="N3818" s="1508">
        <f t="shared" si="563"/>
        <v>0</v>
      </c>
    </row>
    <row r="3819" spans="1:14" ht="31" outlineLevel="1" x14ac:dyDescent="0.25">
      <c r="A3819" s="1492">
        <f t="shared" si="567"/>
        <v>0</v>
      </c>
      <c r="B3819" s="1492" t="str">
        <f t="shared" si="567"/>
        <v>Brief Scope of Work; Procurement of critical spares for Main TG U-5, 6 &amp; 7</v>
      </c>
      <c r="C3819" s="1488">
        <f t="shared" si="567"/>
        <v>0</v>
      </c>
      <c r="D3819" s="1413" t="str">
        <f t="shared" si="567"/>
        <v>-</v>
      </c>
      <c r="E3819" s="560">
        <f t="shared" si="567"/>
        <v>10</v>
      </c>
      <c r="F3819" s="1508">
        <f t="shared" si="568"/>
        <v>10</v>
      </c>
      <c r="G3819" s="1508">
        <f t="shared" si="569"/>
        <v>10</v>
      </c>
      <c r="H3819" s="1508">
        <f t="shared" si="561"/>
        <v>0</v>
      </c>
      <c r="I3819" s="1480">
        <v>0</v>
      </c>
      <c r="J3819" s="1480">
        <v>0</v>
      </c>
      <c r="K3819" s="1508"/>
      <c r="L3819" s="1508"/>
      <c r="M3819" s="1509">
        <f t="shared" si="562"/>
        <v>0</v>
      </c>
      <c r="N3819" s="1508">
        <f t="shared" si="563"/>
        <v>0</v>
      </c>
    </row>
    <row r="3820" spans="1:14" ht="46.5" outlineLevel="1" x14ac:dyDescent="0.25">
      <c r="A3820" s="1492">
        <f t="shared" si="567"/>
        <v>0</v>
      </c>
      <c r="B3820" s="1492" t="str">
        <f t="shared" si="567"/>
        <v xml:space="preserve">Procurement of HP turbine Module along with breach nuts and pipe spool pieces (Type:H30-100-2) for Unit-7, CSTPS, Chandrapur </v>
      </c>
      <c r="C3820" s="1488">
        <f t="shared" si="567"/>
        <v>0</v>
      </c>
      <c r="D3820" s="1413" t="str">
        <f t="shared" si="567"/>
        <v>-</v>
      </c>
      <c r="E3820" s="560">
        <f t="shared" si="567"/>
        <v>35</v>
      </c>
      <c r="F3820" s="1508">
        <f t="shared" si="568"/>
        <v>35</v>
      </c>
      <c r="G3820" s="1508">
        <f t="shared" si="569"/>
        <v>35</v>
      </c>
      <c r="H3820" s="1508">
        <f t="shared" si="561"/>
        <v>0</v>
      </c>
      <c r="I3820" s="1480">
        <v>0</v>
      </c>
      <c r="J3820" s="1480">
        <v>0</v>
      </c>
      <c r="K3820" s="1508"/>
      <c r="L3820" s="1508"/>
      <c r="M3820" s="1509">
        <f t="shared" si="562"/>
        <v>0</v>
      </c>
      <c r="N3820" s="1508">
        <f t="shared" si="563"/>
        <v>0</v>
      </c>
    </row>
    <row r="3821" spans="1:14" ht="31" outlineLevel="1" x14ac:dyDescent="0.25">
      <c r="A3821" s="1486">
        <f t="shared" si="567"/>
        <v>6</v>
      </c>
      <c r="B3821" s="1491" t="str">
        <f t="shared" si="567"/>
        <v xml:space="preserve">Reliability improvement of IP Turbine for 500 MW Main TG U-5 &amp; 6 </v>
      </c>
      <c r="C3821" s="1488">
        <f t="shared" si="567"/>
        <v>0</v>
      </c>
      <c r="D3821" s="1413" t="str">
        <f t="shared" si="567"/>
        <v>-</v>
      </c>
      <c r="E3821" s="560">
        <f t="shared" si="567"/>
        <v>35</v>
      </c>
      <c r="F3821" s="1508">
        <f t="shared" si="568"/>
        <v>0</v>
      </c>
      <c r="G3821" s="1508">
        <f t="shared" si="569"/>
        <v>0</v>
      </c>
      <c r="H3821" s="1508">
        <f t="shared" si="561"/>
        <v>0</v>
      </c>
      <c r="I3821" s="1480">
        <v>0</v>
      </c>
      <c r="J3821" s="1480">
        <v>0</v>
      </c>
      <c r="K3821" s="1508"/>
      <c r="L3821" s="1508"/>
      <c r="M3821" s="1509">
        <f t="shared" si="562"/>
        <v>0</v>
      </c>
      <c r="N3821" s="1508">
        <f t="shared" si="563"/>
        <v>0</v>
      </c>
    </row>
    <row r="3822" spans="1:14" ht="46.5" outlineLevel="1" x14ac:dyDescent="0.25">
      <c r="A3822" s="1492">
        <f t="shared" si="567"/>
        <v>0</v>
      </c>
      <c r="B3822" s="1492" t="str">
        <f t="shared" si="567"/>
        <v>Procurement of Fully Bladed &amp; Dynamically Balanced IP Rotor (M 30-50) for 500MW Unit-5 &amp; 6, CSTPS, Chandrapur under Capital Nature items.</v>
      </c>
      <c r="C3822" s="1488">
        <f t="shared" si="567"/>
        <v>0</v>
      </c>
      <c r="D3822" s="1413" t="str">
        <f t="shared" si="567"/>
        <v>-</v>
      </c>
      <c r="E3822" s="560">
        <f t="shared" si="567"/>
        <v>35</v>
      </c>
      <c r="F3822" s="1508">
        <f t="shared" si="568"/>
        <v>0</v>
      </c>
      <c r="G3822" s="1508">
        <f t="shared" si="569"/>
        <v>0</v>
      </c>
      <c r="H3822" s="1508">
        <f t="shared" ref="H3822:H3885" si="570">F3822-G3822</f>
        <v>0</v>
      </c>
      <c r="I3822" s="1480">
        <v>35</v>
      </c>
      <c r="J3822" s="1480">
        <v>35</v>
      </c>
      <c r="K3822" s="1508"/>
      <c r="L3822" s="1508"/>
      <c r="M3822" s="1509">
        <f t="shared" ref="M3822:M3885" si="571">SUM(J3822:L3822)</f>
        <v>35</v>
      </c>
      <c r="N3822" s="1508">
        <f t="shared" ref="N3822:N3885" si="572">H3822+I3822-M3822</f>
        <v>0</v>
      </c>
    </row>
    <row r="3823" spans="1:14" ht="15.5" outlineLevel="1" x14ac:dyDescent="0.25">
      <c r="A3823" s="1486">
        <f t="shared" si="567"/>
        <v>7</v>
      </c>
      <c r="B3823" s="1491" t="str">
        <f t="shared" si="567"/>
        <v>Energy saving in Air compressors</v>
      </c>
      <c r="C3823" s="1488">
        <f t="shared" si="567"/>
        <v>0</v>
      </c>
      <c r="D3823" s="1413" t="str">
        <f t="shared" si="567"/>
        <v>-</v>
      </c>
      <c r="E3823" s="560">
        <f t="shared" si="567"/>
        <v>30</v>
      </c>
      <c r="F3823" s="1508">
        <f t="shared" si="568"/>
        <v>0</v>
      </c>
      <c r="G3823" s="1508">
        <f t="shared" si="569"/>
        <v>0</v>
      </c>
      <c r="H3823" s="1508">
        <f t="shared" si="570"/>
        <v>0</v>
      </c>
      <c r="I3823" s="1480">
        <v>0</v>
      </c>
      <c r="J3823" s="1480">
        <v>0</v>
      </c>
      <c r="K3823" s="1508"/>
      <c r="L3823" s="1508"/>
      <c r="M3823" s="1509">
        <f t="shared" si="571"/>
        <v>0</v>
      </c>
      <c r="N3823" s="1508">
        <f t="shared" si="572"/>
        <v>0</v>
      </c>
    </row>
    <row r="3824" spans="1:14" ht="31" outlineLevel="1" x14ac:dyDescent="0.25">
      <c r="A3824" s="1492">
        <f t="shared" ref="A3824:E3839" si="573">A3154</f>
        <v>0</v>
      </c>
      <c r="B3824" s="1492" t="str">
        <f t="shared" si="573"/>
        <v>Air Compressor Unit-7 to be replaced in a phased manner with energy efficient compressor</v>
      </c>
      <c r="C3824" s="1488">
        <f t="shared" si="573"/>
        <v>0</v>
      </c>
      <c r="D3824" s="1413" t="str">
        <f t="shared" si="573"/>
        <v>-</v>
      </c>
      <c r="E3824" s="560">
        <f t="shared" si="573"/>
        <v>30</v>
      </c>
      <c r="F3824" s="1508">
        <f t="shared" si="568"/>
        <v>0</v>
      </c>
      <c r="G3824" s="1508">
        <f t="shared" si="569"/>
        <v>0</v>
      </c>
      <c r="H3824" s="1508">
        <f t="shared" si="570"/>
        <v>0</v>
      </c>
      <c r="I3824" s="1480">
        <v>0</v>
      </c>
      <c r="J3824" s="1480">
        <v>0</v>
      </c>
      <c r="K3824" s="1508"/>
      <c r="L3824" s="1508"/>
      <c r="M3824" s="1509">
        <f t="shared" si="571"/>
        <v>0</v>
      </c>
      <c r="N3824" s="1508">
        <f t="shared" si="572"/>
        <v>0</v>
      </c>
    </row>
    <row r="3825" spans="1:14" ht="15.5" outlineLevel="1" x14ac:dyDescent="0.25">
      <c r="A3825" s="1486">
        <f t="shared" si="573"/>
        <v>8</v>
      </c>
      <c r="B3825" s="1491" t="str">
        <f t="shared" si="573"/>
        <v>Efficiency Upgrade of AC Plant of Unit-5 &amp; 6</v>
      </c>
      <c r="C3825" s="1488">
        <f t="shared" si="573"/>
        <v>0</v>
      </c>
      <c r="D3825" s="1413" t="str">
        <f t="shared" si="573"/>
        <v>-</v>
      </c>
      <c r="E3825" s="560">
        <f t="shared" si="573"/>
        <v>50</v>
      </c>
      <c r="F3825" s="1508">
        <f t="shared" si="568"/>
        <v>0</v>
      </c>
      <c r="G3825" s="1508">
        <f t="shared" si="569"/>
        <v>0</v>
      </c>
      <c r="H3825" s="1508">
        <f t="shared" si="570"/>
        <v>0</v>
      </c>
      <c r="I3825" s="1480">
        <v>0</v>
      </c>
      <c r="J3825" s="1480">
        <v>0</v>
      </c>
      <c r="K3825" s="1508"/>
      <c r="L3825" s="1508"/>
      <c r="M3825" s="1509">
        <f t="shared" si="571"/>
        <v>0</v>
      </c>
      <c r="N3825" s="1508">
        <f t="shared" si="572"/>
        <v>0</v>
      </c>
    </row>
    <row r="3826" spans="1:14" ht="46.5" outlineLevel="1" x14ac:dyDescent="0.25">
      <c r="A3826" s="1492">
        <f t="shared" si="573"/>
        <v>0</v>
      </c>
      <c r="B3826" s="1492" t="str">
        <f t="shared" si="573"/>
        <v>Design, Manufacture, Supply, Erection &amp; Commissioning,environment friendly, Efficiency Upgrade of AC Plant of Unit-5 &amp; 6</v>
      </c>
      <c r="C3826" s="1488">
        <f t="shared" si="573"/>
        <v>0</v>
      </c>
      <c r="D3826" s="1413" t="str">
        <f t="shared" si="573"/>
        <v>-</v>
      </c>
      <c r="E3826" s="560">
        <f t="shared" si="573"/>
        <v>50</v>
      </c>
      <c r="F3826" s="1508">
        <f t="shared" si="568"/>
        <v>0</v>
      </c>
      <c r="G3826" s="1508">
        <f t="shared" si="569"/>
        <v>0</v>
      </c>
      <c r="H3826" s="1508">
        <f t="shared" si="570"/>
        <v>0</v>
      </c>
      <c r="I3826" s="1480">
        <v>0</v>
      </c>
      <c r="J3826" s="1480">
        <v>0</v>
      </c>
      <c r="K3826" s="1508"/>
      <c r="L3826" s="1508"/>
      <c r="M3826" s="1509">
        <f t="shared" si="571"/>
        <v>0</v>
      </c>
      <c r="N3826" s="1508">
        <f t="shared" si="572"/>
        <v>0</v>
      </c>
    </row>
    <row r="3827" spans="1:14" ht="15.5" outlineLevel="1" x14ac:dyDescent="0.25">
      <c r="A3827" s="1504">
        <f t="shared" si="573"/>
        <v>0</v>
      </c>
      <c r="B3827" s="1504" t="str">
        <f t="shared" si="573"/>
        <v>Electrical Maintenance-II</v>
      </c>
      <c r="C3827" s="1488">
        <f t="shared" si="573"/>
        <v>0</v>
      </c>
      <c r="D3827" s="1413" t="str">
        <f t="shared" si="573"/>
        <v>-</v>
      </c>
      <c r="E3827" s="560">
        <f t="shared" si="573"/>
        <v>0</v>
      </c>
      <c r="F3827" s="1508">
        <f t="shared" si="568"/>
        <v>0</v>
      </c>
      <c r="G3827" s="1508">
        <f t="shared" si="569"/>
        <v>0</v>
      </c>
      <c r="H3827" s="1508">
        <f t="shared" si="570"/>
        <v>0</v>
      </c>
      <c r="I3827" s="1480">
        <v>0</v>
      </c>
      <c r="J3827" s="1480">
        <v>0</v>
      </c>
      <c r="K3827" s="1508"/>
      <c r="L3827" s="1508"/>
      <c r="M3827" s="1509">
        <f t="shared" si="571"/>
        <v>0</v>
      </c>
      <c r="N3827" s="1508">
        <f t="shared" si="572"/>
        <v>0</v>
      </c>
    </row>
    <row r="3828" spans="1:14" ht="139.5" outlineLevel="1" x14ac:dyDescent="0.25">
      <c r="A3828" s="1486">
        <f t="shared" si="573"/>
        <v>1</v>
      </c>
      <c r="B3828" s="1491" t="str">
        <f t="shared" si="573"/>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3828" s="1488">
        <f t="shared" si="573"/>
        <v>0</v>
      </c>
      <c r="D3828" s="1413" t="str">
        <f t="shared" si="573"/>
        <v>-</v>
      </c>
      <c r="E3828" s="560">
        <f t="shared" si="573"/>
        <v>25.07</v>
      </c>
      <c r="F3828" s="1508">
        <f t="shared" si="568"/>
        <v>0</v>
      </c>
      <c r="G3828" s="1508">
        <f t="shared" si="569"/>
        <v>0</v>
      </c>
      <c r="H3828" s="1508">
        <f t="shared" si="570"/>
        <v>0</v>
      </c>
      <c r="I3828" s="1480">
        <v>0</v>
      </c>
      <c r="J3828" s="1480">
        <v>0</v>
      </c>
      <c r="K3828" s="1508"/>
      <c r="L3828" s="1508"/>
      <c r="M3828" s="1509">
        <f t="shared" si="571"/>
        <v>0</v>
      </c>
      <c r="N3828" s="1508">
        <f t="shared" si="572"/>
        <v>0</v>
      </c>
    </row>
    <row r="3829" spans="1:14" ht="77.5" outlineLevel="1" x14ac:dyDescent="0.25">
      <c r="A3829" s="1492">
        <f t="shared" si="573"/>
        <v>0</v>
      </c>
      <c r="B3829" s="1492" t="str">
        <f t="shared" si="573"/>
        <v>Supply, Installation, Testing, Commissioning for complete solution and comprehensive protection and monitoring package along with retrofit of allied accessories for Generator Transformers for 3 X 500 MW Unit#5,6&amp;7 500MW Stage-III CSTPS Chandrapur.</v>
      </c>
      <c r="C3829" s="1488">
        <f t="shared" si="573"/>
        <v>0</v>
      </c>
      <c r="D3829" s="1413" t="str">
        <f t="shared" si="573"/>
        <v>-</v>
      </c>
      <c r="E3829" s="560">
        <f t="shared" si="573"/>
        <v>15.07</v>
      </c>
      <c r="F3829" s="1508">
        <f t="shared" si="568"/>
        <v>15.07</v>
      </c>
      <c r="G3829" s="1508">
        <f t="shared" si="569"/>
        <v>15.07</v>
      </c>
      <c r="H3829" s="1508">
        <f t="shared" si="570"/>
        <v>0</v>
      </c>
      <c r="I3829" s="1480">
        <v>0</v>
      </c>
      <c r="J3829" s="1480">
        <v>0</v>
      </c>
      <c r="K3829" s="1508"/>
      <c r="L3829" s="1508"/>
      <c r="M3829" s="1509">
        <f t="shared" si="571"/>
        <v>0</v>
      </c>
      <c r="N3829" s="1508">
        <f t="shared" si="572"/>
        <v>0</v>
      </c>
    </row>
    <row r="3830" spans="1:14" ht="108.5" outlineLevel="1" x14ac:dyDescent="0.25">
      <c r="A3830" s="1492">
        <f t="shared" si="573"/>
        <v>0</v>
      </c>
      <c r="B3830" s="1492" t="str">
        <f t="shared" si="573"/>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3830" s="1488">
        <f t="shared" si="573"/>
        <v>0</v>
      </c>
      <c r="D3830" s="1413" t="str">
        <f t="shared" si="573"/>
        <v>-</v>
      </c>
      <c r="E3830" s="560">
        <f t="shared" si="573"/>
        <v>10</v>
      </c>
      <c r="F3830" s="1508">
        <f t="shared" si="568"/>
        <v>10</v>
      </c>
      <c r="G3830" s="1508">
        <f t="shared" si="569"/>
        <v>10</v>
      </c>
      <c r="H3830" s="1508">
        <f t="shared" si="570"/>
        <v>0</v>
      </c>
      <c r="I3830" s="1480">
        <v>0</v>
      </c>
      <c r="J3830" s="1480">
        <v>0</v>
      </c>
      <c r="K3830" s="1508"/>
      <c r="L3830" s="1508"/>
      <c r="M3830" s="1509">
        <f t="shared" si="571"/>
        <v>0</v>
      </c>
      <c r="N3830" s="1508">
        <f t="shared" si="572"/>
        <v>0</v>
      </c>
    </row>
    <row r="3831" spans="1:14" ht="31" outlineLevel="1" x14ac:dyDescent="0.25">
      <c r="A3831" s="1486">
        <f t="shared" si="573"/>
        <v>2</v>
      </c>
      <c r="B3831" s="1491" t="str">
        <f t="shared" si="573"/>
        <v>DPR for Life enhancement and Energy efficiency of Critical HT Auxiliaries of Unit#3 to 7, CSTPS, Chandrapur</v>
      </c>
      <c r="C3831" s="1488">
        <f t="shared" si="573"/>
        <v>0</v>
      </c>
      <c r="D3831" s="1413" t="str">
        <f t="shared" si="573"/>
        <v>-</v>
      </c>
      <c r="E3831" s="560">
        <f t="shared" si="573"/>
        <v>44.31</v>
      </c>
      <c r="F3831" s="1508">
        <f t="shared" si="568"/>
        <v>0</v>
      </c>
      <c r="G3831" s="1508">
        <f t="shared" si="569"/>
        <v>0</v>
      </c>
      <c r="H3831" s="1508">
        <f t="shared" si="570"/>
        <v>0</v>
      </c>
      <c r="I3831" s="1480">
        <v>0</v>
      </c>
      <c r="J3831" s="1480">
        <v>0</v>
      </c>
      <c r="K3831" s="1508"/>
      <c r="L3831" s="1508"/>
      <c r="M3831" s="1509">
        <f t="shared" si="571"/>
        <v>0</v>
      </c>
      <c r="N3831" s="1508">
        <f t="shared" si="572"/>
        <v>0</v>
      </c>
    </row>
    <row r="3832" spans="1:14" ht="31" outlineLevel="1" x14ac:dyDescent="0.25">
      <c r="A3832" s="1492">
        <f t="shared" si="573"/>
        <v>0</v>
      </c>
      <c r="B3832" s="1492" t="str">
        <f t="shared" si="573"/>
        <v>Life enhancement and Energy efficiency of Critical HT Auxiliaries of Unit#3 to 7, CSTPS, Chandrapur</v>
      </c>
      <c r="C3832" s="1488">
        <f t="shared" si="573"/>
        <v>0</v>
      </c>
      <c r="D3832" s="1413" t="str">
        <f t="shared" si="573"/>
        <v>-</v>
      </c>
      <c r="E3832" s="560">
        <f t="shared" si="573"/>
        <v>44.31</v>
      </c>
      <c r="F3832" s="1508">
        <f t="shared" si="568"/>
        <v>44.31</v>
      </c>
      <c r="G3832" s="1508">
        <f t="shared" si="569"/>
        <v>44.31</v>
      </c>
      <c r="H3832" s="1508">
        <f t="shared" si="570"/>
        <v>0</v>
      </c>
      <c r="I3832" s="1480">
        <v>0</v>
      </c>
      <c r="J3832" s="1480">
        <v>0</v>
      </c>
      <c r="K3832" s="1508"/>
      <c r="L3832" s="1508"/>
      <c r="M3832" s="1509">
        <f t="shared" si="571"/>
        <v>0</v>
      </c>
      <c r="N3832" s="1508">
        <f t="shared" si="572"/>
        <v>0</v>
      </c>
    </row>
    <row r="3833" spans="1:14" ht="31" outlineLevel="1" x14ac:dyDescent="0.25">
      <c r="A3833" s="1486">
        <f t="shared" si="573"/>
        <v>3</v>
      </c>
      <c r="B3833" s="1491" t="str">
        <f t="shared" si="573"/>
        <v>DPR for “Supply &amp; Installation of energy saving plates for Energy Conservation  at 3X500MW, CSTPS, Chandrapur.”</v>
      </c>
      <c r="C3833" s="1488">
        <f t="shared" si="573"/>
        <v>0</v>
      </c>
      <c r="D3833" s="1413" t="str">
        <f t="shared" si="573"/>
        <v>-</v>
      </c>
      <c r="E3833" s="560">
        <f t="shared" si="573"/>
        <v>25</v>
      </c>
      <c r="F3833" s="1508">
        <f t="shared" si="568"/>
        <v>0</v>
      </c>
      <c r="G3833" s="1508">
        <f t="shared" si="569"/>
        <v>0</v>
      </c>
      <c r="H3833" s="1508">
        <f t="shared" si="570"/>
        <v>0</v>
      </c>
      <c r="I3833" s="1480">
        <v>0</v>
      </c>
      <c r="J3833" s="1480">
        <v>0</v>
      </c>
      <c r="K3833" s="1508"/>
      <c r="L3833" s="1508"/>
      <c r="M3833" s="1509">
        <f t="shared" si="571"/>
        <v>0</v>
      </c>
      <c r="N3833" s="1508">
        <f t="shared" si="572"/>
        <v>0</v>
      </c>
    </row>
    <row r="3834" spans="1:14" ht="31" outlineLevel="1" x14ac:dyDescent="0.25">
      <c r="A3834" s="1492">
        <f t="shared" si="573"/>
        <v>0</v>
      </c>
      <c r="B3834" s="1492" t="str">
        <f t="shared" si="573"/>
        <v>Supply &amp; Installation of energy saving plates for Energy Conservation  at 3X500MW, CSTPS, Chandrapur.</v>
      </c>
      <c r="C3834" s="1488">
        <f t="shared" si="573"/>
        <v>0</v>
      </c>
      <c r="D3834" s="1413" t="str">
        <f t="shared" si="573"/>
        <v>-</v>
      </c>
      <c r="E3834" s="560">
        <f t="shared" si="573"/>
        <v>25</v>
      </c>
      <c r="F3834" s="1508">
        <f t="shared" si="568"/>
        <v>0</v>
      </c>
      <c r="G3834" s="1508">
        <f t="shared" si="569"/>
        <v>0</v>
      </c>
      <c r="H3834" s="1508">
        <f t="shared" si="570"/>
        <v>0</v>
      </c>
      <c r="I3834" s="1480">
        <v>0</v>
      </c>
      <c r="J3834" s="1480">
        <v>0</v>
      </c>
      <c r="K3834" s="1508"/>
      <c r="L3834" s="1508"/>
      <c r="M3834" s="1509">
        <f t="shared" si="571"/>
        <v>0</v>
      </c>
      <c r="N3834" s="1508">
        <f t="shared" si="572"/>
        <v>0</v>
      </c>
    </row>
    <row r="3835" spans="1:14" ht="108.5" outlineLevel="1" x14ac:dyDescent="0.25">
      <c r="A3835" s="1486">
        <f t="shared" si="573"/>
        <v>4</v>
      </c>
      <c r="B3835" s="1491" t="str">
        <f t="shared" si="573"/>
        <v>DPR for "Complete renovation of Chimney elevator ) of Unit-5,6,7" &amp;
Complete revamping of chimney aviation obstruction lights (AOL) &amp; other associated spares installed at unit#5,6&amp;7 CSTPS Chandrapur. &amp;
DPR for “Provision of 11KV supply to Aundha pump house from Unit 5,6&amp;7.”</v>
      </c>
      <c r="C3835" s="1488">
        <f t="shared" si="573"/>
        <v>0</v>
      </c>
      <c r="D3835" s="1413" t="str">
        <f t="shared" si="573"/>
        <v>-</v>
      </c>
      <c r="E3835" s="560">
        <f t="shared" si="573"/>
        <v>38</v>
      </c>
      <c r="F3835" s="1508">
        <f t="shared" si="568"/>
        <v>0</v>
      </c>
      <c r="G3835" s="1508">
        <f t="shared" si="569"/>
        <v>0</v>
      </c>
      <c r="H3835" s="1508">
        <f t="shared" si="570"/>
        <v>0</v>
      </c>
      <c r="I3835" s="1480">
        <v>0</v>
      </c>
      <c r="J3835" s="1480">
        <v>0</v>
      </c>
      <c r="K3835" s="1508"/>
      <c r="L3835" s="1508"/>
      <c r="M3835" s="1509">
        <f t="shared" si="571"/>
        <v>0</v>
      </c>
      <c r="N3835" s="1508">
        <f t="shared" si="572"/>
        <v>0</v>
      </c>
    </row>
    <row r="3836" spans="1:14" ht="46.5" outlineLevel="1" x14ac:dyDescent="0.25">
      <c r="A3836" s="1492">
        <f t="shared" si="573"/>
        <v>0</v>
      </c>
      <c r="B3836" s="1492" t="str">
        <f t="shared" si="573"/>
        <v xml:space="preserve">Complete renovation of Chimney elevator of Unit-5,6,7
</v>
      </c>
      <c r="C3836" s="1488">
        <f t="shared" si="573"/>
        <v>0</v>
      </c>
      <c r="D3836" s="1413" t="str">
        <f t="shared" si="573"/>
        <v>-</v>
      </c>
      <c r="E3836" s="560">
        <f t="shared" si="573"/>
        <v>10</v>
      </c>
      <c r="F3836" s="1508">
        <f t="shared" si="568"/>
        <v>0</v>
      </c>
      <c r="G3836" s="1508">
        <f t="shared" si="569"/>
        <v>0</v>
      </c>
      <c r="H3836" s="1508">
        <f t="shared" si="570"/>
        <v>0</v>
      </c>
      <c r="I3836" s="1480">
        <v>10</v>
      </c>
      <c r="J3836" s="1480">
        <v>10</v>
      </c>
      <c r="K3836" s="1508"/>
      <c r="L3836" s="1508"/>
      <c r="M3836" s="1509">
        <f t="shared" si="571"/>
        <v>10</v>
      </c>
      <c r="N3836" s="1508">
        <f t="shared" si="572"/>
        <v>0</v>
      </c>
    </row>
    <row r="3837" spans="1:14" ht="46.5" outlineLevel="1" x14ac:dyDescent="0.25">
      <c r="A3837" s="1492">
        <f t="shared" si="573"/>
        <v>0</v>
      </c>
      <c r="B3837" s="1492" t="str">
        <f t="shared" si="573"/>
        <v>Complete revamping of chimney aviation obstruction lights (AOL) &amp; other associated spares installed at unit#5,6&amp;7 CSTPS Chandrapur.</v>
      </c>
      <c r="C3837" s="1488">
        <f t="shared" si="573"/>
        <v>0</v>
      </c>
      <c r="D3837" s="1413" t="str">
        <f t="shared" si="573"/>
        <v>-</v>
      </c>
      <c r="E3837" s="560">
        <f t="shared" si="573"/>
        <v>3</v>
      </c>
      <c r="F3837" s="1508">
        <f t="shared" si="568"/>
        <v>3</v>
      </c>
      <c r="G3837" s="1508">
        <f t="shared" si="569"/>
        <v>3</v>
      </c>
      <c r="H3837" s="1508">
        <f t="shared" si="570"/>
        <v>0</v>
      </c>
      <c r="I3837" s="1480">
        <v>0</v>
      </c>
      <c r="J3837" s="1480">
        <v>0</v>
      </c>
      <c r="K3837" s="1508"/>
      <c r="L3837" s="1508"/>
      <c r="M3837" s="1509">
        <f t="shared" si="571"/>
        <v>0</v>
      </c>
      <c r="N3837" s="1508">
        <f t="shared" si="572"/>
        <v>0</v>
      </c>
    </row>
    <row r="3838" spans="1:14" ht="31" outlineLevel="1" x14ac:dyDescent="0.25">
      <c r="A3838" s="1492">
        <f t="shared" si="573"/>
        <v>0</v>
      </c>
      <c r="B3838" s="1492" t="str">
        <f t="shared" si="573"/>
        <v>Provision of 11KV supply to Aundha pump house from U 5,6&amp;7 Station boards.</v>
      </c>
      <c r="C3838" s="1488">
        <f t="shared" si="573"/>
        <v>0</v>
      </c>
      <c r="D3838" s="1413" t="str">
        <f t="shared" si="573"/>
        <v>-</v>
      </c>
      <c r="E3838" s="560">
        <f t="shared" si="573"/>
        <v>25</v>
      </c>
      <c r="F3838" s="1508">
        <f t="shared" si="568"/>
        <v>25</v>
      </c>
      <c r="G3838" s="1508">
        <f t="shared" si="569"/>
        <v>25</v>
      </c>
      <c r="H3838" s="1508">
        <f t="shared" si="570"/>
        <v>0</v>
      </c>
      <c r="I3838" s="1480">
        <v>0</v>
      </c>
      <c r="J3838" s="1480">
        <v>0</v>
      </c>
      <c r="K3838" s="1508"/>
      <c r="L3838" s="1508"/>
      <c r="M3838" s="1509">
        <f t="shared" si="571"/>
        <v>0</v>
      </c>
      <c r="N3838" s="1508">
        <f t="shared" si="572"/>
        <v>0</v>
      </c>
    </row>
    <row r="3839" spans="1:14" ht="62" outlineLevel="1" x14ac:dyDescent="0.25">
      <c r="A3839" s="1486">
        <f t="shared" si="573"/>
        <v>5</v>
      </c>
      <c r="B3839" s="1491" t="str">
        <f t="shared" si="573"/>
        <v xml:space="preserve">DPR for Energy saving by installation of VFD for CEP motors at Unit#5 to 9, CSTPS, Chandrapur.
</v>
      </c>
      <c r="C3839" s="1488">
        <f t="shared" si="573"/>
        <v>0</v>
      </c>
      <c r="D3839" s="1413" t="str">
        <f t="shared" si="573"/>
        <v>-</v>
      </c>
      <c r="E3839" s="560">
        <f t="shared" si="573"/>
        <v>26</v>
      </c>
      <c r="F3839" s="1508">
        <f t="shared" si="568"/>
        <v>0</v>
      </c>
      <c r="G3839" s="1508">
        <f t="shared" si="569"/>
        <v>0</v>
      </c>
      <c r="H3839" s="1508">
        <f t="shared" si="570"/>
        <v>0</v>
      </c>
      <c r="I3839" s="1480">
        <v>0</v>
      </c>
      <c r="J3839" s="1480">
        <v>0</v>
      </c>
      <c r="K3839" s="1508"/>
      <c r="L3839" s="1508"/>
      <c r="M3839" s="1509">
        <f t="shared" si="571"/>
        <v>0</v>
      </c>
      <c r="N3839" s="1508">
        <f t="shared" si="572"/>
        <v>0</v>
      </c>
    </row>
    <row r="3840" spans="1:14" ht="62" outlineLevel="1" x14ac:dyDescent="0.25">
      <c r="A3840" s="1492">
        <f t="shared" ref="A3840:E3855" si="574">A3170</f>
        <v>0</v>
      </c>
      <c r="B3840" s="1492" t="str">
        <f t="shared" si="574"/>
        <v xml:space="preserve">Energy saving by installation of VFD for CEP motors at Unit#5 to 9, CSTPS, Chandrapur.
</v>
      </c>
      <c r="C3840" s="1488">
        <f t="shared" si="574"/>
        <v>0</v>
      </c>
      <c r="D3840" s="1413" t="str">
        <f t="shared" si="574"/>
        <v>-</v>
      </c>
      <c r="E3840" s="560">
        <f t="shared" si="574"/>
        <v>26</v>
      </c>
      <c r="F3840" s="1508">
        <f t="shared" si="568"/>
        <v>26</v>
      </c>
      <c r="G3840" s="1508">
        <f t="shared" si="569"/>
        <v>26</v>
      </c>
      <c r="H3840" s="1508">
        <f t="shared" si="570"/>
        <v>0</v>
      </c>
      <c r="I3840" s="1480">
        <v>0</v>
      </c>
      <c r="J3840" s="1480">
        <v>0</v>
      </c>
      <c r="K3840" s="1508"/>
      <c r="L3840" s="1508"/>
      <c r="M3840" s="1509">
        <f t="shared" si="571"/>
        <v>0</v>
      </c>
      <c r="N3840" s="1508">
        <f t="shared" si="572"/>
        <v>0</v>
      </c>
    </row>
    <row r="3841" spans="1:14" ht="31" outlineLevel="1" x14ac:dyDescent="0.25">
      <c r="A3841" s="1486">
        <f t="shared" si="574"/>
        <v>6</v>
      </c>
      <c r="B3841" s="1491" t="str">
        <f t="shared" si="574"/>
        <v>DPR for Energy saving by installation of VFD for PA Fan &amp; ID Fan  motors at Unit#5 to 9, CSTPS, Chandrapur.</v>
      </c>
      <c r="C3841" s="1488">
        <f t="shared" si="574"/>
        <v>0</v>
      </c>
      <c r="D3841" s="1413" t="str">
        <f t="shared" si="574"/>
        <v>-</v>
      </c>
      <c r="E3841" s="560">
        <f t="shared" si="574"/>
        <v>25</v>
      </c>
      <c r="F3841" s="1508">
        <f t="shared" si="568"/>
        <v>0</v>
      </c>
      <c r="G3841" s="1508">
        <f t="shared" si="569"/>
        <v>0</v>
      </c>
      <c r="H3841" s="1508">
        <f t="shared" si="570"/>
        <v>0</v>
      </c>
      <c r="I3841" s="1480">
        <v>0</v>
      </c>
      <c r="J3841" s="1480">
        <v>0</v>
      </c>
      <c r="K3841" s="1508"/>
      <c r="L3841" s="1508"/>
      <c r="M3841" s="1509">
        <f t="shared" si="571"/>
        <v>0</v>
      </c>
      <c r="N3841" s="1508">
        <f t="shared" si="572"/>
        <v>0</v>
      </c>
    </row>
    <row r="3842" spans="1:14" ht="31" outlineLevel="1" x14ac:dyDescent="0.25">
      <c r="A3842" s="1492">
        <f t="shared" si="574"/>
        <v>0</v>
      </c>
      <c r="B3842" s="1492" t="str">
        <f t="shared" si="574"/>
        <v>Energy saving by installation of VFD for PA Fan &amp; ID Fan  motors at Unit#5 to 9, CSTPS, Chandrapur.</v>
      </c>
      <c r="C3842" s="1488">
        <f t="shared" si="574"/>
        <v>0</v>
      </c>
      <c r="D3842" s="1413" t="str">
        <f t="shared" si="574"/>
        <v>-</v>
      </c>
      <c r="E3842" s="560">
        <f t="shared" si="574"/>
        <v>25</v>
      </c>
      <c r="F3842" s="1508">
        <f t="shared" si="568"/>
        <v>0</v>
      </c>
      <c r="G3842" s="1508">
        <f t="shared" si="569"/>
        <v>0</v>
      </c>
      <c r="H3842" s="1508">
        <f t="shared" si="570"/>
        <v>0</v>
      </c>
      <c r="I3842" s="1480">
        <v>25</v>
      </c>
      <c r="J3842" s="1480">
        <v>25</v>
      </c>
      <c r="K3842" s="1508"/>
      <c r="L3842" s="1508"/>
      <c r="M3842" s="1509">
        <f t="shared" si="571"/>
        <v>25</v>
      </c>
      <c r="N3842" s="1508">
        <f t="shared" si="572"/>
        <v>0</v>
      </c>
    </row>
    <row r="3843" spans="1:14" ht="31" outlineLevel="1" x14ac:dyDescent="0.25">
      <c r="A3843" s="1486">
        <f t="shared" si="574"/>
        <v>7</v>
      </c>
      <c r="B3843" s="1491" t="str">
        <f t="shared" si="574"/>
        <v>DPR for refurbishment of Critical HT &amp; LT board installed at Unit#5,6,&amp;7, CSTPS Chandrapur.</v>
      </c>
      <c r="C3843" s="1488">
        <f t="shared" si="574"/>
        <v>0</v>
      </c>
      <c r="D3843" s="1413" t="str">
        <f t="shared" si="574"/>
        <v>-</v>
      </c>
      <c r="E3843" s="560">
        <f t="shared" si="574"/>
        <v>25</v>
      </c>
      <c r="F3843" s="1508">
        <f t="shared" si="568"/>
        <v>0</v>
      </c>
      <c r="G3843" s="1508">
        <f t="shared" si="569"/>
        <v>0</v>
      </c>
      <c r="H3843" s="1508">
        <f t="shared" si="570"/>
        <v>0</v>
      </c>
      <c r="I3843" s="1480">
        <v>0</v>
      </c>
      <c r="J3843" s="1480">
        <v>0</v>
      </c>
      <c r="K3843" s="1508"/>
      <c r="L3843" s="1508"/>
      <c r="M3843" s="1509">
        <f t="shared" si="571"/>
        <v>0</v>
      </c>
      <c r="N3843" s="1508">
        <f t="shared" si="572"/>
        <v>0</v>
      </c>
    </row>
    <row r="3844" spans="1:14" ht="31" outlineLevel="1" x14ac:dyDescent="0.25">
      <c r="A3844" s="1492">
        <f t="shared" si="574"/>
        <v>0</v>
      </c>
      <c r="B3844" s="1492" t="str">
        <f t="shared" si="574"/>
        <v xml:space="preserve"> Refurbishment of Critical HT &amp; LT board installed at Unit#5,6,&amp;7, CSTPS Chandrapur.</v>
      </c>
      <c r="C3844" s="1488">
        <f t="shared" si="574"/>
        <v>0</v>
      </c>
      <c r="D3844" s="1413" t="str">
        <f t="shared" si="574"/>
        <v>-</v>
      </c>
      <c r="E3844" s="560">
        <f t="shared" si="574"/>
        <v>25</v>
      </c>
      <c r="F3844" s="1508">
        <f t="shared" si="568"/>
        <v>0</v>
      </c>
      <c r="G3844" s="1508">
        <f t="shared" si="569"/>
        <v>0</v>
      </c>
      <c r="H3844" s="1508">
        <f t="shared" si="570"/>
        <v>0</v>
      </c>
      <c r="I3844" s="1480">
        <v>0</v>
      </c>
      <c r="J3844" s="1480">
        <v>0</v>
      </c>
      <c r="K3844" s="1508"/>
      <c r="L3844" s="1508"/>
      <c r="M3844" s="1509">
        <f t="shared" si="571"/>
        <v>0</v>
      </c>
      <c r="N3844" s="1508">
        <f t="shared" si="572"/>
        <v>0</v>
      </c>
    </row>
    <row r="3845" spans="1:14" ht="31" outlineLevel="1" x14ac:dyDescent="0.25">
      <c r="A3845" s="1486">
        <f t="shared" si="574"/>
        <v>8</v>
      </c>
      <c r="B3845" s="1491" t="str">
        <f t="shared" si="574"/>
        <v>Refurbishment of LV bus duct Bus duct of UAT, SAT, station transformer installed at Unit#5,6,&amp;7, CSTPS Chandrapur.</v>
      </c>
      <c r="C3845" s="1488">
        <f t="shared" si="574"/>
        <v>0</v>
      </c>
      <c r="D3845" s="1413" t="str">
        <f t="shared" si="574"/>
        <v>-</v>
      </c>
      <c r="E3845" s="560">
        <f t="shared" si="574"/>
        <v>30</v>
      </c>
      <c r="F3845" s="1508">
        <f t="shared" si="568"/>
        <v>0</v>
      </c>
      <c r="G3845" s="1508">
        <f t="shared" si="569"/>
        <v>0</v>
      </c>
      <c r="H3845" s="1508">
        <f t="shared" si="570"/>
        <v>0</v>
      </c>
      <c r="I3845" s="1480">
        <v>0</v>
      </c>
      <c r="J3845" s="1480">
        <v>0</v>
      </c>
      <c r="K3845" s="1508"/>
      <c r="L3845" s="1508"/>
      <c r="M3845" s="1509">
        <f t="shared" si="571"/>
        <v>0</v>
      </c>
      <c r="N3845" s="1508">
        <f t="shared" si="572"/>
        <v>0</v>
      </c>
    </row>
    <row r="3846" spans="1:14" ht="31" outlineLevel="1" x14ac:dyDescent="0.25">
      <c r="A3846" s="1492">
        <f t="shared" si="574"/>
        <v>0</v>
      </c>
      <c r="B3846" s="1492" t="str">
        <f t="shared" si="574"/>
        <v>Refurbishment of LV bus duct Bus duct of UAT, SAT, station transformer installed at Unit#5,6,&amp;7, CSTPS Chandrapur.</v>
      </c>
      <c r="C3846" s="1488">
        <f t="shared" si="574"/>
        <v>0</v>
      </c>
      <c r="D3846" s="1413" t="str">
        <f t="shared" si="574"/>
        <v>-</v>
      </c>
      <c r="E3846" s="560">
        <f t="shared" si="574"/>
        <v>30</v>
      </c>
      <c r="F3846" s="1508">
        <f t="shared" si="568"/>
        <v>30</v>
      </c>
      <c r="G3846" s="1508">
        <f t="shared" si="569"/>
        <v>30</v>
      </c>
      <c r="H3846" s="1508">
        <f t="shared" si="570"/>
        <v>0</v>
      </c>
      <c r="I3846" s="1480">
        <v>0</v>
      </c>
      <c r="J3846" s="1480">
        <v>0</v>
      </c>
      <c r="K3846" s="1508"/>
      <c r="L3846" s="1508"/>
      <c r="M3846" s="1509">
        <f t="shared" si="571"/>
        <v>0</v>
      </c>
      <c r="N3846" s="1508">
        <f t="shared" si="572"/>
        <v>0</v>
      </c>
    </row>
    <row r="3847" spans="1:14" ht="15.5" outlineLevel="1" x14ac:dyDescent="0.25">
      <c r="A3847" s="1504">
        <f t="shared" si="574"/>
        <v>0</v>
      </c>
      <c r="B3847" s="1504" t="str">
        <f t="shared" si="574"/>
        <v>Instrumentation &amp; Control-II</v>
      </c>
      <c r="C3847" s="1488">
        <f t="shared" si="574"/>
        <v>0</v>
      </c>
      <c r="D3847" s="1413" t="str">
        <f t="shared" si="574"/>
        <v>-</v>
      </c>
      <c r="E3847" s="560">
        <f t="shared" si="574"/>
        <v>0</v>
      </c>
      <c r="F3847" s="1508">
        <f t="shared" si="568"/>
        <v>0</v>
      </c>
      <c r="G3847" s="1508">
        <f t="shared" si="569"/>
        <v>0</v>
      </c>
      <c r="H3847" s="1508">
        <f t="shared" si="570"/>
        <v>0</v>
      </c>
      <c r="I3847" s="1480">
        <v>0</v>
      </c>
      <c r="J3847" s="1480">
        <v>0</v>
      </c>
      <c r="K3847" s="1508"/>
      <c r="L3847" s="1508"/>
      <c r="M3847" s="1509">
        <f t="shared" si="571"/>
        <v>0</v>
      </c>
      <c r="N3847" s="1508">
        <f t="shared" si="572"/>
        <v>0</v>
      </c>
    </row>
    <row r="3848" spans="1:14" ht="31" outlineLevel="1" x14ac:dyDescent="0.25">
      <c r="A3848" s="1486">
        <f t="shared" si="574"/>
        <v>1</v>
      </c>
      <c r="B3848" s="1491" t="str">
        <f t="shared" si="574"/>
        <v>Complete Supply ,Erection and Commissioning DDCMIS system of Unit 7 at CSTPS</v>
      </c>
      <c r="C3848" s="1488">
        <f t="shared" si="574"/>
        <v>0</v>
      </c>
      <c r="D3848" s="1413" t="str">
        <f t="shared" si="574"/>
        <v>-</v>
      </c>
      <c r="E3848" s="560">
        <f t="shared" si="574"/>
        <v>30</v>
      </c>
      <c r="F3848" s="1508">
        <f t="shared" si="568"/>
        <v>0</v>
      </c>
      <c r="G3848" s="1508">
        <f t="shared" si="569"/>
        <v>0</v>
      </c>
      <c r="H3848" s="1508">
        <f t="shared" si="570"/>
        <v>0</v>
      </c>
      <c r="I3848" s="1480">
        <v>0</v>
      </c>
      <c r="J3848" s="1480">
        <v>0</v>
      </c>
      <c r="K3848" s="1508"/>
      <c r="L3848" s="1508"/>
      <c r="M3848" s="1509">
        <f t="shared" si="571"/>
        <v>0</v>
      </c>
      <c r="N3848" s="1508">
        <f t="shared" si="572"/>
        <v>0</v>
      </c>
    </row>
    <row r="3849" spans="1:14" ht="31" outlineLevel="1" x14ac:dyDescent="0.25">
      <c r="A3849" s="1492">
        <f t="shared" si="574"/>
        <v>0</v>
      </c>
      <c r="B3849" s="1492" t="str">
        <f t="shared" si="574"/>
        <v>Complete Supply ,Erection and Commissioning DDCMIS system of Unit 7  at CSTPS</v>
      </c>
      <c r="C3849" s="1488">
        <f t="shared" si="574"/>
        <v>0</v>
      </c>
      <c r="D3849" s="1413" t="str">
        <f t="shared" si="574"/>
        <v>-</v>
      </c>
      <c r="E3849" s="560">
        <f t="shared" si="574"/>
        <v>30</v>
      </c>
      <c r="F3849" s="1508">
        <f t="shared" si="568"/>
        <v>30</v>
      </c>
      <c r="G3849" s="1508">
        <f t="shared" si="569"/>
        <v>30</v>
      </c>
      <c r="H3849" s="1508">
        <f t="shared" si="570"/>
        <v>0</v>
      </c>
      <c r="I3849" s="1480">
        <v>0</v>
      </c>
      <c r="J3849" s="1480">
        <v>0</v>
      </c>
      <c r="K3849" s="1508"/>
      <c r="L3849" s="1508"/>
      <c r="M3849" s="1509">
        <f t="shared" si="571"/>
        <v>0</v>
      </c>
      <c r="N3849" s="1508">
        <f t="shared" si="572"/>
        <v>0</v>
      </c>
    </row>
    <row r="3850" spans="1:14" ht="31" outlineLevel="1" x14ac:dyDescent="0.25">
      <c r="A3850" s="1486">
        <f t="shared" si="574"/>
        <v>2</v>
      </c>
      <c r="B3850" s="1491" t="str">
        <f t="shared" si="574"/>
        <v>Implementation of Flexible Operation Solutions for Unit5,6 &amp;7, CSTPS, Chandrapur</v>
      </c>
      <c r="C3850" s="1488">
        <f t="shared" si="574"/>
        <v>0</v>
      </c>
      <c r="D3850" s="1413" t="str">
        <f t="shared" si="574"/>
        <v>-</v>
      </c>
      <c r="E3850" s="560">
        <f t="shared" si="574"/>
        <v>40</v>
      </c>
      <c r="F3850" s="1508">
        <f t="shared" si="568"/>
        <v>0</v>
      </c>
      <c r="G3850" s="1508">
        <f t="shared" si="569"/>
        <v>0</v>
      </c>
      <c r="H3850" s="1508">
        <f t="shared" si="570"/>
        <v>0</v>
      </c>
      <c r="I3850" s="1480">
        <v>0</v>
      </c>
      <c r="J3850" s="1480">
        <v>0</v>
      </c>
      <c r="K3850" s="1508"/>
      <c r="L3850" s="1508"/>
      <c r="M3850" s="1509">
        <f t="shared" si="571"/>
        <v>0</v>
      </c>
      <c r="N3850" s="1508">
        <f t="shared" si="572"/>
        <v>0</v>
      </c>
    </row>
    <row r="3851" spans="1:14" ht="31" outlineLevel="1" x14ac:dyDescent="0.25">
      <c r="A3851" s="1492">
        <f t="shared" si="574"/>
        <v>0</v>
      </c>
      <c r="B3851" s="1492" t="str">
        <f t="shared" si="574"/>
        <v>Implementation of Flexible Operation Solutions for Unit5,6 &amp;7, CSTPS, Chandrapur</v>
      </c>
      <c r="C3851" s="1488">
        <f t="shared" si="574"/>
        <v>0</v>
      </c>
      <c r="D3851" s="1413" t="str">
        <f t="shared" si="574"/>
        <v>-</v>
      </c>
      <c r="E3851" s="560">
        <f t="shared" si="574"/>
        <v>40</v>
      </c>
      <c r="F3851" s="1508">
        <f t="shared" si="568"/>
        <v>0</v>
      </c>
      <c r="G3851" s="1508">
        <f t="shared" si="569"/>
        <v>0</v>
      </c>
      <c r="H3851" s="1508">
        <f t="shared" si="570"/>
        <v>0</v>
      </c>
      <c r="I3851" s="1480">
        <v>40</v>
      </c>
      <c r="J3851" s="1480">
        <v>40</v>
      </c>
      <c r="K3851" s="1508"/>
      <c r="L3851" s="1508"/>
      <c r="M3851" s="1509">
        <f t="shared" si="571"/>
        <v>40</v>
      </c>
      <c r="N3851" s="1508">
        <f t="shared" si="572"/>
        <v>0</v>
      </c>
    </row>
    <row r="3852" spans="1:14" ht="46.5" outlineLevel="1" x14ac:dyDescent="0.25">
      <c r="A3852" s="1486">
        <f t="shared" si="574"/>
        <v>3</v>
      </c>
      <c r="B3852" s="1491" t="str">
        <f t="shared" si="574"/>
        <v>Supply of sub-assy for ID Fan VFD System&amp;  Energy Management System (EMS) at Stage-III, CSTPS, &amp; Procurement of numerical motor/feeder protection relay</v>
      </c>
      <c r="C3852" s="1488">
        <f t="shared" si="574"/>
        <v>0</v>
      </c>
      <c r="D3852" s="1413" t="str">
        <f t="shared" si="574"/>
        <v>-</v>
      </c>
      <c r="E3852" s="560">
        <f t="shared" si="574"/>
        <v>26.1</v>
      </c>
      <c r="F3852" s="1508">
        <f t="shared" si="568"/>
        <v>0</v>
      </c>
      <c r="G3852" s="1508">
        <f t="shared" si="569"/>
        <v>0</v>
      </c>
      <c r="H3852" s="1508">
        <f t="shared" si="570"/>
        <v>0</v>
      </c>
      <c r="I3852" s="1480">
        <v>0</v>
      </c>
      <c r="J3852" s="1480">
        <v>0</v>
      </c>
      <c r="K3852" s="1508"/>
      <c r="L3852" s="1508"/>
      <c r="M3852" s="1509">
        <f t="shared" si="571"/>
        <v>0</v>
      </c>
      <c r="N3852" s="1508">
        <f t="shared" si="572"/>
        <v>0</v>
      </c>
    </row>
    <row r="3853" spans="1:14" ht="15.5" outlineLevel="1" x14ac:dyDescent="0.25">
      <c r="A3853" s="1492">
        <f t="shared" si="574"/>
        <v>0</v>
      </c>
      <c r="B3853" s="1492" t="str">
        <f t="shared" si="574"/>
        <v>Supply of sub-assy for ID Fan VFD System</v>
      </c>
      <c r="C3853" s="1488">
        <f t="shared" si="574"/>
        <v>0</v>
      </c>
      <c r="D3853" s="1413" t="str">
        <f t="shared" si="574"/>
        <v>-</v>
      </c>
      <c r="E3853" s="560">
        <f t="shared" si="574"/>
        <v>4.5</v>
      </c>
      <c r="F3853" s="1508">
        <f t="shared" si="568"/>
        <v>4.5</v>
      </c>
      <c r="G3853" s="1508">
        <f t="shared" si="569"/>
        <v>4.5</v>
      </c>
      <c r="H3853" s="1508">
        <f t="shared" si="570"/>
        <v>0</v>
      </c>
      <c r="I3853" s="1480">
        <v>0</v>
      </c>
      <c r="J3853" s="1480">
        <v>0</v>
      </c>
      <c r="K3853" s="1508"/>
      <c r="L3853" s="1508"/>
      <c r="M3853" s="1509">
        <f t="shared" si="571"/>
        <v>0</v>
      </c>
      <c r="N3853" s="1508">
        <f t="shared" si="572"/>
        <v>0</v>
      </c>
    </row>
    <row r="3854" spans="1:14" ht="31" outlineLevel="1" x14ac:dyDescent="0.25">
      <c r="A3854" s="1492">
        <f t="shared" si="574"/>
        <v>0</v>
      </c>
      <c r="B3854" s="1492" t="str">
        <f t="shared" si="574"/>
        <v>Energy Management System (EMS) at Stage-III, CSTPS, Chandrapur.</v>
      </c>
      <c r="C3854" s="1488">
        <f t="shared" si="574"/>
        <v>0</v>
      </c>
      <c r="D3854" s="1413" t="str">
        <f t="shared" si="574"/>
        <v>-</v>
      </c>
      <c r="E3854" s="560">
        <f t="shared" si="574"/>
        <v>5.5</v>
      </c>
      <c r="F3854" s="1508">
        <f t="shared" si="568"/>
        <v>5.5</v>
      </c>
      <c r="G3854" s="1508">
        <f t="shared" si="569"/>
        <v>5.5</v>
      </c>
      <c r="H3854" s="1508">
        <f t="shared" si="570"/>
        <v>0</v>
      </c>
      <c r="I3854" s="1480">
        <v>0</v>
      </c>
      <c r="J3854" s="1480">
        <v>0</v>
      </c>
      <c r="K3854" s="1508"/>
      <c r="L3854" s="1508"/>
      <c r="M3854" s="1509">
        <f t="shared" si="571"/>
        <v>0</v>
      </c>
      <c r="N3854" s="1508">
        <f t="shared" si="572"/>
        <v>0</v>
      </c>
    </row>
    <row r="3855" spans="1:14" ht="15.5" outlineLevel="1" x14ac:dyDescent="0.25">
      <c r="A3855" s="1492">
        <f t="shared" si="574"/>
        <v>0</v>
      </c>
      <c r="B3855" s="1492" t="str">
        <f t="shared" si="574"/>
        <v>Procurement of numerical motor/feeder protection relays</v>
      </c>
      <c r="C3855" s="1488">
        <f t="shared" si="574"/>
        <v>0</v>
      </c>
      <c r="D3855" s="1413" t="str">
        <f t="shared" si="574"/>
        <v>-</v>
      </c>
      <c r="E3855" s="560">
        <f t="shared" si="574"/>
        <v>8.1</v>
      </c>
      <c r="F3855" s="1508">
        <f t="shared" si="568"/>
        <v>8.1</v>
      </c>
      <c r="G3855" s="1508">
        <f t="shared" si="569"/>
        <v>8.1</v>
      </c>
      <c r="H3855" s="1508">
        <f t="shared" si="570"/>
        <v>0</v>
      </c>
      <c r="I3855" s="1480">
        <v>0</v>
      </c>
      <c r="J3855" s="1480">
        <v>0</v>
      </c>
      <c r="K3855" s="1508"/>
      <c r="L3855" s="1508"/>
      <c r="M3855" s="1509">
        <f t="shared" si="571"/>
        <v>0</v>
      </c>
      <c r="N3855" s="1508">
        <f t="shared" si="572"/>
        <v>0</v>
      </c>
    </row>
    <row r="3856" spans="1:14" ht="46.5" outlineLevel="1" x14ac:dyDescent="0.25">
      <c r="A3856" s="1492">
        <f t="shared" ref="A3856:E3871" si="575">A3186</f>
        <v>0</v>
      </c>
      <c r="B3856" s="1492" t="str">
        <f t="shared" si="575"/>
        <v>Procurement of portable multi function test kit, Microprocessot based CB TIM, CRM &amp; MVDT, CBO analyser, Vacuum cleaner bottle HV tester</v>
      </c>
      <c r="C3856" s="1488">
        <f t="shared" si="575"/>
        <v>0</v>
      </c>
      <c r="D3856" s="1413" t="str">
        <f t="shared" si="575"/>
        <v>-</v>
      </c>
      <c r="E3856" s="560">
        <f t="shared" si="575"/>
        <v>2</v>
      </c>
      <c r="F3856" s="1508">
        <f t="shared" si="568"/>
        <v>2</v>
      </c>
      <c r="G3856" s="1508">
        <f t="shared" si="569"/>
        <v>2</v>
      </c>
      <c r="H3856" s="1508">
        <f t="shared" si="570"/>
        <v>0</v>
      </c>
      <c r="I3856" s="1480">
        <v>0</v>
      </c>
      <c r="J3856" s="1480">
        <v>0</v>
      </c>
      <c r="K3856" s="1508"/>
      <c r="L3856" s="1508"/>
      <c r="M3856" s="1509">
        <f t="shared" si="571"/>
        <v>0</v>
      </c>
      <c r="N3856" s="1508">
        <f t="shared" si="572"/>
        <v>0</v>
      </c>
    </row>
    <row r="3857" spans="1:14" ht="31" outlineLevel="1" x14ac:dyDescent="0.25">
      <c r="A3857" s="1492">
        <f t="shared" si="575"/>
        <v>0</v>
      </c>
      <c r="B3857" s="1492" t="str">
        <f t="shared" si="575"/>
        <v xml:space="preserve">Replacement of various motorised control actuators at Unit 5, 6  CSTPS,Chandrapur.                              </v>
      </c>
      <c r="C3857" s="1488">
        <f t="shared" si="575"/>
        <v>0</v>
      </c>
      <c r="D3857" s="1413" t="str">
        <f t="shared" si="575"/>
        <v>-</v>
      </c>
      <c r="E3857" s="560">
        <f t="shared" si="575"/>
        <v>6</v>
      </c>
      <c r="F3857" s="1508">
        <f t="shared" si="568"/>
        <v>0</v>
      </c>
      <c r="G3857" s="1508">
        <f t="shared" si="569"/>
        <v>0</v>
      </c>
      <c r="H3857" s="1508">
        <f t="shared" si="570"/>
        <v>0</v>
      </c>
      <c r="I3857" s="1480">
        <v>6</v>
      </c>
      <c r="J3857" s="1480">
        <v>6</v>
      </c>
      <c r="K3857" s="1508"/>
      <c r="L3857" s="1508"/>
      <c r="M3857" s="1509">
        <f t="shared" si="571"/>
        <v>6</v>
      </c>
      <c r="N3857" s="1508">
        <f t="shared" si="572"/>
        <v>0</v>
      </c>
    </row>
    <row r="3858" spans="1:14" ht="62" outlineLevel="1" x14ac:dyDescent="0.25">
      <c r="A3858" s="1486">
        <f t="shared" si="575"/>
        <v>4</v>
      </c>
      <c r="B3858" s="1491" t="str">
        <f t="shared" si="575"/>
        <v>Supply and commissioning of Energy Optimization &amp; Real Time Analysis system software for Auxiliary Power management of power network &amp; Pump performance monitoring system for water pumping stations for Unit#5,6&amp;7, CSTPS, Chandrapur</v>
      </c>
      <c r="C3858" s="1488">
        <f t="shared" si="575"/>
        <v>0</v>
      </c>
      <c r="D3858" s="1413" t="str">
        <f t="shared" si="575"/>
        <v>-</v>
      </c>
      <c r="E3858" s="560">
        <f t="shared" si="575"/>
        <v>26</v>
      </c>
      <c r="F3858" s="1508">
        <f t="shared" si="568"/>
        <v>0</v>
      </c>
      <c r="G3858" s="1508">
        <f t="shared" si="569"/>
        <v>0</v>
      </c>
      <c r="H3858" s="1508">
        <f t="shared" si="570"/>
        <v>0</v>
      </c>
      <c r="I3858" s="1480">
        <v>0</v>
      </c>
      <c r="J3858" s="1480">
        <v>0</v>
      </c>
      <c r="K3858" s="1508"/>
      <c r="L3858" s="1508"/>
      <c r="M3858" s="1509">
        <f t="shared" si="571"/>
        <v>0</v>
      </c>
      <c r="N3858" s="1508">
        <f t="shared" si="572"/>
        <v>0</v>
      </c>
    </row>
    <row r="3859" spans="1:14" ht="46.5" outlineLevel="1" x14ac:dyDescent="0.25">
      <c r="A3859" s="1492">
        <f t="shared" si="575"/>
        <v>0</v>
      </c>
      <c r="B3859" s="1492" t="str">
        <f t="shared" si="575"/>
        <v>Supply and commissioning of Energy Optimization &amp; Real Time Analysis system software for Auxiliary Power management of power network</v>
      </c>
      <c r="C3859" s="1488">
        <f t="shared" si="575"/>
        <v>0</v>
      </c>
      <c r="D3859" s="1413" t="str">
        <f t="shared" si="575"/>
        <v>-</v>
      </c>
      <c r="E3859" s="560">
        <f t="shared" si="575"/>
        <v>9</v>
      </c>
      <c r="F3859" s="1508">
        <f t="shared" si="568"/>
        <v>0</v>
      </c>
      <c r="G3859" s="1508">
        <f t="shared" si="569"/>
        <v>0</v>
      </c>
      <c r="H3859" s="1508">
        <f t="shared" si="570"/>
        <v>0</v>
      </c>
      <c r="I3859" s="1480">
        <v>9</v>
      </c>
      <c r="J3859" s="1480">
        <v>9</v>
      </c>
      <c r="K3859" s="1508"/>
      <c r="L3859" s="1508"/>
      <c r="M3859" s="1509">
        <f t="shared" si="571"/>
        <v>9</v>
      </c>
      <c r="N3859" s="1508">
        <f t="shared" si="572"/>
        <v>0</v>
      </c>
    </row>
    <row r="3860" spans="1:14" ht="46.5" outlineLevel="1" x14ac:dyDescent="0.25">
      <c r="A3860" s="1492">
        <f t="shared" si="575"/>
        <v>0</v>
      </c>
      <c r="B3860" s="1492" t="str">
        <f t="shared" si="575"/>
        <v>Supply and installation of advanced Microprocessor based Pump performance monitoring system for water pumping stations for Unit#5,6&amp;7, CSTPS, Chandrapur</v>
      </c>
      <c r="C3860" s="1488">
        <f t="shared" si="575"/>
        <v>0</v>
      </c>
      <c r="D3860" s="1413" t="str">
        <f t="shared" si="575"/>
        <v>-</v>
      </c>
      <c r="E3860" s="560">
        <f t="shared" si="575"/>
        <v>7</v>
      </c>
      <c r="F3860" s="1508">
        <f t="shared" si="568"/>
        <v>0</v>
      </c>
      <c r="G3860" s="1508">
        <f t="shared" si="569"/>
        <v>0</v>
      </c>
      <c r="H3860" s="1508">
        <f t="shared" si="570"/>
        <v>0</v>
      </c>
      <c r="I3860" s="1480">
        <v>7</v>
      </c>
      <c r="J3860" s="1480">
        <v>7</v>
      </c>
      <c r="K3860" s="1508"/>
      <c r="L3860" s="1508"/>
      <c r="M3860" s="1509">
        <f t="shared" si="571"/>
        <v>7</v>
      </c>
      <c r="N3860" s="1508">
        <f t="shared" si="572"/>
        <v>0</v>
      </c>
    </row>
    <row r="3861" spans="1:14" ht="31" outlineLevel="1" x14ac:dyDescent="0.25">
      <c r="A3861" s="1492">
        <f t="shared" si="575"/>
        <v>0</v>
      </c>
      <c r="B3861" s="1492" t="str">
        <f t="shared" si="575"/>
        <v>Upgradation of Online Connectivity and Environmental Monitoring (OCEMS) System at Unit-5,6&amp;7</v>
      </c>
      <c r="C3861" s="1488">
        <f t="shared" si="575"/>
        <v>0</v>
      </c>
      <c r="D3861" s="1413" t="str">
        <f t="shared" si="575"/>
        <v>-</v>
      </c>
      <c r="E3861" s="560">
        <f t="shared" si="575"/>
        <v>4</v>
      </c>
      <c r="F3861" s="1508">
        <f t="shared" si="568"/>
        <v>4</v>
      </c>
      <c r="G3861" s="1508">
        <f t="shared" si="569"/>
        <v>4</v>
      </c>
      <c r="H3861" s="1508">
        <f t="shared" si="570"/>
        <v>0</v>
      </c>
      <c r="I3861" s="1480">
        <v>0</v>
      </c>
      <c r="J3861" s="1480">
        <v>0</v>
      </c>
      <c r="K3861" s="1508"/>
      <c r="L3861" s="1508"/>
      <c r="M3861" s="1509">
        <f t="shared" si="571"/>
        <v>0</v>
      </c>
      <c r="N3861" s="1508">
        <f t="shared" si="572"/>
        <v>0</v>
      </c>
    </row>
    <row r="3862" spans="1:14" ht="15.5" outlineLevel="1" x14ac:dyDescent="0.25">
      <c r="A3862" s="1492">
        <f t="shared" si="575"/>
        <v>0</v>
      </c>
      <c r="B3862" s="1492" t="str">
        <f t="shared" si="575"/>
        <v xml:space="preserve">Procurement of I&amp;C Testing Labouratory Instruments </v>
      </c>
      <c r="C3862" s="1488">
        <f t="shared" si="575"/>
        <v>0</v>
      </c>
      <c r="D3862" s="1413" t="str">
        <f t="shared" si="575"/>
        <v>-</v>
      </c>
      <c r="E3862" s="560">
        <f t="shared" si="575"/>
        <v>2</v>
      </c>
      <c r="F3862" s="1508">
        <f t="shared" si="568"/>
        <v>2</v>
      </c>
      <c r="G3862" s="1508">
        <f t="shared" si="569"/>
        <v>2</v>
      </c>
      <c r="H3862" s="1508">
        <f t="shared" si="570"/>
        <v>0</v>
      </c>
      <c r="I3862" s="1480">
        <v>0</v>
      </c>
      <c r="J3862" s="1480">
        <v>0</v>
      </c>
      <c r="K3862" s="1508"/>
      <c r="L3862" s="1508"/>
      <c r="M3862" s="1509">
        <f t="shared" si="571"/>
        <v>0</v>
      </c>
      <c r="N3862" s="1508">
        <f t="shared" si="572"/>
        <v>0</v>
      </c>
    </row>
    <row r="3863" spans="1:14" ht="31" outlineLevel="1" x14ac:dyDescent="0.25">
      <c r="A3863" s="1492">
        <f t="shared" si="575"/>
        <v>0</v>
      </c>
      <c r="B3863" s="1492" t="str">
        <f t="shared" si="575"/>
        <v xml:space="preserve">Upgradation of various motorised control actuators at Unit-7,  CSTPS,Chandrapur.                              </v>
      </c>
      <c r="C3863" s="1488">
        <f t="shared" si="575"/>
        <v>0</v>
      </c>
      <c r="D3863" s="1413" t="str">
        <f t="shared" si="575"/>
        <v>-</v>
      </c>
      <c r="E3863" s="560">
        <f t="shared" si="575"/>
        <v>4</v>
      </c>
      <c r="F3863" s="1508">
        <f t="shared" si="568"/>
        <v>0</v>
      </c>
      <c r="G3863" s="1508">
        <f t="shared" si="569"/>
        <v>0</v>
      </c>
      <c r="H3863" s="1508">
        <f t="shared" si="570"/>
        <v>0</v>
      </c>
      <c r="I3863" s="1480">
        <v>4</v>
      </c>
      <c r="J3863" s="1480">
        <v>4</v>
      </c>
      <c r="K3863" s="1508"/>
      <c r="L3863" s="1508"/>
      <c r="M3863" s="1509">
        <f t="shared" si="571"/>
        <v>4</v>
      </c>
      <c r="N3863" s="1508">
        <f t="shared" si="572"/>
        <v>0</v>
      </c>
    </row>
    <row r="3864" spans="1:14" ht="15.5" outlineLevel="1" x14ac:dyDescent="0.25">
      <c r="A3864" s="1504">
        <f t="shared" si="575"/>
        <v>0</v>
      </c>
      <c r="B3864" s="1504" t="str">
        <f t="shared" si="575"/>
        <v>ODP-II</v>
      </c>
      <c r="C3864" s="1488">
        <f t="shared" si="575"/>
        <v>0</v>
      </c>
      <c r="D3864" s="1413" t="str">
        <f t="shared" si="575"/>
        <v>-</v>
      </c>
      <c r="E3864" s="560">
        <f t="shared" si="575"/>
        <v>0</v>
      </c>
      <c r="F3864" s="1508">
        <f t="shared" si="568"/>
        <v>0</v>
      </c>
      <c r="G3864" s="1508">
        <f t="shared" si="569"/>
        <v>0</v>
      </c>
      <c r="H3864" s="1508">
        <f t="shared" si="570"/>
        <v>0</v>
      </c>
      <c r="I3864" s="1480">
        <v>0</v>
      </c>
      <c r="J3864" s="1480">
        <v>0</v>
      </c>
      <c r="K3864" s="1508"/>
      <c r="L3864" s="1508"/>
      <c r="M3864" s="1509">
        <f t="shared" si="571"/>
        <v>0</v>
      </c>
      <c r="N3864" s="1508">
        <f t="shared" si="572"/>
        <v>0</v>
      </c>
    </row>
    <row r="3865" spans="1:14" ht="31" outlineLevel="1" x14ac:dyDescent="0.25">
      <c r="A3865" s="1486">
        <f t="shared" si="575"/>
        <v>1</v>
      </c>
      <c r="B3865" s="1491" t="str">
        <f t="shared" si="575"/>
        <v>Complete reconditioning of Condensate cooling water system, Ash raw water system &amp; fire fightning system of U-5,6 &amp; 7</v>
      </c>
      <c r="C3865" s="1488">
        <f t="shared" si="575"/>
        <v>0</v>
      </c>
      <c r="D3865" s="1413" t="str">
        <f t="shared" si="575"/>
        <v>-</v>
      </c>
      <c r="E3865" s="560">
        <f t="shared" si="575"/>
        <v>92</v>
      </c>
      <c r="F3865" s="1508">
        <f t="shared" si="568"/>
        <v>0</v>
      </c>
      <c r="G3865" s="1508">
        <f t="shared" si="569"/>
        <v>0</v>
      </c>
      <c r="H3865" s="1508">
        <f t="shared" si="570"/>
        <v>0</v>
      </c>
      <c r="I3865" s="1480">
        <v>0</v>
      </c>
      <c r="J3865" s="1480">
        <v>0</v>
      </c>
      <c r="K3865" s="1508"/>
      <c r="L3865" s="1508"/>
      <c r="M3865" s="1509">
        <f t="shared" si="571"/>
        <v>0</v>
      </c>
      <c r="N3865" s="1508">
        <f t="shared" si="572"/>
        <v>0</v>
      </c>
    </row>
    <row r="3866" spans="1:14" ht="15.5" outlineLevel="1" x14ac:dyDescent="0.25">
      <c r="A3866" s="1492">
        <f t="shared" si="575"/>
        <v>0</v>
      </c>
      <c r="B3866" s="1492" t="str">
        <f t="shared" si="575"/>
        <v xml:space="preserve"> Complete reconditioning of cooling tower 5A &amp; 5B of Unit -5. </v>
      </c>
      <c r="C3866" s="1488">
        <f t="shared" si="575"/>
        <v>0</v>
      </c>
      <c r="D3866" s="1413" t="str">
        <f t="shared" si="575"/>
        <v>-</v>
      </c>
      <c r="E3866" s="560">
        <f t="shared" si="575"/>
        <v>45</v>
      </c>
      <c r="F3866" s="1508">
        <f t="shared" si="568"/>
        <v>30</v>
      </c>
      <c r="G3866" s="1508">
        <f t="shared" si="569"/>
        <v>30</v>
      </c>
      <c r="H3866" s="1508">
        <f t="shared" si="570"/>
        <v>0</v>
      </c>
      <c r="I3866" s="1480">
        <v>15</v>
      </c>
      <c r="J3866" s="1480">
        <v>15</v>
      </c>
      <c r="K3866" s="1508"/>
      <c r="L3866" s="1508"/>
      <c r="M3866" s="1509">
        <f t="shared" si="571"/>
        <v>15</v>
      </c>
      <c r="N3866" s="1508">
        <f t="shared" si="572"/>
        <v>0</v>
      </c>
    </row>
    <row r="3867" spans="1:14" ht="46.5" outlineLevel="1" x14ac:dyDescent="0.25">
      <c r="A3867" s="1492">
        <f t="shared" si="575"/>
        <v>0</v>
      </c>
      <c r="B3867" s="1492" t="str">
        <f t="shared" si="575"/>
        <v>Revamping of induced draft Cooling tower - 6A &amp; 6B internals with supply &amp; replacement to improve the performance of Cooling tower of Unit -6 (500MW), CSTPS, Chandrapur</v>
      </c>
      <c r="C3867" s="1488">
        <f t="shared" si="575"/>
        <v>0</v>
      </c>
      <c r="D3867" s="1413" t="str">
        <f t="shared" si="575"/>
        <v>-</v>
      </c>
      <c r="E3867" s="560">
        <f t="shared" si="575"/>
        <v>47</v>
      </c>
      <c r="F3867" s="1508">
        <f t="shared" si="568"/>
        <v>23.5</v>
      </c>
      <c r="G3867" s="1508">
        <f t="shared" si="569"/>
        <v>23.5</v>
      </c>
      <c r="H3867" s="1508">
        <f t="shared" si="570"/>
        <v>0</v>
      </c>
      <c r="I3867" s="1480">
        <v>23.5</v>
      </c>
      <c r="J3867" s="1480">
        <v>23.5</v>
      </c>
      <c r="K3867" s="1508"/>
      <c r="L3867" s="1508"/>
      <c r="M3867" s="1509">
        <f t="shared" si="571"/>
        <v>23.5</v>
      </c>
      <c r="N3867" s="1508">
        <f t="shared" si="572"/>
        <v>0</v>
      </c>
    </row>
    <row r="3868" spans="1:14" ht="31" outlineLevel="1" x14ac:dyDescent="0.25">
      <c r="A3868" s="1486">
        <f t="shared" si="575"/>
        <v>2</v>
      </c>
      <c r="B3868" s="1491" t="str">
        <f t="shared" si="575"/>
        <v>Replacement of  Complete pump assembly of CCW pump, ACW pump and other schemes</v>
      </c>
      <c r="C3868" s="1488">
        <f t="shared" si="575"/>
        <v>0</v>
      </c>
      <c r="D3868" s="1413" t="str">
        <f t="shared" si="575"/>
        <v>-</v>
      </c>
      <c r="E3868" s="560">
        <f t="shared" si="575"/>
        <v>121</v>
      </c>
      <c r="F3868" s="1508">
        <f t="shared" si="568"/>
        <v>0</v>
      </c>
      <c r="G3868" s="1508">
        <f t="shared" si="569"/>
        <v>0</v>
      </c>
      <c r="H3868" s="1508">
        <f t="shared" si="570"/>
        <v>0</v>
      </c>
      <c r="I3868" s="1480">
        <v>0</v>
      </c>
      <c r="J3868" s="1480">
        <v>0</v>
      </c>
      <c r="K3868" s="1508"/>
      <c r="L3868" s="1508"/>
      <c r="M3868" s="1509">
        <f t="shared" si="571"/>
        <v>0</v>
      </c>
      <c r="N3868" s="1508">
        <f t="shared" si="572"/>
        <v>0</v>
      </c>
    </row>
    <row r="3869" spans="1:14" ht="31" outlineLevel="1" x14ac:dyDescent="0.25">
      <c r="A3869" s="1492">
        <f t="shared" si="575"/>
        <v>0</v>
      </c>
      <c r="B3869" s="1492" t="str">
        <f t="shared" si="575"/>
        <v>Replacement of  Complete pump assembly of CCW pump installed at U-5,6,7.</v>
      </c>
      <c r="C3869" s="1488">
        <f t="shared" si="575"/>
        <v>0</v>
      </c>
      <c r="D3869" s="1413" t="str">
        <f t="shared" si="575"/>
        <v>-</v>
      </c>
      <c r="E3869" s="560">
        <f t="shared" si="575"/>
        <v>100</v>
      </c>
      <c r="F3869" s="1508">
        <f t="shared" si="568"/>
        <v>40</v>
      </c>
      <c r="G3869" s="1508">
        <f t="shared" si="569"/>
        <v>40</v>
      </c>
      <c r="H3869" s="1508">
        <f t="shared" si="570"/>
        <v>0</v>
      </c>
      <c r="I3869" s="1480">
        <v>20</v>
      </c>
      <c r="J3869" s="1480">
        <v>20</v>
      </c>
      <c r="K3869" s="1508"/>
      <c r="L3869" s="1508"/>
      <c r="M3869" s="1509">
        <f t="shared" si="571"/>
        <v>20</v>
      </c>
      <c r="N3869" s="1508">
        <f t="shared" si="572"/>
        <v>0</v>
      </c>
    </row>
    <row r="3870" spans="1:14" ht="31" outlineLevel="1" x14ac:dyDescent="0.25">
      <c r="A3870" s="1492">
        <f t="shared" si="575"/>
        <v>0</v>
      </c>
      <c r="B3870" s="1492" t="str">
        <f t="shared" si="575"/>
        <v xml:space="preserve"> Replacement of  Complete pump assembly of ACW  pump installed at U-5,6,7.</v>
      </c>
      <c r="C3870" s="1488">
        <f t="shared" si="575"/>
        <v>0</v>
      </c>
      <c r="D3870" s="1413" t="str">
        <f t="shared" si="575"/>
        <v>-</v>
      </c>
      <c r="E3870" s="560">
        <f t="shared" si="575"/>
        <v>11</v>
      </c>
      <c r="F3870" s="1508">
        <f t="shared" si="568"/>
        <v>11</v>
      </c>
      <c r="G3870" s="1508">
        <f t="shared" si="569"/>
        <v>11</v>
      </c>
      <c r="H3870" s="1508">
        <f t="shared" si="570"/>
        <v>0</v>
      </c>
      <c r="I3870" s="1480">
        <v>0</v>
      </c>
      <c r="J3870" s="1480">
        <v>0</v>
      </c>
      <c r="K3870" s="1508"/>
      <c r="L3870" s="1508"/>
      <c r="M3870" s="1509">
        <f t="shared" si="571"/>
        <v>0</v>
      </c>
      <c r="N3870" s="1508">
        <f t="shared" si="572"/>
        <v>0</v>
      </c>
    </row>
    <row r="3871" spans="1:14" ht="31" outlineLevel="1" x14ac:dyDescent="0.25">
      <c r="A3871" s="1492">
        <f t="shared" si="575"/>
        <v>0</v>
      </c>
      <c r="B3871" s="1492" t="str">
        <f t="shared" si="575"/>
        <v xml:space="preserve"> Complete reconditioning of Ash Raw water system &amp; DM/NDM system of U- 7. </v>
      </c>
      <c r="C3871" s="1488">
        <f t="shared" si="575"/>
        <v>0</v>
      </c>
      <c r="D3871" s="1413" t="str">
        <f t="shared" si="575"/>
        <v>-</v>
      </c>
      <c r="E3871" s="560">
        <f t="shared" si="575"/>
        <v>8</v>
      </c>
      <c r="F3871" s="1508">
        <f t="shared" si="568"/>
        <v>8</v>
      </c>
      <c r="G3871" s="1508">
        <f t="shared" si="569"/>
        <v>8</v>
      </c>
      <c r="H3871" s="1508">
        <f t="shared" si="570"/>
        <v>0</v>
      </c>
      <c r="I3871" s="1480">
        <v>0</v>
      </c>
      <c r="J3871" s="1480">
        <v>0</v>
      </c>
      <c r="K3871" s="1508"/>
      <c r="L3871" s="1508"/>
      <c r="M3871" s="1509">
        <f t="shared" si="571"/>
        <v>0</v>
      </c>
      <c r="N3871" s="1508">
        <f t="shared" si="572"/>
        <v>0</v>
      </c>
    </row>
    <row r="3872" spans="1:14" ht="31" outlineLevel="1" x14ac:dyDescent="0.25">
      <c r="A3872" s="1492">
        <f t="shared" ref="A3872:E3887" si="576">A3202</f>
        <v>0</v>
      </c>
      <c r="B3872" s="1492" t="str">
        <f t="shared" si="576"/>
        <v xml:space="preserve">Complete reconditioning of Fire fightning system of Stage -I, II, III. </v>
      </c>
      <c r="C3872" s="1488">
        <f t="shared" si="576"/>
        <v>0</v>
      </c>
      <c r="D3872" s="1413" t="str">
        <f t="shared" si="576"/>
        <v>-</v>
      </c>
      <c r="E3872" s="560">
        <f t="shared" si="576"/>
        <v>2</v>
      </c>
      <c r="F3872" s="1508">
        <f t="shared" ref="F3872:F3935" si="577">F3202+I3202</f>
        <v>2</v>
      </c>
      <c r="G3872" s="1508">
        <f t="shared" ref="G3872:G3935" si="578">G3202+M3202</f>
        <v>2</v>
      </c>
      <c r="H3872" s="1508">
        <f t="shared" si="570"/>
        <v>0</v>
      </c>
      <c r="I3872" s="1480">
        <v>0</v>
      </c>
      <c r="J3872" s="1480">
        <v>0</v>
      </c>
      <c r="K3872" s="1508"/>
      <c r="L3872" s="1508"/>
      <c r="M3872" s="1509">
        <f t="shared" si="571"/>
        <v>0</v>
      </c>
      <c r="N3872" s="1508">
        <f t="shared" si="572"/>
        <v>0</v>
      </c>
    </row>
    <row r="3873" spans="1:14" ht="77.5" outlineLevel="1" x14ac:dyDescent="0.25">
      <c r="A3873" s="1486">
        <f t="shared" si="576"/>
        <v>3</v>
      </c>
      <c r="B3873" s="1491" t="str">
        <f t="shared" si="576"/>
        <v xml:space="preserve">Upgradation of existing DM water system along with supply, erection &amp; Commissioning of PLC panel, Instrumentation, CPVC Pipes &amp; fittings, installed at WTP–500MW, CSTPS, Chandrapur.
</v>
      </c>
      <c r="C3873" s="1488">
        <f t="shared" si="576"/>
        <v>0</v>
      </c>
      <c r="D3873" s="1413" t="str">
        <f t="shared" si="576"/>
        <v>-</v>
      </c>
      <c r="E3873" s="560">
        <f t="shared" si="576"/>
        <v>56</v>
      </c>
      <c r="F3873" s="1508">
        <f t="shared" si="577"/>
        <v>0</v>
      </c>
      <c r="G3873" s="1508">
        <f t="shared" si="578"/>
        <v>0</v>
      </c>
      <c r="H3873" s="1508">
        <f t="shared" si="570"/>
        <v>0</v>
      </c>
      <c r="I3873" s="1480">
        <v>0</v>
      </c>
      <c r="J3873" s="1480">
        <v>0</v>
      </c>
      <c r="K3873" s="1508"/>
      <c r="L3873" s="1508"/>
      <c r="M3873" s="1509">
        <f t="shared" si="571"/>
        <v>0</v>
      </c>
      <c r="N3873" s="1508">
        <f t="shared" si="572"/>
        <v>0</v>
      </c>
    </row>
    <row r="3874" spans="1:14" ht="77.5" outlineLevel="1" x14ac:dyDescent="0.25">
      <c r="A3874" s="1492">
        <f t="shared" si="576"/>
        <v>0</v>
      </c>
      <c r="B3874" s="1492" t="str">
        <f t="shared" si="576"/>
        <v xml:space="preserve">Upgradation of existing DM water system along with supply, erection &amp; Commissioning of PLC panel, Instrumentation, CPVC Pipes &amp; fittings, installed at WTP–500MW, CSTPS, Chandrapur.
</v>
      </c>
      <c r="C3874" s="1488">
        <f t="shared" si="576"/>
        <v>0</v>
      </c>
      <c r="D3874" s="1413" t="str">
        <f t="shared" si="576"/>
        <v>-</v>
      </c>
      <c r="E3874" s="560">
        <f t="shared" si="576"/>
        <v>56</v>
      </c>
      <c r="F3874" s="1508">
        <f t="shared" si="577"/>
        <v>56</v>
      </c>
      <c r="G3874" s="1508">
        <f t="shared" si="578"/>
        <v>56</v>
      </c>
      <c r="H3874" s="1508">
        <f t="shared" si="570"/>
        <v>0</v>
      </c>
      <c r="I3874" s="1480">
        <v>0</v>
      </c>
      <c r="J3874" s="1480">
        <v>0</v>
      </c>
      <c r="K3874" s="1508"/>
      <c r="L3874" s="1508"/>
      <c r="M3874" s="1509">
        <f t="shared" si="571"/>
        <v>0</v>
      </c>
      <c r="N3874" s="1508">
        <f t="shared" si="572"/>
        <v>0</v>
      </c>
    </row>
    <row r="3875" spans="1:14" ht="31" outlineLevel="1" x14ac:dyDescent="0.25">
      <c r="A3875" s="1486">
        <f t="shared" si="576"/>
        <v>4</v>
      </c>
      <c r="B3875" s="1491" t="str">
        <f t="shared" si="576"/>
        <v>Various work for renovation &amp; improvement of ash disposal pipeline system of Unit # 5 &amp; 6 at  CSTPS, Chandrapur.</v>
      </c>
      <c r="C3875" s="1488">
        <f t="shared" si="576"/>
        <v>0</v>
      </c>
      <c r="D3875" s="1413" t="str">
        <f t="shared" si="576"/>
        <v>-</v>
      </c>
      <c r="E3875" s="560">
        <f t="shared" si="576"/>
        <v>58.37</v>
      </c>
      <c r="F3875" s="1508">
        <f t="shared" si="577"/>
        <v>0</v>
      </c>
      <c r="G3875" s="1508">
        <f t="shared" si="578"/>
        <v>0</v>
      </c>
      <c r="H3875" s="1508">
        <f t="shared" si="570"/>
        <v>0</v>
      </c>
      <c r="I3875" s="1480">
        <v>0</v>
      </c>
      <c r="J3875" s="1480">
        <v>0</v>
      </c>
      <c r="K3875" s="1508"/>
      <c r="L3875" s="1508"/>
      <c r="M3875" s="1509">
        <f t="shared" si="571"/>
        <v>0</v>
      </c>
      <c r="N3875" s="1508">
        <f t="shared" si="572"/>
        <v>0</v>
      </c>
    </row>
    <row r="3876" spans="1:14" ht="31" outlineLevel="1" x14ac:dyDescent="0.25">
      <c r="A3876" s="1492">
        <f t="shared" si="576"/>
        <v>0</v>
      </c>
      <c r="B3876" s="1492" t="str">
        <f t="shared" si="576"/>
        <v>Supply, Erection &amp; commissioning of third 400 NB ash slurry disposal pipeline for Unit #5 at CSTPS, Chandrapur</v>
      </c>
      <c r="C3876" s="1488">
        <f t="shared" si="576"/>
        <v>0</v>
      </c>
      <c r="D3876" s="1413" t="str">
        <f t="shared" si="576"/>
        <v>-</v>
      </c>
      <c r="E3876" s="560">
        <f t="shared" si="576"/>
        <v>20.190000000000001</v>
      </c>
      <c r="F3876" s="1508">
        <f t="shared" si="577"/>
        <v>20.190000000000001</v>
      </c>
      <c r="G3876" s="1508">
        <f t="shared" si="578"/>
        <v>20.190000000000001</v>
      </c>
      <c r="H3876" s="1508">
        <f t="shared" si="570"/>
        <v>0</v>
      </c>
      <c r="I3876" s="1480">
        <v>0</v>
      </c>
      <c r="J3876" s="1480">
        <v>0</v>
      </c>
      <c r="K3876" s="1508"/>
      <c r="L3876" s="1508"/>
      <c r="M3876" s="1509">
        <f t="shared" si="571"/>
        <v>0</v>
      </c>
      <c r="N3876" s="1508">
        <f t="shared" si="572"/>
        <v>0</v>
      </c>
    </row>
    <row r="3877" spans="1:14" ht="46.5" outlineLevel="1" x14ac:dyDescent="0.25">
      <c r="A3877" s="1492">
        <f t="shared" si="576"/>
        <v>0</v>
      </c>
      <c r="B3877" s="1492" t="str">
        <f t="shared" si="576"/>
        <v>Supply, Erection, Replacement of 400 NB MSERW pipes of existing Ash disposal pipelines of Unit # 5 &amp; 6 in ‘B’ &amp; ‘C’ zone at CSTPS, Chandrapur.</v>
      </c>
      <c r="C3877" s="1488">
        <f t="shared" si="576"/>
        <v>0</v>
      </c>
      <c r="D3877" s="1413" t="str">
        <f t="shared" si="576"/>
        <v>-</v>
      </c>
      <c r="E3877" s="560">
        <f t="shared" si="576"/>
        <v>38.18</v>
      </c>
      <c r="F3877" s="1508">
        <f t="shared" si="577"/>
        <v>38.18</v>
      </c>
      <c r="G3877" s="1508">
        <f t="shared" si="578"/>
        <v>38.18</v>
      </c>
      <c r="H3877" s="1508">
        <f t="shared" si="570"/>
        <v>0</v>
      </c>
      <c r="I3877" s="1480">
        <v>0</v>
      </c>
      <c r="J3877" s="1480">
        <v>0</v>
      </c>
      <c r="K3877" s="1508"/>
      <c r="L3877" s="1508"/>
      <c r="M3877" s="1509">
        <f t="shared" si="571"/>
        <v>0</v>
      </c>
      <c r="N3877" s="1508">
        <f t="shared" si="572"/>
        <v>0</v>
      </c>
    </row>
    <row r="3878" spans="1:14" ht="46.5" outlineLevel="1" x14ac:dyDescent="0.25">
      <c r="A3878" s="1486">
        <f t="shared" si="576"/>
        <v>5</v>
      </c>
      <c r="B3878" s="1491" t="str">
        <f t="shared" si="576"/>
        <v>Design, engineering, supply, installation and commissioning of disposal of bottom ash in under ground mines at Chandrapur area WCL at CSTPS, Chandrapur</v>
      </c>
      <c r="C3878" s="1488">
        <f t="shared" si="576"/>
        <v>0</v>
      </c>
      <c r="D3878" s="1413" t="str">
        <f t="shared" si="576"/>
        <v>-</v>
      </c>
      <c r="E3878" s="560">
        <f t="shared" si="576"/>
        <v>27.55</v>
      </c>
      <c r="F3878" s="1508">
        <f t="shared" si="577"/>
        <v>0</v>
      </c>
      <c r="G3878" s="1508">
        <f t="shared" si="578"/>
        <v>0</v>
      </c>
      <c r="H3878" s="1508">
        <f t="shared" si="570"/>
        <v>0</v>
      </c>
      <c r="I3878" s="1480">
        <v>0</v>
      </c>
      <c r="J3878" s="1480">
        <v>0</v>
      </c>
      <c r="K3878" s="1508"/>
      <c r="L3878" s="1508"/>
      <c r="M3878" s="1509">
        <f t="shared" si="571"/>
        <v>0</v>
      </c>
      <c r="N3878" s="1508">
        <f t="shared" si="572"/>
        <v>0</v>
      </c>
    </row>
    <row r="3879" spans="1:14" ht="46.5" outlineLevel="1" x14ac:dyDescent="0.25">
      <c r="A3879" s="1492">
        <f t="shared" si="576"/>
        <v>0</v>
      </c>
      <c r="B3879" s="1492" t="str">
        <f t="shared" si="576"/>
        <v>Design, engineering, supply, installation and commissioning of disposal of bottom ash in under ground mines at Chandrapur area WCL at CSTPS, Chandrapur</v>
      </c>
      <c r="C3879" s="1488">
        <f t="shared" si="576"/>
        <v>0</v>
      </c>
      <c r="D3879" s="1413" t="str">
        <f t="shared" si="576"/>
        <v>-</v>
      </c>
      <c r="E3879" s="560">
        <f t="shared" si="576"/>
        <v>27.55</v>
      </c>
      <c r="F3879" s="1508">
        <f t="shared" si="577"/>
        <v>27.55</v>
      </c>
      <c r="G3879" s="1508">
        <f t="shared" si="578"/>
        <v>27.55</v>
      </c>
      <c r="H3879" s="1508">
        <f t="shared" si="570"/>
        <v>0</v>
      </c>
      <c r="I3879" s="1480">
        <v>0</v>
      </c>
      <c r="J3879" s="1480">
        <v>0</v>
      </c>
      <c r="K3879" s="1508"/>
      <c r="L3879" s="1508"/>
      <c r="M3879" s="1509">
        <f t="shared" si="571"/>
        <v>0</v>
      </c>
      <c r="N3879" s="1508">
        <f t="shared" si="572"/>
        <v>0</v>
      </c>
    </row>
    <row r="3880" spans="1:14" ht="31" outlineLevel="1" x14ac:dyDescent="0.25">
      <c r="A3880" s="1486">
        <f t="shared" si="576"/>
        <v>6</v>
      </c>
      <c r="B3880" s="1491" t="str">
        <f t="shared" si="576"/>
        <v>Supply and replacement of 400 NB MSERW pipe lines of ash disposal system in Ash Handling Plant at CSTPS, Chandrapur.</v>
      </c>
      <c r="C3880" s="1488">
        <f t="shared" si="576"/>
        <v>0</v>
      </c>
      <c r="D3880" s="1413" t="str">
        <f t="shared" si="576"/>
        <v>-</v>
      </c>
      <c r="E3880" s="560">
        <f t="shared" si="576"/>
        <v>81.06</v>
      </c>
      <c r="F3880" s="1508">
        <f t="shared" si="577"/>
        <v>0</v>
      </c>
      <c r="G3880" s="1508">
        <f t="shared" si="578"/>
        <v>0</v>
      </c>
      <c r="H3880" s="1508">
        <f t="shared" si="570"/>
        <v>0</v>
      </c>
      <c r="I3880" s="1480">
        <v>0</v>
      </c>
      <c r="J3880" s="1480">
        <v>0</v>
      </c>
      <c r="K3880" s="1508"/>
      <c r="L3880" s="1508"/>
      <c r="M3880" s="1509">
        <f t="shared" si="571"/>
        <v>0</v>
      </c>
      <c r="N3880" s="1508">
        <f t="shared" si="572"/>
        <v>0</v>
      </c>
    </row>
    <row r="3881" spans="1:14" ht="46.5" outlineLevel="1" x14ac:dyDescent="0.25">
      <c r="A3881" s="1492">
        <f t="shared" si="576"/>
        <v>0</v>
      </c>
      <c r="B3881" s="1492" t="str">
        <f t="shared" si="576"/>
        <v>Procurement and replacement of 400 NB MSERW pipe lines of ash disposal system in Ash Handling Plant at CSTPS, Chandrapur.</v>
      </c>
      <c r="C3881" s="1488">
        <f t="shared" si="576"/>
        <v>0</v>
      </c>
      <c r="D3881" s="1413" t="str">
        <f t="shared" si="576"/>
        <v>-</v>
      </c>
      <c r="E3881" s="560">
        <f t="shared" si="576"/>
        <v>81.06</v>
      </c>
      <c r="F3881" s="1508">
        <f t="shared" si="577"/>
        <v>18.809999999999999</v>
      </c>
      <c r="G3881" s="1508">
        <f t="shared" si="578"/>
        <v>18.809999999999999</v>
      </c>
      <c r="H3881" s="1508">
        <f t="shared" si="570"/>
        <v>0</v>
      </c>
      <c r="I3881" s="1480">
        <v>19.75</v>
      </c>
      <c r="J3881" s="1480">
        <v>19.75</v>
      </c>
      <c r="K3881" s="1508"/>
      <c r="L3881" s="1508"/>
      <c r="M3881" s="1509">
        <f t="shared" si="571"/>
        <v>19.75</v>
      </c>
      <c r="N3881" s="1508">
        <f t="shared" si="572"/>
        <v>0</v>
      </c>
    </row>
    <row r="3882" spans="1:14" ht="15.5" outlineLevel="1" x14ac:dyDescent="0.25">
      <c r="A3882" s="1504">
        <f t="shared" si="576"/>
        <v>0</v>
      </c>
      <c r="B3882" s="1504" t="str">
        <f t="shared" si="576"/>
        <v>WTP-II</v>
      </c>
      <c r="C3882" s="1488">
        <f t="shared" si="576"/>
        <v>0</v>
      </c>
      <c r="D3882" s="1413" t="str">
        <f t="shared" si="576"/>
        <v>-</v>
      </c>
      <c r="E3882" s="560">
        <f t="shared" si="576"/>
        <v>0</v>
      </c>
      <c r="F3882" s="1508">
        <f t="shared" si="577"/>
        <v>0</v>
      </c>
      <c r="G3882" s="1508">
        <f t="shared" si="578"/>
        <v>0</v>
      </c>
      <c r="H3882" s="1508">
        <f t="shared" si="570"/>
        <v>0</v>
      </c>
      <c r="I3882" s="1480">
        <v>0</v>
      </c>
      <c r="J3882" s="1480">
        <v>0</v>
      </c>
      <c r="K3882" s="1508"/>
      <c r="L3882" s="1508"/>
      <c r="M3882" s="1509">
        <f t="shared" si="571"/>
        <v>0</v>
      </c>
      <c r="N3882" s="1508">
        <f t="shared" si="572"/>
        <v>0</v>
      </c>
    </row>
    <row r="3883" spans="1:14" ht="31" outlineLevel="1" x14ac:dyDescent="0.25">
      <c r="A3883" s="1486">
        <f t="shared" si="576"/>
        <v>1</v>
      </c>
      <c r="B3883" s="1491" t="str">
        <f t="shared" si="576"/>
        <v xml:space="preserve">SWAS system &amp; STREAM FILTRATION FOR COOLING WATER SYSTEM </v>
      </c>
      <c r="C3883" s="1488">
        <f t="shared" si="576"/>
        <v>0</v>
      </c>
      <c r="D3883" s="1413" t="str">
        <f t="shared" si="576"/>
        <v>-</v>
      </c>
      <c r="E3883" s="560">
        <f t="shared" si="576"/>
        <v>95.65</v>
      </c>
      <c r="F3883" s="1508">
        <f t="shared" si="577"/>
        <v>0</v>
      </c>
      <c r="G3883" s="1508">
        <f t="shared" si="578"/>
        <v>0</v>
      </c>
      <c r="H3883" s="1508">
        <f t="shared" si="570"/>
        <v>0</v>
      </c>
      <c r="I3883" s="1480">
        <v>0</v>
      </c>
      <c r="J3883" s="1480">
        <v>0</v>
      </c>
      <c r="K3883" s="1508"/>
      <c r="L3883" s="1508"/>
      <c r="M3883" s="1509">
        <f t="shared" si="571"/>
        <v>0</v>
      </c>
      <c r="N3883" s="1508">
        <f t="shared" si="572"/>
        <v>0</v>
      </c>
    </row>
    <row r="3884" spans="1:14" ht="31" outlineLevel="1" x14ac:dyDescent="0.25">
      <c r="A3884" s="1492">
        <f t="shared" si="576"/>
        <v>0</v>
      </c>
      <c r="B3884" s="1492" t="str">
        <f t="shared" si="576"/>
        <v>Revamping of SWAS system at 3 x 500 MW at WTP-II of CSTPS, Chandrapur</v>
      </c>
      <c r="C3884" s="1488">
        <f t="shared" si="576"/>
        <v>0</v>
      </c>
      <c r="D3884" s="1413" t="str">
        <f t="shared" si="576"/>
        <v>-</v>
      </c>
      <c r="E3884" s="560">
        <f t="shared" si="576"/>
        <v>16</v>
      </c>
      <c r="F3884" s="1508">
        <f t="shared" si="577"/>
        <v>0</v>
      </c>
      <c r="G3884" s="1508">
        <f t="shared" si="578"/>
        <v>0</v>
      </c>
      <c r="H3884" s="1508">
        <f t="shared" si="570"/>
        <v>0</v>
      </c>
      <c r="I3884" s="1480">
        <v>16</v>
      </c>
      <c r="J3884" s="1480">
        <v>16</v>
      </c>
      <c r="K3884" s="1508"/>
      <c r="L3884" s="1508"/>
      <c r="M3884" s="1509">
        <f t="shared" si="571"/>
        <v>16</v>
      </c>
      <c r="N3884" s="1508">
        <f t="shared" si="572"/>
        <v>0</v>
      </c>
    </row>
    <row r="3885" spans="1:14" ht="31" outlineLevel="1" x14ac:dyDescent="0.25">
      <c r="A3885" s="1492">
        <f t="shared" si="576"/>
        <v>0</v>
      </c>
      <c r="B3885" s="1492" t="str">
        <f t="shared" si="576"/>
        <v>STREAM FILTRATION FOR COOLING WATER SYSTEM OF UNIT 5,6,7,8 and 9 OF CSTPS CHANDRAPUR</v>
      </c>
      <c r="C3885" s="1488">
        <f t="shared" si="576"/>
        <v>0</v>
      </c>
      <c r="D3885" s="1413" t="str">
        <f t="shared" si="576"/>
        <v>-</v>
      </c>
      <c r="E3885" s="560">
        <f t="shared" si="576"/>
        <v>85.529939999999996</v>
      </c>
      <c r="F3885" s="1508">
        <f t="shared" si="577"/>
        <v>0</v>
      </c>
      <c r="G3885" s="1508">
        <f t="shared" si="578"/>
        <v>0</v>
      </c>
      <c r="H3885" s="1508">
        <f t="shared" si="570"/>
        <v>0</v>
      </c>
      <c r="I3885" s="1480">
        <v>0</v>
      </c>
      <c r="J3885" s="1480">
        <v>0</v>
      </c>
      <c r="K3885" s="1508"/>
      <c r="L3885" s="1508"/>
      <c r="M3885" s="1509">
        <f t="shared" si="571"/>
        <v>0</v>
      </c>
      <c r="N3885" s="1508">
        <f t="shared" si="572"/>
        <v>0</v>
      </c>
    </row>
    <row r="3886" spans="1:14" ht="15.5" outlineLevel="1" x14ac:dyDescent="0.25">
      <c r="A3886" s="1504">
        <f t="shared" si="576"/>
        <v>0</v>
      </c>
      <c r="B3886" s="1504" t="str">
        <f t="shared" si="576"/>
        <v>CHP-B</v>
      </c>
      <c r="C3886" s="1488">
        <f t="shared" si="576"/>
        <v>0</v>
      </c>
      <c r="D3886" s="1413" t="str">
        <f t="shared" si="576"/>
        <v>-</v>
      </c>
      <c r="E3886" s="560">
        <f t="shared" si="576"/>
        <v>0</v>
      </c>
      <c r="F3886" s="1508">
        <f t="shared" si="577"/>
        <v>0</v>
      </c>
      <c r="G3886" s="1508">
        <f t="shared" si="578"/>
        <v>0</v>
      </c>
      <c r="H3886" s="1508">
        <f t="shared" ref="H3886:H3949" si="579">F3886-G3886</f>
        <v>0</v>
      </c>
      <c r="I3886" s="1480">
        <v>0</v>
      </c>
      <c r="J3886" s="1480">
        <v>0</v>
      </c>
      <c r="K3886" s="1508"/>
      <c r="L3886" s="1508"/>
      <c r="M3886" s="1509">
        <f t="shared" ref="M3886:M3949" si="580">SUM(J3886:L3886)</f>
        <v>0</v>
      </c>
      <c r="N3886" s="1508">
        <f t="shared" ref="N3886:N3949" si="581">H3886+I3886-M3886</f>
        <v>0</v>
      </c>
    </row>
    <row r="3887" spans="1:14" ht="46.5" outlineLevel="1" x14ac:dyDescent="0.25">
      <c r="A3887" s="1486">
        <f t="shared" si="576"/>
        <v>1</v>
      </c>
      <c r="B3887" s="1491" t="str">
        <f t="shared" si="576"/>
        <v xml:space="preserve">Renovation of Bunker Hopper of Unit 5&amp;6 along with coal flow system &amp;  Design, Engineering, Manufacturing, Fabrication, Erection and commissioning of Modified Wobbler Feeder at CHPC </v>
      </c>
      <c r="C3887" s="1488">
        <f t="shared" si="576"/>
        <v>0</v>
      </c>
      <c r="D3887" s="1413" t="str">
        <f t="shared" si="576"/>
        <v>-</v>
      </c>
      <c r="E3887" s="560">
        <f t="shared" si="576"/>
        <v>38</v>
      </c>
      <c r="F3887" s="1508">
        <f t="shared" si="577"/>
        <v>0</v>
      </c>
      <c r="G3887" s="1508">
        <f t="shared" si="578"/>
        <v>0</v>
      </c>
      <c r="H3887" s="1508">
        <f t="shared" si="579"/>
        <v>0</v>
      </c>
      <c r="I3887" s="1480">
        <v>0</v>
      </c>
      <c r="J3887" s="1480">
        <v>0</v>
      </c>
      <c r="K3887" s="1508"/>
      <c r="L3887" s="1508"/>
      <c r="M3887" s="1509">
        <f t="shared" si="580"/>
        <v>0</v>
      </c>
      <c r="N3887" s="1508">
        <f t="shared" si="581"/>
        <v>0</v>
      </c>
    </row>
    <row r="3888" spans="1:14" ht="46.5" outlineLevel="1" x14ac:dyDescent="0.25">
      <c r="A3888" s="1492">
        <f t="shared" ref="A3888:E3903" si="582">A3218</f>
        <v>0</v>
      </c>
      <c r="B3888" s="1492" t="str">
        <f t="shared" si="582"/>
        <v>Scheme-1 Work of Modification,Upgradation &amp; renovation of Bunker Hopper of Unit 5&amp;6 along with coal flow system at CSTPS Chandrapur</v>
      </c>
      <c r="C3888" s="1488">
        <f t="shared" si="582"/>
        <v>0</v>
      </c>
      <c r="D3888" s="1413" t="str">
        <f t="shared" si="582"/>
        <v>-</v>
      </c>
      <c r="E3888" s="560">
        <f t="shared" si="582"/>
        <v>16</v>
      </c>
      <c r="F3888" s="1508">
        <f t="shared" si="577"/>
        <v>16</v>
      </c>
      <c r="G3888" s="1508">
        <f t="shared" si="578"/>
        <v>16</v>
      </c>
      <c r="H3888" s="1508">
        <f t="shared" si="579"/>
        <v>0</v>
      </c>
      <c r="I3888" s="1480">
        <v>0</v>
      </c>
      <c r="J3888" s="1480">
        <v>0</v>
      </c>
      <c r="K3888" s="1508"/>
      <c r="L3888" s="1508"/>
      <c r="M3888" s="1509">
        <f t="shared" si="580"/>
        <v>0</v>
      </c>
      <c r="N3888" s="1508">
        <f t="shared" si="581"/>
        <v>0</v>
      </c>
    </row>
    <row r="3889" spans="1:14" ht="31" outlineLevel="1" x14ac:dyDescent="0.25">
      <c r="A3889" s="1492">
        <f t="shared" si="582"/>
        <v>0</v>
      </c>
      <c r="B3889" s="1492" t="str">
        <f t="shared" si="582"/>
        <v>Scheme-2 :- Renovation &amp; up gradation of conveyor gantries &amp; Travelling Tripper of CHPB.</v>
      </c>
      <c r="C3889" s="1488">
        <f t="shared" si="582"/>
        <v>0</v>
      </c>
      <c r="D3889" s="1413" t="str">
        <f t="shared" si="582"/>
        <v>-</v>
      </c>
      <c r="E3889" s="560">
        <f t="shared" si="582"/>
        <v>7</v>
      </c>
      <c r="F3889" s="1508">
        <f t="shared" si="577"/>
        <v>7</v>
      </c>
      <c r="G3889" s="1508">
        <f t="shared" si="578"/>
        <v>7</v>
      </c>
      <c r="H3889" s="1508">
        <f t="shared" si="579"/>
        <v>0</v>
      </c>
      <c r="I3889" s="1480">
        <v>0</v>
      </c>
      <c r="J3889" s="1480">
        <v>0</v>
      </c>
      <c r="K3889" s="1508"/>
      <c r="L3889" s="1508"/>
      <c r="M3889" s="1509">
        <f t="shared" si="580"/>
        <v>0</v>
      </c>
      <c r="N3889" s="1508">
        <f t="shared" si="581"/>
        <v>0</v>
      </c>
    </row>
    <row r="3890" spans="1:14" ht="46.5" outlineLevel="1" x14ac:dyDescent="0.25">
      <c r="A3890" s="1492">
        <f t="shared" si="582"/>
        <v>0</v>
      </c>
      <c r="B3890" s="1492" t="str">
        <f t="shared" si="582"/>
        <v>Scheme-3 :- Design, Engineering, Manufacturing, Fabrication, Erection and commissioning of Modified Wobbler Feeder at CHPC of Unit 6&amp;7 of CSTPS Chandrapur</v>
      </c>
      <c r="C3890" s="1488">
        <f t="shared" si="582"/>
        <v>0</v>
      </c>
      <c r="D3890" s="1413" t="str">
        <f t="shared" si="582"/>
        <v>-</v>
      </c>
      <c r="E3890" s="560">
        <f t="shared" si="582"/>
        <v>5</v>
      </c>
      <c r="F3890" s="1508">
        <f t="shared" si="577"/>
        <v>5</v>
      </c>
      <c r="G3890" s="1508">
        <f t="shared" si="578"/>
        <v>5</v>
      </c>
      <c r="H3890" s="1508">
        <f t="shared" si="579"/>
        <v>0</v>
      </c>
      <c r="I3890" s="1480">
        <v>0</v>
      </c>
      <c r="J3890" s="1480">
        <v>0</v>
      </c>
      <c r="K3890" s="1508"/>
      <c r="L3890" s="1508"/>
      <c r="M3890" s="1509">
        <f t="shared" si="580"/>
        <v>0</v>
      </c>
      <c r="N3890" s="1508">
        <f t="shared" si="581"/>
        <v>0</v>
      </c>
    </row>
    <row r="3891" spans="1:14" ht="31" outlineLevel="1" x14ac:dyDescent="0.25">
      <c r="A3891" s="1486">
        <f t="shared" si="582"/>
        <v>2</v>
      </c>
      <c r="B3891" s="1491" t="str">
        <f t="shared" si="582"/>
        <v xml:space="preserve">installation &amp; commissioning of various LV and MV drives at CHPA &amp; Automation of Control Room of CHPA/B </v>
      </c>
      <c r="C3891" s="1488">
        <f t="shared" si="582"/>
        <v>0</v>
      </c>
      <c r="D3891" s="1413" t="str">
        <f t="shared" si="582"/>
        <v>-</v>
      </c>
      <c r="E3891" s="560">
        <f t="shared" si="582"/>
        <v>75</v>
      </c>
      <c r="F3891" s="1508">
        <f t="shared" si="577"/>
        <v>0</v>
      </c>
      <c r="G3891" s="1508">
        <f t="shared" si="578"/>
        <v>0</v>
      </c>
      <c r="H3891" s="1508">
        <f t="shared" si="579"/>
        <v>0</v>
      </c>
      <c r="I3891" s="1480">
        <v>0</v>
      </c>
      <c r="J3891" s="1480">
        <v>0</v>
      </c>
      <c r="K3891" s="1508"/>
      <c r="L3891" s="1508"/>
      <c r="M3891" s="1509">
        <f t="shared" si="580"/>
        <v>0</v>
      </c>
      <c r="N3891" s="1508">
        <f t="shared" si="581"/>
        <v>0</v>
      </c>
    </row>
    <row r="3892" spans="1:14" ht="31" outlineLevel="1" x14ac:dyDescent="0.25">
      <c r="A3892" s="1492">
        <f t="shared" si="582"/>
        <v>0</v>
      </c>
      <c r="B3892" s="1492" t="str">
        <f t="shared" si="582"/>
        <v>Scheme-1 Design, Engineering, supply, installation &amp; commissioning of various LV and MV drives at CHPA</v>
      </c>
      <c r="C3892" s="1488">
        <f t="shared" si="582"/>
        <v>0</v>
      </c>
      <c r="D3892" s="1413" t="str">
        <f t="shared" si="582"/>
        <v>-</v>
      </c>
      <c r="E3892" s="560">
        <f t="shared" si="582"/>
        <v>39</v>
      </c>
      <c r="F3892" s="1508">
        <f t="shared" si="577"/>
        <v>39</v>
      </c>
      <c r="G3892" s="1508">
        <f t="shared" si="578"/>
        <v>39</v>
      </c>
      <c r="H3892" s="1508">
        <f t="shared" si="579"/>
        <v>0</v>
      </c>
      <c r="I3892" s="1480">
        <v>0</v>
      </c>
      <c r="J3892" s="1480">
        <v>0</v>
      </c>
      <c r="K3892" s="1508"/>
      <c r="L3892" s="1508"/>
      <c r="M3892" s="1509">
        <f t="shared" si="580"/>
        <v>0</v>
      </c>
      <c r="N3892" s="1508">
        <f t="shared" si="581"/>
        <v>0</v>
      </c>
    </row>
    <row r="3893" spans="1:14" ht="15.5" outlineLevel="1" x14ac:dyDescent="0.25">
      <c r="A3893" s="1492">
        <f t="shared" si="582"/>
        <v>0</v>
      </c>
      <c r="B3893" s="1492" t="str">
        <f t="shared" si="582"/>
        <v xml:space="preserve">Scheme-2 Automation of Control Room of CHPA/B </v>
      </c>
      <c r="C3893" s="1488">
        <f t="shared" si="582"/>
        <v>0</v>
      </c>
      <c r="D3893" s="1413" t="str">
        <f t="shared" si="582"/>
        <v>-</v>
      </c>
      <c r="E3893" s="560">
        <f t="shared" si="582"/>
        <v>15</v>
      </c>
      <c r="F3893" s="1508">
        <f t="shared" si="577"/>
        <v>15</v>
      </c>
      <c r="G3893" s="1508">
        <f t="shared" si="578"/>
        <v>15</v>
      </c>
      <c r="H3893" s="1508">
        <f t="shared" si="579"/>
        <v>0</v>
      </c>
      <c r="I3893" s="1480">
        <v>0</v>
      </c>
      <c r="J3893" s="1480">
        <v>0</v>
      </c>
      <c r="K3893" s="1508"/>
      <c r="L3893" s="1508"/>
      <c r="M3893" s="1509">
        <f t="shared" si="580"/>
        <v>0</v>
      </c>
      <c r="N3893" s="1508">
        <f t="shared" si="581"/>
        <v>0</v>
      </c>
    </row>
    <row r="3894" spans="1:14" ht="31" outlineLevel="1" x14ac:dyDescent="0.25">
      <c r="A3894" s="1492">
        <f t="shared" si="582"/>
        <v>0</v>
      </c>
      <c r="B3894" s="1492" t="str">
        <f t="shared" si="582"/>
        <v>Scheme-3 Design, Engineering, supply, installation &amp; commissioning of various MV VFD for Crusher 1,2,3&amp;4 at CHPB</v>
      </c>
      <c r="C3894" s="1488">
        <f t="shared" si="582"/>
        <v>0</v>
      </c>
      <c r="D3894" s="1413" t="str">
        <f t="shared" si="582"/>
        <v>-</v>
      </c>
      <c r="E3894" s="560">
        <f t="shared" si="582"/>
        <v>11</v>
      </c>
      <c r="F3894" s="1508">
        <f t="shared" si="577"/>
        <v>11</v>
      </c>
      <c r="G3894" s="1508">
        <f t="shared" si="578"/>
        <v>11</v>
      </c>
      <c r="H3894" s="1508">
        <f t="shared" si="579"/>
        <v>0</v>
      </c>
      <c r="I3894" s="1480">
        <v>0</v>
      </c>
      <c r="J3894" s="1480">
        <v>0</v>
      </c>
      <c r="K3894" s="1508"/>
      <c r="L3894" s="1508"/>
      <c r="M3894" s="1509">
        <f t="shared" si="580"/>
        <v>0</v>
      </c>
      <c r="N3894" s="1508">
        <f t="shared" si="581"/>
        <v>0</v>
      </c>
    </row>
    <row r="3895" spans="1:14" ht="31" outlineLevel="1" x14ac:dyDescent="0.25">
      <c r="A3895" s="1492">
        <f t="shared" si="582"/>
        <v>0</v>
      </c>
      <c r="B3895" s="1492" t="str">
        <f t="shared" si="582"/>
        <v>Scheme-4:- Renovation modernization of 11 KV PMCC Board at Sub-Station-2 of CHPB</v>
      </c>
      <c r="C3895" s="1488">
        <f t="shared" si="582"/>
        <v>0</v>
      </c>
      <c r="D3895" s="1413" t="str">
        <f t="shared" si="582"/>
        <v>-</v>
      </c>
      <c r="E3895" s="560">
        <f t="shared" si="582"/>
        <v>10</v>
      </c>
      <c r="F3895" s="1508">
        <f t="shared" si="577"/>
        <v>10</v>
      </c>
      <c r="G3895" s="1508">
        <f t="shared" si="578"/>
        <v>10</v>
      </c>
      <c r="H3895" s="1508">
        <f t="shared" si="579"/>
        <v>0</v>
      </c>
      <c r="I3895" s="1480">
        <v>0</v>
      </c>
      <c r="J3895" s="1480">
        <v>0</v>
      </c>
      <c r="K3895" s="1508"/>
      <c r="L3895" s="1508"/>
      <c r="M3895" s="1509">
        <f t="shared" si="580"/>
        <v>0</v>
      </c>
      <c r="N3895" s="1508">
        <f t="shared" si="581"/>
        <v>0</v>
      </c>
    </row>
    <row r="3896" spans="1:14" ht="46.5" outlineLevel="1" x14ac:dyDescent="0.25">
      <c r="A3896" s="1486">
        <f t="shared" si="582"/>
        <v>3</v>
      </c>
      <c r="B3896" s="1491" t="str">
        <f t="shared" si="582"/>
        <v>Renovation &amp; Upgrdation of Bunker lift &amp; Desgin, Engineering, supply, installation &amp; commissioning of Energy chain system at various locations of CHPB &amp; CHPC</v>
      </c>
      <c r="C3896" s="1488">
        <f t="shared" si="582"/>
        <v>0</v>
      </c>
      <c r="D3896" s="1413" t="str">
        <f t="shared" si="582"/>
        <v>-</v>
      </c>
      <c r="E3896" s="560">
        <f t="shared" si="582"/>
        <v>29</v>
      </c>
      <c r="F3896" s="1508">
        <f t="shared" si="577"/>
        <v>0</v>
      </c>
      <c r="G3896" s="1508">
        <f t="shared" si="578"/>
        <v>0</v>
      </c>
      <c r="H3896" s="1508">
        <f t="shared" si="579"/>
        <v>0</v>
      </c>
      <c r="I3896" s="1480">
        <v>0</v>
      </c>
      <c r="J3896" s="1480">
        <v>0</v>
      </c>
      <c r="K3896" s="1508"/>
      <c r="L3896" s="1508"/>
      <c r="M3896" s="1509">
        <f t="shared" si="580"/>
        <v>0</v>
      </c>
      <c r="N3896" s="1508">
        <f t="shared" si="581"/>
        <v>0</v>
      </c>
    </row>
    <row r="3897" spans="1:14" ht="31" outlineLevel="1" x14ac:dyDescent="0.25">
      <c r="A3897" s="1492">
        <f t="shared" si="582"/>
        <v>0</v>
      </c>
      <c r="B3897" s="1492" t="str">
        <f t="shared" si="582"/>
        <v>Scheme-1: Renovation &amp; Upgrdation of Bunker lift of Unit 5,6&amp;7 of CHPB</v>
      </c>
      <c r="C3897" s="1488">
        <f t="shared" si="582"/>
        <v>0</v>
      </c>
      <c r="D3897" s="1413" t="str">
        <f t="shared" si="582"/>
        <v>-</v>
      </c>
      <c r="E3897" s="560">
        <f t="shared" si="582"/>
        <v>9</v>
      </c>
      <c r="F3897" s="1508">
        <f t="shared" si="577"/>
        <v>9</v>
      </c>
      <c r="G3897" s="1508">
        <f t="shared" si="578"/>
        <v>9</v>
      </c>
      <c r="H3897" s="1508">
        <f t="shared" si="579"/>
        <v>0</v>
      </c>
      <c r="I3897" s="1480">
        <v>0</v>
      </c>
      <c r="J3897" s="1480">
        <v>0</v>
      </c>
      <c r="K3897" s="1508"/>
      <c r="L3897" s="1508"/>
      <c r="M3897" s="1509">
        <f t="shared" si="580"/>
        <v>0</v>
      </c>
      <c r="N3897" s="1508">
        <f t="shared" si="581"/>
        <v>0</v>
      </c>
    </row>
    <row r="3898" spans="1:14" ht="46.5" outlineLevel="1" x14ac:dyDescent="0.25">
      <c r="A3898" s="1492">
        <f t="shared" si="582"/>
        <v>0</v>
      </c>
      <c r="B3898" s="1492" t="str">
        <f t="shared" si="582"/>
        <v>Scheme-2:- Desgin, Engineering, supply, installation &amp; commissioning of Energy chain system at various locations of CHPB &amp; CHPC</v>
      </c>
      <c r="C3898" s="1488">
        <f t="shared" si="582"/>
        <v>0</v>
      </c>
      <c r="D3898" s="1413" t="str">
        <f t="shared" si="582"/>
        <v>-</v>
      </c>
      <c r="E3898" s="560">
        <f t="shared" si="582"/>
        <v>20</v>
      </c>
      <c r="F3898" s="1508">
        <f t="shared" si="577"/>
        <v>20</v>
      </c>
      <c r="G3898" s="1508">
        <f t="shared" si="578"/>
        <v>20</v>
      </c>
      <c r="H3898" s="1508">
        <f t="shared" si="579"/>
        <v>0</v>
      </c>
      <c r="I3898" s="1480">
        <v>0</v>
      </c>
      <c r="J3898" s="1480">
        <v>0</v>
      </c>
      <c r="K3898" s="1508"/>
      <c r="L3898" s="1508"/>
      <c r="M3898" s="1509">
        <f t="shared" si="580"/>
        <v>0</v>
      </c>
      <c r="N3898" s="1508">
        <f t="shared" si="581"/>
        <v>0</v>
      </c>
    </row>
    <row r="3899" spans="1:14" ht="31" outlineLevel="1" x14ac:dyDescent="0.25">
      <c r="A3899" s="1486">
        <f t="shared" si="582"/>
        <v>4</v>
      </c>
      <c r="B3899" s="1491" t="str">
        <f t="shared" si="582"/>
        <v xml:space="preserve">Upgradation of old ropeway, BC-108 A/B, installation of coal pile thermal monitoring system for stack pile of CHPA/B. </v>
      </c>
      <c r="C3899" s="1488">
        <f t="shared" si="582"/>
        <v>0</v>
      </c>
      <c r="D3899" s="1413" t="str">
        <f t="shared" si="582"/>
        <v>-</v>
      </c>
      <c r="E3899" s="560">
        <f t="shared" si="582"/>
        <v>29</v>
      </c>
      <c r="F3899" s="1508">
        <f t="shared" si="577"/>
        <v>0</v>
      </c>
      <c r="G3899" s="1508">
        <f t="shared" si="578"/>
        <v>0</v>
      </c>
      <c r="H3899" s="1508">
        <f t="shared" si="579"/>
        <v>0</v>
      </c>
      <c r="I3899" s="1480">
        <v>0</v>
      </c>
      <c r="J3899" s="1480">
        <v>0</v>
      </c>
      <c r="K3899" s="1508"/>
      <c r="L3899" s="1508"/>
      <c r="M3899" s="1509">
        <f t="shared" si="580"/>
        <v>0</v>
      </c>
      <c r="N3899" s="1508">
        <f t="shared" si="581"/>
        <v>0</v>
      </c>
    </row>
    <row r="3900" spans="1:14" ht="31" outlineLevel="1" x14ac:dyDescent="0.25">
      <c r="A3900" s="1492">
        <f t="shared" si="582"/>
        <v>0</v>
      </c>
      <c r="B3900" s="1492" t="str">
        <f t="shared" si="582"/>
        <v>Scheme-1 Work of Renovation &amp; upgradation of Ventilation system of CHPA&amp;CHPB.</v>
      </c>
      <c r="C3900" s="1488">
        <f t="shared" si="582"/>
        <v>0</v>
      </c>
      <c r="D3900" s="1413" t="str">
        <f t="shared" si="582"/>
        <v>-</v>
      </c>
      <c r="E3900" s="560">
        <f t="shared" si="582"/>
        <v>8</v>
      </c>
      <c r="F3900" s="1508">
        <f t="shared" si="577"/>
        <v>8</v>
      </c>
      <c r="G3900" s="1508">
        <f t="shared" si="578"/>
        <v>8</v>
      </c>
      <c r="H3900" s="1508">
        <f t="shared" si="579"/>
        <v>0</v>
      </c>
      <c r="I3900" s="1480">
        <v>0</v>
      </c>
      <c r="J3900" s="1480">
        <v>0</v>
      </c>
      <c r="K3900" s="1508"/>
      <c r="L3900" s="1508"/>
      <c r="M3900" s="1509">
        <f t="shared" si="580"/>
        <v>0</v>
      </c>
      <c r="N3900" s="1508">
        <f t="shared" si="581"/>
        <v>0</v>
      </c>
    </row>
    <row r="3901" spans="1:14" ht="46.5" outlineLevel="1" x14ac:dyDescent="0.25">
      <c r="A3901" s="1492">
        <f t="shared" si="582"/>
        <v>0</v>
      </c>
      <c r="B3901" s="1492" t="str">
        <f t="shared" si="582"/>
        <v>Scheme-2: Design, Engineering, Supply, fabrication, Erection, installation &amp; commissioning of modified take up arrangement for BC 108A/B of CHPB.</v>
      </c>
      <c r="C3901" s="1488">
        <f t="shared" si="582"/>
        <v>0</v>
      </c>
      <c r="D3901" s="1413" t="str">
        <f t="shared" si="582"/>
        <v>-</v>
      </c>
      <c r="E3901" s="560">
        <f t="shared" si="582"/>
        <v>4</v>
      </c>
      <c r="F3901" s="1508">
        <f t="shared" si="577"/>
        <v>4</v>
      </c>
      <c r="G3901" s="1508">
        <f t="shared" si="578"/>
        <v>4</v>
      </c>
      <c r="H3901" s="1508">
        <f t="shared" si="579"/>
        <v>0</v>
      </c>
      <c r="I3901" s="1480">
        <v>0</v>
      </c>
      <c r="J3901" s="1480">
        <v>0</v>
      </c>
      <c r="K3901" s="1508"/>
      <c r="L3901" s="1508"/>
      <c r="M3901" s="1509">
        <f t="shared" si="580"/>
        <v>0</v>
      </c>
      <c r="N3901" s="1508">
        <f t="shared" si="581"/>
        <v>0</v>
      </c>
    </row>
    <row r="3902" spans="1:14" ht="31" outlineLevel="1" x14ac:dyDescent="0.25">
      <c r="A3902" s="1492">
        <f t="shared" si="582"/>
        <v>0</v>
      </c>
      <c r="B3902" s="1492" t="str">
        <f t="shared" si="582"/>
        <v>Scheme-3: Design, Engineering, supply &amp; installation of coal pile thermal monitoring system for stack pile of CHPA/B.</v>
      </c>
      <c r="C3902" s="1488">
        <f t="shared" si="582"/>
        <v>0</v>
      </c>
      <c r="D3902" s="1413" t="str">
        <f t="shared" si="582"/>
        <v>-</v>
      </c>
      <c r="E3902" s="560">
        <f t="shared" si="582"/>
        <v>8</v>
      </c>
      <c r="F3902" s="1508">
        <f t="shared" si="577"/>
        <v>5</v>
      </c>
      <c r="G3902" s="1508">
        <f t="shared" si="578"/>
        <v>5</v>
      </c>
      <c r="H3902" s="1508">
        <f t="shared" si="579"/>
        <v>0</v>
      </c>
      <c r="I3902" s="1480">
        <v>3</v>
      </c>
      <c r="J3902" s="1480">
        <v>3</v>
      </c>
      <c r="K3902" s="1508"/>
      <c r="L3902" s="1508"/>
      <c r="M3902" s="1509">
        <f t="shared" si="580"/>
        <v>3</v>
      </c>
      <c r="N3902" s="1508">
        <f t="shared" si="581"/>
        <v>0</v>
      </c>
    </row>
    <row r="3903" spans="1:14" ht="31" outlineLevel="1" x14ac:dyDescent="0.25">
      <c r="A3903" s="1492">
        <f t="shared" si="582"/>
        <v>0</v>
      </c>
      <c r="B3903" s="1492" t="str">
        <f t="shared" si="582"/>
        <v>Scheme-3: Design, Engineering, supply &amp; installation of Belt Tear Detector system for belt conveyor system of CHPB.</v>
      </c>
      <c r="C3903" s="1488">
        <f t="shared" si="582"/>
        <v>0</v>
      </c>
      <c r="D3903" s="1413" t="str">
        <f t="shared" si="582"/>
        <v>-</v>
      </c>
      <c r="E3903" s="560">
        <f t="shared" si="582"/>
        <v>4</v>
      </c>
      <c r="F3903" s="1508">
        <f t="shared" si="577"/>
        <v>4</v>
      </c>
      <c r="G3903" s="1508">
        <f t="shared" si="578"/>
        <v>4</v>
      </c>
      <c r="H3903" s="1508">
        <f t="shared" si="579"/>
        <v>0</v>
      </c>
      <c r="I3903" s="1480">
        <v>0</v>
      </c>
      <c r="J3903" s="1480">
        <v>0</v>
      </c>
      <c r="K3903" s="1508"/>
      <c r="L3903" s="1508"/>
      <c r="M3903" s="1509">
        <f t="shared" si="580"/>
        <v>0</v>
      </c>
      <c r="N3903" s="1508">
        <f t="shared" si="581"/>
        <v>0</v>
      </c>
    </row>
    <row r="3904" spans="1:14" ht="31" outlineLevel="1" x14ac:dyDescent="0.25">
      <c r="A3904" s="1492">
        <f t="shared" ref="A3904:E3919" si="583">A3234</f>
        <v>0</v>
      </c>
      <c r="B3904" s="1492" t="str">
        <f t="shared" si="583"/>
        <v>Scheme-4: Capacity Enhancement of Belt Conveyor Drives of CHPB by upgrdation of conveyor drvie system.</v>
      </c>
      <c r="C3904" s="1488">
        <f t="shared" si="583"/>
        <v>0</v>
      </c>
      <c r="D3904" s="1413" t="str">
        <f t="shared" si="583"/>
        <v>-</v>
      </c>
      <c r="E3904" s="560">
        <f t="shared" si="583"/>
        <v>5</v>
      </c>
      <c r="F3904" s="1508">
        <f t="shared" si="577"/>
        <v>5</v>
      </c>
      <c r="G3904" s="1508">
        <f t="shared" si="578"/>
        <v>5</v>
      </c>
      <c r="H3904" s="1508">
        <f t="shared" si="579"/>
        <v>0</v>
      </c>
      <c r="I3904" s="1480">
        <v>0</v>
      </c>
      <c r="J3904" s="1480">
        <v>0</v>
      </c>
      <c r="K3904" s="1508"/>
      <c r="L3904" s="1508"/>
      <c r="M3904" s="1509">
        <f t="shared" si="580"/>
        <v>0</v>
      </c>
      <c r="N3904" s="1508">
        <f t="shared" si="581"/>
        <v>0</v>
      </c>
    </row>
    <row r="3905" spans="1:14" ht="15.5" outlineLevel="1" x14ac:dyDescent="0.25">
      <c r="A3905" s="1486">
        <f t="shared" si="583"/>
        <v>5</v>
      </c>
      <c r="B3905" s="1491" t="str">
        <f t="shared" si="583"/>
        <v>Modification &amp; upgradation in Railway Track network of CSTPS</v>
      </c>
      <c r="C3905" s="1488">
        <f t="shared" si="583"/>
        <v>0</v>
      </c>
      <c r="D3905" s="1413" t="str">
        <f t="shared" si="583"/>
        <v>-</v>
      </c>
      <c r="E3905" s="560">
        <f t="shared" si="583"/>
        <v>29</v>
      </c>
      <c r="F3905" s="1508">
        <f t="shared" si="577"/>
        <v>0</v>
      </c>
      <c r="G3905" s="1508">
        <f t="shared" si="578"/>
        <v>0</v>
      </c>
      <c r="H3905" s="1508">
        <f t="shared" si="579"/>
        <v>0</v>
      </c>
      <c r="I3905" s="1480">
        <v>0</v>
      </c>
      <c r="J3905" s="1480">
        <v>0</v>
      </c>
      <c r="K3905" s="1508"/>
      <c r="L3905" s="1508"/>
      <c r="M3905" s="1509">
        <f t="shared" si="580"/>
        <v>0</v>
      </c>
      <c r="N3905" s="1508">
        <f t="shared" si="581"/>
        <v>0</v>
      </c>
    </row>
    <row r="3906" spans="1:14" ht="62" outlineLevel="1" x14ac:dyDescent="0.25">
      <c r="A3906" s="1492">
        <f t="shared" si="583"/>
        <v>0</v>
      </c>
      <c r="B3906" s="1492" t="str">
        <f t="shared" si="583"/>
        <v xml:space="preserve">Scheme-1: Work of Modification &amp; upgradation in Railway Track network of CSTPS by Provision of additional take off &amp; cutoff point for CHPD and empty formation at WT outhaul in CSTPS Railway Siding. </v>
      </c>
      <c r="C3906" s="1488">
        <f t="shared" si="583"/>
        <v>0</v>
      </c>
      <c r="D3906" s="1413" t="str">
        <f t="shared" si="583"/>
        <v>-</v>
      </c>
      <c r="E3906" s="560">
        <f t="shared" si="583"/>
        <v>14</v>
      </c>
      <c r="F3906" s="1508">
        <f t="shared" si="577"/>
        <v>14</v>
      </c>
      <c r="G3906" s="1508">
        <f t="shared" si="578"/>
        <v>14</v>
      </c>
      <c r="H3906" s="1508">
        <f t="shared" si="579"/>
        <v>0</v>
      </c>
      <c r="I3906" s="1480">
        <v>0</v>
      </c>
      <c r="J3906" s="1480">
        <v>0</v>
      </c>
      <c r="K3906" s="1508"/>
      <c r="L3906" s="1508"/>
      <c r="M3906" s="1509">
        <f t="shared" si="580"/>
        <v>0</v>
      </c>
      <c r="N3906" s="1508">
        <f t="shared" si="581"/>
        <v>0</v>
      </c>
    </row>
    <row r="3907" spans="1:14" ht="46.5" outlineLevel="1" x14ac:dyDescent="0.25">
      <c r="A3907" s="1492">
        <f t="shared" si="583"/>
        <v>0</v>
      </c>
      <c r="B3907" s="1492" t="str">
        <f t="shared" si="583"/>
        <v>Scheme-1: Work of Modification &amp; upgradation in Railway Track network of CSTPS by Complete Track Renewal of old BG rail with other allied works in CSTPS Railway Siding.</v>
      </c>
      <c r="C3907" s="1488">
        <f t="shared" si="583"/>
        <v>0</v>
      </c>
      <c r="D3907" s="1413" t="str">
        <f t="shared" si="583"/>
        <v>-</v>
      </c>
      <c r="E3907" s="560">
        <f t="shared" si="583"/>
        <v>15</v>
      </c>
      <c r="F3907" s="1508">
        <f t="shared" si="577"/>
        <v>15</v>
      </c>
      <c r="G3907" s="1508">
        <f t="shared" si="578"/>
        <v>15</v>
      </c>
      <c r="H3907" s="1508">
        <f t="shared" si="579"/>
        <v>0</v>
      </c>
      <c r="I3907" s="1480">
        <v>0</v>
      </c>
      <c r="J3907" s="1480">
        <v>0</v>
      </c>
      <c r="K3907" s="1508"/>
      <c r="L3907" s="1508"/>
      <c r="M3907" s="1509">
        <f t="shared" si="580"/>
        <v>0</v>
      </c>
      <c r="N3907" s="1508">
        <f t="shared" si="581"/>
        <v>0</v>
      </c>
    </row>
    <row r="3908" spans="1:14" ht="46.5" outlineLevel="1" x14ac:dyDescent="0.25">
      <c r="A3908" s="1486">
        <f t="shared" si="583"/>
        <v>6</v>
      </c>
      <c r="B3908" s="1491" t="str">
        <f t="shared" si="583"/>
        <v>extension of Pipe Conveyor System from Padmapur Loading Station to Coal Handling Plant-C of Unit 5,6&amp;7 at CSTPS Chandrapur.</v>
      </c>
      <c r="C3908" s="1488">
        <f t="shared" si="583"/>
        <v>0</v>
      </c>
      <c r="D3908" s="1413" t="str">
        <f t="shared" si="583"/>
        <v>-</v>
      </c>
      <c r="E3908" s="560">
        <f t="shared" si="583"/>
        <v>100</v>
      </c>
      <c r="F3908" s="1508">
        <f t="shared" si="577"/>
        <v>0</v>
      </c>
      <c r="G3908" s="1508">
        <f t="shared" si="578"/>
        <v>0</v>
      </c>
      <c r="H3908" s="1508">
        <f t="shared" si="579"/>
        <v>0</v>
      </c>
      <c r="I3908" s="1480">
        <v>0</v>
      </c>
      <c r="J3908" s="1480">
        <v>0</v>
      </c>
      <c r="K3908" s="1508"/>
      <c r="L3908" s="1508"/>
      <c r="M3908" s="1509">
        <f t="shared" si="580"/>
        <v>0</v>
      </c>
      <c r="N3908" s="1508">
        <f t="shared" si="581"/>
        <v>0</v>
      </c>
    </row>
    <row r="3909" spans="1:14" ht="46.5" outlineLevel="1" x14ac:dyDescent="0.25">
      <c r="A3909" s="1492">
        <f t="shared" si="583"/>
        <v>0</v>
      </c>
      <c r="B3909" s="1492" t="str">
        <f t="shared" si="583"/>
        <v>Scheme-1: Augmentation of extension of Pipe Conveyor System from Padmapur Loading Station to Coal Handling Plant-C of Unit 5,6&amp;7 at CSTPS Chandrapur.</v>
      </c>
      <c r="C3909" s="1488">
        <f t="shared" si="583"/>
        <v>0</v>
      </c>
      <c r="D3909" s="1413" t="str">
        <f t="shared" si="583"/>
        <v>-</v>
      </c>
      <c r="E3909" s="560">
        <f t="shared" si="583"/>
        <v>100</v>
      </c>
      <c r="F3909" s="1508">
        <f t="shared" si="577"/>
        <v>0</v>
      </c>
      <c r="G3909" s="1508">
        <f t="shared" si="578"/>
        <v>0</v>
      </c>
      <c r="H3909" s="1508">
        <f t="shared" si="579"/>
        <v>0</v>
      </c>
      <c r="I3909" s="1480">
        <v>100</v>
      </c>
      <c r="J3909" s="1480">
        <v>100</v>
      </c>
      <c r="K3909" s="1508"/>
      <c r="L3909" s="1508"/>
      <c r="M3909" s="1509">
        <f t="shared" si="580"/>
        <v>100</v>
      </c>
      <c r="N3909" s="1508">
        <f t="shared" si="581"/>
        <v>0</v>
      </c>
    </row>
    <row r="3910" spans="1:14" ht="15.5" outlineLevel="1" x14ac:dyDescent="0.25">
      <c r="A3910" s="1504">
        <f t="shared" si="583"/>
        <v>0</v>
      </c>
      <c r="B3910" s="1504" t="str">
        <f t="shared" si="583"/>
        <v>CHP-C</v>
      </c>
      <c r="C3910" s="1488">
        <f t="shared" si="583"/>
        <v>0</v>
      </c>
      <c r="D3910" s="1413" t="str">
        <f t="shared" si="583"/>
        <v>-</v>
      </c>
      <c r="E3910" s="560">
        <f t="shared" si="583"/>
        <v>0</v>
      </c>
      <c r="F3910" s="1508">
        <f t="shared" si="577"/>
        <v>0</v>
      </c>
      <c r="G3910" s="1508">
        <f t="shared" si="578"/>
        <v>0</v>
      </c>
      <c r="H3910" s="1508">
        <f t="shared" si="579"/>
        <v>0</v>
      </c>
      <c r="I3910" s="1480">
        <v>0</v>
      </c>
      <c r="J3910" s="1480">
        <v>0</v>
      </c>
      <c r="K3910" s="1508"/>
      <c r="L3910" s="1508"/>
      <c r="M3910" s="1509">
        <f t="shared" si="580"/>
        <v>0</v>
      </c>
      <c r="N3910" s="1508">
        <f t="shared" si="581"/>
        <v>0</v>
      </c>
    </row>
    <row r="3911" spans="1:14" ht="31" outlineLevel="1" x14ac:dyDescent="0.25">
      <c r="A3911" s="1486">
        <f t="shared" si="583"/>
        <v>1</v>
      </c>
      <c r="B3911" s="1491" t="str">
        <f t="shared" si="583"/>
        <v>Design, Engineering, supply, Erection and commissioning of new fire fighting system at Pipe conveyor of CSTPS, Chandrapur</v>
      </c>
      <c r="C3911" s="1488">
        <f t="shared" si="583"/>
        <v>0</v>
      </c>
      <c r="D3911" s="1413" t="str">
        <f t="shared" si="583"/>
        <v>-</v>
      </c>
      <c r="E3911" s="560">
        <f t="shared" si="583"/>
        <v>25</v>
      </c>
      <c r="F3911" s="1508">
        <f t="shared" si="577"/>
        <v>0</v>
      </c>
      <c r="G3911" s="1508">
        <f t="shared" si="578"/>
        <v>0</v>
      </c>
      <c r="H3911" s="1508">
        <f t="shared" si="579"/>
        <v>0</v>
      </c>
      <c r="I3911" s="1480">
        <v>0</v>
      </c>
      <c r="J3911" s="1480">
        <v>0</v>
      </c>
      <c r="K3911" s="1508"/>
      <c r="L3911" s="1508"/>
      <c r="M3911" s="1509">
        <f t="shared" si="580"/>
        <v>0</v>
      </c>
      <c r="N3911" s="1508">
        <f t="shared" si="581"/>
        <v>0</v>
      </c>
    </row>
    <row r="3912" spans="1:14" ht="31" outlineLevel="1" x14ac:dyDescent="0.25">
      <c r="A3912" s="1492">
        <f t="shared" si="583"/>
        <v>0</v>
      </c>
      <c r="B3912" s="1492" t="str">
        <f t="shared" si="583"/>
        <v>Design, Engineering, supply, Erection and commissioning of new fire fighting system at Pipe conveyor of CSTPS, Chandrapur</v>
      </c>
      <c r="C3912" s="1488">
        <f t="shared" si="583"/>
        <v>0</v>
      </c>
      <c r="D3912" s="1413" t="str">
        <f t="shared" si="583"/>
        <v>-</v>
      </c>
      <c r="E3912" s="560">
        <f t="shared" si="583"/>
        <v>25</v>
      </c>
      <c r="F3912" s="1508">
        <f t="shared" si="577"/>
        <v>25</v>
      </c>
      <c r="G3912" s="1508">
        <f t="shared" si="578"/>
        <v>0</v>
      </c>
      <c r="H3912" s="1508">
        <f t="shared" si="579"/>
        <v>25</v>
      </c>
      <c r="I3912" s="1480">
        <v>0</v>
      </c>
      <c r="J3912" s="1480">
        <v>0</v>
      </c>
      <c r="K3912" s="1508"/>
      <c r="L3912" s="1508"/>
      <c r="M3912" s="1509">
        <f t="shared" si="580"/>
        <v>0</v>
      </c>
      <c r="N3912" s="1508">
        <f t="shared" si="581"/>
        <v>25</v>
      </c>
    </row>
    <row r="3913" spans="1:14" ht="31" outlineLevel="1" x14ac:dyDescent="0.25">
      <c r="A3913" s="1486">
        <f t="shared" si="583"/>
        <v>2</v>
      </c>
      <c r="B3913" s="1491" t="str">
        <f t="shared" si="583"/>
        <v>Reliability &amp; availability improvement of coal transportation by Procurement of UTS (BOBR) Wagons for CHP</v>
      </c>
      <c r="C3913" s="1488">
        <f t="shared" si="583"/>
        <v>0</v>
      </c>
      <c r="D3913" s="1413" t="str">
        <f t="shared" si="583"/>
        <v>-</v>
      </c>
      <c r="E3913" s="560">
        <f t="shared" si="583"/>
        <v>15</v>
      </c>
      <c r="F3913" s="1508">
        <f t="shared" si="577"/>
        <v>0</v>
      </c>
      <c r="G3913" s="1508">
        <f t="shared" si="578"/>
        <v>0</v>
      </c>
      <c r="H3913" s="1508">
        <f t="shared" si="579"/>
        <v>0</v>
      </c>
      <c r="I3913" s="1480">
        <v>0</v>
      </c>
      <c r="J3913" s="1480">
        <v>0</v>
      </c>
      <c r="K3913" s="1508"/>
      <c r="L3913" s="1508"/>
      <c r="M3913" s="1509">
        <f t="shared" si="580"/>
        <v>0</v>
      </c>
      <c r="N3913" s="1508">
        <f t="shared" si="581"/>
        <v>0</v>
      </c>
    </row>
    <row r="3914" spans="1:14" ht="31" outlineLevel="1" x14ac:dyDescent="0.25">
      <c r="A3914" s="1492">
        <f t="shared" si="583"/>
        <v>0</v>
      </c>
      <c r="B3914" s="1492" t="str">
        <f t="shared" si="583"/>
        <v>Reliability &amp; availability improvement of coal transportation by Procurement of UTS (BOBR) Wagons for CHP</v>
      </c>
      <c r="C3914" s="1488">
        <f t="shared" si="583"/>
        <v>0</v>
      </c>
      <c r="D3914" s="1413" t="str">
        <f t="shared" si="583"/>
        <v>-</v>
      </c>
      <c r="E3914" s="560">
        <f t="shared" si="583"/>
        <v>15</v>
      </c>
      <c r="F3914" s="1508">
        <f t="shared" si="577"/>
        <v>0</v>
      </c>
      <c r="G3914" s="1508">
        <f t="shared" si="578"/>
        <v>0</v>
      </c>
      <c r="H3914" s="1508">
        <f t="shared" si="579"/>
        <v>0</v>
      </c>
      <c r="I3914" s="1480">
        <v>15</v>
      </c>
      <c r="J3914" s="1480">
        <v>0</v>
      </c>
      <c r="K3914" s="1508"/>
      <c r="L3914" s="1508"/>
      <c r="M3914" s="1509">
        <f t="shared" si="580"/>
        <v>0</v>
      </c>
      <c r="N3914" s="1508">
        <f t="shared" si="581"/>
        <v>15</v>
      </c>
    </row>
    <row r="3915" spans="1:14" ht="31" outlineLevel="1" x14ac:dyDescent="0.25">
      <c r="A3915" s="1486">
        <f t="shared" si="583"/>
        <v>3</v>
      </c>
      <c r="B3915" s="1491" t="str">
        <f t="shared" si="583"/>
        <v>Reliability &amp; availability improvement by replacement of set of internals for Paddle feeders</v>
      </c>
      <c r="C3915" s="1488">
        <f t="shared" si="583"/>
        <v>0</v>
      </c>
      <c r="D3915" s="1413" t="str">
        <f t="shared" si="583"/>
        <v>-</v>
      </c>
      <c r="E3915" s="560">
        <f t="shared" si="583"/>
        <v>6</v>
      </c>
      <c r="F3915" s="1508">
        <f t="shared" si="577"/>
        <v>0</v>
      </c>
      <c r="G3915" s="1508">
        <f t="shared" si="578"/>
        <v>0</v>
      </c>
      <c r="H3915" s="1508">
        <f t="shared" si="579"/>
        <v>0</v>
      </c>
      <c r="I3915" s="1480">
        <v>0</v>
      </c>
      <c r="J3915" s="1480">
        <v>0</v>
      </c>
      <c r="K3915" s="1508"/>
      <c r="L3915" s="1508"/>
      <c r="M3915" s="1509">
        <f t="shared" si="580"/>
        <v>0</v>
      </c>
      <c r="N3915" s="1508">
        <f t="shared" si="581"/>
        <v>0</v>
      </c>
    </row>
    <row r="3916" spans="1:14" ht="31" outlineLevel="1" x14ac:dyDescent="0.25">
      <c r="A3916" s="1492">
        <f t="shared" si="583"/>
        <v>0</v>
      </c>
      <c r="B3916" s="1492" t="str">
        <f t="shared" si="583"/>
        <v>Reliability &amp; availability improvement by replacement of set of internals for Paddle feeders</v>
      </c>
      <c r="C3916" s="1488">
        <f t="shared" si="583"/>
        <v>0</v>
      </c>
      <c r="D3916" s="1413" t="str">
        <f t="shared" si="583"/>
        <v>-</v>
      </c>
      <c r="E3916" s="560">
        <f t="shared" si="583"/>
        <v>6</v>
      </c>
      <c r="F3916" s="1508">
        <f t="shared" si="577"/>
        <v>6</v>
      </c>
      <c r="G3916" s="1508">
        <f t="shared" si="578"/>
        <v>0</v>
      </c>
      <c r="H3916" s="1508">
        <f t="shared" si="579"/>
        <v>6</v>
      </c>
      <c r="I3916" s="1480">
        <v>0</v>
      </c>
      <c r="J3916" s="1480">
        <v>0</v>
      </c>
      <c r="K3916" s="1508"/>
      <c r="L3916" s="1508"/>
      <c r="M3916" s="1509">
        <f t="shared" si="580"/>
        <v>0</v>
      </c>
      <c r="N3916" s="1508">
        <f t="shared" si="581"/>
        <v>6</v>
      </c>
    </row>
    <row r="3917" spans="1:14" ht="31" outlineLevel="1" x14ac:dyDescent="0.25">
      <c r="A3917" s="1486">
        <f t="shared" si="583"/>
        <v>4</v>
      </c>
      <c r="B3917" s="1491" t="str">
        <f t="shared" si="583"/>
        <v>Reliability &amp; availability improvement by replacement of transfer chutes at CHP-C</v>
      </c>
      <c r="C3917" s="1488">
        <f t="shared" si="583"/>
        <v>0</v>
      </c>
      <c r="D3917" s="1413" t="str">
        <f t="shared" si="583"/>
        <v>-</v>
      </c>
      <c r="E3917" s="560">
        <f t="shared" si="583"/>
        <v>10</v>
      </c>
      <c r="F3917" s="1508">
        <f t="shared" si="577"/>
        <v>0</v>
      </c>
      <c r="G3917" s="1508">
        <f t="shared" si="578"/>
        <v>0</v>
      </c>
      <c r="H3917" s="1508">
        <f t="shared" si="579"/>
        <v>0</v>
      </c>
      <c r="I3917" s="1480">
        <v>0</v>
      </c>
      <c r="J3917" s="1480">
        <v>0</v>
      </c>
      <c r="K3917" s="1508"/>
      <c r="L3917" s="1508"/>
      <c r="M3917" s="1509">
        <f t="shared" si="580"/>
        <v>0</v>
      </c>
      <c r="N3917" s="1508">
        <f t="shared" si="581"/>
        <v>0</v>
      </c>
    </row>
    <row r="3918" spans="1:14" ht="31" outlineLevel="1" x14ac:dyDescent="0.25">
      <c r="A3918" s="1492">
        <f t="shared" si="583"/>
        <v>0</v>
      </c>
      <c r="B3918" s="1492" t="str">
        <f t="shared" si="583"/>
        <v>Reliability &amp; availability improvement by replacement of transfer chutes at CHP-C</v>
      </c>
      <c r="C3918" s="1488">
        <f t="shared" si="583"/>
        <v>0</v>
      </c>
      <c r="D3918" s="1413" t="str">
        <f t="shared" si="583"/>
        <v>-</v>
      </c>
      <c r="E3918" s="560">
        <f t="shared" si="583"/>
        <v>10</v>
      </c>
      <c r="F3918" s="1508">
        <f t="shared" si="577"/>
        <v>0</v>
      </c>
      <c r="G3918" s="1508">
        <f t="shared" si="578"/>
        <v>0</v>
      </c>
      <c r="H3918" s="1508">
        <f t="shared" si="579"/>
        <v>0</v>
      </c>
      <c r="I3918" s="1480">
        <v>10</v>
      </c>
      <c r="J3918" s="1480">
        <v>0</v>
      </c>
      <c r="K3918" s="1508"/>
      <c r="L3918" s="1508"/>
      <c r="M3918" s="1509">
        <f t="shared" si="580"/>
        <v>0</v>
      </c>
      <c r="N3918" s="1508">
        <f t="shared" si="581"/>
        <v>10</v>
      </c>
    </row>
    <row r="3919" spans="1:14" ht="15.5" outlineLevel="1" x14ac:dyDescent="0.25">
      <c r="A3919" s="1504">
        <f t="shared" si="583"/>
        <v>0</v>
      </c>
      <c r="B3919" s="1504" t="str">
        <f t="shared" si="583"/>
        <v>Civil U#3  to U#7</v>
      </c>
      <c r="C3919" s="1488">
        <f t="shared" si="583"/>
        <v>0</v>
      </c>
      <c r="D3919" s="1413" t="str">
        <f t="shared" si="583"/>
        <v>-</v>
      </c>
      <c r="E3919" s="560">
        <f t="shared" si="583"/>
        <v>0</v>
      </c>
      <c r="F3919" s="1508">
        <f t="shared" si="577"/>
        <v>0</v>
      </c>
      <c r="G3919" s="1508">
        <f t="shared" si="578"/>
        <v>0</v>
      </c>
      <c r="H3919" s="1508">
        <f t="shared" si="579"/>
        <v>0</v>
      </c>
      <c r="I3919" s="1480">
        <v>0</v>
      </c>
      <c r="J3919" s="1480">
        <v>0</v>
      </c>
      <c r="K3919" s="1508"/>
      <c r="L3919" s="1508"/>
      <c r="M3919" s="1509">
        <f t="shared" si="580"/>
        <v>0</v>
      </c>
      <c r="N3919" s="1508">
        <f t="shared" si="581"/>
        <v>0</v>
      </c>
    </row>
    <row r="3920" spans="1:14" ht="31" outlineLevel="1" x14ac:dyDescent="0.25">
      <c r="A3920" s="1486">
        <f t="shared" ref="A3920:E3935" si="584">A3250</f>
        <v>1</v>
      </c>
      <c r="B3920" s="1491" t="str">
        <f t="shared" si="584"/>
        <v xml:space="preserve">Provision for Scientific storage of coal reject and leachate collection system at CSTPS, Chandrapur </v>
      </c>
      <c r="C3920" s="1488">
        <f t="shared" si="584"/>
        <v>0</v>
      </c>
      <c r="D3920" s="1413" t="str">
        <f t="shared" si="584"/>
        <v>-</v>
      </c>
      <c r="E3920" s="560">
        <f t="shared" si="584"/>
        <v>37.57</v>
      </c>
      <c r="F3920" s="1508">
        <f t="shared" si="577"/>
        <v>0</v>
      </c>
      <c r="G3920" s="1508">
        <f t="shared" si="578"/>
        <v>0</v>
      </c>
      <c r="H3920" s="1508">
        <f t="shared" si="579"/>
        <v>0</v>
      </c>
      <c r="I3920" s="1480">
        <v>0</v>
      </c>
      <c r="J3920" s="1480">
        <v>0</v>
      </c>
      <c r="K3920" s="1508"/>
      <c r="L3920" s="1508"/>
      <c r="M3920" s="1509">
        <f t="shared" si="580"/>
        <v>0</v>
      </c>
      <c r="N3920" s="1508">
        <f t="shared" si="581"/>
        <v>0</v>
      </c>
    </row>
    <row r="3921" spans="1:14" ht="31" outlineLevel="1" x14ac:dyDescent="0.25">
      <c r="A3921" s="1492">
        <f t="shared" si="584"/>
        <v>0</v>
      </c>
      <c r="B3921" s="1492" t="str">
        <f t="shared" si="584"/>
        <v>Provision for Scientific storage of coal reject and leachate collection system at CSTPS, Chandrapur</v>
      </c>
      <c r="C3921" s="1488">
        <f t="shared" si="584"/>
        <v>0</v>
      </c>
      <c r="D3921" s="1413" t="str">
        <f t="shared" si="584"/>
        <v>-</v>
      </c>
      <c r="E3921" s="560">
        <f t="shared" si="584"/>
        <v>37.57</v>
      </c>
      <c r="F3921" s="1508">
        <f t="shared" si="577"/>
        <v>37.57</v>
      </c>
      <c r="G3921" s="1508">
        <f t="shared" si="578"/>
        <v>37.57</v>
      </c>
      <c r="H3921" s="1508">
        <f t="shared" si="579"/>
        <v>0</v>
      </c>
      <c r="I3921" s="1480">
        <v>0</v>
      </c>
      <c r="J3921" s="1480">
        <v>0</v>
      </c>
      <c r="K3921" s="1508"/>
      <c r="L3921" s="1508"/>
      <c r="M3921" s="1509">
        <f t="shared" si="580"/>
        <v>0</v>
      </c>
      <c r="N3921" s="1508">
        <f t="shared" si="581"/>
        <v>0</v>
      </c>
    </row>
    <row r="3922" spans="1:14" ht="31" outlineLevel="1" x14ac:dyDescent="0.25">
      <c r="A3922" s="1486">
        <f t="shared" si="584"/>
        <v>2</v>
      </c>
      <c r="B3922" s="1491" t="str">
        <f t="shared" si="584"/>
        <v xml:space="preserve">Infrastructure  development scheme for improvement of CHP at CSTPS, Chandrapur </v>
      </c>
      <c r="C3922" s="1488">
        <f t="shared" si="584"/>
        <v>0</v>
      </c>
      <c r="D3922" s="1413" t="str">
        <f t="shared" si="584"/>
        <v>-</v>
      </c>
      <c r="E3922" s="560">
        <f t="shared" si="584"/>
        <v>47.15</v>
      </c>
      <c r="F3922" s="1508">
        <f t="shared" si="577"/>
        <v>0</v>
      </c>
      <c r="G3922" s="1508">
        <f t="shared" si="578"/>
        <v>0</v>
      </c>
      <c r="H3922" s="1508">
        <f t="shared" si="579"/>
        <v>0</v>
      </c>
      <c r="I3922" s="1480">
        <v>0</v>
      </c>
      <c r="J3922" s="1480">
        <v>0</v>
      </c>
      <c r="K3922" s="1508"/>
      <c r="L3922" s="1508"/>
      <c r="M3922" s="1509">
        <f t="shared" si="580"/>
        <v>0</v>
      </c>
      <c r="N3922" s="1508">
        <f t="shared" si="581"/>
        <v>0</v>
      </c>
    </row>
    <row r="3923" spans="1:14" ht="46.5" outlineLevel="1" x14ac:dyDescent="0.25">
      <c r="A3923" s="1492">
        <f t="shared" si="584"/>
        <v>0</v>
      </c>
      <c r="B3923" s="1492" t="str">
        <f t="shared" si="584"/>
        <v xml:space="preserve">Construction of RCC platform facility for Coal storage &amp; transportation in CHP-B STACKER I &amp; II area (500MW) at CSTPS, Chandrapur </v>
      </c>
      <c r="C3923" s="1488">
        <f t="shared" si="584"/>
        <v>0</v>
      </c>
      <c r="D3923" s="1413" t="str">
        <f t="shared" si="584"/>
        <v>-</v>
      </c>
      <c r="E3923" s="560">
        <f t="shared" si="584"/>
        <v>47.15</v>
      </c>
      <c r="F3923" s="1508">
        <f t="shared" si="577"/>
        <v>47.15</v>
      </c>
      <c r="G3923" s="1508">
        <f t="shared" si="578"/>
        <v>47.15</v>
      </c>
      <c r="H3923" s="1508">
        <f t="shared" si="579"/>
        <v>0</v>
      </c>
      <c r="I3923" s="1480">
        <v>0</v>
      </c>
      <c r="J3923" s="1480">
        <v>0</v>
      </c>
      <c r="K3923" s="1508"/>
      <c r="L3923" s="1508"/>
      <c r="M3923" s="1509">
        <f t="shared" si="580"/>
        <v>0</v>
      </c>
      <c r="N3923" s="1508">
        <f t="shared" si="581"/>
        <v>0</v>
      </c>
    </row>
    <row r="3924" spans="1:14" ht="31" outlineLevel="1" x14ac:dyDescent="0.25">
      <c r="A3924" s="1486">
        <f t="shared" si="584"/>
        <v>3</v>
      </c>
      <c r="B3924" s="1491" t="str">
        <f t="shared" si="584"/>
        <v>Contruction of cement concrete roads in CHP area at CSTPS, Chandrapur</v>
      </c>
      <c r="C3924" s="1488">
        <f t="shared" si="584"/>
        <v>0</v>
      </c>
      <c r="D3924" s="1413" t="str">
        <f t="shared" si="584"/>
        <v>-</v>
      </c>
      <c r="E3924" s="560">
        <f t="shared" si="584"/>
        <v>27.05</v>
      </c>
      <c r="F3924" s="1508">
        <f t="shared" si="577"/>
        <v>0</v>
      </c>
      <c r="G3924" s="1508">
        <f t="shared" si="578"/>
        <v>0</v>
      </c>
      <c r="H3924" s="1508">
        <f t="shared" si="579"/>
        <v>0</v>
      </c>
      <c r="I3924" s="1480">
        <v>0</v>
      </c>
      <c r="J3924" s="1480">
        <v>0</v>
      </c>
      <c r="K3924" s="1508"/>
      <c r="L3924" s="1508"/>
      <c r="M3924" s="1509">
        <f t="shared" si="580"/>
        <v>0</v>
      </c>
      <c r="N3924" s="1508">
        <f t="shared" si="581"/>
        <v>0</v>
      </c>
    </row>
    <row r="3925" spans="1:14" ht="31" outlineLevel="1" x14ac:dyDescent="0.25">
      <c r="A3925" s="1492">
        <f t="shared" si="584"/>
        <v>0</v>
      </c>
      <c r="B3925" s="1492" t="str">
        <f t="shared" si="584"/>
        <v>Contruction of cement concrete roads in CHP area at CSTPS, Chandrapur</v>
      </c>
      <c r="C3925" s="1488">
        <f t="shared" si="584"/>
        <v>0</v>
      </c>
      <c r="D3925" s="1413" t="str">
        <f t="shared" si="584"/>
        <v>-</v>
      </c>
      <c r="E3925" s="560">
        <f t="shared" si="584"/>
        <v>27.05</v>
      </c>
      <c r="F3925" s="1508">
        <f t="shared" si="577"/>
        <v>27.05</v>
      </c>
      <c r="G3925" s="1508">
        <f t="shared" si="578"/>
        <v>27.05</v>
      </c>
      <c r="H3925" s="1508">
        <f t="shared" si="579"/>
        <v>0</v>
      </c>
      <c r="I3925" s="1480">
        <v>0</v>
      </c>
      <c r="J3925" s="1480">
        <v>0</v>
      </c>
      <c r="K3925" s="1508"/>
      <c r="L3925" s="1508"/>
      <c r="M3925" s="1509">
        <f t="shared" si="580"/>
        <v>0</v>
      </c>
      <c r="N3925" s="1508">
        <f t="shared" si="581"/>
        <v>0</v>
      </c>
    </row>
    <row r="3926" spans="1:14" ht="31" outlineLevel="1" x14ac:dyDescent="0.25">
      <c r="A3926" s="1486">
        <f t="shared" si="584"/>
        <v>4</v>
      </c>
      <c r="B3926" s="1491" t="str">
        <f t="shared" si="584"/>
        <v>Arresting Leakages by  water proofing treatment in main Plant &amp; ancillary buildings  at CSTPS, Chandrapur.</v>
      </c>
      <c r="C3926" s="1488">
        <f t="shared" si="584"/>
        <v>0</v>
      </c>
      <c r="D3926" s="1413" t="str">
        <f t="shared" si="584"/>
        <v>-</v>
      </c>
      <c r="E3926" s="560">
        <f t="shared" si="584"/>
        <v>30</v>
      </c>
      <c r="F3926" s="1508">
        <f t="shared" si="577"/>
        <v>0</v>
      </c>
      <c r="G3926" s="1508">
        <f t="shared" si="578"/>
        <v>0</v>
      </c>
      <c r="H3926" s="1508">
        <f t="shared" si="579"/>
        <v>0</v>
      </c>
      <c r="I3926" s="1480">
        <v>0</v>
      </c>
      <c r="J3926" s="1480">
        <v>0</v>
      </c>
      <c r="K3926" s="1508"/>
      <c r="L3926" s="1508"/>
      <c r="M3926" s="1509">
        <f t="shared" si="580"/>
        <v>0</v>
      </c>
      <c r="N3926" s="1508">
        <f t="shared" si="581"/>
        <v>0</v>
      </c>
    </row>
    <row r="3927" spans="1:14" ht="62" outlineLevel="1" x14ac:dyDescent="0.25">
      <c r="A3927" s="1492">
        <f t="shared" si="584"/>
        <v>0</v>
      </c>
      <c r="B3927" s="1492" t="str">
        <f t="shared" si="584"/>
        <v xml:space="preserve">A)- water proofing treatment in Control room of WTP-I area.
(B)- water proofing treatment inControl room of WTP-II area.
(C)-  water proofing treatment in Control room of CT Fan area 
(D)- water proofing treatment in   Main Plant area. </v>
      </c>
      <c r="C3927" s="1488">
        <f t="shared" si="584"/>
        <v>0</v>
      </c>
      <c r="D3927" s="1413" t="str">
        <f t="shared" si="584"/>
        <v>-</v>
      </c>
      <c r="E3927" s="560">
        <f t="shared" si="584"/>
        <v>30</v>
      </c>
      <c r="F3927" s="1508">
        <f t="shared" si="577"/>
        <v>30</v>
      </c>
      <c r="G3927" s="1508">
        <f t="shared" si="578"/>
        <v>30</v>
      </c>
      <c r="H3927" s="1508">
        <f t="shared" si="579"/>
        <v>0</v>
      </c>
      <c r="I3927" s="1480">
        <v>0</v>
      </c>
      <c r="J3927" s="1480">
        <v>0</v>
      </c>
      <c r="K3927" s="1508"/>
      <c r="L3927" s="1508"/>
      <c r="M3927" s="1509">
        <f t="shared" si="580"/>
        <v>0</v>
      </c>
      <c r="N3927" s="1508">
        <f t="shared" si="581"/>
        <v>0</v>
      </c>
    </row>
    <row r="3928" spans="1:14" ht="15.5" outlineLevel="1" x14ac:dyDescent="0.25">
      <c r="A3928" s="1486">
        <f t="shared" si="584"/>
        <v>5</v>
      </c>
      <c r="B3928" s="1491" t="str">
        <f t="shared" si="584"/>
        <v>Structural strengthening of Unit 3&amp; 4 at CSTPS, Chandrapur</v>
      </c>
      <c r="C3928" s="1488">
        <f t="shared" si="584"/>
        <v>0</v>
      </c>
      <c r="D3928" s="1413" t="str">
        <f t="shared" si="584"/>
        <v>-</v>
      </c>
      <c r="E3928" s="560">
        <f t="shared" si="584"/>
        <v>40</v>
      </c>
      <c r="F3928" s="1508">
        <f t="shared" si="577"/>
        <v>0</v>
      </c>
      <c r="G3928" s="1508">
        <f t="shared" si="578"/>
        <v>0</v>
      </c>
      <c r="H3928" s="1508">
        <f t="shared" si="579"/>
        <v>0</v>
      </c>
      <c r="I3928" s="1480">
        <v>0</v>
      </c>
      <c r="J3928" s="1480">
        <v>0</v>
      </c>
      <c r="K3928" s="1508"/>
      <c r="L3928" s="1508"/>
      <c r="M3928" s="1509">
        <f t="shared" si="580"/>
        <v>0</v>
      </c>
      <c r="N3928" s="1508">
        <f t="shared" si="581"/>
        <v>0</v>
      </c>
    </row>
    <row r="3929" spans="1:14" ht="15.5" outlineLevel="1" x14ac:dyDescent="0.25">
      <c r="A3929" s="1492">
        <f t="shared" si="584"/>
        <v>0</v>
      </c>
      <c r="B3929" s="1492" t="str">
        <f t="shared" si="584"/>
        <v>Structural strengthening of Unit 3&amp; 4 at CSTPS, Chandrapur</v>
      </c>
      <c r="C3929" s="1488">
        <f t="shared" si="584"/>
        <v>0</v>
      </c>
      <c r="D3929" s="1413" t="str">
        <f t="shared" si="584"/>
        <v>-</v>
      </c>
      <c r="E3929" s="560">
        <f t="shared" si="584"/>
        <v>30</v>
      </c>
      <c r="F3929" s="1508">
        <f t="shared" si="577"/>
        <v>30</v>
      </c>
      <c r="G3929" s="1508">
        <f t="shared" si="578"/>
        <v>30</v>
      </c>
      <c r="H3929" s="1508">
        <f t="shared" si="579"/>
        <v>0</v>
      </c>
      <c r="I3929" s="1480">
        <v>0</v>
      </c>
      <c r="J3929" s="1480">
        <v>0</v>
      </c>
      <c r="K3929" s="1508"/>
      <c r="L3929" s="1508"/>
      <c r="M3929" s="1509">
        <f t="shared" si="580"/>
        <v>0</v>
      </c>
      <c r="N3929" s="1508">
        <f t="shared" si="581"/>
        <v>0</v>
      </c>
    </row>
    <row r="3930" spans="1:14" ht="15.5" outlineLevel="1" x14ac:dyDescent="0.25">
      <c r="A3930" s="1492">
        <f t="shared" si="584"/>
        <v>0</v>
      </c>
      <c r="B3930" s="1492" t="str">
        <f t="shared" si="584"/>
        <v>Structural strengthening of CHP-A buildings</v>
      </c>
      <c r="C3930" s="1488">
        <f t="shared" si="584"/>
        <v>0</v>
      </c>
      <c r="D3930" s="1413" t="str">
        <f t="shared" si="584"/>
        <v>-</v>
      </c>
      <c r="E3930" s="560">
        <f t="shared" si="584"/>
        <v>10</v>
      </c>
      <c r="F3930" s="1508">
        <f t="shared" si="577"/>
        <v>10</v>
      </c>
      <c r="G3930" s="1508">
        <f t="shared" si="578"/>
        <v>10</v>
      </c>
      <c r="H3930" s="1508">
        <f t="shared" si="579"/>
        <v>0</v>
      </c>
      <c r="I3930" s="1480">
        <v>0</v>
      </c>
      <c r="J3930" s="1480">
        <v>0</v>
      </c>
      <c r="K3930" s="1508"/>
      <c r="L3930" s="1508"/>
      <c r="M3930" s="1509">
        <f t="shared" si="580"/>
        <v>0</v>
      </c>
      <c r="N3930" s="1508">
        <f t="shared" si="581"/>
        <v>0</v>
      </c>
    </row>
    <row r="3931" spans="1:14" ht="31" outlineLevel="1" x14ac:dyDescent="0.25">
      <c r="A3931" s="1486">
        <f t="shared" si="584"/>
        <v>6</v>
      </c>
      <c r="B3931" s="1491" t="str">
        <f t="shared" si="584"/>
        <v>Infrastructure Deveolpment of CSTPS colony at CSTPS Chandrapur .</v>
      </c>
      <c r="C3931" s="1488">
        <f t="shared" si="584"/>
        <v>0</v>
      </c>
      <c r="D3931" s="1413" t="str">
        <f t="shared" si="584"/>
        <v>-</v>
      </c>
      <c r="E3931" s="560">
        <f t="shared" si="584"/>
        <v>67.900000000000006</v>
      </c>
      <c r="F3931" s="1508">
        <f t="shared" si="577"/>
        <v>0</v>
      </c>
      <c r="G3931" s="1508">
        <f t="shared" si="578"/>
        <v>0</v>
      </c>
      <c r="H3931" s="1508">
        <f t="shared" si="579"/>
        <v>0</v>
      </c>
      <c r="I3931" s="1480">
        <v>0</v>
      </c>
      <c r="J3931" s="1480">
        <v>0</v>
      </c>
      <c r="K3931" s="1508"/>
      <c r="L3931" s="1508"/>
      <c r="M3931" s="1509">
        <f t="shared" si="580"/>
        <v>0</v>
      </c>
      <c r="N3931" s="1508">
        <f t="shared" si="581"/>
        <v>0</v>
      </c>
    </row>
    <row r="3932" spans="1:14" ht="31" outlineLevel="1" x14ac:dyDescent="0.25">
      <c r="A3932" s="1492">
        <f t="shared" si="584"/>
        <v>0</v>
      </c>
      <c r="B3932" s="1492" t="str">
        <f t="shared" si="584"/>
        <v>i- Construction of new ESR (Elevated Storage Reservoir) at CSTPS Chandrapur</v>
      </c>
      <c r="C3932" s="1488">
        <f t="shared" si="584"/>
        <v>0</v>
      </c>
      <c r="D3932" s="1413" t="str">
        <f t="shared" si="584"/>
        <v>-</v>
      </c>
      <c r="E3932" s="560">
        <f t="shared" si="584"/>
        <v>3.78</v>
      </c>
      <c r="F3932" s="1508">
        <f t="shared" si="577"/>
        <v>3.78</v>
      </c>
      <c r="G3932" s="1508">
        <f t="shared" si="578"/>
        <v>3.78</v>
      </c>
      <c r="H3932" s="1508">
        <f t="shared" si="579"/>
        <v>0</v>
      </c>
      <c r="I3932" s="1480">
        <v>0</v>
      </c>
      <c r="J3932" s="1480">
        <v>0</v>
      </c>
      <c r="K3932" s="1508"/>
      <c r="L3932" s="1508"/>
      <c r="M3932" s="1509">
        <f t="shared" si="580"/>
        <v>0</v>
      </c>
      <c r="N3932" s="1508">
        <f t="shared" si="581"/>
        <v>0</v>
      </c>
    </row>
    <row r="3933" spans="1:14" ht="31" outlineLevel="1" x14ac:dyDescent="0.25">
      <c r="A3933" s="1492">
        <f t="shared" si="584"/>
        <v>0</v>
      </c>
      <c r="B3933" s="1492" t="str">
        <f t="shared" si="584"/>
        <v>ii- Providing &amp; Rerouting of existing water supply pipe line at CSTPS Chandrapur</v>
      </c>
      <c r="C3933" s="1488">
        <f t="shared" si="584"/>
        <v>0</v>
      </c>
      <c r="D3933" s="1413" t="str">
        <f t="shared" si="584"/>
        <v>-</v>
      </c>
      <c r="E3933" s="560">
        <f t="shared" si="584"/>
        <v>4.05</v>
      </c>
      <c r="F3933" s="1508">
        <f t="shared" si="577"/>
        <v>4.05</v>
      </c>
      <c r="G3933" s="1508">
        <f t="shared" si="578"/>
        <v>4.05</v>
      </c>
      <c r="H3933" s="1508">
        <f t="shared" si="579"/>
        <v>0</v>
      </c>
      <c r="I3933" s="1480">
        <v>0</v>
      </c>
      <c r="J3933" s="1480">
        <v>0</v>
      </c>
      <c r="K3933" s="1508"/>
      <c r="L3933" s="1508"/>
      <c r="M3933" s="1509">
        <f t="shared" si="580"/>
        <v>0</v>
      </c>
      <c r="N3933" s="1508">
        <f t="shared" si="581"/>
        <v>0</v>
      </c>
    </row>
    <row r="3934" spans="1:14" ht="31" outlineLevel="1" x14ac:dyDescent="0.25">
      <c r="A3934" s="1492">
        <f t="shared" si="584"/>
        <v>0</v>
      </c>
      <c r="B3934" s="1492" t="str">
        <f t="shared" si="584"/>
        <v>iii- Providing &amp; Rerouting of esiting sewer line at CSTPS colony Chandrapur</v>
      </c>
      <c r="C3934" s="1488">
        <f t="shared" si="584"/>
        <v>0</v>
      </c>
      <c r="D3934" s="1413" t="str">
        <f t="shared" si="584"/>
        <v>-</v>
      </c>
      <c r="E3934" s="560">
        <f t="shared" si="584"/>
        <v>7.01</v>
      </c>
      <c r="F3934" s="1508">
        <f t="shared" si="577"/>
        <v>7.01</v>
      </c>
      <c r="G3934" s="1508">
        <f t="shared" si="578"/>
        <v>7.01</v>
      </c>
      <c r="H3934" s="1508">
        <f t="shared" si="579"/>
        <v>0</v>
      </c>
      <c r="I3934" s="1480">
        <v>0</v>
      </c>
      <c r="J3934" s="1480">
        <v>0</v>
      </c>
      <c r="K3934" s="1508"/>
      <c r="L3934" s="1508"/>
      <c r="M3934" s="1509">
        <f t="shared" si="580"/>
        <v>0</v>
      </c>
      <c r="N3934" s="1508">
        <f t="shared" si="581"/>
        <v>0</v>
      </c>
    </row>
    <row r="3935" spans="1:14" ht="31" outlineLevel="1" x14ac:dyDescent="0.25">
      <c r="A3935" s="1492">
        <f t="shared" si="584"/>
        <v>0</v>
      </c>
      <c r="B3935" s="1492" t="str">
        <f t="shared" si="584"/>
        <v>iv- Providing water proofing treatment to terrace slab of residential building aaat CSTPS colony Chandrapur</v>
      </c>
      <c r="C3935" s="1488">
        <f t="shared" si="584"/>
        <v>0</v>
      </c>
      <c r="D3935" s="1413" t="str">
        <f t="shared" si="584"/>
        <v>-</v>
      </c>
      <c r="E3935" s="560">
        <f t="shared" si="584"/>
        <v>6.34</v>
      </c>
      <c r="F3935" s="1508">
        <f t="shared" si="577"/>
        <v>6.34</v>
      </c>
      <c r="G3935" s="1508">
        <f t="shared" si="578"/>
        <v>6.34</v>
      </c>
      <c r="H3935" s="1508">
        <f t="shared" si="579"/>
        <v>0</v>
      </c>
      <c r="I3935" s="1480">
        <v>0</v>
      </c>
      <c r="J3935" s="1480">
        <v>0</v>
      </c>
      <c r="K3935" s="1508"/>
      <c r="L3935" s="1508"/>
      <c r="M3935" s="1509">
        <f t="shared" si="580"/>
        <v>0</v>
      </c>
      <c r="N3935" s="1508">
        <f t="shared" si="581"/>
        <v>0</v>
      </c>
    </row>
    <row r="3936" spans="1:14" ht="31" outlineLevel="1" x14ac:dyDescent="0.25">
      <c r="A3936" s="1492">
        <f t="shared" ref="A3936:E3951" si="585">A3266</f>
        <v>0</v>
      </c>
      <c r="B3936" s="1492" t="str">
        <f t="shared" si="585"/>
        <v>v- Construction of storm water drain along major and internal road of CSTPS colony at Chnadrapur</v>
      </c>
      <c r="C3936" s="1488">
        <f t="shared" si="585"/>
        <v>0</v>
      </c>
      <c r="D3936" s="1413" t="str">
        <f t="shared" si="585"/>
        <v>-</v>
      </c>
      <c r="E3936" s="560">
        <f t="shared" si="585"/>
        <v>16.86</v>
      </c>
      <c r="F3936" s="1508">
        <f t="shared" ref="F3936:F3999" si="586">F3266+I3266</f>
        <v>16.86</v>
      </c>
      <c r="G3936" s="1508">
        <f t="shared" ref="G3936:G3999" si="587">G3266+M3266</f>
        <v>16.86</v>
      </c>
      <c r="H3936" s="1508">
        <f t="shared" si="579"/>
        <v>0</v>
      </c>
      <c r="I3936" s="1480">
        <v>0</v>
      </c>
      <c r="J3936" s="1480">
        <v>0</v>
      </c>
      <c r="K3936" s="1508"/>
      <c r="L3936" s="1508"/>
      <c r="M3936" s="1509">
        <f t="shared" si="580"/>
        <v>0</v>
      </c>
      <c r="N3936" s="1508">
        <f t="shared" si="581"/>
        <v>0</v>
      </c>
    </row>
    <row r="3937" spans="1:14" ht="31" outlineLevel="1" x14ac:dyDescent="0.25">
      <c r="A3937" s="1492">
        <f t="shared" si="585"/>
        <v>0</v>
      </c>
      <c r="B3937" s="1492" t="str">
        <f t="shared" si="585"/>
        <v>vi-Improvement of existing major and internal Bitumen   road of CSTPS colony  by Bituminous treatment  at  CSTPS Chandrapur</v>
      </c>
      <c r="C3937" s="1488">
        <f t="shared" si="585"/>
        <v>0</v>
      </c>
      <c r="D3937" s="1413" t="str">
        <f t="shared" si="585"/>
        <v>-</v>
      </c>
      <c r="E3937" s="560">
        <f t="shared" si="585"/>
        <v>29.81</v>
      </c>
      <c r="F3937" s="1508">
        <f t="shared" si="586"/>
        <v>29.81</v>
      </c>
      <c r="G3937" s="1508">
        <f t="shared" si="587"/>
        <v>29.81</v>
      </c>
      <c r="H3937" s="1508">
        <f t="shared" si="579"/>
        <v>0</v>
      </c>
      <c r="I3937" s="1480">
        <v>0</v>
      </c>
      <c r="J3937" s="1480">
        <v>0</v>
      </c>
      <c r="K3937" s="1508"/>
      <c r="L3937" s="1508"/>
      <c r="M3937" s="1509">
        <f t="shared" si="580"/>
        <v>0</v>
      </c>
      <c r="N3937" s="1508">
        <f t="shared" si="581"/>
        <v>0</v>
      </c>
    </row>
    <row r="3938" spans="1:14" ht="31" outlineLevel="1" x14ac:dyDescent="0.25">
      <c r="A3938" s="1486">
        <f t="shared" si="585"/>
        <v>7</v>
      </c>
      <c r="B3938" s="1491" t="str">
        <f t="shared" si="585"/>
        <v>Renovation of residential buildings , Public building , Road and other allied civil works in CSTPS colony at Chandrapur</v>
      </c>
      <c r="C3938" s="1488">
        <f t="shared" si="585"/>
        <v>0</v>
      </c>
      <c r="D3938" s="1413" t="str">
        <f t="shared" si="585"/>
        <v>-</v>
      </c>
      <c r="E3938" s="560">
        <f t="shared" si="585"/>
        <v>209</v>
      </c>
      <c r="F3938" s="1508">
        <f t="shared" si="586"/>
        <v>0</v>
      </c>
      <c r="G3938" s="1508">
        <f t="shared" si="587"/>
        <v>0</v>
      </c>
      <c r="H3938" s="1508">
        <f t="shared" si="579"/>
        <v>0</v>
      </c>
      <c r="I3938" s="1480">
        <v>0</v>
      </c>
      <c r="J3938" s="1480">
        <v>0</v>
      </c>
      <c r="K3938" s="1508"/>
      <c r="L3938" s="1508"/>
      <c r="M3938" s="1509">
        <f t="shared" si="580"/>
        <v>0</v>
      </c>
      <c r="N3938" s="1508">
        <f t="shared" si="581"/>
        <v>0</v>
      </c>
    </row>
    <row r="3939" spans="1:14" ht="31" outlineLevel="1" x14ac:dyDescent="0.25">
      <c r="A3939" s="1492">
        <f t="shared" si="585"/>
        <v>0</v>
      </c>
      <c r="B3939" s="1492" t="str">
        <f t="shared" si="585"/>
        <v>i- Renovation and Beautification of residential building ( Type A, B, C, D, E and F)  Phase -II at CSTPS Chnadrapur</v>
      </c>
      <c r="C3939" s="1488">
        <f t="shared" si="585"/>
        <v>0</v>
      </c>
      <c r="D3939" s="1413" t="str">
        <f t="shared" si="585"/>
        <v>-</v>
      </c>
      <c r="E3939" s="560">
        <f t="shared" si="585"/>
        <v>132</v>
      </c>
      <c r="F3939" s="1508">
        <f t="shared" si="586"/>
        <v>44</v>
      </c>
      <c r="G3939" s="1508">
        <f t="shared" si="587"/>
        <v>44</v>
      </c>
      <c r="H3939" s="1508">
        <f t="shared" si="579"/>
        <v>0</v>
      </c>
      <c r="I3939" s="1480">
        <v>44</v>
      </c>
      <c r="J3939" s="1480">
        <v>44</v>
      </c>
      <c r="K3939" s="1508"/>
      <c r="L3939" s="1508"/>
      <c r="M3939" s="1509">
        <f t="shared" si="580"/>
        <v>44</v>
      </c>
      <c r="N3939" s="1508">
        <f t="shared" si="581"/>
        <v>0</v>
      </c>
    </row>
    <row r="3940" spans="1:14" ht="15.5" outlineLevel="1" x14ac:dyDescent="0.25">
      <c r="A3940" s="1492">
        <f t="shared" si="585"/>
        <v>0</v>
      </c>
      <c r="B3940" s="1492" t="str">
        <f t="shared" si="585"/>
        <v>ii-Renovation of old and new market at CSTPS Chandrapur</v>
      </c>
      <c r="C3940" s="1488">
        <f t="shared" si="585"/>
        <v>0</v>
      </c>
      <c r="D3940" s="1413" t="str">
        <f t="shared" si="585"/>
        <v>-</v>
      </c>
      <c r="E3940" s="560">
        <f t="shared" si="585"/>
        <v>2</v>
      </c>
      <c r="F3940" s="1508">
        <f t="shared" si="586"/>
        <v>2</v>
      </c>
      <c r="G3940" s="1508">
        <f t="shared" si="587"/>
        <v>2</v>
      </c>
      <c r="H3940" s="1508">
        <f t="shared" si="579"/>
        <v>0</v>
      </c>
      <c r="I3940" s="1480">
        <v>0</v>
      </c>
      <c r="J3940" s="1480">
        <v>0</v>
      </c>
      <c r="K3940" s="1508"/>
      <c r="L3940" s="1508"/>
      <c r="M3940" s="1509">
        <f t="shared" si="580"/>
        <v>0</v>
      </c>
      <c r="N3940" s="1508">
        <f t="shared" si="581"/>
        <v>0</v>
      </c>
    </row>
    <row r="3941" spans="1:14" ht="31" outlineLevel="1" x14ac:dyDescent="0.25">
      <c r="A3941" s="1492">
        <f t="shared" si="585"/>
        <v>0</v>
      </c>
      <c r="B3941" s="1492" t="str">
        <f t="shared" si="585"/>
        <v>iii-Improvement of exsiting Main road by Cement Concrte road  in colony at CSTPS Chandrapur</v>
      </c>
      <c r="C3941" s="1488">
        <f t="shared" si="585"/>
        <v>0</v>
      </c>
      <c r="D3941" s="1413" t="str">
        <f t="shared" si="585"/>
        <v>-</v>
      </c>
      <c r="E3941" s="560">
        <f t="shared" si="585"/>
        <v>55</v>
      </c>
      <c r="F3941" s="1508">
        <f t="shared" si="586"/>
        <v>0</v>
      </c>
      <c r="G3941" s="1508">
        <f t="shared" si="587"/>
        <v>0</v>
      </c>
      <c r="H3941" s="1508">
        <f t="shared" si="579"/>
        <v>0</v>
      </c>
      <c r="I3941" s="1480">
        <v>27.5</v>
      </c>
      <c r="J3941" s="1480">
        <v>27.5</v>
      </c>
      <c r="K3941" s="1508"/>
      <c r="L3941" s="1508"/>
      <c r="M3941" s="1509">
        <f t="shared" si="580"/>
        <v>27.5</v>
      </c>
      <c r="N3941" s="1508">
        <f t="shared" si="581"/>
        <v>0</v>
      </c>
    </row>
    <row r="3942" spans="1:14" ht="31" outlineLevel="1" x14ac:dyDescent="0.25">
      <c r="A3942" s="1492">
        <f t="shared" si="585"/>
        <v>0</v>
      </c>
      <c r="B3942" s="1492" t="str">
        <f t="shared" si="585"/>
        <v>iv-Renovation of Civil and Electrical Maint office building at CSTPS Chandrapur.</v>
      </c>
      <c r="C3942" s="1488">
        <f t="shared" si="585"/>
        <v>0</v>
      </c>
      <c r="D3942" s="1413" t="str">
        <f t="shared" si="585"/>
        <v>-</v>
      </c>
      <c r="E3942" s="560">
        <f t="shared" si="585"/>
        <v>1.5</v>
      </c>
      <c r="F3942" s="1508">
        <f t="shared" si="586"/>
        <v>0</v>
      </c>
      <c r="G3942" s="1508">
        <f t="shared" si="587"/>
        <v>0</v>
      </c>
      <c r="H3942" s="1508">
        <f t="shared" si="579"/>
        <v>0</v>
      </c>
      <c r="I3942" s="1480">
        <v>1.5</v>
      </c>
      <c r="J3942" s="1480">
        <v>1.5</v>
      </c>
      <c r="K3942" s="1508"/>
      <c r="L3942" s="1508"/>
      <c r="M3942" s="1509">
        <f t="shared" si="580"/>
        <v>1.5</v>
      </c>
      <c r="N3942" s="1508">
        <f t="shared" si="581"/>
        <v>0</v>
      </c>
    </row>
    <row r="3943" spans="1:14" ht="31" outlineLevel="1" x14ac:dyDescent="0.25">
      <c r="A3943" s="1492">
        <f t="shared" si="585"/>
        <v>0</v>
      </c>
      <c r="B3943" s="1492" t="str">
        <f t="shared" si="585"/>
        <v xml:space="preserve">v- Renoavtion of Post office building and Bank Building at CSTPS Chandrapur </v>
      </c>
      <c r="C3943" s="1488">
        <f t="shared" si="585"/>
        <v>0</v>
      </c>
      <c r="D3943" s="1413" t="str">
        <f t="shared" si="585"/>
        <v>-</v>
      </c>
      <c r="E3943" s="560">
        <f t="shared" si="585"/>
        <v>1.5</v>
      </c>
      <c r="F3943" s="1508">
        <f t="shared" si="586"/>
        <v>0</v>
      </c>
      <c r="G3943" s="1508">
        <f t="shared" si="587"/>
        <v>0</v>
      </c>
      <c r="H3943" s="1508">
        <f t="shared" si="579"/>
        <v>0</v>
      </c>
      <c r="I3943" s="1480">
        <v>1.5</v>
      </c>
      <c r="J3943" s="1480">
        <v>1.5</v>
      </c>
      <c r="K3943" s="1508"/>
      <c r="L3943" s="1508"/>
      <c r="M3943" s="1509">
        <f t="shared" si="580"/>
        <v>1.5</v>
      </c>
      <c r="N3943" s="1508">
        <f t="shared" si="581"/>
        <v>0</v>
      </c>
    </row>
    <row r="3944" spans="1:14" ht="15.5" outlineLevel="1" x14ac:dyDescent="0.25">
      <c r="A3944" s="1492">
        <f t="shared" si="585"/>
        <v>0</v>
      </c>
      <c r="B3944" s="1492" t="str">
        <f t="shared" si="585"/>
        <v>vi- Renovation fo Erai Dam guest House at CSTPS Chandrapur</v>
      </c>
      <c r="C3944" s="1488">
        <f t="shared" si="585"/>
        <v>0</v>
      </c>
      <c r="D3944" s="1413" t="str">
        <f t="shared" si="585"/>
        <v>-</v>
      </c>
      <c r="E3944" s="560">
        <f t="shared" si="585"/>
        <v>2</v>
      </c>
      <c r="F3944" s="1508">
        <f t="shared" si="586"/>
        <v>0</v>
      </c>
      <c r="G3944" s="1508">
        <f t="shared" si="587"/>
        <v>0</v>
      </c>
      <c r="H3944" s="1508">
        <f t="shared" si="579"/>
        <v>0</v>
      </c>
      <c r="I3944" s="1480">
        <v>2</v>
      </c>
      <c r="J3944" s="1480">
        <v>2</v>
      </c>
      <c r="K3944" s="1508"/>
      <c r="L3944" s="1508"/>
      <c r="M3944" s="1509">
        <f t="shared" si="580"/>
        <v>2</v>
      </c>
      <c r="N3944" s="1508">
        <f t="shared" si="581"/>
        <v>0</v>
      </c>
    </row>
    <row r="3945" spans="1:14" ht="31" outlineLevel="1" x14ac:dyDescent="0.25">
      <c r="A3945" s="1492">
        <f t="shared" si="585"/>
        <v>0</v>
      </c>
      <c r="B3945" s="1492" t="str">
        <f t="shared" si="585"/>
        <v>vii- Improvement of Erai dam approch road by Bituminous treatment at CSTPS Chnadrapur</v>
      </c>
      <c r="C3945" s="1488">
        <f t="shared" si="585"/>
        <v>0</v>
      </c>
      <c r="D3945" s="1413" t="str">
        <f t="shared" si="585"/>
        <v>-</v>
      </c>
      <c r="E3945" s="560">
        <f t="shared" si="585"/>
        <v>15</v>
      </c>
      <c r="F3945" s="1508">
        <f t="shared" si="586"/>
        <v>0</v>
      </c>
      <c r="G3945" s="1508">
        <f t="shared" si="587"/>
        <v>0</v>
      </c>
      <c r="H3945" s="1508">
        <f t="shared" si="579"/>
        <v>0</v>
      </c>
      <c r="I3945" s="1480">
        <v>15</v>
      </c>
      <c r="J3945" s="1480">
        <v>15</v>
      </c>
      <c r="K3945" s="1508"/>
      <c r="L3945" s="1508"/>
      <c r="M3945" s="1509">
        <f t="shared" si="580"/>
        <v>15</v>
      </c>
      <c r="N3945" s="1508">
        <f t="shared" si="581"/>
        <v>0</v>
      </c>
    </row>
    <row r="3946" spans="1:14" ht="46.5" outlineLevel="1" x14ac:dyDescent="0.25">
      <c r="A3946" s="1486">
        <f t="shared" si="585"/>
        <v>8</v>
      </c>
      <c r="B3946" s="1491" t="str">
        <f t="shared" si="585"/>
        <v>Construction of new residential building ,Hospital Building ,Chemmary Building,security office building  and allied civil work infrastructure in colony at CSTPS Chandrapur</v>
      </c>
      <c r="C3946" s="1488">
        <f t="shared" si="585"/>
        <v>0</v>
      </c>
      <c r="D3946" s="1413" t="str">
        <f t="shared" si="585"/>
        <v>-</v>
      </c>
      <c r="E3946" s="560">
        <f t="shared" si="585"/>
        <v>76.25</v>
      </c>
      <c r="F3946" s="1508">
        <f t="shared" si="586"/>
        <v>0</v>
      </c>
      <c r="G3946" s="1508">
        <f t="shared" si="587"/>
        <v>0</v>
      </c>
      <c r="H3946" s="1508">
        <f t="shared" si="579"/>
        <v>0</v>
      </c>
      <c r="I3946" s="1480">
        <v>0</v>
      </c>
      <c r="J3946" s="1480">
        <v>0</v>
      </c>
      <c r="K3946" s="1508"/>
      <c r="L3946" s="1508"/>
      <c r="M3946" s="1509">
        <f t="shared" si="580"/>
        <v>0</v>
      </c>
      <c r="N3946" s="1508">
        <f t="shared" si="581"/>
        <v>0</v>
      </c>
    </row>
    <row r="3947" spans="1:14" ht="31" outlineLevel="1" x14ac:dyDescent="0.25">
      <c r="A3947" s="1492">
        <f t="shared" si="585"/>
        <v>0</v>
      </c>
      <c r="B3947" s="1492" t="str">
        <f t="shared" si="585"/>
        <v>i- Construction of new residential staff quarter of A, B ,C D and E type  building in colony at CSTPS Chandrapur</v>
      </c>
      <c r="C3947" s="1488">
        <f t="shared" si="585"/>
        <v>0</v>
      </c>
      <c r="D3947" s="1413" t="str">
        <f t="shared" si="585"/>
        <v>-</v>
      </c>
      <c r="E3947" s="560">
        <f t="shared" si="585"/>
        <v>60</v>
      </c>
      <c r="F3947" s="1508">
        <f t="shared" si="586"/>
        <v>0</v>
      </c>
      <c r="G3947" s="1508">
        <f t="shared" si="587"/>
        <v>0</v>
      </c>
      <c r="H3947" s="1508">
        <f t="shared" si="579"/>
        <v>0</v>
      </c>
      <c r="I3947" s="1480">
        <v>30</v>
      </c>
      <c r="J3947" s="1480">
        <v>30</v>
      </c>
      <c r="K3947" s="1508"/>
      <c r="L3947" s="1508"/>
      <c r="M3947" s="1509">
        <f t="shared" si="580"/>
        <v>30</v>
      </c>
      <c r="N3947" s="1508">
        <f t="shared" si="581"/>
        <v>0</v>
      </c>
    </row>
    <row r="3948" spans="1:14" ht="15.5" outlineLevel="1" x14ac:dyDescent="0.25">
      <c r="A3948" s="1492">
        <f t="shared" si="585"/>
        <v>0</v>
      </c>
      <c r="B3948" s="1492" t="str">
        <f t="shared" si="585"/>
        <v>ii-Construction of New Hospital Building at CSTSP Chandrapur</v>
      </c>
      <c r="C3948" s="1488">
        <f t="shared" si="585"/>
        <v>0</v>
      </c>
      <c r="D3948" s="1413" t="str">
        <f t="shared" si="585"/>
        <v>-</v>
      </c>
      <c r="E3948" s="560">
        <f t="shared" si="585"/>
        <v>2</v>
      </c>
      <c r="F3948" s="1508">
        <f t="shared" si="586"/>
        <v>0</v>
      </c>
      <c r="G3948" s="1508">
        <f t="shared" si="587"/>
        <v>0</v>
      </c>
      <c r="H3948" s="1508">
        <f t="shared" si="579"/>
        <v>0</v>
      </c>
      <c r="I3948" s="1480">
        <v>0</v>
      </c>
      <c r="J3948" s="1480">
        <v>0</v>
      </c>
      <c r="K3948" s="1508"/>
      <c r="L3948" s="1508"/>
      <c r="M3948" s="1509">
        <f t="shared" si="580"/>
        <v>0</v>
      </c>
      <c r="N3948" s="1508">
        <f t="shared" si="581"/>
        <v>0</v>
      </c>
    </row>
    <row r="3949" spans="1:14" ht="31" outlineLevel="1" x14ac:dyDescent="0.25">
      <c r="A3949" s="1492">
        <f t="shared" si="585"/>
        <v>0</v>
      </c>
      <c r="B3949" s="1492" t="str">
        <f t="shared" si="585"/>
        <v>iii-Construction of new Chummary Building at CSTPS Chandrapur</v>
      </c>
      <c r="C3949" s="1488">
        <f t="shared" si="585"/>
        <v>0</v>
      </c>
      <c r="D3949" s="1413" t="str">
        <f t="shared" si="585"/>
        <v>-</v>
      </c>
      <c r="E3949" s="560">
        <f t="shared" si="585"/>
        <v>7.5</v>
      </c>
      <c r="F3949" s="1508">
        <f t="shared" si="586"/>
        <v>0</v>
      </c>
      <c r="G3949" s="1508">
        <f t="shared" si="587"/>
        <v>0</v>
      </c>
      <c r="H3949" s="1508">
        <f t="shared" si="579"/>
        <v>0</v>
      </c>
      <c r="I3949" s="1480">
        <v>0</v>
      </c>
      <c r="J3949" s="1480">
        <v>0</v>
      </c>
      <c r="K3949" s="1508"/>
      <c r="L3949" s="1508"/>
      <c r="M3949" s="1509">
        <f t="shared" si="580"/>
        <v>0</v>
      </c>
      <c r="N3949" s="1508">
        <f t="shared" si="581"/>
        <v>0</v>
      </c>
    </row>
    <row r="3950" spans="1:14" ht="31" outlineLevel="1" x14ac:dyDescent="0.25">
      <c r="A3950" s="1492">
        <f t="shared" si="585"/>
        <v>0</v>
      </c>
      <c r="B3950" s="1492" t="str">
        <f t="shared" si="585"/>
        <v>iv-Construction of new security office and check post at various location in colony at CSTPS Chandrapur</v>
      </c>
      <c r="C3950" s="1488">
        <f t="shared" si="585"/>
        <v>0</v>
      </c>
      <c r="D3950" s="1413" t="str">
        <f t="shared" si="585"/>
        <v>-</v>
      </c>
      <c r="E3950" s="560">
        <f t="shared" si="585"/>
        <v>0.75</v>
      </c>
      <c r="F3950" s="1508">
        <f t="shared" si="586"/>
        <v>0</v>
      </c>
      <c r="G3950" s="1508">
        <f t="shared" si="587"/>
        <v>0</v>
      </c>
      <c r="H3950" s="1508">
        <f t="shared" ref="H3950:H4013" si="588">F3950-G3950</f>
        <v>0</v>
      </c>
      <c r="I3950" s="1480">
        <v>0</v>
      </c>
      <c r="J3950" s="1480">
        <v>0</v>
      </c>
      <c r="K3950" s="1508"/>
      <c r="L3950" s="1508"/>
      <c r="M3950" s="1509">
        <f t="shared" ref="M3950:M4013" si="589">SUM(J3950:L3950)</f>
        <v>0</v>
      </c>
      <c r="N3950" s="1508">
        <f t="shared" ref="N3950:N4013" si="590">H3950+I3950-M3950</f>
        <v>0</v>
      </c>
    </row>
    <row r="3951" spans="1:14" ht="31" outlineLevel="1" x14ac:dyDescent="0.25">
      <c r="A3951" s="1492">
        <f t="shared" si="585"/>
        <v>0</v>
      </c>
      <c r="B3951" s="1492" t="str">
        <f t="shared" si="585"/>
        <v>v-Construction of swimming pool in colony at CSTPS Chandrapur</v>
      </c>
      <c r="C3951" s="1488">
        <f t="shared" si="585"/>
        <v>0</v>
      </c>
      <c r="D3951" s="1413" t="str">
        <f t="shared" si="585"/>
        <v>-</v>
      </c>
      <c r="E3951" s="560">
        <f t="shared" si="585"/>
        <v>2</v>
      </c>
      <c r="F3951" s="1508">
        <f t="shared" si="586"/>
        <v>0</v>
      </c>
      <c r="G3951" s="1508">
        <f t="shared" si="587"/>
        <v>0</v>
      </c>
      <c r="H3951" s="1508">
        <f t="shared" si="588"/>
        <v>0</v>
      </c>
      <c r="I3951" s="1480">
        <v>0</v>
      </c>
      <c r="J3951" s="1480">
        <v>0</v>
      </c>
      <c r="K3951" s="1508"/>
      <c r="L3951" s="1508"/>
      <c r="M3951" s="1509">
        <f t="shared" si="589"/>
        <v>0</v>
      </c>
      <c r="N3951" s="1508">
        <f t="shared" si="590"/>
        <v>0</v>
      </c>
    </row>
    <row r="3952" spans="1:14" ht="46.5" outlineLevel="1" x14ac:dyDescent="0.25">
      <c r="A3952" s="1492">
        <f t="shared" ref="A3952:E3967" si="591">A3282</f>
        <v>0</v>
      </c>
      <c r="B3952" s="1492" t="str">
        <f t="shared" si="591"/>
        <v>vii-Providing new drinking water supply DI- pipe line  300 mm dia .for domestic water supply to rsidential colony at CSTPS Chandrapur.</v>
      </c>
      <c r="C3952" s="1488">
        <f t="shared" si="591"/>
        <v>0</v>
      </c>
      <c r="D3952" s="1413" t="str">
        <f t="shared" si="591"/>
        <v>-</v>
      </c>
      <c r="E3952" s="560">
        <f t="shared" si="591"/>
        <v>2</v>
      </c>
      <c r="F3952" s="1508">
        <f t="shared" si="586"/>
        <v>0</v>
      </c>
      <c r="G3952" s="1508">
        <f t="shared" si="587"/>
        <v>0</v>
      </c>
      <c r="H3952" s="1508">
        <f t="shared" si="588"/>
        <v>0</v>
      </c>
      <c r="I3952" s="1480">
        <v>0</v>
      </c>
      <c r="J3952" s="1480">
        <v>0</v>
      </c>
      <c r="K3952" s="1508"/>
      <c r="L3952" s="1508"/>
      <c r="M3952" s="1509">
        <f t="shared" si="589"/>
        <v>0</v>
      </c>
      <c r="N3952" s="1508">
        <f t="shared" si="590"/>
        <v>0</v>
      </c>
    </row>
    <row r="3953" spans="1:14" ht="31" outlineLevel="1" x14ac:dyDescent="0.25">
      <c r="A3953" s="1492">
        <f t="shared" si="591"/>
        <v>0</v>
      </c>
      <c r="B3953" s="1492" t="str">
        <f t="shared" si="591"/>
        <v>viii-Rain water Harvesting system to residential building at CSTPS Chandrapur.</v>
      </c>
      <c r="C3953" s="1488">
        <f t="shared" si="591"/>
        <v>0</v>
      </c>
      <c r="D3953" s="1413" t="str">
        <f t="shared" si="591"/>
        <v>-</v>
      </c>
      <c r="E3953" s="560">
        <f t="shared" si="591"/>
        <v>2</v>
      </c>
      <c r="F3953" s="1508">
        <f t="shared" si="586"/>
        <v>0</v>
      </c>
      <c r="G3953" s="1508">
        <f t="shared" si="587"/>
        <v>0</v>
      </c>
      <c r="H3953" s="1508">
        <f t="shared" si="588"/>
        <v>0</v>
      </c>
      <c r="I3953" s="1480">
        <v>0</v>
      </c>
      <c r="J3953" s="1480">
        <v>0</v>
      </c>
      <c r="K3953" s="1508"/>
      <c r="L3953" s="1508"/>
      <c r="M3953" s="1509">
        <f t="shared" si="589"/>
        <v>0</v>
      </c>
      <c r="N3953" s="1508">
        <f t="shared" si="590"/>
        <v>0</v>
      </c>
    </row>
    <row r="3954" spans="1:14" ht="15.5" outlineLevel="1" x14ac:dyDescent="0.25">
      <c r="A3954" s="1486">
        <f t="shared" si="591"/>
        <v>9</v>
      </c>
      <c r="B3954" s="1491" t="str">
        <f t="shared" si="591"/>
        <v>Renovation of public utility building of CSTPS, Chandrapur</v>
      </c>
      <c r="C3954" s="1488">
        <f t="shared" si="591"/>
        <v>0</v>
      </c>
      <c r="D3954" s="1413" t="str">
        <f t="shared" si="591"/>
        <v>-</v>
      </c>
      <c r="E3954" s="560">
        <f t="shared" si="591"/>
        <v>29.950000000000003</v>
      </c>
      <c r="F3954" s="1508">
        <f t="shared" si="586"/>
        <v>0</v>
      </c>
      <c r="G3954" s="1508">
        <f t="shared" si="587"/>
        <v>0</v>
      </c>
      <c r="H3954" s="1508">
        <f t="shared" si="588"/>
        <v>0</v>
      </c>
      <c r="I3954" s="1480">
        <v>0</v>
      </c>
      <c r="J3954" s="1480">
        <v>0</v>
      </c>
      <c r="K3954" s="1508"/>
      <c r="L3954" s="1508"/>
      <c r="M3954" s="1509">
        <f t="shared" si="589"/>
        <v>0</v>
      </c>
      <c r="N3954" s="1508">
        <f t="shared" si="590"/>
        <v>0</v>
      </c>
    </row>
    <row r="3955" spans="1:14" ht="15.5" outlineLevel="1" x14ac:dyDescent="0.25">
      <c r="A3955" s="1492">
        <f t="shared" si="591"/>
        <v>0</v>
      </c>
      <c r="B3955" s="1492" t="str">
        <f t="shared" si="591"/>
        <v>Renovation and interior decoration of Hirai guest house</v>
      </c>
      <c r="C3955" s="1488">
        <f t="shared" si="591"/>
        <v>0</v>
      </c>
      <c r="D3955" s="1413" t="str">
        <f t="shared" si="591"/>
        <v>-</v>
      </c>
      <c r="E3955" s="560">
        <f t="shared" si="591"/>
        <v>7.51</v>
      </c>
      <c r="F3955" s="1508">
        <f t="shared" si="586"/>
        <v>7.51</v>
      </c>
      <c r="G3955" s="1508">
        <f t="shared" si="587"/>
        <v>7.51</v>
      </c>
      <c r="H3955" s="1508">
        <f t="shared" si="588"/>
        <v>0</v>
      </c>
      <c r="I3955" s="1480">
        <v>0</v>
      </c>
      <c r="J3955" s="1480">
        <v>0</v>
      </c>
      <c r="K3955" s="1508"/>
      <c r="L3955" s="1508"/>
      <c r="M3955" s="1509">
        <f t="shared" si="589"/>
        <v>0</v>
      </c>
      <c r="N3955" s="1508">
        <f t="shared" si="590"/>
        <v>0</v>
      </c>
    </row>
    <row r="3956" spans="1:14" ht="31" outlineLevel="1" x14ac:dyDescent="0.25">
      <c r="A3956" s="1492">
        <f t="shared" si="591"/>
        <v>0</v>
      </c>
      <c r="B3956" s="1492" t="str">
        <f t="shared" si="591"/>
        <v>Renovation and interior decoration of existing chummery guest house</v>
      </c>
      <c r="C3956" s="1488">
        <f t="shared" si="591"/>
        <v>0</v>
      </c>
      <c r="D3956" s="1413" t="str">
        <f t="shared" si="591"/>
        <v>-</v>
      </c>
      <c r="E3956" s="560">
        <f t="shared" si="591"/>
        <v>12.22</v>
      </c>
      <c r="F3956" s="1508">
        <f t="shared" si="586"/>
        <v>12.22</v>
      </c>
      <c r="G3956" s="1508">
        <f t="shared" si="587"/>
        <v>12.22</v>
      </c>
      <c r="H3956" s="1508">
        <f t="shared" si="588"/>
        <v>0</v>
      </c>
      <c r="I3956" s="1480">
        <v>0</v>
      </c>
      <c r="J3956" s="1480">
        <v>0</v>
      </c>
      <c r="K3956" s="1508"/>
      <c r="L3956" s="1508"/>
      <c r="M3956" s="1509">
        <f t="shared" si="589"/>
        <v>0</v>
      </c>
      <c r="N3956" s="1508">
        <f t="shared" si="590"/>
        <v>0</v>
      </c>
    </row>
    <row r="3957" spans="1:14" ht="31" outlineLevel="1" x14ac:dyDescent="0.25">
      <c r="A3957" s="1492">
        <f t="shared" si="591"/>
        <v>0</v>
      </c>
      <c r="B3957" s="1492" t="str">
        <f t="shared" si="591"/>
        <v>Renovation and interior decoration of existing Erai dam guest house</v>
      </c>
      <c r="C3957" s="1488">
        <f t="shared" si="591"/>
        <v>0</v>
      </c>
      <c r="D3957" s="1413" t="str">
        <f t="shared" si="591"/>
        <v>-</v>
      </c>
      <c r="E3957" s="560">
        <f t="shared" si="591"/>
        <v>6.65</v>
      </c>
      <c r="F3957" s="1508">
        <f t="shared" si="586"/>
        <v>6.65</v>
      </c>
      <c r="G3957" s="1508">
        <f t="shared" si="587"/>
        <v>6.65</v>
      </c>
      <c r="H3957" s="1508">
        <f t="shared" si="588"/>
        <v>0</v>
      </c>
      <c r="I3957" s="1480">
        <v>0</v>
      </c>
      <c r="J3957" s="1480">
        <v>0</v>
      </c>
      <c r="K3957" s="1508"/>
      <c r="L3957" s="1508"/>
      <c r="M3957" s="1509">
        <f t="shared" si="589"/>
        <v>0</v>
      </c>
      <c r="N3957" s="1508">
        <f t="shared" si="590"/>
        <v>0</v>
      </c>
    </row>
    <row r="3958" spans="1:14" ht="46.5" outlineLevel="1" x14ac:dyDescent="0.25">
      <c r="A3958" s="1492">
        <f t="shared" si="591"/>
        <v>0</v>
      </c>
      <c r="B3958" s="1492" t="str">
        <f t="shared" si="591"/>
        <v xml:space="preserve">Work of interior decoration by proding stop cabin arrangement and other internal architechture decorative work for RP section of admin building </v>
      </c>
      <c r="C3958" s="1488">
        <f t="shared" si="591"/>
        <v>0</v>
      </c>
      <c r="D3958" s="1413" t="str">
        <f t="shared" si="591"/>
        <v>-</v>
      </c>
      <c r="E3958" s="560">
        <f t="shared" si="591"/>
        <v>3.57</v>
      </c>
      <c r="F3958" s="1508">
        <f t="shared" si="586"/>
        <v>3.57</v>
      </c>
      <c r="G3958" s="1508">
        <f t="shared" si="587"/>
        <v>3.57</v>
      </c>
      <c r="H3958" s="1508">
        <f t="shared" si="588"/>
        <v>0</v>
      </c>
      <c r="I3958" s="1480">
        <v>0</v>
      </c>
      <c r="J3958" s="1480">
        <v>0</v>
      </c>
      <c r="K3958" s="1508"/>
      <c r="L3958" s="1508"/>
      <c r="M3958" s="1509">
        <f t="shared" si="589"/>
        <v>0</v>
      </c>
      <c r="N3958" s="1508">
        <f t="shared" si="590"/>
        <v>0</v>
      </c>
    </row>
    <row r="3959" spans="1:14" ht="15.5" outlineLevel="1" x14ac:dyDescent="0.25">
      <c r="A3959" s="1486">
        <f t="shared" si="591"/>
        <v>10</v>
      </c>
      <c r="B3959" s="1491" t="str">
        <f t="shared" si="591"/>
        <v>R&amp;M/LE for Identified Thermal units of MSPGCL</v>
      </c>
      <c r="C3959" s="1488">
        <f t="shared" si="591"/>
        <v>0</v>
      </c>
      <c r="D3959" s="1413" t="str">
        <f t="shared" si="591"/>
        <v>-</v>
      </c>
      <c r="E3959" s="560">
        <f t="shared" si="591"/>
        <v>400</v>
      </c>
      <c r="F3959" s="1508">
        <f t="shared" si="586"/>
        <v>0</v>
      </c>
      <c r="G3959" s="1508">
        <f t="shared" si="587"/>
        <v>0</v>
      </c>
      <c r="H3959" s="1508">
        <f t="shared" si="588"/>
        <v>0</v>
      </c>
      <c r="I3959" s="1480">
        <v>0</v>
      </c>
      <c r="J3959" s="1480">
        <v>0</v>
      </c>
      <c r="K3959" s="1508"/>
      <c r="L3959" s="1508"/>
      <c r="M3959" s="1509">
        <f t="shared" si="589"/>
        <v>0</v>
      </c>
      <c r="N3959" s="1508">
        <f t="shared" si="590"/>
        <v>0</v>
      </c>
    </row>
    <row r="3960" spans="1:14" ht="15.5" outlineLevel="1" x14ac:dyDescent="0.25">
      <c r="A3960" s="1492">
        <f t="shared" si="591"/>
        <v>0</v>
      </c>
      <c r="B3960" s="1492" t="str">
        <f t="shared" si="591"/>
        <v>R&amp;M/LE for Identified Thermal units of MSPGCL, CSTPS U-3</v>
      </c>
      <c r="C3960" s="1488">
        <f t="shared" si="591"/>
        <v>0</v>
      </c>
      <c r="D3960" s="1413" t="str">
        <f t="shared" si="591"/>
        <v>-</v>
      </c>
      <c r="E3960" s="560">
        <f t="shared" si="591"/>
        <v>293</v>
      </c>
      <c r="F3960" s="1508">
        <f t="shared" si="586"/>
        <v>293</v>
      </c>
      <c r="G3960" s="1508">
        <f t="shared" si="587"/>
        <v>293</v>
      </c>
      <c r="H3960" s="1508">
        <f t="shared" si="588"/>
        <v>0</v>
      </c>
      <c r="I3960" s="1480">
        <v>0</v>
      </c>
      <c r="J3960" s="1480">
        <v>0</v>
      </c>
      <c r="K3960" s="1508"/>
      <c r="L3960" s="1508"/>
      <c r="M3960" s="1509">
        <f t="shared" si="589"/>
        <v>0</v>
      </c>
      <c r="N3960" s="1508">
        <f t="shared" si="590"/>
        <v>0</v>
      </c>
    </row>
    <row r="3961" spans="1:14" ht="15.5" outlineLevel="1" x14ac:dyDescent="0.25">
      <c r="A3961" s="1492">
        <f t="shared" si="591"/>
        <v>0</v>
      </c>
      <c r="B3961" s="1492" t="str">
        <f t="shared" si="591"/>
        <v>R&amp;M/LE for Identified Thermal units of MSPGCL, CSTPS U-4</v>
      </c>
      <c r="C3961" s="1488">
        <f t="shared" si="591"/>
        <v>0</v>
      </c>
      <c r="D3961" s="1413" t="str">
        <f t="shared" si="591"/>
        <v>-</v>
      </c>
      <c r="E3961" s="560">
        <f t="shared" si="591"/>
        <v>300</v>
      </c>
      <c r="F3961" s="1508">
        <f t="shared" si="586"/>
        <v>0</v>
      </c>
      <c r="G3961" s="1508">
        <f t="shared" si="587"/>
        <v>0</v>
      </c>
      <c r="H3961" s="1508">
        <f t="shared" si="588"/>
        <v>0</v>
      </c>
      <c r="I3961" s="1480">
        <v>0</v>
      </c>
      <c r="J3961" s="1480">
        <v>0</v>
      </c>
      <c r="K3961" s="1508"/>
      <c r="L3961" s="1508"/>
      <c r="M3961" s="1509">
        <f t="shared" si="589"/>
        <v>0</v>
      </c>
      <c r="N3961" s="1508">
        <f t="shared" si="590"/>
        <v>0</v>
      </c>
    </row>
    <row r="3962" spans="1:14" ht="15.5" outlineLevel="1" x14ac:dyDescent="0.25">
      <c r="A3962" s="1486">
        <f t="shared" si="591"/>
        <v>11</v>
      </c>
      <c r="B3962" s="1491" t="str">
        <f t="shared" si="591"/>
        <v xml:space="preserve">CHP Improvement Schemes </v>
      </c>
      <c r="C3962" s="1488">
        <f t="shared" si="591"/>
        <v>0</v>
      </c>
      <c r="D3962" s="1413" t="str">
        <f t="shared" si="591"/>
        <v>-</v>
      </c>
      <c r="E3962" s="560">
        <f t="shared" si="591"/>
        <v>100</v>
      </c>
      <c r="F3962" s="1508">
        <f t="shared" si="586"/>
        <v>0</v>
      </c>
      <c r="G3962" s="1508">
        <f t="shared" si="587"/>
        <v>0</v>
      </c>
      <c r="H3962" s="1508">
        <f t="shared" si="588"/>
        <v>0</v>
      </c>
      <c r="I3962" s="1480">
        <v>0</v>
      </c>
      <c r="J3962" s="1480">
        <v>0</v>
      </c>
      <c r="K3962" s="1508"/>
      <c r="L3962" s="1508"/>
      <c r="M3962" s="1509">
        <f t="shared" si="589"/>
        <v>0</v>
      </c>
      <c r="N3962" s="1508">
        <f t="shared" si="590"/>
        <v>0</v>
      </c>
    </row>
    <row r="3963" spans="1:14" ht="15.5" outlineLevel="1" x14ac:dyDescent="0.25">
      <c r="A3963" s="1492">
        <f t="shared" si="591"/>
        <v>0</v>
      </c>
      <c r="B3963" s="1492" t="str">
        <f t="shared" si="591"/>
        <v>CHP Improvement Schemes at CHP-A, B, C</v>
      </c>
      <c r="C3963" s="1488">
        <f t="shared" si="591"/>
        <v>0</v>
      </c>
      <c r="D3963" s="1413" t="str">
        <f t="shared" si="591"/>
        <v>-</v>
      </c>
      <c r="E3963" s="560">
        <f t="shared" si="591"/>
        <v>100</v>
      </c>
      <c r="F3963" s="1508">
        <f t="shared" si="586"/>
        <v>100</v>
      </c>
      <c r="G3963" s="1508">
        <f t="shared" si="587"/>
        <v>100</v>
      </c>
      <c r="H3963" s="1508">
        <f t="shared" si="588"/>
        <v>0</v>
      </c>
      <c r="I3963" s="1480">
        <v>0</v>
      </c>
      <c r="J3963" s="1480">
        <v>0</v>
      </c>
      <c r="K3963" s="1508"/>
      <c r="L3963" s="1508"/>
      <c r="M3963" s="1509">
        <f t="shared" si="589"/>
        <v>0</v>
      </c>
      <c r="N3963" s="1508">
        <f t="shared" si="590"/>
        <v>0</v>
      </c>
    </row>
    <row r="3964" spans="1:14" ht="15.5" outlineLevel="1" x14ac:dyDescent="0.25">
      <c r="A3964" s="1486">
        <f t="shared" si="591"/>
        <v>12</v>
      </c>
      <c r="B3964" s="1491" t="str">
        <f t="shared" si="591"/>
        <v>Developlment &amp; Upgradation of SAP for MSPGCL</v>
      </c>
      <c r="C3964" s="1488">
        <f t="shared" si="591"/>
        <v>0</v>
      </c>
      <c r="D3964" s="1413" t="str">
        <f t="shared" si="591"/>
        <v>-</v>
      </c>
      <c r="E3964" s="560">
        <f t="shared" si="591"/>
        <v>200</v>
      </c>
      <c r="F3964" s="1508">
        <f t="shared" si="586"/>
        <v>0</v>
      </c>
      <c r="G3964" s="1508">
        <f t="shared" si="587"/>
        <v>0</v>
      </c>
      <c r="H3964" s="1508">
        <f t="shared" si="588"/>
        <v>0</v>
      </c>
      <c r="I3964" s="1480">
        <v>0</v>
      </c>
      <c r="J3964" s="1480">
        <v>0</v>
      </c>
      <c r="K3964" s="1508"/>
      <c r="L3964" s="1508"/>
      <c r="M3964" s="1509">
        <f t="shared" si="589"/>
        <v>0</v>
      </c>
      <c r="N3964" s="1508">
        <f t="shared" si="590"/>
        <v>0</v>
      </c>
    </row>
    <row r="3965" spans="1:14" ht="15.5" outlineLevel="1" x14ac:dyDescent="0.25">
      <c r="A3965" s="1492">
        <f t="shared" si="591"/>
        <v>0</v>
      </c>
      <c r="B3965" s="1492" t="str">
        <f t="shared" si="591"/>
        <v>Developlment &amp; Upgradation of SAP for MSPGCL</v>
      </c>
      <c r="C3965" s="1488">
        <f t="shared" si="591"/>
        <v>0</v>
      </c>
      <c r="D3965" s="1413" t="str">
        <f t="shared" si="591"/>
        <v>-</v>
      </c>
      <c r="E3965" s="560">
        <f t="shared" si="591"/>
        <v>200</v>
      </c>
      <c r="F3965" s="1508">
        <f t="shared" si="586"/>
        <v>200</v>
      </c>
      <c r="G3965" s="1508">
        <f t="shared" si="587"/>
        <v>200</v>
      </c>
      <c r="H3965" s="1508">
        <f t="shared" si="588"/>
        <v>0</v>
      </c>
      <c r="I3965" s="1480">
        <v>0</v>
      </c>
      <c r="J3965" s="1480">
        <v>0</v>
      </c>
      <c r="K3965" s="1508"/>
      <c r="L3965" s="1508"/>
      <c r="M3965" s="1509">
        <f t="shared" si="589"/>
        <v>0</v>
      </c>
      <c r="N3965" s="1508">
        <f t="shared" si="590"/>
        <v>0</v>
      </c>
    </row>
    <row r="3966" spans="1:14" ht="62" outlineLevel="1" x14ac:dyDescent="0.25">
      <c r="A3966" s="1486">
        <f t="shared" si="591"/>
        <v>13</v>
      </c>
      <c r="B3966" s="1491" t="str">
        <f t="shared" si="591"/>
        <v>Design, supply, installation and commissioning of Smart Energy Efficienient Illumination System for safety precautions and proving suitable working conditions  at stg-II &amp; III, CSTPS, Chandrapur</v>
      </c>
      <c r="C3966" s="1488">
        <f t="shared" si="591"/>
        <v>0</v>
      </c>
      <c r="D3966" s="1413" t="str">
        <f t="shared" si="591"/>
        <v>-</v>
      </c>
      <c r="E3966" s="560">
        <f t="shared" si="591"/>
        <v>42</v>
      </c>
      <c r="F3966" s="1508">
        <f t="shared" si="586"/>
        <v>0</v>
      </c>
      <c r="G3966" s="1508">
        <f t="shared" si="587"/>
        <v>0</v>
      </c>
      <c r="H3966" s="1508">
        <f t="shared" si="588"/>
        <v>0</v>
      </c>
      <c r="I3966" s="1480">
        <v>0</v>
      </c>
      <c r="J3966" s="1480">
        <v>0</v>
      </c>
      <c r="K3966" s="1508"/>
      <c r="L3966" s="1508"/>
      <c r="M3966" s="1509">
        <f t="shared" si="589"/>
        <v>0</v>
      </c>
      <c r="N3966" s="1508">
        <f t="shared" si="590"/>
        <v>0</v>
      </c>
    </row>
    <row r="3967" spans="1:14" ht="62" outlineLevel="1" x14ac:dyDescent="0.25">
      <c r="A3967" s="1492">
        <f t="shared" si="591"/>
        <v>0</v>
      </c>
      <c r="B3967" s="1492" t="str">
        <f t="shared" si="591"/>
        <v>Design, supply, installation and commissioning of Smart Energy Efficienient Illumination System for safety precautions and proving suitable working conditions  at stg-II &amp; III, CSTPS, Chandrapur</v>
      </c>
      <c r="C3967" s="1488">
        <f t="shared" si="591"/>
        <v>0</v>
      </c>
      <c r="D3967" s="1413" t="str">
        <f t="shared" si="591"/>
        <v>-</v>
      </c>
      <c r="E3967" s="560">
        <f t="shared" si="591"/>
        <v>42</v>
      </c>
      <c r="F3967" s="1508">
        <f t="shared" si="586"/>
        <v>42</v>
      </c>
      <c r="G3967" s="1508">
        <f t="shared" si="587"/>
        <v>42</v>
      </c>
      <c r="H3967" s="1508">
        <f t="shared" si="588"/>
        <v>0</v>
      </c>
      <c r="I3967" s="1480">
        <v>0</v>
      </c>
      <c r="J3967" s="1480">
        <v>0</v>
      </c>
      <c r="K3967" s="1508"/>
      <c r="L3967" s="1508"/>
      <c r="M3967" s="1509">
        <f t="shared" si="589"/>
        <v>0</v>
      </c>
      <c r="N3967" s="1508">
        <f t="shared" si="590"/>
        <v>0</v>
      </c>
    </row>
    <row r="3968" spans="1:14" ht="15.5" outlineLevel="1" x14ac:dyDescent="0.25">
      <c r="A3968" s="1486">
        <f t="shared" ref="A3968:E3983" si="592">A3298</f>
        <v>14</v>
      </c>
      <c r="B3968" s="1491" t="str">
        <f t="shared" si="592"/>
        <v>Implementation of Flexible Operation Solutions  (U-3,4)</v>
      </c>
      <c r="C3968" s="1488">
        <f t="shared" si="592"/>
        <v>0</v>
      </c>
      <c r="D3968" s="1413" t="str">
        <f t="shared" si="592"/>
        <v>-</v>
      </c>
      <c r="E3968" s="560">
        <f t="shared" si="592"/>
        <v>25</v>
      </c>
      <c r="F3968" s="1508">
        <f t="shared" si="586"/>
        <v>0</v>
      </c>
      <c r="G3968" s="1508">
        <f t="shared" si="587"/>
        <v>0</v>
      </c>
      <c r="H3968" s="1508">
        <f t="shared" si="588"/>
        <v>0</v>
      </c>
      <c r="I3968" s="1480">
        <v>0</v>
      </c>
      <c r="J3968" s="1480">
        <v>0</v>
      </c>
      <c r="K3968" s="1508"/>
      <c r="L3968" s="1508"/>
      <c r="M3968" s="1509">
        <f t="shared" si="589"/>
        <v>0</v>
      </c>
      <c r="N3968" s="1508">
        <f t="shared" si="590"/>
        <v>0</v>
      </c>
    </row>
    <row r="3969" spans="1:14" ht="15.5" outlineLevel="1" x14ac:dyDescent="0.25">
      <c r="A3969" s="1492">
        <f t="shared" si="592"/>
        <v>0</v>
      </c>
      <c r="B3969" s="1492" t="str">
        <f t="shared" si="592"/>
        <v>Implementation of Flexible Operation Solutions (U-3,4)</v>
      </c>
      <c r="C3969" s="1488">
        <f t="shared" si="592"/>
        <v>0</v>
      </c>
      <c r="D3969" s="1413" t="str">
        <f t="shared" si="592"/>
        <v>-</v>
      </c>
      <c r="E3969" s="560">
        <f t="shared" si="592"/>
        <v>25</v>
      </c>
      <c r="F3969" s="1508">
        <f t="shared" si="586"/>
        <v>25</v>
      </c>
      <c r="G3969" s="1508">
        <f t="shared" si="587"/>
        <v>25</v>
      </c>
      <c r="H3969" s="1508">
        <f t="shared" si="588"/>
        <v>0</v>
      </c>
      <c r="I3969" s="1480">
        <v>0</v>
      </c>
      <c r="J3969" s="1480">
        <v>0</v>
      </c>
      <c r="K3969" s="1508"/>
      <c r="L3969" s="1508"/>
      <c r="M3969" s="1509">
        <f t="shared" si="589"/>
        <v>0</v>
      </c>
      <c r="N3969" s="1508">
        <f t="shared" si="590"/>
        <v>0</v>
      </c>
    </row>
    <row r="3970" spans="1:14" ht="15.5" outlineLevel="1" x14ac:dyDescent="0.25">
      <c r="A3970" s="1486">
        <f t="shared" si="592"/>
        <v>15</v>
      </c>
      <c r="B3970" s="1491" t="str">
        <f t="shared" si="592"/>
        <v>DPR for ash utilisation cell- infrastructure development</v>
      </c>
      <c r="C3970" s="1488">
        <f t="shared" si="592"/>
        <v>0</v>
      </c>
      <c r="D3970" s="1413" t="str">
        <f t="shared" si="592"/>
        <v>-</v>
      </c>
      <c r="E3970" s="560">
        <f t="shared" si="592"/>
        <v>278.5</v>
      </c>
      <c r="F3970" s="1508">
        <f t="shared" si="586"/>
        <v>0</v>
      </c>
      <c r="G3970" s="1508">
        <f t="shared" si="587"/>
        <v>0</v>
      </c>
      <c r="H3970" s="1508">
        <f t="shared" si="588"/>
        <v>0</v>
      </c>
      <c r="I3970" s="1480">
        <v>0</v>
      </c>
      <c r="J3970" s="1480">
        <v>0</v>
      </c>
      <c r="K3970" s="1508"/>
      <c r="L3970" s="1508"/>
      <c r="M3970" s="1509">
        <f t="shared" si="589"/>
        <v>0</v>
      </c>
      <c r="N3970" s="1508">
        <f t="shared" si="590"/>
        <v>0</v>
      </c>
    </row>
    <row r="3971" spans="1:14" ht="31" outlineLevel="1" x14ac:dyDescent="0.25">
      <c r="A3971" s="1492">
        <f t="shared" si="592"/>
        <v>0</v>
      </c>
      <c r="B3971" s="1492" t="str">
        <f t="shared" si="592"/>
        <v>DPR for development of infrastructure for loading and dispatch of fly ash through Railway Wagons, CSTPS, Chandrapur</v>
      </c>
      <c r="C3971" s="1488">
        <f t="shared" si="592"/>
        <v>0</v>
      </c>
      <c r="D3971" s="1413" t="str">
        <f t="shared" si="592"/>
        <v>-</v>
      </c>
      <c r="E3971" s="560">
        <f t="shared" si="592"/>
        <v>268</v>
      </c>
      <c r="F3971" s="1508">
        <f t="shared" si="586"/>
        <v>268</v>
      </c>
      <c r="G3971" s="1508">
        <f t="shared" si="587"/>
        <v>268</v>
      </c>
      <c r="H3971" s="1508">
        <f t="shared" si="588"/>
        <v>0</v>
      </c>
      <c r="I3971" s="1480">
        <v>0</v>
      </c>
      <c r="J3971" s="1480">
        <v>0</v>
      </c>
      <c r="K3971" s="1508"/>
      <c r="L3971" s="1508"/>
      <c r="M3971" s="1509">
        <f t="shared" si="589"/>
        <v>0</v>
      </c>
      <c r="N3971" s="1508">
        <f t="shared" si="590"/>
        <v>0</v>
      </c>
    </row>
    <row r="3972" spans="1:14" ht="31" outlineLevel="1" x14ac:dyDescent="0.25">
      <c r="A3972" s="1492">
        <f t="shared" si="592"/>
        <v>0</v>
      </c>
      <c r="B3972" s="1492" t="str">
        <f t="shared" si="592"/>
        <v>Disposal of bottom ash for stowing of u/g mines of Chandrapur Area by installing direct pipeline from CSTPS to WCL</v>
      </c>
      <c r="C3972" s="1488">
        <f t="shared" si="592"/>
        <v>0</v>
      </c>
      <c r="D3972" s="1413" t="str">
        <f t="shared" si="592"/>
        <v>-</v>
      </c>
      <c r="E3972" s="560">
        <f t="shared" si="592"/>
        <v>10</v>
      </c>
      <c r="F3972" s="1508">
        <f t="shared" si="586"/>
        <v>10</v>
      </c>
      <c r="G3972" s="1508">
        <f t="shared" si="587"/>
        <v>10</v>
      </c>
      <c r="H3972" s="1508">
        <f t="shared" si="588"/>
        <v>0</v>
      </c>
      <c r="I3972" s="1480">
        <v>0</v>
      </c>
      <c r="J3972" s="1480">
        <v>0</v>
      </c>
      <c r="K3972" s="1508"/>
      <c r="L3972" s="1508"/>
      <c r="M3972" s="1509">
        <f t="shared" si="589"/>
        <v>0</v>
      </c>
      <c r="N3972" s="1508">
        <f t="shared" si="590"/>
        <v>0</v>
      </c>
    </row>
    <row r="3973" spans="1:14" ht="46.5" outlineLevel="1" x14ac:dyDescent="0.25">
      <c r="A3973" s="1492">
        <f t="shared" si="592"/>
        <v>0</v>
      </c>
      <c r="B3973" s="1492" t="str">
        <f t="shared" si="592"/>
        <v>Design, supply, installation, testing and commissioning of 100 MT 16X3 Mtr. electronic weigh bridge system, for weighment and dispatch of Pond Ash from Ash bund, CSTPS, Chandrapur</v>
      </c>
      <c r="C3973" s="1488">
        <f t="shared" si="592"/>
        <v>0</v>
      </c>
      <c r="D3973" s="1413" t="str">
        <f t="shared" si="592"/>
        <v>-</v>
      </c>
      <c r="E3973" s="560">
        <f t="shared" si="592"/>
        <v>0.5</v>
      </c>
      <c r="F3973" s="1508">
        <f t="shared" si="586"/>
        <v>0.5</v>
      </c>
      <c r="G3973" s="1508">
        <f t="shared" si="587"/>
        <v>0.5</v>
      </c>
      <c r="H3973" s="1508">
        <f t="shared" si="588"/>
        <v>0</v>
      </c>
      <c r="I3973" s="1480">
        <v>0</v>
      </c>
      <c r="J3973" s="1480">
        <v>0</v>
      </c>
      <c r="K3973" s="1508"/>
      <c r="L3973" s="1508"/>
      <c r="M3973" s="1509">
        <f t="shared" si="589"/>
        <v>0</v>
      </c>
      <c r="N3973" s="1508">
        <f t="shared" si="590"/>
        <v>0</v>
      </c>
    </row>
    <row r="3974" spans="1:14" ht="15.5" outlineLevel="1" x14ac:dyDescent="0.25">
      <c r="A3974" s="1486">
        <f t="shared" si="592"/>
        <v>16</v>
      </c>
      <c r="B3974" s="1491" t="str">
        <f t="shared" si="592"/>
        <v>Up-gradation Schemes for CAAQM Stations &amp; NABL Laboratory</v>
      </c>
      <c r="C3974" s="1488">
        <f t="shared" si="592"/>
        <v>0</v>
      </c>
      <c r="D3974" s="1413" t="str">
        <f t="shared" si="592"/>
        <v>-</v>
      </c>
      <c r="E3974" s="560">
        <f t="shared" si="592"/>
        <v>25</v>
      </c>
      <c r="F3974" s="1508">
        <f t="shared" si="586"/>
        <v>0</v>
      </c>
      <c r="G3974" s="1508">
        <f t="shared" si="587"/>
        <v>0</v>
      </c>
      <c r="H3974" s="1508">
        <f t="shared" si="588"/>
        <v>0</v>
      </c>
      <c r="I3974" s="1480">
        <v>0</v>
      </c>
      <c r="J3974" s="1480">
        <v>0</v>
      </c>
      <c r="K3974" s="1508"/>
      <c r="L3974" s="1508"/>
      <c r="M3974" s="1509">
        <f t="shared" si="589"/>
        <v>0</v>
      </c>
      <c r="N3974" s="1508">
        <f t="shared" si="590"/>
        <v>0</v>
      </c>
    </row>
    <row r="3975" spans="1:14" ht="15.5" outlineLevel="1" x14ac:dyDescent="0.25">
      <c r="A3975" s="1492">
        <f t="shared" si="592"/>
        <v>0</v>
      </c>
      <c r="B3975" s="1492" t="str">
        <f t="shared" si="592"/>
        <v>Up-gradation Schemes for CAAQM Stations &amp; NABL Laboratory</v>
      </c>
      <c r="C3975" s="1488">
        <f t="shared" si="592"/>
        <v>0</v>
      </c>
      <c r="D3975" s="1413" t="str">
        <f t="shared" si="592"/>
        <v>-</v>
      </c>
      <c r="E3975" s="560">
        <f t="shared" si="592"/>
        <v>25</v>
      </c>
      <c r="F3975" s="1508">
        <f t="shared" si="586"/>
        <v>12.5</v>
      </c>
      <c r="G3975" s="1508">
        <f t="shared" si="587"/>
        <v>12.5</v>
      </c>
      <c r="H3975" s="1508">
        <f t="shared" si="588"/>
        <v>0</v>
      </c>
      <c r="I3975" s="1480">
        <v>12.5</v>
      </c>
      <c r="J3975" s="1480">
        <v>12.5</v>
      </c>
      <c r="K3975" s="1508"/>
      <c r="L3975" s="1508"/>
      <c r="M3975" s="1509">
        <f t="shared" si="589"/>
        <v>12.5</v>
      </c>
      <c r="N3975" s="1508">
        <f t="shared" si="590"/>
        <v>0</v>
      </c>
    </row>
    <row r="3976" spans="1:14" ht="62" outlineLevel="1" x14ac:dyDescent="0.25">
      <c r="A3976" s="1486">
        <f t="shared" si="592"/>
        <v>17</v>
      </c>
      <c r="B3976" s="1491" t="str">
        <f t="shared" si="592"/>
        <v>Comprehensive Strategies for Environmental Sustainability at CSTPS: Implementing Zero Discharge Policies and Pollution Control Measures for Effective Water Body Management and Hazard Prevention</v>
      </c>
      <c r="C3976" s="1488">
        <f t="shared" si="592"/>
        <v>0</v>
      </c>
      <c r="D3976" s="1413" t="str">
        <f t="shared" si="592"/>
        <v>-</v>
      </c>
      <c r="E3976" s="560">
        <f t="shared" si="592"/>
        <v>27.6</v>
      </c>
      <c r="F3976" s="1508">
        <f t="shared" si="586"/>
        <v>0</v>
      </c>
      <c r="G3976" s="1508">
        <f t="shared" si="587"/>
        <v>0</v>
      </c>
      <c r="H3976" s="1508">
        <f t="shared" si="588"/>
        <v>0</v>
      </c>
      <c r="I3976" s="1480">
        <v>0</v>
      </c>
      <c r="J3976" s="1480">
        <v>0</v>
      </c>
      <c r="K3976" s="1508"/>
      <c r="L3976" s="1508"/>
      <c r="M3976" s="1509">
        <f t="shared" si="589"/>
        <v>0</v>
      </c>
      <c r="N3976" s="1508">
        <f t="shared" si="590"/>
        <v>0</v>
      </c>
    </row>
    <row r="3977" spans="1:14" ht="62" outlineLevel="1" x14ac:dyDescent="0.25">
      <c r="A3977" s="1492">
        <f t="shared" si="592"/>
        <v>0</v>
      </c>
      <c r="B3977" s="1492" t="str">
        <f t="shared" si="592"/>
        <v>Upgrading Settling tank near the Coal Reject Area: Installation of Settling Tank Liners and Enhanced Upgraded Pump House Systems to Prevent Acidic Water Seepage into the Ranvendli Nallah which connected to the ERAI River.</v>
      </c>
      <c r="C3977" s="1488">
        <f t="shared" si="592"/>
        <v>0</v>
      </c>
      <c r="D3977" s="1413" t="str">
        <f t="shared" si="592"/>
        <v>-</v>
      </c>
      <c r="E3977" s="560">
        <f t="shared" si="592"/>
        <v>8.9</v>
      </c>
      <c r="F3977" s="1508">
        <f t="shared" si="586"/>
        <v>8.9</v>
      </c>
      <c r="G3977" s="1508">
        <f t="shared" si="587"/>
        <v>8.9</v>
      </c>
      <c r="H3977" s="1508">
        <f t="shared" si="588"/>
        <v>0</v>
      </c>
      <c r="I3977" s="1480">
        <v>0</v>
      </c>
      <c r="J3977" s="1480">
        <v>0</v>
      </c>
      <c r="K3977" s="1508"/>
      <c r="L3977" s="1508"/>
      <c r="M3977" s="1509">
        <f t="shared" si="589"/>
        <v>0</v>
      </c>
      <c r="N3977" s="1508">
        <f t="shared" si="590"/>
        <v>0</v>
      </c>
    </row>
    <row r="3978" spans="1:14" ht="46.5" outlineLevel="1" x14ac:dyDescent="0.25">
      <c r="A3978" s="1492">
        <f t="shared" si="592"/>
        <v>0</v>
      </c>
      <c r="B3978" s="1492" t="str">
        <f t="shared" si="592"/>
        <v>Implementation of Zero Water Discharge Solutions: Design, Construction, and Commissioning of New Pump Houses for ETP 1 and ETP 2 to Enhance Capacity for Effective Water Recovery</v>
      </c>
      <c r="C3978" s="1488">
        <f t="shared" si="592"/>
        <v>0</v>
      </c>
      <c r="D3978" s="1413" t="str">
        <f t="shared" si="592"/>
        <v>-</v>
      </c>
      <c r="E3978" s="560">
        <f t="shared" si="592"/>
        <v>10.82</v>
      </c>
      <c r="F3978" s="1508">
        <f t="shared" si="586"/>
        <v>10.82</v>
      </c>
      <c r="G3978" s="1508">
        <f t="shared" si="587"/>
        <v>10.82</v>
      </c>
      <c r="H3978" s="1508">
        <f t="shared" si="588"/>
        <v>0</v>
      </c>
      <c r="I3978" s="1480">
        <v>0</v>
      </c>
      <c r="J3978" s="1480">
        <v>0</v>
      </c>
      <c r="K3978" s="1508"/>
      <c r="L3978" s="1508"/>
      <c r="M3978" s="1509">
        <f t="shared" si="589"/>
        <v>0</v>
      </c>
      <c r="N3978" s="1508">
        <f t="shared" si="590"/>
        <v>0</v>
      </c>
    </row>
    <row r="3979" spans="1:14" ht="62" outlineLevel="1" x14ac:dyDescent="0.25">
      <c r="A3979" s="1492">
        <f t="shared" si="592"/>
        <v>0</v>
      </c>
      <c r="B3979" s="1492" t="str">
        <f t="shared" si="592"/>
        <v>Underground Ash Disposal Pipeline Management: Design, Construction, and Installation of Filter Beds Along Ash Disposal Pipelines for Improved Environmental Protection of Water Bodies from Ingress into the Erai River</v>
      </c>
      <c r="C3979" s="1488">
        <f t="shared" si="592"/>
        <v>0</v>
      </c>
      <c r="D3979" s="1413" t="str">
        <f t="shared" si="592"/>
        <v>-</v>
      </c>
      <c r="E3979" s="560">
        <f t="shared" si="592"/>
        <v>7.88</v>
      </c>
      <c r="F3979" s="1508">
        <f t="shared" si="586"/>
        <v>7.88</v>
      </c>
      <c r="G3979" s="1508">
        <f t="shared" si="587"/>
        <v>7.88</v>
      </c>
      <c r="H3979" s="1508">
        <f t="shared" si="588"/>
        <v>0</v>
      </c>
      <c r="I3979" s="1480">
        <v>0</v>
      </c>
      <c r="J3979" s="1480">
        <v>0</v>
      </c>
      <c r="K3979" s="1508"/>
      <c r="L3979" s="1508"/>
      <c r="M3979" s="1509">
        <f t="shared" si="589"/>
        <v>0</v>
      </c>
      <c r="N3979" s="1508">
        <f t="shared" si="590"/>
        <v>0</v>
      </c>
    </row>
    <row r="3980" spans="1:14" ht="15.5" outlineLevel="1" x14ac:dyDescent="0.25">
      <c r="A3980" s="1486">
        <f t="shared" si="592"/>
        <v>18</v>
      </c>
      <c r="B3980" s="1491" t="str">
        <f t="shared" si="592"/>
        <v>Ash bund peripheral road</v>
      </c>
      <c r="C3980" s="1488">
        <f t="shared" si="592"/>
        <v>0</v>
      </c>
      <c r="D3980" s="1413" t="str">
        <f t="shared" si="592"/>
        <v>-</v>
      </c>
      <c r="E3980" s="560">
        <f t="shared" si="592"/>
        <v>120</v>
      </c>
      <c r="F3980" s="1508">
        <f t="shared" si="586"/>
        <v>0</v>
      </c>
      <c r="G3980" s="1508">
        <f t="shared" si="587"/>
        <v>0</v>
      </c>
      <c r="H3980" s="1508">
        <f t="shared" si="588"/>
        <v>0</v>
      </c>
      <c r="I3980" s="1480">
        <v>0</v>
      </c>
      <c r="J3980" s="1480">
        <v>0</v>
      </c>
      <c r="K3980" s="1508"/>
      <c r="L3980" s="1508"/>
      <c r="M3980" s="1509">
        <f t="shared" si="589"/>
        <v>0</v>
      </c>
      <c r="N3980" s="1508">
        <f t="shared" si="590"/>
        <v>0</v>
      </c>
    </row>
    <row r="3981" spans="1:14" ht="15.5" outlineLevel="1" x14ac:dyDescent="0.25">
      <c r="A3981" s="1492">
        <f t="shared" si="592"/>
        <v>0</v>
      </c>
      <c r="B3981" s="1492" t="str">
        <f t="shared" si="592"/>
        <v>Ash bund peripheral road</v>
      </c>
      <c r="C3981" s="1488">
        <f t="shared" si="592"/>
        <v>0</v>
      </c>
      <c r="D3981" s="1413" t="str">
        <f t="shared" si="592"/>
        <v>-</v>
      </c>
      <c r="E3981" s="560">
        <f t="shared" si="592"/>
        <v>120</v>
      </c>
      <c r="F3981" s="1508">
        <f t="shared" si="586"/>
        <v>0</v>
      </c>
      <c r="G3981" s="1508">
        <f t="shared" si="587"/>
        <v>0</v>
      </c>
      <c r="H3981" s="1508">
        <f t="shared" si="588"/>
        <v>0</v>
      </c>
      <c r="I3981" s="1480">
        <v>60</v>
      </c>
      <c r="J3981" s="1480">
        <v>60</v>
      </c>
      <c r="K3981" s="1508"/>
      <c r="L3981" s="1508"/>
      <c r="M3981" s="1509">
        <f t="shared" si="589"/>
        <v>60</v>
      </c>
      <c r="N3981" s="1508">
        <f t="shared" si="590"/>
        <v>0</v>
      </c>
    </row>
    <row r="3982" spans="1:14" ht="15.5" outlineLevel="1" x14ac:dyDescent="0.25">
      <c r="A3982" s="1486">
        <f t="shared" si="592"/>
        <v>19</v>
      </c>
      <c r="B3982" s="1491" t="str">
        <f t="shared" si="592"/>
        <v>Construction of peripheral nallah</v>
      </c>
      <c r="C3982" s="1488">
        <f t="shared" si="592"/>
        <v>0</v>
      </c>
      <c r="D3982" s="1413" t="str">
        <f t="shared" si="592"/>
        <v>-</v>
      </c>
      <c r="E3982" s="560">
        <f t="shared" si="592"/>
        <v>100</v>
      </c>
      <c r="F3982" s="1508">
        <f t="shared" si="586"/>
        <v>0</v>
      </c>
      <c r="G3982" s="1508">
        <f t="shared" si="587"/>
        <v>0</v>
      </c>
      <c r="H3982" s="1508">
        <f t="shared" si="588"/>
        <v>0</v>
      </c>
      <c r="I3982" s="1480">
        <v>0</v>
      </c>
      <c r="J3982" s="1480">
        <v>0</v>
      </c>
      <c r="K3982" s="1508"/>
      <c r="L3982" s="1508"/>
      <c r="M3982" s="1509">
        <f t="shared" si="589"/>
        <v>0</v>
      </c>
      <c r="N3982" s="1508">
        <f t="shared" si="590"/>
        <v>0</v>
      </c>
    </row>
    <row r="3983" spans="1:14" ht="15.5" outlineLevel="1" x14ac:dyDescent="0.25">
      <c r="A3983" s="1492">
        <f t="shared" si="592"/>
        <v>0</v>
      </c>
      <c r="B3983" s="1492" t="str">
        <f t="shared" si="592"/>
        <v>Construction of peripheral nallah</v>
      </c>
      <c r="C3983" s="1488">
        <f t="shared" si="592"/>
        <v>0</v>
      </c>
      <c r="D3983" s="1413" t="str">
        <f t="shared" si="592"/>
        <v>-</v>
      </c>
      <c r="E3983" s="560">
        <f t="shared" si="592"/>
        <v>100</v>
      </c>
      <c r="F3983" s="1508">
        <f t="shared" si="586"/>
        <v>0</v>
      </c>
      <c r="G3983" s="1508">
        <f t="shared" si="587"/>
        <v>0</v>
      </c>
      <c r="H3983" s="1508">
        <f t="shared" si="588"/>
        <v>0</v>
      </c>
      <c r="I3983" s="1480">
        <v>50</v>
      </c>
      <c r="J3983" s="1480">
        <v>50</v>
      </c>
      <c r="K3983" s="1508"/>
      <c r="L3983" s="1508"/>
      <c r="M3983" s="1509">
        <f t="shared" si="589"/>
        <v>50</v>
      </c>
      <c r="N3983" s="1508">
        <f t="shared" si="590"/>
        <v>0</v>
      </c>
    </row>
    <row r="3984" spans="1:14" ht="15.5" outlineLevel="1" x14ac:dyDescent="0.25">
      <c r="A3984" s="1486">
        <f t="shared" ref="A3984:E3999" si="593">A3314</f>
        <v>20</v>
      </c>
      <c r="B3984" s="1491" t="str">
        <f t="shared" si="593"/>
        <v>Construction of concrete Roads with drains at colony</v>
      </c>
      <c r="C3984" s="1488">
        <f t="shared" si="593"/>
        <v>0</v>
      </c>
      <c r="D3984" s="1413" t="str">
        <f t="shared" si="593"/>
        <v>-</v>
      </c>
      <c r="E3984" s="560">
        <f t="shared" si="593"/>
        <v>110</v>
      </c>
      <c r="F3984" s="1508">
        <f t="shared" si="586"/>
        <v>0</v>
      </c>
      <c r="G3984" s="1508">
        <f t="shared" si="587"/>
        <v>0</v>
      </c>
      <c r="H3984" s="1508">
        <f t="shared" si="588"/>
        <v>0</v>
      </c>
      <c r="I3984" s="1480">
        <v>0</v>
      </c>
      <c r="J3984" s="1480">
        <v>0</v>
      </c>
      <c r="K3984" s="1508"/>
      <c r="L3984" s="1508"/>
      <c r="M3984" s="1509">
        <f t="shared" si="589"/>
        <v>0</v>
      </c>
      <c r="N3984" s="1508">
        <f t="shared" si="590"/>
        <v>0</v>
      </c>
    </row>
    <row r="3985" spans="1:14" ht="15.5" outlineLevel="1" x14ac:dyDescent="0.25">
      <c r="A3985" s="1492">
        <f t="shared" si="593"/>
        <v>0</v>
      </c>
      <c r="B3985" s="1492" t="str">
        <f t="shared" si="593"/>
        <v>Construction of concrete Roads with drains at colony</v>
      </c>
      <c r="C3985" s="1488">
        <f t="shared" si="593"/>
        <v>0</v>
      </c>
      <c r="D3985" s="1413" t="str">
        <f t="shared" si="593"/>
        <v>-</v>
      </c>
      <c r="E3985" s="560">
        <f t="shared" si="593"/>
        <v>110</v>
      </c>
      <c r="F3985" s="1508">
        <f t="shared" si="586"/>
        <v>0</v>
      </c>
      <c r="G3985" s="1508">
        <f t="shared" si="587"/>
        <v>0</v>
      </c>
      <c r="H3985" s="1508">
        <f t="shared" si="588"/>
        <v>0</v>
      </c>
      <c r="I3985" s="1480">
        <v>55</v>
      </c>
      <c r="J3985" s="1480">
        <v>55</v>
      </c>
      <c r="K3985" s="1508"/>
      <c r="L3985" s="1508"/>
      <c r="M3985" s="1509">
        <f t="shared" si="589"/>
        <v>55</v>
      </c>
      <c r="N3985" s="1508">
        <f t="shared" si="590"/>
        <v>0</v>
      </c>
    </row>
    <row r="3986" spans="1:14" ht="15.5" outlineLevel="1" x14ac:dyDescent="0.25">
      <c r="A3986" s="1486">
        <f t="shared" si="593"/>
        <v>21</v>
      </c>
      <c r="B3986" s="1491" t="str">
        <f t="shared" si="593"/>
        <v>Fugitive emisson reduction techniques</v>
      </c>
      <c r="C3986" s="1488">
        <f t="shared" si="593"/>
        <v>0</v>
      </c>
      <c r="D3986" s="1413" t="str">
        <f t="shared" si="593"/>
        <v>-</v>
      </c>
      <c r="E3986" s="560">
        <f t="shared" si="593"/>
        <v>50</v>
      </c>
      <c r="F3986" s="1508">
        <f t="shared" si="586"/>
        <v>0</v>
      </c>
      <c r="G3986" s="1508">
        <f t="shared" si="587"/>
        <v>0</v>
      </c>
      <c r="H3986" s="1508">
        <f t="shared" si="588"/>
        <v>0</v>
      </c>
      <c r="I3986" s="1480">
        <v>0</v>
      </c>
      <c r="J3986" s="1480">
        <v>0</v>
      </c>
      <c r="K3986" s="1508"/>
      <c r="L3986" s="1508"/>
      <c r="M3986" s="1509">
        <f t="shared" si="589"/>
        <v>0</v>
      </c>
      <c r="N3986" s="1508">
        <f t="shared" si="590"/>
        <v>0</v>
      </c>
    </row>
    <row r="3987" spans="1:14" ht="15.5" outlineLevel="1" x14ac:dyDescent="0.25">
      <c r="A3987" s="1492">
        <f t="shared" si="593"/>
        <v>0</v>
      </c>
      <c r="B3987" s="1492" t="str">
        <f t="shared" si="593"/>
        <v>Fugitive emisson reduction schemes</v>
      </c>
      <c r="C3987" s="1488">
        <f t="shared" si="593"/>
        <v>0</v>
      </c>
      <c r="D3987" s="1413" t="str">
        <f t="shared" si="593"/>
        <v>-</v>
      </c>
      <c r="E3987" s="560">
        <f t="shared" si="593"/>
        <v>50</v>
      </c>
      <c r="F3987" s="1508">
        <f t="shared" si="586"/>
        <v>0</v>
      </c>
      <c r="G3987" s="1508">
        <f t="shared" si="587"/>
        <v>0</v>
      </c>
      <c r="H3987" s="1508">
        <f t="shared" si="588"/>
        <v>0</v>
      </c>
      <c r="I3987" s="1480">
        <v>25</v>
      </c>
      <c r="J3987" s="1480">
        <v>25</v>
      </c>
      <c r="K3987" s="1508"/>
      <c r="L3987" s="1508"/>
      <c r="M3987" s="1509">
        <f t="shared" si="589"/>
        <v>25</v>
      </c>
      <c r="N3987" s="1508">
        <f t="shared" si="590"/>
        <v>0</v>
      </c>
    </row>
    <row r="3988" spans="1:14" ht="15.5" outlineLevel="1" x14ac:dyDescent="0.25">
      <c r="A3988" s="1453">
        <f t="shared" si="593"/>
        <v>0</v>
      </c>
      <c r="B3988" s="96">
        <f t="shared" si="593"/>
        <v>0</v>
      </c>
      <c r="C3988" s="1453">
        <f t="shared" si="593"/>
        <v>0</v>
      </c>
      <c r="D3988" s="1503" t="str">
        <f t="shared" si="593"/>
        <v>-</v>
      </c>
      <c r="E3988" s="560">
        <f t="shared" si="593"/>
        <v>0</v>
      </c>
      <c r="F3988" s="1508">
        <f t="shared" si="586"/>
        <v>0</v>
      </c>
      <c r="G3988" s="1508">
        <f t="shared" si="587"/>
        <v>0</v>
      </c>
      <c r="H3988" s="1508">
        <f t="shared" si="588"/>
        <v>0</v>
      </c>
      <c r="I3988" s="1480">
        <v>0</v>
      </c>
      <c r="J3988" s="1480">
        <v>0</v>
      </c>
      <c r="K3988" s="1508"/>
      <c r="L3988" s="1508"/>
      <c r="M3988" s="1509">
        <f t="shared" si="589"/>
        <v>0</v>
      </c>
      <c r="N3988" s="1508">
        <f t="shared" si="590"/>
        <v>0</v>
      </c>
    </row>
    <row r="3989" spans="1:14" ht="15.5" outlineLevel="1" x14ac:dyDescent="0.25">
      <c r="A3989" s="1488">
        <f t="shared" si="593"/>
        <v>0</v>
      </c>
      <c r="B3989" s="1492">
        <f t="shared" si="593"/>
        <v>0</v>
      </c>
      <c r="C3989" s="1488">
        <f t="shared" si="593"/>
        <v>0</v>
      </c>
      <c r="D3989" s="1413" t="str">
        <f t="shared" si="593"/>
        <v>-</v>
      </c>
      <c r="E3989" s="560">
        <f t="shared" si="593"/>
        <v>0</v>
      </c>
      <c r="F3989" s="1508">
        <f t="shared" si="586"/>
        <v>0</v>
      </c>
      <c r="G3989" s="1508">
        <f t="shared" si="587"/>
        <v>0</v>
      </c>
      <c r="H3989" s="1508">
        <f t="shared" si="588"/>
        <v>0</v>
      </c>
      <c r="I3989" s="1480">
        <v>0</v>
      </c>
      <c r="J3989" s="1480">
        <v>0</v>
      </c>
      <c r="K3989" s="1508"/>
      <c r="L3989" s="1508"/>
      <c r="M3989" s="1509">
        <f t="shared" si="589"/>
        <v>0</v>
      </c>
      <c r="N3989" s="1508">
        <f t="shared" si="590"/>
        <v>0</v>
      </c>
    </row>
    <row r="3990" spans="1:14" ht="15.5" outlineLevel="1" x14ac:dyDescent="0.25">
      <c r="A3990" s="1505">
        <f t="shared" si="593"/>
        <v>0</v>
      </c>
      <c r="B3990" s="1492">
        <f t="shared" si="593"/>
        <v>0</v>
      </c>
      <c r="C3990" s="1505">
        <f t="shared" si="593"/>
        <v>0</v>
      </c>
      <c r="D3990" s="1503" t="str">
        <f t="shared" si="593"/>
        <v>-</v>
      </c>
      <c r="E3990" s="560">
        <f t="shared" si="593"/>
        <v>0</v>
      </c>
      <c r="F3990" s="1508">
        <f t="shared" si="586"/>
        <v>0</v>
      </c>
      <c r="G3990" s="1508">
        <f t="shared" si="587"/>
        <v>0</v>
      </c>
      <c r="H3990" s="1508">
        <f t="shared" si="588"/>
        <v>0</v>
      </c>
      <c r="I3990" s="1480">
        <v>0</v>
      </c>
      <c r="J3990" s="1480">
        <v>0</v>
      </c>
      <c r="K3990" s="1508"/>
      <c r="L3990" s="1508"/>
      <c r="M3990" s="1509">
        <f t="shared" si="589"/>
        <v>0</v>
      </c>
      <c r="N3990" s="1508">
        <f t="shared" si="590"/>
        <v>0</v>
      </c>
    </row>
    <row r="3991" spans="1:14" ht="15.5" outlineLevel="1" x14ac:dyDescent="0.25">
      <c r="A3991" s="1453">
        <f t="shared" si="593"/>
        <v>0</v>
      </c>
      <c r="B3991" s="1389" t="str">
        <f t="shared" si="593"/>
        <v>B) Non-DPR Schemes</v>
      </c>
      <c r="C3991" s="1453">
        <f t="shared" si="593"/>
        <v>0</v>
      </c>
      <c r="D3991" s="1503" t="str">
        <f t="shared" si="593"/>
        <v>-</v>
      </c>
      <c r="E3991" s="560">
        <f t="shared" si="593"/>
        <v>0</v>
      </c>
      <c r="F3991" s="1508">
        <f t="shared" si="586"/>
        <v>0</v>
      </c>
      <c r="G3991" s="1508">
        <f t="shared" si="587"/>
        <v>0</v>
      </c>
      <c r="H3991" s="1508">
        <f t="shared" si="588"/>
        <v>0</v>
      </c>
      <c r="I3991" s="1480">
        <v>0</v>
      </c>
      <c r="J3991" s="1480">
        <v>0</v>
      </c>
      <c r="K3991" s="1508"/>
      <c r="L3991" s="1508"/>
      <c r="M3991" s="1509">
        <f t="shared" si="589"/>
        <v>0</v>
      </c>
      <c r="N3991" s="1508">
        <f t="shared" si="590"/>
        <v>0</v>
      </c>
    </row>
    <row r="3992" spans="1:14" ht="15.5" outlineLevel="1" x14ac:dyDescent="0.25">
      <c r="A3992" s="1488">
        <f t="shared" si="593"/>
        <v>1</v>
      </c>
      <c r="B3992" s="1492" t="str">
        <f t="shared" si="593"/>
        <v>GENERAL ASSET</v>
      </c>
      <c r="C3992" s="1488">
        <f t="shared" si="593"/>
        <v>0</v>
      </c>
      <c r="D3992" s="1413" t="str">
        <f t="shared" si="593"/>
        <v>-</v>
      </c>
      <c r="E3992" s="560">
        <f t="shared" si="593"/>
        <v>20</v>
      </c>
      <c r="F3992" s="1508">
        <f t="shared" si="586"/>
        <v>8.3761807089999998</v>
      </c>
      <c r="G3992" s="1508">
        <f t="shared" si="587"/>
        <v>8.3761807089999998</v>
      </c>
      <c r="H3992" s="1508">
        <f t="shared" si="588"/>
        <v>0</v>
      </c>
      <c r="I3992" s="1480">
        <v>0</v>
      </c>
      <c r="J3992" s="1480">
        <v>0</v>
      </c>
      <c r="K3992" s="1508"/>
      <c r="L3992" s="1508"/>
      <c r="M3992" s="1509">
        <f t="shared" si="589"/>
        <v>0</v>
      </c>
      <c r="N3992" s="1508">
        <f t="shared" si="590"/>
        <v>0</v>
      </c>
    </row>
    <row r="3993" spans="1:14" ht="15.5" outlineLevel="1" x14ac:dyDescent="0.25">
      <c r="A3993" s="1488">
        <f t="shared" si="593"/>
        <v>2</v>
      </c>
      <c r="B3993" s="1492" t="str">
        <f t="shared" si="593"/>
        <v>M/S GEO-MILLER arbitration amount</v>
      </c>
      <c r="C3993" s="1488">
        <f t="shared" si="593"/>
        <v>0</v>
      </c>
      <c r="D3993" s="1413" t="str">
        <f t="shared" si="593"/>
        <v>-</v>
      </c>
      <c r="E3993" s="560">
        <f t="shared" si="593"/>
        <v>1.3764700000000001</v>
      </c>
      <c r="F3993" s="1508">
        <f t="shared" si="586"/>
        <v>0.68823500000000004</v>
      </c>
      <c r="G3993" s="1508">
        <f t="shared" si="587"/>
        <v>0.68823500000000004</v>
      </c>
      <c r="H3993" s="1508">
        <f t="shared" si="588"/>
        <v>0</v>
      </c>
      <c r="I3993" s="1480">
        <v>0</v>
      </c>
      <c r="J3993" s="1480">
        <v>0</v>
      </c>
      <c r="K3993" s="1508"/>
      <c r="L3993" s="1508"/>
      <c r="M3993" s="1509">
        <f t="shared" si="589"/>
        <v>0</v>
      </c>
      <c r="N3993" s="1508">
        <f t="shared" si="590"/>
        <v>0</v>
      </c>
    </row>
    <row r="3994" spans="1:14" ht="15.5" outlineLevel="1" x14ac:dyDescent="0.25">
      <c r="A3994" s="1488">
        <f t="shared" si="593"/>
        <v>3</v>
      </c>
      <c r="B3994" s="1492" t="str">
        <f t="shared" si="593"/>
        <v xml:space="preserve"> CM Reject Handling Sys Macawber Breakey</v>
      </c>
      <c r="C3994" s="1488">
        <f t="shared" si="593"/>
        <v>0</v>
      </c>
      <c r="D3994" s="1413" t="str">
        <f t="shared" si="593"/>
        <v>-</v>
      </c>
      <c r="E3994" s="560">
        <f t="shared" si="593"/>
        <v>3.1821571</v>
      </c>
      <c r="F3994" s="1508">
        <f t="shared" si="586"/>
        <v>0</v>
      </c>
      <c r="G3994" s="1508">
        <f t="shared" si="587"/>
        <v>0</v>
      </c>
      <c r="H3994" s="1508">
        <f t="shared" si="588"/>
        <v>0</v>
      </c>
      <c r="I3994" s="1480">
        <v>0</v>
      </c>
      <c r="J3994" s="1480">
        <v>0</v>
      </c>
      <c r="K3994" s="1508"/>
      <c r="L3994" s="1508"/>
      <c r="M3994" s="1509">
        <f t="shared" si="589"/>
        <v>0</v>
      </c>
      <c r="N3994" s="1508">
        <f t="shared" si="590"/>
        <v>0</v>
      </c>
    </row>
    <row r="3995" spans="1:14" ht="62" outlineLevel="1" x14ac:dyDescent="0.25">
      <c r="A3995" s="1488">
        <f t="shared" si="593"/>
        <v>4</v>
      </c>
      <c r="B3995" s="1492" t="str">
        <f t="shared" si="593"/>
        <v xml:space="preserve">Work of Design, Engineering, manufacturing, supply, erection &amp;  commissioning of interconnection conveyor belt Elecon stack yard of CHPA of U-3 &amp; U-4 to Belt Conveyor 105-A/B at CHP-B of Unit 5, 6 &amp; 7 at CSTPS Chandrapur ((Non-DPR) </v>
      </c>
      <c r="C3995" s="1488">
        <f t="shared" si="593"/>
        <v>0</v>
      </c>
      <c r="D3995" s="1413" t="str">
        <f t="shared" si="593"/>
        <v>-</v>
      </c>
      <c r="E3995" s="560">
        <f t="shared" si="593"/>
        <v>4.8622366000000001</v>
      </c>
      <c r="F3995" s="1508">
        <f t="shared" si="586"/>
        <v>4.8622366000000001</v>
      </c>
      <c r="G3995" s="1508">
        <f t="shared" si="587"/>
        <v>4.8622366000000001</v>
      </c>
      <c r="H3995" s="1508">
        <f t="shared" si="588"/>
        <v>0</v>
      </c>
      <c r="I3995" s="1480">
        <v>0</v>
      </c>
      <c r="J3995" s="1480">
        <v>0</v>
      </c>
      <c r="K3995" s="1508"/>
      <c r="L3995" s="1508"/>
      <c r="M3995" s="1509">
        <f t="shared" si="589"/>
        <v>0</v>
      </c>
      <c r="N3995" s="1508">
        <f t="shared" si="590"/>
        <v>0</v>
      </c>
    </row>
    <row r="3996" spans="1:14" ht="46.5" outlineLevel="1" x14ac:dyDescent="0.25">
      <c r="A3996" s="1488">
        <f t="shared" si="593"/>
        <v>5</v>
      </c>
      <c r="B3996" s="1492" t="str">
        <f t="shared" si="593"/>
        <v>Non Dpr The Work of Upgradation/Renovation of Track Hopper Unloading Conveyor system with allied works in CHPB of Unit-5, 6&amp;7 at CSTPS Chandrapur</v>
      </c>
      <c r="C3996" s="1488">
        <f t="shared" si="593"/>
        <v>0</v>
      </c>
      <c r="D3996" s="1413" t="str">
        <f t="shared" si="593"/>
        <v>-</v>
      </c>
      <c r="E3996" s="560">
        <f t="shared" si="593"/>
        <v>4.7420485000000001</v>
      </c>
      <c r="F3996" s="1508">
        <f t="shared" si="586"/>
        <v>4.7420485000000001</v>
      </c>
      <c r="G3996" s="1508">
        <f t="shared" si="587"/>
        <v>4.7420485000000001</v>
      </c>
      <c r="H3996" s="1508">
        <f t="shared" si="588"/>
        <v>0</v>
      </c>
      <c r="I3996" s="1480">
        <v>0</v>
      </c>
      <c r="J3996" s="1480">
        <v>0</v>
      </c>
      <c r="K3996" s="1508"/>
      <c r="L3996" s="1508"/>
      <c r="M3996" s="1509">
        <f t="shared" si="589"/>
        <v>0</v>
      </c>
      <c r="N3996" s="1508">
        <f t="shared" si="590"/>
        <v>0</v>
      </c>
    </row>
    <row r="3997" spans="1:14" ht="46.5" outlineLevel="1" x14ac:dyDescent="0.25">
      <c r="A3997" s="1488">
        <f t="shared" si="593"/>
        <v>6</v>
      </c>
      <c r="B3997" s="1492" t="str">
        <f t="shared" si="593"/>
        <v>Non DPR scheme for “The Work of Upgradation of Belt Conveyor 107A/B by replacement of conveyor deck structure with allied works in CHPB of Unit-5, 6&amp;7 at CSTPS Chandrapur</v>
      </c>
      <c r="C3997" s="1488">
        <f t="shared" si="593"/>
        <v>0</v>
      </c>
      <c r="D3997" s="1413" t="str">
        <f t="shared" si="593"/>
        <v>-</v>
      </c>
      <c r="E3997" s="560">
        <f t="shared" si="593"/>
        <v>4.51</v>
      </c>
      <c r="F3997" s="1508">
        <f t="shared" si="586"/>
        <v>4.5085439999999997</v>
      </c>
      <c r="G3997" s="1508">
        <f t="shared" si="587"/>
        <v>4.5085439999999997</v>
      </c>
      <c r="H3997" s="1508">
        <f t="shared" si="588"/>
        <v>0</v>
      </c>
      <c r="I3997" s="1480">
        <v>0</v>
      </c>
      <c r="J3997" s="1480">
        <v>0</v>
      </c>
      <c r="K3997" s="1508"/>
      <c r="L3997" s="1508"/>
      <c r="M3997" s="1509">
        <f t="shared" si="589"/>
        <v>0</v>
      </c>
      <c r="N3997" s="1508">
        <f t="shared" si="590"/>
        <v>0</v>
      </c>
    </row>
    <row r="3998" spans="1:14" ht="46.5" outlineLevel="1" x14ac:dyDescent="0.25">
      <c r="A3998" s="1488">
        <f t="shared" si="593"/>
        <v>7</v>
      </c>
      <c r="B3998" s="1492" t="str">
        <f t="shared" si="593"/>
        <v>Non-DPR: Supply, installation &amp; commissioning of oil cooled over band magnetic separators for various conveyor belts of CHP-B &amp; CHP-C, CSTPS, Chandrapur</v>
      </c>
      <c r="C3998" s="1488">
        <f t="shared" si="593"/>
        <v>0</v>
      </c>
      <c r="D3998" s="1413" t="str">
        <f t="shared" si="593"/>
        <v>-</v>
      </c>
      <c r="E3998" s="560">
        <f t="shared" si="593"/>
        <v>3.45</v>
      </c>
      <c r="F3998" s="1508">
        <f t="shared" si="586"/>
        <v>3.4450571999999999</v>
      </c>
      <c r="G3998" s="1508">
        <f t="shared" si="587"/>
        <v>3.4450571999999999</v>
      </c>
      <c r="H3998" s="1508">
        <f t="shared" si="588"/>
        <v>0</v>
      </c>
      <c r="I3998" s="1480">
        <v>0</v>
      </c>
      <c r="J3998" s="1480">
        <v>0</v>
      </c>
      <c r="K3998" s="1508"/>
      <c r="L3998" s="1508"/>
      <c r="M3998" s="1509">
        <f t="shared" si="589"/>
        <v>0</v>
      </c>
      <c r="N3998" s="1508">
        <f t="shared" si="590"/>
        <v>0</v>
      </c>
    </row>
    <row r="3999" spans="1:14" ht="62" outlineLevel="1" x14ac:dyDescent="0.25">
      <c r="A3999" s="1488">
        <f t="shared" si="593"/>
        <v>8</v>
      </c>
      <c r="B3999" s="1492" t="str">
        <f t="shared" si="593"/>
        <v>Various preventive works to avoid Tiger movement and animals in CSTPS colony premises Up-gradation od existing periphery compound wall by avoiding barbed wire and concertina fencing and allied works in the colony at CSTPS, Chandrapur</v>
      </c>
      <c r="C3999" s="1488">
        <f t="shared" si="593"/>
        <v>0</v>
      </c>
      <c r="D3999" s="1413" t="str">
        <f t="shared" si="593"/>
        <v>-</v>
      </c>
      <c r="E3999" s="560">
        <f t="shared" si="593"/>
        <v>6.41</v>
      </c>
      <c r="F3999" s="1508">
        <f t="shared" si="586"/>
        <v>3.6119999999999997</v>
      </c>
      <c r="G3999" s="1508">
        <f t="shared" si="587"/>
        <v>3.6119999999999997</v>
      </c>
      <c r="H3999" s="1508">
        <f t="shared" si="588"/>
        <v>0</v>
      </c>
      <c r="I3999" s="1480">
        <v>0</v>
      </c>
      <c r="J3999" s="1480">
        <v>0</v>
      </c>
      <c r="K3999" s="1508"/>
      <c r="L3999" s="1508"/>
      <c r="M3999" s="1509">
        <f t="shared" si="589"/>
        <v>0</v>
      </c>
      <c r="N3999" s="1508">
        <f t="shared" si="590"/>
        <v>0</v>
      </c>
    </row>
    <row r="4000" spans="1:14" ht="46.5" outlineLevel="1" x14ac:dyDescent="0.25">
      <c r="A4000" s="1488">
        <f t="shared" ref="A4000:E4015" si="594">A3330</f>
        <v>9</v>
      </c>
      <c r="B4000" s="1492" t="str">
        <f t="shared" si="594"/>
        <v>Repairing, revamping and modification of existing alarm and protection system from fire and providing rapid extinguishing CA system at 500 MW Unit # 5 &amp; 6 CSTPS</v>
      </c>
      <c r="C4000" s="1488">
        <f t="shared" si="594"/>
        <v>0</v>
      </c>
      <c r="D4000" s="1413" t="str">
        <f t="shared" si="594"/>
        <v>-</v>
      </c>
      <c r="E4000" s="560">
        <f t="shared" si="594"/>
        <v>7.95</v>
      </c>
      <c r="F4000" s="1508">
        <f t="shared" ref="F4000:F4024" si="595">F3330+I3330</f>
        <v>7.9500000000000011</v>
      </c>
      <c r="G4000" s="1508">
        <f t="shared" ref="G4000:G4024" si="596">G3330+M3330</f>
        <v>7.9500000000000011</v>
      </c>
      <c r="H4000" s="1508">
        <f t="shared" si="588"/>
        <v>0</v>
      </c>
      <c r="I4000" s="1480">
        <v>0</v>
      </c>
      <c r="J4000" s="1480">
        <v>0</v>
      </c>
      <c r="K4000" s="1508"/>
      <c r="L4000" s="1508"/>
      <c r="M4000" s="1509">
        <f t="shared" si="589"/>
        <v>0</v>
      </c>
      <c r="N4000" s="1508">
        <f t="shared" si="590"/>
        <v>0</v>
      </c>
    </row>
    <row r="4001" spans="1:14" ht="62" outlineLevel="1" x14ac:dyDescent="0.25">
      <c r="A4001" s="1488">
        <f t="shared" si="594"/>
        <v>10</v>
      </c>
      <c r="B4001" s="1506" t="str">
        <f t="shared" si="594"/>
        <v>NON-Detailed Project Report for the Work of Upgradation/Renovation of Crusher House of CHPB of Unit-5, 6&amp;7 at CSTPS Chandrapur (benefit U-8,9 by short conveyor coal stacking in catering emergency)</v>
      </c>
      <c r="C4001" s="1488">
        <f t="shared" si="594"/>
        <v>0</v>
      </c>
      <c r="D4001" s="1413" t="str">
        <f t="shared" si="594"/>
        <v>-</v>
      </c>
      <c r="E4001" s="560">
        <f t="shared" si="594"/>
        <v>4.7</v>
      </c>
      <c r="F4001" s="1508">
        <f t="shared" si="595"/>
        <v>1.8274607199999999</v>
      </c>
      <c r="G4001" s="1508">
        <f t="shared" si="596"/>
        <v>1.8274607199999999</v>
      </c>
      <c r="H4001" s="1508">
        <f t="shared" si="588"/>
        <v>0</v>
      </c>
      <c r="I4001" s="1480">
        <v>0</v>
      </c>
      <c r="J4001" s="1480">
        <v>0</v>
      </c>
      <c r="K4001" s="1508"/>
      <c r="L4001" s="1508"/>
      <c r="M4001" s="1509">
        <f t="shared" si="589"/>
        <v>0</v>
      </c>
      <c r="N4001" s="1508">
        <f t="shared" si="590"/>
        <v>0</v>
      </c>
    </row>
    <row r="4002" spans="1:14" ht="46.5" outlineLevel="1" x14ac:dyDescent="0.25">
      <c r="A4002" s="1488">
        <f t="shared" si="594"/>
        <v>11</v>
      </c>
      <c r="B4002" s="1492" t="str">
        <f t="shared" si="594"/>
        <v>Work of Up-gradation/Renovation of Bunkering Conveyor system with allied works in CHPA of Unit-3&amp;4 at CSTPS Chandrapur</v>
      </c>
      <c r="C4002" s="1488">
        <f t="shared" si="594"/>
        <v>0</v>
      </c>
      <c r="D4002" s="1413" t="str">
        <f t="shared" si="594"/>
        <v>-</v>
      </c>
      <c r="E4002" s="560">
        <f t="shared" si="594"/>
        <v>4.6024180000000001</v>
      </c>
      <c r="F4002" s="1508">
        <f t="shared" si="595"/>
        <v>4.6024180000000001</v>
      </c>
      <c r="G4002" s="1508">
        <f t="shared" si="596"/>
        <v>4.6024180000000001</v>
      </c>
      <c r="H4002" s="1508">
        <f t="shared" si="588"/>
        <v>0</v>
      </c>
      <c r="I4002" s="1480">
        <v>0</v>
      </c>
      <c r="J4002" s="1480">
        <v>0</v>
      </c>
      <c r="K4002" s="1508"/>
      <c r="L4002" s="1508"/>
      <c r="M4002" s="1509">
        <f t="shared" si="589"/>
        <v>0</v>
      </c>
      <c r="N4002" s="1508">
        <f t="shared" si="590"/>
        <v>0</v>
      </c>
    </row>
    <row r="4003" spans="1:14" ht="46.5" outlineLevel="1" x14ac:dyDescent="0.25">
      <c r="A4003" s="1488">
        <f t="shared" si="594"/>
        <v>12</v>
      </c>
      <c r="B4003" s="1492" t="str">
        <f t="shared" si="594"/>
        <v>Non-Detailed Project Report for the up-gradation of existing belt type gravimetric coal feeders to gravimetric rotary weigh coal feeders of unit- 7, at CSTPS, Chandrapur</v>
      </c>
      <c r="C4003" s="1488">
        <f t="shared" si="594"/>
        <v>0</v>
      </c>
      <c r="D4003" s="1413" t="str">
        <f t="shared" si="594"/>
        <v>-</v>
      </c>
      <c r="E4003" s="560">
        <f t="shared" si="594"/>
        <v>7.2510000000000003</v>
      </c>
      <c r="F4003" s="1508">
        <f t="shared" si="595"/>
        <v>7.2509395000000003</v>
      </c>
      <c r="G4003" s="1508">
        <f t="shared" si="596"/>
        <v>7.2509395000000003</v>
      </c>
      <c r="H4003" s="1508">
        <f t="shared" si="588"/>
        <v>0</v>
      </c>
      <c r="I4003" s="1480">
        <v>0</v>
      </c>
      <c r="J4003" s="1480">
        <v>0</v>
      </c>
      <c r="K4003" s="1508"/>
      <c r="L4003" s="1508"/>
      <c r="M4003" s="1509">
        <f t="shared" si="589"/>
        <v>0</v>
      </c>
      <c r="N4003" s="1508">
        <f t="shared" si="590"/>
        <v>0</v>
      </c>
    </row>
    <row r="4004" spans="1:14" ht="31" outlineLevel="1" x14ac:dyDescent="0.25">
      <c r="A4004" s="1488">
        <f t="shared" si="594"/>
        <v>14</v>
      </c>
      <c r="B4004" s="1492" t="str">
        <f t="shared" si="594"/>
        <v>Non DPR scheme for the procurement of Girth Gear Assembly for BBD-4772 coal mill unit-7</v>
      </c>
      <c r="C4004" s="1488">
        <f t="shared" si="594"/>
        <v>0</v>
      </c>
      <c r="D4004" s="1413" t="str">
        <f t="shared" si="594"/>
        <v>-</v>
      </c>
      <c r="E4004" s="560">
        <f t="shared" si="594"/>
        <v>5.27</v>
      </c>
      <c r="F4004" s="1508">
        <f t="shared" si="595"/>
        <v>5.27</v>
      </c>
      <c r="G4004" s="1508">
        <f t="shared" si="596"/>
        <v>5.27</v>
      </c>
      <c r="H4004" s="1508">
        <f t="shared" si="588"/>
        <v>0</v>
      </c>
      <c r="I4004" s="1480">
        <v>0</v>
      </c>
      <c r="J4004" s="1480">
        <v>0</v>
      </c>
      <c r="K4004" s="1508"/>
      <c r="L4004" s="1508"/>
      <c r="M4004" s="1509">
        <f t="shared" si="589"/>
        <v>0</v>
      </c>
      <c r="N4004" s="1508">
        <f t="shared" si="590"/>
        <v>0</v>
      </c>
    </row>
    <row r="4005" spans="1:14" ht="62" outlineLevel="1" x14ac:dyDescent="0.25">
      <c r="A4005" s="1488">
        <f t="shared" si="594"/>
        <v>15</v>
      </c>
      <c r="B4005" s="1492" t="str">
        <f t="shared" si="594"/>
        <v>Non DPR Supply of Sub-Assemblies for KBL -make Auxiliary cooling water pump, Model BHR-70 &amp; BHR 60-30 deg. installed at Auxiliary cooling water system of U- 5 to 7 at ODP-II, CSTPS, Chandrapur.</v>
      </c>
      <c r="C4005" s="1488">
        <f t="shared" si="594"/>
        <v>0</v>
      </c>
      <c r="D4005" s="1413" t="str">
        <f t="shared" si="594"/>
        <v>-</v>
      </c>
      <c r="E4005" s="560">
        <f t="shared" si="594"/>
        <v>5.61</v>
      </c>
      <c r="F4005" s="1508">
        <f t="shared" si="595"/>
        <v>5.5874359760000001</v>
      </c>
      <c r="G4005" s="1508">
        <f t="shared" si="596"/>
        <v>5.5874359760000001</v>
      </c>
      <c r="H4005" s="1508">
        <f t="shared" si="588"/>
        <v>0</v>
      </c>
      <c r="I4005" s="1480">
        <v>0</v>
      </c>
      <c r="J4005" s="1480">
        <v>0</v>
      </c>
      <c r="K4005" s="1508"/>
      <c r="L4005" s="1508"/>
      <c r="M4005" s="1509">
        <f t="shared" si="589"/>
        <v>0</v>
      </c>
      <c r="N4005" s="1508">
        <f t="shared" si="590"/>
        <v>0</v>
      </c>
    </row>
    <row r="4006" spans="1:14" ht="46.5" outlineLevel="1" x14ac:dyDescent="0.25">
      <c r="A4006" s="1488">
        <f t="shared" si="594"/>
        <v>16</v>
      </c>
      <c r="B4006" s="1492" t="str">
        <f t="shared" si="594"/>
        <v>Procurement of Primary and Secondary Air Pre-heater Baskets for Unit-5, Chandrapur STPS, 500MW through OEM basis from M/s. BHEL</v>
      </c>
      <c r="C4006" s="1488">
        <f t="shared" si="594"/>
        <v>0</v>
      </c>
      <c r="D4006" s="1413" t="str">
        <f t="shared" si="594"/>
        <v>-</v>
      </c>
      <c r="E4006" s="560">
        <f t="shared" si="594"/>
        <v>9.09</v>
      </c>
      <c r="F4006" s="1508">
        <f t="shared" si="595"/>
        <v>9.09</v>
      </c>
      <c r="G4006" s="1508">
        <f t="shared" si="596"/>
        <v>9.09</v>
      </c>
      <c r="H4006" s="1508">
        <f t="shared" si="588"/>
        <v>0</v>
      </c>
      <c r="I4006" s="1480">
        <v>0</v>
      </c>
      <c r="J4006" s="1480">
        <v>0</v>
      </c>
      <c r="K4006" s="1508"/>
      <c r="L4006" s="1508"/>
      <c r="M4006" s="1509">
        <f t="shared" si="589"/>
        <v>0</v>
      </c>
      <c r="N4006" s="1508">
        <f t="shared" si="590"/>
        <v>0</v>
      </c>
    </row>
    <row r="4007" spans="1:14" ht="46.5" outlineLevel="1" x14ac:dyDescent="0.25">
      <c r="A4007" s="1488">
        <f t="shared" si="594"/>
        <v>17</v>
      </c>
      <c r="B4007" s="1492" t="str">
        <f t="shared" si="594"/>
        <v>Restoration of Operational efficiency and improvement in useful life of spare HP turbine Module of 500MW Unit-5,6 CSTPS chandrapur by Refurbishement</v>
      </c>
      <c r="C4007" s="1488">
        <f t="shared" si="594"/>
        <v>0</v>
      </c>
      <c r="D4007" s="1413" t="str">
        <f t="shared" si="594"/>
        <v>-</v>
      </c>
      <c r="E4007" s="560">
        <f t="shared" si="594"/>
        <v>9.9499999999999993</v>
      </c>
      <c r="F4007" s="1508">
        <f t="shared" si="595"/>
        <v>9.9499999999999993</v>
      </c>
      <c r="G4007" s="1508">
        <f t="shared" si="596"/>
        <v>9.9499999999999993</v>
      </c>
      <c r="H4007" s="1508">
        <f t="shared" si="588"/>
        <v>0</v>
      </c>
      <c r="I4007" s="1480">
        <v>0</v>
      </c>
      <c r="J4007" s="1480">
        <v>0</v>
      </c>
      <c r="K4007" s="1508"/>
      <c r="L4007" s="1508"/>
      <c r="M4007" s="1509">
        <f t="shared" si="589"/>
        <v>0</v>
      </c>
      <c r="N4007" s="1508">
        <f t="shared" si="590"/>
        <v>0</v>
      </c>
    </row>
    <row r="4008" spans="1:14" ht="46.5" outlineLevel="1" x14ac:dyDescent="0.25">
      <c r="A4008" s="1488">
        <f t="shared" si="594"/>
        <v>18</v>
      </c>
      <c r="B4008" s="1492" t="str">
        <f t="shared" si="594"/>
        <v>Work of Upgradation/Renovation of Crusher House &amp; Track Hopper Unloading System of CHPC of Unit-6&amp;7 CSTPS Chandrapur</v>
      </c>
      <c r="C4008" s="1488">
        <f t="shared" si="594"/>
        <v>0</v>
      </c>
      <c r="D4008" s="1413" t="str">
        <f t="shared" si="594"/>
        <v>-</v>
      </c>
      <c r="E4008" s="560">
        <f t="shared" si="594"/>
        <v>4.9000000000000004</v>
      </c>
      <c r="F4008" s="1508">
        <f t="shared" si="595"/>
        <v>4.9000000000000004</v>
      </c>
      <c r="G4008" s="1508">
        <f t="shared" si="596"/>
        <v>4.9000000000000004</v>
      </c>
      <c r="H4008" s="1508">
        <f t="shared" si="588"/>
        <v>0</v>
      </c>
      <c r="I4008" s="1480">
        <v>0</v>
      </c>
      <c r="J4008" s="1480">
        <v>0</v>
      </c>
      <c r="K4008" s="1508"/>
      <c r="L4008" s="1508"/>
      <c r="M4008" s="1509">
        <f t="shared" si="589"/>
        <v>0</v>
      </c>
      <c r="N4008" s="1508">
        <f t="shared" si="590"/>
        <v>0</v>
      </c>
    </row>
    <row r="4009" spans="1:14" ht="46.5" outlineLevel="1" x14ac:dyDescent="0.25">
      <c r="A4009" s="1488">
        <f t="shared" si="594"/>
        <v>19</v>
      </c>
      <c r="B4009" s="1492" t="str">
        <f t="shared" si="594"/>
        <v>Non – DPR: Design, supply, erection, installation, testing and commissioning of boiler goods lift in place of existing old lifts installed at Unit#6,7 500MW CSTPS, Chandrapur </v>
      </c>
      <c r="C4009" s="1488">
        <f t="shared" si="594"/>
        <v>0</v>
      </c>
      <c r="D4009" s="1413" t="str">
        <f t="shared" si="594"/>
        <v>-</v>
      </c>
      <c r="E4009" s="560">
        <f t="shared" si="594"/>
        <v>3.66</v>
      </c>
      <c r="F4009" s="1508">
        <f t="shared" si="595"/>
        <v>3.66</v>
      </c>
      <c r="G4009" s="1508">
        <f t="shared" si="596"/>
        <v>3.66</v>
      </c>
      <c r="H4009" s="1508">
        <f t="shared" si="588"/>
        <v>0</v>
      </c>
      <c r="I4009" s="1480">
        <v>0</v>
      </c>
      <c r="J4009" s="1480">
        <v>0</v>
      </c>
      <c r="K4009" s="1508"/>
      <c r="L4009" s="1508"/>
      <c r="M4009" s="1509">
        <f t="shared" si="589"/>
        <v>0</v>
      </c>
      <c r="N4009" s="1508">
        <f t="shared" si="590"/>
        <v>0</v>
      </c>
    </row>
    <row r="4010" spans="1:14" ht="31" outlineLevel="1" x14ac:dyDescent="0.25">
      <c r="A4010" s="1488">
        <f t="shared" si="594"/>
        <v>20</v>
      </c>
      <c r="B4010" s="1492" t="str">
        <f t="shared" si="594"/>
        <v>Work of refurbishment of Flender make KMS 850 gear box of XRP-1043 coal mill unit 5&amp;6 at CSTPS, Chandrapur</v>
      </c>
      <c r="C4010" s="1488">
        <f t="shared" si="594"/>
        <v>0</v>
      </c>
      <c r="D4010" s="1413" t="str">
        <f t="shared" si="594"/>
        <v>-</v>
      </c>
      <c r="E4010" s="560">
        <f t="shared" si="594"/>
        <v>4.37</v>
      </c>
      <c r="F4010" s="1508">
        <f t="shared" si="595"/>
        <v>4.37</v>
      </c>
      <c r="G4010" s="1508">
        <f t="shared" si="596"/>
        <v>4.37</v>
      </c>
      <c r="H4010" s="1508">
        <f t="shared" si="588"/>
        <v>0</v>
      </c>
      <c r="I4010" s="1480">
        <v>0</v>
      </c>
      <c r="J4010" s="1480">
        <v>0</v>
      </c>
      <c r="K4010" s="1508"/>
      <c r="L4010" s="1508"/>
      <c r="M4010" s="1509">
        <f t="shared" si="589"/>
        <v>0</v>
      </c>
      <c r="N4010" s="1508">
        <f t="shared" si="590"/>
        <v>0</v>
      </c>
    </row>
    <row r="4011" spans="1:14" ht="77.5" outlineLevel="1" x14ac:dyDescent="0.25">
      <c r="A4011" s="1488">
        <f t="shared" si="594"/>
        <v>21</v>
      </c>
      <c r="B4011" s="1492" t="str">
        <f t="shared" si="594"/>
        <v>Work of renovation of take up trestle structure of BC-105A2/BC-105B and trestle near TP-104, Modification of MS fixtures for the work of various auxiliary replacement at various sites and other allied works in CHP-B (M2) at CSTPS Chandrapur, as NonDPR Scheme.</v>
      </c>
      <c r="C4011" s="1488">
        <f t="shared" si="594"/>
        <v>0</v>
      </c>
      <c r="D4011" s="1413" t="str">
        <f t="shared" si="594"/>
        <v>-</v>
      </c>
      <c r="E4011" s="560">
        <f t="shared" si="594"/>
        <v>2.2400000000000002</v>
      </c>
      <c r="F4011" s="1508">
        <f t="shared" si="595"/>
        <v>2.2400000000000002</v>
      </c>
      <c r="G4011" s="1508">
        <f t="shared" si="596"/>
        <v>2.2400000000000002</v>
      </c>
      <c r="H4011" s="1508">
        <f t="shared" si="588"/>
        <v>0</v>
      </c>
      <c r="I4011" s="1480">
        <v>0</v>
      </c>
      <c r="J4011" s="1480">
        <v>0</v>
      </c>
      <c r="K4011" s="1508"/>
      <c r="L4011" s="1508"/>
      <c r="M4011" s="1509">
        <f t="shared" si="589"/>
        <v>0</v>
      </c>
      <c r="N4011" s="1508">
        <f t="shared" si="590"/>
        <v>0</v>
      </c>
    </row>
    <row r="4012" spans="1:14" ht="31" outlineLevel="1" x14ac:dyDescent="0.25">
      <c r="A4012" s="1488">
        <f t="shared" si="594"/>
        <v>22</v>
      </c>
      <c r="B4012" s="1492" t="str">
        <f t="shared" si="594"/>
        <v>Non DPR scheme for upgradation and life enhancements of BC-1AB_BC-4AB at CHP-A, CSTPS, Chandrapur</v>
      </c>
      <c r="C4012" s="1488">
        <f t="shared" si="594"/>
        <v>0</v>
      </c>
      <c r="D4012" s="1413" t="str">
        <f t="shared" si="594"/>
        <v>-</v>
      </c>
      <c r="E4012" s="560">
        <f t="shared" si="594"/>
        <v>1.6</v>
      </c>
      <c r="F4012" s="1508">
        <f t="shared" si="595"/>
        <v>1.6</v>
      </c>
      <c r="G4012" s="1508">
        <f t="shared" si="596"/>
        <v>1.6</v>
      </c>
      <c r="H4012" s="1508">
        <f t="shared" si="588"/>
        <v>0</v>
      </c>
      <c r="I4012" s="1480">
        <v>0</v>
      </c>
      <c r="J4012" s="1480">
        <v>0</v>
      </c>
      <c r="K4012" s="1508"/>
      <c r="L4012" s="1508"/>
      <c r="M4012" s="1509">
        <f t="shared" si="589"/>
        <v>0</v>
      </c>
      <c r="N4012" s="1508">
        <f t="shared" si="590"/>
        <v>0</v>
      </c>
    </row>
    <row r="4013" spans="1:14" ht="31" outlineLevel="1" x14ac:dyDescent="0.25">
      <c r="A4013" s="1488">
        <f t="shared" si="594"/>
        <v>23</v>
      </c>
      <c r="B4013" s="1492" t="str">
        <f t="shared" si="594"/>
        <v>THE PROCUREMENT AND REPLACEMENT OF AIR PREHEATER BASKETS ASSEMBLIES AT UNIT-6 AT CSTPS, CHANDRAPUR</v>
      </c>
      <c r="C4013" s="1488">
        <f t="shared" si="594"/>
        <v>0</v>
      </c>
      <c r="D4013" s="1413" t="str">
        <f t="shared" si="594"/>
        <v>-</v>
      </c>
      <c r="E4013" s="560">
        <f t="shared" si="594"/>
        <v>9.01</v>
      </c>
      <c r="F4013" s="1508">
        <f t="shared" si="595"/>
        <v>9.01</v>
      </c>
      <c r="G4013" s="1508">
        <f t="shared" si="596"/>
        <v>9.01</v>
      </c>
      <c r="H4013" s="1508">
        <f t="shared" si="588"/>
        <v>0</v>
      </c>
      <c r="I4013" s="1480">
        <v>0</v>
      </c>
      <c r="J4013" s="1480">
        <v>0</v>
      </c>
      <c r="K4013" s="1508"/>
      <c r="L4013" s="1508"/>
      <c r="M4013" s="1509">
        <f t="shared" si="589"/>
        <v>0</v>
      </c>
      <c r="N4013" s="1508">
        <f t="shared" si="590"/>
        <v>0</v>
      </c>
    </row>
    <row r="4014" spans="1:14" ht="46.5" outlineLevel="1" x14ac:dyDescent="0.25">
      <c r="A4014" s="1488">
        <f t="shared" si="594"/>
        <v>24</v>
      </c>
      <c r="B4014" s="1492" t="str">
        <f t="shared" si="594"/>
        <v>NonDPR: Procurement of cartridge for boiler feed pump of 500MW U#7 and parallel shaft gear box for boiler feed pump of 500MW Unit-5 &amp;6 CSTPS, Chandrapur</v>
      </c>
      <c r="C4014" s="1488">
        <f t="shared" si="594"/>
        <v>0</v>
      </c>
      <c r="D4014" s="1413" t="str">
        <f t="shared" si="594"/>
        <v>-</v>
      </c>
      <c r="E4014" s="560">
        <f t="shared" si="594"/>
        <v>2.57</v>
      </c>
      <c r="F4014" s="1508">
        <f t="shared" si="595"/>
        <v>2.5700000000000003</v>
      </c>
      <c r="G4014" s="1508">
        <f t="shared" si="596"/>
        <v>2.5700000000000003</v>
      </c>
      <c r="H4014" s="1508">
        <f>F4014-G4014</f>
        <v>0</v>
      </c>
      <c r="I4014" s="1480">
        <v>0</v>
      </c>
      <c r="J4014" s="1480">
        <v>0</v>
      </c>
      <c r="K4014" s="1508"/>
      <c r="L4014" s="1508"/>
      <c r="M4014" s="1509">
        <f>SUM(J4014:L4014)</f>
        <v>0</v>
      </c>
      <c r="N4014" s="1508">
        <f>H4014+I4014-M4014</f>
        <v>0</v>
      </c>
    </row>
    <row r="4015" spans="1:14" ht="31" outlineLevel="1" x14ac:dyDescent="0.25">
      <c r="A4015" s="1488">
        <f t="shared" si="594"/>
        <v>25</v>
      </c>
      <c r="B4015" s="1492" t="str">
        <f t="shared" si="594"/>
        <v>Replacement of FD &amp; ID Fan IGV Actuators &amp; Electronic Controllers in 500 MW Unit-5 &amp; 6 at CSTPS, Chandrapur</v>
      </c>
      <c r="C4015" s="1488">
        <f t="shared" si="594"/>
        <v>0</v>
      </c>
      <c r="D4015" s="1413" t="str">
        <f t="shared" si="594"/>
        <v>-</v>
      </c>
      <c r="E4015" s="560">
        <f t="shared" si="594"/>
        <v>4.2</v>
      </c>
      <c r="F4015" s="1508">
        <f t="shared" si="595"/>
        <v>4.2</v>
      </c>
      <c r="G4015" s="1508">
        <f t="shared" si="596"/>
        <v>4.2</v>
      </c>
      <c r="H4015" s="1508">
        <f>F4015-G4015</f>
        <v>0</v>
      </c>
      <c r="I4015" s="1480">
        <v>0</v>
      </c>
      <c r="J4015" s="1480">
        <v>0</v>
      </c>
      <c r="K4015" s="1508"/>
      <c r="L4015" s="1508"/>
      <c r="M4015" s="1509">
        <f>SUM(J4015:L4015)</f>
        <v>0</v>
      </c>
      <c r="N4015" s="1508">
        <f>H4015+I4015-M4015</f>
        <v>0</v>
      </c>
    </row>
    <row r="4016" spans="1:14" ht="77.5" outlineLevel="1" x14ac:dyDescent="0.25">
      <c r="A4016" s="1488">
        <f t="shared" ref="A4016:E4024" si="597">A3346</f>
        <v>26</v>
      </c>
      <c r="B4016" s="1492" t="str">
        <f t="shared" si="597"/>
        <v>Non DPR for Work of Repairing and Strengthening of Coal Mill structure, Replacement of MS grating and painting of structural supports, columns, and platform supports of at various locations Coal Mill, Boiler and ESP of Unit-5, 6 and 7 at CSTPS Chandrapur.</v>
      </c>
      <c r="C4016" s="1488">
        <f t="shared" si="597"/>
        <v>0</v>
      </c>
      <c r="D4016" s="1413" t="str">
        <f t="shared" si="597"/>
        <v>-</v>
      </c>
      <c r="E4016" s="560">
        <f t="shared" si="597"/>
        <v>2.1</v>
      </c>
      <c r="F4016" s="1508">
        <f t="shared" si="595"/>
        <v>2.1</v>
      </c>
      <c r="G4016" s="1508">
        <f t="shared" si="596"/>
        <v>2.1</v>
      </c>
      <c r="H4016" s="1508">
        <f>F4016-G4016</f>
        <v>0</v>
      </c>
      <c r="I4016" s="1480">
        <v>0</v>
      </c>
      <c r="J4016" s="1480">
        <v>0</v>
      </c>
      <c r="K4016" s="1508"/>
      <c r="L4016" s="1508"/>
      <c r="M4016" s="1509">
        <f>SUM(J4016:L4016)</f>
        <v>0</v>
      </c>
      <c r="N4016" s="1508">
        <f>H4016+I4016-M4016</f>
        <v>0</v>
      </c>
    </row>
    <row r="4017" spans="1:16" ht="62" outlineLevel="1" x14ac:dyDescent="0.25">
      <c r="A4017" s="1488">
        <f t="shared" si="597"/>
        <v>27</v>
      </c>
      <c r="B4017" s="1492" t="str">
        <f t="shared" si="597"/>
        <v>Administrative approval under Non DPR scheme for“The Work of Up-gradation / Renovation and life enhancement of Conveyor system BC-6ABC with allied works in CHP-A of Unit-3&amp;4 at CSTPS Chandrapur”</v>
      </c>
      <c r="C4017" s="1488">
        <f t="shared" si="597"/>
        <v>0</v>
      </c>
      <c r="D4017" s="1413" t="str">
        <f t="shared" si="597"/>
        <v>-</v>
      </c>
      <c r="E4017" s="560">
        <f t="shared" si="597"/>
        <v>4.55</v>
      </c>
      <c r="F4017" s="1508">
        <f t="shared" si="595"/>
        <v>4.55</v>
      </c>
      <c r="G4017" s="1508">
        <f t="shared" si="596"/>
        <v>4.55</v>
      </c>
      <c r="H4017" s="1508">
        <f>F4017-G4017</f>
        <v>0</v>
      </c>
      <c r="I4017" s="1480">
        <v>0</v>
      </c>
      <c r="J4017" s="1480">
        <v>0</v>
      </c>
      <c r="K4017" s="1508"/>
      <c r="L4017" s="1508"/>
      <c r="M4017" s="1509">
        <f>SUM(J4017:L4017)</f>
        <v>0</v>
      </c>
      <c r="N4017" s="1508">
        <f>H4017+I4017-M4017</f>
        <v>0</v>
      </c>
    </row>
    <row r="4018" spans="1:16" ht="62" outlineLevel="1" x14ac:dyDescent="0.25">
      <c r="A4018" s="1488">
        <f t="shared" si="597"/>
        <v>28</v>
      </c>
      <c r="B4018" s="1492" t="str">
        <f t="shared" si="597"/>
        <v>Supply Erection and commissioning of Institu type SOX, NOX Analyzer along with remote calibration facility and connectivity to CPCB and MPCB as per latest CPCB Guidelines for Unit-3&amp;4, CSTPS.</v>
      </c>
      <c r="C4018" s="1488">
        <f t="shared" si="597"/>
        <v>0</v>
      </c>
      <c r="D4018" s="1413" t="str">
        <f t="shared" si="597"/>
        <v>-</v>
      </c>
      <c r="E4018" s="560">
        <f t="shared" si="597"/>
        <v>0.97</v>
      </c>
      <c r="F4018" s="1508">
        <f t="shared" si="595"/>
        <v>0.97</v>
      </c>
      <c r="G4018" s="1508">
        <f t="shared" si="596"/>
        <v>0.97</v>
      </c>
      <c r="H4018" s="1508">
        <f>F4018-G4018</f>
        <v>0</v>
      </c>
      <c r="I4018" s="1480">
        <v>0</v>
      </c>
      <c r="J4018" s="1480">
        <v>0</v>
      </c>
      <c r="K4018" s="1508"/>
      <c r="L4018" s="1508"/>
      <c r="M4018" s="1509">
        <f>SUM(J4018:L4018)</f>
        <v>0</v>
      </c>
      <c r="N4018" s="1508">
        <f>H4018+I4018-M4018</f>
        <v>0</v>
      </c>
    </row>
    <row r="4019" spans="1:16" ht="62" outlineLevel="1" x14ac:dyDescent="0.25">
      <c r="A4019" s="1488">
        <f t="shared" si="597"/>
        <v>29</v>
      </c>
      <c r="B4019" s="1492" t="str">
        <f t="shared" si="597"/>
        <v>Work of Renovation &amp; Upgradation of Receipt &amp; Dispatch Yard of Railway Siding of CSTPS by provision of Various Standard Infrastructure facilities at R&amp;D yard in Coal Handling Plant of CSTPS Chandrapur</v>
      </c>
      <c r="C4019" s="1488">
        <f t="shared" si="597"/>
        <v>0</v>
      </c>
      <c r="D4019" s="1413" t="str">
        <f t="shared" si="597"/>
        <v>-</v>
      </c>
      <c r="E4019" s="560">
        <f t="shared" si="597"/>
        <v>7.89</v>
      </c>
      <c r="F4019" s="1508">
        <f t="shared" si="595"/>
        <v>7.89</v>
      </c>
      <c r="G4019" s="1508">
        <f t="shared" si="596"/>
        <v>7.89</v>
      </c>
      <c r="H4019" s="1508">
        <f t="shared" ref="H4019:H4024" si="598">F4019-G4019</f>
        <v>0</v>
      </c>
      <c r="I4019" s="1480">
        <v>0</v>
      </c>
      <c r="J4019" s="1480">
        <v>0</v>
      </c>
      <c r="K4019" s="1508"/>
      <c r="L4019" s="1508"/>
      <c r="M4019" s="1509">
        <f t="shared" ref="M4019:M4024" si="599">SUM(J4019:L4019)</f>
        <v>0</v>
      </c>
      <c r="N4019" s="1508">
        <f t="shared" ref="N4019:N4024" si="600">H4019+I4019-M4019</f>
        <v>0</v>
      </c>
    </row>
    <row r="4020" spans="1:16" ht="46.5" outlineLevel="1" x14ac:dyDescent="0.25">
      <c r="A4020" s="1488">
        <f t="shared" si="597"/>
        <v>30</v>
      </c>
      <c r="B4020" s="1492" t="str">
        <f t="shared" si="597"/>
        <v>Supply, Installation and Commissioning of MV VFD panel along with integrated online cell redundancy technology with VFD bypass feature arrangement for conveyors 103 A &amp; B of CHP-B.</v>
      </c>
      <c r="C4020" s="1488">
        <f t="shared" si="597"/>
        <v>0</v>
      </c>
      <c r="D4020" s="1413" t="str">
        <f t="shared" si="597"/>
        <v>-</v>
      </c>
      <c r="E4020" s="560">
        <f t="shared" si="597"/>
        <v>5.44</v>
      </c>
      <c r="F4020" s="1508">
        <f t="shared" si="595"/>
        <v>5.44</v>
      </c>
      <c r="G4020" s="1508">
        <f t="shared" si="596"/>
        <v>5.44</v>
      </c>
      <c r="H4020" s="1508">
        <f t="shared" si="598"/>
        <v>0</v>
      </c>
      <c r="I4020" s="1480">
        <v>0</v>
      </c>
      <c r="J4020" s="1480">
        <v>0</v>
      </c>
      <c r="K4020" s="1508"/>
      <c r="L4020" s="1508"/>
      <c r="M4020" s="1509">
        <f t="shared" si="599"/>
        <v>0</v>
      </c>
      <c r="N4020" s="1508">
        <f t="shared" si="600"/>
        <v>0</v>
      </c>
    </row>
    <row r="4021" spans="1:16" ht="15.5" outlineLevel="1" x14ac:dyDescent="0.25">
      <c r="A4021" s="1488">
        <f t="shared" si="597"/>
        <v>31</v>
      </c>
      <c r="B4021" s="1492" t="str">
        <f t="shared" si="597"/>
        <v>Replacement of LTSH assemblies in U- 5</v>
      </c>
      <c r="C4021" s="1488">
        <f t="shared" si="597"/>
        <v>0</v>
      </c>
      <c r="D4021" s="1413" t="str">
        <f t="shared" si="597"/>
        <v>-</v>
      </c>
      <c r="E4021" s="560">
        <f t="shared" si="597"/>
        <v>1.3756576</v>
      </c>
      <c r="F4021" s="1508">
        <f t="shared" si="595"/>
        <v>1.3756576</v>
      </c>
      <c r="G4021" s="1508">
        <f t="shared" si="596"/>
        <v>1.3756576</v>
      </c>
      <c r="H4021" s="1508">
        <f t="shared" si="598"/>
        <v>0</v>
      </c>
      <c r="I4021" s="1480">
        <v>0</v>
      </c>
      <c r="J4021" s="1480">
        <v>0</v>
      </c>
      <c r="K4021" s="1508"/>
      <c r="L4021" s="1508"/>
      <c r="M4021" s="1509">
        <f t="shared" si="599"/>
        <v>0</v>
      </c>
      <c r="N4021" s="1508">
        <f t="shared" si="600"/>
        <v>0</v>
      </c>
    </row>
    <row r="4022" spans="1:16" ht="15.5" outlineLevel="1" x14ac:dyDescent="0.25">
      <c r="A4022" s="1488">
        <f t="shared" si="597"/>
        <v>32</v>
      </c>
      <c r="B4022" s="1492" t="str">
        <f t="shared" si="597"/>
        <v>Replacement of complete Z-panels in unit- 5</v>
      </c>
      <c r="C4022" s="1488">
        <f t="shared" si="597"/>
        <v>0</v>
      </c>
      <c r="D4022" s="1413" t="str">
        <f t="shared" si="597"/>
        <v>-</v>
      </c>
      <c r="E4022" s="560">
        <f t="shared" si="597"/>
        <v>0.82545579999999996</v>
      </c>
      <c r="F4022" s="1508">
        <f t="shared" si="595"/>
        <v>0.82545579999999996</v>
      </c>
      <c r="G4022" s="1508">
        <f t="shared" si="596"/>
        <v>0.82545579999999996</v>
      </c>
      <c r="H4022" s="1508">
        <f t="shared" si="598"/>
        <v>0</v>
      </c>
      <c r="I4022" s="1480">
        <v>0</v>
      </c>
      <c r="J4022" s="1480">
        <v>0</v>
      </c>
      <c r="K4022" s="1508"/>
      <c r="L4022" s="1508"/>
      <c r="M4022" s="1509">
        <f t="shared" si="599"/>
        <v>0</v>
      </c>
      <c r="N4022" s="1508">
        <f t="shared" si="600"/>
        <v>0</v>
      </c>
    </row>
    <row r="4023" spans="1:16" ht="31" outlineLevel="1" x14ac:dyDescent="0.25">
      <c r="A4023" s="1488">
        <f t="shared" si="597"/>
        <v>33</v>
      </c>
      <c r="B4023" s="1492" t="str">
        <f t="shared" si="597"/>
        <v>MODIFICATION AND RESTORATION OF APH OUTLET TO ESP INLET DUCTS AT U#3 (210MW)</v>
      </c>
      <c r="C4023" s="1488">
        <f t="shared" si="597"/>
        <v>0</v>
      </c>
      <c r="D4023" s="1413" t="str">
        <f t="shared" si="597"/>
        <v>-</v>
      </c>
      <c r="E4023" s="560">
        <f t="shared" si="597"/>
        <v>10.3</v>
      </c>
      <c r="F4023" s="1508">
        <f t="shared" si="595"/>
        <v>10.3</v>
      </c>
      <c r="G4023" s="1508">
        <f t="shared" si="596"/>
        <v>10.3</v>
      </c>
      <c r="H4023" s="1508">
        <f t="shared" si="598"/>
        <v>0</v>
      </c>
      <c r="I4023" s="1480">
        <v>0</v>
      </c>
      <c r="J4023" s="1480">
        <v>0</v>
      </c>
      <c r="K4023" s="1508"/>
      <c r="L4023" s="1508"/>
      <c r="M4023" s="1509">
        <f t="shared" si="599"/>
        <v>0</v>
      </c>
      <c r="N4023" s="1508">
        <f t="shared" si="600"/>
        <v>0</v>
      </c>
    </row>
    <row r="4024" spans="1:16" ht="62.5" outlineLevel="1" thickBot="1" x14ac:dyDescent="0.3">
      <c r="A4024" s="1488">
        <f t="shared" si="597"/>
        <v>34</v>
      </c>
      <c r="B4024" s="1492" t="str">
        <f t="shared" si="597"/>
        <v xml:space="preserve">Supply, Installation, Testing, Commissioning for complete solution and comprehensive protection and monitoring package along with retrofit of allied accessories for Generator Transformers for 3 X 500 MW Unit#5,6&amp;7 </v>
      </c>
      <c r="C4024" s="1488">
        <f t="shared" si="597"/>
        <v>0</v>
      </c>
      <c r="D4024" s="1413" t="str">
        <f t="shared" si="597"/>
        <v>-</v>
      </c>
      <c r="E4024" s="560">
        <f t="shared" si="597"/>
        <v>5.62</v>
      </c>
      <c r="F4024" s="1508">
        <f t="shared" si="595"/>
        <v>5.62</v>
      </c>
      <c r="G4024" s="1508">
        <f t="shared" si="596"/>
        <v>5.62</v>
      </c>
      <c r="H4024" s="1508">
        <f t="shared" si="598"/>
        <v>0</v>
      </c>
      <c r="I4024" s="1480">
        <v>0</v>
      </c>
      <c r="J4024" s="1480">
        <v>0</v>
      </c>
      <c r="K4024" s="1508"/>
      <c r="L4024" s="1508"/>
      <c r="M4024" s="1509">
        <f t="shared" si="599"/>
        <v>0</v>
      </c>
      <c r="N4024" s="1508">
        <f t="shared" si="600"/>
        <v>0</v>
      </c>
    </row>
    <row r="4025" spans="1:16" ht="15.5" thickBot="1" x14ac:dyDescent="0.3">
      <c r="A4025" s="1428"/>
      <c r="B4025" s="1429" t="str">
        <f>B3355</f>
        <v>Total</v>
      </c>
      <c r="C4025" s="1430"/>
      <c r="D4025" s="1431"/>
      <c r="E4025" s="1507"/>
      <c r="F4025" s="1507">
        <f>SUM(F3360:F4024)</f>
        <v>7001.7445727694121</v>
      </c>
      <c r="G4025" s="1507">
        <f>SUM(G3360:G4024)</f>
        <v>5883.00999586541</v>
      </c>
      <c r="H4025" s="1507">
        <f>SUM(H3360:H4024)</f>
        <v>1118.7345769040001</v>
      </c>
      <c r="I4025" s="1507">
        <f t="shared" ref="I4025:K4025" si="601">SUM(I3360:I4024)</f>
        <v>814.96399999999994</v>
      </c>
      <c r="J4025" s="1507">
        <f t="shared" si="601"/>
        <v>1986.5339999999999</v>
      </c>
      <c r="K4025" s="1507">
        <f t="shared" si="601"/>
        <v>0</v>
      </c>
      <c r="L4025" s="1507">
        <f>SUM(L3360:L4024)</f>
        <v>0</v>
      </c>
      <c r="M4025" s="1507">
        <f>SUM(M3360:M4024)</f>
        <v>1986.5339999999999</v>
      </c>
      <c r="N4025" s="1507">
        <f>SUM(N3360:N4024)</f>
        <v>-52.835423096</v>
      </c>
    </row>
    <row r="4027" spans="1:16" x14ac:dyDescent="0.25">
      <c r="A4027" s="1419"/>
      <c r="B4027" s="569" t="s">
        <v>972</v>
      </c>
      <c r="C4027" s="1474"/>
      <c r="D4027" s="1475"/>
      <c r="E4027" s="320"/>
      <c r="F4027" s="320"/>
      <c r="G4027" s="320"/>
      <c r="H4027" s="320"/>
      <c r="I4027" s="320"/>
      <c r="J4027" s="320"/>
      <c r="K4027" s="320"/>
      <c r="L4027" s="320"/>
      <c r="M4027" s="320"/>
      <c r="N4027" s="320"/>
    </row>
    <row r="4028" spans="1:16" outlineLevel="1" x14ac:dyDescent="0.25">
      <c r="A4028" s="131"/>
      <c r="B4028" s="1389" t="str">
        <f t="shared" ref="B4028:B4029" si="602">B3358</f>
        <v>a) DPR Schemes</v>
      </c>
      <c r="C4028" s="166"/>
      <c r="D4028" s="166"/>
      <c r="E4028" s="320"/>
      <c r="F4028" s="320"/>
      <c r="G4028" s="320"/>
      <c r="H4028" s="320"/>
      <c r="I4028" s="320"/>
      <c r="J4028" s="320"/>
      <c r="K4028" s="320"/>
      <c r="L4028" s="320"/>
      <c r="M4028" s="320"/>
      <c r="N4028" s="320"/>
    </row>
    <row r="4029" spans="1:16" outlineLevel="1" x14ac:dyDescent="0.25">
      <c r="A4029" s="131"/>
      <c r="B4029" s="1476" t="str">
        <f t="shared" si="602"/>
        <v>(i) In Principally Approved By MERC</v>
      </c>
      <c r="C4029" s="166"/>
      <c r="D4029" s="166"/>
      <c r="E4029" s="320"/>
      <c r="F4029" s="320"/>
      <c r="G4029" s="320"/>
      <c r="H4029" s="320"/>
      <c r="I4029" s="320"/>
      <c r="J4029" s="320"/>
      <c r="K4029" s="320"/>
      <c r="L4029" s="320"/>
      <c r="M4029" s="320"/>
      <c r="N4029" s="320"/>
    </row>
    <row r="4030" spans="1:16" ht="15.5" outlineLevel="1" x14ac:dyDescent="0.25">
      <c r="A4030" s="1477">
        <f t="shared" ref="A4030:E4045" si="603">A3360</f>
        <v>1</v>
      </c>
      <c r="B4030" s="1478" t="str">
        <f t="shared" si="603"/>
        <v>Boiler &amp; Turbine Improvement</v>
      </c>
      <c r="C4030" s="1477" t="str">
        <f t="shared" si="603"/>
        <v>MERC/CAPEX/20102011/01755</v>
      </c>
      <c r="D4030" s="1479">
        <f t="shared" si="603"/>
        <v>40507</v>
      </c>
      <c r="E4030" s="1383">
        <f t="shared" si="603"/>
        <v>181.82700000000003</v>
      </c>
      <c r="F4030" s="1480">
        <f t="shared" ref="F4030:F4093" si="604">F3360+I3360</f>
        <v>0</v>
      </c>
      <c r="G4030" s="1480">
        <f t="shared" ref="G4030:G4093" si="605">G3360+M3360</f>
        <v>0</v>
      </c>
      <c r="H4030" s="1480">
        <f>F4030-G4030</f>
        <v>0</v>
      </c>
      <c r="I4030" s="1480">
        <v>0</v>
      </c>
      <c r="J4030" s="1480">
        <v>0</v>
      </c>
      <c r="K4030" s="1480"/>
      <c r="L4030" s="1480"/>
      <c r="M4030" s="1480">
        <f>SUM(J4030:L4030)</f>
        <v>0</v>
      </c>
      <c r="N4030" s="1480">
        <f>H4030+I4030-M4030</f>
        <v>0</v>
      </c>
      <c r="O4030" s="1481">
        <f t="shared" ref="O4030:O4093" si="606">MAX(0,IF(M4030=0,0,IF(G4030+M4030&lt;E4030,M4030,E4030-G4030)))</f>
        <v>0</v>
      </c>
      <c r="P4030" s="1427">
        <f t="shared" ref="P4030:P4093" si="607">M4030-O4030</f>
        <v>0</v>
      </c>
    </row>
    <row r="4031" spans="1:16" ht="31" outlineLevel="1" x14ac:dyDescent="0.25">
      <c r="A4031" s="1482">
        <f t="shared" si="603"/>
        <v>1.1000000000000001</v>
      </c>
      <c r="B4031" s="1483" t="str">
        <f t="shared" si="603"/>
        <v>Installation of Sonic soot blowers for unit 5, 6 and  7 - Sonic soot blowers will be installed in LTSH and Eco zones (48 nos)</v>
      </c>
      <c r="C4031" s="1482" t="str">
        <f t="shared" si="603"/>
        <v>MERC/CAPEX/20102011/01755</v>
      </c>
      <c r="D4031" s="1390">
        <f t="shared" si="603"/>
        <v>40507</v>
      </c>
      <c r="E4031" s="560">
        <f t="shared" si="603"/>
        <v>1.06</v>
      </c>
      <c r="F4031" s="1508">
        <f t="shared" si="604"/>
        <v>0.44763439999999999</v>
      </c>
      <c r="G4031" s="1508">
        <f t="shared" si="605"/>
        <v>0.44763439999999999</v>
      </c>
      <c r="H4031" s="1508">
        <f t="shared" ref="H4031:H4094" si="608">F4031-G4031</f>
        <v>0</v>
      </c>
      <c r="I4031" s="1480">
        <v>0</v>
      </c>
      <c r="J4031" s="1480">
        <v>0</v>
      </c>
      <c r="K4031" s="1508"/>
      <c r="L4031" s="1508"/>
      <c r="M4031" s="1509">
        <f t="shared" ref="M4031:M4094" si="609">SUM(J4031:L4031)</f>
        <v>0</v>
      </c>
      <c r="N4031" s="1508">
        <f t="shared" ref="N4031:N4094" si="610">H4031+I4031-M4031</f>
        <v>0</v>
      </c>
      <c r="O4031" s="1481">
        <f t="shared" si="606"/>
        <v>0</v>
      </c>
      <c r="P4031" s="1427">
        <f t="shared" si="607"/>
        <v>0</v>
      </c>
    </row>
    <row r="4032" spans="1:16" ht="46.5" outlineLevel="1" x14ac:dyDescent="0.25">
      <c r="A4032" s="1482">
        <f t="shared" si="603"/>
        <v>1.2</v>
      </c>
      <c r="B4032" s="1483" t="str">
        <f t="shared" si="603"/>
        <v>Installation of smart soot blower system for unit 5 and 6 boiler (Smart cannons- 8 nos, sealing and cooling air fans – 8 nos, heat flux sensors- 32 nos, HP pump – 1 no</v>
      </c>
      <c r="C4032" s="1482" t="str">
        <f t="shared" si="603"/>
        <v>MERC/CAPEX/20102011/01755</v>
      </c>
      <c r="D4032" s="1390">
        <f t="shared" si="603"/>
        <v>40507</v>
      </c>
      <c r="E4032" s="560">
        <f t="shared" si="603"/>
        <v>11.8</v>
      </c>
      <c r="F4032" s="1508">
        <f t="shared" si="604"/>
        <v>0</v>
      </c>
      <c r="G4032" s="1508">
        <f t="shared" si="605"/>
        <v>0</v>
      </c>
      <c r="H4032" s="1508">
        <f t="shared" si="608"/>
        <v>0</v>
      </c>
      <c r="I4032" s="1480">
        <v>0</v>
      </c>
      <c r="J4032" s="1480">
        <v>0</v>
      </c>
      <c r="K4032" s="1508"/>
      <c r="L4032" s="1508"/>
      <c r="M4032" s="1509">
        <f t="shared" si="609"/>
        <v>0</v>
      </c>
      <c r="N4032" s="1508">
        <f t="shared" si="610"/>
        <v>0</v>
      </c>
      <c r="O4032" s="1481">
        <f t="shared" si="606"/>
        <v>0</v>
      </c>
      <c r="P4032" s="1427">
        <f t="shared" si="607"/>
        <v>0</v>
      </c>
    </row>
    <row r="4033" spans="1:16" ht="62" outlineLevel="1" x14ac:dyDescent="0.25">
      <c r="A4033" s="1482">
        <f t="shared" si="603"/>
        <v>1.3</v>
      </c>
      <c r="B4033" s="1483" t="str">
        <f t="shared" si="603"/>
        <v>Total Replacement of boiler skin and air duct insulation of unit 3 to 7 (Ribbed aluminium cladding – 2000 m2, GI cladding, U bonded rock wool mattresses 100 mm thick )(consists of two schemes)</v>
      </c>
      <c r="C4033" s="1482" t="str">
        <f t="shared" si="603"/>
        <v>MERC/CAPEX/20102011/01755</v>
      </c>
      <c r="D4033" s="1390">
        <f t="shared" si="603"/>
        <v>40507</v>
      </c>
      <c r="E4033" s="560">
        <f t="shared" si="603"/>
        <v>12.3</v>
      </c>
      <c r="F4033" s="1508">
        <f t="shared" si="604"/>
        <v>10.016599048</v>
      </c>
      <c r="G4033" s="1508">
        <f t="shared" si="605"/>
        <v>10.016599048000002</v>
      </c>
      <c r="H4033" s="1508">
        <f t="shared" si="608"/>
        <v>0</v>
      </c>
      <c r="I4033" s="1480">
        <v>0</v>
      </c>
      <c r="J4033" s="1480">
        <v>0</v>
      </c>
      <c r="K4033" s="1508"/>
      <c r="L4033" s="1508"/>
      <c r="M4033" s="1509">
        <f t="shared" si="609"/>
        <v>0</v>
      </c>
      <c r="N4033" s="1508">
        <f t="shared" si="610"/>
        <v>0</v>
      </c>
      <c r="O4033" s="1481">
        <f t="shared" si="606"/>
        <v>0</v>
      </c>
      <c r="P4033" s="1427">
        <f t="shared" si="607"/>
        <v>0</v>
      </c>
    </row>
    <row r="4034" spans="1:16" ht="77.5" outlineLevel="1" x14ac:dyDescent="0.25">
      <c r="A4034" s="1482">
        <f t="shared" si="603"/>
        <v>1.4</v>
      </c>
      <c r="B4034" s="1483" t="str">
        <f t="shared" si="603"/>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4034" s="1482" t="str">
        <f t="shared" si="603"/>
        <v>MERC/CAPEX/20102011/01755</v>
      </c>
      <c r="D4034" s="1390">
        <f t="shared" si="603"/>
        <v>40507</v>
      </c>
      <c r="E4034" s="560">
        <f t="shared" si="603"/>
        <v>7.52</v>
      </c>
      <c r="F4034" s="1508">
        <f t="shared" si="604"/>
        <v>3.8601695880000002</v>
      </c>
      <c r="G4034" s="1508">
        <f t="shared" si="605"/>
        <v>3.8601695880000002</v>
      </c>
      <c r="H4034" s="1508">
        <f t="shared" si="608"/>
        <v>0</v>
      </c>
      <c r="I4034" s="1480">
        <v>0</v>
      </c>
      <c r="J4034" s="1480">
        <v>0</v>
      </c>
      <c r="K4034" s="1508"/>
      <c r="L4034" s="1508"/>
      <c r="M4034" s="1509">
        <f t="shared" si="609"/>
        <v>0</v>
      </c>
      <c r="N4034" s="1508">
        <f t="shared" si="610"/>
        <v>0</v>
      </c>
      <c r="O4034" s="1481">
        <f t="shared" si="606"/>
        <v>0</v>
      </c>
      <c r="P4034" s="1427">
        <f t="shared" si="607"/>
        <v>0</v>
      </c>
    </row>
    <row r="4035" spans="1:16" ht="46.5" outlineLevel="1" x14ac:dyDescent="0.25">
      <c r="A4035" s="1482">
        <f t="shared" si="603"/>
        <v>1.5</v>
      </c>
      <c r="B4035" s="1483" t="str">
        <f t="shared" si="603"/>
        <v>Replacement of ECO coils with gas velocity profiles and erosion control devices for Unit 1 to 6 (U7 middle eco- 69 assemblies, U5&amp;6 middle and lower eco- 65 assemblies each)</v>
      </c>
      <c r="C4035" s="1482" t="str">
        <f t="shared" si="603"/>
        <v>MERC/CAPEX/20102011/01755</v>
      </c>
      <c r="D4035" s="1390">
        <f t="shared" si="603"/>
        <v>40507</v>
      </c>
      <c r="E4035" s="560">
        <f t="shared" si="603"/>
        <v>43.2</v>
      </c>
      <c r="F4035" s="1508">
        <f t="shared" si="604"/>
        <v>56.159367274552196</v>
      </c>
      <c r="G4035" s="1508">
        <f t="shared" si="605"/>
        <v>56.159367274552196</v>
      </c>
      <c r="H4035" s="1508">
        <f t="shared" si="608"/>
        <v>0</v>
      </c>
      <c r="I4035" s="1480">
        <v>0</v>
      </c>
      <c r="J4035" s="1480">
        <v>0</v>
      </c>
      <c r="K4035" s="1508"/>
      <c r="L4035" s="1508"/>
      <c r="M4035" s="1509">
        <f t="shared" si="609"/>
        <v>0</v>
      </c>
      <c r="N4035" s="1508">
        <f t="shared" si="610"/>
        <v>0</v>
      </c>
      <c r="O4035" s="1481">
        <f t="shared" si="606"/>
        <v>0</v>
      </c>
      <c r="P4035" s="1427">
        <f t="shared" si="607"/>
        <v>0</v>
      </c>
    </row>
    <row r="4036" spans="1:16" ht="46.5" outlineLevel="1" x14ac:dyDescent="0.25">
      <c r="A4036" s="1482">
        <f t="shared" si="603"/>
        <v>1.6</v>
      </c>
      <c r="B4036" s="1483" t="str">
        <f t="shared" si="603"/>
        <v>Replacement of LTSH coils with improved tube materials, gas velocity profiles and erosion control devices for unit 3 to 7 (U5&amp;6 LTSH terminal tubes – 58 assemblies)</v>
      </c>
      <c r="C4036" s="1482" t="str">
        <f t="shared" si="603"/>
        <v>MERC/CAPEX/20102011/01755</v>
      </c>
      <c r="D4036" s="1390">
        <f t="shared" si="603"/>
        <v>40507</v>
      </c>
      <c r="E4036" s="560">
        <f t="shared" si="603"/>
        <v>23.4</v>
      </c>
      <c r="F4036" s="1508">
        <f t="shared" si="604"/>
        <v>12.917271588999998</v>
      </c>
      <c r="G4036" s="1508">
        <f t="shared" si="605"/>
        <v>12.917271589</v>
      </c>
      <c r="H4036" s="1508">
        <f t="shared" si="608"/>
        <v>0</v>
      </c>
      <c r="I4036" s="1480">
        <v>0</v>
      </c>
      <c r="J4036" s="1480">
        <v>0</v>
      </c>
      <c r="K4036" s="1508"/>
      <c r="L4036" s="1508"/>
      <c r="M4036" s="1509">
        <f t="shared" si="609"/>
        <v>0</v>
      </c>
      <c r="N4036" s="1508">
        <f t="shared" si="610"/>
        <v>0</v>
      </c>
      <c r="O4036" s="1481">
        <f t="shared" si="606"/>
        <v>0</v>
      </c>
      <c r="P4036" s="1427">
        <f t="shared" si="607"/>
        <v>0</v>
      </c>
    </row>
    <row r="4037" spans="1:16" ht="31" outlineLevel="1" x14ac:dyDescent="0.25">
      <c r="A4037" s="1482">
        <f t="shared" si="603"/>
        <v>1.7</v>
      </c>
      <c r="B4037" s="1483" t="str">
        <f t="shared" si="603"/>
        <v>Replacement of RH platens for Unit 5 &amp; 6 (unit 5- 46 coils, unit 6- 28 coils)</v>
      </c>
      <c r="C4037" s="1482" t="str">
        <f t="shared" si="603"/>
        <v>MERC/CAPEX/20102011/01755</v>
      </c>
      <c r="D4037" s="1390">
        <f t="shared" si="603"/>
        <v>40507</v>
      </c>
      <c r="E4037" s="560">
        <f t="shared" si="603"/>
        <v>27.6</v>
      </c>
      <c r="F4037" s="1508">
        <f t="shared" si="604"/>
        <v>11.3681175</v>
      </c>
      <c r="G4037" s="1508">
        <f t="shared" si="605"/>
        <v>11.3681175</v>
      </c>
      <c r="H4037" s="1508">
        <f t="shared" si="608"/>
        <v>0</v>
      </c>
      <c r="I4037" s="1480">
        <v>0</v>
      </c>
      <c r="J4037" s="1480">
        <v>0</v>
      </c>
      <c r="K4037" s="1508"/>
      <c r="L4037" s="1508"/>
      <c r="M4037" s="1509">
        <f t="shared" si="609"/>
        <v>0</v>
      </c>
      <c r="N4037" s="1508">
        <f t="shared" si="610"/>
        <v>0</v>
      </c>
      <c r="O4037" s="1481">
        <f t="shared" si="606"/>
        <v>0</v>
      </c>
      <c r="P4037" s="1427">
        <f t="shared" si="607"/>
        <v>0</v>
      </c>
    </row>
    <row r="4038" spans="1:16" ht="46.5" outlineLevel="1" x14ac:dyDescent="0.25">
      <c r="A4038" s="1482">
        <f t="shared" si="603"/>
        <v>1.8</v>
      </c>
      <c r="B4038" s="1483" t="str">
        <f t="shared" si="603"/>
        <v>Gas proportioning dampers, flue gas, primary and secondary air dampers should be retrofitted with cold hardened material (SAH dampers- 4 nos)</v>
      </c>
      <c r="C4038" s="1482" t="str">
        <f t="shared" si="603"/>
        <v>MERC/CAPEX/20102011/01755</v>
      </c>
      <c r="D4038" s="1390">
        <f t="shared" si="603"/>
        <v>40507</v>
      </c>
      <c r="E4038" s="560">
        <f t="shared" si="603"/>
        <v>1.43</v>
      </c>
      <c r="F4038" s="1508">
        <f t="shared" si="604"/>
        <v>1.8769309999999999</v>
      </c>
      <c r="G4038" s="1508">
        <f t="shared" si="605"/>
        <v>1.8769309999999999</v>
      </c>
      <c r="H4038" s="1508">
        <f t="shared" si="608"/>
        <v>0</v>
      </c>
      <c r="I4038" s="1480">
        <v>0</v>
      </c>
      <c r="J4038" s="1480">
        <v>0</v>
      </c>
      <c r="K4038" s="1508"/>
      <c r="L4038" s="1508"/>
      <c r="M4038" s="1509">
        <f t="shared" si="609"/>
        <v>0</v>
      </c>
      <c r="N4038" s="1508">
        <f t="shared" si="610"/>
        <v>0</v>
      </c>
      <c r="O4038" s="1481">
        <f t="shared" si="606"/>
        <v>0</v>
      </c>
      <c r="P4038" s="1427">
        <f t="shared" si="607"/>
        <v>0</v>
      </c>
    </row>
    <row r="4039" spans="1:16" ht="93" outlineLevel="1" x14ac:dyDescent="0.25">
      <c r="A4039" s="1484">
        <f t="shared" si="603"/>
        <v>1.9</v>
      </c>
      <c r="B4039" s="1485" t="str">
        <f t="shared" si="603"/>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4039" s="1482" t="str">
        <f t="shared" si="603"/>
        <v>MERC/CAPEX/20102011/01755</v>
      </c>
      <c r="D4039" s="1390">
        <f t="shared" si="603"/>
        <v>40507</v>
      </c>
      <c r="E4039" s="560">
        <f t="shared" si="603"/>
        <v>3.5</v>
      </c>
      <c r="F4039" s="1508">
        <f t="shared" si="604"/>
        <v>4.2488259999999993</v>
      </c>
      <c r="G4039" s="1508">
        <f t="shared" si="605"/>
        <v>4.2488259999999993</v>
      </c>
      <c r="H4039" s="1508">
        <f t="shared" si="608"/>
        <v>0</v>
      </c>
      <c r="I4039" s="1480">
        <v>0</v>
      </c>
      <c r="J4039" s="1480">
        <v>0</v>
      </c>
      <c r="K4039" s="1508"/>
      <c r="L4039" s="1508"/>
      <c r="M4039" s="1509">
        <f t="shared" si="609"/>
        <v>0</v>
      </c>
      <c r="N4039" s="1508">
        <f t="shared" si="610"/>
        <v>0</v>
      </c>
      <c r="O4039" s="1481">
        <f t="shared" si="606"/>
        <v>0</v>
      </c>
      <c r="P4039" s="1427">
        <f t="shared" si="607"/>
        <v>0</v>
      </c>
    </row>
    <row r="4040" spans="1:16" ht="62" outlineLevel="1" x14ac:dyDescent="0.25">
      <c r="A4040" s="1482" t="str">
        <f t="shared" si="603"/>
        <v>1.10</v>
      </c>
      <c r="B4040" s="1483" t="str">
        <f t="shared" si="603"/>
        <v>Reducing the pressure drop across APH in Unit 5, 6 and 7 (CFD analysis and design modification in APH inlet duct, Manufacture and supply and erection of carbide overlay divertet plates – 600 m2</v>
      </c>
      <c r="C4040" s="1482" t="str">
        <f t="shared" si="603"/>
        <v>MERC/CAPEX/20102011/01755</v>
      </c>
      <c r="D4040" s="1390">
        <f t="shared" si="603"/>
        <v>40507</v>
      </c>
      <c r="E4040" s="560">
        <f t="shared" si="603"/>
        <v>2</v>
      </c>
      <c r="F4040" s="1508">
        <f t="shared" si="604"/>
        <v>2.0468280000000001</v>
      </c>
      <c r="G4040" s="1508">
        <f t="shared" si="605"/>
        <v>2.0468280000000001</v>
      </c>
      <c r="H4040" s="1508">
        <f t="shared" si="608"/>
        <v>0</v>
      </c>
      <c r="I4040" s="1480">
        <v>0</v>
      </c>
      <c r="J4040" s="1480">
        <v>0</v>
      </c>
      <c r="K4040" s="1508"/>
      <c r="L4040" s="1508"/>
      <c r="M4040" s="1509">
        <f t="shared" si="609"/>
        <v>0</v>
      </c>
      <c r="N4040" s="1508">
        <f t="shared" si="610"/>
        <v>0</v>
      </c>
      <c r="O4040" s="1481">
        <f t="shared" si="606"/>
        <v>0</v>
      </c>
      <c r="P4040" s="1427">
        <f t="shared" si="607"/>
        <v>0</v>
      </c>
    </row>
    <row r="4041" spans="1:16" ht="15.5" outlineLevel="1" x14ac:dyDescent="0.25">
      <c r="A4041" s="1482">
        <f t="shared" si="603"/>
        <v>1.1100000000000001</v>
      </c>
      <c r="B4041" s="1483" t="str">
        <f t="shared" si="603"/>
        <v>Reducing the pressure drop across ESP</v>
      </c>
      <c r="C4041" s="1482" t="str">
        <f t="shared" si="603"/>
        <v>MERC/CAPEX/20102011/01755</v>
      </c>
      <c r="D4041" s="1390">
        <f t="shared" si="603"/>
        <v>40507</v>
      </c>
      <c r="E4041" s="560">
        <f t="shared" si="603"/>
        <v>0</v>
      </c>
      <c r="F4041" s="1508">
        <f t="shared" si="604"/>
        <v>0</v>
      </c>
      <c r="G4041" s="1508">
        <f t="shared" si="605"/>
        <v>0</v>
      </c>
      <c r="H4041" s="1508">
        <f t="shared" si="608"/>
        <v>0</v>
      </c>
      <c r="I4041" s="1480">
        <v>0</v>
      </c>
      <c r="J4041" s="1480">
        <v>0</v>
      </c>
      <c r="K4041" s="1508"/>
      <c r="L4041" s="1508"/>
      <c r="M4041" s="1509">
        <f t="shared" si="609"/>
        <v>0</v>
      </c>
      <c r="N4041" s="1508">
        <f t="shared" si="610"/>
        <v>0</v>
      </c>
      <c r="O4041" s="1481">
        <f t="shared" si="606"/>
        <v>0</v>
      </c>
      <c r="P4041" s="1427">
        <f t="shared" si="607"/>
        <v>0</v>
      </c>
    </row>
    <row r="4042" spans="1:16" ht="31" outlineLevel="1" x14ac:dyDescent="0.25">
      <c r="A4042" s="1482">
        <f t="shared" si="603"/>
        <v>1.1200000000000001</v>
      </c>
      <c r="B4042" s="1483" t="str">
        <f t="shared" si="603"/>
        <v>Replacement  of CT fan blades from GRP to FRP and resizing the motor to 75 kw</v>
      </c>
      <c r="C4042" s="1482" t="str">
        <f t="shared" si="603"/>
        <v>MERC/CAPEX/20102011/01755</v>
      </c>
      <c r="D4042" s="1390">
        <f t="shared" si="603"/>
        <v>40507</v>
      </c>
      <c r="E4042" s="560">
        <f t="shared" si="603"/>
        <v>2.9129999999999998</v>
      </c>
      <c r="F4042" s="1508">
        <f t="shared" si="604"/>
        <v>1.6187437680000003</v>
      </c>
      <c r="G4042" s="1508">
        <f t="shared" si="605"/>
        <v>1.6187437679999999</v>
      </c>
      <c r="H4042" s="1508">
        <f t="shared" si="608"/>
        <v>0</v>
      </c>
      <c r="I4042" s="1480">
        <v>0</v>
      </c>
      <c r="J4042" s="1480">
        <v>0</v>
      </c>
      <c r="K4042" s="1508"/>
      <c r="L4042" s="1508"/>
      <c r="M4042" s="1509">
        <f t="shared" si="609"/>
        <v>0</v>
      </c>
      <c r="N4042" s="1508">
        <f t="shared" si="610"/>
        <v>0</v>
      </c>
      <c r="O4042" s="1481">
        <f t="shared" si="606"/>
        <v>0</v>
      </c>
      <c r="P4042" s="1427">
        <f t="shared" si="607"/>
        <v>0</v>
      </c>
    </row>
    <row r="4043" spans="1:16" ht="31" outlineLevel="1" x14ac:dyDescent="0.25">
      <c r="A4043" s="1482">
        <f t="shared" si="603"/>
        <v>1.1299999999999999</v>
      </c>
      <c r="B4043" s="1483" t="str">
        <f t="shared" si="603"/>
        <v>Improving the BFP efficiency by overhauling of pump and motors for unit 3 &amp;4</v>
      </c>
      <c r="C4043" s="1482" t="str">
        <f t="shared" si="603"/>
        <v>MERC/CAPEX/20102011/01755</v>
      </c>
      <c r="D4043" s="1390">
        <f t="shared" si="603"/>
        <v>40507</v>
      </c>
      <c r="E4043" s="560">
        <f t="shared" si="603"/>
        <v>15</v>
      </c>
      <c r="F4043" s="1508">
        <f t="shared" si="604"/>
        <v>14.851620102999998</v>
      </c>
      <c r="G4043" s="1508">
        <f t="shared" si="605"/>
        <v>14.851620102999998</v>
      </c>
      <c r="H4043" s="1508">
        <f t="shared" si="608"/>
        <v>0</v>
      </c>
      <c r="I4043" s="1480">
        <v>0</v>
      </c>
      <c r="J4043" s="1480">
        <v>0</v>
      </c>
      <c r="K4043" s="1508"/>
      <c r="L4043" s="1508"/>
      <c r="M4043" s="1509">
        <f t="shared" si="609"/>
        <v>0</v>
      </c>
      <c r="N4043" s="1508">
        <f t="shared" si="610"/>
        <v>0</v>
      </c>
      <c r="O4043" s="1481">
        <f t="shared" si="606"/>
        <v>0</v>
      </c>
      <c r="P4043" s="1427">
        <f t="shared" si="607"/>
        <v>0</v>
      </c>
    </row>
    <row r="4044" spans="1:16" ht="31" outlineLevel="1" x14ac:dyDescent="0.25">
      <c r="A4044" s="1482">
        <f t="shared" si="603"/>
        <v>1.1399999999999999</v>
      </c>
      <c r="B4044" s="1483" t="str">
        <f t="shared" si="603"/>
        <v>During the next capital overhaul, restoration of the steam paths through steam path audits for unit 1 to 7</v>
      </c>
      <c r="C4044" s="1482" t="str">
        <f t="shared" si="603"/>
        <v>MERC/CAPEX/20102011/01755</v>
      </c>
      <c r="D4044" s="1390">
        <f t="shared" si="603"/>
        <v>40507</v>
      </c>
      <c r="E4044" s="560">
        <f t="shared" si="603"/>
        <v>4.6040000000000001</v>
      </c>
      <c r="F4044" s="1508">
        <f t="shared" si="604"/>
        <v>8.9775599999999997E-2</v>
      </c>
      <c r="G4044" s="1508">
        <f t="shared" si="605"/>
        <v>8.9775599999999997E-2</v>
      </c>
      <c r="H4044" s="1508">
        <f t="shared" si="608"/>
        <v>0</v>
      </c>
      <c r="I4044" s="1480">
        <v>0</v>
      </c>
      <c r="J4044" s="1480">
        <v>0</v>
      </c>
      <c r="K4044" s="1508"/>
      <c r="L4044" s="1508"/>
      <c r="M4044" s="1509">
        <f t="shared" si="609"/>
        <v>0</v>
      </c>
      <c r="N4044" s="1508">
        <f t="shared" si="610"/>
        <v>0</v>
      </c>
      <c r="O4044" s="1481">
        <f t="shared" si="606"/>
        <v>0</v>
      </c>
      <c r="P4044" s="1427">
        <f t="shared" si="607"/>
        <v>0</v>
      </c>
    </row>
    <row r="4045" spans="1:16" ht="31" outlineLevel="1" x14ac:dyDescent="0.25">
      <c r="A4045" s="1482">
        <f t="shared" si="603"/>
        <v>1.1499999999999999</v>
      </c>
      <c r="B4045" s="1483" t="str">
        <f t="shared" si="603"/>
        <v>Continuous monitoring system for CO in the furnace and flue gas ducting zone for Unit 3 to 7</v>
      </c>
      <c r="C4045" s="1482" t="str">
        <f t="shared" si="603"/>
        <v>MERC/CAPEX/20102011/01755</v>
      </c>
      <c r="D4045" s="1390">
        <f t="shared" si="603"/>
        <v>40507</v>
      </c>
      <c r="E4045" s="560">
        <f t="shared" si="603"/>
        <v>10.5</v>
      </c>
      <c r="F4045" s="1508">
        <f t="shared" si="604"/>
        <v>0</v>
      </c>
      <c r="G4045" s="1508">
        <f t="shared" si="605"/>
        <v>0</v>
      </c>
      <c r="H4045" s="1508">
        <f t="shared" si="608"/>
        <v>0</v>
      </c>
      <c r="I4045" s="1480">
        <v>0</v>
      </c>
      <c r="J4045" s="1480">
        <v>0</v>
      </c>
      <c r="K4045" s="1508"/>
      <c r="L4045" s="1508"/>
      <c r="M4045" s="1509">
        <f t="shared" si="609"/>
        <v>0</v>
      </c>
      <c r="N4045" s="1508">
        <f t="shared" si="610"/>
        <v>0</v>
      </c>
      <c r="O4045" s="1481">
        <f t="shared" si="606"/>
        <v>0</v>
      </c>
      <c r="P4045" s="1427">
        <f t="shared" si="607"/>
        <v>0</v>
      </c>
    </row>
    <row r="4046" spans="1:16" ht="31" outlineLevel="1" x14ac:dyDescent="0.25">
      <c r="A4046" s="1482">
        <f t="shared" ref="A4046:E4061" si="611">A3376</f>
        <v>1.1599999999999999</v>
      </c>
      <c r="B4046" s="1483" t="str">
        <f t="shared" si="611"/>
        <v>Oxygen measurement must be introduced at APH inlet and after ID fan outlet  for unit 1 to 7</v>
      </c>
      <c r="C4046" s="1482" t="str">
        <f t="shared" si="611"/>
        <v>MERC/CAPEX/20102011/01755</v>
      </c>
      <c r="D4046" s="1390">
        <f t="shared" si="611"/>
        <v>40507</v>
      </c>
      <c r="E4046" s="560">
        <f t="shared" si="611"/>
        <v>4.91</v>
      </c>
      <c r="F4046" s="1508">
        <f t="shared" si="604"/>
        <v>3.543640452</v>
      </c>
      <c r="G4046" s="1508">
        <f t="shared" si="605"/>
        <v>3.543640452</v>
      </c>
      <c r="H4046" s="1508">
        <f t="shared" si="608"/>
        <v>0</v>
      </c>
      <c r="I4046" s="1480">
        <v>0</v>
      </c>
      <c r="J4046" s="1480">
        <v>0</v>
      </c>
      <c r="K4046" s="1508"/>
      <c r="L4046" s="1508"/>
      <c r="M4046" s="1509">
        <f t="shared" si="609"/>
        <v>0</v>
      </c>
      <c r="N4046" s="1508">
        <f t="shared" si="610"/>
        <v>0</v>
      </c>
      <c r="O4046" s="1481">
        <f t="shared" si="606"/>
        <v>0</v>
      </c>
      <c r="P4046" s="1427">
        <f t="shared" si="607"/>
        <v>0</v>
      </c>
    </row>
    <row r="4047" spans="1:16" ht="15.5" outlineLevel="1" x14ac:dyDescent="0.25">
      <c r="A4047" s="1482">
        <f t="shared" si="611"/>
        <v>0</v>
      </c>
      <c r="B4047" s="1483" t="str">
        <f t="shared" si="611"/>
        <v>IDC</v>
      </c>
      <c r="C4047" s="1482" t="str">
        <f t="shared" si="611"/>
        <v>MERC/CAPEX/20102011/01755</v>
      </c>
      <c r="D4047" s="1390">
        <f t="shared" si="611"/>
        <v>40507</v>
      </c>
      <c r="E4047" s="560">
        <f t="shared" si="611"/>
        <v>10.09</v>
      </c>
      <c r="F4047" s="1508">
        <f t="shared" si="604"/>
        <v>0</v>
      </c>
      <c r="G4047" s="1508">
        <f t="shared" si="605"/>
        <v>0</v>
      </c>
      <c r="H4047" s="1508">
        <f t="shared" si="608"/>
        <v>0</v>
      </c>
      <c r="I4047" s="1480">
        <v>0</v>
      </c>
      <c r="J4047" s="1480">
        <v>0</v>
      </c>
      <c r="K4047" s="1508"/>
      <c r="L4047" s="1508"/>
      <c r="M4047" s="1509">
        <f t="shared" si="609"/>
        <v>0</v>
      </c>
      <c r="N4047" s="1508">
        <f t="shared" si="610"/>
        <v>0</v>
      </c>
      <c r="O4047" s="1481">
        <f t="shared" si="606"/>
        <v>0</v>
      </c>
      <c r="P4047" s="1427">
        <f t="shared" si="607"/>
        <v>0</v>
      </c>
    </row>
    <row r="4048" spans="1:16" ht="15.5" outlineLevel="1" x14ac:dyDescent="0.25">
      <c r="A4048" s="1477">
        <f t="shared" si="611"/>
        <v>2</v>
      </c>
      <c r="B4048" s="1478" t="str">
        <f t="shared" si="611"/>
        <v>Input source Measurement</v>
      </c>
      <c r="C4048" s="1486" t="str">
        <f t="shared" si="611"/>
        <v>MERC/CAPEX/20112012/00925</v>
      </c>
      <c r="D4048" s="1487">
        <f t="shared" si="611"/>
        <v>40730</v>
      </c>
      <c r="E4048" s="1383">
        <f t="shared" si="611"/>
        <v>20.990099999999998</v>
      </c>
      <c r="F4048" s="1480">
        <f t="shared" si="604"/>
        <v>0</v>
      </c>
      <c r="G4048" s="1480">
        <f t="shared" si="605"/>
        <v>0</v>
      </c>
      <c r="H4048" s="1480">
        <f t="shared" si="608"/>
        <v>0</v>
      </c>
      <c r="I4048" s="1480">
        <v>0</v>
      </c>
      <c r="J4048" s="1480">
        <v>0</v>
      </c>
      <c r="K4048" s="1480"/>
      <c r="L4048" s="1480"/>
      <c r="M4048" s="1480">
        <f t="shared" si="609"/>
        <v>0</v>
      </c>
      <c r="N4048" s="1480">
        <f t="shared" si="610"/>
        <v>0</v>
      </c>
      <c r="O4048" s="1481">
        <f t="shared" si="606"/>
        <v>0</v>
      </c>
      <c r="P4048" s="1427">
        <f t="shared" si="607"/>
        <v>0</v>
      </c>
    </row>
    <row r="4049" spans="1:16" ht="46.5" outlineLevel="1" x14ac:dyDescent="0.25">
      <c r="A4049" s="1482">
        <f t="shared" si="611"/>
        <v>2.1</v>
      </c>
      <c r="B4049" s="1483" t="str">
        <f t="shared" si="611"/>
        <v>Installation of Guided wave radar type level indicators for all fuel oil tanks of unit-1 to 7 DTFA 15 tanks and MTFA 15 tanks (total 30 tanks)</v>
      </c>
      <c r="C4049" s="1482" t="str">
        <f t="shared" si="611"/>
        <v>MERC/CAPEX/20112012/00925</v>
      </c>
      <c r="D4049" s="1390">
        <f t="shared" si="611"/>
        <v>40730</v>
      </c>
      <c r="E4049" s="560">
        <f t="shared" si="611"/>
        <v>1.0398000000000001</v>
      </c>
      <c r="F4049" s="1508">
        <f t="shared" si="604"/>
        <v>0.70700000000000007</v>
      </c>
      <c r="G4049" s="1508">
        <f t="shared" si="605"/>
        <v>0.70700000000000007</v>
      </c>
      <c r="H4049" s="1508">
        <f t="shared" si="608"/>
        <v>0</v>
      </c>
      <c r="I4049" s="1480">
        <v>0</v>
      </c>
      <c r="J4049" s="1480">
        <v>0</v>
      </c>
      <c r="K4049" s="1508"/>
      <c r="L4049" s="1508"/>
      <c r="M4049" s="1509">
        <f t="shared" si="609"/>
        <v>0</v>
      </c>
      <c r="N4049" s="1508">
        <f t="shared" si="610"/>
        <v>0</v>
      </c>
      <c r="O4049" s="1481">
        <f t="shared" si="606"/>
        <v>0</v>
      </c>
      <c r="P4049" s="1427">
        <f t="shared" si="607"/>
        <v>0</v>
      </c>
    </row>
    <row r="4050" spans="1:16" ht="31" outlineLevel="1" x14ac:dyDescent="0.25">
      <c r="A4050" s="1482">
        <f t="shared" si="611"/>
        <v>2.2000000000000002</v>
      </c>
      <c r="B4050" s="1483" t="str">
        <f t="shared" si="611"/>
        <v>Installation of mass based oil flow meters with provision for continuous digital transfer (20 transmitters)</v>
      </c>
      <c r="C4050" s="1482" t="str">
        <f t="shared" si="611"/>
        <v>MERC/CAPEX/20112012/00925</v>
      </c>
      <c r="D4050" s="1390">
        <f t="shared" si="611"/>
        <v>40730</v>
      </c>
      <c r="E4050" s="560">
        <f t="shared" si="611"/>
        <v>3.1379999999999999</v>
      </c>
      <c r="F4050" s="1508">
        <f t="shared" si="604"/>
        <v>0</v>
      </c>
      <c r="G4050" s="1508">
        <f t="shared" si="605"/>
        <v>0</v>
      </c>
      <c r="H4050" s="1508">
        <f t="shared" si="608"/>
        <v>0</v>
      </c>
      <c r="I4050" s="1480">
        <v>0</v>
      </c>
      <c r="J4050" s="1480">
        <v>0</v>
      </c>
      <c r="K4050" s="1508"/>
      <c r="L4050" s="1508"/>
      <c r="M4050" s="1509">
        <f t="shared" si="609"/>
        <v>0</v>
      </c>
      <c r="N4050" s="1508">
        <f t="shared" si="610"/>
        <v>0</v>
      </c>
      <c r="O4050" s="1481">
        <f t="shared" si="606"/>
        <v>0</v>
      </c>
      <c r="P4050" s="1427">
        <f t="shared" si="607"/>
        <v>0</v>
      </c>
    </row>
    <row r="4051" spans="1:16" ht="31" outlineLevel="1" x14ac:dyDescent="0.25">
      <c r="A4051" s="1482">
        <f t="shared" si="611"/>
        <v>2.2999999999999998</v>
      </c>
      <c r="B4051" s="1483" t="str">
        <f t="shared" si="611"/>
        <v>Installation of 54 Nos. of ultrasonic type Flow measurement transmitters for water consumption monitoring</v>
      </c>
      <c r="C4051" s="1482" t="str">
        <f t="shared" si="611"/>
        <v>MERC/CAPEX/20112012/00925</v>
      </c>
      <c r="D4051" s="1390">
        <f t="shared" si="611"/>
        <v>40730</v>
      </c>
      <c r="E4051" s="560">
        <f t="shared" si="611"/>
        <v>3.0657000000000001</v>
      </c>
      <c r="F4051" s="1508">
        <f t="shared" si="604"/>
        <v>1.7642598999999999</v>
      </c>
      <c r="G4051" s="1508">
        <f t="shared" si="605"/>
        <v>1.7642598999999999</v>
      </c>
      <c r="H4051" s="1508">
        <f t="shared" si="608"/>
        <v>0</v>
      </c>
      <c r="I4051" s="1480">
        <v>0</v>
      </c>
      <c r="J4051" s="1480">
        <v>0</v>
      </c>
      <c r="K4051" s="1508"/>
      <c r="L4051" s="1508"/>
      <c r="M4051" s="1509">
        <f t="shared" si="609"/>
        <v>0</v>
      </c>
      <c r="N4051" s="1508">
        <f t="shared" si="610"/>
        <v>0</v>
      </c>
      <c r="O4051" s="1481">
        <f t="shared" si="606"/>
        <v>0</v>
      </c>
      <c r="P4051" s="1427">
        <f t="shared" si="607"/>
        <v>0</v>
      </c>
    </row>
    <row r="4052" spans="1:16" ht="31" outlineLevel="1" x14ac:dyDescent="0.25">
      <c r="A4052" s="1482">
        <f t="shared" si="611"/>
        <v>2.4</v>
      </c>
      <c r="B4052" s="1483" t="str">
        <f t="shared" si="611"/>
        <v>Trivector Meters for Auxiliary power measurement of GT (7 Nos).</v>
      </c>
      <c r="C4052" s="1488" t="str">
        <f t="shared" si="611"/>
        <v>MERC/CAPEX/20112012/00925</v>
      </c>
      <c r="D4052" s="1413">
        <f t="shared" si="611"/>
        <v>40730</v>
      </c>
      <c r="E4052" s="560">
        <f t="shared" si="611"/>
        <v>2.1100000000000001E-2</v>
      </c>
      <c r="F4052" s="1508">
        <f t="shared" si="604"/>
        <v>0</v>
      </c>
      <c r="G4052" s="1508">
        <f t="shared" si="605"/>
        <v>0</v>
      </c>
      <c r="H4052" s="1508">
        <f t="shared" si="608"/>
        <v>0</v>
      </c>
      <c r="I4052" s="1480">
        <v>0</v>
      </c>
      <c r="J4052" s="1480">
        <v>0</v>
      </c>
      <c r="K4052" s="1508"/>
      <c r="L4052" s="1508"/>
      <c r="M4052" s="1509">
        <f t="shared" si="609"/>
        <v>0</v>
      </c>
      <c r="N4052" s="1508">
        <f t="shared" si="610"/>
        <v>0</v>
      </c>
      <c r="O4052" s="1481">
        <f t="shared" si="606"/>
        <v>0</v>
      </c>
      <c r="P4052" s="1427">
        <f t="shared" si="607"/>
        <v>0</v>
      </c>
    </row>
    <row r="4053" spans="1:16" ht="31" outlineLevel="1" x14ac:dyDescent="0.25">
      <c r="A4053" s="1482">
        <f t="shared" si="611"/>
        <v>2.5</v>
      </c>
      <c r="B4053" s="1483" t="str">
        <f t="shared" si="611"/>
        <v>Standard Meters for Auxiliary power measurement for sp. Consumption of Auxiliary transformer, Limbs and auxiliaries.</v>
      </c>
      <c r="C4053" s="1482" t="str">
        <f t="shared" si="611"/>
        <v>MERC/CAPEX/20112012/00925</v>
      </c>
      <c r="D4053" s="1390">
        <f t="shared" si="611"/>
        <v>40730</v>
      </c>
      <c r="E4053" s="560">
        <f t="shared" si="611"/>
        <v>0.49540000000000001</v>
      </c>
      <c r="F4053" s="1508">
        <f t="shared" si="604"/>
        <v>0.29783999999999999</v>
      </c>
      <c r="G4053" s="1508">
        <f t="shared" si="605"/>
        <v>0.29783999999999999</v>
      </c>
      <c r="H4053" s="1508">
        <f t="shared" si="608"/>
        <v>0</v>
      </c>
      <c r="I4053" s="1480">
        <v>0</v>
      </c>
      <c r="J4053" s="1480">
        <v>0</v>
      </c>
      <c r="K4053" s="1508"/>
      <c r="L4053" s="1508"/>
      <c r="M4053" s="1509">
        <f t="shared" si="609"/>
        <v>0</v>
      </c>
      <c r="N4053" s="1508">
        <f t="shared" si="610"/>
        <v>0</v>
      </c>
      <c r="O4053" s="1481">
        <f t="shared" si="606"/>
        <v>0</v>
      </c>
      <c r="P4053" s="1427">
        <f t="shared" si="607"/>
        <v>0</v>
      </c>
    </row>
    <row r="4054" spans="1:16" ht="15.5" outlineLevel="1" x14ac:dyDescent="0.25">
      <c r="A4054" s="1482">
        <f t="shared" si="611"/>
        <v>2.6</v>
      </c>
      <c r="B4054" s="1483" t="str">
        <f t="shared" si="611"/>
        <v>Belt weighers (28 Nos.)</v>
      </c>
      <c r="C4054" s="1482" t="str">
        <f t="shared" si="611"/>
        <v>MERC/CAPEX/20112012/00925</v>
      </c>
      <c r="D4054" s="1390">
        <f t="shared" si="611"/>
        <v>40730</v>
      </c>
      <c r="E4054" s="560">
        <f t="shared" si="611"/>
        <v>3.3195999999999999</v>
      </c>
      <c r="F4054" s="1508">
        <f t="shared" si="604"/>
        <v>0</v>
      </c>
      <c r="G4054" s="1508">
        <f t="shared" si="605"/>
        <v>0</v>
      </c>
      <c r="H4054" s="1508">
        <f t="shared" si="608"/>
        <v>0</v>
      </c>
      <c r="I4054" s="1480">
        <v>0</v>
      </c>
      <c r="J4054" s="1480">
        <v>0</v>
      </c>
      <c r="K4054" s="1508"/>
      <c r="L4054" s="1508"/>
      <c r="M4054" s="1509">
        <f t="shared" si="609"/>
        <v>0</v>
      </c>
      <c r="N4054" s="1508">
        <f t="shared" si="610"/>
        <v>0</v>
      </c>
      <c r="O4054" s="1481">
        <f t="shared" si="606"/>
        <v>0</v>
      </c>
      <c r="P4054" s="1427">
        <f t="shared" si="607"/>
        <v>0</v>
      </c>
    </row>
    <row r="4055" spans="1:16" ht="15.5" outlineLevel="1" x14ac:dyDescent="0.25">
      <c r="A4055" s="1482">
        <f t="shared" si="611"/>
        <v>2.7</v>
      </c>
      <c r="B4055" s="1483" t="str">
        <f t="shared" si="611"/>
        <v>In motion weigh bridge (10 Nos).</v>
      </c>
      <c r="C4055" s="1482" t="str">
        <f t="shared" si="611"/>
        <v>MERC/CAPEX/20112012/00925</v>
      </c>
      <c r="D4055" s="1390">
        <f t="shared" si="611"/>
        <v>40730</v>
      </c>
      <c r="E4055" s="560">
        <f t="shared" si="611"/>
        <v>4.5396000000000001</v>
      </c>
      <c r="F4055" s="1508">
        <f t="shared" si="604"/>
        <v>0.19084200000000001</v>
      </c>
      <c r="G4055" s="1508">
        <f t="shared" si="605"/>
        <v>0.19084200000000001</v>
      </c>
      <c r="H4055" s="1508">
        <f t="shared" si="608"/>
        <v>0</v>
      </c>
      <c r="I4055" s="1480">
        <v>0</v>
      </c>
      <c r="J4055" s="1480">
        <v>0</v>
      </c>
      <c r="K4055" s="1508"/>
      <c r="L4055" s="1508"/>
      <c r="M4055" s="1509">
        <f t="shared" si="609"/>
        <v>0</v>
      </c>
      <c r="N4055" s="1508">
        <f t="shared" si="610"/>
        <v>0</v>
      </c>
      <c r="O4055" s="1481">
        <f t="shared" si="606"/>
        <v>0</v>
      </c>
      <c r="P4055" s="1427">
        <f t="shared" si="607"/>
        <v>0</v>
      </c>
    </row>
    <row r="4056" spans="1:16" ht="15.5" outlineLevel="1" x14ac:dyDescent="0.25">
      <c r="A4056" s="1482">
        <f t="shared" si="611"/>
        <v>2.8</v>
      </c>
      <c r="B4056" s="1483" t="str">
        <f t="shared" si="611"/>
        <v>Bunker level transmitters (50 Nos.)</v>
      </c>
      <c r="C4056" s="1482" t="str">
        <f t="shared" si="611"/>
        <v>MERC/CAPEX/20112012/00925</v>
      </c>
      <c r="D4056" s="1390">
        <f t="shared" si="611"/>
        <v>40730</v>
      </c>
      <c r="E4056" s="560">
        <f t="shared" si="611"/>
        <v>2.5285000000000002</v>
      </c>
      <c r="F4056" s="1508">
        <f t="shared" si="604"/>
        <v>0</v>
      </c>
      <c r="G4056" s="1508">
        <f t="shared" si="605"/>
        <v>0</v>
      </c>
      <c r="H4056" s="1508">
        <f t="shared" si="608"/>
        <v>0</v>
      </c>
      <c r="I4056" s="1480">
        <v>0</v>
      </c>
      <c r="J4056" s="1480">
        <v>0</v>
      </c>
      <c r="K4056" s="1508"/>
      <c r="L4056" s="1508"/>
      <c r="M4056" s="1509">
        <f t="shared" si="609"/>
        <v>0</v>
      </c>
      <c r="N4056" s="1508">
        <f t="shared" si="610"/>
        <v>0</v>
      </c>
      <c r="O4056" s="1481">
        <f t="shared" si="606"/>
        <v>0</v>
      </c>
      <c r="P4056" s="1427">
        <f t="shared" si="607"/>
        <v>0</v>
      </c>
    </row>
    <row r="4057" spans="1:16" ht="15.5" outlineLevel="1" x14ac:dyDescent="0.25">
      <c r="A4057" s="1482">
        <f t="shared" si="611"/>
        <v>2.9</v>
      </c>
      <c r="B4057" s="1483" t="str">
        <f t="shared" si="611"/>
        <v>Flap Gate sensors (120 Nos.)</v>
      </c>
      <c r="C4057" s="1482" t="str">
        <f t="shared" si="611"/>
        <v>MERC/CAPEX/20112012/00925</v>
      </c>
      <c r="D4057" s="1390">
        <f t="shared" si="611"/>
        <v>40730</v>
      </c>
      <c r="E4057" s="560">
        <f t="shared" si="611"/>
        <v>0.1225</v>
      </c>
      <c r="F4057" s="1508">
        <f t="shared" si="604"/>
        <v>0</v>
      </c>
      <c r="G4057" s="1508">
        <f t="shared" si="605"/>
        <v>0</v>
      </c>
      <c r="H4057" s="1508">
        <f t="shared" si="608"/>
        <v>0</v>
      </c>
      <c r="I4057" s="1480">
        <v>0</v>
      </c>
      <c r="J4057" s="1480">
        <v>0</v>
      </c>
      <c r="K4057" s="1508"/>
      <c r="L4057" s="1508"/>
      <c r="M4057" s="1509">
        <f t="shared" si="609"/>
        <v>0</v>
      </c>
      <c r="N4057" s="1508">
        <f t="shared" si="610"/>
        <v>0</v>
      </c>
      <c r="O4057" s="1481">
        <f t="shared" si="606"/>
        <v>0</v>
      </c>
      <c r="P4057" s="1427">
        <f t="shared" si="607"/>
        <v>0</v>
      </c>
    </row>
    <row r="4058" spans="1:16" ht="15.5" outlineLevel="1" x14ac:dyDescent="0.25">
      <c r="A4058" s="1482" t="str">
        <f t="shared" si="611"/>
        <v>2.10</v>
      </c>
      <c r="B4058" s="1483" t="str">
        <f t="shared" si="611"/>
        <v>PLC (20 Nos)</v>
      </c>
      <c r="C4058" s="1482" t="str">
        <f t="shared" si="611"/>
        <v>MERC/CAPEX/20112012/00925</v>
      </c>
      <c r="D4058" s="1390">
        <f t="shared" si="611"/>
        <v>40730</v>
      </c>
      <c r="E4058" s="560">
        <f t="shared" si="611"/>
        <v>0.5333</v>
      </c>
      <c r="F4058" s="1508">
        <f t="shared" si="604"/>
        <v>0</v>
      </c>
      <c r="G4058" s="1508">
        <f t="shared" si="605"/>
        <v>0</v>
      </c>
      <c r="H4058" s="1508">
        <f t="shared" si="608"/>
        <v>0</v>
      </c>
      <c r="I4058" s="1480">
        <v>0</v>
      </c>
      <c r="J4058" s="1480">
        <v>0</v>
      </c>
      <c r="K4058" s="1508"/>
      <c r="L4058" s="1508"/>
      <c r="M4058" s="1509">
        <f t="shared" si="609"/>
        <v>0</v>
      </c>
      <c r="N4058" s="1508">
        <f t="shared" si="610"/>
        <v>0</v>
      </c>
      <c r="O4058" s="1481">
        <f t="shared" si="606"/>
        <v>0</v>
      </c>
      <c r="P4058" s="1427">
        <f t="shared" si="607"/>
        <v>0</v>
      </c>
    </row>
    <row r="4059" spans="1:16" ht="15.5" outlineLevel="1" x14ac:dyDescent="0.25">
      <c r="A4059" s="1482">
        <f t="shared" si="611"/>
        <v>2.11</v>
      </c>
      <c r="B4059" s="1483" t="str">
        <f t="shared" si="611"/>
        <v>Cables (20,000 meters estimated)</v>
      </c>
      <c r="C4059" s="1482" t="str">
        <f t="shared" si="611"/>
        <v>MERC/CAPEX/20112012/00925</v>
      </c>
      <c r="D4059" s="1390">
        <f t="shared" si="611"/>
        <v>40730</v>
      </c>
      <c r="E4059" s="560">
        <f t="shared" si="611"/>
        <v>1.0216000000000001</v>
      </c>
      <c r="F4059" s="1508">
        <f t="shared" si="604"/>
        <v>0</v>
      </c>
      <c r="G4059" s="1508">
        <f t="shared" si="605"/>
        <v>0</v>
      </c>
      <c r="H4059" s="1508">
        <f t="shared" si="608"/>
        <v>0</v>
      </c>
      <c r="I4059" s="1480">
        <v>0</v>
      </c>
      <c r="J4059" s="1480">
        <v>0</v>
      </c>
      <c r="K4059" s="1508"/>
      <c r="L4059" s="1508"/>
      <c r="M4059" s="1509">
        <f t="shared" si="609"/>
        <v>0</v>
      </c>
      <c r="N4059" s="1508">
        <f t="shared" si="610"/>
        <v>0</v>
      </c>
      <c r="O4059" s="1481">
        <f t="shared" si="606"/>
        <v>0</v>
      </c>
      <c r="P4059" s="1427">
        <f t="shared" si="607"/>
        <v>0</v>
      </c>
    </row>
    <row r="4060" spans="1:16" ht="15.5" outlineLevel="1" x14ac:dyDescent="0.25">
      <c r="A4060" s="1482">
        <f t="shared" si="611"/>
        <v>0</v>
      </c>
      <c r="B4060" s="1483" t="str">
        <f t="shared" si="611"/>
        <v>IDC</v>
      </c>
      <c r="C4060" s="1482" t="str">
        <f t="shared" si="611"/>
        <v>MERC/CAPEX/20112012/00925</v>
      </c>
      <c r="D4060" s="1390">
        <f t="shared" si="611"/>
        <v>40730</v>
      </c>
      <c r="E4060" s="560">
        <f t="shared" si="611"/>
        <v>1.165</v>
      </c>
      <c r="F4060" s="1508">
        <f t="shared" si="604"/>
        <v>0</v>
      </c>
      <c r="G4060" s="1508">
        <f t="shared" si="605"/>
        <v>0</v>
      </c>
      <c r="H4060" s="1508">
        <f t="shared" si="608"/>
        <v>0</v>
      </c>
      <c r="I4060" s="1480">
        <v>0</v>
      </c>
      <c r="J4060" s="1480">
        <v>0</v>
      </c>
      <c r="K4060" s="1508"/>
      <c r="L4060" s="1508"/>
      <c r="M4060" s="1509">
        <f t="shared" si="609"/>
        <v>0</v>
      </c>
      <c r="N4060" s="1508">
        <f t="shared" si="610"/>
        <v>0</v>
      </c>
      <c r="O4060" s="1481">
        <f t="shared" si="606"/>
        <v>0</v>
      </c>
      <c r="P4060" s="1427">
        <f t="shared" si="607"/>
        <v>0</v>
      </c>
    </row>
    <row r="4061" spans="1:16" ht="15.5" outlineLevel="1" x14ac:dyDescent="0.25">
      <c r="A4061" s="1489">
        <f t="shared" si="611"/>
        <v>3</v>
      </c>
      <c r="B4061" s="1490" t="str">
        <f t="shared" si="611"/>
        <v>ESP Restoration/Refurbishment</v>
      </c>
      <c r="C4061" s="1477" t="str">
        <f t="shared" si="611"/>
        <v>MERC/CAPEX/20112012/00939</v>
      </c>
      <c r="D4061" s="1479">
        <f t="shared" si="611"/>
        <v>40731</v>
      </c>
      <c r="E4061" s="1383">
        <f t="shared" si="611"/>
        <v>53.989999999999995</v>
      </c>
      <c r="F4061" s="1480">
        <f t="shared" si="604"/>
        <v>0</v>
      </c>
      <c r="G4061" s="1480">
        <f t="shared" si="605"/>
        <v>0</v>
      </c>
      <c r="H4061" s="1480">
        <f t="shared" si="608"/>
        <v>0</v>
      </c>
      <c r="I4061" s="1480">
        <v>0</v>
      </c>
      <c r="J4061" s="1480">
        <v>0</v>
      </c>
      <c r="K4061" s="1480"/>
      <c r="L4061" s="1480"/>
      <c r="M4061" s="1480">
        <f t="shared" si="609"/>
        <v>0</v>
      </c>
      <c r="N4061" s="1480">
        <f t="shared" si="610"/>
        <v>0</v>
      </c>
      <c r="O4061" s="1481">
        <f t="shared" si="606"/>
        <v>0</v>
      </c>
      <c r="P4061" s="1427">
        <f t="shared" si="607"/>
        <v>0</v>
      </c>
    </row>
    <row r="4062" spans="1:16" ht="31" outlineLevel="1" x14ac:dyDescent="0.25">
      <c r="A4062" s="1484">
        <f t="shared" ref="A4062:E4077" si="612">A3392</f>
        <v>3.1</v>
      </c>
      <c r="B4062" s="1485" t="str">
        <f t="shared" si="612"/>
        <v xml:space="preserve">Replacement of all emitting coils and collecting plates of U#5 ESP of all four pass of field 2nd, 3rd &amp; 4th </v>
      </c>
      <c r="C4062" s="1482" t="str">
        <f t="shared" si="612"/>
        <v>MERC/CAPEX/20112012/00939</v>
      </c>
      <c r="D4062" s="1390">
        <f t="shared" si="612"/>
        <v>40731</v>
      </c>
      <c r="E4062" s="560">
        <f t="shared" si="612"/>
        <v>11.7</v>
      </c>
      <c r="F4062" s="1508">
        <f t="shared" si="604"/>
        <v>8.6202149769999998</v>
      </c>
      <c r="G4062" s="1508">
        <f t="shared" si="605"/>
        <v>8.6202149769999998</v>
      </c>
      <c r="H4062" s="1508">
        <f t="shared" si="608"/>
        <v>0</v>
      </c>
      <c r="I4062" s="1480">
        <v>0</v>
      </c>
      <c r="J4062" s="1480">
        <v>0</v>
      </c>
      <c r="K4062" s="1508"/>
      <c r="L4062" s="1508"/>
      <c r="M4062" s="1509">
        <f t="shared" si="609"/>
        <v>0</v>
      </c>
      <c r="N4062" s="1508">
        <f t="shared" si="610"/>
        <v>0</v>
      </c>
      <c r="O4062" s="1481">
        <f t="shared" si="606"/>
        <v>0</v>
      </c>
      <c r="P4062" s="1427">
        <f t="shared" si="607"/>
        <v>0</v>
      </c>
    </row>
    <row r="4063" spans="1:16" ht="31" outlineLevel="1" x14ac:dyDescent="0.25">
      <c r="A4063" s="1484">
        <f t="shared" si="612"/>
        <v>3.2</v>
      </c>
      <c r="B4063" s="1485" t="str">
        <f t="shared" si="612"/>
        <v>Replacement of all emitting coils and collecting plates of all four pass of field 1 to 4, U#6 ESP</v>
      </c>
      <c r="C4063" s="1482" t="str">
        <f t="shared" si="612"/>
        <v>MERC/CAPEX/20112012/00939</v>
      </c>
      <c r="D4063" s="1390">
        <f t="shared" si="612"/>
        <v>40731</v>
      </c>
      <c r="E4063" s="560">
        <f t="shared" si="612"/>
        <v>15.6</v>
      </c>
      <c r="F4063" s="1508">
        <f t="shared" si="604"/>
        <v>12.555251865000001</v>
      </c>
      <c r="G4063" s="1508">
        <f t="shared" si="605"/>
        <v>12.555251865000001</v>
      </c>
      <c r="H4063" s="1508">
        <f t="shared" si="608"/>
        <v>0</v>
      </c>
      <c r="I4063" s="1480">
        <v>0</v>
      </c>
      <c r="J4063" s="1480">
        <v>0</v>
      </c>
      <c r="K4063" s="1508"/>
      <c r="L4063" s="1508"/>
      <c r="M4063" s="1509">
        <f t="shared" si="609"/>
        <v>0</v>
      </c>
      <c r="N4063" s="1508">
        <f t="shared" si="610"/>
        <v>0</v>
      </c>
      <c r="O4063" s="1481">
        <f t="shared" si="606"/>
        <v>0</v>
      </c>
      <c r="P4063" s="1427">
        <f t="shared" si="607"/>
        <v>0</v>
      </c>
    </row>
    <row r="4064" spans="1:16" ht="31" outlineLevel="1" x14ac:dyDescent="0.25">
      <c r="A4064" s="1484">
        <f t="shared" si="612"/>
        <v>3.3</v>
      </c>
      <c r="B4064" s="1485" t="str">
        <f t="shared" si="612"/>
        <v xml:space="preserve">Replacement of all emitting coils and collecting plates of all four pass of field 1 to 4, U#7 ESP </v>
      </c>
      <c r="C4064" s="1482" t="str">
        <f t="shared" si="612"/>
        <v>MERC/CAPEX/20112012/00939</v>
      </c>
      <c r="D4064" s="1390">
        <f t="shared" si="612"/>
        <v>40731</v>
      </c>
      <c r="E4064" s="560">
        <f t="shared" si="612"/>
        <v>16.02</v>
      </c>
      <c r="F4064" s="1508">
        <f t="shared" si="604"/>
        <v>13.189855725000001</v>
      </c>
      <c r="G4064" s="1508">
        <f t="shared" si="605"/>
        <v>13.085278921</v>
      </c>
      <c r="H4064" s="1508">
        <f t="shared" si="608"/>
        <v>0.10457680400000058</v>
      </c>
      <c r="I4064" s="1480">
        <v>0</v>
      </c>
      <c r="J4064" s="1480">
        <v>0</v>
      </c>
      <c r="K4064" s="1508"/>
      <c r="L4064" s="1508"/>
      <c r="M4064" s="1509">
        <f t="shared" si="609"/>
        <v>0</v>
      </c>
      <c r="N4064" s="1508">
        <f t="shared" si="610"/>
        <v>0.10457680400000058</v>
      </c>
      <c r="O4064" s="1481">
        <f t="shared" si="606"/>
        <v>0</v>
      </c>
      <c r="P4064" s="1427">
        <f t="shared" si="607"/>
        <v>0</v>
      </c>
    </row>
    <row r="4065" spans="1:16" ht="31" outlineLevel="1" x14ac:dyDescent="0.25">
      <c r="A4065" s="1484">
        <f t="shared" si="612"/>
        <v>3.4</v>
      </c>
      <c r="B4065" s="1485" t="str">
        <f t="shared" si="612"/>
        <v>Ash evacuation system on existing dummy hoppers of Flue gas duct from APH outlet to ESP inlet of U#5 &amp; 6.</v>
      </c>
      <c r="C4065" s="1482" t="str">
        <f t="shared" si="612"/>
        <v>MERC/CAPEX/20112012/00939</v>
      </c>
      <c r="D4065" s="1390">
        <f t="shared" si="612"/>
        <v>40731</v>
      </c>
      <c r="E4065" s="560">
        <f t="shared" si="612"/>
        <v>0.95</v>
      </c>
      <c r="F4065" s="1508">
        <f t="shared" si="604"/>
        <v>0.92199359999999997</v>
      </c>
      <c r="G4065" s="1508">
        <f t="shared" si="605"/>
        <v>0.92199359999999997</v>
      </c>
      <c r="H4065" s="1508">
        <f t="shared" si="608"/>
        <v>0</v>
      </c>
      <c r="I4065" s="1480">
        <v>0</v>
      </c>
      <c r="J4065" s="1480">
        <v>0</v>
      </c>
      <c r="K4065" s="1508"/>
      <c r="L4065" s="1508"/>
      <c r="M4065" s="1509">
        <f t="shared" si="609"/>
        <v>0</v>
      </c>
      <c r="N4065" s="1508">
        <f t="shared" si="610"/>
        <v>0</v>
      </c>
      <c r="O4065" s="1481">
        <f t="shared" si="606"/>
        <v>0</v>
      </c>
      <c r="P4065" s="1427">
        <f t="shared" si="607"/>
        <v>0</v>
      </c>
    </row>
    <row r="4066" spans="1:16" ht="15.5" outlineLevel="1" x14ac:dyDescent="0.25">
      <c r="A4066" s="1484">
        <f t="shared" si="612"/>
        <v>0</v>
      </c>
      <c r="B4066" s="1485" t="str">
        <f t="shared" si="612"/>
        <v>IDC</v>
      </c>
      <c r="C4066" s="1482" t="str">
        <f t="shared" si="612"/>
        <v>MERC/CAPEX/20112012/00939</v>
      </c>
      <c r="D4066" s="1390">
        <f t="shared" si="612"/>
        <v>40731</v>
      </c>
      <c r="E4066" s="560">
        <f t="shared" si="612"/>
        <v>9.7200000000000006</v>
      </c>
      <c r="F4066" s="1508">
        <f t="shared" si="604"/>
        <v>3.8649799999999998E-2</v>
      </c>
      <c r="G4066" s="1508">
        <f t="shared" si="605"/>
        <v>3.8649799999999998E-2</v>
      </c>
      <c r="H4066" s="1508">
        <f t="shared" si="608"/>
        <v>0</v>
      </c>
      <c r="I4066" s="1480">
        <v>0</v>
      </c>
      <c r="J4066" s="1480">
        <v>0</v>
      </c>
      <c r="K4066" s="1508"/>
      <c r="L4066" s="1508"/>
      <c r="M4066" s="1509">
        <f t="shared" si="609"/>
        <v>0</v>
      </c>
      <c r="N4066" s="1508">
        <f t="shared" si="610"/>
        <v>0</v>
      </c>
      <c r="O4066" s="1481">
        <f t="shared" si="606"/>
        <v>0</v>
      </c>
      <c r="P4066" s="1427">
        <f t="shared" si="607"/>
        <v>0</v>
      </c>
    </row>
    <row r="4067" spans="1:16" ht="15.5" outlineLevel="1" x14ac:dyDescent="0.25">
      <c r="A4067" s="1486">
        <f t="shared" si="612"/>
        <v>4</v>
      </c>
      <c r="B4067" s="1491" t="str">
        <f t="shared" si="612"/>
        <v>Control &amp; Instrumentation up-gradation of CSTPS Unit 5 &amp; 6</v>
      </c>
      <c r="C4067" s="1486" t="str">
        <f t="shared" si="612"/>
        <v>MERC/CAPEX/20112012/01908</v>
      </c>
      <c r="D4067" s="1487">
        <f t="shared" si="612"/>
        <v>40850</v>
      </c>
      <c r="E4067" s="1383">
        <f t="shared" si="612"/>
        <v>57.7</v>
      </c>
      <c r="F4067" s="1480">
        <f t="shared" si="604"/>
        <v>0</v>
      </c>
      <c r="G4067" s="1480">
        <f t="shared" si="605"/>
        <v>0</v>
      </c>
      <c r="H4067" s="1480">
        <f t="shared" si="608"/>
        <v>0</v>
      </c>
      <c r="I4067" s="1480">
        <v>0</v>
      </c>
      <c r="J4067" s="1480">
        <v>0</v>
      </c>
      <c r="K4067" s="1480"/>
      <c r="L4067" s="1480"/>
      <c r="M4067" s="1480">
        <f t="shared" si="609"/>
        <v>0</v>
      </c>
      <c r="N4067" s="1480">
        <f t="shared" si="610"/>
        <v>0</v>
      </c>
      <c r="O4067" s="1481">
        <f t="shared" si="606"/>
        <v>0</v>
      </c>
      <c r="P4067" s="1427">
        <f t="shared" si="607"/>
        <v>0</v>
      </c>
    </row>
    <row r="4068" spans="1:16" ht="15.5" outlineLevel="1" x14ac:dyDescent="0.25">
      <c r="A4068" s="1488">
        <f t="shared" si="612"/>
        <v>4.0999999999999996</v>
      </c>
      <c r="B4068" s="1492" t="str">
        <f t="shared" si="612"/>
        <v>Control &amp; Instrumentation up-gradation of CSTPS Unit 5</v>
      </c>
      <c r="C4068" s="1488" t="str">
        <f t="shared" si="612"/>
        <v>MERC/CAPEX/20112012/01908</v>
      </c>
      <c r="D4068" s="1413">
        <f t="shared" si="612"/>
        <v>40850</v>
      </c>
      <c r="E4068" s="560">
        <f t="shared" si="612"/>
        <v>26.1</v>
      </c>
      <c r="F4068" s="1508">
        <f t="shared" si="604"/>
        <v>26.1</v>
      </c>
      <c r="G4068" s="1508">
        <f t="shared" si="605"/>
        <v>26.1</v>
      </c>
      <c r="H4068" s="1508">
        <f t="shared" si="608"/>
        <v>0</v>
      </c>
      <c r="I4068" s="1480">
        <v>0</v>
      </c>
      <c r="J4068" s="1480">
        <v>0</v>
      </c>
      <c r="K4068" s="1508"/>
      <c r="L4068" s="1508"/>
      <c r="M4068" s="1509">
        <f t="shared" si="609"/>
        <v>0</v>
      </c>
      <c r="N4068" s="1508">
        <f t="shared" si="610"/>
        <v>0</v>
      </c>
      <c r="O4068" s="1481">
        <f t="shared" si="606"/>
        <v>0</v>
      </c>
      <c r="P4068" s="1427">
        <f t="shared" si="607"/>
        <v>0</v>
      </c>
    </row>
    <row r="4069" spans="1:16" ht="15.5" outlineLevel="1" x14ac:dyDescent="0.25">
      <c r="A4069" s="1488">
        <f t="shared" si="612"/>
        <v>4.2</v>
      </c>
      <c r="B4069" s="1492" t="str">
        <f t="shared" si="612"/>
        <v>Control &amp; Instrumentation up-gradation of CSTPS Unit 6</v>
      </c>
      <c r="C4069" s="1488" t="str">
        <f t="shared" si="612"/>
        <v>MERC/CAPEX/20112012/01908</v>
      </c>
      <c r="D4069" s="1413">
        <f t="shared" si="612"/>
        <v>40850</v>
      </c>
      <c r="E4069" s="560">
        <f t="shared" si="612"/>
        <v>26.1</v>
      </c>
      <c r="F4069" s="1508">
        <f t="shared" si="604"/>
        <v>26.1</v>
      </c>
      <c r="G4069" s="1508">
        <f t="shared" si="605"/>
        <v>26.1</v>
      </c>
      <c r="H4069" s="1508">
        <f t="shared" si="608"/>
        <v>0</v>
      </c>
      <c r="I4069" s="1480">
        <v>0</v>
      </c>
      <c r="J4069" s="1480">
        <v>0</v>
      </c>
      <c r="K4069" s="1508"/>
      <c r="L4069" s="1508"/>
      <c r="M4069" s="1509">
        <f t="shared" si="609"/>
        <v>0</v>
      </c>
      <c r="N4069" s="1508">
        <f t="shared" si="610"/>
        <v>0</v>
      </c>
      <c r="O4069" s="1481">
        <f t="shared" si="606"/>
        <v>0</v>
      </c>
      <c r="P4069" s="1427">
        <f t="shared" si="607"/>
        <v>0</v>
      </c>
    </row>
    <row r="4070" spans="1:16" ht="15.5" outlineLevel="1" x14ac:dyDescent="0.25">
      <c r="A4070" s="1484">
        <f t="shared" si="612"/>
        <v>0</v>
      </c>
      <c r="B4070" s="1485" t="str">
        <f t="shared" si="612"/>
        <v>IDC</v>
      </c>
      <c r="C4070" s="1482" t="str">
        <f t="shared" si="612"/>
        <v>MERC/CAPEX/20112012/01908</v>
      </c>
      <c r="D4070" s="1390">
        <f t="shared" si="612"/>
        <v>40850</v>
      </c>
      <c r="E4070" s="560">
        <f t="shared" si="612"/>
        <v>5.5</v>
      </c>
      <c r="F4070" s="1508">
        <f t="shared" si="604"/>
        <v>0</v>
      </c>
      <c r="G4070" s="1508">
        <f t="shared" si="605"/>
        <v>0</v>
      </c>
      <c r="H4070" s="1508">
        <f t="shared" si="608"/>
        <v>0</v>
      </c>
      <c r="I4070" s="1480">
        <v>0</v>
      </c>
      <c r="J4070" s="1480">
        <v>0</v>
      </c>
      <c r="K4070" s="1508"/>
      <c r="L4070" s="1508"/>
      <c r="M4070" s="1509">
        <f t="shared" si="609"/>
        <v>0</v>
      </c>
      <c r="N4070" s="1508">
        <f t="shared" si="610"/>
        <v>0</v>
      </c>
      <c r="O4070" s="1481">
        <f t="shared" si="606"/>
        <v>0</v>
      </c>
      <c r="P4070" s="1427">
        <f t="shared" si="607"/>
        <v>0</v>
      </c>
    </row>
    <row r="4071" spans="1:16" ht="31" outlineLevel="1" x14ac:dyDescent="0.25">
      <c r="A4071" s="1477">
        <f t="shared" si="612"/>
        <v>5</v>
      </c>
      <c r="B4071" s="1478" t="str">
        <f t="shared" si="612"/>
        <v>Alternate water supply Scheme for Chandrapur T.P.S as a crisis management scheme</v>
      </c>
      <c r="C4071" s="1477" t="str">
        <f t="shared" si="612"/>
        <v>MERC/CAPEX/20112012/02443</v>
      </c>
      <c r="D4071" s="1479">
        <f t="shared" si="612"/>
        <v>40911</v>
      </c>
      <c r="E4071" s="1383">
        <f t="shared" si="612"/>
        <v>229.4</v>
      </c>
      <c r="F4071" s="1480">
        <f t="shared" si="604"/>
        <v>0</v>
      </c>
      <c r="G4071" s="1480">
        <f t="shared" si="605"/>
        <v>0</v>
      </c>
      <c r="H4071" s="1480">
        <f t="shared" si="608"/>
        <v>0</v>
      </c>
      <c r="I4071" s="1480">
        <v>0</v>
      </c>
      <c r="J4071" s="1480">
        <v>0</v>
      </c>
      <c r="K4071" s="1480"/>
      <c r="L4071" s="1480"/>
      <c r="M4071" s="1480">
        <f t="shared" si="609"/>
        <v>0</v>
      </c>
      <c r="N4071" s="1480">
        <f t="shared" si="610"/>
        <v>0</v>
      </c>
      <c r="O4071" s="1481">
        <f t="shared" si="606"/>
        <v>0</v>
      </c>
      <c r="P4071" s="1427">
        <f t="shared" si="607"/>
        <v>0</v>
      </c>
    </row>
    <row r="4072" spans="1:16" ht="31" outlineLevel="1" x14ac:dyDescent="0.25">
      <c r="A4072" s="1482">
        <f t="shared" si="612"/>
        <v>5.0999999999999996</v>
      </c>
      <c r="B4072" s="1483" t="str">
        <f t="shared" si="612"/>
        <v>Alternate water supply Scheme for Chandrapur T.P.S as a crisis management scheme</v>
      </c>
      <c r="C4072" s="1482" t="str">
        <f t="shared" si="612"/>
        <v>MERC/CAPEX/20112012/02443</v>
      </c>
      <c r="D4072" s="1390">
        <f t="shared" si="612"/>
        <v>40911</v>
      </c>
      <c r="E4072" s="560">
        <f t="shared" si="612"/>
        <v>229.4</v>
      </c>
      <c r="F4072" s="1508">
        <f t="shared" si="604"/>
        <v>0</v>
      </c>
      <c r="G4072" s="1508">
        <f t="shared" si="605"/>
        <v>0</v>
      </c>
      <c r="H4072" s="1508">
        <f t="shared" si="608"/>
        <v>0</v>
      </c>
      <c r="I4072" s="1480">
        <v>0</v>
      </c>
      <c r="J4072" s="1480">
        <v>0</v>
      </c>
      <c r="K4072" s="1508"/>
      <c r="L4072" s="1508"/>
      <c r="M4072" s="1509">
        <f t="shared" si="609"/>
        <v>0</v>
      </c>
      <c r="N4072" s="1508">
        <f t="shared" si="610"/>
        <v>0</v>
      </c>
      <c r="O4072" s="1481">
        <f t="shared" si="606"/>
        <v>0</v>
      </c>
      <c r="P4072" s="1427">
        <f t="shared" si="607"/>
        <v>0</v>
      </c>
    </row>
    <row r="4073" spans="1:16" ht="62" outlineLevel="1" x14ac:dyDescent="0.25">
      <c r="A4073" s="1486">
        <f t="shared" si="612"/>
        <v>6</v>
      </c>
      <c r="B4073" s="1491" t="str">
        <f t="shared" si="612"/>
        <v>Complete Track Renovation (CTR) work of rail track from Chandrapur Vivekanand Nagar railway stations to exchange yard and bulb line of BOBR at CSTPS siding maintained by railway authority</v>
      </c>
      <c r="C4073" s="1486" t="str">
        <f t="shared" si="612"/>
        <v>MERC/CAPEX/20122013/00818</v>
      </c>
      <c r="D4073" s="1487">
        <f t="shared" si="612"/>
        <v>41100</v>
      </c>
      <c r="E4073" s="1383">
        <f t="shared" si="612"/>
        <v>16.77</v>
      </c>
      <c r="F4073" s="1480">
        <f t="shared" si="604"/>
        <v>0</v>
      </c>
      <c r="G4073" s="1480">
        <f t="shared" si="605"/>
        <v>0</v>
      </c>
      <c r="H4073" s="1480">
        <f t="shared" si="608"/>
        <v>0</v>
      </c>
      <c r="I4073" s="1480">
        <v>0</v>
      </c>
      <c r="J4073" s="1480">
        <v>0</v>
      </c>
      <c r="K4073" s="1480"/>
      <c r="L4073" s="1480"/>
      <c r="M4073" s="1480">
        <f t="shared" si="609"/>
        <v>0</v>
      </c>
      <c r="N4073" s="1480">
        <f t="shared" si="610"/>
        <v>0</v>
      </c>
      <c r="O4073" s="1481">
        <f t="shared" si="606"/>
        <v>0</v>
      </c>
      <c r="P4073" s="1427">
        <f t="shared" si="607"/>
        <v>0</v>
      </c>
    </row>
    <row r="4074" spans="1:16" ht="62" outlineLevel="1" x14ac:dyDescent="0.25">
      <c r="A4074" s="1488">
        <f t="shared" si="612"/>
        <v>6.1</v>
      </c>
      <c r="B4074" s="1492" t="str">
        <f t="shared" si="612"/>
        <v>Complete Track Renovation (CTR) work of rail track from Chandrapur Vivekanand Nagar railway stations to exchange yard and bulb line of BOBR at CSTPS siding maintained by railway authority</v>
      </c>
      <c r="C4074" s="1488" t="str">
        <f t="shared" si="612"/>
        <v>MERC/CAPEX/20122013/00818</v>
      </c>
      <c r="D4074" s="1413">
        <f t="shared" si="612"/>
        <v>41100</v>
      </c>
      <c r="E4074" s="560">
        <f t="shared" si="612"/>
        <v>16.77</v>
      </c>
      <c r="F4074" s="1508">
        <f t="shared" si="604"/>
        <v>16.77</v>
      </c>
      <c r="G4074" s="1508">
        <f t="shared" si="605"/>
        <v>16.77</v>
      </c>
      <c r="H4074" s="1508">
        <f t="shared" si="608"/>
        <v>0</v>
      </c>
      <c r="I4074" s="1480">
        <v>0</v>
      </c>
      <c r="J4074" s="1480">
        <v>0</v>
      </c>
      <c r="K4074" s="1508"/>
      <c r="L4074" s="1508"/>
      <c r="M4074" s="1509">
        <f t="shared" si="609"/>
        <v>0</v>
      </c>
      <c r="N4074" s="1508">
        <f t="shared" si="610"/>
        <v>0</v>
      </c>
      <c r="O4074" s="1481">
        <f t="shared" si="606"/>
        <v>0</v>
      </c>
      <c r="P4074" s="1427">
        <f t="shared" si="607"/>
        <v>0</v>
      </c>
    </row>
    <row r="4075" spans="1:16" ht="31" outlineLevel="1" x14ac:dyDescent="0.25">
      <c r="A4075" s="1477">
        <f t="shared" si="612"/>
        <v>7</v>
      </c>
      <c r="B4075" s="1478" t="str">
        <f t="shared" si="612"/>
        <v>Construction of additional IDCT to improve performance of existing condenser cooling system of CSTPS Unit 5 &amp; 6</v>
      </c>
      <c r="C4075" s="1477" t="str">
        <f t="shared" si="612"/>
        <v>MERC/CAPEX/20122013/00827</v>
      </c>
      <c r="D4075" s="1479">
        <f t="shared" si="612"/>
        <v>41100</v>
      </c>
      <c r="E4075" s="1383">
        <f t="shared" si="612"/>
        <v>29.28</v>
      </c>
      <c r="F4075" s="1480">
        <f t="shared" si="604"/>
        <v>0</v>
      </c>
      <c r="G4075" s="1480">
        <f t="shared" si="605"/>
        <v>0</v>
      </c>
      <c r="H4075" s="1480">
        <f t="shared" si="608"/>
        <v>0</v>
      </c>
      <c r="I4075" s="1480">
        <v>0</v>
      </c>
      <c r="J4075" s="1480">
        <v>0</v>
      </c>
      <c r="K4075" s="1480"/>
      <c r="L4075" s="1480"/>
      <c r="M4075" s="1480">
        <f t="shared" si="609"/>
        <v>0</v>
      </c>
      <c r="N4075" s="1480">
        <f t="shared" si="610"/>
        <v>0</v>
      </c>
      <c r="O4075" s="1481">
        <f t="shared" si="606"/>
        <v>0</v>
      </c>
      <c r="P4075" s="1427">
        <f t="shared" si="607"/>
        <v>0</v>
      </c>
    </row>
    <row r="4076" spans="1:16" ht="15.5" outlineLevel="1" x14ac:dyDescent="0.25">
      <c r="A4076" s="1482">
        <f t="shared" si="612"/>
        <v>7.1</v>
      </c>
      <c r="B4076" s="1483" t="str">
        <f t="shared" si="612"/>
        <v>Construction for U#5</v>
      </c>
      <c r="C4076" s="1482" t="str">
        <f t="shared" si="612"/>
        <v>MERC/CAPEX/20122013/00827</v>
      </c>
      <c r="D4076" s="1390">
        <f t="shared" si="612"/>
        <v>41100</v>
      </c>
      <c r="E4076" s="560">
        <f t="shared" si="612"/>
        <v>11.2318</v>
      </c>
      <c r="F4076" s="1508">
        <f t="shared" si="604"/>
        <v>19.378237200000001</v>
      </c>
      <c r="G4076" s="1508">
        <f t="shared" si="605"/>
        <v>19.378237200000001</v>
      </c>
      <c r="H4076" s="1508">
        <f t="shared" si="608"/>
        <v>0</v>
      </c>
      <c r="I4076" s="1480">
        <v>0</v>
      </c>
      <c r="J4076" s="1480">
        <v>0</v>
      </c>
      <c r="K4076" s="1508"/>
      <c r="L4076" s="1508"/>
      <c r="M4076" s="1509">
        <f t="shared" si="609"/>
        <v>0</v>
      </c>
      <c r="N4076" s="1508">
        <f t="shared" si="610"/>
        <v>0</v>
      </c>
      <c r="O4076" s="1481">
        <f t="shared" si="606"/>
        <v>0</v>
      </c>
      <c r="P4076" s="1427">
        <f t="shared" si="607"/>
        <v>0</v>
      </c>
    </row>
    <row r="4077" spans="1:16" ht="15.5" outlineLevel="1" x14ac:dyDescent="0.25">
      <c r="A4077" s="1482">
        <f t="shared" si="612"/>
        <v>7.2</v>
      </c>
      <c r="B4077" s="1483" t="str">
        <f t="shared" si="612"/>
        <v>Construction for U#6</v>
      </c>
      <c r="C4077" s="1482" t="str">
        <f t="shared" si="612"/>
        <v>MERC/CAPEX/20122013/00827</v>
      </c>
      <c r="D4077" s="1390">
        <f t="shared" si="612"/>
        <v>41100</v>
      </c>
      <c r="E4077" s="560">
        <f t="shared" si="612"/>
        <v>14.968</v>
      </c>
      <c r="F4077" s="1508">
        <f t="shared" si="604"/>
        <v>23.1898537</v>
      </c>
      <c r="G4077" s="1508">
        <f t="shared" si="605"/>
        <v>23.1898537</v>
      </c>
      <c r="H4077" s="1508">
        <f t="shared" si="608"/>
        <v>0</v>
      </c>
      <c r="I4077" s="1480">
        <v>0</v>
      </c>
      <c r="J4077" s="1480">
        <v>0</v>
      </c>
      <c r="K4077" s="1508"/>
      <c r="L4077" s="1508"/>
      <c r="M4077" s="1509">
        <f t="shared" si="609"/>
        <v>0</v>
      </c>
      <c r="N4077" s="1508">
        <f t="shared" si="610"/>
        <v>0</v>
      </c>
      <c r="O4077" s="1481">
        <f t="shared" si="606"/>
        <v>0</v>
      </c>
      <c r="P4077" s="1427">
        <f t="shared" si="607"/>
        <v>0</v>
      </c>
    </row>
    <row r="4078" spans="1:16" ht="15.5" outlineLevel="1" x14ac:dyDescent="0.25">
      <c r="A4078" s="1482">
        <f t="shared" ref="A4078:E4093" si="613">A3408</f>
        <v>0</v>
      </c>
      <c r="B4078" s="1483" t="str">
        <f t="shared" si="613"/>
        <v>IDC</v>
      </c>
      <c r="C4078" s="1482" t="str">
        <f t="shared" si="613"/>
        <v>MERC/CAPEX/20122013/00827</v>
      </c>
      <c r="D4078" s="1390">
        <f t="shared" si="613"/>
        <v>41100</v>
      </c>
      <c r="E4078" s="560">
        <f t="shared" si="613"/>
        <v>3.0802000000000014</v>
      </c>
      <c r="F4078" s="1508">
        <f t="shared" si="604"/>
        <v>0</v>
      </c>
      <c r="G4078" s="1508">
        <f t="shared" si="605"/>
        <v>0</v>
      </c>
      <c r="H4078" s="1508">
        <f t="shared" si="608"/>
        <v>0</v>
      </c>
      <c r="I4078" s="1480">
        <v>0</v>
      </c>
      <c r="J4078" s="1480">
        <v>0</v>
      </c>
      <c r="K4078" s="1508"/>
      <c r="L4078" s="1508"/>
      <c r="M4078" s="1509">
        <f t="shared" si="609"/>
        <v>0</v>
      </c>
      <c r="N4078" s="1508">
        <f t="shared" si="610"/>
        <v>0</v>
      </c>
      <c r="O4078" s="1481">
        <f t="shared" si="606"/>
        <v>0</v>
      </c>
      <c r="P4078" s="1427">
        <f t="shared" si="607"/>
        <v>0</v>
      </c>
    </row>
    <row r="4079" spans="1:16" ht="15.5" outlineLevel="1" x14ac:dyDescent="0.25">
      <c r="A4079" s="1477">
        <f t="shared" si="613"/>
        <v>8</v>
      </c>
      <c r="B4079" s="1478" t="str">
        <f t="shared" si="613"/>
        <v>Upgradation of IDCT Unit 5</v>
      </c>
      <c r="C4079" s="1477" t="str">
        <f t="shared" si="613"/>
        <v>MERC/CAPEX/20122013/00914</v>
      </c>
      <c r="D4079" s="1479">
        <f t="shared" si="613"/>
        <v>41108</v>
      </c>
      <c r="E4079" s="1383">
        <f t="shared" si="613"/>
        <v>18.2</v>
      </c>
      <c r="F4079" s="1480">
        <f t="shared" si="604"/>
        <v>0</v>
      </c>
      <c r="G4079" s="1480">
        <f t="shared" si="605"/>
        <v>0</v>
      </c>
      <c r="H4079" s="1480">
        <f t="shared" si="608"/>
        <v>0</v>
      </c>
      <c r="I4079" s="1480">
        <v>0</v>
      </c>
      <c r="J4079" s="1480">
        <v>0</v>
      </c>
      <c r="K4079" s="1480"/>
      <c r="L4079" s="1480"/>
      <c r="M4079" s="1480">
        <f t="shared" si="609"/>
        <v>0</v>
      </c>
      <c r="N4079" s="1480">
        <f t="shared" si="610"/>
        <v>0</v>
      </c>
      <c r="O4079" s="1481">
        <f t="shared" si="606"/>
        <v>0</v>
      </c>
      <c r="P4079" s="1427">
        <f t="shared" si="607"/>
        <v>0</v>
      </c>
    </row>
    <row r="4080" spans="1:16" ht="15.5" outlineLevel="1" x14ac:dyDescent="0.25">
      <c r="A4080" s="1482">
        <f t="shared" si="613"/>
        <v>8.1</v>
      </c>
      <c r="B4080" s="1483" t="str">
        <f t="shared" si="613"/>
        <v>Cooling Tower IDCT for Unit-5A</v>
      </c>
      <c r="C4080" s="1482" t="str">
        <f t="shared" si="613"/>
        <v>MERC/CAPEX/20122013/00914</v>
      </c>
      <c r="D4080" s="1390">
        <f t="shared" si="613"/>
        <v>41108</v>
      </c>
      <c r="E4080" s="560">
        <f t="shared" si="613"/>
        <v>8.5</v>
      </c>
      <c r="F4080" s="1508">
        <f t="shared" si="604"/>
        <v>0</v>
      </c>
      <c r="G4080" s="1508">
        <f t="shared" si="605"/>
        <v>0</v>
      </c>
      <c r="H4080" s="1508">
        <f t="shared" si="608"/>
        <v>0</v>
      </c>
      <c r="I4080" s="1480">
        <v>0</v>
      </c>
      <c r="J4080" s="1480">
        <v>0</v>
      </c>
      <c r="K4080" s="1508"/>
      <c r="L4080" s="1508"/>
      <c r="M4080" s="1509">
        <f t="shared" si="609"/>
        <v>0</v>
      </c>
      <c r="N4080" s="1508">
        <f t="shared" si="610"/>
        <v>0</v>
      </c>
      <c r="O4080" s="1481">
        <f t="shared" si="606"/>
        <v>0</v>
      </c>
      <c r="P4080" s="1427">
        <f t="shared" si="607"/>
        <v>0</v>
      </c>
    </row>
    <row r="4081" spans="1:16" ht="15.5" outlineLevel="1" x14ac:dyDescent="0.25">
      <c r="A4081" s="1482">
        <f t="shared" si="613"/>
        <v>8.1999999999999993</v>
      </c>
      <c r="B4081" s="1483" t="str">
        <f t="shared" si="613"/>
        <v>Cooling Tower IDCT for Unit-5B</v>
      </c>
      <c r="C4081" s="1482" t="str">
        <f t="shared" si="613"/>
        <v>MERC/CAPEX/20122013/00914</v>
      </c>
      <c r="D4081" s="1390">
        <f t="shared" si="613"/>
        <v>41108</v>
      </c>
      <c r="E4081" s="560">
        <f t="shared" si="613"/>
        <v>8.5</v>
      </c>
      <c r="F4081" s="1508">
        <f t="shared" si="604"/>
        <v>0</v>
      </c>
      <c r="G4081" s="1508">
        <f t="shared" si="605"/>
        <v>0</v>
      </c>
      <c r="H4081" s="1508">
        <f t="shared" si="608"/>
        <v>0</v>
      </c>
      <c r="I4081" s="1480">
        <v>0</v>
      </c>
      <c r="J4081" s="1480">
        <v>0</v>
      </c>
      <c r="K4081" s="1508"/>
      <c r="L4081" s="1508"/>
      <c r="M4081" s="1509">
        <f t="shared" si="609"/>
        <v>0</v>
      </c>
      <c r="N4081" s="1508">
        <f t="shared" si="610"/>
        <v>0</v>
      </c>
      <c r="O4081" s="1481">
        <f t="shared" si="606"/>
        <v>0</v>
      </c>
      <c r="P4081" s="1427">
        <f t="shared" si="607"/>
        <v>0</v>
      </c>
    </row>
    <row r="4082" spans="1:16" ht="15.5" outlineLevel="1" x14ac:dyDescent="0.25">
      <c r="A4082" s="1482">
        <f t="shared" si="613"/>
        <v>0</v>
      </c>
      <c r="B4082" s="1483" t="str">
        <f t="shared" si="613"/>
        <v>IDC</v>
      </c>
      <c r="C4082" s="1482" t="str">
        <f t="shared" si="613"/>
        <v>MERC/CAPEX/20122013/00914</v>
      </c>
      <c r="D4082" s="1390">
        <f t="shared" si="613"/>
        <v>41108</v>
      </c>
      <c r="E4082" s="560">
        <f t="shared" si="613"/>
        <v>1.2</v>
      </c>
      <c r="F4082" s="1508">
        <f t="shared" si="604"/>
        <v>0</v>
      </c>
      <c r="G4082" s="1508">
        <f t="shared" si="605"/>
        <v>0</v>
      </c>
      <c r="H4082" s="1508">
        <f t="shared" si="608"/>
        <v>0</v>
      </c>
      <c r="I4082" s="1480">
        <v>0</v>
      </c>
      <c r="J4082" s="1480">
        <v>0</v>
      </c>
      <c r="K4082" s="1508"/>
      <c r="L4082" s="1508"/>
      <c r="M4082" s="1509">
        <f t="shared" si="609"/>
        <v>0</v>
      </c>
      <c r="N4082" s="1508">
        <f t="shared" si="610"/>
        <v>0</v>
      </c>
      <c r="O4082" s="1481">
        <f t="shared" si="606"/>
        <v>0</v>
      </c>
      <c r="P4082" s="1427">
        <f t="shared" si="607"/>
        <v>0</v>
      </c>
    </row>
    <row r="4083" spans="1:16" ht="31" outlineLevel="1" x14ac:dyDescent="0.25">
      <c r="A4083" s="1477">
        <f t="shared" si="613"/>
        <v>9</v>
      </c>
      <c r="B4083" s="1478" t="str">
        <f t="shared" si="613"/>
        <v>LPT Retrofit at Chandrapur TPS Units 3 &amp; 4</v>
      </c>
      <c r="C4083" s="1477" t="str">
        <f t="shared" si="613"/>
        <v>MERC/TECH 1/CAPEX/20132014/00823</v>
      </c>
      <c r="D4083" s="1479">
        <f t="shared" si="613"/>
        <v>41464</v>
      </c>
      <c r="E4083" s="1383">
        <f t="shared" si="613"/>
        <v>107.8364</v>
      </c>
      <c r="F4083" s="1480">
        <f t="shared" si="604"/>
        <v>0</v>
      </c>
      <c r="G4083" s="1480">
        <f t="shared" si="605"/>
        <v>0</v>
      </c>
      <c r="H4083" s="1480">
        <f t="shared" si="608"/>
        <v>0</v>
      </c>
      <c r="I4083" s="1480">
        <v>0</v>
      </c>
      <c r="J4083" s="1480">
        <v>0</v>
      </c>
      <c r="K4083" s="1480"/>
      <c r="L4083" s="1480"/>
      <c r="M4083" s="1480">
        <f t="shared" si="609"/>
        <v>0</v>
      </c>
      <c r="N4083" s="1480">
        <f t="shared" si="610"/>
        <v>0</v>
      </c>
      <c r="O4083" s="1481">
        <f t="shared" si="606"/>
        <v>0</v>
      </c>
      <c r="P4083" s="1427">
        <f t="shared" si="607"/>
        <v>0</v>
      </c>
    </row>
    <row r="4084" spans="1:16" ht="46.5" outlineLevel="1" x14ac:dyDescent="0.25">
      <c r="A4084" s="1482">
        <f t="shared" si="613"/>
        <v>9.1</v>
      </c>
      <c r="B4084" s="1483" t="str">
        <f t="shared" si="613"/>
        <v xml:space="preserve">Design, Engineering, Supply and Retrofitting of LP Cylinder with Modified Bladed rotor without Bauman’s Stages, diaphragms, liners, Gland sealing and exhaust hood spray. (total 2 units) </v>
      </c>
      <c r="C4084" s="1482" t="str">
        <f t="shared" si="613"/>
        <v>MERC/TECH 1/CAPEX/20132014/00823</v>
      </c>
      <c r="D4084" s="1390">
        <f t="shared" si="613"/>
        <v>41464</v>
      </c>
      <c r="E4084" s="560">
        <f t="shared" si="613"/>
        <v>101.8526</v>
      </c>
      <c r="F4084" s="1508">
        <f t="shared" si="604"/>
        <v>0</v>
      </c>
      <c r="G4084" s="1508">
        <f t="shared" si="605"/>
        <v>0</v>
      </c>
      <c r="H4084" s="1508">
        <f t="shared" si="608"/>
        <v>0</v>
      </c>
      <c r="I4084" s="1480">
        <v>0</v>
      </c>
      <c r="J4084" s="1480">
        <v>0</v>
      </c>
      <c r="K4084" s="1508"/>
      <c r="L4084" s="1508"/>
      <c r="M4084" s="1509">
        <f t="shared" si="609"/>
        <v>0</v>
      </c>
      <c r="N4084" s="1508">
        <f t="shared" si="610"/>
        <v>0</v>
      </c>
      <c r="O4084" s="1481">
        <f t="shared" si="606"/>
        <v>0</v>
      </c>
      <c r="P4084" s="1427">
        <f t="shared" si="607"/>
        <v>0</v>
      </c>
    </row>
    <row r="4085" spans="1:16" ht="31" outlineLevel="1" x14ac:dyDescent="0.25">
      <c r="A4085" s="1482">
        <f t="shared" si="613"/>
        <v>0</v>
      </c>
      <c r="B4085" s="1483" t="str">
        <f t="shared" si="613"/>
        <v>IDC</v>
      </c>
      <c r="C4085" s="1482" t="str">
        <f t="shared" si="613"/>
        <v>MERC/TECH 1/CAPEX/20132014/00823</v>
      </c>
      <c r="D4085" s="1390">
        <f t="shared" si="613"/>
        <v>41464</v>
      </c>
      <c r="E4085" s="560">
        <f t="shared" si="613"/>
        <v>5.9837999999999996</v>
      </c>
      <c r="F4085" s="1508">
        <f t="shared" si="604"/>
        <v>0</v>
      </c>
      <c r="G4085" s="1508">
        <f t="shared" si="605"/>
        <v>0</v>
      </c>
      <c r="H4085" s="1508">
        <f t="shared" si="608"/>
        <v>0</v>
      </c>
      <c r="I4085" s="1480">
        <v>0</v>
      </c>
      <c r="J4085" s="1480">
        <v>0</v>
      </c>
      <c r="K4085" s="1508"/>
      <c r="L4085" s="1508"/>
      <c r="M4085" s="1509">
        <f t="shared" si="609"/>
        <v>0</v>
      </c>
      <c r="N4085" s="1508">
        <f t="shared" si="610"/>
        <v>0</v>
      </c>
      <c r="O4085" s="1481">
        <f t="shared" si="606"/>
        <v>0</v>
      </c>
      <c r="P4085" s="1427">
        <f t="shared" si="607"/>
        <v>0</v>
      </c>
    </row>
    <row r="4086" spans="1:16" ht="15.5" outlineLevel="1" x14ac:dyDescent="0.25">
      <c r="A4086" s="1489">
        <f t="shared" si="613"/>
        <v>10</v>
      </c>
      <c r="B4086" s="1490" t="str">
        <f t="shared" si="613"/>
        <v>Modification in Ash Handling Plant at Chandrapur TPS unit 5 &amp; 6</v>
      </c>
      <c r="C4086" s="1477" t="str">
        <f t="shared" si="613"/>
        <v>MERC/CAPEX/20122013/02104</v>
      </c>
      <c r="D4086" s="1479">
        <f t="shared" si="613"/>
        <v>41281</v>
      </c>
      <c r="E4086" s="1383">
        <f t="shared" si="613"/>
        <v>15.25</v>
      </c>
      <c r="F4086" s="1480">
        <f t="shared" si="604"/>
        <v>0</v>
      </c>
      <c r="G4086" s="1480">
        <f t="shared" si="605"/>
        <v>0</v>
      </c>
      <c r="H4086" s="1480">
        <f t="shared" si="608"/>
        <v>0</v>
      </c>
      <c r="I4086" s="1480">
        <v>0</v>
      </c>
      <c r="J4086" s="1480">
        <v>0</v>
      </c>
      <c r="K4086" s="1480"/>
      <c r="L4086" s="1480"/>
      <c r="M4086" s="1480">
        <f t="shared" si="609"/>
        <v>0</v>
      </c>
      <c r="N4086" s="1480">
        <f t="shared" si="610"/>
        <v>0</v>
      </c>
      <c r="O4086" s="1481">
        <f t="shared" si="606"/>
        <v>0</v>
      </c>
      <c r="P4086" s="1427">
        <f t="shared" si="607"/>
        <v>0</v>
      </c>
    </row>
    <row r="4087" spans="1:16" ht="15.5" outlineLevel="1" x14ac:dyDescent="0.25">
      <c r="A4087" s="1484">
        <f t="shared" si="613"/>
        <v>10.1</v>
      </c>
      <c r="B4087" s="1485" t="str">
        <f t="shared" si="613"/>
        <v>Complete series replacement in U-5 &amp; 6</v>
      </c>
      <c r="C4087" s="1482" t="str">
        <f t="shared" si="613"/>
        <v>MERC/CAPEX/20122013/02104</v>
      </c>
      <c r="D4087" s="1390">
        <f t="shared" si="613"/>
        <v>41281</v>
      </c>
      <c r="E4087" s="560">
        <f t="shared" si="613"/>
        <v>7.12</v>
      </c>
      <c r="F4087" s="1508">
        <f t="shared" si="604"/>
        <v>1.4079700719999999</v>
      </c>
      <c r="G4087" s="1508">
        <f t="shared" si="605"/>
        <v>1.4079700719999999</v>
      </c>
      <c r="H4087" s="1508">
        <f t="shared" si="608"/>
        <v>0</v>
      </c>
      <c r="I4087" s="1480">
        <v>0</v>
      </c>
      <c r="J4087" s="1480">
        <v>0</v>
      </c>
      <c r="K4087" s="1508"/>
      <c r="L4087" s="1508"/>
      <c r="M4087" s="1509">
        <f t="shared" si="609"/>
        <v>0</v>
      </c>
      <c r="N4087" s="1508">
        <f t="shared" si="610"/>
        <v>0</v>
      </c>
      <c r="O4087" s="1481">
        <f t="shared" si="606"/>
        <v>0</v>
      </c>
      <c r="P4087" s="1427">
        <f t="shared" si="607"/>
        <v>0</v>
      </c>
    </row>
    <row r="4088" spans="1:16" ht="15.5" outlineLevel="1" x14ac:dyDescent="0.25">
      <c r="A4088" s="1484">
        <f t="shared" si="613"/>
        <v>10.199999999999999</v>
      </c>
      <c r="B4088" s="1485" t="str">
        <f t="shared" si="613"/>
        <v>Extension of ash lines inside ash bund (9000 Rmt)</v>
      </c>
      <c r="C4088" s="1482" t="str">
        <f t="shared" si="613"/>
        <v>MERC/CAPEX/20122013/02104</v>
      </c>
      <c r="D4088" s="1390">
        <f t="shared" si="613"/>
        <v>41281</v>
      </c>
      <c r="E4088" s="560">
        <f t="shared" si="613"/>
        <v>3.03</v>
      </c>
      <c r="F4088" s="1508">
        <f t="shared" si="604"/>
        <v>2.4823816700000001</v>
      </c>
      <c r="G4088" s="1508">
        <f t="shared" si="605"/>
        <v>2.4823816700000001</v>
      </c>
      <c r="H4088" s="1508">
        <f t="shared" si="608"/>
        <v>0</v>
      </c>
      <c r="I4088" s="1480">
        <v>0</v>
      </c>
      <c r="J4088" s="1480">
        <v>0</v>
      </c>
      <c r="K4088" s="1508"/>
      <c r="L4088" s="1508"/>
      <c r="M4088" s="1509">
        <f t="shared" si="609"/>
        <v>0</v>
      </c>
      <c r="N4088" s="1508">
        <f t="shared" si="610"/>
        <v>0</v>
      </c>
      <c r="O4088" s="1481">
        <f t="shared" si="606"/>
        <v>0</v>
      </c>
      <c r="P4088" s="1427">
        <f t="shared" si="607"/>
        <v>0</v>
      </c>
    </row>
    <row r="4089" spans="1:16" ht="15.5" outlineLevel="1" x14ac:dyDescent="0.25">
      <c r="A4089" s="1484">
        <f t="shared" si="613"/>
        <v>10.3</v>
      </c>
      <c r="B4089" s="1485" t="str">
        <f t="shared" si="613"/>
        <v>Replacement ash line worn out pipes</v>
      </c>
      <c r="C4089" s="1482" t="str">
        <f t="shared" si="613"/>
        <v>MERC/CAPEX/20122013/02104</v>
      </c>
      <c r="D4089" s="1390">
        <f t="shared" si="613"/>
        <v>41281</v>
      </c>
      <c r="E4089" s="560">
        <f t="shared" si="613"/>
        <v>3.6</v>
      </c>
      <c r="F4089" s="1508">
        <f t="shared" si="604"/>
        <v>4.4210943270000005</v>
      </c>
      <c r="G4089" s="1508">
        <f t="shared" si="605"/>
        <v>4.4210943270000005</v>
      </c>
      <c r="H4089" s="1508">
        <f t="shared" si="608"/>
        <v>0</v>
      </c>
      <c r="I4089" s="1480">
        <v>0</v>
      </c>
      <c r="J4089" s="1480">
        <v>0</v>
      </c>
      <c r="K4089" s="1508"/>
      <c r="L4089" s="1508"/>
      <c r="M4089" s="1509">
        <f t="shared" si="609"/>
        <v>0</v>
      </c>
      <c r="N4089" s="1508">
        <f t="shared" si="610"/>
        <v>0</v>
      </c>
      <c r="O4089" s="1481">
        <f t="shared" si="606"/>
        <v>0</v>
      </c>
      <c r="P4089" s="1427">
        <f t="shared" si="607"/>
        <v>0</v>
      </c>
    </row>
    <row r="4090" spans="1:16" ht="15.5" outlineLevel="1" x14ac:dyDescent="0.25">
      <c r="A4090" s="1484">
        <f t="shared" si="613"/>
        <v>0</v>
      </c>
      <c r="B4090" s="1485" t="str">
        <f t="shared" si="613"/>
        <v>IDC</v>
      </c>
      <c r="C4090" s="1482" t="str">
        <f t="shared" si="613"/>
        <v>MERC/CAPEX/20122013/02104</v>
      </c>
      <c r="D4090" s="1390">
        <f t="shared" si="613"/>
        <v>41281</v>
      </c>
      <c r="E4090" s="560">
        <f t="shared" si="613"/>
        <v>1.5</v>
      </c>
      <c r="F4090" s="1508">
        <f t="shared" si="604"/>
        <v>0</v>
      </c>
      <c r="G4090" s="1508">
        <f t="shared" si="605"/>
        <v>0</v>
      </c>
      <c r="H4090" s="1508">
        <f t="shared" si="608"/>
        <v>0</v>
      </c>
      <c r="I4090" s="1480">
        <v>0</v>
      </c>
      <c r="J4090" s="1480">
        <v>0</v>
      </c>
      <c r="K4090" s="1508"/>
      <c r="L4090" s="1508"/>
      <c r="M4090" s="1509">
        <f t="shared" si="609"/>
        <v>0</v>
      </c>
      <c r="N4090" s="1508">
        <f t="shared" si="610"/>
        <v>0</v>
      </c>
      <c r="O4090" s="1481">
        <f t="shared" si="606"/>
        <v>0</v>
      </c>
      <c r="P4090" s="1427">
        <f t="shared" si="607"/>
        <v>0</v>
      </c>
    </row>
    <row r="4091" spans="1:16" ht="31" outlineLevel="1" x14ac:dyDescent="0.25">
      <c r="A4091" s="1477">
        <f t="shared" si="613"/>
        <v>11</v>
      </c>
      <c r="B4091" s="1478" t="str">
        <f t="shared" si="613"/>
        <v>Fully Integrated Security Surveillance System</v>
      </c>
      <c r="C4091" s="1477" t="str">
        <f t="shared" si="613"/>
        <v>MERC/TECH 1/CAPEX/20122013/00190</v>
      </c>
      <c r="D4091" s="1479">
        <f t="shared" si="613"/>
        <v>41382</v>
      </c>
      <c r="E4091" s="1383">
        <f t="shared" si="613"/>
        <v>54.197924999999991</v>
      </c>
      <c r="F4091" s="1480">
        <f t="shared" si="604"/>
        <v>0</v>
      </c>
      <c r="G4091" s="1480">
        <f t="shared" si="605"/>
        <v>0</v>
      </c>
      <c r="H4091" s="1480">
        <f t="shared" si="608"/>
        <v>0</v>
      </c>
      <c r="I4091" s="1480">
        <v>0</v>
      </c>
      <c r="J4091" s="1480">
        <v>0</v>
      </c>
      <c r="K4091" s="1480"/>
      <c r="L4091" s="1480"/>
      <c r="M4091" s="1480">
        <f t="shared" si="609"/>
        <v>0</v>
      </c>
      <c r="N4091" s="1480">
        <f t="shared" si="610"/>
        <v>0</v>
      </c>
      <c r="O4091" s="1481">
        <f t="shared" si="606"/>
        <v>0</v>
      </c>
      <c r="P4091" s="1427">
        <f t="shared" si="607"/>
        <v>0</v>
      </c>
    </row>
    <row r="4092" spans="1:16" ht="31" outlineLevel="1" x14ac:dyDescent="0.25">
      <c r="A4092" s="1482">
        <f t="shared" si="613"/>
        <v>11.1</v>
      </c>
      <c r="B4092" s="1483" t="str">
        <f t="shared" si="613"/>
        <v xml:space="preserve">Long range cameras </v>
      </c>
      <c r="C4092" s="1482" t="str">
        <f t="shared" si="613"/>
        <v>MERC/TECH 1/CAPEX/20122013/00190</v>
      </c>
      <c r="D4092" s="1390">
        <f t="shared" si="613"/>
        <v>41382</v>
      </c>
      <c r="E4092" s="560">
        <f t="shared" si="613"/>
        <v>12.3</v>
      </c>
      <c r="F4092" s="1508">
        <f t="shared" si="604"/>
        <v>0</v>
      </c>
      <c r="G4092" s="1508">
        <f t="shared" si="605"/>
        <v>0</v>
      </c>
      <c r="H4092" s="1508">
        <f t="shared" si="608"/>
        <v>0</v>
      </c>
      <c r="I4092" s="1480">
        <v>0</v>
      </c>
      <c r="J4092" s="1480">
        <v>0</v>
      </c>
      <c r="K4092" s="1508"/>
      <c r="L4092" s="1508"/>
      <c r="M4092" s="1509">
        <f t="shared" si="609"/>
        <v>0</v>
      </c>
      <c r="N4092" s="1508">
        <f t="shared" si="610"/>
        <v>0</v>
      </c>
      <c r="O4092" s="1481">
        <f t="shared" si="606"/>
        <v>0</v>
      </c>
      <c r="P4092" s="1427">
        <f t="shared" si="607"/>
        <v>0</v>
      </c>
    </row>
    <row r="4093" spans="1:16" ht="31" outlineLevel="1" x14ac:dyDescent="0.25">
      <c r="A4093" s="1482">
        <f t="shared" si="613"/>
        <v>11.2</v>
      </c>
      <c r="B4093" s="1483" t="str">
        <f t="shared" si="613"/>
        <v xml:space="preserve">Laser fence sensors/buried cable </v>
      </c>
      <c r="C4093" s="1482" t="str">
        <f t="shared" si="613"/>
        <v>MERC/TECH 1/CAPEX/20122013/00190</v>
      </c>
      <c r="D4093" s="1390">
        <f t="shared" si="613"/>
        <v>41382</v>
      </c>
      <c r="E4093" s="560">
        <f t="shared" si="613"/>
        <v>6.1</v>
      </c>
      <c r="F4093" s="1508">
        <f t="shared" si="604"/>
        <v>0</v>
      </c>
      <c r="G4093" s="1508">
        <f t="shared" si="605"/>
        <v>0</v>
      </c>
      <c r="H4093" s="1508">
        <f t="shared" si="608"/>
        <v>0</v>
      </c>
      <c r="I4093" s="1480">
        <v>0</v>
      </c>
      <c r="J4093" s="1480">
        <v>0</v>
      </c>
      <c r="K4093" s="1508"/>
      <c r="L4093" s="1508"/>
      <c r="M4093" s="1509">
        <f t="shared" si="609"/>
        <v>0</v>
      </c>
      <c r="N4093" s="1508">
        <f t="shared" si="610"/>
        <v>0</v>
      </c>
      <c r="O4093" s="1481">
        <f t="shared" si="606"/>
        <v>0</v>
      </c>
      <c r="P4093" s="1427">
        <f t="shared" si="607"/>
        <v>0</v>
      </c>
    </row>
    <row r="4094" spans="1:16" ht="31" outlineLevel="1" x14ac:dyDescent="0.25">
      <c r="A4094" s="1482">
        <f t="shared" ref="A4094:E4109" si="614">A3424</f>
        <v>11.3</v>
      </c>
      <c r="B4094" s="1483" t="str">
        <f t="shared" si="614"/>
        <v xml:space="preserve">PTZ/fixed cameras </v>
      </c>
      <c r="C4094" s="1482" t="str">
        <f t="shared" si="614"/>
        <v>MERC/TECH 1/CAPEX/20122013/00190</v>
      </c>
      <c r="D4094" s="1390">
        <f t="shared" si="614"/>
        <v>41382</v>
      </c>
      <c r="E4094" s="560">
        <f t="shared" si="614"/>
        <v>8.0749999999999993</v>
      </c>
      <c r="F4094" s="1508">
        <f t="shared" ref="F4094:F4157" si="615">F3424+I3424</f>
        <v>0</v>
      </c>
      <c r="G4094" s="1508">
        <f t="shared" ref="G4094:G4157" si="616">G3424+M3424</f>
        <v>0</v>
      </c>
      <c r="H4094" s="1508">
        <f t="shared" si="608"/>
        <v>0</v>
      </c>
      <c r="I4094" s="1480">
        <v>0</v>
      </c>
      <c r="J4094" s="1480">
        <v>0</v>
      </c>
      <c r="K4094" s="1508"/>
      <c r="L4094" s="1508"/>
      <c r="M4094" s="1509">
        <f t="shared" si="609"/>
        <v>0</v>
      </c>
      <c r="N4094" s="1508">
        <f t="shared" si="610"/>
        <v>0</v>
      </c>
      <c r="O4094" s="1481">
        <f t="shared" ref="O4094:O4157" si="617">MAX(0,IF(M4094=0,0,IF(G4094+M4094&lt;E4094,M4094,E4094-G4094)))</f>
        <v>0</v>
      </c>
      <c r="P4094" s="1427">
        <f t="shared" ref="P4094:P4157" si="618">M4094-O4094</f>
        <v>0</v>
      </c>
    </row>
    <row r="4095" spans="1:16" ht="31" outlineLevel="1" x14ac:dyDescent="0.25">
      <c r="A4095" s="1482">
        <f t="shared" si="614"/>
        <v>11.4</v>
      </c>
      <c r="B4095" s="1483" t="str">
        <f t="shared" si="614"/>
        <v xml:space="preserve">Command &amp; control /video wall </v>
      </c>
      <c r="C4095" s="1482" t="str">
        <f t="shared" si="614"/>
        <v>MERC/TECH 1/CAPEX/20122013/00190</v>
      </c>
      <c r="D4095" s="1390">
        <f t="shared" si="614"/>
        <v>41382</v>
      </c>
      <c r="E4095" s="560">
        <f t="shared" si="614"/>
        <v>16</v>
      </c>
      <c r="F4095" s="1508">
        <f t="shared" si="615"/>
        <v>0</v>
      </c>
      <c r="G4095" s="1508">
        <f t="shared" si="616"/>
        <v>0</v>
      </c>
      <c r="H4095" s="1508">
        <f t="shared" ref="H4095:H4158" si="619">F4095-G4095</f>
        <v>0</v>
      </c>
      <c r="I4095" s="1480">
        <v>0</v>
      </c>
      <c r="J4095" s="1480">
        <v>0</v>
      </c>
      <c r="K4095" s="1508"/>
      <c r="L4095" s="1508"/>
      <c r="M4095" s="1509">
        <f t="shared" ref="M4095:M4158" si="620">SUM(J4095:L4095)</f>
        <v>0</v>
      </c>
      <c r="N4095" s="1508">
        <f t="shared" ref="N4095:N4158" si="621">H4095+I4095-M4095</f>
        <v>0</v>
      </c>
      <c r="O4095" s="1481">
        <f t="shared" si="617"/>
        <v>0</v>
      </c>
      <c r="P4095" s="1427">
        <f t="shared" si="618"/>
        <v>0</v>
      </c>
    </row>
    <row r="4096" spans="1:16" ht="31" outlineLevel="1" x14ac:dyDescent="0.25">
      <c r="A4096" s="1482">
        <f t="shared" si="614"/>
        <v>11.5</v>
      </c>
      <c r="B4096" s="1483" t="str">
        <f t="shared" si="614"/>
        <v xml:space="preserve">Communication </v>
      </c>
      <c r="C4096" s="1482" t="str">
        <f t="shared" si="614"/>
        <v>MERC/TECH 1/CAPEX/20122013/00190</v>
      </c>
      <c r="D4096" s="1390">
        <f t="shared" si="614"/>
        <v>41382</v>
      </c>
      <c r="E4096" s="560">
        <f t="shared" si="614"/>
        <v>0.45950000000000002</v>
      </c>
      <c r="F4096" s="1508">
        <f t="shared" si="615"/>
        <v>0</v>
      </c>
      <c r="G4096" s="1508">
        <f t="shared" si="616"/>
        <v>0</v>
      </c>
      <c r="H4096" s="1508">
        <f t="shared" si="619"/>
        <v>0</v>
      </c>
      <c r="I4096" s="1480">
        <v>0</v>
      </c>
      <c r="J4096" s="1480">
        <v>0</v>
      </c>
      <c r="K4096" s="1508"/>
      <c r="L4096" s="1508"/>
      <c r="M4096" s="1509">
        <f t="shared" si="620"/>
        <v>0</v>
      </c>
      <c r="N4096" s="1508">
        <f t="shared" si="621"/>
        <v>0</v>
      </c>
      <c r="O4096" s="1481">
        <f t="shared" si="617"/>
        <v>0</v>
      </c>
      <c r="P4096" s="1427">
        <f t="shared" si="618"/>
        <v>0</v>
      </c>
    </row>
    <row r="4097" spans="1:16" ht="31" outlineLevel="1" x14ac:dyDescent="0.25">
      <c r="A4097" s="1482">
        <f t="shared" si="614"/>
        <v>11.6</v>
      </c>
      <c r="B4097" s="1483" t="str">
        <f t="shared" si="614"/>
        <v>RFID</v>
      </c>
      <c r="C4097" s="1482" t="str">
        <f t="shared" si="614"/>
        <v>MERC/TECH 1/CAPEX/20122013/00190</v>
      </c>
      <c r="D4097" s="1390">
        <f t="shared" si="614"/>
        <v>41382</v>
      </c>
      <c r="E4097" s="560">
        <f t="shared" si="614"/>
        <v>0.83</v>
      </c>
      <c r="F4097" s="1508">
        <f t="shared" si="615"/>
        <v>0</v>
      </c>
      <c r="G4097" s="1508">
        <f t="shared" si="616"/>
        <v>0</v>
      </c>
      <c r="H4097" s="1508">
        <f t="shared" si="619"/>
        <v>0</v>
      </c>
      <c r="I4097" s="1480">
        <v>0</v>
      </c>
      <c r="J4097" s="1480">
        <v>0</v>
      </c>
      <c r="K4097" s="1508"/>
      <c r="L4097" s="1508"/>
      <c r="M4097" s="1509">
        <f t="shared" si="620"/>
        <v>0</v>
      </c>
      <c r="N4097" s="1508">
        <f t="shared" si="621"/>
        <v>0</v>
      </c>
      <c r="O4097" s="1481">
        <f t="shared" si="617"/>
        <v>0</v>
      </c>
      <c r="P4097" s="1427">
        <f t="shared" si="618"/>
        <v>0</v>
      </c>
    </row>
    <row r="4098" spans="1:16" ht="31" outlineLevel="1" x14ac:dyDescent="0.25">
      <c r="A4098" s="1482">
        <f t="shared" si="614"/>
        <v>11.7</v>
      </c>
      <c r="B4098" s="1483" t="str">
        <f t="shared" si="614"/>
        <v>LPR</v>
      </c>
      <c r="C4098" s="1482" t="str">
        <f t="shared" si="614"/>
        <v>MERC/TECH 1/CAPEX/20122013/00190</v>
      </c>
      <c r="D4098" s="1390">
        <f t="shared" si="614"/>
        <v>41382</v>
      </c>
      <c r="E4098" s="560">
        <f t="shared" si="614"/>
        <v>0.6</v>
      </c>
      <c r="F4098" s="1508">
        <f t="shared" si="615"/>
        <v>0</v>
      </c>
      <c r="G4098" s="1508">
        <f t="shared" si="616"/>
        <v>0</v>
      </c>
      <c r="H4098" s="1508">
        <f t="shared" si="619"/>
        <v>0</v>
      </c>
      <c r="I4098" s="1480">
        <v>0</v>
      </c>
      <c r="J4098" s="1480">
        <v>0</v>
      </c>
      <c r="K4098" s="1508"/>
      <c r="L4098" s="1508"/>
      <c r="M4098" s="1509">
        <f t="shared" si="620"/>
        <v>0</v>
      </c>
      <c r="N4098" s="1508">
        <f t="shared" si="621"/>
        <v>0</v>
      </c>
      <c r="O4098" s="1481">
        <f t="shared" si="617"/>
        <v>0</v>
      </c>
      <c r="P4098" s="1427">
        <f t="shared" si="618"/>
        <v>0</v>
      </c>
    </row>
    <row r="4099" spans="1:16" ht="31" outlineLevel="1" x14ac:dyDescent="0.25">
      <c r="A4099" s="1482">
        <f t="shared" si="614"/>
        <v>11.8</v>
      </c>
      <c r="B4099" s="1483" t="str">
        <f t="shared" si="614"/>
        <v xml:space="preserve">Electricals/networking </v>
      </c>
      <c r="C4099" s="1482" t="str">
        <f t="shared" si="614"/>
        <v>MERC/TECH 1/CAPEX/20122013/00190</v>
      </c>
      <c r="D4099" s="1390">
        <f t="shared" si="614"/>
        <v>41382</v>
      </c>
      <c r="E4099" s="560">
        <f t="shared" si="614"/>
        <v>2.8674249999999999</v>
      </c>
      <c r="F4099" s="1508">
        <f t="shared" si="615"/>
        <v>0</v>
      </c>
      <c r="G4099" s="1508">
        <f t="shared" si="616"/>
        <v>0</v>
      </c>
      <c r="H4099" s="1508">
        <f t="shared" si="619"/>
        <v>0</v>
      </c>
      <c r="I4099" s="1480">
        <v>0</v>
      </c>
      <c r="J4099" s="1480">
        <v>0</v>
      </c>
      <c r="K4099" s="1508"/>
      <c r="L4099" s="1508"/>
      <c r="M4099" s="1509">
        <f t="shared" si="620"/>
        <v>0</v>
      </c>
      <c r="N4099" s="1508">
        <f t="shared" si="621"/>
        <v>0</v>
      </c>
      <c r="O4099" s="1481">
        <f t="shared" si="617"/>
        <v>0</v>
      </c>
      <c r="P4099" s="1427">
        <f t="shared" si="618"/>
        <v>0</v>
      </c>
    </row>
    <row r="4100" spans="1:16" ht="31" outlineLevel="1" x14ac:dyDescent="0.25">
      <c r="A4100" s="1482">
        <f t="shared" si="614"/>
        <v>11.9</v>
      </c>
      <c r="B4100" s="1483" t="str">
        <f t="shared" si="614"/>
        <v xml:space="preserve">Infrastructure </v>
      </c>
      <c r="C4100" s="1482" t="str">
        <f t="shared" si="614"/>
        <v>MERC/TECH 1/CAPEX/20122013/00190</v>
      </c>
      <c r="D4100" s="1390">
        <f t="shared" si="614"/>
        <v>41382</v>
      </c>
      <c r="E4100" s="560">
        <f t="shared" si="614"/>
        <v>3.8959999999999999</v>
      </c>
      <c r="F4100" s="1508">
        <f t="shared" si="615"/>
        <v>0</v>
      </c>
      <c r="G4100" s="1508">
        <f t="shared" si="616"/>
        <v>0</v>
      </c>
      <c r="H4100" s="1508">
        <f t="shared" si="619"/>
        <v>0</v>
      </c>
      <c r="I4100" s="1480">
        <v>0</v>
      </c>
      <c r="J4100" s="1480">
        <v>0</v>
      </c>
      <c r="K4100" s="1508"/>
      <c r="L4100" s="1508"/>
      <c r="M4100" s="1509">
        <f t="shared" si="620"/>
        <v>0</v>
      </c>
      <c r="N4100" s="1508">
        <f t="shared" si="621"/>
        <v>0</v>
      </c>
      <c r="O4100" s="1481">
        <f t="shared" si="617"/>
        <v>0</v>
      </c>
      <c r="P4100" s="1427">
        <f t="shared" si="618"/>
        <v>0</v>
      </c>
    </row>
    <row r="4101" spans="1:16" ht="31" outlineLevel="1" x14ac:dyDescent="0.25">
      <c r="A4101" s="1482">
        <f t="shared" si="614"/>
        <v>0</v>
      </c>
      <c r="B4101" s="1483" t="str">
        <f t="shared" si="614"/>
        <v>IDC</v>
      </c>
      <c r="C4101" s="1482" t="str">
        <f t="shared" si="614"/>
        <v>MERC/TECH 1/CAPEX/20122013/00190</v>
      </c>
      <c r="D4101" s="1390">
        <f t="shared" si="614"/>
        <v>41382</v>
      </c>
      <c r="E4101" s="560">
        <f t="shared" si="614"/>
        <v>3.07</v>
      </c>
      <c r="F4101" s="1508">
        <f t="shared" si="615"/>
        <v>0</v>
      </c>
      <c r="G4101" s="1508">
        <f t="shared" si="616"/>
        <v>0</v>
      </c>
      <c r="H4101" s="1508">
        <f t="shared" si="619"/>
        <v>0</v>
      </c>
      <c r="I4101" s="1480">
        <v>0</v>
      </c>
      <c r="J4101" s="1480">
        <v>0</v>
      </c>
      <c r="K4101" s="1508"/>
      <c r="L4101" s="1508"/>
      <c r="M4101" s="1509">
        <f t="shared" si="620"/>
        <v>0</v>
      </c>
      <c r="N4101" s="1508">
        <f t="shared" si="621"/>
        <v>0</v>
      </c>
      <c r="O4101" s="1481">
        <f t="shared" si="617"/>
        <v>0</v>
      </c>
      <c r="P4101" s="1427">
        <f t="shared" si="618"/>
        <v>0</v>
      </c>
    </row>
    <row r="4102" spans="1:16" ht="31" outlineLevel="1" x14ac:dyDescent="0.25">
      <c r="A4102" s="1489">
        <f t="shared" si="614"/>
        <v>12</v>
      </c>
      <c r="B4102" s="1490" t="str">
        <f t="shared" si="614"/>
        <v>Revamping of existing SWAS installed at U#1 to 4 and commissioning of new  (AFGC) System of U#5&amp;7</v>
      </c>
      <c r="C4102" s="1486" t="str">
        <f t="shared" si="614"/>
        <v>MERC/TECH 1/CAPEX/20132014/01366</v>
      </c>
      <c r="D4102" s="1487">
        <f t="shared" si="614"/>
        <v>41551</v>
      </c>
      <c r="E4102" s="1383">
        <f t="shared" si="614"/>
        <v>10.083855999999999</v>
      </c>
      <c r="F4102" s="1480">
        <f t="shared" si="615"/>
        <v>0</v>
      </c>
      <c r="G4102" s="1480">
        <f t="shared" si="616"/>
        <v>0</v>
      </c>
      <c r="H4102" s="1480">
        <f t="shared" si="619"/>
        <v>0</v>
      </c>
      <c r="I4102" s="1480">
        <v>0</v>
      </c>
      <c r="J4102" s="1480">
        <v>0</v>
      </c>
      <c r="K4102" s="1480"/>
      <c r="L4102" s="1480"/>
      <c r="M4102" s="1480">
        <f t="shared" si="620"/>
        <v>0</v>
      </c>
      <c r="N4102" s="1480">
        <f t="shared" si="621"/>
        <v>0</v>
      </c>
      <c r="O4102" s="1481">
        <f t="shared" si="617"/>
        <v>0</v>
      </c>
      <c r="P4102" s="1427">
        <f t="shared" si="618"/>
        <v>0</v>
      </c>
    </row>
    <row r="4103" spans="1:16" ht="31" outlineLevel="1" x14ac:dyDescent="0.25">
      <c r="A4103" s="1484">
        <f t="shared" si="614"/>
        <v>12.1</v>
      </c>
      <c r="B4103" s="1485" t="str">
        <f t="shared" si="614"/>
        <v>AFGC U 5,7</v>
      </c>
      <c r="C4103" s="1482" t="str">
        <f t="shared" si="614"/>
        <v>MERC/TECH 1/CAPEX/20132014/01366</v>
      </c>
      <c r="D4103" s="1390">
        <f t="shared" si="614"/>
        <v>41551</v>
      </c>
      <c r="E4103" s="560">
        <f t="shared" si="614"/>
        <v>2.08</v>
      </c>
      <c r="F4103" s="1508">
        <f t="shared" si="615"/>
        <v>2.0369565389999997</v>
      </c>
      <c r="G4103" s="1508">
        <f t="shared" si="616"/>
        <v>2.0369565389999997</v>
      </c>
      <c r="H4103" s="1508">
        <f t="shared" si="619"/>
        <v>0</v>
      </c>
      <c r="I4103" s="1480">
        <v>0</v>
      </c>
      <c r="J4103" s="1480">
        <v>0</v>
      </c>
      <c r="K4103" s="1508"/>
      <c r="L4103" s="1508"/>
      <c r="M4103" s="1509">
        <f t="shared" si="620"/>
        <v>0</v>
      </c>
      <c r="N4103" s="1508">
        <f t="shared" si="621"/>
        <v>0</v>
      </c>
      <c r="O4103" s="1481">
        <f t="shared" si="617"/>
        <v>0</v>
      </c>
      <c r="P4103" s="1427">
        <f t="shared" si="618"/>
        <v>0</v>
      </c>
    </row>
    <row r="4104" spans="1:16" ht="31" outlineLevel="1" x14ac:dyDescent="0.25">
      <c r="A4104" s="1484">
        <f t="shared" si="614"/>
        <v>12.2</v>
      </c>
      <c r="B4104" s="1485" t="str">
        <f t="shared" si="614"/>
        <v>Dismantling and revamping of Sample panels of Unit 1 to 4. (4 Nos.)</v>
      </c>
      <c r="C4104" s="1488" t="str">
        <f t="shared" si="614"/>
        <v>MERC/TECH 1/CAPEX/20132014/01366</v>
      </c>
      <c r="D4104" s="1413">
        <f t="shared" si="614"/>
        <v>41551</v>
      </c>
      <c r="E4104" s="560">
        <f t="shared" si="614"/>
        <v>7.1338559999999998</v>
      </c>
      <c r="F4104" s="1508">
        <f t="shared" si="615"/>
        <v>5</v>
      </c>
      <c r="G4104" s="1508">
        <f t="shared" si="616"/>
        <v>5</v>
      </c>
      <c r="H4104" s="1508">
        <f t="shared" si="619"/>
        <v>0</v>
      </c>
      <c r="I4104" s="1480">
        <v>0</v>
      </c>
      <c r="J4104" s="1480">
        <v>0</v>
      </c>
      <c r="K4104" s="1508"/>
      <c r="L4104" s="1508"/>
      <c r="M4104" s="1509">
        <f t="shared" si="620"/>
        <v>0</v>
      </c>
      <c r="N4104" s="1508">
        <f t="shared" si="621"/>
        <v>0</v>
      </c>
      <c r="O4104" s="1481">
        <f t="shared" si="617"/>
        <v>0</v>
      </c>
      <c r="P4104" s="1427">
        <f t="shared" si="618"/>
        <v>0</v>
      </c>
    </row>
    <row r="4105" spans="1:16" ht="31" outlineLevel="1" x14ac:dyDescent="0.25">
      <c r="A4105" s="1484">
        <f t="shared" si="614"/>
        <v>0</v>
      </c>
      <c r="B4105" s="1485" t="str">
        <f t="shared" si="614"/>
        <v>IDC</v>
      </c>
      <c r="C4105" s="1482" t="str">
        <f t="shared" si="614"/>
        <v>MERC/TECH 1/CAPEX/20132014/01366</v>
      </c>
      <c r="D4105" s="1390">
        <f t="shared" si="614"/>
        <v>41551</v>
      </c>
      <c r="E4105" s="560">
        <f t="shared" si="614"/>
        <v>0.87</v>
      </c>
      <c r="F4105" s="1508">
        <f t="shared" si="615"/>
        <v>0</v>
      </c>
      <c r="G4105" s="1508">
        <f t="shared" si="616"/>
        <v>0</v>
      </c>
      <c r="H4105" s="1508">
        <f t="shared" si="619"/>
        <v>0</v>
      </c>
      <c r="I4105" s="1480">
        <v>0</v>
      </c>
      <c r="J4105" s="1480">
        <v>0</v>
      </c>
      <c r="K4105" s="1508"/>
      <c r="L4105" s="1508"/>
      <c r="M4105" s="1509">
        <f t="shared" si="620"/>
        <v>0</v>
      </c>
      <c r="N4105" s="1508">
        <f t="shared" si="621"/>
        <v>0</v>
      </c>
      <c r="O4105" s="1481">
        <f t="shared" si="617"/>
        <v>0</v>
      </c>
      <c r="P4105" s="1427">
        <f t="shared" si="618"/>
        <v>0</v>
      </c>
    </row>
    <row r="4106" spans="1:16" ht="31" outlineLevel="1" x14ac:dyDescent="0.25">
      <c r="A4106" s="1477">
        <f t="shared" si="614"/>
        <v>13</v>
      </c>
      <c r="B4106" s="1478" t="str">
        <f t="shared" si="614"/>
        <v>Replacements Platen Super Heater &amp; Eco Additional of U-5 &amp; U-6 and Upper &amp; Lower LTSH &amp; Eco Bottom assemblies of U-7</v>
      </c>
      <c r="C4106" s="1477" t="str">
        <f t="shared" si="614"/>
        <v>MERC/TECH 1/CAPEX/20132014/01936</v>
      </c>
      <c r="D4106" s="1479">
        <f t="shared" si="614"/>
        <v>41647</v>
      </c>
      <c r="E4106" s="1383">
        <f t="shared" si="614"/>
        <v>76.570000000000007</v>
      </c>
      <c r="F4106" s="1480">
        <f t="shared" si="615"/>
        <v>0</v>
      </c>
      <c r="G4106" s="1480">
        <f t="shared" si="616"/>
        <v>0</v>
      </c>
      <c r="H4106" s="1480">
        <f t="shared" si="619"/>
        <v>0</v>
      </c>
      <c r="I4106" s="1480">
        <v>0</v>
      </c>
      <c r="J4106" s="1480">
        <v>0</v>
      </c>
      <c r="K4106" s="1480"/>
      <c r="L4106" s="1480"/>
      <c r="M4106" s="1480">
        <f t="shared" si="620"/>
        <v>0</v>
      </c>
      <c r="N4106" s="1480">
        <f t="shared" si="621"/>
        <v>0</v>
      </c>
      <c r="O4106" s="1481">
        <f t="shared" si="617"/>
        <v>0</v>
      </c>
      <c r="P4106" s="1427">
        <f t="shared" si="618"/>
        <v>0</v>
      </c>
    </row>
    <row r="4107" spans="1:16" ht="31" outlineLevel="1" x14ac:dyDescent="0.25">
      <c r="A4107" s="1482">
        <f t="shared" si="614"/>
        <v>13.1</v>
      </c>
      <c r="B4107" s="1483" t="str">
        <f t="shared" si="614"/>
        <v>Platen super heater assemblies – 24 nos each for Unit-5 &amp; 6(2 sets)</v>
      </c>
      <c r="C4107" s="1482" t="str">
        <f t="shared" si="614"/>
        <v>MERC/TECH 1/CAPEX/20132014/01936</v>
      </c>
      <c r="D4107" s="1390">
        <f t="shared" si="614"/>
        <v>41647</v>
      </c>
      <c r="E4107" s="560">
        <f t="shared" si="614"/>
        <v>32.76</v>
      </c>
      <c r="F4107" s="1508">
        <f t="shared" si="615"/>
        <v>11.660929755000002</v>
      </c>
      <c r="G4107" s="1508">
        <f t="shared" si="616"/>
        <v>11.660929755000002</v>
      </c>
      <c r="H4107" s="1508">
        <f t="shared" si="619"/>
        <v>0</v>
      </c>
      <c r="I4107" s="1480">
        <v>0</v>
      </c>
      <c r="J4107" s="1480">
        <v>0</v>
      </c>
      <c r="K4107" s="1508"/>
      <c r="L4107" s="1508"/>
      <c r="M4107" s="1509">
        <f t="shared" si="620"/>
        <v>0</v>
      </c>
      <c r="N4107" s="1508">
        <f t="shared" si="621"/>
        <v>0</v>
      </c>
      <c r="O4107" s="1481">
        <f t="shared" si="617"/>
        <v>0</v>
      </c>
      <c r="P4107" s="1427">
        <f t="shared" si="618"/>
        <v>0</v>
      </c>
    </row>
    <row r="4108" spans="1:16" ht="31" outlineLevel="1" x14ac:dyDescent="0.25">
      <c r="A4108" s="1482">
        <f t="shared" si="614"/>
        <v>13.2</v>
      </c>
      <c r="B4108" s="1483" t="str">
        <f t="shared" si="614"/>
        <v>Economizer additional  Assemblies along with cassette baffles – 65 Nos. each for unit-  5 &amp; 6  (2Set )</v>
      </c>
      <c r="C4108" s="1482" t="str">
        <f t="shared" si="614"/>
        <v>MERC/TECH 1/CAPEX/20132014/01936</v>
      </c>
      <c r="D4108" s="1390">
        <f t="shared" si="614"/>
        <v>41647</v>
      </c>
      <c r="E4108" s="560">
        <f t="shared" si="614"/>
        <v>3.88</v>
      </c>
      <c r="F4108" s="1508">
        <f t="shared" si="615"/>
        <v>3.5012203659999996</v>
      </c>
      <c r="G4108" s="1508">
        <f t="shared" si="616"/>
        <v>3.5012203659999996</v>
      </c>
      <c r="H4108" s="1508">
        <f t="shared" si="619"/>
        <v>0</v>
      </c>
      <c r="I4108" s="1480">
        <v>0</v>
      </c>
      <c r="J4108" s="1480">
        <v>0</v>
      </c>
      <c r="K4108" s="1508"/>
      <c r="L4108" s="1508"/>
      <c r="M4108" s="1509">
        <f t="shared" si="620"/>
        <v>0</v>
      </c>
      <c r="N4108" s="1508">
        <f t="shared" si="621"/>
        <v>0</v>
      </c>
      <c r="O4108" s="1481">
        <f t="shared" si="617"/>
        <v>0</v>
      </c>
      <c r="P4108" s="1427">
        <f t="shared" si="618"/>
        <v>0</v>
      </c>
    </row>
    <row r="4109" spans="1:16" ht="31" outlineLevel="1" x14ac:dyDescent="0.25">
      <c r="A4109" s="1482">
        <f t="shared" si="614"/>
        <v>13.3</v>
      </c>
      <c r="B4109" s="1483" t="str">
        <f t="shared" si="614"/>
        <v>Upper LTSH  Assemblies along with cassette baffles – 62 Nos. each for unit – 7 (1 Set)</v>
      </c>
      <c r="C4109" s="1482" t="str">
        <f t="shared" si="614"/>
        <v>MERC/TECH 1/CAPEX/20132014/01936</v>
      </c>
      <c r="D4109" s="1390">
        <f t="shared" si="614"/>
        <v>41647</v>
      </c>
      <c r="E4109" s="560">
        <f t="shared" si="614"/>
        <v>9.81</v>
      </c>
      <c r="F4109" s="1508">
        <f t="shared" si="615"/>
        <v>4.9252947999999996</v>
      </c>
      <c r="G4109" s="1508">
        <f t="shared" si="616"/>
        <v>4.9252947999999996</v>
      </c>
      <c r="H4109" s="1508">
        <f t="shared" si="619"/>
        <v>0</v>
      </c>
      <c r="I4109" s="1480">
        <v>0</v>
      </c>
      <c r="J4109" s="1480">
        <v>0</v>
      </c>
      <c r="K4109" s="1508"/>
      <c r="L4109" s="1508"/>
      <c r="M4109" s="1509">
        <f t="shared" si="620"/>
        <v>0</v>
      </c>
      <c r="N4109" s="1508">
        <f t="shared" si="621"/>
        <v>0</v>
      </c>
      <c r="O4109" s="1481">
        <f t="shared" si="617"/>
        <v>0</v>
      </c>
      <c r="P4109" s="1427">
        <f t="shared" si="618"/>
        <v>0</v>
      </c>
    </row>
    <row r="4110" spans="1:16" ht="31" outlineLevel="1" x14ac:dyDescent="0.25">
      <c r="A4110" s="1482">
        <f t="shared" ref="A4110:E4125" si="622">A3440</f>
        <v>13.4</v>
      </c>
      <c r="B4110" s="1483" t="str">
        <f t="shared" si="622"/>
        <v>Lower LTSH  Assemblies along with cassette baffles  – 62Nos. for unit – 7 (1 Set)</v>
      </c>
      <c r="C4110" s="1482" t="str">
        <f t="shared" si="622"/>
        <v>MERC/TECH 1/CAPEX/20132014/01936</v>
      </c>
      <c r="D4110" s="1390">
        <f t="shared" si="622"/>
        <v>41647</v>
      </c>
      <c r="E4110" s="560">
        <f t="shared" si="622"/>
        <v>4.76</v>
      </c>
      <c r="F4110" s="1508">
        <f t="shared" si="615"/>
        <v>2.7667891</v>
      </c>
      <c r="G4110" s="1508">
        <f t="shared" si="616"/>
        <v>2.7667891</v>
      </c>
      <c r="H4110" s="1508">
        <f t="shared" si="619"/>
        <v>0</v>
      </c>
      <c r="I4110" s="1480">
        <v>0</v>
      </c>
      <c r="J4110" s="1480">
        <v>0</v>
      </c>
      <c r="K4110" s="1508"/>
      <c r="L4110" s="1508"/>
      <c r="M4110" s="1509">
        <f t="shared" si="620"/>
        <v>0</v>
      </c>
      <c r="N4110" s="1508">
        <f t="shared" si="621"/>
        <v>0</v>
      </c>
      <c r="O4110" s="1481">
        <f t="shared" si="617"/>
        <v>0</v>
      </c>
      <c r="P4110" s="1427">
        <f t="shared" si="618"/>
        <v>0</v>
      </c>
    </row>
    <row r="4111" spans="1:16" ht="31" outlineLevel="1" x14ac:dyDescent="0.25">
      <c r="A4111" s="1482">
        <f t="shared" si="622"/>
        <v>13.5</v>
      </c>
      <c r="B4111" s="1483" t="str">
        <f t="shared" si="622"/>
        <v>Lower Eco + Eco additional along with cassette baffles  for Unit-7</v>
      </c>
      <c r="C4111" s="1482" t="str">
        <f t="shared" si="622"/>
        <v>MERC/TECH 1/CAPEX/20132014/01936</v>
      </c>
      <c r="D4111" s="1390">
        <f t="shared" si="622"/>
        <v>41647</v>
      </c>
      <c r="E4111" s="560">
        <f t="shared" si="622"/>
        <v>13.41</v>
      </c>
      <c r="F4111" s="1508">
        <f t="shared" si="615"/>
        <v>6.3205716000000001</v>
      </c>
      <c r="G4111" s="1508">
        <f t="shared" si="616"/>
        <v>6.3205716000000001</v>
      </c>
      <c r="H4111" s="1508">
        <f t="shared" si="619"/>
        <v>0</v>
      </c>
      <c r="I4111" s="1480">
        <v>0</v>
      </c>
      <c r="J4111" s="1480">
        <v>0</v>
      </c>
      <c r="K4111" s="1508"/>
      <c r="L4111" s="1508"/>
      <c r="M4111" s="1509">
        <f t="shared" si="620"/>
        <v>0</v>
      </c>
      <c r="N4111" s="1508">
        <f t="shared" si="621"/>
        <v>0</v>
      </c>
      <c r="O4111" s="1481">
        <f t="shared" si="617"/>
        <v>0</v>
      </c>
      <c r="P4111" s="1427">
        <f t="shared" si="618"/>
        <v>0</v>
      </c>
    </row>
    <row r="4112" spans="1:16" ht="31" outlineLevel="1" x14ac:dyDescent="0.25">
      <c r="A4112" s="1482">
        <f t="shared" si="622"/>
        <v>13.6</v>
      </c>
      <c r="B4112" s="1483" t="str">
        <f t="shared" si="622"/>
        <v>Work Cost for Replacement of above Assemblies.</v>
      </c>
      <c r="C4112" s="1482" t="str">
        <f t="shared" si="622"/>
        <v>MERC/TECH 1/CAPEX/20132014/01936</v>
      </c>
      <c r="D4112" s="1390">
        <f t="shared" si="622"/>
        <v>41647</v>
      </c>
      <c r="E4112" s="560">
        <f t="shared" si="622"/>
        <v>5.05</v>
      </c>
      <c r="F4112" s="1508">
        <f t="shared" si="615"/>
        <v>0</v>
      </c>
      <c r="G4112" s="1508">
        <f t="shared" si="616"/>
        <v>0</v>
      </c>
      <c r="H4112" s="1508">
        <f t="shared" si="619"/>
        <v>0</v>
      </c>
      <c r="I4112" s="1480">
        <v>0</v>
      </c>
      <c r="J4112" s="1480">
        <v>0</v>
      </c>
      <c r="K4112" s="1508"/>
      <c r="L4112" s="1508"/>
      <c r="M4112" s="1509">
        <f t="shared" si="620"/>
        <v>0</v>
      </c>
      <c r="N4112" s="1508">
        <f t="shared" si="621"/>
        <v>0</v>
      </c>
      <c r="O4112" s="1481">
        <f t="shared" si="617"/>
        <v>0</v>
      </c>
      <c r="P4112" s="1427">
        <f t="shared" si="618"/>
        <v>0</v>
      </c>
    </row>
    <row r="4113" spans="1:16" ht="31" outlineLevel="1" x14ac:dyDescent="0.25">
      <c r="A4113" s="1482">
        <f t="shared" si="622"/>
        <v>0</v>
      </c>
      <c r="B4113" s="1483" t="str">
        <f t="shared" si="622"/>
        <v>IDC</v>
      </c>
      <c r="C4113" s="1482" t="str">
        <f t="shared" si="622"/>
        <v>MERC/TECH 1/CAPEX/20132014/01936</v>
      </c>
      <c r="D4113" s="1390">
        <f t="shared" si="622"/>
        <v>41647</v>
      </c>
      <c r="E4113" s="560">
        <f t="shared" si="622"/>
        <v>6.9</v>
      </c>
      <c r="F4113" s="1508">
        <f t="shared" si="615"/>
        <v>0</v>
      </c>
      <c r="G4113" s="1508">
        <f t="shared" si="616"/>
        <v>0</v>
      </c>
      <c r="H4113" s="1508">
        <f t="shared" si="619"/>
        <v>0</v>
      </c>
      <c r="I4113" s="1480">
        <v>0</v>
      </c>
      <c r="J4113" s="1480">
        <v>0</v>
      </c>
      <c r="K4113" s="1508"/>
      <c r="L4113" s="1508"/>
      <c r="M4113" s="1509">
        <f t="shared" si="620"/>
        <v>0</v>
      </c>
      <c r="N4113" s="1508">
        <f t="shared" si="621"/>
        <v>0</v>
      </c>
      <c r="O4113" s="1481">
        <f t="shared" si="617"/>
        <v>0</v>
      </c>
      <c r="P4113" s="1427">
        <f t="shared" si="618"/>
        <v>0</v>
      </c>
    </row>
    <row r="4114" spans="1:16" ht="31" outlineLevel="1" x14ac:dyDescent="0.25">
      <c r="A4114" s="1477">
        <f t="shared" si="622"/>
        <v>14</v>
      </c>
      <c r="B4114" s="1478" t="str">
        <f t="shared" si="622"/>
        <v>Procurement of Complete IPT Module for 500MW Unit-7 and Fully Bladed Rotor for LP Turbine of 500 MW Unit-5, 6, &amp; 7</v>
      </c>
      <c r="C4114" s="1477" t="str">
        <f t="shared" si="622"/>
        <v>MERC/TECH 1/CAPEX/20132014/01334</v>
      </c>
      <c r="D4114" s="1479">
        <f t="shared" si="622"/>
        <v>41548</v>
      </c>
      <c r="E4114" s="1383">
        <f t="shared" si="622"/>
        <v>83.823654699999992</v>
      </c>
      <c r="F4114" s="1480">
        <f t="shared" si="615"/>
        <v>0</v>
      </c>
      <c r="G4114" s="1480">
        <f t="shared" si="616"/>
        <v>0</v>
      </c>
      <c r="H4114" s="1480">
        <f t="shared" si="619"/>
        <v>0</v>
      </c>
      <c r="I4114" s="1480">
        <v>0</v>
      </c>
      <c r="J4114" s="1480">
        <v>0</v>
      </c>
      <c r="K4114" s="1480"/>
      <c r="L4114" s="1480"/>
      <c r="M4114" s="1480">
        <f t="shared" si="620"/>
        <v>0</v>
      </c>
      <c r="N4114" s="1480">
        <f t="shared" si="621"/>
        <v>0</v>
      </c>
      <c r="O4114" s="1481">
        <f t="shared" si="617"/>
        <v>0</v>
      </c>
      <c r="P4114" s="1427">
        <f t="shared" si="618"/>
        <v>0</v>
      </c>
    </row>
    <row r="4115" spans="1:16" ht="46.5" outlineLevel="1" x14ac:dyDescent="0.25">
      <c r="A4115" s="1482">
        <f t="shared" si="622"/>
        <v>14.1</v>
      </c>
      <c r="B4115" s="1483" t="str">
        <f t="shared" si="622"/>
        <v>IPT Module complete Type-M30-63 with advance class blading suitable for 500 MW Chandrapur Unit-7, Khaperkheda 1x500, Bhusawal 2x500</v>
      </c>
      <c r="C4115" s="1482" t="str">
        <f t="shared" si="622"/>
        <v>MERC/TECH 1/CAPEX/20132014/01334</v>
      </c>
      <c r="D4115" s="1390">
        <f t="shared" si="622"/>
        <v>41548</v>
      </c>
      <c r="E4115" s="560">
        <f t="shared" si="622"/>
        <v>48.039384900000002</v>
      </c>
      <c r="F4115" s="1508">
        <f t="shared" si="615"/>
        <v>48.039384900000002</v>
      </c>
      <c r="G4115" s="1508">
        <f t="shared" si="616"/>
        <v>48.039384900000002</v>
      </c>
      <c r="H4115" s="1508">
        <f t="shared" si="619"/>
        <v>0</v>
      </c>
      <c r="I4115" s="1480">
        <v>0</v>
      </c>
      <c r="J4115" s="1480">
        <v>0</v>
      </c>
      <c r="K4115" s="1508"/>
      <c r="L4115" s="1508"/>
      <c r="M4115" s="1509">
        <f t="shared" si="620"/>
        <v>0</v>
      </c>
      <c r="N4115" s="1508">
        <f t="shared" si="621"/>
        <v>0</v>
      </c>
      <c r="O4115" s="1481">
        <f t="shared" si="617"/>
        <v>0</v>
      </c>
      <c r="P4115" s="1427">
        <f t="shared" si="618"/>
        <v>0</v>
      </c>
    </row>
    <row r="4116" spans="1:16" ht="31" outlineLevel="1" x14ac:dyDescent="0.25">
      <c r="A4116" s="1482">
        <f t="shared" si="622"/>
        <v>14.2</v>
      </c>
      <c r="B4116" s="1483" t="str">
        <f t="shared" si="622"/>
        <v>Fully bladed dynamically balanced LP Rotor for 500 MW Units-5,6 &amp;7 at Chandrapur STPS</v>
      </c>
      <c r="C4116" s="1482" t="str">
        <f t="shared" si="622"/>
        <v>MERC/TECH 1/CAPEX/20132014/01334</v>
      </c>
      <c r="D4116" s="1390">
        <f t="shared" si="622"/>
        <v>41548</v>
      </c>
      <c r="E4116" s="560">
        <f t="shared" si="622"/>
        <v>35.784269799999997</v>
      </c>
      <c r="F4116" s="1508">
        <f t="shared" si="615"/>
        <v>35.784269799999997</v>
      </c>
      <c r="G4116" s="1508">
        <f t="shared" si="616"/>
        <v>35.784269799999997</v>
      </c>
      <c r="H4116" s="1508">
        <f t="shared" si="619"/>
        <v>0</v>
      </c>
      <c r="I4116" s="1480">
        <v>0</v>
      </c>
      <c r="J4116" s="1480">
        <v>0</v>
      </c>
      <c r="K4116" s="1508"/>
      <c r="L4116" s="1508"/>
      <c r="M4116" s="1509">
        <f t="shared" si="620"/>
        <v>0</v>
      </c>
      <c r="N4116" s="1508">
        <f t="shared" si="621"/>
        <v>0</v>
      </c>
      <c r="O4116" s="1481">
        <f t="shared" si="617"/>
        <v>0</v>
      </c>
      <c r="P4116" s="1427">
        <f t="shared" si="618"/>
        <v>0</v>
      </c>
    </row>
    <row r="4117" spans="1:16" ht="31" outlineLevel="1" x14ac:dyDescent="0.25">
      <c r="A4117" s="1477">
        <f t="shared" si="622"/>
        <v>15</v>
      </c>
      <c r="B4117" s="1478" t="str">
        <f t="shared" si="622"/>
        <v>Performance Improvement of Air Preheater Unit 1 &amp; 2 CSTPS Chandrapur</v>
      </c>
      <c r="C4117" s="1477" t="str">
        <f t="shared" si="622"/>
        <v>MERC/TECH 1/CAPEX/20132014/01431</v>
      </c>
      <c r="D4117" s="1479">
        <f t="shared" si="622"/>
        <v>41565</v>
      </c>
      <c r="E4117" s="1383">
        <f t="shared" si="622"/>
        <v>11.1699751</v>
      </c>
      <c r="F4117" s="1480">
        <f t="shared" si="615"/>
        <v>0</v>
      </c>
      <c r="G4117" s="1480">
        <f t="shared" si="616"/>
        <v>0</v>
      </c>
      <c r="H4117" s="1480">
        <f t="shared" si="619"/>
        <v>0</v>
      </c>
      <c r="I4117" s="1480">
        <v>0</v>
      </c>
      <c r="J4117" s="1480">
        <v>0</v>
      </c>
      <c r="K4117" s="1480"/>
      <c r="L4117" s="1480"/>
      <c r="M4117" s="1480">
        <f t="shared" si="620"/>
        <v>0</v>
      </c>
      <c r="N4117" s="1480">
        <f t="shared" si="621"/>
        <v>0</v>
      </c>
      <c r="O4117" s="1481">
        <f t="shared" si="617"/>
        <v>0</v>
      </c>
      <c r="P4117" s="1427">
        <f t="shared" si="618"/>
        <v>0</v>
      </c>
    </row>
    <row r="4118" spans="1:16" ht="31" outlineLevel="1" x14ac:dyDescent="0.25">
      <c r="A4118" s="1482">
        <f t="shared" si="622"/>
        <v>15.1</v>
      </c>
      <c r="B4118" s="1483" t="str">
        <f t="shared" si="622"/>
        <v xml:space="preserve">supply of MSERW / high frequency induction welding tubes for Air pre-heater in Unit 1&amp;2 </v>
      </c>
      <c r="C4118" s="1482" t="str">
        <f t="shared" si="622"/>
        <v>MERC/TECH 1/CAPEX/20132014/01431</v>
      </c>
      <c r="D4118" s="1390">
        <f t="shared" si="622"/>
        <v>41565</v>
      </c>
      <c r="E4118" s="560">
        <f t="shared" si="622"/>
        <v>8.8553540000000002</v>
      </c>
      <c r="F4118" s="1508">
        <f t="shared" si="615"/>
        <v>0</v>
      </c>
      <c r="G4118" s="1508">
        <f t="shared" si="616"/>
        <v>0</v>
      </c>
      <c r="H4118" s="1508">
        <f t="shared" si="619"/>
        <v>0</v>
      </c>
      <c r="I4118" s="1480">
        <v>0</v>
      </c>
      <c r="J4118" s="1480">
        <v>0</v>
      </c>
      <c r="K4118" s="1508"/>
      <c r="L4118" s="1508"/>
      <c r="M4118" s="1509">
        <f t="shared" si="620"/>
        <v>0</v>
      </c>
      <c r="N4118" s="1508">
        <f t="shared" si="621"/>
        <v>0</v>
      </c>
      <c r="O4118" s="1481">
        <f t="shared" si="617"/>
        <v>0</v>
      </c>
      <c r="P4118" s="1427">
        <f t="shared" si="618"/>
        <v>0</v>
      </c>
    </row>
    <row r="4119" spans="1:16" ht="31" outlineLevel="1" x14ac:dyDescent="0.25">
      <c r="A4119" s="1482">
        <f t="shared" si="622"/>
        <v>15.2</v>
      </c>
      <c r="B4119" s="1483" t="str">
        <f t="shared" si="622"/>
        <v xml:space="preserve">Compete Replacement of the air heater tubes in top ,intermediate and bottom bank(LHS and RHS) of unit 1 &amp; 2 </v>
      </c>
      <c r="C4119" s="1482" t="str">
        <f t="shared" si="622"/>
        <v>MERC/TECH 1/CAPEX/20132014/01431</v>
      </c>
      <c r="D4119" s="1390">
        <f t="shared" si="622"/>
        <v>41565</v>
      </c>
      <c r="E4119" s="560">
        <f t="shared" si="622"/>
        <v>2.14452</v>
      </c>
      <c r="F4119" s="1508">
        <f t="shared" si="615"/>
        <v>0</v>
      </c>
      <c r="G4119" s="1508">
        <f t="shared" si="616"/>
        <v>0</v>
      </c>
      <c r="H4119" s="1508">
        <f t="shared" si="619"/>
        <v>0</v>
      </c>
      <c r="I4119" s="1480">
        <v>0</v>
      </c>
      <c r="J4119" s="1480">
        <v>0</v>
      </c>
      <c r="K4119" s="1508"/>
      <c r="L4119" s="1508"/>
      <c r="M4119" s="1509">
        <f t="shared" si="620"/>
        <v>0</v>
      </c>
      <c r="N4119" s="1508">
        <f t="shared" si="621"/>
        <v>0</v>
      </c>
      <c r="O4119" s="1481">
        <f t="shared" si="617"/>
        <v>0</v>
      </c>
      <c r="P4119" s="1427">
        <f t="shared" si="618"/>
        <v>0</v>
      </c>
    </row>
    <row r="4120" spans="1:16" ht="31" outlineLevel="1" x14ac:dyDescent="0.25">
      <c r="A4120" s="1482">
        <f t="shared" si="622"/>
        <v>0</v>
      </c>
      <c r="B4120" s="1483" t="str">
        <f t="shared" si="622"/>
        <v>IDC</v>
      </c>
      <c r="C4120" s="1482" t="str">
        <f t="shared" si="622"/>
        <v>MERC/TECH 1/CAPEX/20132014/01431</v>
      </c>
      <c r="D4120" s="1390">
        <f t="shared" si="622"/>
        <v>41565</v>
      </c>
      <c r="E4120" s="560">
        <f t="shared" si="622"/>
        <v>0.17010110000000001</v>
      </c>
      <c r="F4120" s="1508">
        <f t="shared" si="615"/>
        <v>0</v>
      </c>
      <c r="G4120" s="1508">
        <f t="shared" si="616"/>
        <v>0</v>
      </c>
      <c r="H4120" s="1508">
        <f t="shared" si="619"/>
        <v>0</v>
      </c>
      <c r="I4120" s="1480">
        <v>0</v>
      </c>
      <c r="J4120" s="1480">
        <v>0</v>
      </c>
      <c r="K4120" s="1508"/>
      <c r="L4120" s="1508"/>
      <c r="M4120" s="1509">
        <f t="shared" si="620"/>
        <v>0</v>
      </c>
      <c r="N4120" s="1508">
        <f t="shared" si="621"/>
        <v>0</v>
      </c>
      <c r="O4120" s="1481">
        <f t="shared" si="617"/>
        <v>0</v>
      </c>
      <c r="P4120" s="1427">
        <f t="shared" si="618"/>
        <v>0</v>
      </c>
    </row>
    <row r="4121" spans="1:16" ht="31" outlineLevel="1" x14ac:dyDescent="0.25">
      <c r="A4121" s="1477">
        <f t="shared" si="622"/>
        <v>16</v>
      </c>
      <c r="B4121" s="1478" t="str">
        <f t="shared" si="622"/>
        <v>Procurement &amp; Replacement of heating elements (baskets) of primary and secondary air pre-heaters of unit # 5 &amp; 6</v>
      </c>
      <c r="C4121" s="1477" t="str">
        <f t="shared" si="622"/>
        <v>MERC/TECH 1/CAPEX/20142015/00432</v>
      </c>
      <c r="D4121" s="1479">
        <f t="shared" si="622"/>
        <v>41792</v>
      </c>
      <c r="E4121" s="1383">
        <f t="shared" si="622"/>
        <v>11.7446</v>
      </c>
      <c r="F4121" s="1480">
        <f t="shared" si="615"/>
        <v>0</v>
      </c>
      <c r="G4121" s="1480">
        <f t="shared" si="616"/>
        <v>0</v>
      </c>
      <c r="H4121" s="1480">
        <f t="shared" si="619"/>
        <v>0</v>
      </c>
      <c r="I4121" s="1480">
        <v>0</v>
      </c>
      <c r="J4121" s="1480">
        <v>0</v>
      </c>
      <c r="K4121" s="1480"/>
      <c r="L4121" s="1480"/>
      <c r="M4121" s="1480">
        <f t="shared" si="620"/>
        <v>0</v>
      </c>
      <c r="N4121" s="1480">
        <f t="shared" si="621"/>
        <v>0</v>
      </c>
      <c r="O4121" s="1481">
        <f t="shared" si="617"/>
        <v>0</v>
      </c>
      <c r="P4121" s="1427">
        <f t="shared" si="618"/>
        <v>0</v>
      </c>
    </row>
    <row r="4122" spans="1:16" ht="31" outlineLevel="1" x14ac:dyDescent="0.25">
      <c r="A4122" s="1482">
        <f t="shared" si="622"/>
        <v>16.100000000000001</v>
      </c>
      <c r="B4122" s="1483" t="str">
        <f t="shared" si="622"/>
        <v>Primary  &amp;  Secondary Air Pre-heater baskets hot end, intermediate  &amp; cold end (2 sets) for U-5 (Including works cost)</v>
      </c>
      <c r="C4122" s="1482" t="str">
        <f t="shared" si="622"/>
        <v>MERC/TECH 1/CAPEX/20142015/00432</v>
      </c>
      <c r="D4122" s="1390">
        <f t="shared" si="622"/>
        <v>41792</v>
      </c>
      <c r="E4122" s="560">
        <f t="shared" si="622"/>
        <v>5.5023</v>
      </c>
      <c r="F4122" s="1508">
        <f t="shared" si="615"/>
        <v>4.2318929900000004</v>
      </c>
      <c r="G4122" s="1508">
        <f t="shared" si="616"/>
        <v>4.2318929900000004</v>
      </c>
      <c r="H4122" s="1508">
        <f t="shared" si="619"/>
        <v>0</v>
      </c>
      <c r="I4122" s="1480">
        <v>0</v>
      </c>
      <c r="J4122" s="1480">
        <v>0</v>
      </c>
      <c r="K4122" s="1508"/>
      <c r="L4122" s="1508"/>
      <c r="M4122" s="1509">
        <f t="shared" si="620"/>
        <v>0</v>
      </c>
      <c r="N4122" s="1508">
        <f t="shared" si="621"/>
        <v>0</v>
      </c>
      <c r="O4122" s="1481">
        <f t="shared" si="617"/>
        <v>0</v>
      </c>
      <c r="P4122" s="1427">
        <f t="shared" si="618"/>
        <v>0</v>
      </c>
    </row>
    <row r="4123" spans="1:16" ht="31" outlineLevel="1" x14ac:dyDescent="0.25">
      <c r="A4123" s="1482">
        <f t="shared" si="622"/>
        <v>16.2</v>
      </c>
      <c r="B4123" s="1483" t="str">
        <f t="shared" si="622"/>
        <v>Primary  &amp;  Secondary Air Pre-heater baskets hot end, intermediate  &amp; cold end (2 sets) for U-6 (Including works cost)</v>
      </c>
      <c r="C4123" s="1482" t="str">
        <f t="shared" si="622"/>
        <v>MERC/TECH 1/CAPEX/20142015/00432</v>
      </c>
      <c r="D4123" s="1390">
        <f t="shared" si="622"/>
        <v>41792</v>
      </c>
      <c r="E4123" s="560">
        <f t="shared" si="622"/>
        <v>5.5023</v>
      </c>
      <c r="F4123" s="1508">
        <f t="shared" si="615"/>
        <v>4.5024009140000008</v>
      </c>
      <c r="G4123" s="1508">
        <f t="shared" si="616"/>
        <v>4.5024009140000008</v>
      </c>
      <c r="H4123" s="1508">
        <f t="shared" si="619"/>
        <v>0</v>
      </c>
      <c r="I4123" s="1480">
        <v>0</v>
      </c>
      <c r="J4123" s="1480">
        <v>0</v>
      </c>
      <c r="K4123" s="1508"/>
      <c r="L4123" s="1508"/>
      <c r="M4123" s="1509">
        <f t="shared" si="620"/>
        <v>0</v>
      </c>
      <c r="N4123" s="1508">
        <f t="shared" si="621"/>
        <v>0</v>
      </c>
      <c r="O4123" s="1481">
        <f t="shared" si="617"/>
        <v>0</v>
      </c>
      <c r="P4123" s="1427">
        <f t="shared" si="618"/>
        <v>0</v>
      </c>
    </row>
    <row r="4124" spans="1:16" ht="31" outlineLevel="1" x14ac:dyDescent="0.25">
      <c r="A4124" s="1482">
        <f t="shared" si="622"/>
        <v>0</v>
      </c>
      <c r="B4124" s="1483" t="str">
        <f t="shared" si="622"/>
        <v>IDC</v>
      </c>
      <c r="C4124" s="1482" t="str">
        <f t="shared" si="622"/>
        <v>MERC/TECH 1/CAPEX/20142015/00432</v>
      </c>
      <c r="D4124" s="1390">
        <f t="shared" si="622"/>
        <v>41792</v>
      </c>
      <c r="E4124" s="560">
        <f t="shared" si="622"/>
        <v>0.74</v>
      </c>
      <c r="F4124" s="1508">
        <f t="shared" si="615"/>
        <v>0</v>
      </c>
      <c r="G4124" s="1508">
        <f t="shared" si="616"/>
        <v>0</v>
      </c>
      <c r="H4124" s="1508">
        <f t="shared" si="619"/>
        <v>0</v>
      </c>
      <c r="I4124" s="1480">
        <v>0</v>
      </c>
      <c r="J4124" s="1480">
        <v>0</v>
      </c>
      <c r="K4124" s="1508"/>
      <c r="L4124" s="1508"/>
      <c r="M4124" s="1509">
        <f t="shared" si="620"/>
        <v>0</v>
      </c>
      <c r="N4124" s="1508">
        <f t="shared" si="621"/>
        <v>0</v>
      </c>
      <c r="O4124" s="1481">
        <f t="shared" si="617"/>
        <v>0</v>
      </c>
      <c r="P4124" s="1427">
        <f t="shared" si="618"/>
        <v>0</v>
      </c>
    </row>
    <row r="4125" spans="1:16" ht="31" outlineLevel="1" x14ac:dyDescent="0.25">
      <c r="A4125" s="1486">
        <f t="shared" si="622"/>
        <v>17</v>
      </c>
      <c r="B4125" s="1491" t="str">
        <f t="shared" si="622"/>
        <v>Procurement of moving blades for LP Turbine, Control Fluid Pumps &amp; AOP of 500MW Unit 5,6 &amp;7</v>
      </c>
      <c r="C4125" s="1486" t="str">
        <f t="shared" si="622"/>
        <v>MERC/TECH 1/CAPEX/20142015/0010</v>
      </c>
      <c r="D4125" s="1487">
        <f t="shared" si="622"/>
        <v>41928</v>
      </c>
      <c r="E4125" s="1383">
        <f t="shared" si="622"/>
        <v>19.310244699999998</v>
      </c>
      <c r="F4125" s="1480">
        <f t="shared" si="615"/>
        <v>0</v>
      </c>
      <c r="G4125" s="1480">
        <f t="shared" si="616"/>
        <v>0</v>
      </c>
      <c r="H4125" s="1480">
        <f t="shared" si="619"/>
        <v>0</v>
      </c>
      <c r="I4125" s="1480">
        <v>0</v>
      </c>
      <c r="J4125" s="1480">
        <v>0</v>
      </c>
      <c r="K4125" s="1480"/>
      <c r="L4125" s="1480"/>
      <c r="M4125" s="1480">
        <f t="shared" si="620"/>
        <v>0</v>
      </c>
      <c r="N4125" s="1480">
        <f t="shared" si="621"/>
        <v>0</v>
      </c>
      <c r="O4125" s="1481">
        <f t="shared" si="617"/>
        <v>0</v>
      </c>
      <c r="P4125" s="1427">
        <f t="shared" si="618"/>
        <v>0</v>
      </c>
    </row>
    <row r="4126" spans="1:16" ht="62" outlineLevel="1" x14ac:dyDescent="0.25">
      <c r="A4126" s="1488">
        <f t="shared" ref="A4126:E4141" si="623">A3456</f>
        <v>17.100000000000001</v>
      </c>
      <c r="B4126" s="1492" t="str">
        <f t="shared" si="623"/>
        <v>Moving blades for LPT—2L
Moving blades for LPT—2R
Moving blades for LPT—3L
Moving blades for LPT—3R</v>
      </c>
      <c r="C4126" s="1488" t="str">
        <f t="shared" si="623"/>
        <v>MERC/TECH 1/CAPEX/20142015/0010</v>
      </c>
      <c r="D4126" s="1413">
        <f t="shared" si="623"/>
        <v>41928</v>
      </c>
      <c r="E4126" s="560">
        <f t="shared" si="623"/>
        <v>13.5092</v>
      </c>
      <c r="F4126" s="1508">
        <f t="shared" si="615"/>
        <v>5.3885199799999999</v>
      </c>
      <c r="G4126" s="1508">
        <f t="shared" si="616"/>
        <v>5.3885199799999999</v>
      </c>
      <c r="H4126" s="1508">
        <f t="shared" si="619"/>
        <v>0</v>
      </c>
      <c r="I4126" s="1480">
        <v>0</v>
      </c>
      <c r="J4126" s="1480">
        <v>0</v>
      </c>
      <c r="K4126" s="1508"/>
      <c r="L4126" s="1508"/>
      <c r="M4126" s="1509">
        <f t="shared" si="620"/>
        <v>0</v>
      </c>
      <c r="N4126" s="1508">
        <f t="shared" si="621"/>
        <v>0</v>
      </c>
      <c r="O4126" s="1481">
        <f t="shared" si="617"/>
        <v>0</v>
      </c>
      <c r="P4126" s="1427">
        <f t="shared" si="618"/>
        <v>0</v>
      </c>
    </row>
    <row r="4127" spans="1:16" ht="93" outlineLevel="1" x14ac:dyDescent="0.25">
      <c r="A4127" s="1488">
        <f t="shared" si="623"/>
        <v>17.2</v>
      </c>
      <c r="B4127" s="1492" t="str">
        <f t="shared" si="623"/>
        <v>1. Control Fluid Pump for 500 MW Unit-5&amp;6_KSB Make- Type : WKVM 100/1+4
2. Control Fluid Pump for 500 MW Unit-7_KSB Make- Type : WKVM 80/1+3
3. Aux. Oil Pump for Main Turbine of 500 MW Unit-5,6&amp; 7
KSB Make- Type : ETA 150-50VL</v>
      </c>
      <c r="C4127" s="1488" t="str">
        <f t="shared" si="623"/>
        <v>MERC/TECH 1/CAPEX/20142015/0010</v>
      </c>
      <c r="D4127" s="1413">
        <f t="shared" si="623"/>
        <v>41928</v>
      </c>
      <c r="E4127" s="560">
        <f t="shared" si="623"/>
        <v>4.5510447000000003</v>
      </c>
      <c r="F4127" s="1508">
        <f t="shared" si="615"/>
        <v>7.2470200000000009</v>
      </c>
      <c r="G4127" s="1508">
        <f t="shared" si="616"/>
        <v>7.2470200000000009</v>
      </c>
      <c r="H4127" s="1508">
        <f t="shared" si="619"/>
        <v>0</v>
      </c>
      <c r="I4127" s="1480">
        <v>0</v>
      </c>
      <c r="J4127" s="1480">
        <v>0</v>
      </c>
      <c r="K4127" s="1508"/>
      <c r="L4127" s="1508"/>
      <c r="M4127" s="1509">
        <f t="shared" si="620"/>
        <v>0</v>
      </c>
      <c r="N4127" s="1508">
        <f t="shared" si="621"/>
        <v>0</v>
      </c>
      <c r="O4127" s="1481">
        <f t="shared" si="617"/>
        <v>0</v>
      </c>
      <c r="P4127" s="1427">
        <f t="shared" si="618"/>
        <v>0</v>
      </c>
    </row>
    <row r="4128" spans="1:16" ht="31" outlineLevel="1" x14ac:dyDescent="0.25">
      <c r="A4128" s="1482">
        <f t="shared" si="623"/>
        <v>0</v>
      </c>
      <c r="B4128" s="1483" t="str">
        <f t="shared" si="623"/>
        <v>IDC</v>
      </c>
      <c r="C4128" s="1482" t="str">
        <f t="shared" si="623"/>
        <v>MERC/TECH 1/CAPEX/20142015/0010</v>
      </c>
      <c r="D4128" s="1390">
        <f t="shared" si="623"/>
        <v>41928</v>
      </c>
      <c r="E4128" s="560">
        <f t="shared" si="623"/>
        <v>1.25</v>
      </c>
      <c r="F4128" s="1508">
        <f t="shared" si="615"/>
        <v>0</v>
      </c>
      <c r="G4128" s="1508">
        <f t="shared" si="616"/>
        <v>0</v>
      </c>
      <c r="H4128" s="1508">
        <f t="shared" si="619"/>
        <v>0</v>
      </c>
      <c r="I4128" s="1480">
        <v>0</v>
      </c>
      <c r="J4128" s="1480">
        <v>0</v>
      </c>
      <c r="K4128" s="1508"/>
      <c r="L4128" s="1508"/>
      <c r="M4128" s="1509">
        <f t="shared" si="620"/>
        <v>0</v>
      </c>
      <c r="N4128" s="1508">
        <f t="shared" si="621"/>
        <v>0</v>
      </c>
      <c r="O4128" s="1481">
        <f t="shared" si="617"/>
        <v>0</v>
      </c>
      <c r="P4128" s="1427">
        <f t="shared" si="618"/>
        <v>0</v>
      </c>
    </row>
    <row r="4129" spans="1:16" ht="31" outlineLevel="1" x14ac:dyDescent="0.25">
      <c r="A4129" s="1477">
        <f t="shared" si="623"/>
        <v>18</v>
      </c>
      <c r="B4129" s="1478" t="str">
        <f t="shared" si="623"/>
        <v>Procurement of Gear Box &amp; Wear Resistance liners for coal mills of Unit#5&amp;6 &amp; Supply of Gear Box for Coal Mills of Unit#7</v>
      </c>
      <c r="C4129" s="1477" t="str">
        <f t="shared" si="623"/>
        <v>MERC/TECH 1/CAPEX/20142015/01220</v>
      </c>
      <c r="D4129" s="1479">
        <f t="shared" si="623"/>
        <v>41968</v>
      </c>
      <c r="E4129" s="1383">
        <f t="shared" si="623"/>
        <v>11.914453259999998</v>
      </c>
      <c r="F4129" s="1480">
        <f t="shared" si="615"/>
        <v>0</v>
      </c>
      <c r="G4129" s="1480">
        <f t="shared" si="616"/>
        <v>0</v>
      </c>
      <c r="H4129" s="1480">
        <f t="shared" si="619"/>
        <v>0</v>
      </c>
      <c r="I4129" s="1480">
        <v>0</v>
      </c>
      <c r="J4129" s="1480">
        <v>0</v>
      </c>
      <c r="K4129" s="1480"/>
      <c r="L4129" s="1480"/>
      <c r="M4129" s="1480">
        <f t="shared" si="620"/>
        <v>0</v>
      </c>
      <c r="N4129" s="1480">
        <f t="shared" si="621"/>
        <v>0</v>
      </c>
      <c r="O4129" s="1481">
        <f t="shared" si="617"/>
        <v>0</v>
      </c>
      <c r="P4129" s="1427">
        <f t="shared" si="618"/>
        <v>0</v>
      </c>
    </row>
    <row r="4130" spans="1:16" ht="62" outlineLevel="1" x14ac:dyDescent="0.25">
      <c r="A4130" s="1482">
        <f t="shared" si="623"/>
        <v>18.100000000000001</v>
      </c>
      <c r="B4130" s="1483" t="str">
        <f t="shared" si="623"/>
        <v>Complete bevel gear stage consisting of pinion with part nos 100, 106, 107, 109, 110, 158, 159 and gear with part nos 102, 401, 402, 12 X 403 of Flender make Bocholt KMS 850 Gear Boxes of XRP-1043 Coal Mill in Unit#5&amp;6.</v>
      </c>
      <c r="C4130" s="1482" t="str">
        <f t="shared" si="623"/>
        <v>MERC/TECH 1/CAPEX/20142015/01220</v>
      </c>
      <c r="D4130" s="1390">
        <f t="shared" si="623"/>
        <v>41968</v>
      </c>
      <c r="E4130" s="560">
        <f t="shared" si="623"/>
        <v>4.4387999999999996</v>
      </c>
      <c r="F4130" s="1508">
        <f t="shared" si="615"/>
        <v>1.621920096</v>
      </c>
      <c r="G4130" s="1508">
        <f t="shared" si="616"/>
        <v>1.621920096</v>
      </c>
      <c r="H4130" s="1508">
        <f t="shared" si="619"/>
        <v>0</v>
      </c>
      <c r="I4130" s="1480">
        <v>0</v>
      </c>
      <c r="J4130" s="1480">
        <v>0</v>
      </c>
      <c r="K4130" s="1508"/>
      <c r="L4130" s="1508"/>
      <c r="M4130" s="1509">
        <f t="shared" si="620"/>
        <v>0</v>
      </c>
      <c r="N4130" s="1508">
        <f t="shared" si="621"/>
        <v>0</v>
      </c>
      <c r="O4130" s="1481">
        <f t="shared" si="617"/>
        <v>0</v>
      </c>
      <c r="P4130" s="1427">
        <f t="shared" si="618"/>
        <v>0</v>
      </c>
    </row>
    <row r="4131" spans="1:16" ht="31" outlineLevel="1" x14ac:dyDescent="0.25">
      <c r="A4131" s="1482">
        <f t="shared" si="623"/>
        <v>18.2</v>
      </c>
      <c r="B4131" s="1483" t="str">
        <f t="shared" si="623"/>
        <v>Manufacturing, Supply and Application of Wear Resistance Liners inside the mill body of XRP 1043 Coal Mill in unit-5&amp;6</v>
      </c>
      <c r="C4131" s="1482" t="str">
        <f t="shared" si="623"/>
        <v>MERC/TECH 1/CAPEX/20142015/01220</v>
      </c>
      <c r="D4131" s="1390">
        <f t="shared" si="623"/>
        <v>41968</v>
      </c>
      <c r="E4131" s="560">
        <f t="shared" si="623"/>
        <v>2.2756532600000003</v>
      </c>
      <c r="F4131" s="1508">
        <f t="shared" si="615"/>
        <v>2.2756532600000003</v>
      </c>
      <c r="G4131" s="1508">
        <f t="shared" si="616"/>
        <v>2.2756532600000003</v>
      </c>
      <c r="H4131" s="1508">
        <f t="shared" si="619"/>
        <v>0</v>
      </c>
      <c r="I4131" s="1480">
        <v>0</v>
      </c>
      <c r="J4131" s="1480">
        <v>0</v>
      </c>
      <c r="K4131" s="1508"/>
      <c r="L4131" s="1508"/>
      <c r="M4131" s="1509">
        <f t="shared" si="620"/>
        <v>0</v>
      </c>
      <c r="N4131" s="1508">
        <f t="shared" si="621"/>
        <v>0</v>
      </c>
      <c r="O4131" s="1481">
        <f t="shared" si="617"/>
        <v>0</v>
      </c>
      <c r="P4131" s="1427">
        <f t="shared" si="618"/>
        <v>0</v>
      </c>
    </row>
    <row r="4132" spans="1:16" ht="62" outlineLevel="1" x14ac:dyDescent="0.25">
      <c r="A4132" s="1482">
        <f t="shared" si="623"/>
        <v>18.3</v>
      </c>
      <c r="B4132" s="1483" t="str">
        <f t="shared" si="623"/>
        <v>Complete Gear Box type H2C630 without coupling, without lubrication unit. As per order CMD ref: 20/0900212-GA Dwg No 524932 and as per attached list for main reducer gear box of coal mill BBD 4772 in Unit#7.</v>
      </c>
      <c r="C4132" s="1482" t="str">
        <f t="shared" si="623"/>
        <v>MERC/TECH 1/CAPEX/20142015/01220</v>
      </c>
      <c r="D4132" s="1390">
        <f t="shared" si="623"/>
        <v>41968</v>
      </c>
      <c r="E4132" s="560">
        <f t="shared" si="623"/>
        <v>4.4664999999999999</v>
      </c>
      <c r="F4132" s="1508">
        <f t="shared" si="615"/>
        <v>2.2257651389999999</v>
      </c>
      <c r="G4132" s="1508">
        <f t="shared" si="616"/>
        <v>2.2257651389999999</v>
      </c>
      <c r="H4132" s="1508">
        <f t="shared" si="619"/>
        <v>0</v>
      </c>
      <c r="I4132" s="1480">
        <v>0</v>
      </c>
      <c r="J4132" s="1480">
        <v>0</v>
      </c>
      <c r="K4132" s="1508"/>
      <c r="L4132" s="1508"/>
      <c r="M4132" s="1509">
        <f t="shared" si="620"/>
        <v>0</v>
      </c>
      <c r="N4132" s="1508">
        <f t="shared" si="621"/>
        <v>0</v>
      </c>
      <c r="O4132" s="1481">
        <f t="shared" si="617"/>
        <v>0</v>
      </c>
      <c r="P4132" s="1427">
        <f t="shared" si="618"/>
        <v>0</v>
      </c>
    </row>
    <row r="4133" spans="1:16" ht="31" outlineLevel="1" x14ac:dyDescent="0.25">
      <c r="A4133" s="1482">
        <f t="shared" si="623"/>
        <v>0</v>
      </c>
      <c r="B4133" s="1483" t="str">
        <f t="shared" si="623"/>
        <v>IDC</v>
      </c>
      <c r="C4133" s="1482" t="str">
        <f t="shared" si="623"/>
        <v>MERC/TECH 1/CAPEX/20142015/01220</v>
      </c>
      <c r="D4133" s="1390">
        <f t="shared" si="623"/>
        <v>41968</v>
      </c>
      <c r="E4133" s="560">
        <f t="shared" si="623"/>
        <v>0.73350000000000004</v>
      </c>
      <c r="F4133" s="1508">
        <f t="shared" si="615"/>
        <v>0</v>
      </c>
      <c r="G4133" s="1508">
        <f t="shared" si="616"/>
        <v>0</v>
      </c>
      <c r="H4133" s="1508">
        <f t="shared" si="619"/>
        <v>0</v>
      </c>
      <c r="I4133" s="1480">
        <v>0</v>
      </c>
      <c r="J4133" s="1480">
        <v>0</v>
      </c>
      <c r="K4133" s="1508"/>
      <c r="L4133" s="1508"/>
      <c r="M4133" s="1509">
        <f t="shared" si="620"/>
        <v>0</v>
      </c>
      <c r="N4133" s="1508">
        <f t="shared" si="621"/>
        <v>0</v>
      </c>
      <c r="O4133" s="1481">
        <f t="shared" si="617"/>
        <v>0</v>
      </c>
      <c r="P4133" s="1427">
        <f t="shared" si="618"/>
        <v>0</v>
      </c>
    </row>
    <row r="4134" spans="1:16" ht="31" outlineLevel="1" x14ac:dyDescent="0.25">
      <c r="A4134" s="1477">
        <f t="shared" si="623"/>
        <v>19</v>
      </c>
      <c r="B4134" s="1478" t="str">
        <f t="shared" si="623"/>
        <v>Procurement &amp; Replacement of Condenser tubes for 500MW Unit-6 &amp; BFP cartridge for Unit 5, 6 &amp; 7</v>
      </c>
      <c r="C4134" s="1477" t="str">
        <f t="shared" si="623"/>
        <v>MERC/TECH 1/CAPEX/20142015/00950</v>
      </c>
      <c r="D4134" s="1479">
        <f t="shared" si="623"/>
        <v>41893</v>
      </c>
      <c r="E4134" s="1383">
        <f t="shared" si="623"/>
        <v>13.163734</v>
      </c>
      <c r="F4134" s="1480">
        <f t="shared" si="615"/>
        <v>0</v>
      </c>
      <c r="G4134" s="1480">
        <f t="shared" si="616"/>
        <v>0</v>
      </c>
      <c r="H4134" s="1480">
        <f t="shared" si="619"/>
        <v>0</v>
      </c>
      <c r="I4134" s="1480">
        <v>0</v>
      </c>
      <c r="J4134" s="1480">
        <v>0</v>
      </c>
      <c r="K4134" s="1480"/>
      <c r="L4134" s="1480"/>
      <c r="M4134" s="1480">
        <f t="shared" si="620"/>
        <v>0</v>
      </c>
      <c r="N4134" s="1480">
        <f t="shared" si="621"/>
        <v>0</v>
      </c>
      <c r="O4134" s="1481">
        <f t="shared" si="617"/>
        <v>0</v>
      </c>
      <c r="P4134" s="1427">
        <f t="shared" si="618"/>
        <v>0</v>
      </c>
    </row>
    <row r="4135" spans="1:16" ht="31" outlineLevel="1" x14ac:dyDescent="0.25">
      <c r="A4135" s="1482">
        <f t="shared" si="623"/>
        <v>19.100000000000001</v>
      </c>
      <c r="B4135" s="1483" t="str">
        <f t="shared" si="623"/>
        <v>Procurement of Cartridge Assembly for Boiler Feed Pump type FK 4E 36</v>
      </c>
      <c r="C4135" s="1482" t="str">
        <f t="shared" si="623"/>
        <v>MERC/TECH 1/CAPEX/20142015/00950</v>
      </c>
      <c r="D4135" s="1390">
        <f t="shared" si="623"/>
        <v>41893</v>
      </c>
      <c r="E4135" s="560">
        <f t="shared" si="623"/>
        <v>4.87</v>
      </c>
      <c r="F4135" s="1508">
        <f t="shared" si="615"/>
        <v>2.8937499999999998</v>
      </c>
      <c r="G4135" s="1508">
        <f t="shared" si="616"/>
        <v>2.8937499999999998</v>
      </c>
      <c r="H4135" s="1508">
        <f t="shared" si="619"/>
        <v>0</v>
      </c>
      <c r="I4135" s="1480">
        <v>0</v>
      </c>
      <c r="J4135" s="1480">
        <v>0</v>
      </c>
      <c r="K4135" s="1508"/>
      <c r="L4135" s="1508"/>
      <c r="M4135" s="1509">
        <f t="shared" si="620"/>
        <v>0</v>
      </c>
      <c r="N4135" s="1508">
        <f t="shared" si="621"/>
        <v>0</v>
      </c>
      <c r="O4135" s="1481">
        <f t="shared" si="617"/>
        <v>0</v>
      </c>
      <c r="P4135" s="1427">
        <f t="shared" si="618"/>
        <v>0</v>
      </c>
    </row>
    <row r="4136" spans="1:16" ht="31" outlineLevel="1" x14ac:dyDescent="0.25">
      <c r="A4136" s="1482">
        <f t="shared" si="623"/>
        <v>19.2</v>
      </c>
      <c r="B4136" s="1483" t="str">
        <f t="shared" si="623"/>
        <v>Procurement &amp; Replacement of Condenser tubes for 500MW Unit-6</v>
      </c>
      <c r="C4136" s="1482" t="str">
        <f t="shared" si="623"/>
        <v>MERC/TECH 1/CAPEX/20142015/00950</v>
      </c>
      <c r="D4136" s="1390">
        <f t="shared" si="623"/>
        <v>41893</v>
      </c>
      <c r="E4136" s="560">
        <f t="shared" si="623"/>
        <v>7.0937340000000004</v>
      </c>
      <c r="F4136" s="1508">
        <f t="shared" si="615"/>
        <v>6.1698368290000003</v>
      </c>
      <c r="G4136" s="1508">
        <f t="shared" si="616"/>
        <v>6.1698368290000003</v>
      </c>
      <c r="H4136" s="1508">
        <f t="shared" si="619"/>
        <v>0</v>
      </c>
      <c r="I4136" s="1480">
        <v>0</v>
      </c>
      <c r="J4136" s="1480">
        <v>0</v>
      </c>
      <c r="K4136" s="1508"/>
      <c r="L4136" s="1508"/>
      <c r="M4136" s="1509">
        <f t="shared" si="620"/>
        <v>0</v>
      </c>
      <c r="N4136" s="1508">
        <f t="shared" si="621"/>
        <v>0</v>
      </c>
      <c r="O4136" s="1481">
        <f t="shared" si="617"/>
        <v>0</v>
      </c>
      <c r="P4136" s="1427">
        <f t="shared" si="618"/>
        <v>0</v>
      </c>
    </row>
    <row r="4137" spans="1:16" ht="31" outlineLevel="1" x14ac:dyDescent="0.25">
      <c r="A4137" s="1482">
        <f t="shared" si="623"/>
        <v>0</v>
      </c>
      <c r="B4137" s="1483" t="str">
        <f t="shared" si="623"/>
        <v>IDC</v>
      </c>
      <c r="C4137" s="1482" t="str">
        <f t="shared" si="623"/>
        <v>MERC/TECH 1/CAPEX/20142015/00950</v>
      </c>
      <c r="D4137" s="1390">
        <f t="shared" si="623"/>
        <v>41893</v>
      </c>
      <c r="E4137" s="560">
        <f t="shared" si="623"/>
        <v>1.2</v>
      </c>
      <c r="F4137" s="1508">
        <f t="shared" si="615"/>
        <v>0</v>
      </c>
      <c r="G4137" s="1508">
        <f t="shared" si="616"/>
        <v>0</v>
      </c>
      <c r="H4137" s="1508">
        <f t="shared" si="619"/>
        <v>0</v>
      </c>
      <c r="I4137" s="1480">
        <v>0</v>
      </c>
      <c r="J4137" s="1480">
        <v>0</v>
      </c>
      <c r="K4137" s="1508"/>
      <c r="L4137" s="1508"/>
      <c r="M4137" s="1509">
        <f t="shared" si="620"/>
        <v>0</v>
      </c>
      <c r="N4137" s="1508">
        <f t="shared" si="621"/>
        <v>0</v>
      </c>
      <c r="O4137" s="1481">
        <f t="shared" si="617"/>
        <v>0</v>
      </c>
      <c r="P4137" s="1427">
        <f t="shared" si="618"/>
        <v>0</v>
      </c>
    </row>
    <row r="4138" spans="1:16" ht="31" outlineLevel="1" x14ac:dyDescent="0.25">
      <c r="A4138" s="1477">
        <f t="shared" si="623"/>
        <v>20</v>
      </c>
      <c r="B4138" s="1478" t="str">
        <f t="shared" si="623"/>
        <v>210/500 MW CHP performance improvement</v>
      </c>
      <c r="C4138" s="1477" t="str">
        <f t="shared" si="623"/>
        <v>MERC/Cell No. 1/CAPEX/ 20152016/00634</v>
      </c>
      <c r="D4138" s="1479">
        <f t="shared" si="623"/>
        <v>42256</v>
      </c>
      <c r="E4138" s="1383">
        <f t="shared" si="623"/>
        <v>16.303000000000001</v>
      </c>
      <c r="F4138" s="1480">
        <f t="shared" si="615"/>
        <v>0</v>
      </c>
      <c r="G4138" s="1480">
        <f t="shared" si="616"/>
        <v>0</v>
      </c>
      <c r="H4138" s="1480">
        <f t="shared" si="619"/>
        <v>0</v>
      </c>
      <c r="I4138" s="1480">
        <v>0</v>
      </c>
      <c r="J4138" s="1480">
        <v>0</v>
      </c>
      <c r="K4138" s="1480"/>
      <c r="L4138" s="1480"/>
      <c r="M4138" s="1480">
        <f t="shared" si="620"/>
        <v>0</v>
      </c>
      <c r="N4138" s="1480">
        <f t="shared" si="621"/>
        <v>0</v>
      </c>
      <c r="O4138" s="1481">
        <f t="shared" si="617"/>
        <v>0</v>
      </c>
      <c r="P4138" s="1427">
        <f t="shared" si="618"/>
        <v>0</v>
      </c>
    </row>
    <row r="4139" spans="1:16" ht="31" outlineLevel="1" x14ac:dyDescent="0.25">
      <c r="A4139" s="1482">
        <f t="shared" si="623"/>
        <v>20.100000000000001</v>
      </c>
      <c r="B4139" s="1483" t="str">
        <f t="shared" si="623"/>
        <v>Provision of over band suspended magnets for CHP-C.</v>
      </c>
      <c r="C4139" s="1482" t="str">
        <f t="shared" si="623"/>
        <v>MERC/Cell No. 1/CAPEX/ 20152016/00634</v>
      </c>
      <c r="D4139" s="1390">
        <f t="shared" si="623"/>
        <v>42256</v>
      </c>
      <c r="E4139" s="560">
        <f t="shared" si="623"/>
        <v>1.077</v>
      </c>
      <c r="F4139" s="1508">
        <f t="shared" si="615"/>
        <v>0.90834481999999994</v>
      </c>
      <c r="G4139" s="1508">
        <f t="shared" si="616"/>
        <v>0.90834481999999994</v>
      </c>
      <c r="H4139" s="1508">
        <f t="shared" si="619"/>
        <v>0</v>
      </c>
      <c r="I4139" s="1480">
        <v>0</v>
      </c>
      <c r="J4139" s="1480">
        <v>0</v>
      </c>
      <c r="K4139" s="1508"/>
      <c r="L4139" s="1508"/>
      <c r="M4139" s="1509">
        <f t="shared" si="620"/>
        <v>0</v>
      </c>
      <c r="N4139" s="1508">
        <f t="shared" si="621"/>
        <v>0</v>
      </c>
      <c r="O4139" s="1481">
        <f t="shared" si="617"/>
        <v>0</v>
      </c>
      <c r="P4139" s="1427">
        <f t="shared" si="618"/>
        <v>0</v>
      </c>
    </row>
    <row r="4140" spans="1:16" ht="62" outlineLevel="1" x14ac:dyDescent="0.25">
      <c r="A4140" s="1482">
        <f t="shared" si="623"/>
        <v>20.2</v>
      </c>
      <c r="B4140" s="1483" t="str">
        <f t="shared" si="623"/>
        <v>1. Procurement of HT contactor for bunkering side auxiliary at CHP B
2. Procurement of HT contactor for unloading side Critical Auxiliary at CHP-B</v>
      </c>
      <c r="C4140" s="1482" t="str">
        <f t="shared" si="623"/>
        <v>MERC/Cell No. 1/CAPEX/ 20152016/00634</v>
      </c>
      <c r="D4140" s="1390">
        <f t="shared" si="623"/>
        <v>42256</v>
      </c>
      <c r="E4140" s="560">
        <f t="shared" si="623"/>
        <v>5.7590000000000003</v>
      </c>
      <c r="F4140" s="1508">
        <f t="shared" si="615"/>
        <v>2.894304</v>
      </c>
      <c r="G4140" s="1508">
        <f t="shared" si="616"/>
        <v>2.894304</v>
      </c>
      <c r="H4140" s="1508">
        <f t="shared" si="619"/>
        <v>0</v>
      </c>
      <c r="I4140" s="1480">
        <v>0</v>
      </c>
      <c r="J4140" s="1480">
        <v>0</v>
      </c>
      <c r="K4140" s="1508"/>
      <c r="L4140" s="1508"/>
      <c r="M4140" s="1509">
        <f t="shared" si="620"/>
        <v>0</v>
      </c>
      <c r="N4140" s="1508">
        <f t="shared" si="621"/>
        <v>0</v>
      </c>
      <c r="O4140" s="1481">
        <f t="shared" si="617"/>
        <v>0</v>
      </c>
      <c r="P4140" s="1427">
        <f t="shared" si="618"/>
        <v>0</v>
      </c>
    </row>
    <row r="4141" spans="1:16" ht="31" outlineLevel="1" x14ac:dyDescent="0.25">
      <c r="A4141" s="1482">
        <f t="shared" si="623"/>
        <v>20.3</v>
      </c>
      <c r="B4141" s="1483" t="str">
        <f t="shared" si="623"/>
        <v>Bulldozer BD-155</v>
      </c>
      <c r="C4141" s="1482" t="str">
        <f t="shared" si="623"/>
        <v>MERC/Cell No. 1/CAPEX/ 20152016/00634</v>
      </c>
      <c r="D4141" s="1390">
        <f t="shared" si="623"/>
        <v>42256</v>
      </c>
      <c r="E4141" s="560">
        <f t="shared" si="623"/>
        <v>5.12</v>
      </c>
      <c r="F4141" s="1508">
        <f t="shared" si="615"/>
        <v>7.9707386820000004</v>
      </c>
      <c r="G4141" s="1508">
        <f t="shared" si="616"/>
        <v>7.9707386820000004</v>
      </c>
      <c r="H4141" s="1508">
        <f t="shared" si="619"/>
        <v>0</v>
      </c>
      <c r="I4141" s="1480">
        <v>0</v>
      </c>
      <c r="J4141" s="1480">
        <v>0</v>
      </c>
      <c r="K4141" s="1508"/>
      <c r="L4141" s="1508"/>
      <c r="M4141" s="1509">
        <f t="shared" si="620"/>
        <v>0</v>
      </c>
      <c r="N4141" s="1508">
        <f t="shared" si="621"/>
        <v>0</v>
      </c>
      <c r="O4141" s="1481">
        <f t="shared" si="617"/>
        <v>0</v>
      </c>
      <c r="P4141" s="1427">
        <f t="shared" si="618"/>
        <v>0</v>
      </c>
    </row>
    <row r="4142" spans="1:16" ht="31" outlineLevel="1" x14ac:dyDescent="0.25">
      <c r="A4142" s="1482">
        <f t="shared" ref="A4142:E4157" si="624">A3472</f>
        <v>20.399999999999999</v>
      </c>
      <c r="B4142" s="1483" t="str">
        <f t="shared" si="624"/>
        <v>Modification of wagon tippler CHP-A</v>
      </c>
      <c r="C4142" s="1482" t="str">
        <f t="shared" si="624"/>
        <v>MERC/Cell No. 1/CAPEX/ 20152016/00634</v>
      </c>
      <c r="D4142" s="1390">
        <f t="shared" si="624"/>
        <v>42256</v>
      </c>
      <c r="E4142" s="560">
        <f t="shared" si="624"/>
        <v>3.8969999999999998</v>
      </c>
      <c r="F4142" s="1508">
        <f t="shared" si="615"/>
        <v>4.488435977</v>
      </c>
      <c r="G4142" s="1508">
        <f t="shared" si="616"/>
        <v>4.488435977</v>
      </c>
      <c r="H4142" s="1508">
        <f t="shared" si="619"/>
        <v>0</v>
      </c>
      <c r="I4142" s="1480">
        <v>0</v>
      </c>
      <c r="J4142" s="1480">
        <v>0</v>
      </c>
      <c r="K4142" s="1508"/>
      <c r="L4142" s="1508"/>
      <c r="M4142" s="1509">
        <f t="shared" si="620"/>
        <v>0</v>
      </c>
      <c r="N4142" s="1508">
        <f t="shared" si="621"/>
        <v>0</v>
      </c>
      <c r="O4142" s="1481">
        <f t="shared" si="617"/>
        <v>0</v>
      </c>
      <c r="P4142" s="1427">
        <f t="shared" si="618"/>
        <v>0</v>
      </c>
    </row>
    <row r="4143" spans="1:16" ht="31" outlineLevel="1" x14ac:dyDescent="0.25">
      <c r="A4143" s="1482">
        <f t="shared" si="624"/>
        <v>0</v>
      </c>
      <c r="B4143" s="1483" t="str">
        <f t="shared" si="624"/>
        <v>IDC</v>
      </c>
      <c r="C4143" s="1482" t="str">
        <f t="shared" si="624"/>
        <v>MERC/Cell No. 1/CAPEX/ 20152016/00634</v>
      </c>
      <c r="D4143" s="1390">
        <f t="shared" si="624"/>
        <v>42256</v>
      </c>
      <c r="E4143" s="560">
        <f t="shared" si="624"/>
        <v>0.45</v>
      </c>
      <c r="F4143" s="1508">
        <f t="shared" si="615"/>
        <v>0</v>
      </c>
      <c r="G4143" s="1508">
        <f t="shared" si="616"/>
        <v>0</v>
      </c>
      <c r="H4143" s="1508">
        <f t="shared" si="619"/>
        <v>0</v>
      </c>
      <c r="I4143" s="1480">
        <v>0</v>
      </c>
      <c r="J4143" s="1480">
        <v>0</v>
      </c>
      <c r="K4143" s="1508"/>
      <c r="L4143" s="1508"/>
      <c r="M4143" s="1509">
        <f t="shared" si="620"/>
        <v>0</v>
      </c>
      <c r="N4143" s="1508">
        <f t="shared" si="621"/>
        <v>0</v>
      </c>
      <c r="O4143" s="1481">
        <f t="shared" si="617"/>
        <v>0</v>
      </c>
      <c r="P4143" s="1427">
        <f t="shared" si="618"/>
        <v>0</v>
      </c>
    </row>
    <row r="4144" spans="1:16" ht="15.5" outlineLevel="1" x14ac:dyDescent="0.25">
      <c r="A4144" s="1489">
        <f t="shared" si="624"/>
        <v>21</v>
      </c>
      <c r="B4144" s="1490" t="str">
        <f t="shared" si="624"/>
        <v>Improvement in Electrical Systems</v>
      </c>
      <c r="C4144" s="1477" t="str">
        <f t="shared" si="624"/>
        <v>MERC/CAPEX/20162017/00192</v>
      </c>
      <c r="D4144" s="1479">
        <f t="shared" si="624"/>
        <v>42500</v>
      </c>
      <c r="E4144" s="1383">
        <f t="shared" si="624"/>
        <v>10.499999999999998</v>
      </c>
      <c r="F4144" s="1480">
        <f t="shared" si="615"/>
        <v>0</v>
      </c>
      <c r="G4144" s="1480">
        <f t="shared" si="616"/>
        <v>0</v>
      </c>
      <c r="H4144" s="1480">
        <f t="shared" si="619"/>
        <v>0</v>
      </c>
      <c r="I4144" s="1480">
        <v>0</v>
      </c>
      <c r="J4144" s="1480">
        <v>0</v>
      </c>
      <c r="K4144" s="1480"/>
      <c r="L4144" s="1480"/>
      <c r="M4144" s="1480">
        <f t="shared" si="620"/>
        <v>0</v>
      </c>
      <c r="N4144" s="1480">
        <f t="shared" si="621"/>
        <v>0</v>
      </c>
      <c r="O4144" s="1481">
        <f t="shared" si="617"/>
        <v>0</v>
      </c>
      <c r="P4144" s="1427">
        <f t="shared" si="618"/>
        <v>0</v>
      </c>
    </row>
    <row r="4145" spans="1:16" ht="31" outlineLevel="1" x14ac:dyDescent="0.25">
      <c r="A4145" s="1484">
        <f t="shared" si="624"/>
        <v>21.1</v>
      </c>
      <c r="B4145" s="1485" t="str">
        <f t="shared" si="624"/>
        <v>Station Battery set 1 &amp; 2 of 220V, 2190  AH Capacity (2V X 110 Cells) New type Make- Exide</v>
      </c>
      <c r="C4145" s="1482" t="str">
        <f t="shared" si="624"/>
        <v>MERC/CAPEX/20162017/00192</v>
      </c>
      <c r="D4145" s="1390">
        <f t="shared" si="624"/>
        <v>42500</v>
      </c>
      <c r="E4145" s="560">
        <f t="shared" si="624"/>
        <v>2.71</v>
      </c>
      <c r="F4145" s="1508">
        <f t="shared" si="615"/>
        <v>3.7130741999999999</v>
      </c>
      <c r="G4145" s="1508">
        <f t="shared" si="616"/>
        <v>3.7130741</v>
      </c>
      <c r="H4145" s="1508">
        <f t="shared" si="619"/>
        <v>9.9999999836342113E-8</v>
      </c>
      <c r="I4145" s="1480">
        <v>0</v>
      </c>
      <c r="J4145" s="1480">
        <v>0</v>
      </c>
      <c r="K4145" s="1508"/>
      <c r="L4145" s="1508"/>
      <c r="M4145" s="1509">
        <f t="shared" si="620"/>
        <v>0</v>
      </c>
      <c r="N4145" s="1508">
        <f t="shared" si="621"/>
        <v>9.9999999836342113E-8</v>
      </c>
      <c r="O4145" s="1481">
        <f t="shared" si="617"/>
        <v>0</v>
      </c>
      <c r="P4145" s="1427">
        <f t="shared" si="618"/>
        <v>0</v>
      </c>
    </row>
    <row r="4146" spans="1:16" ht="31" outlineLevel="1" x14ac:dyDescent="0.25">
      <c r="A4146" s="1484">
        <f t="shared" si="624"/>
        <v>21.2</v>
      </c>
      <c r="B4146" s="1485" t="str">
        <f t="shared" si="624"/>
        <v>The G1 &amp; G2 Battery sets of 24V, 1825AH Capacity (13 Nos. cells X 2= 26 Nos. cells) plantetype Make- Exide</v>
      </c>
      <c r="C4146" s="1482" t="str">
        <f t="shared" si="624"/>
        <v>MERC/CAPEX/20162017/00192</v>
      </c>
      <c r="D4146" s="1390">
        <f t="shared" si="624"/>
        <v>42500</v>
      </c>
      <c r="E4146" s="560">
        <f t="shared" si="624"/>
        <v>0.55000000000000004</v>
      </c>
      <c r="F4146" s="1508">
        <f t="shared" si="615"/>
        <v>0.53016459999999999</v>
      </c>
      <c r="G4146" s="1508">
        <f t="shared" si="616"/>
        <v>0.53016459999999999</v>
      </c>
      <c r="H4146" s="1508">
        <f t="shared" si="619"/>
        <v>0</v>
      </c>
      <c r="I4146" s="1480">
        <v>0</v>
      </c>
      <c r="J4146" s="1480">
        <v>0</v>
      </c>
      <c r="K4146" s="1508"/>
      <c r="L4146" s="1508"/>
      <c r="M4146" s="1509">
        <f t="shared" si="620"/>
        <v>0</v>
      </c>
      <c r="N4146" s="1508">
        <f t="shared" si="621"/>
        <v>0</v>
      </c>
      <c r="O4146" s="1481">
        <f t="shared" si="617"/>
        <v>0</v>
      </c>
      <c r="P4146" s="1427">
        <f t="shared" si="618"/>
        <v>0</v>
      </c>
    </row>
    <row r="4147" spans="1:16" ht="31" outlineLevel="1" x14ac:dyDescent="0.25">
      <c r="A4147" s="1484">
        <f t="shared" si="624"/>
        <v>21.3</v>
      </c>
      <c r="B4147" s="1485" t="str">
        <f t="shared" si="624"/>
        <v>Replacement of 6.6 KV HT breakers at Ash Handling Plant by 6.6 KV SF6 contactors  suitable for frequent ON/OFFs.</v>
      </c>
      <c r="C4147" s="1482" t="str">
        <f t="shared" si="624"/>
        <v>MERC/CAPEX/20162017/00192</v>
      </c>
      <c r="D4147" s="1390">
        <f t="shared" si="624"/>
        <v>42500</v>
      </c>
      <c r="E4147" s="560">
        <f t="shared" si="624"/>
        <v>3.12</v>
      </c>
      <c r="F4147" s="1508">
        <f t="shared" si="615"/>
        <v>3.5539240080000001</v>
      </c>
      <c r="G4147" s="1508">
        <f t="shared" si="616"/>
        <v>3.5539240080000001</v>
      </c>
      <c r="H4147" s="1508">
        <f t="shared" si="619"/>
        <v>0</v>
      </c>
      <c r="I4147" s="1480">
        <v>0</v>
      </c>
      <c r="J4147" s="1480">
        <v>0</v>
      </c>
      <c r="K4147" s="1508"/>
      <c r="L4147" s="1508"/>
      <c r="M4147" s="1509">
        <f t="shared" si="620"/>
        <v>0</v>
      </c>
      <c r="N4147" s="1508">
        <f t="shared" si="621"/>
        <v>0</v>
      </c>
      <c r="O4147" s="1481">
        <f t="shared" si="617"/>
        <v>0</v>
      </c>
      <c r="P4147" s="1427">
        <f t="shared" si="618"/>
        <v>0</v>
      </c>
    </row>
    <row r="4148" spans="1:16" ht="15.5" outlineLevel="1" x14ac:dyDescent="0.25">
      <c r="A4148" s="1484">
        <f t="shared" si="624"/>
        <v>21.4</v>
      </c>
      <c r="B4148" s="1485" t="str">
        <f t="shared" si="624"/>
        <v>Micro-processor based flame scanners at Unit#3&amp;4 (210 MW)</v>
      </c>
      <c r="C4148" s="1482" t="str">
        <f t="shared" si="624"/>
        <v>MERC/CAPEX/20162017/00192</v>
      </c>
      <c r="D4148" s="1390">
        <f t="shared" si="624"/>
        <v>42500</v>
      </c>
      <c r="E4148" s="560">
        <f t="shared" si="624"/>
        <v>2.34</v>
      </c>
      <c r="F4148" s="1508">
        <f t="shared" si="615"/>
        <v>3.3241367359999998</v>
      </c>
      <c r="G4148" s="1508">
        <f t="shared" si="616"/>
        <v>3.3241367359999998</v>
      </c>
      <c r="H4148" s="1508">
        <f t="shared" si="619"/>
        <v>0</v>
      </c>
      <c r="I4148" s="1480">
        <v>0</v>
      </c>
      <c r="J4148" s="1480">
        <v>0</v>
      </c>
      <c r="K4148" s="1508"/>
      <c r="L4148" s="1508"/>
      <c r="M4148" s="1509">
        <f t="shared" si="620"/>
        <v>0</v>
      </c>
      <c r="N4148" s="1508">
        <f t="shared" si="621"/>
        <v>0</v>
      </c>
      <c r="O4148" s="1481">
        <f t="shared" si="617"/>
        <v>0</v>
      </c>
      <c r="P4148" s="1427">
        <f t="shared" si="618"/>
        <v>0</v>
      </c>
    </row>
    <row r="4149" spans="1:16" ht="46.5" outlineLevel="1" x14ac:dyDescent="0.25">
      <c r="A4149" s="1484">
        <f t="shared" si="624"/>
        <v>21.5</v>
      </c>
      <c r="B4149" s="1485" t="str">
        <f t="shared" si="624"/>
        <v>Supply, erection and commissioning of Generator Protection scheme as per enclosed material schedule and scope of work for Unit-6</v>
      </c>
      <c r="C4149" s="1482" t="str">
        <f t="shared" si="624"/>
        <v>MERC/CAPEX/20162017/00192</v>
      </c>
      <c r="D4149" s="1390">
        <f t="shared" si="624"/>
        <v>42500</v>
      </c>
      <c r="E4149" s="560">
        <f t="shared" si="624"/>
        <v>1.03</v>
      </c>
      <c r="F4149" s="1508">
        <f t="shared" si="615"/>
        <v>1.1915800000000001</v>
      </c>
      <c r="G4149" s="1508">
        <f t="shared" si="616"/>
        <v>1.1915800000000001</v>
      </c>
      <c r="H4149" s="1508">
        <f t="shared" si="619"/>
        <v>0</v>
      </c>
      <c r="I4149" s="1480">
        <v>0</v>
      </c>
      <c r="J4149" s="1480">
        <v>0</v>
      </c>
      <c r="K4149" s="1508"/>
      <c r="L4149" s="1508"/>
      <c r="M4149" s="1509">
        <f t="shared" si="620"/>
        <v>0</v>
      </c>
      <c r="N4149" s="1508">
        <f t="shared" si="621"/>
        <v>0</v>
      </c>
      <c r="O4149" s="1481">
        <f t="shared" si="617"/>
        <v>0</v>
      </c>
      <c r="P4149" s="1427">
        <f t="shared" si="618"/>
        <v>0</v>
      </c>
    </row>
    <row r="4150" spans="1:16" ht="15.5" outlineLevel="1" x14ac:dyDescent="0.25">
      <c r="A4150" s="1484">
        <f t="shared" si="624"/>
        <v>0</v>
      </c>
      <c r="B4150" s="1485" t="str">
        <f t="shared" si="624"/>
        <v>IDC</v>
      </c>
      <c r="C4150" s="1482" t="str">
        <f t="shared" si="624"/>
        <v>MERC/CAPEX/20162017/00192</v>
      </c>
      <c r="D4150" s="1390">
        <f t="shared" si="624"/>
        <v>42500</v>
      </c>
      <c r="E4150" s="560">
        <f t="shared" si="624"/>
        <v>0.75</v>
      </c>
      <c r="F4150" s="1508">
        <f t="shared" si="615"/>
        <v>0</v>
      </c>
      <c r="G4150" s="1508">
        <f t="shared" si="616"/>
        <v>0</v>
      </c>
      <c r="H4150" s="1508">
        <f t="shared" si="619"/>
        <v>0</v>
      </c>
      <c r="I4150" s="1480">
        <v>0</v>
      </c>
      <c r="J4150" s="1480">
        <v>0</v>
      </c>
      <c r="K4150" s="1508"/>
      <c r="L4150" s="1508"/>
      <c r="M4150" s="1509">
        <f t="shared" si="620"/>
        <v>0</v>
      </c>
      <c r="N4150" s="1508">
        <f t="shared" si="621"/>
        <v>0</v>
      </c>
      <c r="O4150" s="1481">
        <f t="shared" si="617"/>
        <v>0</v>
      </c>
      <c r="P4150" s="1427">
        <f t="shared" si="618"/>
        <v>0</v>
      </c>
    </row>
    <row r="4151" spans="1:16" ht="31" outlineLevel="1" x14ac:dyDescent="0.25">
      <c r="A4151" s="1489">
        <f t="shared" si="624"/>
        <v>22</v>
      </c>
      <c r="B4151" s="1490" t="str">
        <f t="shared" si="624"/>
        <v>Implementation of MPCB related ESP performance Improvement schemes at Chandrapur STPS Unit 3 to 7</v>
      </c>
      <c r="C4151" s="1486" t="str">
        <f t="shared" si="624"/>
        <v>MERC/CAPEX/20152016/00420</v>
      </c>
      <c r="D4151" s="1487">
        <f t="shared" si="624"/>
        <v>42584</v>
      </c>
      <c r="E4151" s="1383">
        <f t="shared" si="624"/>
        <v>18.170000000000002</v>
      </c>
      <c r="F4151" s="1480">
        <f t="shared" si="615"/>
        <v>0</v>
      </c>
      <c r="G4151" s="1480">
        <f t="shared" si="616"/>
        <v>0</v>
      </c>
      <c r="H4151" s="1480">
        <f t="shared" si="619"/>
        <v>0</v>
      </c>
      <c r="I4151" s="1480">
        <v>0</v>
      </c>
      <c r="J4151" s="1480">
        <v>0</v>
      </c>
      <c r="K4151" s="1480"/>
      <c r="L4151" s="1480"/>
      <c r="M4151" s="1480">
        <f t="shared" si="620"/>
        <v>0</v>
      </c>
      <c r="N4151" s="1480">
        <f t="shared" si="621"/>
        <v>0</v>
      </c>
      <c r="O4151" s="1481">
        <f t="shared" si="617"/>
        <v>0</v>
      </c>
      <c r="P4151" s="1427">
        <f t="shared" si="618"/>
        <v>0</v>
      </c>
    </row>
    <row r="4152" spans="1:16" ht="31" outlineLevel="1" x14ac:dyDescent="0.25">
      <c r="A4152" s="1484">
        <f t="shared" si="624"/>
        <v>22.1</v>
      </c>
      <c r="B4152" s="1485" t="str">
        <f t="shared" si="624"/>
        <v>Supply of internals of ESP. ( model-2FAA-5 X 32-13290-2) 1st &amp; 2nd fields in Unit #3 &amp; Works</v>
      </c>
      <c r="C4152" s="1488" t="str">
        <f t="shared" si="624"/>
        <v>MERC/CAPEX/20152016/00420</v>
      </c>
      <c r="D4152" s="1413">
        <f t="shared" si="624"/>
        <v>42584</v>
      </c>
      <c r="E4152" s="560">
        <f t="shared" si="624"/>
        <v>4.6100000000000003</v>
      </c>
      <c r="F4152" s="1508">
        <f t="shared" si="615"/>
        <v>3.9121787139999999</v>
      </c>
      <c r="G4152" s="1508">
        <f t="shared" si="616"/>
        <v>3.9121787139999999</v>
      </c>
      <c r="H4152" s="1508">
        <f t="shared" si="619"/>
        <v>0</v>
      </c>
      <c r="I4152" s="1480">
        <v>0</v>
      </c>
      <c r="J4152" s="1480">
        <v>0</v>
      </c>
      <c r="K4152" s="1508"/>
      <c r="L4152" s="1508"/>
      <c r="M4152" s="1509">
        <f t="shared" si="620"/>
        <v>0</v>
      </c>
      <c r="N4152" s="1508">
        <f t="shared" si="621"/>
        <v>0</v>
      </c>
      <c r="O4152" s="1481">
        <f t="shared" si="617"/>
        <v>0</v>
      </c>
      <c r="P4152" s="1427">
        <f t="shared" si="618"/>
        <v>0</v>
      </c>
    </row>
    <row r="4153" spans="1:16" ht="31" outlineLevel="1" x14ac:dyDescent="0.25">
      <c r="A4153" s="1484">
        <f t="shared" si="624"/>
        <v>22.2</v>
      </c>
      <c r="B4153" s="1485" t="str">
        <f t="shared" si="624"/>
        <v>Supply of internals of ESP. ( model-2FAA-5 X 32-13290-2) 1st &amp; 2nd fields in Unit #4 &amp; Works</v>
      </c>
      <c r="C4153" s="1488" t="str">
        <f t="shared" si="624"/>
        <v>MERC/CAPEX/20152016/00420</v>
      </c>
      <c r="D4153" s="1413">
        <f t="shared" si="624"/>
        <v>42584</v>
      </c>
      <c r="E4153" s="560">
        <f t="shared" si="624"/>
        <v>4.6100000000000003</v>
      </c>
      <c r="F4153" s="1508">
        <f t="shared" si="615"/>
        <v>4.6100000000000003</v>
      </c>
      <c r="G4153" s="1508">
        <f t="shared" si="616"/>
        <v>4.6100000000000003</v>
      </c>
      <c r="H4153" s="1508">
        <f t="shared" si="619"/>
        <v>0</v>
      </c>
      <c r="I4153" s="1480">
        <v>0</v>
      </c>
      <c r="J4153" s="1480">
        <v>0</v>
      </c>
      <c r="K4153" s="1508"/>
      <c r="L4153" s="1508"/>
      <c r="M4153" s="1509">
        <f t="shared" si="620"/>
        <v>0</v>
      </c>
      <c r="N4153" s="1508">
        <f t="shared" si="621"/>
        <v>0</v>
      </c>
      <c r="O4153" s="1481">
        <f t="shared" si="617"/>
        <v>0</v>
      </c>
      <c r="P4153" s="1427">
        <f t="shared" si="618"/>
        <v>0</v>
      </c>
    </row>
    <row r="4154" spans="1:16" ht="31" outlineLevel="1" x14ac:dyDescent="0.25">
      <c r="A4154" s="1484">
        <f t="shared" si="624"/>
        <v>22.3</v>
      </c>
      <c r="B4154" s="1485" t="str">
        <f t="shared" si="624"/>
        <v>Installation of SOx/ NOx analyzers for unit-3 to 7 along with all required hardware and software (Statutory requirement).</v>
      </c>
      <c r="C4154" s="1482" t="str">
        <f t="shared" si="624"/>
        <v>MERC/CAPEX/20152016/00420</v>
      </c>
      <c r="D4154" s="1390">
        <f t="shared" si="624"/>
        <v>42584</v>
      </c>
      <c r="E4154" s="560">
        <f t="shared" si="624"/>
        <v>2.98</v>
      </c>
      <c r="F4154" s="1508">
        <f t="shared" si="615"/>
        <v>1.37732225</v>
      </c>
      <c r="G4154" s="1508">
        <f t="shared" si="616"/>
        <v>1.37732225</v>
      </c>
      <c r="H4154" s="1508">
        <f t="shared" si="619"/>
        <v>0</v>
      </c>
      <c r="I4154" s="1480">
        <v>0</v>
      </c>
      <c r="J4154" s="1480">
        <v>0</v>
      </c>
      <c r="K4154" s="1508"/>
      <c r="L4154" s="1508"/>
      <c r="M4154" s="1509">
        <f t="shared" si="620"/>
        <v>0</v>
      </c>
      <c r="N4154" s="1508">
        <f t="shared" si="621"/>
        <v>0</v>
      </c>
      <c r="O4154" s="1481">
        <f t="shared" si="617"/>
        <v>0</v>
      </c>
      <c r="P4154" s="1427">
        <f t="shared" si="618"/>
        <v>0</v>
      </c>
    </row>
    <row r="4155" spans="1:16" ht="62" outlineLevel="1" x14ac:dyDescent="0.25">
      <c r="A4155" s="1484">
        <f t="shared" si="624"/>
        <v>22.4</v>
      </c>
      <c r="B4155" s="1485" t="str">
        <f t="shared" si="624"/>
        <v>Design, Engineering, Supply, Erection and Commissioning of High pressure MIST/FOG Generating System at Track hopper, WT 1 &amp; 2 of 500MW, Crusher House, Transfer Points &amp; Bunker house of 500MW</v>
      </c>
      <c r="C4155" s="1488" t="str">
        <f t="shared" si="624"/>
        <v>MERC/CAPEX/20152016/00420</v>
      </c>
      <c r="D4155" s="1413">
        <f t="shared" si="624"/>
        <v>42584</v>
      </c>
      <c r="E4155" s="560">
        <f t="shared" si="624"/>
        <v>5.37</v>
      </c>
      <c r="F4155" s="1508">
        <f t="shared" si="615"/>
        <v>4.5728099999999996</v>
      </c>
      <c r="G4155" s="1508">
        <f t="shared" si="616"/>
        <v>4.5728099999999996</v>
      </c>
      <c r="H4155" s="1508">
        <f t="shared" si="619"/>
        <v>0</v>
      </c>
      <c r="I4155" s="1480">
        <v>0</v>
      </c>
      <c r="J4155" s="1480">
        <v>0</v>
      </c>
      <c r="K4155" s="1508"/>
      <c r="L4155" s="1508"/>
      <c r="M4155" s="1509">
        <f t="shared" si="620"/>
        <v>0</v>
      </c>
      <c r="N4155" s="1508">
        <f t="shared" si="621"/>
        <v>0</v>
      </c>
      <c r="O4155" s="1481">
        <f t="shared" si="617"/>
        <v>0</v>
      </c>
      <c r="P4155" s="1427">
        <f t="shared" si="618"/>
        <v>0</v>
      </c>
    </row>
    <row r="4156" spans="1:16" ht="15.5" outlineLevel="1" x14ac:dyDescent="0.25">
      <c r="A4156" s="1484">
        <f t="shared" si="624"/>
        <v>0</v>
      </c>
      <c r="B4156" s="1485" t="str">
        <f t="shared" si="624"/>
        <v>IDC</v>
      </c>
      <c r="C4156" s="1482" t="str">
        <f t="shared" si="624"/>
        <v>MERC/CAPEX/20152016/00420</v>
      </c>
      <c r="D4156" s="1390">
        <f t="shared" si="624"/>
        <v>42584</v>
      </c>
      <c r="E4156" s="560">
        <f t="shared" si="624"/>
        <v>0.6</v>
      </c>
      <c r="F4156" s="1508">
        <f t="shared" si="615"/>
        <v>0</v>
      </c>
      <c r="G4156" s="1508">
        <f t="shared" si="616"/>
        <v>0</v>
      </c>
      <c r="H4156" s="1508">
        <f t="shared" si="619"/>
        <v>0</v>
      </c>
      <c r="I4156" s="1480">
        <v>0</v>
      </c>
      <c r="J4156" s="1480">
        <v>0</v>
      </c>
      <c r="K4156" s="1508"/>
      <c r="L4156" s="1508"/>
      <c r="M4156" s="1509">
        <f t="shared" si="620"/>
        <v>0</v>
      </c>
      <c r="N4156" s="1508">
        <f t="shared" si="621"/>
        <v>0</v>
      </c>
      <c r="O4156" s="1481">
        <f t="shared" si="617"/>
        <v>0</v>
      </c>
      <c r="P4156" s="1427">
        <f t="shared" si="618"/>
        <v>0</v>
      </c>
    </row>
    <row r="4157" spans="1:16" ht="15.5" outlineLevel="1" x14ac:dyDescent="0.25">
      <c r="A4157" s="1477">
        <f t="shared" si="624"/>
        <v>23</v>
      </c>
      <c r="B4157" s="1478" t="str">
        <f t="shared" si="624"/>
        <v>Performance Improvement &amp; Life enhancement of 500MW CHP-B</v>
      </c>
      <c r="C4157" s="1477" t="str">
        <f t="shared" si="624"/>
        <v>MERC/CAPEX/20162017/01067</v>
      </c>
      <c r="D4157" s="1479">
        <f t="shared" si="624"/>
        <v>42702</v>
      </c>
      <c r="E4157" s="1383">
        <f t="shared" si="624"/>
        <v>18.78</v>
      </c>
      <c r="F4157" s="1480">
        <f t="shared" si="615"/>
        <v>0</v>
      </c>
      <c r="G4157" s="1480">
        <f t="shared" si="616"/>
        <v>0</v>
      </c>
      <c r="H4157" s="1480">
        <f t="shared" si="619"/>
        <v>0</v>
      </c>
      <c r="I4157" s="1480">
        <v>0</v>
      </c>
      <c r="J4157" s="1480">
        <v>0</v>
      </c>
      <c r="K4157" s="1480"/>
      <c r="L4157" s="1480"/>
      <c r="M4157" s="1480">
        <f t="shared" si="620"/>
        <v>0</v>
      </c>
      <c r="N4157" s="1480">
        <f t="shared" si="621"/>
        <v>0</v>
      </c>
      <c r="O4157" s="1481">
        <f t="shared" si="617"/>
        <v>0</v>
      </c>
      <c r="P4157" s="1427">
        <f t="shared" si="618"/>
        <v>0</v>
      </c>
    </row>
    <row r="4158" spans="1:16" ht="15.5" outlineLevel="1" x14ac:dyDescent="0.25">
      <c r="A4158" s="1482">
        <f t="shared" ref="A4158:E4173" si="625">A3488</f>
        <v>23.1</v>
      </c>
      <c r="B4158" s="1483" t="str">
        <f t="shared" si="625"/>
        <v>Life Enhancement of Stacker reclaimer of CHP-B.</v>
      </c>
      <c r="C4158" s="1482" t="str">
        <f t="shared" si="625"/>
        <v>MERC/CAPEX/20162017/01067</v>
      </c>
      <c r="D4158" s="1390">
        <f t="shared" si="625"/>
        <v>42702</v>
      </c>
      <c r="E4158" s="560">
        <f t="shared" si="625"/>
        <v>5.76</v>
      </c>
      <c r="F4158" s="1508">
        <f t="shared" ref="F4158:F4221" si="626">F3488+I3488</f>
        <v>5.2949505139999999</v>
      </c>
      <c r="G4158" s="1508">
        <f t="shared" ref="G4158:G4221" si="627">G3488+M3488</f>
        <v>5.2949505139999999</v>
      </c>
      <c r="H4158" s="1508">
        <f t="shared" si="619"/>
        <v>0</v>
      </c>
      <c r="I4158" s="1480">
        <v>0</v>
      </c>
      <c r="J4158" s="1480">
        <v>0</v>
      </c>
      <c r="K4158" s="1508"/>
      <c r="L4158" s="1508"/>
      <c r="M4158" s="1509">
        <f t="shared" si="620"/>
        <v>0</v>
      </c>
      <c r="N4158" s="1508">
        <f t="shared" si="621"/>
        <v>0</v>
      </c>
      <c r="O4158" s="1481">
        <f t="shared" ref="O4158:O4221" si="628">MAX(0,IF(M4158=0,0,IF(G4158+M4158&lt;E4158,M4158,E4158-G4158)))</f>
        <v>0</v>
      </c>
      <c r="P4158" s="1427">
        <f t="shared" ref="P4158:P4221" si="629">M4158-O4158</f>
        <v>0</v>
      </c>
    </row>
    <row r="4159" spans="1:16" ht="31" outlineLevel="1" x14ac:dyDescent="0.25">
      <c r="A4159" s="1482">
        <f t="shared" si="625"/>
        <v>23.2</v>
      </c>
      <c r="B4159" s="1483" t="str">
        <f t="shared" si="625"/>
        <v>Renovation including replacement of hydraulic system of paddle feeder with up gradations at CHPB.</v>
      </c>
      <c r="C4159" s="1482" t="str">
        <f t="shared" si="625"/>
        <v>MERC/CAPEX/20162017/01067</v>
      </c>
      <c r="D4159" s="1390">
        <f t="shared" si="625"/>
        <v>42702</v>
      </c>
      <c r="E4159" s="560">
        <f t="shared" si="625"/>
        <v>2.19</v>
      </c>
      <c r="F4159" s="1508">
        <f t="shared" si="626"/>
        <v>2.3147547999999998</v>
      </c>
      <c r="G4159" s="1508">
        <f t="shared" si="627"/>
        <v>2.3147547999999998</v>
      </c>
      <c r="H4159" s="1508">
        <f t="shared" ref="H4159:H4214" si="630">F4159-G4159</f>
        <v>0</v>
      </c>
      <c r="I4159" s="1480">
        <v>0</v>
      </c>
      <c r="J4159" s="1480">
        <v>0</v>
      </c>
      <c r="K4159" s="1508"/>
      <c r="L4159" s="1508"/>
      <c r="M4159" s="1509">
        <f t="shared" ref="M4159:M4214" si="631">SUM(J4159:L4159)</f>
        <v>0</v>
      </c>
      <c r="N4159" s="1508">
        <f t="shared" ref="N4159:N4214" si="632">H4159+I4159-M4159</f>
        <v>0</v>
      </c>
      <c r="O4159" s="1481">
        <f t="shared" si="628"/>
        <v>0</v>
      </c>
      <c r="P4159" s="1427">
        <f t="shared" si="629"/>
        <v>0</v>
      </c>
    </row>
    <row r="4160" spans="1:16" ht="31" outlineLevel="1" x14ac:dyDescent="0.25">
      <c r="A4160" s="1482">
        <f t="shared" si="625"/>
        <v>23.3</v>
      </c>
      <c r="B4160" s="1483" t="str">
        <f t="shared" si="625"/>
        <v>Renovation of hydraulic system of wagon tippler and side arm charger with procurement of its essential spares at CHPB.</v>
      </c>
      <c r="C4160" s="1482" t="str">
        <f t="shared" si="625"/>
        <v>MERC/CAPEX/20162017/01067</v>
      </c>
      <c r="D4160" s="1390">
        <f t="shared" si="625"/>
        <v>42702</v>
      </c>
      <c r="E4160" s="560">
        <f t="shared" si="625"/>
        <v>10.33</v>
      </c>
      <c r="F4160" s="1508">
        <f t="shared" si="626"/>
        <v>11.7941</v>
      </c>
      <c r="G4160" s="1508">
        <f t="shared" si="627"/>
        <v>11.7941</v>
      </c>
      <c r="H4160" s="1508">
        <f t="shared" si="630"/>
        <v>0</v>
      </c>
      <c r="I4160" s="1480">
        <v>0</v>
      </c>
      <c r="J4160" s="1480">
        <v>0</v>
      </c>
      <c r="K4160" s="1508"/>
      <c r="L4160" s="1508"/>
      <c r="M4160" s="1509">
        <f t="shared" si="631"/>
        <v>0</v>
      </c>
      <c r="N4160" s="1508">
        <f t="shared" si="632"/>
        <v>0</v>
      </c>
      <c r="O4160" s="1481">
        <f t="shared" si="628"/>
        <v>0</v>
      </c>
      <c r="P4160" s="1427">
        <f t="shared" si="629"/>
        <v>0</v>
      </c>
    </row>
    <row r="4161" spans="1:16" ht="15.5" outlineLevel="1" x14ac:dyDescent="0.25">
      <c r="A4161" s="1482">
        <f t="shared" si="625"/>
        <v>0</v>
      </c>
      <c r="B4161" s="1483" t="str">
        <f t="shared" si="625"/>
        <v>IDC</v>
      </c>
      <c r="C4161" s="1482" t="str">
        <f t="shared" si="625"/>
        <v>MERC/CAPEX/20162017/01067</v>
      </c>
      <c r="D4161" s="1390">
        <f t="shared" si="625"/>
        <v>42702</v>
      </c>
      <c r="E4161" s="560">
        <f t="shared" si="625"/>
        <v>0.5</v>
      </c>
      <c r="F4161" s="1508">
        <f t="shared" si="626"/>
        <v>0</v>
      </c>
      <c r="G4161" s="1508">
        <f t="shared" si="627"/>
        <v>0</v>
      </c>
      <c r="H4161" s="1508">
        <f t="shared" si="630"/>
        <v>0</v>
      </c>
      <c r="I4161" s="1480">
        <v>0</v>
      </c>
      <c r="J4161" s="1480">
        <v>0</v>
      </c>
      <c r="K4161" s="1508"/>
      <c r="L4161" s="1508"/>
      <c r="M4161" s="1509">
        <f t="shared" si="631"/>
        <v>0</v>
      </c>
      <c r="N4161" s="1508">
        <f t="shared" si="632"/>
        <v>0</v>
      </c>
      <c r="O4161" s="1481">
        <f t="shared" si="628"/>
        <v>0</v>
      </c>
      <c r="P4161" s="1427">
        <f t="shared" si="629"/>
        <v>0</v>
      </c>
    </row>
    <row r="4162" spans="1:16" ht="31" outlineLevel="1" x14ac:dyDescent="0.25">
      <c r="A4162" s="1477">
        <f t="shared" si="625"/>
        <v>24</v>
      </c>
      <c r="B4162" s="1478" t="str">
        <f t="shared" si="625"/>
        <v>Retrofitting of existing circuit breakers at Chandrapur STPS Unit-3, 4, 5, 6 and ODP-II</v>
      </c>
      <c r="C4162" s="1477" t="str">
        <f t="shared" si="625"/>
        <v>MERC/CAPEX/20162017/01475</v>
      </c>
      <c r="D4162" s="1479">
        <f t="shared" si="625"/>
        <v>42772</v>
      </c>
      <c r="E4162" s="1383">
        <f t="shared" si="625"/>
        <v>13.700000000000001</v>
      </c>
      <c r="F4162" s="1480">
        <f t="shared" si="626"/>
        <v>0</v>
      </c>
      <c r="G4162" s="1480">
        <f t="shared" si="627"/>
        <v>0</v>
      </c>
      <c r="H4162" s="1480">
        <f t="shared" si="630"/>
        <v>0</v>
      </c>
      <c r="I4162" s="1480">
        <v>0</v>
      </c>
      <c r="J4162" s="1480">
        <v>0</v>
      </c>
      <c r="K4162" s="1480"/>
      <c r="L4162" s="1480"/>
      <c r="M4162" s="1480">
        <f t="shared" si="631"/>
        <v>0</v>
      </c>
      <c r="N4162" s="1480">
        <f t="shared" si="632"/>
        <v>0</v>
      </c>
      <c r="O4162" s="1481">
        <f t="shared" si="628"/>
        <v>0</v>
      </c>
      <c r="P4162" s="1427">
        <f t="shared" si="629"/>
        <v>0</v>
      </c>
    </row>
    <row r="4163" spans="1:16" ht="31" outlineLevel="1" x14ac:dyDescent="0.25">
      <c r="A4163" s="1482">
        <f t="shared" si="625"/>
        <v>24.1</v>
      </c>
      <c r="B4163" s="1483" t="str">
        <f t="shared" si="625"/>
        <v>Retrofitting of existing Circuit breakers of AHP motor feeders at Unit # 5 &amp; 6</v>
      </c>
      <c r="C4163" s="1482" t="str">
        <f t="shared" si="625"/>
        <v>MERC/CAPEX/20162017/01475</v>
      </c>
      <c r="D4163" s="1390">
        <f t="shared" si="625"/>
        <v>42772</v>
      </c>
      <c r="E4163" s="560">
        <f t="shared" si="625"/>
        <v>3.25</v>
      </c>
      <c r="F4163" s="1508">
        <f t="shared" si="626"/>
        <v>3.8744195499999998</v>
      </c>
      <c r="G4163" s="1508">
        <f t="shared" si="627"/>
        <v>3.8744195500000003</v>
      </c>
      <c r="H4163" s="1508">
        <f t="shared" si="630"/>
        <v>0</v>
      </c>
      <c r="I4163" s="1480">
        <v>0</v>
      </c>
      <c r="J4163" s="1480">
        <v>0</v>
      </c>
      <c r="K4163" s="1508"/>
      <c r="L4163" s="1508"/>
      <c r="M4163" s="1509">
        <f t="shared" si="631"/>
        <v>0</v>
      </c>
      <c r="N4163" s="1508">
        <f t="shared" si="632"/>
        <v>0</v>
      </c>
      <c r="O4163" s="1481">
        <f t="shared" si="628"/>
        <v>0</v>
      </c>
      <c r="P4163" s="1427">
        <f t="shared" si="629"/>
        <v>0</v>
      </c>
    </row>
    <row r="4164" spans="1:16" ht="31" outlineLevel="1" x14ac:dyDescent="0.25">
      <c r="A4164" s="1482">
        <f t="shared" si="625"/>
        <v>24.2</v>
      </c>
      <c r="B4164" s="1483" t="str">
        <f t="shared" si="625"/>
        <v>Retrofitting of existing Circuit breakers installed at Unit Boards at Unit –5  &amp; Aundha Pump House (ODP-II)</v>
      </c>
      <c r="C4164" s="1482" t="str">
        <f t="shared" si="625"/>
        <v>MERC/CAPEX/20162017/01475</v>
      </c>
      <c r="D4164" s="1390">
        <f t="shared" si="625"/>
        <v>42772</v>
      </c>
      <c r="E4164" s="560">
        <f t="shared" si="625"/>
        <v>3.46</v>
      </c>
      <c r="F4164" s="1508">
        <f t="shared" si="626"/>
        <v>3.5522795499999997</v>
      </c>
      <c r="G4164" s="1508">
        <f t="shared" si="627"/>
        <v>3.5522795500000002</v>
      </c>
      <c r="H4164" s="1508">
        <f t="shared" si="630"/>
        <v>0</v>
      </c>
      <c r="I4164" s="1480">
        <v>0</v>
      </c>
      <c r="J4164" s="1480">
        <v>0</v>
      </c>
      <c r="K4164" s="1508"/>
      <c r="L4164" s="1508"/>
      <c r="M4164" s="1509">
        <f t="shared" si="631"/>
        <v>0</v>
      </c>
      <c r="N4164" s="1508">
        <f t="shared" si="632"/>
        <v>0</v>
      </c>
      <c r="O4164" s="1481">
        <f t="shared" si="628"/>
        <v>0</v>
      </c>
      <c r="P4164" s="1427">
        <f t="shared" si="629"/>
        <v>0</v>
      </c>
    </row>
    <row r="4165" spans="1:16" ht="31" outlineLevel="1" x14ac:dyDescent="0.25">
      <c r="A4165" s="1482">
        <f t="shared" si="625"/>
        <v>24.3</v>
      </c>
      <c r="B4165" s="1483" t="str">
        <f t="shared" si="625"/>
        <v xml:space="preserve">Retrofitting of existing Circuit breakers installed at Unit Boards at Unit –3&amp;4 </v>
      </c>
      <c r="C4165" s="1482" t="str">
        <f t="shared" si="625"/>
        <v>MERC/CAPEX/20162017/01475</v>
      </c>
      <c r="D4165" s="1390">
        <f t="shared" si="625"/>
        <v>42772</v>
      </c>
      <c r="E4165" s="560">
        <f t="shared" si="625"/>
        <v>6.19</v>
      </c>
      <c r="F4165" s="1508">
        <f t="shared" si="626"/>
        <v>4.5767479</v>
      </c>
      <c r="G4165" s="1508">
        <f t="shared" si="627"/>
        <v>4.5767479</v>
      </c>
      <c r="H4165" s="1508">
        <f t="shared" si="630"/>
        <v>0</v>
      </c>
      <c r="I4165" s="1480">
        <v>0</v>
      </c>
      <c r="J4165" s="1480">
        <v>0</v>
      </c>
      <c r="K4165" s="1508"/>
      <c r="L4165" s="1508"/>
      <c r="M4165" s="1509">
        <f t="shared" si="631"/>
        <v>0</v>
      </c>
      <c r="N4165" s="1508">
        <f t="shared" si="632"/>
        <v>0</v>
      </c>
      <c r="O4165" s="1481">
        <f t="shared" si="628"/>
        <v>0</v>
      </c>
      <c r="P4165" s="1427">
        <f t="shared" si="629"/>
        <v>0</v>
      </c>
    </row>
    <row r="4166" spans="1:16" ht="15.5" outlineLevel="1" x14ac:dyDescent="0.25">
      <c r="A4166" s="1482">
        <f t="shared" si="625"/>
        <v>0</v>
      </c>
      <c r="B4166" s="1483" t="str">
        <f t="shared" si="625"/>
        <v>IDC</v>
      </c>
      <c r="C4166" s="1482" t="str">
        <f t="shared" si="625"/>
        <v>MERC/CAPEX/20162017/01475</v>
      </c>
      <c r="D4166" s="1390">
        <f t="shared" si="625"/>
        <v>42772</v>
      </c>
      <c r="E4166" s="560">
        <f t="shared" si="625"/>
        <v>0.8</v>
      </c>
      <c r="F4166" s="1508">
        <f t="shared" si="626"/>
        <v>0</v>
      </c>
      <c r="G4166" s="1508">
        <f t="shared" si="627"/>
        <v>0</v>
      </c>
      <c r="H4166" s="1508">
        <f t="shared" si="630"/>
        <v>0</v>
      </c>
      <c r="I4166" s="1480">
        <v>0</v>
      </c>
      <c r="J4166" s="1480">
        <v>0</v>
      </c>
      <c r="K4166" s="1508"/>
      <c r="L4166" s="1508"/>
      <c r="M4166" s="1509">
        <f t="shared" si="631"/>
        <v>0</v>
      </c>
      <c r="N4166" s="1508">
        <f t="shared" si="632"/>
        <v>0</v>
      </c>
      <c r="O4166" s="1481">
        <f t="shared" si="628"/>
        <v>0</v>
      </c>
      <c r="P4166" s="1427">
        <f t="shared" si="629"/>
        <v>0</v>
      </c>
    </row>
    <row r="4167" spans="1:16" ht="31" outlineLevel="1" x14ac:dyDescent="0.25">
      <c r="A4167" s="1489">
        <f t="shared" si="625"/>
        <v>25</v>
      </c>
      <c r="B4167" s="1490" t="str">
        <f t="shared" si="625"/>
        <v>Construction of Quarter Guard, Bachelor Accomodation &amp; Allied Structures in Phase I &amp; II for Induction of CISF Security</v>
      </c>
      <c r="C4167" s="1477" t="str">
        <f t="shared" si="625"/>
        <v>MERC/CAPEX/20162017/01269</v>
      </c>
      <c r="D4167" s="1479">
        <f t="shared" si="625"/>
        <v>42737</v>
      </c>
      <c r="E4167" s="1383">
        <f t="shared" si="625"/>
        <v>14.686</v>
      </c>
      <c r="F4167" s="1480">
        <f t="shared" si="626"/>
        <v>0</v>
      </c>
      <c r="G4167" s="1480">
        <f t="shared" si="627"/>
        <v>0</v>
      </c>
      <c r="H4167" s="1480">
        <f t="shared" si="630"/>
        <v>0</v>
      </c>
      <c r="I4167" s="1480">
        <v>0</v>
      </c>
      <c r="J4167" s="1480">
        <v>0</v>
      </c>
      <c r="K4167" s="1480"/>
      <c r="L4167" s="1480"/>
      <c r="M4167" s="1480">
        <f t="shared" si="631"/>
        <v>0</v>
      </c>
      <c r="N4167" s="1480">
        <f t="shared" si="632"/>
        <v>0</v>
      </c>
      <c r="O4167" s="1481">
        <f t="shared" si="628"/>
        <v>0</v>
      </c>
      <c r="P4167" s="1427">
        <f t="shared" si="629"/>
        <v>0</v>
      </c>
    </row>
    <row r="4168" spans="1:16" ht="31" outlineLevel="1" x14ac:dyDescent="0.25">
      <c r="A4168" s="1484">
        <f t="shared" si="625"/>
        <v>25.1</v>
      </c>
      <c r="B4168" s="1485" t="str">
        <f t="shared" si="625"/>
        <v>Construction of Quarter Guard, Bachelor Accomodation &amp; Allied Structures in Phase I &amp; II for Induction of CISF Security</v>
      </c>
      <c r="C4168" s="1482" t="str">
        <f t="shared" si="625"/>
        <v>MERC/CAPEX/20162017/01269</v>
      </c>
      <c r="D4168" s="1390">
        <f t="shared" si="625"/>
        <v>42737</v>
      </c>
      <c r="E4168" s="560">
        <f t="shared" si="625"/>
        <v>14.686</v>
      </c>
      <c r="F4168" s="1508">
        <f t="shared" si="626"/>
        <v>14.690374417000001</v>
      </c>
      <c r="G4168" s="1508">
        <f t="shared" si="627"/>
        <v>14.690374417000001</v>
      </c>
      <c r="H4168" s="1508">
        <f t="shared" si="630"/>
        <v>0</v>
      </c>
      <c r="I4168" s="1480">
        <v>0</v>
      </c>
      <c r="J4168" s="1480">
        <v>0</v>
      </c>
      <c r="K4168" s="1508"/>
      <c r="L4168" s="1508"/>
      <c r="M4168" s="1509">
        <f t="shared" si="631"/>
        <v>0</v>
      </c>
      <c r="N4168" s="1508">
        <f t="shared" si="632"/>
        <v>0</v>
      </c>
      <c r="O4168" s="1481">
        <f t="shared" si="628"/>
        <v>0</v>
      </c>
      <c r="P4168" s="1427">
        <f t="shared" si="629"/>
        <v>0</v>
      </c>
    </row>
    <row r="4169" spans="1:16" ht="31" outlineLevel="1" x14ac:dyDescent="0.25">
      <c r="A4169" s="1489">
        <f t="shared" si="625"/>
        <v>26</v>
      </c>
      <c r="B4169" s="1490" t="str">
        <f t="shared" si="625"/>
        <v>Pipe Conveyor System for Transporting Coal from Bhatadi Coal Mine to Chandrapur STPS.</v>
      </c>
      <c r="C4169" s="1477" t="str">
        <f t="shared" si="625"/>
        <v>MERC/CAPEX/20172018/4171</v>
      </c>
      <c r="D4169" s="1479">
        <f t="shared" si="625"/>
        <v>42986</v>
      </c>
      <c r="E4169" s="1383">
        <f t="shared" si="625"/>
        <v>196.26</v>
      </c>
      <c r="F4169" s="1480">
        <f t="shared" si="626"/>
        <v>0</v>
      </c>
      <c r="G4169" s="1480">
        <f t="shared" si="627"/>
        <v>0</v>
      </c>
      <c r="H4169" s="1480">
        <f t="shared" si="630"/>
        <v>0</v>
      </c>
      <c r="I4169" s="1480">
        <v>0</v>
      </c>
      <c r="J4169" s="1480">
        <v>0</v>
      </c>
      <c r="K4169" s="1480"/>
      <c r="L4169" s="1480"/>
      <c r="M4169" s="1480">
        <f t="shared" si="631"/>
        <v>0</v>
      </c>
      <c r="N4169" s="1480">
        <f t="shared" si="632"/>
        <v>0</v>
      </c>
      <c r="O4169" s="1481">
        <f t="shared" si="628"/>
        <v>0</v>
      </c>
      <c r="P4169" s="1427">
        <f t="shared" si="629"/>
        <v>0</v>
      </c>
    </row>
    <row r="4170" spans="1:16" ht="31" outlineLevel="1" x14ac:dyDescent="0.25">
      <c r="A4170" s="1484">
        <f t="shared" si="625"/>
        <v>26.1</v>
      </c>
      <c r="B4170" s="1485" t="str">
        <f t="shared" si="625"/>
        <v>Pipe Conveyor System for Transporting Coal from Bhatadi Coal Mine to Chandrapur STPS.</v>
      </c>
      <c r="C4170" s="1482" t="str">
        <f t="shared" si="625"/>
        <v>MERC/CAPEX/20172018/4171</v>
      </c>
      <c r="D4170" s="1390">
        <f t="shared" si="625"/>
        <v>42986</v>
      </c>
      <c r="E4170" s="560">
        <f t="shared" si="625"/>
        <v>196.26</v>
      </c>
      <c r="F4170" s="1508">
        <f t="shared" si="626"/>
        <v>256.81526693500001</v>
      </c>
      <c r="G4170" s="1508">
        <f t="shared" si="627"/>
        <v>256.81526693500001</v>
      </c>
      <c r="H4170" s="1508">
        <f t="shared" si="630"/>
        <v>0</v>
      </c>
      <c r="I4170" s="1480">
        <v>0</v>
      </c>
      <c r="J4170" s="1480">
        <v>0</v>
      </c>
      <c r="K4170" s="1508"/>
      <c r="L4170" s="1508"/>
      <c r="M4170" s="1509">
        <f t="shared" si="631"/>
        <v>0</v>
      </c>
      <c r="N4170" s="1508">
        <f t="shared" si="632"/>
        <v>0</v>
      </c>
      <c r="O4170" s="1481">
        <f t="shared" si="628"/>
        <v>0</v>
      </c>
      <c r="P4170" s="1427">
        <f t="shared" si="629"/>
        <v>0</v>
      </c>
    </row>
    <row r="4171" spans="1:16" ht="31" outlineLevel="1" x14ac:dyDescent="0.25">
      <c r="A4171" s="1477">
        <f t="shared" si="625"/>
        <v>27</v>
      </c>
      <c r="B4171" s="1478" t="str">
        <f t="shared" si="625"/>
        <v>Procurement &amp; replacement of Economizer upper assemblies of Unit-5,6 &amp; hot Reheater coil complete set of Unit-3 of CSTPS</v>
      </c>
      <c r="C4171" s="1477" t="str">
        <f t="shared" si="625"/>
        <v>MERC/CAPEX/20172018/4071</v>
      </c>
      <c r="D4171" s="1479">
        <f t="shared" si="625"/>
        <v>42965</v>
      </c>
      <c r="E4171" s="1403">
        <f t="shared" si="625"/>
        <v>25.27</v>
      </c>
      <c r="F4171" s="1510">
        <f t="shared" si="626"/>
        <v>0</v>
      </c>
      <c r="G4171" s="1510">
        <f t="shared" si="627"/>
        <v>0</v>
      </c>
      <c r="H4171" s="1510">
        <f t="shared" si="630"/>
        <v>0</v>
      </c>
      <c r="I4171" s="1480">
        <v>0</v>
      </c>
      <c r="J4171" s="1480">
        <v>0</v>
      </c>
      <c r="K4171" s="1510"/>
      <c r="L4171" s="1510"/>
      <c r="M4171" s="1510">
        <f t="shared" si="631"/>
        <v>0</v>
      </c>
      <c r="N4171" s="1510">
        <f t="shared" si="632"/>
        <v>0</v>
      </c>
      <c r="O4171" s="1481">
        <f t="shared" si="628"/>
        <v>0</v>
      </c>
      <c r="P4171" s="1427">
        <f t="shared" si="629"/>
        <v>0</v>
      </c>
    </row>
    <row r="4172" spans="1:16" ht="31" outlineLevel="1" x14ac:dyDescent="0.25">
      <c r="A4172" s="1482">
        <f t="shared" si="625"/>
        <v>27.1</v>
      </c>
      <c r="B4172" s="1483" t="str">
        <f t="shared" si="625"/>
        <v>supply &amp; replacement of Economizer Upper Assemblies of unit no.5 &amp; 6</v>
      </c>
      <c r="C4172" s="1482" t="str">
        <f t="shared" si="625"/>
        <v>MERC/CAPEX/20172018/4071</v>
      </c>
      <c r="D4172" s="1390">
        <f t="shared" si="625"/>
        <v>42965</v>
      </c>
      <c r="E4172" s="560">
        <f t="shared" si="625"/>
        <v>18.25</v>
      </c>
      <c r="F4172" s="1508">
        <f t="shared" si="626"/>
        <v>8.2829930689999998</v>
      </c>
      <c r="G4172" s="1508">
        <f t="shared" si="627"/>
        <v>8.2829930689999998</v>
      </c>
      <c r="H4172" s="1508">
        <f t="shared" si="630"/>
        <v>0</v>
      </c>
      <c r="I4172" s="1480">
        <v>0</v>
      </c>
      <c r="J4172" s="1480">
        <v>0</v>
      </c>
      <c r="K4172" s="1508"/>
      <c r="L4172" s="1508"/>
      <c r="M4172" s="1509">
        <f t="shared" si="631"/>
        <v>0</v>
      </c>
      <c r="N4172" s="1508">
        <f t="shared" si="632"/>
        <v>0</v>
      </c>
      <c r="O4172" s="1481">
        <f t="shared" si="628"/>
        <v>0</v>
      </c>
      <c r="P4172" s="1427">
        <f t="shared" si="629"/>
        <v>0</v>
      </c>
    </row>
    <row r="4173" spans="1:16" ht="31" outlineLevel="1" x14ac:dyDescent="0.25">
      <c r="A4173" s="1482">
        <f t="shared" si="625"/>
        <v>27.2</v>
      </c>
      <c r="B4173" s="1483" t="str">
        <f t="shared" si="625"/>
        <v>Supply &amp; replacement of hot reheater coil complete set of Unit-3.</v>
      </c>
      <c r="C4173" s="1482" t="str">
        <f t="shared" si="625"/>
        <v>MERC/CAPEX/20172018/4071</v>
      </c>
      <c r="D4173" s="1390">
        <f t="shared" si="625"/>
        <v>42965</v>
      </c>
      <c r="E4173" s="560">
        <f t="shared" si="625"/>
        <v>6.72</v>
      </c>
      <c r="F4173" s="1508">
        <f t="shared" si="626"/>
        <v>6.0757019999999997</v>
      </c>
      <c r="G4173" s="1508">
        <f t="shared" si="627"/>
        <v>6.0757019999999997</v>
      </c>
      <c r="H4173" s="1508">
        <f t="shared" si="630"/>
        <v>0</v>
      </c>
      <c r="I4173" s="1480">
        <v>0</v>
      </c>
      <c r="J4173" s="1480">
        <v>0</v>
      </c>
      <c r="K4173" s="1508"/>
      <c r="L4173" s="1508"/>
      <c r="M4173" s="1509">
        <f t="shared" si="631"/>
        <v>0</v>
      </c>
      <c r="N4173" s="1508">
        <f t="shared" si="632"/>
        <v>0</v>
      </c>
      <c r="O4173" s="1481">
        <f t="shared" si="628"/>
        <v>0</v>
      </c>
      <c r="P4173" s="1427">
        <f t="shared" si="629"/>
        <v>0</v>
      </c>
    </row>
    <row r="4174" spans="1:16" ht="15.5" outlineLevel="1" x14ac:dyDescent="0.25">
      <c r="A4174" s="1482">
        <f t="shared" ref="A4174:E4189" si="633">A3504</f>
        <v>0</v>
      </c>
      <c r="B4174" s="1483" t="str">
        <f t="shared" si="633"/>
        <v>IDC</v>
      </c>
      <c r="C4174" s="1482" t="str">
        <f t="shared" si="633"/>
        <v>MERC/CAPEX/20172018/4071</v>
      </c>
      <c r="D4174" s="1390">
        <f t="shared" si="633"/>
        <v>42965</v>
      </c>
      <c r="E4174" s="560">
        <f t="shared" si="633"/>
        <v>0.3</v>
      </c>
      <c r="F4174" s="1508">
        <f t="shared" si="626"/>
        <v>0</v>
      </c>
      <c r="G4174" s="1508">
        <f t="shared" si="627"/>
        <v>0</v>
      </c>
      <c r="H4174" s="1508">
        <f t="shared" si="630"/>
        <v>0</v>
      </c>
      <c r="I4174" s="1480">
        <v>0</v>
      </c>
      <c r="J4174" s="1480">
        <v>0</v>
      </c>
      <c r="K4174" s="1508"/>
      <c r="L4174" s="1508"/>
      <c r="M4174" s="1509">
        <f t="shared" si="631"/>
        <v>0</v>
      </c>
      <c r="N4174" s="1508">
        <f t="shared" si="632"/>
        <v>0</v>
      </c>
      <c r="O4174" s="1481">
        <f t="shared" si="628"/>
        <v>0</v>
      </c>
      <c r="P4174" s="1427">
        <f t="shared" si="629"/>
        <v>0</v>
      </c>
    </row>
    <row r="4175" spans="1:16" ht="46.5" outlineLevel="1" x14ac:dyDescent="0.25">
      <c r="A4175" s="1477">
        <f t="shared" si="633"/>
        <v>28</v>
      </c>
      <c r="B4175" s="1478" t="str">
        <f t="shared" si="633"/>
        <v xml:space="preserve">Replacement of H2 Generator with new Hydrogen Generator (Non Asbestos Design), procurement of 3-phase TR sets for stage II &amp; other electrical items for ORC at Chandrapur STPS.” </v>
      </c>
      <c r="C4175" s="1486" t="str">
        <f t="shared" si="633"/>
        <v>MERC/CAPEX/20172018/4686</v>
      </c>
      <c r="D4175" s="1487">
        <f t="shared" si="633"/>
        <v>43054</v>
      </c>
      <c r="E4175" s="1383">
        <f t="shared" si="633"/>
        <v>12.456</v>
      </c>
      <c r="F4175" s="1480">
        <f t="shared" si="626"/>
        <v>0</v>
      </c>
      <c r="G4175" s="1480">
        <f t="shared" si="627"/>
        <v>0</v>
      </c>
      <c r="H4175" s="1480">
        <f t="shared" si="630"/>
        <v>0</v>
      </c>
      <c r="I4175" s="1480">
        <v>0</v>
      </c>
      <c r="J4175" s="1480">
        <v>0</v>
      </c>
      <c r="K4175" s="1480"/>
      <c r="L4175" s="1480"/>
      <c r="M4175" s="1480">
        <f t="shared" si="631"/>
        <v>0</v>
      </c>
      <c r="N4175" s="1480">
        <f t="shared" si="632"/>
        <v>0</v>
      </c>
      <c r="O4175" s="1481">
        <f t="shared" si="628"/>
        <v>0</v>
      </c>
      <c r="P4175" s="1427">
        <f t="shared" si="629"/>
        <v>0</v>
      </c>
    </row>
    <row r="4176" spans="1:16" ht="31" outlineLevel="1" x14ac:dyDescent="0.25">
      <c r="A4176" s="1482">
        <f t="shared" si="633"/>
        <v>28.1</v>
      </c>
      <c r="B4176" s="1483" t="str">
        <f t="shared" si="633"/>
        <v>Supply, Installation &amp; Commissioning of   Hydrogen Generator Model : HMXT 200 (Non Asbestos Design)</v>
      </c>
      <c r="C4176" s="1482" t="str">
        <f t="shared" si="633"/>
        <v>MERC/CAPEX/20172018/4686</v>
      </c>
      <c r="D4176" s="1390">
        <f t="shared" si="633"/>
        <v>43054</v>
      </c>
      <c r="E4176" s="560">
        <f t="shared" si="633"/>
        <v>10.36</v>
      </c>
      <c r="F4176" s="1508">
        <f t="shared" si="626"/>
        <v>11.5757999</v>
      </c>
      <c r="G4176" s="1508">
        <f t="shared" si="627"/>
        <v>11.5757999</v>
      </c>
      <c r="H4176" s="1508">
        <f t="shared" si="630"/>
        <v>0</v>
      </c>
      <c r="I4176" s="1480">
        <v>0</v>
      </c>
      <c r="J4176" s="1480">
        <v>0</v>
      </c>
      <c r="K4176" s="1508"/>
      <c r="L4176" s="1508"/>
      <c r="M4176" s="1509">
        <f t="shared" si="631"/>
        <v>0</v>
      </c>
      <c r="N4176" s="1508">
        <f t="shared" si="632"/>
        <v>0</v>
      </c>
      <c r="O4176" s="1481">
        <f t="shared" si="628"/>
        <v>0</v>
      </c>
      <c r="P4176" s="1427">
        <f t="shared" si="629"/>
        <v>0</v>
      </c>
    </row>
    <row r="4177" spans="1:16" ht="31" outlineLevel="1" x14ac:dyDescent="0.25">
      <c r="A4177" s="1482">
        <f t="shared" si="633"/>
        <v>28.2</v>
      </c>
      <c r="B4177" s="1483" t="str">
        <f t="shared" si="633"/>
        <v>Supply of 3 phase high frequency T-R sets for replacement of T-R sets of ESP Stg-II</v>
      </c>
      <c r="C4177" s="1488" t="str">
        <f t="shared" si="633"/>
        <v>MERC/CAPEX/20172018/4686</v>
      </c>
      <c r="D4177" s="1413">
        <f t="shared" si="633"/>
        <v>43054</v>
      </c>
      <c r="E4177" s="560">
        <f t="shared" si="633"/>
        <v>0.63</v>
      </c>
      <c r="F4177" s="1508">
        <f t="shared" si="626"/>
        <v>0</v>
      </c>
      <c r="G4177" s="1508">
        <f t="shared" si="627"/>
        <v>0</v>
      </c>
      <c r="H4177" s="1508">
        <f t="shared" si="630"/>
        <v>0</v>
      </c>
      <c r="I4177" s="1480">
        <v>0</v>
      </c>
      <c r="J4177" s="1480">
        <v>0</v>
      </c>
      <c r="K4177" s="1508"/>
      <c r="L4177" s="1508"/>
      <c r="M4177" s="1509">
        <f t="shared" si="631"/>
        <v>0</v>
      </c>
      <c r="N4177" s="1508">
        <f t="shared" si="632"/>
        <v>0</v>
      </c>
      <c r="O4177" s="1481">
        <f t="shared" si="628"/>
        <v>0</v>
      </c>
      <c r="P4177" s="1427">
        <f t="shared" si="629"/>
        <v>0</v>
      </c>
    </row>
    <row r="4178" spans="1:16" ht="31" outlineLevel="1" x14ac:dyDescent="0.25">
      <c r="A4178" s="1482">
        <f t="shared" si="633"/>
        <v>28.3</v>
      </c>
      <c r="B4178" s="1483" t="str">
        <f t="shared" si="633"/>
        <v>Replacement of HPSV High Mast Towers by Stadium LED  High Mast at ORC ground CSTPS Chandrapur</v>
      </c>
      <c r="C4178" s="1482" t="str">
        <f t="shared" si="633"/>
        <v>MERC/CAPEX/20172018/4686</v>
      </c>
      <c r="D4178" s="1390">
        <f t="shared" si="633"/>
        <v>43054</v>
      </c>
      <c r="E4178" s="560">
        <f t="shared" si="633"/>
        <v>0.53600000000000003</v>
      </c>
      <c r="F4178" s="1508">
        <f t="shared" si="626"/>
        <v>0.51656219999999997</v>
      </c>
      <c r="G4178" s="1508">
        <f t="shared" si="627"/>
        <v>0.51656219999999997</v>
      </c>
      <c r="H4178" s="1508">
        <f t="shared" si="630"/>
        <v>0</v>
      </c>
      <c r="I4178" s="1480">
        <v>0</v>
      </c>
      <c r="J4178" s="1480">
        <v>0</v>
      </c>
      <c r="K4178" s="1508"/>
      <c r="L4178" s="1508"/>
      <c r="M4178" s="1509">
        <f t="shared" si="631"/>
        <v>0</v>
      </c>
      <c r="N4178" s="1508">
        <f t="shared" si="632"/>
        <v>0</v>
      </c>
      <c r="O4178" s="1481">
        <f t="shared" si="628"/>
        <v>0</v>
      </c>
      <c r="P4178" s="1427">
        <f t="shared" si="629"/>
        <v>0</v>
      </c>
    </row>
    <row r="4179" spans="1:16" ht="15.5" outlineLevel="1" x14ac:dyDescent="0.25">
      <c r="A4179" s="1482">
        <f t="shared" si="633"/>
        <v>0</v>
      </c>
      <c r="B4179" s="1483" t="str">
        <f t="shared" si="633"/>
        <v>IDC</v>
      </c>
      <c r="C4179" s="1482" t="str">
        <f t="shared" si="633"/>
        <v>MERC/CAPEX/20172018/4686</v>
      </c>
      <c r="D4179" s="1390">
        <f t="shared" si="633"/>
        <v>43054</v>
      </c>
      <c r="E4179" s="560">
        <f t="shared" si="633"/>
        <v>0.93</v>
      </c>
      <c r="F4179" s="1508">
        <f t="shared" si="626"/>
        <v>0</v>
      </c>
      <c r="G4179" s="1508">
        <f t="shared" si="627"/>
        <v>0</v>
      </c>
      <c r="H4179" s="1508">
        <f t="shared" si="630"/>
        <v>0</v>
      </c>
      <c r="I4179" s="1480">
        <v>0</v>
      </c>
      <c r="J4179" s="1480">
        <v>0</v>
      </c>
      <c r="K4179" s="1508"/>
      <c r="L4179" s="1508"/>
      <c r="M4179" s="1509">
        <f t="shared" si="631"/>
        <v>0</v>
      </c>
      <c r="N4179" s="1508">
        <f t="shared" si="632"/>
        <v>0</v>
      </c>
      <c r="O4179" s="1481">
        <f t="shared" si="628"/>
        <v>0</v>
      </c>
      <c r="P4179" s="1427">
        <f t="shared" si="629"/>
        <v>0</v>
      </c>
    </row>
    <row r="4180" spans="1:16" ht="46.5" outlineLevel="1" x14ac:dyDescent="0.25">
      <c r="A4180" s="1477">
        <f t="shared" si="633"/>
        <v>29</v>
      </c>
      <c r="B4180" s="1478" t="str">
        <f t="shared" si="633"/>
        <v>Procurement of Boiler Feed Booster Pumps to improve availability &amp; performance of feed system, moving blades for LPT &amp; Condenser Tubes of (3 x 500 MW) Units at Chandrapur STPS</v>
      </c>
      <c r="C4180" s="1477" t="str">
        <f t="shared" si="633"/>
        <v>MERC/CAPEX/20172018/0272</v>
      </c>
      <c r="D4180" s="1479">
        <f t="shared" si="633"/>
        <v>43154</v>
      </c>
      <c r="E4180" s="1383">
        <f t="shared" si="633"/>
        <v>15.489999999999998</v>
      </c>
      <c r="F4180" s="1480">
        <f t="shared" si="626"/>
        <v>0</v>
      </c>
      <c r="G4180" s="1480">
        <f t="shared" si="627"/>
        <v>0</v>
      </c>
      <c r="H4180" s="1480">
        <f t="shared" si="630"/>
        <v>0</v>
      </c>
      <c r="I4180" s="1480">
        <v>0</v>
      </c>
      <c r="J4180" s="1480">
        <v>0</v>
      </c>
      <c r="K4180" s="1480"/>
      <c r="L4180" s="1480"/>
      <c r="M4180" s="1480">
        <f t="shared" si="631"/>
        <v>0</v>
      </c>
      <c r="N4180" s="1480">
        <f t="shared" si="632"/>
        <v>0</v>
      </c>
      <c r="O4180" s="1481">
        <f t="shared" si="628"/>
        <v>0</v>
      </c>
      <c r="P4180" s="1427">
        <f t="shared" si="629"/>
        <v>0</v>
      </c>
    </row>
    <row r="4181" spans="1:16" ht="46.5" outlineLevel="1" x14ac:dyDescent="0.25">
      <c r="A4181" s="1482">
        <f t="shared" si="633"/>
        <v>29.1</v>
      </c>
      <c r="B4181" s="1483" t="str">
        <f t="shared" si="633"/>
        <v>Procurement of Boiler Feed Booster pumps to improve availability and performance of Feed system of 500 MW Unit-5, 6 &amp; 7 at CSTPS, Chandrapur</v>
      </c>
      <c r="C4181" s="1482" t="str">
        <f t="shared" si="633"/>
        <v>MERC/CAPEX/20172018/0272</v>
      </c>
      <c r="D4181" s="1390">
        <f t="shared" si="633"/>
        <v>43154</v>
      </c>
      <c r="E4181" s="560">
        <f t="shared" si="633"/>
        <v>2.0099999999999998</v>
      </c>
      <c r="F4181" s="1508">
        <f t="shared" si="626"/>
        <v>2.1150194</v>
      </c>
      <c r="G4181" s="1508">
        <f t="shared" si="627"/>
        <v>2.1150194</v>
      </c>
      <c r="H4181" s="1508">
        <f t="shared" si="630"/>
        <v>0</v>
      </c>
      <c r="I4181" s="1480">
        <v>0</v>
      </c>
      <c r="J4181" s="1480">
        <v>0</v>
      </c>
      <c r="K4181" s="1508"/>
      <c r="L4181" s="1508"/>
      <c r="M4181" s="1509">
        <f t="shared" si="631"/>
        <v>0</v>
      </c>
      <c r="N4181" s="1508">
        <f t="shared" si="632"/>
        <v>0</v>
      </c>
      <c r="O4181" s="1481">
        <f t="shared" si="628"/>
        <v>0</v>
      </c>
      <c r="P4181" s="1427">
        <f t="shared" si="629"/>
        <v>0</v>
      </c>
    </row>
    <row r="4182" spans="1:16" ht="31" outlineLevel="1" x14ac:dyDescent="0.25">
      <c r="A4182" s="1482">
        <f t="shared" si="633"/>
        <v>29.2</v>
      </c>
      <c r="B4182" s="1483" t="str">
        <f t="shared" si="633"/>
        <v>Procurement of moving blades for 500 MW Unit-5, 6 &amp; 7 LPT at CSTPS, Chandrapur</v>
      </c>
      <c r="C4182" s="1482" t="str">
        <f t="shared" si="633"/>
        <v>MERC/CAPEX/20172018/0272</v>
      </c>
      <c r="D4182" s="1390">
        <f t="shared" si="633"/>
        <v>43154</v>
      </c>
      <c r="E4182" s="560">
        <f t="shared" si="633"/>
        <v>3.34</v>
      </c>
      <c r="F4182" s="1508">
        <f t="shared" si="626"/>
        <v>1.9274450000000001</v>
      </c>
      <c r="G4182" s="1508">
        <f t="shared" si="627"/>
        <v>1.9274450000000001</v>
      </c>
      <c r="H4182" s="1508">
        <f t="shared" si="630"/>
        <v>0</v>
      </c>
      <c r="I4182" s="1480">
        <v>0</v>
      </c>
      <c r="J4182" s="1480">
        <v>0</v>
      </c>
      <c r="K4182" s="1508"/>
      <c r="L4182" s="1508"/>
      <c r="M4182" s="1509">
        <f t="shared" si="631"/>
        <v>0</v>
      </c>
      <c r="N4182" s="1508">
        <f t="shared" si="632"/>
        <v>0</v>
      </c>
      <c r="O4182" s="1481">
        <f t="shared" si="628"/>
        <v>0</v>
      </c>
      <c r="P4182" s="1427">
        <f t="shared" si="629"/>
        <v>0</v>
      </c>
    </row>
    <row r="4183" spans="1:16" ht="31" outlineLevel="1" x14ac:dyDescent="0.25">
      <c r="A4183" s="1482">
        <f t="shared" si="633"/>
        <v>29.3</v>
      </c>
      <c r="B4183" s="1483" t="str">
        <f t="shared" si="633"/>
        <v>Procurement &amp; Replacement of Condenser Tubes in 500MW, Unit-7 at CSTPS, Chandrapur</v>
      </c>
      <c r="C4183" s="1482" t="str">
        <f t="shared" si="633"/>
        <v>MERC/CAPEX/20172018/0272</v>
      </c>
      <c r="D4183" s="1390">
        <f t="shared" si="633"/>
        <v>43154</v>
      </c>
      <c r="E4183" s="560">
        <f t="shared" si="633"/>
        <v>9.02</v>
      </c>
      <c r="F4183" s="1508">
        <f t="shared" si="626"/>
        <v>8.8301990999999997</v>
      </c>
      <c r="G4183" s="1508">
        <f t="shared" si="627"/>
        <v>8.8301990999999997</v>
      </c>
      <c r="H4183" s="1508">
        <f t="shared" si="630"/>
        <v>0</v>
      </c>
      <c r="I4183" s="1480">
        <v>0</v>
      </c>
      <c r="J4183" s="1480">
        <v>0</v>
      </c>
      <c r="K4183" s="1508"/>
      <c r="L4183" s="1508"/>
      <c r="M4183" s="1509">
        <f t="shared" si="631"/>
        <v>0</v>
      </c>
      <c r="N4183" s="1508">
        <f t="shared" si="632"/>
        <v>0</v>
      </c>
      <c r="O4183" s="1481">
        <f t="shared" si="628"/>
        <v>0</v>
      </c>
      <c r="P4183" s="1427">
        <f t="shared" si="629"/>
        <v>0</v>
      </c>
    </row>
    <row r="4184" spans="1:16" ht="15.5" outlineLevel="1" x14ac:dyDescent="0.25">
      <c r="A4184" s="1482">
        <f t="shared" si="633"/>
        <v>0</v>
      </c>
      <c r="B4184" s="1483" t="str">
        <f t="shared" si="633"/>
        <v>IDC</v>
      </c>
      <c r="C4184" s="1482" t="str">
        <f t="shared" si="633"/>
        <v>MERC/CAPEX/20172018/0272</v>
      </c>
      <c r="D4184" s="1390">
        <f t="shared" si="633"/>
        <v>43154</v>
      </c>
      <c r="E4184" s="560">
        <f t="shared" si="633"/>
        <v>1.1200000000000001</v>
      </c>
      <c r="F4184" s="1508">
        <f t="shared" si="626"/>
        <v>0</v>
      </c>
      <c r="G4184" s="1508">
        <f t="shared" si="627"/>
        <v>0</v>
      </c>
      <c r="H4184" s="1508">
        <f t="shared" si="630"/>
        <v>0</v>
      </c>
      <c r="I4184" s="1480">
        <v>0</v>
      </c>
      <c r="J4184" s="1480">
        <v>0</v>
      </c>
      <c r="K4184" s="1508"/>
      <c r="L4184" s="1508"/>
      <c r="M4184" s="1509">
        <f t="shared" si="631"/>
        <v>0</v>
      </c>
      <c r="N4184" s="1508">
        <f t="shared" si="632"/>
        <v>0</v>
      </c>
      <c r="O4184" s="1481">
        <f t="shared" si="628"/>
        <v>0</v>
      </c>
      <c r="P4184" s="1427">
        <f t="shared" si="629"/>
        <v>0</v>
      </c>
    </row>
    <row r="4185" spans="1:16" ht="15.5" outlineLevel="1" x14ac:dyDescent="0.25">
      <c r="A4185" s="1489">
        <f t="shared" si="633"/>
        <v>30</v>
      </c>
      <c r="B4185" s="1490" t="str">
        <f t="shared" si="633"/>
        <v>Renovation &amp; Beautification of Colony at Chandrapur STPS</v>
      </c>
      <c r="C4185" s="1486" t="str">
        <f t="shared" si="633"/>
        <v>MERC/CAPEX/20182019/0644</v>
      </c>
      <c r="D4185" s="1487">
        <f t="shared" si="633"/>
        <v>43238</v>
      </c>
      <c r="E4185" s="1383">
        <f t="shared" si="633"/>
        <v>117.57</v>
      </c>
      <c r="F4185" s="1480">
        <f t="shared" si="626"/>
        <v>0</v>
      </c>
      <c r="G4185" s="1480">
        <f t="shared" si="627"/>
        <v>0</v>
      </c>
      <c r="H4185" s="1480">
        <f t="shared" si="630"/>
        <v>0</v>
      </c>
      <c r="I4185" s="1480">
        <v>0</v>
      </c>
      <c r="J4185" s="1480">
        <v>0</v>
      </c>
      <c r="K4185" s="1480"/>
      <c r="L4185" s="1480"/>
      <c r="M4185" s="1480">
        <f t="shared" si="631"/>
        <v>0</v>
      </c>
      <c r="N4185" s="1480">
        <f t="shared" si="632"/>
        <v>0</v>
      </c>
      <c r="O4185" s="1481">
        <f t="shared" si="628"/>
        <v>0</v>
      </c>
      <c r="P4185" s="1427">
        <f t="shared" si="629"/>
        <v>0</v>
      </c>
    </row>
    <row r="4186" spans="1:16" ht="31" outlineLevel="1" x14ac:dyDescent="0.25">
      <c r="A4186" s="1484">
        <f t="shared" si="633"/>
        <v>30.1</v>
      </c>
      <c r="B4186" s="1485" t="str">
        <f t="shared" si="633"/>
        <v>Face- lifting and Renovation of staff quarters &amp; related work at CSTPS, Chandrapur</v>
      </c>
      <c r="C4186" s="1482" t="str">
        <f t="shared" si="633"/>
        <v>MERC/CAPEX/20182019/0644</v>
      </c>
      <c r="D4186" s="1390">
        <f t="shared" si="633"/>
        <v>43238</v>
      </c>
      <c r="E4186" s="560">
        <f t="shared" si="633"/>
        <v>82.6</v>
      </c>
      <c r="F4186" s="1508">
        <f t="shared" si="626"/>
        <v>82.6</v>
      </c>
      <c r="G4186" s="1508">
        <f t="shared" si="627"/>
        <v>82.6</v>
      </c>
      <c r="H4186" s="1508">
        <f t="shared" si="630"/>
        <v>0</v>
      </c>
      <c r="I4186" s="1480">
        <v>0</v>
      </c>
      <c r="J4186" s="1480">
        <v>0</v>
      </c>
      <c r="K4186" s="1508"/>
      <c r="L4186" s="1508"/>
      <c r="M4186" s="1509">
        <f t="shared" si="631"/>
        <v>0</v>
      </c>
      <c r="N4186" s="1508">
        <f t="shared" si="632"/>
        <v>0</v>
      </c>
      <c r="O4186" s="1481">
        <f t="shared" si="628"/>
        <v>0</v>
      </c>
      <c r="P4186" s="1427">
        <f t="shared" si="629"/>
        <v>0</v>
      </c>
    </row>
    <row r="4187" spans="1:16" ht="15.5" outlineLevel="1" x14ac:dyDescent="0.25">
      <c r="A4187" s="1484">
        <f t="shared" si="633"/>
        <v>30.2</v>
      </c>
      <c r="B4187" s="1485" t="str">
        <f t="shared" si="633"/>
        <v>Colony Internal Roads at CSTPS, Chandrapur</v>
      </c>
      <c r="C4187" s="1482" t="str">
        <f t="shared" si="633"/>
        <v>MERC/CAPEX/20182019/0644</v>
      </c>
      <c r="D4187" s="1390">
        <f t="shared" si="633"/>
        <v>43238</v>
      </c>
      <c r="E4187" s="560">
        <f t="shared" si="633"/>
        <v>7.08</v>
      </c>
      <c r="F4187" s="1508">
        <f t="shared" si="626"/>
        <v>7.08</v>
      </c>
      <c r="G4187" s="1508">
        <f t="shared" si="627"/>
        <v>7.08</v>
      </c>
      <c r="H4187" s="1508">
        <f t="shared" si="630"/>
        <v>0</v>
      </c>
      <c r="I4187" s="1480">
        <v>0</v>
      </c>
      <c r="J4187" s="1480">
        <v>0</v>
      </c>
      <c r="K4187" s="1508"/>
      <c r="L4187" s="1508"/>
      <c r="M4187" s="1509">
        <f t="shared" si="631"/>
        <v>0</v>
      </c>
      <c r="N4187" s="1508">
        <f t="shared" si="632"/>
        <v>0</v>
      </c>
      <c r="O4187" s="1481">
        <f t="shared" si="628"/>
        <v>0</v>
      </c>
      <c r="P4187" s="1427">
        <f t="shared" si="629"/>
        <v>0</v>
      </c>
    </row>
    <row r="4188" spans="1:16" ht="31" outlineLevel="1" x14ac:dyDescent="0.25">
      <c r="A4188" s="1484">
        <f t="shared" si="633"/>
        <v>30.3</v>
      </c>
      <c r="B4188" s="1485" t="str">
        <f t="shared" si="633"/>
        <v>Development of existing open spaces and Garden at CSTPS, Chandrapur</v>
      </c>
      <c r="C4188" s="1488" t="str">
        <f t="shared" si="633"/>
        <v>MERC/CAPEX/20182019/0644</v>
      </c>
      <c r="D4188" s="1413">
        <f t="shared" si="633"/>
        <v>43238</v>
      </c>
      <c r="E4188" s="560">
        <f t="shared" si="633"/>
        <v>4.72</v>
      </c>
      <c r="F4188" s="1508">
        <f t="shared" si="626"/>
        <v>4.72</v>
      </c>
      <c r="G4188" s="1508">
        <f t="shared" si="627"/>
        <v>4.72</v>
      </c>
      <c r="H4188" s="1508">
        <f t="shared" si="630"/>
        <v>0</v>
      </c>
      <c r="I4188" s="1480">
        <v>0</v>
      </c>
      <c r="J4188" s="1480">
        <v>0</v>
      </c>
      <c r="K4188" s="1508"/>
      <c r="L4188" s="1508"/>
      <c r="M4188" s="1509">
        <f t="shared" si="631"/>
        <v>0</v>
      </c>
      <c r="N4188" s="1508">
        <f t="shared" si="632"/>
        <v>0</v>
      </c>
      <c r="O4188" s="1481">
        <f t="shared" si="628"/>
        <v>0</v>
      </c>
      <c r="P4188" s="1427">
        <f t="shared" si="629"/>
        <v>0</v>
      </c>
    </row>
    <row r="4189" spans="1:16" ht="46.5" outlineLevel="1" x14ac:dyDescent="0.25">
      <c r="A4189" s="1484">
        <f t="shared" si="633"/>
        <v>30.4</v>
      </c>
      <c r="B4189" s="1485" t="str">
        <f t="shared" si="633"/>
        <v>Renovation of club building /community building and providing new swimming pool and other misc works including Architectural and Consultancy Charges at CSTPS, Chandrapur</v>
      </c>
      <c r="C4189" s="1488" t="str">
        <f t="shared" si="633"/>
        <v>MERC/CAPEX/20182019/0644</v>
      </c>
      <c r="D4189" s="1413">
        <f t="shared" si="633"/>
        <v>43238</v>
      </c>
      <c r="E4189" s="560">
        <f t="shared" si="633"/>
        <v>15.34</v>
      </c>
      <c r="F4189" s="1508">
        <f t="shared" si="626"/>
        <v>15.34</v>
      </c>
      <c r="G4189" s="1508">
        <f t="shared" si="627"/>
        <v>15.34</v>
      </c>
      <c r="H4189" s="1508">
        <f t="shared" si="630"/>
        <v>0</v>
      </c>
      <c r="I4189" s="1480">
        <v>0</v>
      </c>
      <c r="J4189" s="1480">
        <v>0</v>
      </c>
      <c r="K4189" s="1508"/>
      <c r="L4189" s="1508"/>
      <c r="M4189" s="1509">
        <f t="shared" si="631"/>
        <v>0</v>
      </c>
      <c r="N4189" s="1508">
        <f t="shared" si="632"/>
        <v>0</v>
      </c>
      <c r="O4189" s="1481">
        <f t="shared" si="628"/>
        <v>0</v>
      </c>
      <c r="P4189" s="1427">
        <f t="shared" si="629"/>
        <v>0</v>
      </c>
    </row>
    <row r="4190" spans="1:16" ht="15.5" outlineLevel="1" x14ac:dyDescent="0.25">
      <c r="A4190" s="1484">
        <f t="shared" ref="A4190:E4205" si="634">A3520</f>
        <v>0</v>
      </c>
      <c r="B4190" s="1485" t="str">
        <f t="shared" si="634"/>
        <v>IDC</v>
      </c>
      <c r="C4190" s="1482" t="str">
        <f t="shared" si="634"/>
        <v>MERC/CAPEX/20182019/0644</v>
      </c>
      <c r="D4190" s="1390">
        <f t="shared" si="634"/>
        <v>43238</v>
      </c>
      <c r="E4190" s="560">
        <f t="shared" si="634"/>
        <v>7.83</v>
      </c>
      <c r="F4190" s="1508">
        <f t="shared" si="626"/>
        <v>10.9403115</v>
      </c>
      <c r="G4190" s="1508">
        <f t="shared" si="627"/>
        <v>10.9403115</v>
      </c>
      <c r="H4190" s="1508">
        <f t="shared" si="630"/>
        <v>0</v>
      </c>
      <c r="I4190" s="1480">
        <v>0</v>
      </c>
      <c r="J4190" s="1480">
        <v>0</v>
      </c>
      <c r="K4190" s="1508"/>
      <c r="L4190" s="1508"/>
      <c r="M4190" s="1509">
        <f t="shared" si="631"/>
        <v>0</v>
      </c>
      <c r="N4190" s="1508">
        <f t="shared" si="632"/>
        <v>0</v>
      </c>
      <c r="O4190" s="1481">
        <f t="shared" si="628"/>
        <v>0</v>
      </c>
      <c r="P4190" s="1427">
        <f t="shared" si="629"/>
        <v>0</v>
      </c>
    </row>
    <row r="4191" spans="1:16" ht="15.5" outlineLevel="1" x14ac:dyDescent="0.25">
      <c r="A4191" s="1486">
        <f t="shared" si="634"/>
        <v>31</v>
      </c>
      <c r="B4191" s="1491" t="str">
        <f t="shared" si="634"/>
        <v>Fully Integrated Security Surveillance System</v>
      </c>
      <c r="C4191" s="1486" t="str">
        <f t="shared" si="634"/>
        <v>MERC/CAPEX/2018-19/066</v>
      </c>
      <c r="D4191" s="1487">
        <f t="shared" si="634"/>
        <v>43529</v>
      </c>
      <c r="E4191" s="1383">
        <f t="shared" si="634"/>
        <v>76.410000000000025</v>
      </c>
      <c r="F4191" s="1480">
        <f t="shared" si="626"/>
        <v>0</v>
      </c>
      <c r="G4191" s="1480">
        <f t="shared" si="627"/>
        <v>0</v>
      </c>
      <c r="H4191" s="1480">
        <f t="shared" si="630"/>
        <v>0</v>
      </c>
      <c r="I4191" s="1480">
        <v>0</v>
      </c>
      <c r="J4191" s="1480">
        <v>0</v>
      </c>
      <c r="K4191" s="1480"/>
      <c r="L4191" s="1480"/>
      <c r="M4191" s="1480">
        <f t="shared" si="631"/>
        <v>0</v>
      </c>
      <c r="N4191" s="1480">
        <f t="shared" si="632"/>
        <v>0</v>
      </c>
      <c r="O4191" s="1481">
        <f t="shared" si="628"/>
        <v>0</v>
      </c>
      <c r="P4191" s="1427">
        <f t="shared" si="629"/>
        <v>0</v>
      </c>
    </row>
    <row r="4192" spans="1:16" ht="15.5" outlineLevel="1" x14ac:dyDescent="0.25">
      <c r="A4192" s="1488">
        <f t="shared" si="634"/>
        <v>31.1</v>
      </c>
      <c r="B4192" s="1492" t="str">
        <f t="shared" si="634"/>
        <v>CLOSE CIRCUIT TELEVISION SYSTEM (CCTV), MOBILE DVR</v>
      </c>
      <c r="C4192" s="1488" t="str">
        <f t="shared" si="634"/>
        <v>MERC/CAPEX/2018-19/066</v>
      </c>
      <c r="D4192" s="1413">
        <f t="shared" si="634"/>
        <v>43529</v>
      </c>
      <c r="E4192" s="560">
        <f t="shared" si="634"/>
        <v>24.03</v>
      </c>
      <c r="F4192" s="1508">
        <f t="shared" si="626"/>
        <v>24.03</v>
      </c>
      <c r="G4192" s="1508">
        <f t="shared" si="627"/>
        <v>24.03</v>
      </c>
      <c r="H4192" s="1508">
        <f t="shared" si="630"/>
        <v>0</v>
      </c>
      <c r="I4192" s="1480">
        <v>0</v>
      </c>
      <c r="J4192" s="1480">
        <v>0</v>
      </c>
      <c r="K4192" s="1508"/>
      <c r="L4192" s="1508"/>
      <c r="M4192" s="1509">
        <f t="shared" si="631"/>
        <v>0</v>
      </c>
      <c r="N4192" s="1508">
        <f t="shared" si="632"/>
        <v>0</v>
      </c>
      <c r="O4192" s="1481">
        <f t="shared" si="628"/>
        <v>0</v>
      </c>
      <c r="P4192" s="1427">
        <f t="shared" si="629"/>
        <v>0</v>
      </c>
    </row>
    <row r="4193" spans="1:16" ht="15.5" outlineLevel="1" x14ac:dyDescent="0.25">
      <c r="A4193" s="1488">
        <f t="shared" si="634"/>
        <v>31.2</v>
      </c>
      <c r="B4193" s="1492" t="str">
        <f t="shared" si="634"/>
        <v>FIRE ALARM SYSTEM</v>
      </c>
      <c r="C4193" s="1488" t="str">
        <f t="shared" si="634"/>
        <v>MERC/CAPEX/2018-19/066</v>
      </c>
      <c r="D4193" s="1413">
        <f t="shared" si="634"/>
        <v>43529</v>
      </c>
      <c r="E4193" s="560">
        <f t="shared" si="634"/>
        <v>4.33</v>
      </c>
      <c r="F4193" s="1508">
        <f t="shared" si="626"/>
        <v>4.33</v>
      </c>
      <c r="G4193" s="1508">
        <f t="shared" si="627"/>
        <v>4.33</v>
      </c>
      <c r="H4193" s="1508">
        <f t="shared" si="630"/>
        <v>0</v>
      </c>
      <c r="I4193" s="1480">
        <v>0</v>
      </c>
      <c r="J4193" s="1480">
        <v>0</v>
      </c>
      <c r="K4193" s="1508"/>
      <c r="L4193" s="1508"/>
      <c r="M4193" s="1509">
        <f t="shared" si="631"/>
        <v>0</v>
      </c>
      <c r="N4193" s="1508">
        <f t="shared" si="632"/>
        <v>0</v>
      </c>
      <c r="O4193" s="1481">
        <f t="shared" si="628"/>
        <v>0</v>
      </c>
      <c r="P4193" s="1427">
        <f t="shared" si="629"/>
        <v>0</v>
      </c>
    </row>
    <row r="4194" spans="1:16" ht="15.5" outlineLevel="1" x14ac:dyDescent="0.25">
      <c r="A4194" s="1488">
        <f t="shared" si="634"/>
        <v>31.3</v>
      </c>
      <c r="B4194" s="1492" t="str">
        <f t="shared" si="634"/>
        <v>ACCESS CONTROL SYSTEM</v>
      </c>
      <c r="C4194" s="1488" t="str">
        <f t="shared" si="634"/>
        <v>MERC/CAPEX/2018-19/066</v>
      </c>
      <c r="D4194" s="1413">
        <f t="shared" si="634"/>
        <v>43529</v>
      </c>
      <c r="E4194" s="560">
        <f t="shared" si="634"/>
        <v>0.48</v>
      </c>
      <c r="F4194" s="1508">
        <f t="shared" si="626"/>
        <v>0.48</v>
      </c>
      <c r="G4194" s="1508">
        <f t="shared" si="627"/>
        <v>0.48</v>
      </c>
      <c r="H4194" s="1508">
        <f t="shared" si="630"/>
        <v>0</v>
      </c>
      <c r="I4194" s="1480">
        <v>0</v>
      </c>
      <c r="J4194" s="1480">
        <v>0</v>
      </c>
      <c r="K4194" s="1508"/>
      <c r="L4194" s="1508"/>
      <c r="M4194" s="1509">
        <f t="shared" si="631"/>
        <v>0</v>
      </c>
      <c r="N4194" s="1508">
        <f t="shared" si="632"/>
        <v>0</v>
      </c>
      <c r="O4194" s="1481">
        <f t="shared" si="628"/>
        <v>0</v>
      </c>
      <c r="P4194" s="1427">
        <f t="shared" si="629"/>
        <v>0</v>
      </c>
    </row>
    <row r="4195" spans="1:16" ht="15.5" outlineLevel="1" x14ac:dyDescent="0.25">
      <c r="A4195" s="1488">
        <f t="shared" si="634"/>
        <v>31.4</v>
      </c>
      <c r="B4195" s="1492" t="str">
        <f t="shared" si="634"/>
        <v>EPABX</v>
      </c>
      <c r="C4195" s="1488" t="str">
        <f t="shared" si="634"/>
        <v>MERC/CAPEX/2018-19/066</v>
      </c>
      <c r="D4195" s="1413">
        <f t="shared" si="634"/>
        <v>43529</v>
      </c>
      <c r="E4195" s="560">
        <f t="shared" si="634"/>
        <v>1.93</v>
      </c>
      <c r="F4195" s="1508">
        <f t="shared" si="626"/>
        <v>1.93</v>
      </c>
      <c r="G4195" s="1508">
        <f t="shared" si="627"/>
        <v>1.93</v>
      </c>
      <c r="H4195" s="1508">
        <f t="shared" si="630"/>
        <v>0</v>
      </c>
      <c r="I4195" s="1480">
        <v>0</v>
      </c>
      <c r="J4195" s="1480">
        <v>0</v>
      </c>
      <c r="K4195" s="1508"/>
      <c r="L4195" s="1508"/>
      <c r="M4195" s="1509">
        <f t="shared" si="631"/>
        <v>0</v>
      </c>
      <c r="N4195" s="1508">
        <f t="shared" si="632"/>
        <v>0</v>
      </c>
      <c r="O4195" s="1481">
        <f t="shared" si="628"/>
        <v>0</v>
      </c>
      <c r="P4195" s="1427">
        <f t="shared" si="629"/>
        <v>0</v>
      </c>
    </row>
    <row r="4196" spans="1:16" ht="15.5" outlineLevel="1" x14ac:dyDescent="0.25">
      <c r="A4196" s="1488">
        <f t="shared" si="634"/>
        <v>31.5</v>
      </c>
      <c r="B4196" s="1492" t="str">
        <f t="shared" si="634"/>
        <v>RADIO COMMUNICATION AND CONNECTIVITY (Wireless)</v>
      </c>
      <c r="C4196" s="1488" t="str">
        <f t="shared" si="634"/>
        <v>MERC/CAPEX/2018-19/066</v>
      </c>
      <c r="D4196" s="1413">
        <f t="shared" si="634"/>
        <v>43529</v>
      </c>
      <c r="E4196" s="560">
        <f t="shared" si="634"/>
        <v>1.76</v>
      </c>
      <c r="F4196" s="1508">
        <f t="shared" si="626"/>
        <v>1.76</v>
      </c>
      <c r="G4196" s="1508">
        <f t="shared" si="627"/>
        <v>1.76</v>
      </c>
      <c r="H4196" s="1508">
        <f t="shared" si="630"/>
        <v>0</v>
      </c>
      <c r="I4196" s="1480">
        <v>0</v>
      </c>
      <c r="J4196" s="1480">
        <v>0</v>
      </c>
      <c r="K4196" s="1508"/>
      <c r="L4196" s="1508"/>
      <c r="M4196" s="1509">
        <f t="shared" si="631"/>
        <v>0</v>
      </c>
      <c r="N4196" s="1508">
        <f t="shared" si="632"/>
        <v>0</v>
      </c>
      <c r="O4196" s="1481">
        <f t="shared" si="628"/>
        <v>0</v>
      </c>
      <c r="P4196" s="1427">
        <f t="shared" si="629"/>
        <v>0</v>
      </c>
    </row>
    <row r="4197" spans="1:16" ht="15.5" outlineLevel="1" x14ac:dyDescent="0.25">
      <c r="A4197" s="1488">
        <f t="shared" si="634"/>
        <v>31.6</v>
      </c>
      <c r="B4197" s="1492" t="str">
        <f t="shared" si="634"/>
        <v>ENTRY MANAGEMENT SYSTEM, TRUCK TRACKING SYSTEM</v>
      </c>
      <c r="C4197" s="1488" t="str">
        <f t="shared" si="634"/>
        <v>MERC/CAPEX/2018-19/066</v>
      </c>
      <c r="D4197" s="1413">
        <f t="shared" si="634"/>
        <v>43529</v>
      </c>
      <c r="E4197" s="560">
        <f t="shared" si="634"/>
        <v>1.25</v>
      </c>
      <c r="F4197" s="1508">
        <f t="shared" si="626"/>
        <v>1.25</v>
      </c>
      <c r="G4197" s="1508">
        <f t="shared" si="627"/>
        <v>1.25</v>
      </c>
      <c r="H4197" s="1508">
        <f t="shared" si="630"/>
        <v>0</v>
      </c>
      <c r="I4197" s="1480">
        <v>0</v>
      </c>
      <c r="J4197" s="1480">
        <v>0</v>
      </c>
      <c r="K4197" s="1508"/>
      <c r="L4197" s="1508"/>
      <c r="M4197" s="1509">
        <f t="shared" si="631"/>
        <v>0</v>
      </c>
      <c r="N4197" s="1508">
        <f t="shared" si="632"/>
        <v>0</v>
      </c>
      <c r="O4197" s="1481">
        <f t="shared" si="628"/>
        <v>0</v>
      </c>
      <c r="P4197" s="1427">
        <f t="shared" si="629"/>
        <v>0</v>
      </c>
    </row>
    <row r="4198" spans="1:16" ht="15.5" outlineLevel="1" x14ac:dyDescent="0.25">
      <c r="A4198" s="1488">
        <f t="shared" si="634"/>
        <v>31.7</v>
      </c>
      <c r="B4198" s="1492" t="str">
        <f t="shared" si="634"/>
        <v>NETWORKING</v>
      </c>
      <c r="C4198" s="1488" t="str">
        <f t="shared" si="634"/>
        <v>MERC/CAPEX/2018-19/066</v>
      </c>
      <c r="D4198" s="1413">
        <f t="shared" si="634"/>
        <v>43529</v>
      </c>
      <c r="E4198" s="560">
        <f t="shared" si="634"/>
        <v>9.35</v>
      </c>
      <c r="F4198" s="1508">
        <f t="shared" si="626"/>
        <v>9.35</v>
      </c>
      <c r="G4198" s="1508">
        <f t="shared" si="627"/>
        <v>9.35</v>
      </c>
      <c r="H4198" s="1508">
        <f t="shared" si="630"/>
        <v>0</v>
      </c>
      <c r="I4198" s="1480">
        <v>0</v>
      </c>
      <c r="J4198" s="1480">
        <v>0</v>
      </c>
      <c r="K4198" s="1508"/>
      <c r="L4198" s="1508"/>
      <c r="M4198" s="1509">
        <f t="shared" si="631"/>
        <v>0</v>
      </c>
      <c r="N4198" s="1508">
        <f t="shared" si="632"/>
        <v>0</v>
      </c>
      <c r="O4198" s="1481">
        <f t="shared" si="628"/>
        <v>0</v>
      </c>
      <c r="P4198" s="1427">
        <f t="shared" si="629"/>
        <v>0</v>
      </c>
    </row>
    <row r="4199" spans="1:16" ht="15.5" outlineLevel="1" x14ac:dyDescent="0.25">
      <c r="A4199" s="1488">
        <f t="shared" si="634"/>
        <v>31.8</v>
      </c>
      <c r="B4199" s="1492" t="str">
        <f t="shared" si="634"/>
        <v>MESSAGE DISPLAY SYSTEM</v>
      </c>
      <c r="C4199" s="1488" t="str">
        <f t="shared" si="634"/>
        <v>MERC/CAPEX/2018-19/066</v>
      </c>
      <c r="D4199" s="1413">
        <f t="shared" si="634"/>
        <v>43529</v>
      </c>
      <c r="E4199" s="560">
        <f t="shared" si="634"/>
        <v>0.31</v>
      </c>
      <c r="F4199" s="1508">
        <f t="shared" si="626"/>
        <v>0.31</v>
      </c>
      <c r="G4199" s="1508">
        <f t="shared" si="627"/>
        <v>0.31</v>
      </c>
      <c r="H4199" s="1508">
        <f t="shared" si="630"/>
        <v>0</v>
      </c>
      <c r="I4199" s="1480">
        <v>0</v>
      </c>
      <c r="J4199" s="1480">
        <v>0</v>
      </c>
      <c r="K4199" s="1508"/>
      <c r="L4199" s="1508"/>
      <c r="M4199" s="1509">
        <f t="shared" si="631"/>
        <v>0</v>
      </c>
      <c r="N4199" s="1508">
        <f t="shared" si="632"/>
        <v>0</v>
      </c>
      <c r="O4199" s="1481">
        <f t="shared" si="628"/>
        <v>0</v>
      </c>
      <c r="P4199" s="1427">
        <f t="shared" si="629"/>
        <v>0</v>
      </c>
    </row>
    <row r="4200" spans="1:16" ht="15.5" outlineLevel="1" x14ac:dyDescent="0.25">
      <c r="A4200" s="1488">
        <f t="shared" si="634"/>
        <v>31.9</v>
      </c>
      <c r="B4200" s="1492" t="str">
        <f t="shared" si="634"/>
        <v>IP PA SYSTEM</v>
      </c>
      <c r="C4200" s="1488" t="str">
        <f t="shared" si="634"/>
        <v>MERC/CAPEX/2018-19/066</v>
      </c>
      <c r="D4200" s="1413">
        <f t="shared" si="634"/>
        <v>43529</v>
      </c>
      <c r="E4200" s="560">
        <f t="shared" si="634"/>
        <v>2.74</v>
      </c>
      <c r="F4200" s="1508">
        <f t="shared" si="626"/>
        <v>2.74</v>
      </c>
      <c r="G4200" s="1508">
        <f t="shared" si="627"/>
        <v>2.74</v>
      </c>
      <c r="H4200" s="1508">
        <f t="shared" si="630"/>
        <v>0</v>
      </c>
      <c r="I4200" s="1480">
        <v>0</v>
      </c>
      <c r="J4200" s="1480">
        <v>0</v>
      </c>
      <c r="K4200" s="1508"/>
      <c r="L4200" s="1508"/>
      <c r="M4200" s="1509">
        <f t="shared" si="631"/>
        <v>0</v>
      </c>
      <c r="N4200" s="1508">
        <f t="shared" si="632"/>
        <v>0</v>
      </c>
      <c r="O4200" s="1481">
        <f t="shared" si="628"/>
        <v>0</v>
      </c>
      <c r="P4200" s="1427">
        <f t="shared" si="629"/>
        <v>0</v>
      </c>
    </row>
    <row r="4201" spans="1:16" ht="15.5" outlineLevel="1" x14ac:dyDescent="0.25">
      <c r="A4201" s="1488" t="str">
        <f t="shared" si="634"/>
        <v>31.10</v>
      </c>
      <c r="B4201" s="1492" t="str">
        <f t="shared" si="634"/>
        <v>TOWERS, EARTHING /POLES, CONDUITING, DIGGING</v>
      </c>
      <c r="C4201" s="1488" t="str">
        <f t="shared" si="634"/>
        <v>MERC/CAPEX/2018-19/066</v>
      </c>
      <c r="D4201" s="1413">
        <f t="shared" si="634"/>
        <v>43529</v>
      </c>
      <c r="E4201" s="560">
        <f t="shared" si="634"/>
        <v>7.63</v>
      </c>
      <c r="F4201" s="1508">
        <f t="shared" si="626"/>
        <v>7.63</v>
      </c>
      <c r="G4201" s="1508">
        <f t="shared" si="627"/>
        <v>7.63</v>
      </c>
      <c r="H4201" s="1508">
        <f t="shared" si="630"/>
        <v>0</v>
      </c>
      <c r="I4201" s="1480">
        <v>0</v>
      </c>
      <c r="J4201" s="1480">
        <v>0</v>
      </c>
      <c r="K4201" s="1508"/>
      <c r="L4201" s="1508"/>
      <c r="M4201" s="1509">
        <f t="shared" si="631"/>
        <v>0</v>
      </c>
      <c r="N4201" s="1508">
        <f t="shared" si="632"/>
        <v>0</v>
      </c>
      <c r="O4201" s="1481">
        <f t="shared" si="628"/>
        <v>0</v>
      </c>
      <c r="P4201" s="1427">
        <f t="shared" si="629"/>
        <v>0</v>
      </c>
    </row>
    <row r="4202" spans="1:16" ht="46.5" outlineLevel="1" x14ac:dyDescent="0.25">
      <c r="A4202" s="1488">
        <f t="shared" si="634"/>
        <v>31.11</v>
      </c>
      <c r="B4202" s="1492" t="str">
        <f t="shared" si="634"/>
        <v>RDBMS, SERVER, WORKSTATIONS, IN CON. ROOM WITH FURINITURE DOCUMENTATION, CAMERA &amp; ANALYTICS LICENSES</v>
      </c>
      <c r="C4202" s="1488" t="str">
        <f t="shared" si="634"/>
        <v>MERC/CAPEX/2018-19/066</v>
      </c>
      <c r="D4202" s="1413">
        <f t="shared" si="634"/>
        <v>43529</v>
      </c>
      <c r="E4202" s="560">
        <f t="shared" si="634"/>
        <v>18.670000000000002</v>
      </c>
      <c r="F4202" s="1508">
        <f t="shared" si="626"/>
        <v>18.670000000000002</v>
      </c>
      <c r="G4202" s="1508">
        <f t="shared" si="627"/>
        <v>18.670000000000002</v>
      </c>
      <c r="H4202" s="1508">
        <f t="shared" si="630"/>
        <v>0</v>
      </c>
      <c r="I4202" s="1480">
        <v>0</v>
      </c>
      <c r="J4202" s="1480">
        <v>0</v>
      </c>
      <c r="K4202" s="1508"/>
      <c r="L4202" s="1508"/>
      <c r="M4202" s="1509">
        <f t="shared" si="631"/>
        <v>0</v>
      </c>
      <c r="N4202" s="1508">
        <f t="shared" si="632"/>
        <v>0</v>
      </c>
      <c r="O4202" s="1481">
        <f t="shared" si="628"/>
        <v>0</v>
      </c>
      <c r="P4202" s="1427">
        <f t="shared" si="629"/>
        <v>0</v>
      </c>
    </row>
    <row r="4203" spans="1:16" ht="15.5" outlineLevel="1" x14ac:dyDescent="0.25">
      <c r="A4203" s="1488">
        <f t="shared" si="634"/>
        <v>31.12</v>
      </c>
      <c r="B4203" s="1492" t="str">
        <f t="shared" si="634"/>
        <v>ADDITIONAL CIVIL WORK</v>
      </c>
      <c r="C4203" s="1488" t="str">
        <f t="shared" si="634"/>
        <v>MERC/CAPEX/2018-19/066</v>
      </c>
      <c r="D4203" s="1413">
        <f t="shared" si="634"/>
        <v>43529</v>
      </c>
      <c r="E4203" s="560">
        <f t="shared" si="634"/>
        <v>3.93</v>
      </c>
      <c r="F4203" s="1508">
        <f t="shared" si="626"/>
        <v>3.93</v>
      </c>
      <c r="G4203" s="1508">
        <f t="shared" si="627"/>
        <v>3.93</v>
      </c>
      <c r="H4203" s="1508">
        <f t="shared" si="630"/>
        <v>0</v>
      </c>
      <c r="I4203" s="1480">
        <v>0</v>
      </c>
      <c r="J4203" s="1480">
        <v>0</v>
      </c>
      <c r="K4203" s="1508"/>
      <c r="L4203" s="1508"/>
      <c r="M4203" s="1509">
        <f t="shared" si="631"/>
        <v>0</v>
      </c>
      <c r="N4203" s="1508">
        <f t="shared" si="632"/>
        <v>0</v>
      </c>
      <c r="O4203" s="1481">
        <f t="shared" si="628"/>
        <v>0</v>
      </c>
      <c r="P4203" s="1427">
        <f t="shared" si="629"/>
        <v>0</v>
      </c>
    </row>
    <row r="4204" spans="1:16" ht="46.5" outlineLevel="1" x14ac:dyDescent="0.25">
      <c r="A4204" s="1486">
        <f t="shared" si="634"/>
        <v>32</v>
      </c>
      <c r="B4204" s="1491" t="str">
        <f t="shared" si="634"/>
        <v>Provision of VFD panel along with bypasses arrangement for HT/LT conveyors &amp; automation of control room at Coal Handling Plant-B</v>
      </c>
      <c r="C4204" s="1486" t="str">
        <f t="shared" si="634"/>
        <v>MERC/CAPEX/20182019/1240</v>
      </c>
      <c r="D4204" s="1487">
        <f t="shared" si="634"/>
        <v>43363</v>
      </c>
      <c r="E4204" s="1383">
        <f t="shared" si="634"/>
        <v>38.629999999999995</v>
      </c>
      <c r="F4204" s="1480">
        <f t="shared" si="626"/>
        <v>0</v>
      </c>
      <c r="G4204" s="1480">
        <f t="shared" si="627"/>
        <v>0</v>
      </c>
      <c r="H4204" s="1480">
        <f t="shared" si="630"/>
        <v>0</v>
      </c>
      <c r="I4204" s="1480">
        <v>0</v>
      </c>
      <c r="J4204" s="1480">
        <v>0</v>
      </c>
      <c r="K4204" s="1480"/>
      <c r="L4204" s="1480"/>
      <c r="M4204" s="1480">
        <f t="shared" si="631"/>
        <v>0</v>
      </c>
      <c r="N4204" s="1480">
        <f t="shared" si="632"/>
        <v>0</v>
      </c>
      <c r="O4204" s="1481">
        <f t="shared" si="628"/>
        <v>0</v>
      </c>
      <c r="P4204" s="1427">
        <f t="shared" si="629"/>
        <v>0</v>
      </c>
    </row>
    <row r="4205" spans="1:16" ht="46.5" outlineLevel="1" x14ac:dyDescent="0.25">
      <c r="A4205" s="1488">
        <f t="shared" si="634"/>
        <v>32.1</v>
      </c>
      <c r="B4205" s="1492" t="str">
        <f t="shared" si="634"/>
        <v>Procurement, Installation and commissioning of MV/LT VFD panel along with bypass arrangement for HT/LT Conveyors of CHP-B</v>
      </c>
      <c r="C4205" s="1488" t="str">
        <f t="shared" si="634"/>
        <v>MERC/CAPEX/20182019/1240</v>
      </c>
      <c r="D4205" s="1413">
        <f t="shared" si="634"/>
        <v>43363</v>
      </c>
      <c r="E4205" s="560">
        <f t="shared" si="634"/>
        <v>32.56</v>
      </c>
      <c r="F4205" s="1508">
        <f t="shared" si="626"/>
        <v>32.56</v>
      </c>
      <c r="G4205" s="1508">
        <f t="shared" si="627"/>
        <v>32.56</v>
      </c>
      <c r="H4205" s="1508">
        <f t="shared" si="630"/>
        <v>0</v>
      </c>
      <c r="I4205" s="1480">
        <v>0</v>
      </c>
      <c r="J4205" s="1480">
        <v>0</v>
      </c>
      <c r="K4205" s="1508"/>
      <c r="L4205" s="1508"/>
      <c r="M4205" s="1509">
        <f t="shared" si="631"/>
        <v>0</v>
      </c>
      <c r="N4205" s="1508">
        <f t="shared" si="632"/>
        <v>0</v>
      </c>
      <c r="O4205" s="1481">
        <f t="shared" si="628"/>
        <v>0</v>
      </c>
      <c r="P4205" s="1427">
        <f t="shared" si="629"/>
        <v>0</v>
      </c>
    </row>
    <row r="4206" spans="1:16" ht="15.5" outlineLevel="1" x14ac:dyDescent="0.25">
      <c r="A4206" s="1488">
        <f t="shared" ref="A4206:E4221" si="635">A3536</f>
        <v>32.200000000000003</v>
      </c>
      <c r="B4206" s="1492" t="str">
        <f t="shared" si="635"/>
        <v>Automation of Control Room of CHP-B Using PLC System</v>
      </c>
      <c r="C4206" s="1488" t="str">
        <f t="shared" si="635"/>
        <v>MERC/CAPEX/20182019/1240</v>
      </c>
      <c r="D4206" s="1413">
        <f t="shared" si="635"/>
        <v>43363</v>
      </c>
      <c r="E4206" s="560">
        <f t="shared" si="635"/>
        <v>4.91</v>
      </c>
      <c r="F4206" s="1508">
        <f t="shared" si="626"/>
        <v>8</v>
      </c>
      <c r="G4206" s="1508">
        <f t="shared" si="627"/>
        <v>8</v>
      </c>
      <c r="H4206" s="1508">
        <f t="shared" si="630"/>
        <v>0</v>
      </c>
      <c r="I4206" s="1480">
        <v>0</v>
      </c>
      <c r="J4206" s="1480">
        <v>0</v>
      </c>
      <c r="K4206" s="1508"/>
      <c r="L4206" s="1508"/>
      <c r="M4206" s="1509">
        <f t="shared" si="631"/>
        <v>0</v>
      </c>
      <c r="N4206" s="1508">
        <f t="shared" si="632"/>
        <v>0</v>
      </c>
      <c r="O4206" s="1481">
        <f t="shared" si="628"/>
        <v>0</v>
      </c>
      <c r="P4206" s="1427">
        <f t="shared" si="629"/>
        <v>0</v>
      </c>
    </row>
    <row r="4207" spans="1:16" ht="15.5" outlineLevel="1" x14ac:dyDescent="0.25">
      <c r="A4207" s="1482">
        <f t="shared" si="635"/>
        <v>0</v>
      </c>
      <c r="B4207" s="1483" t="str">
        <f t="shared" si="635"/>
        <v>IDC</v>
      </c>
      <c r="C4207" s="1482" t="str">
        <f t="shared" si="635"/>
        <v>MERC/CAPEX/20182019/1240</v>
      </c>
      <c r="D4207" s="1390">
        <f t="shared" si="635"/>
        <v>43363</v>
      </c>
      <c r="E4207" s="560">
        <f t="shared" si="635"/>
        <v>1.1599999999999999</v>
      </c>
      <c r="F4207" s="1508">
        <f t="shared" si="626"/>
        <v>0</v>
      </c>
      <c r="G4207" s="1508">
        <f t="shared" si="627"/>
        <v>0</v>
      </c>
      <c r="H4207" s="1508">
        <f t="shared" si="630"/>
        <v>0</v>
      </c>
      <c r="I4207" s="1480">
        <v>0</v>
      </c>
      <c r="J4207" s="1480">
        <v>0</v>
      </c>
      <c r="K4207" s="1508"/>
      <c r="L4207" s="1508"/>
      <c r="M4207" s="1509">
        <f t="shared" si="631"/>
        <v>0</v>
      </c>
      <c r="N4207" s="1508">
        <f t="shared" si="632"/>
        <v>0</v>
      </c>
      <c r="O4207" s="1481">
        <f t="shared" si="628"/>
        <v>0</v>
      </c>
      <c r="P4207" s="1427">
        <f t="shared" si="629"/>
        <v>0</v>
      </c>
    </row>
    <row r="4208" spans="1:16" ht="31" outlineLevel="1" x14ac:dyDescent="0.25">
      <c r="A4208" s="1486">
        <f t="shared" si="635"/>
        <v>33</v>
      </c>
      <c r="B4208" s="1491" t="str">
        <f t="shared" si="635"/>
        <v>Complete Track Renewal (CTR)/Renovation of existing Broad Gauge Railway Siding of 500MW Yard in CSTPS</v>
      </c>
      <c r="C4208" s="1486" t="str">
        <f t="shared" si="635"/>
        <v>MERC/CAPEX/2019-2020/362</v>
      </c>
      <c r="D4208" s="1487">
        <f t="shared" si="635"/>
        <v>43657</v>
      </c>
      <c r="E4208" s="1383">
        <f t="shared" si="635"/>
        <v>15.22025</v>
      </c>
      <c r="F4208" s="1480">
        <f t="shared" si="626"/>
        <v>0</v>
      </c>
      <c r="G4208" s="1480">
        <f t="shared" si="627"/>
        <v>0</v>
      </c>
      <c r="H4208" s="1480">
        <f t="shared" si="630"/>
        <v>0</v>
      </c>
      <c r="I4208" s="1480">
        <v>0</v>
      </c>
      <c r="J4208" s="1480">
        <v>0</v>
      </c>
      <c r="K4208" s="1480"/>
      <c r="L4208" s="1480"/>
      <c r="M4208" s="1480">
        <f t="shared" si="631"/>
        <v>0</v>
      </c>
      <c r="N4208" s="1480">
        <f t="shared" si="632"/>
        <v>0</v>
      </c>
      <c r="O4208" s="1481">
        <f t="shared" si="628"/>
        <v>0</v>
      </c>
      <c r="P4208" s="1427">
        <f t="shared" si="629"/>
        <v>0</v>
      </c>
    </row>
    <row r="4209" spans="1:16" ht="31" outlineLevel="1" x14ac:dyDescent="0.25">
      <c r="A4209" s="1488">
        <f t="shared" si="635"/>
        <v>33.1</v>
      </c>
      <c r="B4209" s="1492" t="str">
        <f t="shared" si="635"/>
        <v>Complete Track Renewal (CTR)/Renovation of existing Broad Gauge Railway Siding of 500MW Yard in CSTPS</v>
      </c>
      <c r="C4209" s="1488" t="str">
        <f t="shared" si="635"/>
        <v>MERC/CAPEX/2019-2020/362</v>
      </c>
      <c r="D4209" s="1413">
        <f t="shared" si="635"/>
        <v>43657</v>
      </c>
      <c r="E4209" s="560">
        <f t="shared" si="635"/>
        <v>14.20025</v>
      </c>
      <c r="F4209" s="1508">
        <f t="shared" si="626"/>
        <v>16.899999999999999</v>
      </c>
      <c r="G4209" s="1508">
        <f t="shared" si="627"/>
        <v>16.899999999999999</v>
      </c>
      <c r="H4209" s="1508">
        <f t="shared" si="630"/>
        <v>0</v>
      </c>
      <c r="I4209" s="1480">
        <v>0</v>
      </c>
      <c r="J4209" s="1480">
        <v>0</v>
      </c>
      <c r="K4209" s="1508"/>
      <c r="L4209" s="1508"/>
      <c r="M4209" s="1509">
        <f t="shared" si="631"/>
        <v>0</v>
      </c>
      <c r="N4209" s="1508">
        <f t="shared" si="632"/>
        <v>0</v>
      </c>
      <c r="O4209" s="1481">
        <f t="shared" si="628"/>
        <v>0</v>
      </c>
      <c r="P4209" s="1427">
        <f t="shared" si="629"/>
        <v>0</v>
      </c>
    </row>
    <row r="4210" spans="1:16" ht="15.5" outlineLevel="1" x14ac:dyDescent="0.25">
      <c r="A4210" s="1482">
        <f t="shared" si="635"/>
        <v>0</v>
      </c>
      <c r="B4210" s="1483" t="str">
        <f t="shared" si="635"/>
        <v>IDC</v>
      </c>
      <c r="C4210" s="1482" t="str">
        <f t="shared" si="635"/>
        <v>MERC/CAPEX/2019-2020/362</v>
      </c>
      <c r="D4210" s="1390">
        <f t="shared" si="635"/>
        <v>43657</v>
      </c>
      <c r="E4210" s="560">
        <f t="shared" si="635"/>
        <v>1.02</v>
      </c>
      <c r="F4210" s="1508">
        <f t="shared" si="626"/>
        <v>0</v>
      </c>
      <c r="G4210" s="1508">
        <f t="shared" si="627"/>
        <v>0</v>
      </c>
      <c r="H4210" s="1508">
        <f t="shared" si="630"/>
        <v>0</v>
      </c>
      <c r="I4210" s="1480">
        <v>0</v>
      </c>
      <c r="J4210" s="1480">
        <v>0</v>
      </c>
      <c r="K4210" s="1508"/>
      <c r="L4210" s="1508"/>
      <c r="M4210" s="1509">
        <f t="shared" si="631"/>
        <v>0</v>
      </c>
      <c r="N4210" s="1508">
        <f t="shared" si="632"/>
        <v>0</v>
      </c>
      <c r="O4210" s="1481">
        <f t="shared" si="628"/>
        <v>0</v>
      </c>
      <c r="P4210" s="1427">
        <f t="shared" si="629"/>
        <v>0</v>
      </c>
    </row>
    <row r="4211" spans="1:16" ht="31" outlineLevel="1" x14ac:dyDescent="0.25">
      <c r="A4211" s="1486">
        <f t="shared" si="635"/>
        <v>34</v>
      </c>
      <c r="B4211" s="1491" t="str">
        <f t="shared" si="635"/>
        <v>Procurement of Spare Generator Rotor along with one set of Bearings for Unit # 5, 6 &amp; 7 CSTPS, Chandrapur</v>
      </c>
      <c r="C4211" s="1486" t="str">
        <f t="shared" si="635"/>
        <v>MERC/CAPEX/2019-2020/129</v>
      </c>
      <c r="D4211" s="1487">
        <f t="shared" si="635"/>
        <v>43588</v>
      </c>
      <c r="E4211" s="1383">
        <f t="shared" si="635"/>
        <v>41.469115199999997</v>
      </c>
      <c r="F4211" s="1480">
        <f t="shared" si="626"/>
        <v>0</v>
      </c>
      <c r="G4211" s="1480">
        <f t="shared" si="627"/>
        <v>0</v>
      </c>
      <c r="H4211" s="1480">
        <f t="shared" si="630"/>
        <v>0</v>
      </c>
      <c r="I4211" s="1480">
        <v>0</v>
      </c>
      <c r="J4211" s="1480">
        <v>0</v>
      </c>
      <c r="K4211" s="1480"/>
      <c r="L4211" s="1480"/>
      <c r="M4211" s="1480">
        <f t="shared" si="631"/>
        <v>0</v>
      </c>
      <c r="N4211" s="1480">
        <f t="shared" si="632"/>
        <v>0</v>
      </c>
      <c r="O4211" s="1481">
        <f t="shared" si="628"/>
        <v>0</v>
      </c>
      <c r="P4211" s="1427">
        <f t="shared" si="629"/>
        <v>0</v>
      </c>
    </row>
    <row r="4212" spans="1:16" ht="46.5" outlineLevel="1" x14ac:dyDescent="0.25">
      <c r="A4212" s="1488">
        <f t="shared" si="635"/>
        <v>34.1</v>
      </c>
      <c r="B4212" s="1492" t="str">
        <f t="shared" si="635"/>
        <v xml:space="preserve">Generator Rotor suitable for THDF 115/59
One Set of Bearings (Comprising of 2 nos. of bearings)
</v>
      </c>
      <c r="C4212" s="1488" t="str">
        <f t="shared" si="635"/>
        <v>MERC/CAPEX/2019-2020/129</v>
      </c>
      <c r="D4212" s="1413">
        <f t="shared" si="635"/>
        <v>43588</v>
      </c>
      <c r="E4212" s="560">
        <f t="shared" si="635"/>
        <v>40.359115199999998</v>
      </c>
      <c r="F4212" s="1508">
        <f t="shared" si="626"/>
        <v>42.189589900000001</v>
      </c>
      <c r="G4212" s="1508">
        <f t="shared" si="627"/>
        <v>42.189589900000001</v>
      </c>
      <c r="H4212" s="1508">
        <f t="shared" si="630"/>
        <v>0</v>
      </c>
      <c r="I4212" s="1480">
        <v>0</v>
      </c>
      <c r="J4212" s="1480">
        <v>0</v>
      </c>
      <c r="K4212" s="1508"/>
      <c r="L4212" s="1508"/>
      <c r="M4212" s="1509">
        <f t="shared" si="631"/>
        <v>0</v>
      </c>
      <c r="N4212" s="1508">
        <f t="shared" si="632"/>
        <v>0</v>
      </c>
      <c r="O4212" s="1481">
        <f t="shared" si="628"/>
        <v>0</v>
      </c>
      <c r="P4212" s="1427">
        <f t="shared" si="629"/>
        <v>0</v>
      </c>
    </row>
    <row r="4213" spans="1:16" ht="15.5" outlineLevel="1" x14ac:dyDescent="0.25">
      <c r="A4213" s="1482">
        <f t="shared" si="635"/>
        <v>0</v>
      </c>
      <c r="B4213" s="1483" t="str">
        <f t="shared" si="635"/>
        <v>IDC</v>
      </c>
      <c r="C4213" s="1482" t="str">
        <f t="shared" si="635"/>
        <v>MERC/CAPEX/2019-2020/129</v>
      </c>
      <c r="D4213" s="1390">
        <f t="shared" si="635"/>
        <v>43588</v>
      </c>
      <c r="E4213" s="560">
        <f t="shared" si="635"/>
        <v>1.1100000000000001</v>
      </c>
      <c r="F4213" s="1508">
        <f t="shared" si="626"/>
        <v>0</v>
      </c>
      <c r="G4213" s="1508">
        <f t="shared" si="627"/>
        <v>0</v>
      </c>
      <c r="H4213" s="1508">
        <f t="shared" si="630"/>
        <v>0</v>
      </c>
      <c r="I4213" s="1480">
        <v>0</v>
      </c>
      <c r="J4213" s="1480">
        <v>0</v>
      </c>
      <c r="K4213" s="1508"/>
      <c r="L4213" s="1508"/>
      <c r="M4213" s="1509">
        <f t="shared" si="631"/>
        <v>0</v>
      </c>
      <c r="N4213" s="1508">
        <f t="shared" si="632"/>
        <v>0</v>
      </c>
      <c r="O4213" s="1481">
        <f t="shared" si="628"/>
        <v>0</v>
      </c>
      <c r="P4213" s="1427">
        <f t="shared" si="629"/>
        <v>0</v>
      </c>
    </row>
    <row r="4214" spans="1:16" ht="31" outlineLevel="1" x14ac:dyDescent="0.25">
      <c r="A4214" s="1477">
        <f t="shared" si="635"/>
        <v>35</v>
      </c>
      <c r="B4214" s="1478" t="str">
        <f t="shared" si="635"/>
        <v>Procurement of 2 NOS. OF 3100 HP, WDG-3A Locomotives for CSTPS, Chandrapur</v>
      </c>
      <c r="C4214" s="1486" t="str">
        <f t="shared" si="635"/>
        <v>MERC/CAPEX/2019-2020/1214</v>
      </c>
      <c r="D4214" s="1487">
        <f t="shared" si="635"/>
        <v>43822</v>
      </c>
      <c r="E4214" s="1383">
        <f t="shared" si="635"/>
        <v>22.05</v>
      </c>
      <c r="F4214" s="1480">
        <f t="shared" si="626"/>
        <v>0</v>
      </c>
      <c r="G4214" s="1480">
        <f t="shared" si="627"/>
        <v>0</v>
      </c>
      <c r="H4214" s="1480">
        <f t="shared" si="630"/>
        <v>0</v>
      </c>
      <c r="I4214" s="1480">
        <v>0</v>
      </c>
      <c r="J4214" s="1480">
        <v>0</v>
      </c>
      <c r="K4214" s="1480"/>
      <c r="L4214" s="1480"/>
      <c r="M4214" s="1480">
        <f t="shared" si="631"/>
        <v>0</v>
      </c>
      <c r="N4214" s="1480">
        <f t="shared" si="632"/>
        <v>0</v>
      </c>
      <c r="O4214" s="1481">
        <f t="shared" si="628"/>
        <v>0</v>
      </c>
      <c r="P4214" s="1427">
        <f t="shared" si="629"/>
        <v>0</v>
      </c>
    </row>
    <row r="4215" spans="1:16" ht="31" outlineLevel="1" x14ac:dyDescent="0.25">
      <c r="A4215" s="1482">
        <f t="shared" si="635"/>
        <v>35.1</v>
      </c>
      <c r="B4215" s="1483" t="str">
        <f t="shared" si="635"/>
        <v>Procurement of 2 NOS. OF 3100 HP, WDG-3A Locomotives for CSTPS, Chandrapur</v>
      </c>
      <c r="C4215" s="1488" t="str">
        <f t="shared" si="635"/>
        <v>MERC/CAPEX/2019-2020/1214</v>
      </c>
      <c r="D4215" s="1413">
        <f t="shared" si="635"/>
        <v>43822</v>
      </c>
      <c r="E4215" s="1383">
        <f t="shared" si="635"/>
        <v>21.66</v>
      </c>
      <c r="F4215" s="1480">
        <f t="shared" si="626"/>
        <v>22.854784800000001</v>
      </c>
      <c r="G4215" s="1480">
        <f t="shared" si="627"/>
        <v>22.854784800000001</v>
      </c>
      <c r="H4215" s="1480">
        <f>F4215-G4215</f>
        <v>0</v>
      </c>
      <c r="I4215" s="1480">
        <v>0</v>
      </c>
      <c r="J4215" s="1480">
        <v>0</v>
      </c>
      <c r="K4215" s="1480"/>
      <c r="L4215" s="1480"/>
      <c r="M4215" s="1480">
        <f>SUM(J4215:L4215)</f>
        <v>0</v>
      </c>
      <c r="N4215" s="1480">
        <f>H4215+I4215-M4215</f>
        <v>0</v>
      </c>
      <c r="O4215" s="1481">
        <f t="shared" si="628"/>
        <v>0</v>
      </c>
      <c r="P4215" s="1427">
        <f t="shared" si="629"/>
        <v>0</v>
      </c>
    </row>
    <row r="4216" spans="1:16" ht="15.5" outlineLevel="1" x14ac:dyDescent="0.25">
      <c r="A4216" s="1482">
        <f t="shared" si="635"/>
        <v>0</v>
      </c>
      <c r="B4216" s="1483" t="str">
        <f t="shared" si="635"/>
        <v>IDC</v>
      </c>
      <c r="C4216" s="1482" t="str">
        <f t="shared" si="635"/>
        <v>MERC/CAPEX/2019-2020/1214</v>
      </c>
      <c r="D4216" s="1390">
        <f t="shared" si="635"/>
        <v>43822</v>
      </c>
      <c r="E4216" s="560">
        <f t="shared" si="635"/>
        <v>0.39</v>
      </c>
      <c r="F4216" s="1508">
        <f t="shared" si="626"/>
        <v>0</v>
      </c>
      <c r="G4216" s="1508">
        <f t="shared" si="627"/>
        <v>0</v>
      </c>
      <c r="H4216" s="1508">
        <f t="shared" ref="H4216:H4279" si="636">F4216-G4216</f>
        <v>0</v>
      </c>
      <c r="I4216" s="1480">
        <v>0</v>
      </c>
      <c r="J4216" s="1480">
        <v>0</v>
      </c>
      <c r="K4216" s="1508"/>
      <c r="L4216" s="1508"/>
      <c r="M4216" s="1509">
        <f t="shared" ref="M4216:M4272" si="637">SUM(J4216:L4216)</f>
        <v>0</v>
      </c>
      <c r="N4216" s="1508">
        <f t="shared" ref="N4216:N4279" si="638">H4216+I4216-M4216</f>
        <v>0</v>
      </c>
      <c r="O4216" s="1481">
        <f t="shared" si="628"/>
        <v>0</v>
      </c>
      <c r="P4216" s="1427">
        <f t="shared" si="629"/>
        <v>0</v>
      </c>
    </row>
    <row r="4217" spans="1:16" ht="46.5" outlineLevel="1" x14ac:dyDescent="0.25">
      <c r="A4217" s="1486">
        <f t="shared" si="635"/>
        <v>36</v>
      </c>
      <c r="B4217" s="1491" t="str">
        <f t="shared" si="635"/>
        <v>Replacement of 220 V Station Battery Sets &amp; UPS Battery Sets of Unit# 5 &amp; 6 and 24 V G1 G2 Battery sets of Unit# 5, 6 &amp; 7 for 500MW Stage-III CSTPS.</v>
      </c>
      <c r="C4217" s="1486" t="str">
        <f t="shared" si="635"/>
        <v>MERC/CAPEX/2020-2021/WFH/SBR/32</v>
      </c>
      <c r="D4217" s="1487">
        <f t="shared" si="635"/>
        <v>44104</v>
      </c>
      <c r="E4217" s="1383">
        <f t="shared" si="635"/>
        <v>18.559999999999999</v>
      </c>
      <c r="F4217" s="1480">
        <f t="shared" si="626"/>
        <v>0</v>
      </c>
      <c r="G4217" s="1480">
        <f t="shared" si="627"/>
        <v>0</v>
      </c>
      <c r="H4217" s="1480">
        <f t="shared" si="636"/>
        <v>0</v>
      </c>
      <c r="I4217" s="1480">
        <v>0</v>
      </c>
      <c r="J4217" s="1480">
        <v>0</v>
      </c>
      <c r="K4217" s="1480"/>
      <c r="L4217" s="1480"/>
      <c r="M4217" s="1480">
        <f t="shared" si="637"/>
        <v>0</v>
      </c>
      <c r="N4217" s="1480">
        <f t="shared" si="638"/>
        <v>0</v>
      </c>
      <c r="O4217" s="1481">
        <f t="shared" si="628"/>
        <v>0</v>
      </c>
      <c r="P4217" s="1427">
        <f t="shared" si="629"/>
        <v>0</v>
      </c>
    </row>
    <row r="4218" spans="1:16" ht="46.5" outlineLevel="1" x14ac:dyDescent="0.25">
      <c r="A4218" s="1488">
        <f t="shared" si="635"/>
        <v>36.1</v>
      </c>
      <c r="B4218" s="1492" t="str">
        <f t="shared" si="635"/>
        <v>Replacement of 220 V Station Battery Sets &amp; UPS Battery Sets of Unit# 5 &amp; 6 and 24 V G1 G2 Battery sets of Unit# 5, 6 &amp; 7 for 500MW Stage-III, CSTPS.</v>
      </c>
      <c r="C4218" s="1488" t="str">
        <f t="shared" si="635"/>
        <v>MERC/CAPEX/2020-2021/WFH/SBR/32</v>
      </c>
      <c r="D4218" s="1413">
        <f t="shared" si="635"/>
        <v>44104</v>
      </c>
      <c r="E4218" s="560">
        <f t="shared" si="635"/>
        <v>18.32</v>
      </c>
      <c r="F4218" s="1508">
        <f t="shared" si="626"/>
        <v>18.32</v>
      </c>
      <c r="G4218" s="1508">
        <f t="shared" si="627"/>
        <v>18.32</v>
      </c>
      <c r="H4218" s="1508">
        <f t="shared" si="636"/>
        <v>0</v>
      </c>
      <c r="I4218" s="1480">
        <v>0</v>
      </c>
      <c r="J4218" s="1480">
        <v>0</v>
      </c>
      <c r="K4218" s="1508"/>
      <c r="L4218" s="1508"/>
      <c r="M4218" s="1509">
        <f t="shared" si="637"/>
        <v>0</v>
      </c>
      <c r="N4218" s="1508">
        <f t="shared" si="638"/>
        <v>0</v>
      </c>
      <c r="O4218" s="1481">
        <f t="shared" si="628"/>
        <v>0</v>
      </c>
      <c r="P4218" s="1427">
        <f t="shared" si="629"/>
        <v>0</v>
      </c>
    </row>
    <row r="4219" spans="1:16" ht="31" outlineLevel="1" x14ac:dyDescent="0.25">
      <c r="A4219" s="1482">
        <f t="shared" si="635"/>
        <v>0</v>
      </c>
      <c r="B4219" s="1483" t="str">
        <f t="shared" si="635"/>
        <v>IDC</v>
      </c>
      <c r="C4219" s="1482" t="str">
        <f t="shared" si="635"/>
        <v>MERC/CAPEX/2020-2021/WFH/SBR/32</v>
      </c>
      <c r="D4219" s="1390">
        <f t="shared" si="635"/>
        <v>44104</v>
      </c>
      <c r="E4219" s="560">
        <f t="shared" si="635"/>
        <v>0.24</v>
      </c>
      <c r="F4219" s="1508">
        <f t="shared" si="626"/>
        <v>0</v>
      </c>
      <c r="G4219" s="1508">
        <f t="shared" si="627"/>
        <v>0</v>
      </c>
      <c r="H4219" s="1508">
        <f t="shared" si="636"/>
        <v>0</v>
      </c>
      <c r="I4219" s="1480">
        <v>0</v>
      </c>
      <c r="J4219" s="1480">
        <v>0</v>
      </c>
      <c r="K4219" s="1508"/>
      <c r="L4219" s="1508"/>
      <c r="M4219" s="1509">
        <f t="shared" si="637"/>
        <v>0</v>
      </c>
      <c r="N4219" s="1508">
        <f t="shared" si="638"/>
        <v>0</v>
      </c>
      <c r="O4219" s="1481">
        <f t="shared" si="628"/>
        <v>0</v>
      </c>
      <c r="P4219" s="1427">
        <f t="shared" si="629"/>
        <v>0</v>
      </c>
    </row>
    <row r="4220" spans="1:16" ht="46.5" outlineLevel="1" x14ac:dyDescent="0.25">
      <c r="A4220" s="1486">
        <f t="shared" si="635"/>
        <v>37</v>
      </c>
      <c r="B4220" s="1491" t="str">
        <f t="shared" si="635"/>
        <v>Flue Gas Desulphurization (FGD) System for 500 MW UnitS (Total 8 Nos) of MSPGCL
(Chandrapur Unit # 5-7)</v>
      </c>
      <c r="C4220" s="1486" t="str">
        <f t="shared" si="635"/>
        <v>MERC/CAPEX/2020-2021/WFH/SBR/43</v>
      </c>
      <c r="D4220" s="1487">
        <f t="shared" si="635"/>
        <v>44179</v>
      </c>
      <c r="E4220" s="1383">
        <f t="shared" si="635"/>
        <v>656.25</v>
      </c>
      <c r="F4220" s="1480">
        <f t="shared" si="626"/>
        <v>0</v>
      </c>
      <c r="G4220" s="1480">
        <f t="shared" si="627"/>
        <v>0</v>
      </c>
      <c r="H4220" s="1480">
        <f t="shared" si="636"/>
        <v>0</v>
      </c>
      <c r="I4220" s="1480">
        <v>0</v>
      </c>
      <c r="J4220" s="1480">
        <v>0</v>
      </c>
      <c r="K4220" s="1480"/>
      <c r="L4220" s="1480"/>
      <c r="M4220" s="1480">
        <f t="shared" si="637"/>
        <v>0</v>
      </c>
      <c r="N4220" s="1480">
        <f t="shared" si="638"/>
        <v>0</v>
      </c>
      <c r="O4220" s="1481">
        <f t="shared" si="628"/>
        <v>0</v>
      </c>
      <c r="P4220" s="1427">
        <f t="shared" si="629"/>
        <v>0</v>
      </c>
    </row>
    <row r="4221" spans="1:16" ht="46.5" outlineLevel="1" x14ac:dyDescent="0.25">
      <c r="A4221" s="1488">
        <f t="shared" si="635"/>
        <v>37.1</v>
      </c>
      <c r="B4221" s="1492" t="str">
        <f t="shared" si="635"/>
        <v>Flue Gas Desulphurization (FGD) System for 500 MW UnitS (Total 8 Nos) of MSPGCL
(Chandrapur Unit # 5-7)</v>
      </c>
      <c r="C4221" s="1488" t="str">
        <f t="shared" si="635"/>
        <v>MERC/CAPEX/2020-2021/WFH/SBR/43</v>
      </c>
      <c r="D4221" s="1413">
        <f t="shared" si="635"/>
        <v>44179</v>
      </c>
      <c r="E4221" s="560">
        <f t="shared" si="635"/>
        <v>602.58000000000004</v>
      </c>
      <c r="F4221" s="1508">
        <f t="shared" si="626"/>
        <v>1196.5700000000002</v>
      </c>
      <c r="G4221" s="1508">
        <f t="shared" si="627"/>
        <v>1196.57</v>
      </c>
      <c r="H4221" s="1508">
        <f t="shared" si="636"/>
        <v>0</v>
      </c>
      <c r="I4221" s="1480">
        <v>0</v>
      </c>
      <c r="J4221" s="1480">
        <v>0</v>
      </c>
      <c r="K4221" s="1508"/>
      <c r="L4221" s="1508"/>
      <c r="M4221" s="1509">
        <f t="shared" si="637"/>
        <v>0</v>
      </c>
      <c r="N4221" s="1508">
        <f t="shared" si="638"/>
        <v>0</v>
      </c>
      <c r="O4221" s="1481">
        <f t="shared" si="628"/>
        <v>0</v>
      </c>
      <c r="P4221" s="1427">
        <f t="shared" si="629"/>
        <v>0</v>
      </c>
    </row>
    <row r="4222" spans="1:16" ht="31" outlineLevel="1" x14ac:dyDescent="0.25">
      <c r="A4222" s="1488">
        <f t="shared" ref="A4222:E4237" si="639">A3552</f>
        <v>0</v>
      </c>
      <c r="B4222" s="1492" t="str">
        <f t="shared" si="639"/>
        <v>IDC</v>
      </c>
      <c r="C4222" s="1488" t="str">
        <f t="shared" si="639"/>
        <v>MERC/CAPEX/2020-2021/WFH/SBR/43</v>
      </c>
      <c r="D4222" s="1413">
        <f t="shared" si="639"/>
        <v>44179</v>
      </c>
      <c r="E4222" s="560">
        <f t="shared" si="639"/>
        <v>53.67</v>
      </c>
      <c r="F4222" s="1508">
        <f t="shared" ref="F4222:F4285" si="640">F3552+I3552</f>
        <v>0</v>
      </c>
      <c r="G4222" s="1508">
        <f t="shared" ref="G4222:G4285" si="641">G3552+M3552</f>
        <v>0</v>
      </c>
      <c r="H4222" s="1508">
        <f t="shared" si="636"/>
        <v>0</v>
      </c>
      <c r="I4222" s="1480">
        <v>0</v>
      </c>
      <c r="J4222" s="1480">
        <v>0</v>
      </c>
      <c r="K4222" s="1508"/>
      <c r="L4222" s="1508"/>
      <c r="M4222" s="1509">
        <f t="shared" si="637"/>
        <v>0</v>
      </c>
      <c r="N4222" s="1508">
        <f t="shared" si="638"/>
        <v>0</v>
      </c>
      <c r="O4222" s="1481">
        <f t="shared" ref="O4222:O4272" si="642">MAX(0,IF(M4222=0,0,IF(G4222+M4222&lt;E4222,M4222,E4222-G4222)))</f>
        <v>0</v>
      </c>
      <c r="P4222" s="1427">
        <f t="shared" ref="P4222:P4272" si="643">M4222-O4222</f>
        <v>0</v>
      </c>
    </row>
    <row r="4223" spans="1:16" ht="31" outlineLevel="1" x14ac:dyDescent="0.25">
      <c r="A4223" s="1486">
        <f t="shared" si="639"/>
        <v>38</v>
      </c>
      <c r="B4223" s="1491" t="str">
        <f t="shared" si="639"/>
        <v>Replacement of ECO and LTSH coils to Unit-4 Chandrapur (Parli DPR)</v>
      </c>
      <c r="C4223" s="1486" t="str">
        <f t="shared" si="639"/>
        <v xml:space="preserve">MERC/TECH1/CAPEX/20142015/01526 </v>
      </c>
      <c r="D4223" s="1487">
        <f t="shared" si="639"/>
        <v>42033</v>
      </c>
      <c r="E4223" s="1383">
        <f t="shared" si="639"/>
        <v>10</v>
      </c>
      <c r="F4223" s="1480">
        <f t="shared" si="640"/>
        <v>0</v>
      </c>
      <c r="G4223" s="1480">
        <f t="shared" si="641"/>
        <v>0</v>
      </c>
      <c r="H4223" s="1480">
        <f t="shared" si="636"/>
        <v>0</v>
      </c>
      <c r="I4223" s="1480">
        <v>0</v>
      </c>
      <c r="J4223" s="1480">
        <v>0</v>
      </c>
      <c r="K4223" s="1480"/>
      <c r="L4223" s="1480"/>
      <c r="M4223" s="1480">
        <f t="shared" si="637"/>
        <v>0</v>
      </c>
      <c r="N4223" s="1480">
        <f t="shared" si="638"/>
        <v>0</v>
      </c>
      <c r="O4223" s="1481">
        <f t="shared" si="642"/>
        <v>0</v>
      </c>
      <c r="P4223" s="1427">
        <f t="shared" si="643"/>
        <v>0</v>
      </c>
    </row>
    <row r="4224" spans="1:16" ht="31" outlineLevel="1" x14ac:dyDescent="0.25">
      <c r="A4224" s="1488">
        <f t="shared" si="639"/>
        <v>0</v>
      </c>
      <c r="B4224" s="1492" t="str">
        <f t="shared" si="639"/>
        <v>Replacement of ECO and LTSH coils to Unit-4 Chandrapur</v>
      </c>
      <c r="C4224" s="1493" t="str">
        <f t="shared" si="639"/>
        <v xml:space="preserve">MERC/TECH1/CAPEX/20142015/01526 </v>
      </c>
      <c r="D4224" s="1494">
        <f t="shared" si="639"/>
        <v>42033</v>
      </c>
      <c r="E4224" s="560">
        <f t="shared" si="639"/>
        <v>9.4</v>
      </c>
      <c r="F4224" s="1508">
        <f t="shared" si="640"/>
        <v>9.3998608000000008</v>
      </c>
      <c r="G4224" s="1508">
        <f t="shared" si="641"/>
        <v>9.3998608000000008</v>
      </c>
      <c r="H4224" s="1508">
        <f t="shared" si="636"/>
        <v>0</v>
      </c>
      <c r="I4224" s="1480">
        <v>0</v>
      </c>
      <c r="J4224" s="1480">
        <v>0</v>
      </c>
      <c r="K4224" s="1508"/>
      <c r="L4224" s="1508"/>
      <c r="M4224" s="1509">
        <f t="shared" si="637"/>
        <v>0</v>
      </c>
      <c r="N4224" s="1508">
        <f t="shared" si="638"/>
        <v>0</v>
      </c>
      <c r="O4224" s="1481">
        <f t="shared" si="642"/>
        <v>0</v>
      </c>
      <c r="P4224" s="1427">
        <f t="shared" si="643"/>
        <v>0</v>
      </c>
    </row>
    <row r="4225" spans="1:16" ht="31" outlineLevel="1" x14ac:dyDescent="0.25">
      <c r="A4225" s="1488">
        <f t="shared" si="639"/>
        <v>0</v>
      </c>
      <c r="B4225" s="1492" t="str">
        <f t="shared" si="639"/>
        <v>IDC</v>
      </c>
      <c r="C4225" s="1493" t="str">
        <f t="shared" si="639"/>
        <v xml:space="preserve">MERC/TECH1/CAPEX/20142015/01526 </v>
      </c>
      <c r="D4225" s="1494">
        <f t="shared" si="639"/>
        <v>42033</v>
      </c>
      <c r="E4225" s="560">
        <f t="shared" si="639"/>
        <v>0.6</v>
      </c>
      <c r="F4225" s="1508">
        <f t="shared" si="640"/>
        <v>0</v>
      </c>
      <c r="G4225" s="1508">
        <f t="shared" si="641"/>
        <v>0</v>
      </c>
      <c r="H4225" s="1508">
        <f t="shared" si="636"/>
        <v>0</v>
      </c>
      <c r="I4225" s="1480">
        <v>0</v>
      </c>
      <c r="J4225" s="1480">
        <v>0</v>
      </c>
      <c r="K4225" s="1508"/>
      <c r="L4225" s="1508"/>
      <c r="M4225" s="1509">
        <f t="shared" si="637"/>
        <v>0</v>
      </c>
      <c r="N4225" s="1508">
        <f t="shared" si="638"/>
        <v>0</v>
      </c>
      <c r="O4225" s="1481">
        <f t="shared" si="642"/>
        <v>0</v>
      </c>
      <c r="P4225" s="1427">
        <f t="shared" si="643"/>
        <v>0</v>
      </c>
    </row>
    <row r="4226" spans="1:16" ht="31" outlineLevel="1" x14ac:dyDescent="0.25">
      <c r="A4226" s="1486">
        <f t="shared" si="639"/>
        <v>39</v>
      </c>
      <c r="B4226" s="1491" t="str">
        <f t="shared" si="639"/>
        <v>Supply of complete gear box assembly for XRP-1043 coal mill at U-5 &amp;  U-6 for FY 2019-20 &amp; FY 20-21 at CSTPS, Chandrapur</v>
      </c>
      <c r="C4226" s="1486" t="str">
        <f t="shared" si="639"/>
        <v>MERC/CAPEX/2020-2021/WFH/SBR/05</v>
      </c>
      <c r="D4226" s="1487">
        <f t="shared" si="639"/>
        <v>44335</v>
      </c>
      <c r="E4226" s="1383">
        <f t="shared" si="639"/>
        <v>21.53</v>
      </c>
      <c r="F4226" s="1480">
        <f t="shared" si="640"/>
        <v>0</v>
      </c>
      <c r="G4226" s="1480">
        <f t="shared" si="641"/>
        <v>0</v>
      </c>
      <c r="H4226" s="1480">
        <f t="shared" si="636"/>
        <v>0</v>
      </c>
      <c r="I4226" s="1480">
        <v>0</v>
      </c>
      <c r="J4226" s="1480">
        <v>0</v>
      </c>
      <c r="K4226" s="1480"/>
      <c r="L4226" s="1480"/>
      <c r="M4226" s="1480">
        <f t="shared" si="637"/>
        <v>0</v>
      </c>
      <c r="N4226" s="1480">
        <f t="shared" si="638"/>
        <v>0</v>
      </c>
      <c r="O4226" s="1481">
        <f t="shared" si="642"/>
        <v>0</v>
      </c>
      <c r="P4226" s="1427">
        <f t="shared" si="643"/>
        <v>0</v>
      </c>
    </row>
    <row r="4227" spans="1:16" ht="77.5" outlineLevel="1" x14ac:dyDescent="0.25">
      <c r="A4227" s="1488">
        <f t="shared" si="639"/>
        <v>39.1</v>
      </c>
      <c r="B4227" s="1492" t="str">
        <f t="shared" si="639"/>
        <v>Supply of complete gear box assembly for XRP-1043coal mill unit
5&amp;6and complete lub oil system of XRP-1043Coal Mill in Unit-5&amp;6.
(Qty. 02 nos. one for each unit)</v>
      </c>
      <c r="C4227" s="1488" t="str">
        <f t="shared" si="639"/>
        <v>MERC/CAPEX/2020-2021/WFH/SBR/05</v>
      </c>
      <c r="D4227" s="1413">
        <f t="shared" si="639"/>
        <v>44335</v>
      </c>
      <c r="E4227" s="560">
        <f t="shared" si="639"/>
        <v>21.02</v>
      </c>
      <c r="F4227" s="1508">
        <f t="shared" si="640"/>
        <v>9.9520900000000001</v>
      </c>
      <c r="G4227" s="1508">
        <f t="shared" si="641"/>
        <v>9.9520900000000001</v>
      </c>
      <c r="H4227" s="1508">
        <f t="shared" si="636"/>
        <v>0</v>
      </c>
      <c r="I4227" s="1480">
        <v>0</v>
      </c>
      <c r="J4227" s="1480">
        <v>0</v>
      </c>
      <c r="K4227" s="1508"/>
      <c r="L4227" s="1508"/>
      <c r="M4227" s="1509">
        <f t="shared" si="637"/>
        <v>0</v>
      </c>
      <c r="N4227" s="1508">
        <f t="shared" si="638"/>
        <v>0</v>
      </c>
      <c r="O4227" s="1481">
        <f t="shared" si="642"/>
        <v>0</v>
      </c>
      <c r="P4227" s="1427">
        <f t="shared" si="643"/>
        <v>0</v>
      </c>
    </row>
    <row r="4228" spans="1:16" ht="31" outlineLevel="1" x14ac:dyDescent="0.25">
      <c r="A4228" s="1488">
        <f t="shared" si="639"/>
        <v>0</v>
      </c>
      <c r="B4228" s="1492" t="str">
        <f t="shared" si="639"/>
        <v>IDC</v>
      </c>
      <c r="C4228" s="1488" t="str">
        <f t="shared" si="639"/>
        <v>MERC/CAPEX/2020-2021/WFH/SBR/05</v>
      </c>
      <c r="D4228" s="1413">
        <f t="shared" si="639"/>
        <v>44335</v>
      </c>
      <c r="E4228" s="560">
        <f t="shared" si="639"/>
        <v>0.51</v>
      </c>
      <c r="F4228" s="1508">
        <f t="shared" si="640"/>
        <v>0</v>
      </c>
      <c r="G4228" s="1508">
        <f t="shared" si="641"/>
        <v>0</v>
      </c>
      <c r="H4228" s="1508">
        <f t="shared" si="636"/>
        <v>0</v>
      </c>
      <c r="I4228" s="1480">
        <v>0</v>
      </c>
      <c r="J4228" s="1480">
        <v>0</v>
      </c>
      <c r="K4228" s="1508"/>
      <c r="L4228" s="1508"/>
      <c r="M4228" s="1509">
        <f t="shared" si="637"/>
        <v>0</v>
      </c>
      <c r="N4228" s="1508">
        <f t="shared" si="638"/>
        <v>0</v>
      </c>
      <c r="O4228" s="1481">
        <f t="shared" si="642"/>
        <v>0</v>
      </c>
      <c r="P4228" s="1427">
        <f t="shared" si="643"/>
        <v>0</v>
      </c>
    </row>
    <row r="4229" spans="1:16" ht="31" outlineLevel="1" x14ac:dyDescent="0.25">
      <c r="A4229" s="1477" t="str">
        <f t="shared" si="639"/>
        <v>HO
DPR 1</v>
      </c>
      <c r="B4229" s="1478" t="str">
        <f t="shared" si="639"/>
        <v>AFGC/DFGC SYSTEM 210MW</v>
      </c>
      <c r="C4229" s="1477" t="str">
        <f t="shared" si="639"/>
        <v>MERC/CAP/DPR/10/07/1149</v>
      </c>
      <c r="D4229" s="1479">
        <f t="shared" si="639"/>
        <v>39232</v>
      </c>
      <c r="E4229" s="1383">
        <f t="shared" si="639"/>
        <v>9.6</v>
      </c>
      <c r="F4229" s="1480">
        <f t="shared" si="640"/>
        <v>0</v>
      </c>
      <c r="G4229" s="1480">
        <f t="shared" si="641"/>
        <v>0</v>
      </c>
      <c r="H4229" s="1480">
        <f t="shared" si="636"/>
        <v>0</v>
      </c>
      <c r="I4229" s="1480">
        <v>0</v>
      </c>
      <c r="J4229" s="1480">
        <v>0</v>
      </c>
      <c r="K4229" s="1480"/>
      <c r="L4229" s="1480"/>
      <c r="M4229" s="1480">
        <f t="shared" si="637"/>
        <v>0</v>
      </c>
      <c r="N4229" s="1480">
        <f t="shared" si="638"/>
        <v>0</v>
      </c>
      <c r="O4229" s="1481">
        <f t="shared" si="642"/>
        <v>0</v>
      </c>
      <c r="P4229" s="1427">
        <f t="shared" si="643"/>
        <v>0</v>
      </c>
    </row>
    <row r="4230" spans="1:16" ht="31" outlineLevel="1" x14ac:dyDescent="0.25">
      <c r="A4230" s="1482" t="str">
        <f t="shared" si="639"/>
        <v>HO
DPR 1.1</v>
      </c>
      <c r="B4230" s="1483" t="str">
        <f t="shared" si="639"/>
        <v>CSTPS U-1,2&amp;4</v>
      </c>
      <c r="C4230" s="1482" t="str">
        <f t="shared" si="639"/>
        <v>MERC/CAP/DPR/10/07/1149</v>
      </c>
      <c r="D4230" s="1390">
        <f t="shared" si="639"/>
        <v>39232</v>
      </c>
      <c r="E4230" s="560">
        <f t="shared" si="639"/>
        <v>9.6</v>
      </c>
      <c r="F4230" s="1508">
        <f t="shared" si="640"/>
        <v>4.9831317769999997</v>
      </c>
      <c r="G4230" s="1508">
        <f t="shared" si="641"/>
        <v>4.9831317769999997</v>
      </c>
      <c r="H4230" s="1508">
        <f t="shared" si="636"/>
        <v>0</v>
      </c>
      <c r="I4230" s="1480">
        <v>0</v>
      </c>
      <c r="J4230" s="1480">
        <v>0</v>
      </c>
      <c r="K4230" s="1508"/>
      <c r="L4230" s="1508"/>
      <c r="M4230" s="1509">
        <f t="shared" si="637"/>
        <v>0</v>
      </c>
      <c r="N4230" s="1508">
        <f t="shared" si="638"/>
        <v>0</v>
      </c>
      <c r="O4230" s="1481">
        <f t="shared" si="642"/>
        <v>0</v>
      </c>
      <c r="P4230" s="1427">
        <f t="shared" si="643"/>
        <v>0</v>
      </c>
    </row>
    <row r="4231" spans="1:16" ht="31" outlineLevel="1" x14ac:dyDescent="0.25">
      <c r="A4231" s="1477" t="str">
        <f t="shared" si="639"/>
        <v>HO
DPR 4</v>
      </c>
      <c r="B4231" s="1478" t="str">
        <f t="shared" si="639"/>
        <v>Construction of coal platform for Chandrapur TPS, Khaperkheda TPS &amp; Parli TPS</v>
      </c>
      <c r="C4231" s="1477" t="str">
        <f t="shared" si="639"/>
        <v>MERC/TECH 1/CAPEX/20132014/00827</v>
      </c>
      <c r="D4231" s="1479">
        <f t="shared" si="639"/>
        <v>41464</v>
      </c>
      <c r="E4231" s="1383">
        <f t="shared" si="639"/>
        <v>10.36</v>
      </c>
      <c r="F4231" s="1480">
        <f t="shared" si="640"/>
        <v>0</v>
      </c>
      <c r="G4231" s="1480">
        <f t="shared" si="641"/>
        <v>0</v>
      </c>
      <c r="H4231" s="1480">
        <f t="shared" si="636"/>
        <v>0</v>
      </c>
      <c r="I4231" s="1480">
        <v>0</v>
      </c>
      <c r="J4231" s="1480">
        <v>0</v>
      </c>
      <c r="K4231" s="1480"/>
      <c r="L4231" s="1480"/>
      <c r="M4231" s="1480">
        <f t="shared" si="637"/>
        <v>0</v>
      </c>
      <c r="N4231" s="1480">
        <f t="shared" si="638"/>
        <v>0</v>
      </c>
      <c r="O4231" s="1481">
        <f t="shared" si="642"/>
        <v>0</v>
      </c>
      <c r="P4231" s="1427">
        <f t="shared" si="643"/>
        <v>0</v>
      </c>
    </row>
    <row r="4232" spans="1:16" ht="31" outlineLevel="1" x14ac:dyDescent="0.25">
      <c r="A4232" s="1482" t="str">
        <f t="shared" si="639"/>
        <v>HO
DPR 4.1</v>
      </c>
      <c r="B4232" s="1483" t="str">
        <f t="shared" si="639"/>
        <v>Chandrapur TPS</v>
      </c>
      <c r="C4232" s="1482" t="str">
        <f t="shared" si="639"/>
        <v>MERC/TECH 1/CAPEX/20132014/00827</v>
      </c>
      <c r="D4232" s="1390">
        <f t="shared" si="639"/>
        <v>41464</v>
      </c>
      <c r="E4232" s="560">
        <f t="shared" si="639"/>
        <v>10.36</v>
      </c>
      <c r="F4232" s="1508">
        <f t="shared" si="640"/>
        <v>0</v>
      </c>
      <c r="G4232" s="1508">
        <f t="shared" si="641"/>
        <v>0</v>
      </c>
      <c r="H4232" s="1508">
        <f t="shared" si="636"/>
        <v>0</v>
      </c>
      <c r="I4232" s="1480">
        <v>0</v>
      </c>
      <c r="J4232" s="1480">
        <v>0</v>
      </c>
      <c r="K4232" s="1508"/>
      <c r="L4232" s="1508"/>
      <c r="M4232" s="1509">
        <f t="shared" si="637"/>
        <v>0</v>
      </c>
      <c r="N4232" s="1508">
        <f t="shared" si="638"/>
        <v>0</v>
      </c>
      <c r="O4232" s="1481">
        <f t="shared" si="642"/>
        <v>0</v>
      </c>
      <c r="P4232" s="1427">
        <f t="shared" si="643"/>
        <v>0</v>
      </c>
    </row>
    <row r="4233" spans="1:16" ht="31" outlineLevel="1" x14ac:dyDescent="0.25">
      <c r="A4233" s="1482">
        <f t="shared" si="639"/>
        <v>0</v>
      </c>
      <c r="B4233" s="1483" t="str">
        <f t="shared" si="639"/>
        <v>IDC</v>
      </c>
      <c r="C4233" s="1482" t="str">
        <f t="shared" si="639"/>
        <v>MERC/TECH 1/CAPEX/20132014/00827</v>
      </c>
      <c r="D4233" s="1390">
        <f t="shared" si="639"/>
        <v>41464</v>
      </c>
      <c r="E4233" s="560">
        <f t="shared" si="639"/>
        <v>0</v>
      </c>
      <c r="F4233" s="1508">
        <f t="shared" si="640"/>
        <v>0</v>
      </c>
      <c r="G4233" s="1508">
        <f t="shared" si="641"/>
        <v>0</v>
      </c>
      <c r="H4233" s="1508">
        <f t="shared" si="636"/>
        <v>0</v>
      </c>
      <c r="I4233" s="1480">
        <v>0</v>
      </c>
      <c r="J4233" s="1480">
        <v>0</v>
      </c>
      <c r="K4233" s="1508"/>
      <c r="L4233" s="1508"/>
      <c r="M4233" s="1509">
        <f t="shared" si="637"/>
        <v>0</v>
      </c>
      <c r="N4233" s="1508">
        <f t="shared" si="638"/>
        <v>0</v>
      </c>
      <c r="O4233" s="1481">
        <f t="shared" si="642"/>
        <v>0</v>
      </c>
      <c r="P4233" s="1427">
        <f t="shared" si="643"/>
        <v>0</v>
      </c>
    </row>
    <row r="4234" spans="1:16" ht="46.5" outlineLevel="1" x14ac:dyDescent="0.25">
      <c r="A4234" s="1477" t="str">
        <f t="shared" si="639"/>
        <v>HO
DPR 5</v>
      </c>
      <c r="B4234" s="1478" t="str">
        <f t="shared" si="639"/>
        <v>Procurement of energy efficient HT motors at Bhusawal TPS, Koradi TPS, Chandrapur TPS, khaperkheda TPS, Parli TPS &amp; Paras TPS as insurance spares</v>
      </c>
      <c r="C4234" s="1477" t="str">
        <f t="shared" si="639"/>
        <v>MERC/TECH 1/CAPEX/20142015/01218</v>
      </c>
      <c r="D4234" s="1479">
        <f t="shared" si="639"/>
        <v>41968</v>
      </c>
      <c r="E4234" s="1383">
        <f t="shared" si="639"/>
        <v>16.956</v>
      </c>
      <c r="F4234" s="1480">
        <f t="shared" si="640"/>
        <v>0</v>
      </c>
      <c r="G4234" s="1480">
        <f t="shared" si="641"/>
        <v>0</v>
      </c>
      <c r="H4234" s="1480">
        <f t="shared" si="636"/>
        <v>0</v>
      </c>
      <c r="I4234" s="1480">
        <v>0</v>
      </c>
      <c r="J4234" s="1480">
        <v>0</v>
      </c>
      <c r="K4234" s="1480"/>
      <c r="L4234" s="1480"/>
      <c r="M4234" s="1480">
        <f t="shared" si="637"/>
        <v>0</v>
      </c>
      <c r="N4234" s="1480">
        <f t="shared" si="638"/>
        <v>0</v>
      </c>
      <c r="O4234" s="1481">
        <f t="shared" si="642"/>
        <v>0</v>
      </c>
      <c r="P4234" s="1427">
        <f t="shared" si="643"/>
        <v>0</v>
      </c>
    </row>
    <row r="4235" spans="1:16" ht="46.5" outlineLevel="1" x14ac:dyDescent="0.25">
      <c r="A4235" s="1482" t="str">
        <f t="shared" si="639"/>
        <v>HO
DPR 5.3a</v>
      </c>
      <c r="B4235" s="1483" t="str">
        <f t="shared" si="639"/>
        <v>CSTPS (U-3/4, 210 MW, 7Nos)</v>
      </c>
      <c r="C4235" s="1482" t="str">
        <f t="shared" si="639"/>
        <v>MERC/TECH 1/CAPEX/20142015/01218</v>
      </c>
      <c r="D4235" s="1390">
        <f t="shared" si="639"/>
        <v>41968</v>
      </c>
      <c r="E4235" s="560">
        <f t="shared" si="639"/>
        <v>5.7060000000000004</v>
      </c>
      <c r="F4235" s="1508">
        <f t="shared" si="640"/>
        <v>0.90661499000000001</v>
      </c>
      <c r="G4235" s="1508">
        <f t="shared" si="641"/>
        <v>0.90661499000000001</v>
      </c>
      <c r="H4235" s="1508">
        <f t="shared" si="636"/>
        <v>0</v>
      </c>
      <c r="I4235" s="1480">
        <v>0</v>
      </c>
      <c r="J4235" s="1480">
        <v>0</v>
      </c>
      <c r="K4235" s="1508"/>
      <c r="L4235" s="1508"/>
      <c r="M4235" s="1509">
        <f t="shared" si="637"/>
        <v>0</v>
      </c>
      <c r="N4235" s="1508">
        <f t="shared" si="638"/>
        <v>0</v>
      </c>
      <c r="O4235" s="1481">
        <f t="shared" si="642"/>
        <v>0</v>
      </c>
      <c r="P4235" s="1427">
        <f t="shared" si="643"/>
        <v>0</v>
      </c>
    </row>
    <row r="4236" spans="1:16" ht="46.5" outlineLevel="1" x14ac:dyDescent="0.25">
      <c r="A4236" s="1482" t="str">
        <f t="shared" si="639"/>
        <v>HO
DPR 5.3b</v>
      </c>
      <c r="B4236" s="1483" t="str">
        <f t="shared" si="639"/>
        <v>CSTPS (U-5/6/7, 500 MW, 11Nos)</v>
      </c>
      <c r="C4236" s="1482" t="str">
        <f t="shared" si="639"/>
        <v>MERC/TECH 1/CAPEX/20142015/01218</v>
      </c>
      <c r="D4236" s="1390">
        <f t="shared" si="639"/>
        <v>41968</v>
      </c>
      <c r="E4236" s="560">
        <f t="shared" si="639"/>
        <v>11.25</v>
      </c>
      <c r="F4236" s="1508">
        <f t="shared" si="640"/>
        <v>5.7542039999999997</v>
      </c>
      <c r="G4236" s="1508">
        <f t="shared" si="641"/>
        <v>5.7542039999999997</v>
      </c>
      <c r="H4236" s="1508">
        <f t="shared" si="636"/>
        <v>0</v>
      </c>
      <c r="I4236" s="1480">
        <v>0</v>
      </c>
      <c r="J4236" s="1480">
        <v>0</v>
      </c>
      <c r="K4236" s="1508"/>
      <c r="L4236" s="1508"/>
      <c r="M4236" s="1509">
        <f t="shared" si="637"/>
        <v>0</v>
      </c>
      <c r="N4236" s="1508">
        <f t="shared" si="638"/>
        <v>0</v>
      </c>
      <c r="O4236" s="1481">
        <f t="shared" si="642"/>
        <v>0</v>
      </c>
      <c r="P4236" s="1427">
        <f t="shared" si="643"/>
        <v>0</v>
      </c>
    </row>
    <row r="4237" spans="1:16" ht="46.5" outlineLevel="1" x14ac:dyDescent="0.25">
      <c r="A4237" s="1477" t="str">
        <f t="shared" si="639"/>
        <v>HO
DPR 6</v>
      </c>
      <c r="B4237" s="1478" t="str">
        <f t="shared" si="639"/>
        <v>Supply, Installation, Commissioning and Operation &amp; Maintenance Services of Continuous Ambient Air Quality Monitoring Stations (CAAQMS) at various TPS</v>
      </c>
      <c r="C4237" s="1477" t="str">
        <f t="shared" si="639"/>
        <v>MERC/CAPEX/20162017/00423</v>
      </c>
      <c r="D4237" s="1479">
        <f t="shared" si="639"/>
        <v>42585</v>
      </c>
      <c r="E4237" s="1383">
        <f t="shared" si="639"/>
        <v>1.3257526714285714</v>
      </c>
      <c r="F4237" s="1480">
        <f t="shared" si="640"/>
        <v>0</v>
      </c>
      <c r="G4237" s="1480">
        <f t="shared" si="641"/>
        <v>0</v>
      </c>
      <c r="H4237" s="1480">
        <f t="shared" si="636"/>
        <v>0</v>
      </c>
      <c r="I4237" s="1480">
        <v>0</v>
      </c>
      <c r="J4237" s="1480">
        <v>0</v>
      </c>
      <c r="K4237" s="1480"/>
      <c r="L4237" s="1480"/>
      <c r="M4237" s="1480">
        <f t="shared" si="637"/>
        <v>0</v>
      </c>
      <c r="N4237" s="1480">
        <f t="shared" si="638"/>
        <v>0</v>
      </c>
      <c r="O4237" s="1481">
        <f t="shared" si="642"/>
        <v>0</v>
      </c>
      <c r="P4237" s="1427">
        <f t="shared" si="643"/>
        <v>0</v>
      </c>
    </row>
    <row r="4238" spans="1:16" ht="31" outlineLevel="1" x14ac:dyDescent="0.25">
      <c r="A4238" s="1482" t="str">
        <f t="shared" ref="A4238:E4253" si="644">A3568</f>
        <v>HO
DPR 6.1</v>
      </c>
      <c r="B4238" s="1483" t="str">
        <f t="shared" si="644"/>
        <v>CSTPS (U-1 to 7) ( 1 Nos.)</v>
      </c>
      <c r="C4238" s="1482" t="str">
        <f t="shared" si="644"/>
        <v>MERC/CAPEX/20162017/00423</v>
      </c>
      <c r="D4238" s="1390">
        <f t="shared" si="644"/>
        <v>42585</v>
      </c>
      <c r="E4238" s="560">
        <f t="shared" si="644"/>
        <v>1.3257526714285714</v>
      </c>
      <c r="F4238" s="1508">
        <f t="shared" si="640"/>
        <v>0</v>
      </c>
      <c r="G4238" s="1508">
        <f t="shared" si="641"/>
        <v>0</v>
      </c>
      <c r="H4238" s="1508">
        <f t="shared" si="636"/>
        <v>0</v>
      </c>
      <c r="I4238" s="1480">
        <v>0</v>
      </c>
      <c r="J4238" s="1480">
        <v>0</v>
      </c>
      <c r="K4238" s="1508"/>
      <c r="L4238" s="1508"/>
      <c r="M4238" s="1509">
        <f t="shared" si="637"/>
        <v>0</v>
      </c>
      <c r="N4238" s="1508">
        <f t="shared" si="638"/>
        <v>0</v>
      </c>
      <c r="O4238" s="1481">
        <f t="shared" si="642"/>
        <v>0</v>
      </c>
      <c r="P4238" s="1427">
        <f t="shared" si="643"/>
        <v>0</v>
      </c>
    </row>
    <row r="4239" spans="1:16" ht="31" outlineLevel="1" x14ac:dyDescent="0.25">
      <c r="A4239" s="1486" t="str">
        <f t="shared" si="644"/>
        <v>HO
DPR 7</v>
      </c>
      <c r="B4239" s="1491" t="str">
        <f t="shared" si="644"/>
        <v>Installation of Real Time Online Coal-Ash Analyzer at various TPS</v>
      </c>
      <c r="C4239" s="1477" t="str">
        <f t="shared" si="644"/>
        <v>MERC/CAPEX/20162017/00774</v>
      </c>
      <c r="D4239" s="1479">
        <f t="shared" si="644"/>
        <v>42643</v>
      </c>
      <c r="E4239" s="1383">
        <f t="shared" si="644"/>
        <v>7.0965999999999996</v>
      </c>
      <c r="F4239" s="1480">
        <f t="shared" si="640"/>
        <v>0</v>
      </c>
      <c r="G4239" s="1480">
        <f t="shared" si="641"/>
        <v>0</v>
      </c>
      <c r="H4239" s="1480">
        <f t="shared" si="636"/>
        <v>0</v>
      </c>
      <c r="I4239" s="1480">
        <v>0</v>
      </c>
      <c r="J4239" s="1480">
        <v>0</v>
      </c>
      <c r="K4239" s="1480"/>
      <c r="L4239" s="1480"/>
      <c r="M4239" s="1480">
        <f t="shared" si="637"/>
        <v>0</v>
      </c>
      <c r="N4239" s="1480">
        <f t="shared" si="638"/>
        <v>0</v>
      </c>
      <c r="O4239" s="1481">
        <f t="shared" si="642"/>
        <v>0</v>
      </c>
      <c r="P4239" s="1427">
        <f t="shared" si="643"/>
        <v>0</v>
      </c>
    </row>
    <row r="4240" spans="1:16" ht="31" outlineLevel="1" x14ac:dyDescent="0.25">
      <c r="A4240" s="1488" t="str">
        <f t="shared" si="644"/>
        <v>HO
DPR 7.1</v>
      </c>
      <c r="B4240" s="1492" t="str">
        <f t="shared" si="644"/>
        <v>Chandrapur STPS</v>
      </c>
      <c r="C4240" s="1482" t="str">
        <f t="shared" si="644"/>
        <v>MERC/CAPEX/20162017/00774</v>
      </c>
      <c r="D4240" s="1390">
        <f t="shared" si="644"/>
        <v>42643</v>
      </c>
      <c r="E4240" s="560">
        <f t="shared" si="644"/>
        <v>7.0965999999999996</v>
      </c>
      <c r="F4240" s="1508">
        <f t="shared" si="640"/>
        <v>7.0965999999999996</v>
      </c>
      <c r="G4240" s="1508">
        <f t="shared" si="641"/>
        <v>7.0965999999999996</v>
      </c>
      <c r="H4240" s="1508">
        <f t="shared" si="636"/>
        <v>0</v>
      </c>
      <c r="I4240" s="1480">
        <v>0</v>
      </c>
      <c r="J4240" s="1480">
        <v>0</v>
      </c>
      <c r="K4240" s="1508"/>
      <c r="L4240" s="1508"/>
      <c r="M4240" s="1509">
        <f t="shared" si="637"/>
        <v>0</v>
      </c>
      <c r="N4240" s="1508">
        <f t="shared" si="638"/>
        <v>0</v>
      </c>
      <c r="O4240" s="1481">
        <f t="shared" si="642"/>
        <v>0</v>
      </c>
      <c r="P4240" s="1427">
        <f t="shared" si="643"/>
        <v>0</v>
      </c>
    </row>
    <row r="4241" spans="1:16" ht="31" outlineLevel="1" x14ac:dyDescent="0.25">
      <c r="A4241" s="1489" t="str">
        <f t="shared" si="644"/>
        <v>HO
DPR 8</v>
      </c>
      <c r="B4241" s="1490" t="str">
        <f t="shared" si="644"/>
        <v>Replacement of Fire Tenders at Various Power Stations of Mahagenco</v>
      </c>
      <c r="C4241" s="1477" t="str">
        <f t="shared" si="644"/>
        <v>MERC/CAPEX/20172018/4653</v>
      </c>
      <c r="D4241" s="1479">
        <f t="shared" si="644"/>
        <v>43052</v>
      </c>
      <c r="E4241" s="1383">
        <f t="shared" si="644"/>
        <v>4.1500000000000004</v>
      </c>
      <c r="F4241" s="1480">
        <f t="shared" si="640"/>
        <v>0</v>
      </c>
      <c r="G4241" s="1480">
        <f t="shared" si="641"/>
        <v>0</v>
      </c>
      <c r="H4241" s="1480">
        <f t="shared" si="636"/>
        <v>0</v>
      </c>
      <c r="I4241" s="1480">
        <v>0</v>
      </c>
      <c r="J4241" s="1480">
        <v>0</v>
      </c>
      <c r="K4241" s="1480"/>
      <c r="L4241" s="1480"/>
      <c r="M4241" s="1480">
        <f t="shared" si="637"/>
        <v>0</v>
      </c>
      <c r="N4241" s="1480">
        <f t="shared" si="638"/>
        <v>0</v>
      </c>
      <c r="O4241" s="1481">
        <f t="shared" si="642"/>
        <v>0</v>
      </c>
      <c r="P4241" s="1427">
        <f t="shared" si="643"/>
        <v>0</v>
      </c>
    </row>
    <row r="4242" spans="1:16" ht="31" outlineLevel="1" x14ac:dyDescent="0.25">
      <c r="A4242" s="1484" t="str">
        <f t="shared" si="644"/>
        <v>HO
DPR 8.1</v>
      </c>
      <c r="B4242" s="1485" t="str">
        <f t="shared" si="644"/>
        <v>Advance Multipurpose Fire Tender for CSTPS</v>
      </c>
      <c r="C4242" s="1482" t="str">
        <f t="shared" si="644"/>
        <v>MERC/CAPEX/20172018/4653</v>
      </c>
      <c r="D4242" s="1390">
        <f t="shared" si="644"/>
        <v>43052</v>
      </c>
      <c r="E4242" s="560">
        <f t="shared" si="644"/>
        <v>2.9</v>
      </c>
      <c r="F4242" s="1508">
        <f t="shared" si="640"/>
        <v>0.26772339999999994</v>
      </c>
      <c r="G4242" s="1508">
        <f t="shared" si="641"/>
        <v>0.2677234</v>
      </c>
      <c r="H4242" s="1508">
        <f t="shared" si="636"/>
        <v>0</v>
      </c>
      <c r="I4242" s="1480">
        <v>0</v>
      </c>
      <c r="J4242" s="1480">
        <v>0</v>
      </c>
      <c r="K4242" s="1508"/>
      <c r="L4242" s="1508"/>
      <c r="M4242" s="1509">
        <f t="shared" si="637"/>
        <v>0</v>
      </c>
      <c r="N4242" s="1508">
        <f t="shared" si="638"/>
        <v>0</v>
      </c>
      <c r="O4242" s="1481">
        <f t="shared" si="642"/>
        <v>0</v>
      </c>
      <c r="P4242" s="1427">
        <f t="shared" si="643"/>
        <v>0</v>
      </c>
    </row>
    <row r="4243" spans="1:16" ht="31" outlineLevel="1" x14ac:dyDescent="0.25">
      <c r="A4243" s="1484" t="str">
        <f t="shared" si="644"/>
        <v>HO
DPR 8.2</v>
      </c>
      <c r="B4243" s="1485" t="str">
        <f t="shared" si="644"/>
        <v>Normal Multipurpose Fire Tender for CSTPS</v>
      </c>
      <c r="C4243" s="1482" t="str">
        <f t="shared" si="644"/>
        <v>MERC/CAPEX/20172018/4653</v>
      </c>
      <c r="D4243" s="1390">
        <f t="shared" si="644"/>
        <v>43052</v>
      </c>
      <c r="E4243" s="560">
        <f t="shared" si="644"/>
        <v>1.25</v>
      </c>
      <c r="F4243" s="1508">
        <f t="shared" si="640"/>
        <v>2.1846524010000001</v>
      </c>
      <c r="G4243" s="1508">
        <f t="shared" si="641"/>
        <v>2.1846524010000001</v>
      </c>
      <c r="H4243" s="1508">
        <f t="shared" si="636"/>
        <v>0</v>
      </c>
      <c r="I4243" s="1480">
        <v>0</v>
      </c>
      <c r="J4243" s="1480">
        <v>0</v>
      </c>
      <c r="K4243" s="1508"/>
      <c r="L4243" s="1508"/>
      <c r="M4243" s="1509">
        <f t="shared" si="637"/>
        <v>0</v>
      </c>
      <c r="N4243" s="1508">
        <f t="shared" si="638"/>
        <v>0</v>
      </c>
      <c r="O4243" s="1481">
        <f t="shared" si="642"/>
        <v>0</v>
      </c>
      <c r="P4243" s="1427">
        <f t="shared" si="643"/>
        <v>0</v>
      </c>
    </row>
    <row r="4244" spans="1:16" ht="15.5" outlineLevel="1" x14ac:dyDescent="0.25">
      <c r="A4244" s="1484">
        <f t="shared" si="644"/>
        <v>0</v>
      </c>
      <c r="B4244" s="1485" t="str">
        <f t="shared" si="644"/>
        <v>IDC</v>
      </c>
      <c r="C4244" s="1482" t="str">
        <f t="shared" si="644"/>
        <v>MERC/CAPEX/20172018/4653</v>
      </c>
      <c r="D4244" s="1390">
        <f t="shared" si="644"/>
        <v>43052</v>
      </c>
      <c r="E4244" s="560">
        <f t="shared" si="644"/>
        <v>0</v>
      </c>
      <c r="F4244" s="1508">
        <f t="shared" si="640"/>
        <v>0</v>
      </c>
      <c r="G4244" s="1508">
        <f t="shared" si="641"/>
        <v>0</v>
      </c>
      <c r="H4244" s="1508">
        <f t="shared" si="636"/>
        <v>0</v>
      </c>
      <c r="I4244" s="1480">
        <v>0</v>
      </c>
      <c r="J4244" s="1480">
        <v>0</v>
      </c>
      <c r="K4244" s="1508"/>
      <c r="L4244" s="1508"/>
      <c r="M4244" s="1509">
        <f t="shared" si="637"/>
        <v>0</v>
      </c>
      <c r="N4244" s="1508">
        <f t="shared" si="638"/>
        <v>0</v>
      </c>
      <c r="O4244" s="1481">
        <f t="shared" si="642"/>
        <v>0</v>
      </c>
      <c r="P4244" s="1427">
        <f t="shared" si="643"/>
        <v>0</v>
      </c>
    </row>
    <row r="4245" spans="1:16" ht="31" outlineLevel="1" x14ac:dyDescent="0.25">
      <c r="A4245" s="1489" t="str">
        <f t="shared" si="644"/>
        <v>HO
DPR 10</v>
      </c>
      <c r="B4245" s="1490" t="str">
        <f t="shared" si="644"/>
        <v>Implementation of IB recommendations- Civil works at various TPS of Mahagenco</v>
      </c>
      <c r="C4245" s="1486" t="str">
        <f t="shared" si="644"/>
        <v>MERC/CAPEX/20172018/0177</v>
      </c>
      <c r="D4245" s="1487">
        <f t="shared" si="644"/>
        <v>43137</v>
      </c>
      <c r="E4245" s="1383">
        <f t="shared" si="644"/>
        <v>9.0741999999999994</v>
      </c>
      <c r="F4245" s="1480">
        <f t="shared" si="640"/>
        <v>0</v>
      </c>
      <c r="G4245" s="1480">
        <f t="shared" si="641"/>
        <v>0</v>
      </c>
      <c r="H4245" s="1480">
        <f t="shared" si="636"/>
        <v>0</v>
      </c>
      <c r="I4245" s="1480">
        <v>0</v>
      </c>
      <c r="J4245" s="1480">
        <v>0</v>
      </c>
      <c r="K4245" s="1480"/>
      <c r="L4245" s="1480"/>
      <c r="M4245" s="1480">
        <f t="shared" si="637"/>
        <v>0</v>
      </c>
      <c r="N4245" s="1480">
        <f t="shared" si="638"/>
        <v>0</v>
      </c>
      <c r="O4245" s="1481">
        <f t="shared" si="642"/>
        <v>0</v>
      </c>
      <c r="P4245" s="1427">
        <f t="shared" si="643"/>
        <v>0</v>
      </c>
    </row>
    <row r="4246" spans="1:16" ht="46.5" outlineLevel="1" x14ac:dyDescent="0.25">
      <c r="A4246" s="1484" t="str">
        <f t="shared" si="644"/>
        <v>HO
DPR 10.1</v>
      </c>
      <c r="B4246" s="1485" t="str">
        <f t="shared" si="644"/>
        <v>CSTPS Chandrapur</v>
      </c>
      <c r="C4246" s="1488" t="str">
        <f t="shared" si="644"/>
        <v>MERC/CAPEX/20172018/0177</v>
      </c>
      <c r="D4246" s="1413">
        <f t="shared" si="644"/>
        <v>43137</v>
      </c>
      <c r="E4246" s="560">
        <f t="shared" si="644"/>
        <v>9.0741999999999994</v>
      </c>
      <c r="F4246" s="1508">
        <f t="shared" si="640"/>
        <v>9.6122519690000008</v>
      </c>
      <c r="G4246" s="1508">
        <f t="shared" si="641"/>
        <v>9.6122519690000008</v>
      </c>
      <c r="H4246" s="1508">
        <f t="shared" si="636"/>
        <v>0</v>
      </c>
      <c r="I4246" s="1480">
        <v>0</v>
      </c>
      <c r="J4246" s="1480">
        <v>0</v>
      </c>
      <c r="K4246" s="1508"/>
      <c r="L4246" s="1508"/>
      <c r="M4246" s="1509">
        <f t="shared" si="637"/>
        <v>0</v>
      </c>
      <c r="N4246" s="1508">
        <f t="shared" si="638"/>
        <v>0</v>
      </c>
      <c r="O4246" s="1481">
        <f t="shared" si="642"/>
        <v>0</v>
      </c>
      <c r="P4246" s="1427">
        <f t="shared" si="643"/>
        <v>0</v>
      </c>
    </row>
    <row r="4247" spans="1:16" ht="31" outlineLevel="1" x14ac:dyDescent="0.25">
      <c r="A4247" s="1489" t="str">
        <f t="shared" si="644"/>
        <v>HO
DPR 15</v>
      </c>
      <c r="B4247" s="1490" t="str">
        <f t="shared" si="644"/>
        <v>Procurement &amp; Replacement of Complete Sets of Air Pre-heater Baskets at Nashik, Parli &amp; Chandrapur TPS of Mahagenco</v>
      </c>
      <c r="C4247" s="1477" t="str">
        <f t="shared" si="644"/>
        <v>MERC/CAPEX/2019-2020/643</v>
      </c>
      <c r="D4247" s="1479">
        <f t="shared" si="644"/>
        <v>43703</v>
      </c>
      <c r="E4247" s="1383">
        <f t="shared" si="644"/>
        <v>11.13</v>
      </c>
      <c r="F4247" s="1480">
        <f t="shared" si="640"/>
        <v>0</v>
      </c>
      <c r="G4247" s="1480">
        <f t="shared" si="641"/>
        <v>0</v>
      </c>
      <c r="H4247" s="1480">
        <f t="shared" si="636"/>
        <v>0</v>
      </c>
      <c r="I4247" s="1480">
        <v>0</v>
      </c>
      <c r="J4247" s="1480">
        <v>0</v>
      </c>
      <c r="K4247" s="1480"/>
      <c r="L4247" s="1480"/>
      <c r="M4247" s="1480">
        <f t="shared" si="637"/>
        <v>0</v>
      </c>
      <c r="N4247" s="1480">
        <f t="shared" si="638"/>
        <v>0</v>
      </c>
      <c r="O4247" s="1481">
        <f t="shared" si="642"/>
        <v>0</v>
      </c>
      <c r="P4247" s="1427">
        <f t="shared" si="643"/>
        <v>0</v>
      </c>
    </row>
    <row r="4248" spans="1:16" ht="46.5" outlineLevel="1" x14ac:dyDescent="0.25">
      <c r="A4248" s="1484" t="str">
        <f t="shared" si="644"/>
        <v>HO
DPR 15.2</v>
      </c>
      <c r="B4248" s="1485" t="str">
        <f t="shared" si="644"/>
        <v>Procurement of Complete set of assembly of baskets for air preheater of type tri-sector APH in27 VI(T) 80”CSTPS unit No-4 (210MW). (2 Sets Per Unit)</v>
      </c>
      <c r="C4248" s="1482" t="str">
        <f t="shared" si="644"/>
        <v>MERC/CAPEX/2019-2020/643</v>
      </c>
      <c r="D4248" s="1390">
        <f t="shared" si="644"/>
        <v>43703</v>
      </c>
      <c r="E4248" s="560">
        <f t="shared" si="644"/>
        <v>1.73</v>
      </c>
      <c r="F4248" s="1508">
        <f t="shared" si="640"/>
        <v>1.6959658</v>
      </c>
      <c r="G4248" s="1508">
        <f t="shared" si="641"/>
        <v>1.6959658</v>
      </c>
      <c r="H4248" s="1508">
        <f t="shared" si="636"/>
        <v>0</v>
      </c>
      <c r="I4248" s="1480">
        <v>0</v>
      </c>
      <c r="J4248" s="1480">
        <v>0</v>
      </c>
      <c r="K4248" s="1508"/>
      <c r="L4248" s="1508"/>
      <c r="M4248" s="1509">
        <f t="shared" si="637"/>
        <v>0</v>
      </c>
      <c r="N4248" s="1508">
        <f t="shared" si="638"/>
        <v>0</v>
      </c>
      <c r="O4248" s="1481">
        <f t="shared" si="642"/>
        <v>0</v>
      </c>
      <c r="P4248" s="1427">
        <f t="shared" si="643"/>
        <v>0</v>
      </c>
    </row>
    <row r="4249" spans="1:16" ht="46.5" outlineLevel="1" x14ac:dyDescent="0.25">
      <c r="A4249" s="1484" t="str">
        <f t="shared" si="644"/>
        <v>HO
DPR 15.4</v>
      </c>
      <c r="B4249" s="1485" t="str">
        <f t="shared" si="644"/>
        <v>Procurement of Complete set of assembly of baskets for air preheater of type bi-sector APH “BI-SECTOR 27VI 1250(1400)”in CSTPS unit no. 5 &amp; 6 (500MW). (4 Sets Per Unit)</v>
      </c>
      <c r="C4249" s="1482" t="str">
        <f t="shared" si="644"/>
        <v>MERC/CAPEX/2019-2020/643</v>
      </c>
      <c r="D4249" s="1390">
        <f t="shared" si="644"/>
        <v>43703</v>
      </c>
      <c r="E4249" s="560">
        <f t="shared" si="644"/>
        <v>9.4</v>
      </c>
      <c r="F4249" s="1508">
        <f t="shared" si="640"/>
        <v>8.9105042999999995</v>
      </c>
      <c r="G4249" s="1508">
        <f t="shared" si="641"/>
        <v>8.9105042999999995</v>
      </c>
      <c r="H4249" s="1508">
        <f t="shared" si="636"/>
        <v>0</v>
      </c>
      <c r="I4249" s="1480">
        <v>0</v>
      </c>
      <c r="J4249" s="1480">
        <v>0</v>
      </c>
      <c r="K4249" s="1508"/>
      <c r="L4249" s="1508"/>
      <c r="M4249" s="1509">
        <f t="shared" si="637"/>
        <v>0</v>
      </c>
      <c r="N4249" s="1508">
        <f t="shared" si="638"/>
        <v>0</v>
      </c>
      <c r="O4249" s="1481">
        <f t="shared" si="642"/>
        <v>0</v>
      </c>
      <c r="P4249" s="1427">
        <f t="shared" si="643"/>
        <v>0</v>
      </c>
    </row>
    <row r="4250" spans="1:16" ht="15.5" outlineLevel="1" x14ac:dyDescent="0.25">
      <c r="A4250" s="1484">
        <f t="shared" si="644"/>
        <v>0</v>
      </c>
      <c r="B4250" s="1485" t="str">
        <f t="shared" si="644"/>
        <v>IDC</v>
      </c>
      <c r="C4250" s="1482" t="str">
        <f t="shared" si="644"/>
        <v>MERC/CAPEX/2019-2020/643</v>
      </c>
      <c r="D4250" s="1390">
        <f t="shared" si="644"/>
        <v>43703</v>
      </c>
      <c r="E4250" s="560">
        <f t="shared" si="644"/>
        <v>0</v>
      </c>
      <c r="F4250" s="1508">
        <f t="shared" si="640"/>
        <v>0</v>
      </c>
      <c r="G4250" s="1508">
        <f t="shared" si="641"/>
        <v>0</v>
      </c>
      <c r="H4250" s="1508">
        <f t="shared" si="636"/>
        <v>0</v>
      </c>
      <c r="I4250" s="1480">
        <v>0</v>
      </c>
      <c r="J4250" s="1480">
        <v>0</v>
      </c>
      <c r="K4250" s="1508"/>
      <c r="L4250" s="1508"/>
      <c r="M4250" s="1509">
        <f t="shared" si="637"/>
        <v>0</v>
      </c>
      <c r="N4250" s="1508">
        <f t="shared" si="638"/>
        <v>0</v>
      </c>
      <c r="O4250" s="1481">
        <f t="shared" si="642"/>
        <v>0</v>
      </c>
      <c r="P4250" s="1427">
        <f t="shared" si="643"/>
        <v>0</v>
      </c>
    </row>
    <row r="4251" spans="1:16" ht="31" outlineLevel="1" x14ac:dyDescent="0.25">
      <c r="A4251" s="1489" t="str">
        <f t="shared" si="644"/>
        <v>HO
DPR 16</v>
      </c>
      <c r="B4251" s="1490" t="str">
        <f t="shared" si="644"/>
        <v>Implementation of Water Flow Monitoring system at Chandrapur STPS &amp; Khaperkheda TPS</v>
      </c>
      <c r="C4251" s="1486" t="str">
        <f t="shared" si="644"/>
        <v>MERC/CAPEX/2020-2021/WFH/SBR/37</v>
      </c>
      <c r="D4251" s="1487">
        <f t="shared" si="644"/>
        <v>44131</v>
      </c>
      <c r="E4251" s="1383">
        <f t="shared" si="644"/>
        <v>3.7552319999999999</v>
      </c>
      <c r="F4251" s="1480">
        <f t="shared" si="640"/>
        <v>0</v>
      </c>
      <c r="G4251" s="1480">
        <f t="shared" si="641"/>
        <v>0</v>
      </c>
      <c r="H4251" s="1480">
        <f t="shared" si="636"/>
        <v>0</v>
      </c>
      <c r="I4251" s="1480">
        <v>0</v>
      </c>
      <c r="J4251" s="1480">
        <v>0</v>
      </c>
      <c r="K4251" s="1480"/>
      <c r="L4251" s="1480"/>
      <c r="M4251" s="1480">
        <f t="shared" si="637"/>
        <v>0</v>
      </c>
      <c r="N4251" s="1480">
        <f t="shared" si="638"/>
        <v>0</v>
      </c>
      <c r="O4251" s="1481">
        <f t="shared" si="642"/>
        <v>0</v>
      </c>
      <c r="P4251" s="1427">
        <f t="shared" si="643"/>
        <v>0</v>
      </c>
    </row>
    <row r="4252" spans="1:16" ht="46.5" outlineLevel="1" x14ac:dyDescent="0.25">
      <c r="A4252" s="1484" t="str">
        <f t="shared" si="644"/>
        <v>HO
DPR 16.1</v>
      </c>
      <c r="B4252" s="1485" t="str">
        <f t="shared" si="644"/>
        <v>Electromagnetic Flow meters at various lines &amp; Locations of CSTPS unit-3 to 7</v>
      </c>
      <c r="C4252" s="1488" t="str">
        <f t="shared" si="644"/>
        <v>MERC/CAPEX/2020-2021/WFH/SBR/37</v>
      </c>
      <c r="D4252" s="1413">
        <f t="shared" si="644"/>
        <v>44131</v>
      </c>
      <c r="E4252" s="560">
        <f t="shared" si="644"/>
        <v>2.912712</v>
      </c>
      <c r="F4252" s="1508">
        <f t="shared" si="640"/>
        <v>2.8883319000000003</v>
      </c>
      <c r="G4252" s="1508">
        <f t="shared" si="641"/>
        <v>2.8883319000000003</v>
      </c>
      <c r="H4252" s="1508">
        <f t="shared" si="636"/>
        <v>0</v>
      </c>
      <c r="I4252" s="1480">
        <v>0</v>
      </c>
      <c r="J4252" s="1480">
        <v>0</v>
      </c>
      <c r="K4252" s="1508"/>
      <c r="L4252" s="1508"/>
      <c r="M4252" s="1509">
        <f t="shared" si="637"/>
        <v>0</v>
      </c>
      <c r="N4252" s="1508">
        <f t="shared" si="638"/>
        <v>0</v>
      </c>
      <c r="O4252" s="1481">
        <f t="shared" si="642"/>
        <v>0</v>
      </c>
      <c r="P4252" s="1427">
        <f t="shared" si="643"/>
        <v>0</v>
      </c>
    </row>
    <row r="4253" spans="1:16" ht="62" outlineLevel="1" x14ac:dyDescent="0.25">
      <c r="A4253" s="1484" t="str">
        <f t="shared" si="644"/>
        <v>HO
DPR 16.2</v>
      </c>
      <c r="B4253" s="1485" t="str">
        <f t="shared" si="644"/>
        <v xml:space="preserve">Automation: Centralized SCADA, RTU, MODBUS Cable, Power cable &amp; Operation &amp; Maintenance for 1 Year &amp; mandatory spares
</v>
      </c>
      <c r="C4253" s="1488" t="str">
        <f t="shared" si="644"/>
        <v>MERC/CAPEX/2020-2021/WFH/SBR/37</v>
      </c>
      <c r="D4253" s="1413">
        <f t="shared" si="644"/>
        <v>44131</v>
      </c>
      <c r="E4253" s="560">
        <f t="shared" si="644"/>
        <v>0.84251999999999994</v>
      </c>
      <c r="F4253" s="1508">
        <f t="shared" si="640"/>
        <v>0.84251999999999994</v>
      </c>
      <c r="G4253" s="1508">
        <f t="shared" si="641"/>
        <v>0.84251999999999994</v>
      </c>
      <c r="H4253" s="1508">
        <f t="shared" si="636"/>
        <v>0</v>
      </c>
      <c r="I4253" s="1480">
        <v>0</v>
      </c>
      <c r="J4253" s="1480">
        <v>0</v>
      </c>
      <c r="K4253" s="1508"/>
      <c r="L4253" s="1508"/>
      <c r="M4253" s="1509">
        <f t="shared" si="637"/>
        <v>0</v>
      </c>
      <c r="N4253" s="1508">
        <f t="shared" si="638"/>
        <v>0</v>
      </c>
      <c r="O4253" s="1481">
        <f t="shared" si="642"/>
        <v>0</v>
      </c>
      <c r="P4253" s="1427">
        <f t="shared" si="643"/>
        <v>0</v>
      </c>
    </row>
    <row r="4254" spans="1:16" ht="31" outlineLevel="1" x14ac:dyDescent="0.25">
      <c r="A4254" s="1484">
        <f t="shared" ref="A4254:E4269" si="645">A3584</f>
        <v>0</v>
      </c>
      <c r="B4254" s="1485" t="str">
        <f t="shared" si="645"/>
        <v>IDC</v>
      </c>
      <c r="C4254" s="1482" t="str">
        <f t="shared" si="645"/>
        <v>MERC/CAPEX/2020-2021/WFH/SBR/37</v>
      </c>
      <c r="D4254" s="1390">
        <f t="shared" si="645"/>
        <v>44131</v>
      </c>
      <c r="E4254" s="560">
        <f t="shared" si="645"/>
        <v>0</v>
      </c>
      <c r="F4254" s="1508">
        <f t="shared" si="640"/>
        <v>0</v>
      </c>
      <c r="G4254" s="1508">
        <f t="shared" si="641"/>
        <v>0</v>
      </c>
      <c r="H4254" s="1508">
        <f t="shared" si="636"/>
        <v>0</v>
      </c>
      <c r="I4254" s="1480">
        <v>0</v>
      </c>
      <c r="J4254" s="1480">
        <v>0</v>
      </c>
      <c r="K4254" s="1508"/>
      <c r="L4254" s="1508"/>
      <c r="M4254" s="1509">
        <f t="shared" si="637"/>
        <v>0</v>
      </c>
      <c r="N4254" s="1508">
        <f t="shared" si="638"/>
        <v>0</v>
      </c>
      <c r="O4254" s="1481">
        <f t="shared" si="642"/>
        <v>0</v>
      </c>
      <c r="P4254" s="1427">
        <f t="shared" si="643"/>
        <v>0</v>
      </c>
    </row>
    <row r="4255" spans="1:16" ht="46.5" outlineLevel="1" x14ac:dyDescent="0.25">
      <c r="A4255" s="1489">
        <f t="shared" si="645"/>
        <v>40</v>
      </c>
      <c r="B4255" s="1490" t="str">
        <f t="shared" si="645"/>
        <v>Procurement of Condensate Extraction Pump for 500MW Unit-5, 6 &amp; 7 And Supply &amp; Replacement of complete PVC Fills of cell of cooling tower of Unit-7 in ODP-II at CSTPS, Chandrapur</v>
      </c>
      <c r="C4255" s="1486" t="str">
        <f t="shared" si="645"/>
        <v>MERC/CAPEX/2021-2022/ WFH/SBR/ 10</v>
      </c>
      <c r="D4255" s="1487">
        <f t="shared" si="645"/>
        <v>44357</v>
      </c>
      <c r="E4255" s="1383">
        <f t="shared" si="645"/>
        <v>10.89</v>
      </c>
      <c r="F4255" s="1480">
        <f t="shared" si="640"/>
        <v>0</v>
      </c>
      <c r="G4255" s="1480">
        <f t="shared" si="641"/>
        <v>0</v>
      </c>
      <c r="H4255" s="1480">
        <f t="shared" si="636"/>
        <v>0</v>
      </c>
      <c r="I4255" s="1480">
        <v>0</v>
      </c>
      <c r="J4255" s="1480">
        <v>0</v>
      </c>
      <c r="K4255" s="1480"/>
      <c r="L4255" s="1480"/>
      <c r="M4255" s="1480">
        <f t="shared" si="637"/>
        <v>0</v>
      </c>
      <c r="N4255" s="1480">
        <f t="shared" si="638"/>
        <v>0</v>
      </c>
      <c r="O4255" s="1481">
        <f t="shared" si="642"/>
        <v>0</v>
      </c>
      <c r="P4255" s="1427">
        <f t="shared" si="643"/>
        <v>0</v>
      </c>
    </row>
    <row r="4256" spans="1:16" ht="46.5" outlineLevel="1" x14ac:dyDescent="0.25">
      <c r="A4256" s="1484">
        <f t="shared" si="645"/>
        <v>40.1</v>
      </c>
      <c r="B4256" s="1485" t="str">
        <f t="shared" si="645"/>
        <v>Procurement of Condensate Extraction
Pump for 500MW Unit-5, 6 &amp; 7, CSTPS,
Chandrapur as insurance spare</v>
      </c>
      <c r="C4256" s="1488" t="str">
        <f t="shared" si="645"/>
        <v>MERC/CAPEX/2021-2022/ WFH/SBR/ 10</v>
      </c>
      <c r="D4256" s="1413">
        <f t="shared" si="645"/>
        <v>44357</v>
      </c>
      <c r="E4256" s="560">
        <f t="shared" si="645"/>
        <v>6.2</v>
      </c>
      <c r="F4256" s="1508">
        <f t="shared" si="640"/>
        <v>6.0121000000000002</v>
      </c>
      <c r="G4256" s="1508">
        <f t="shared" si="641"/>
        <v>6.0121000000000002</v>
      </c>
      <c r="H4256" s="1508">
        <f t="shared" si="636"/>
        <v>0</v>
      </c>
      <c r="I4256" s="1480">
        <v>0</v>
      </c>
      <c r="J4256" s="1480">
        <v>0</v>
      </c>
      <c r="K4256" s="1508"/>
      <c r="L4256" s="1508"/>
      <c r="M4256" s="1509">
        <f t="shared" si="637"/>
        <v>0</v>
      </c>
      <c r="N4256" s="1508">
        <f t="shared" si="638"/>
        <v>0</v>
      </c>
      <c r="O4256" s="1481">
        <f t="shared" si="642"/>
        <v>0</v>
      </c>
      <c r="P4256" s="1427">
        <f t="shared" si="643"/>
        <v>0</v>
      </c>
    </row>
    <row r="4257" spans="1:16" ht="46.5" outlineLevel="1" x14ac:dyDescent="0.25">
      <c r="A4257" s="1484">
        <f t="shared" si="645"/>
        <v>40.200000000000003</v>
      </c>
      <c r="B4257" s="1485" t="str">
        <f t="shared" si="645"/>
        <v>Supply and replacement of complete
PVC Fills of cell of cooling tower in Unit-
7</v>
      </c>
      <c r="C4257" s="1488" t="str">
        <f t="shared" si="645"/>
        <v>MERC/CAPEX/2021-2022/ WFH/SBR/ 10</v>
      </c>
      <c r="D4257" s="1413">
        <f t="shared" si="645"/>
        <v>44357</v>
      </c>
      <c r="E4257" s="560">
        <f t="shared" si="645"/>
        <v>4.3899999999999997</v>
      </c>
      <c r="F4257" s="1508">
        <f t="shared" si="640"/>
        <v>4.3293638999999997</v>
      </c>
      <c r="G4257" s="1508">
        <f t="shared" si="641"/>
        <v>4.3293638999999997</v>
      </c>
      <c r="H4257" s="1508">
        <f t="shared" si="636"/>
        <v>0</v>
      </c>
      <c r="I4257" s="1480">
        <v>0</v>
      </c>
      <c r="J4257" s="1480">
        <v>0</v>
      </c>
      <c r="K4257" s="1508"/>
      <c r="L4257" s="1508"/>
      <c r="M4257" s="1509">
        <f t="shared" si="637"/>
        <v>0</v>
      </c>
      <c r="N4257" s="1508">
        <f t="shared" si="638"/>
        <v>0</v>
      </c>
      <c r="O4257" s="1481">
        <f t="shared" si="642"/>
        <v>0</v>
      </c>
      <c r="P4257" s="1427">
        <f t="shared" si="643"/>
        <v>0</v>
      </c>
    </row>
    <row r="4258" spans="1:16" ht="31" outlineLevel="1" x14ac:dyDescent="0.25">
      <c r="A4258" s="1484">
        <f t="shared" si="645"/>
        <v>0</v>
      </c>
      <c r="B4258" s="1485" t="str">
        <f t="shared" si="645"/>
        <v>IDC</v>
      </c>
      <c r="C4258" s="1482" t="str">
        <f t="shared" si="645"/>
        <v>MERC/CAPEX/2021-2022/ WFH/SBR/ 10</v>
      </c>
      <c r="D4258" s="1390">
        <f t="shared" si="645"/>
        <v>44357</v>
      </c>
      <c r="E4258" s="560">
        <f t="shared" si="645"/>
        <v>0.3</v>
      </c>
      <c r="F4258" s="1508">
        <f t="shared" si="640"/>
        <v>0</v>
      </c>
      <c r="G4258" s="1508">
        <f t="shared" si="641"/>
        <v>0</v>
      </c>
      <c r="H4258" s="1508">
        <f t="shared" si="636"/>
        <v>0</v>
      </c>
      <c r="I4258" s="1480">
        <v>0</v>
      </c>
      <c r="J4258" s="1480">
        <v>0</v>
      </c>
      <c r="K4258" s="1508"/>
      <c r="L4258" s="1508"/>
      <c r="M4258" s="1509">
        <f t="shared" si="637"/>
        <v>0</v>
      </c>
      <c r="N4258" s="1508">
        <f t="shared" si="638"/>
        <v>0</v>
      </c>
      <c r="O4258" s="1481">
        <f t="shared" si="642"/>
        <v>0</v>
      </c>
      <c r="P4258" s="1427">
        <f t="shared" si="643"/>
        <v>0</v>
      </c>
    </row>
    <row r="4259" spans="1:16" ht="77.5" outlineLevel="1" x14ac:dyDescent="0.25">
      <c r="A4259" s="1489">
        <f t="shared" si="645"/>
        <v>41</v>
      </c>
      <c r="B4259" s="1490" t="str">
        <f t="shared" si="645"/>
        <v>Supply &amp; Commissioning of Advanced Microprocessor based Fast Bus Transfer panels; Up-gradation of Thyristor based 24V &amp; 220V DC battery chargers by SMPS Microprocessor based Battery Chargers at U-5,6 &amp;7
and Generator Protection scheme at U-7, at CSTPS, Chandrapur</v>
      </c>
      <c r="C4259" s="1486" t="str">
        <f t="shared" si="645"/>
        <v>MERC/CAPEX/2022-2023/0321</v>
      </c>
      <c r="D4259" s="1487">
        <f t="shared" si="645"/>
        <v>44760</v>
      </c>
      <c r="E4259" s="1383">
        <f t="shared" si="645"/>
        <v>14.06</v>
      </c>
      <c r="F4259" s="1480">
        <f t="shared" si="640"/>
        <v>0</v>
      </c>
      <c r="G4259" s="1480">
        <f t="shared" si="641"/>
        <v>0</v>
      </c>
      <c r="H4259" s="1480">
        <f t="shared" si="636"/>
        <v>0</v>
      </c>
      <c r="I4259" s="1480">
        <v>0</v>
      </c>
      <c r="J4259" s="1480">
        <v>0</v>
      </c>
      <c r="K4259" s="1480"/>
      <c r="L4259" s="1480"/>
      <c r="M4259" s="1480">
        <f t="shared" si="637"/>
        <v>0</v>
      </c>
      <c r="N4259" s="1480">
        <f t="shared" si="638"/>
        <v>0</v>
      </c>
      <c r="O4259" s="1481">
        <f t="shared" si="642"/>
        <v>0</v>
      </c>
      <c r="P4259" s="1427">
        <f t="shared" si="643"/>
        <v>0</v>
      </c>
    </row>
    <row r="4260" spans="1:16" ht="46.5" outlineLevel="1" x14ac:dyDescent="0.25">
      <c r="A4260" s="1484">
        <f t="shared" si="645"/>
        <v>41.1</v>
      </c>
      <c r="B4260" s="1485" t="str">
        <f t="shared" si="645"/>
        <v>Supply &amp; commissioning of Advanced Microprocessor based Fast Bus Transfer Panels for Unit#5,6,7, Stage-III, CSTPS, Chandrapur.</v>
      </c>
      <c r="C4260" s="1488" t="str">
        <f t="shared" si="645"/>
        <v>MERC/CAPEX/2022-2023/0321</v>
      </c>
      <c r="D4260" s="1413">
        <f t="shared" si="645"/>
        <v>44760</v>
      </c>
      <c r="E4260" s="560">
        <f t="shared" si="645"/>
        <v>6.08</v>
      </c>
      <c r="F4260" s="1508">
        <f t="shared" si="640"/>
        <v>6.0770239999999998</v>
      </c>
      <c r="G4260" s="1508">
        <f t="shared" si="641"/>
        <v>6.0770239999999998</v>
      </c>
      <c r="H4260" s="1508">
        <f t="shared" si="636"/>
        <v>0</v>
      </c>
      <c r="I4260" s="1480">
        <v>0</v>
      </c>
      <c r="J4260" s="1480">
        <v>0</v>
      </c>
      <c r="K4260" s="1508"/>
      <c r="L4260" s="1508"/>
      <c r="M4260" s="1509">
        <f t="shared" si="637"/>
        <v>0</v>
      </c>
      <c r="N4260" s="1508">
        <f t="shared" si="638"/>
        <v>0</v>
      </c>
      <c r="O4260" s="1481">
        <f t="shared" si="642"/>
        <v>0</v>
      </c>
      <c r="P4260" s="1427">
        <f t="shared" si="643"/>
        <v>0</v>
      </c>
    </row>
    <row r="4261" spans="1:16" ht="46.5" outlineLevel="1" x14ac:dyDescent="0.25">
      <c r="A4261" s="1484">
        <f t="shared" si="645"/>
        <v>41.2</v>
      </c>
      <c r="B4261" s="1485" t="str">
        <f t="shared" si="645"/>
        <v>Up-gradation of thyristor based 24V &amp; 220V DC Battery Chargers by SMPS Microprocessor based Battery Chargers at Stage-III, CSTPS, Chandrapur.</v>
      </c>
      <c r="C4261" s="1488" t="str">
        <f t="shared" si="645"/>
        <v>MERC/CAPEX/2022-2023/0321</v>
      </c>
      <c r="D4261" s="1413">
        <f t="shared" si="645"/>
        <v>44760</v>
      </c>
      <c r="E4261" s="560">
        <f t="shared" si="645"/>
        <v>5.28</v>
      </c>
      <c r="F4261" s="1508">
        <f t="shared" si="640"/>
        <v>5.28</v>
      </c>
      <c r="G4261" s="1508">
        <f t="shared" si="641"/>
        <v>5.28</v>
      </c>
      <c r="H4261" s="1508">
        <f t="shared" si="636"/>
        <v>0</v>
      </c>
      <c r="I4261" s="1480">
        <v>0</v>
      </c>
      <c r="J4261" s="1480">
        <v>0</v>
      </c>
      <c r="K4261" s="1508"/>
      <c r="L4261" s="1508"/>
      <c r="M4261" s="1509">
        <f t="shared" si="637"/>
        <v>0</v>
      </c>
      <c r="N4261" s="1508">
        <f t="shared" si="638"/>
        <v>0</v>
      </c>
      <c r="O4261" s="1481">
        <f t="shared" si="642"/>
        <v>0</v>
      </c>
      <c r="P4261" s="1427">
        <f t="shared" si="643"/>
        <v>0</v>
      </c>
    </row>
    <row r="4262" spans="1:16" ht="15.5" outlineLevel="1" x14ac:dyDescent="0.25">
      <c r="A4262" s="1484">
        <f t="shared" si="645"/>
        <v>41.3</v>
      </c>
      <c r="B4262" s="1485" t="str">
        <f t="shared" si="645"/>
        <v>Generator Protection Scheme U-7</v>
      </c>
      <c r="C4262" s="1488" t="str">
        <f t="shared" si="645"/>
        <v>MERC/CAPEX/2022-2023/0321</v>
      </c>
      <c r="D4262" s="1413">
        <f t="shared" si="645"/>
        <v>44760</v>
      </c>
      <c r="E4262" s="560">
        <f t="shared" si="645"/>
        <v>1.98</v>
      </c>
      <c r="F4262" s="1508">
        <f t="shared" si="640"/>
        <v>1.98</v>
      </c>
      <c r="G4262" s="1508">
        <f t="shared" si="641"/>
        <v>1.98</v>
      </c>
      <c r="H4262" s="1508">
        <f t="shared" si="636"/>
        <v>0</v>
      </c>
      <c r="I4262" s="1480">
        <v>0</v>
      </c>
      <c r="J4262" s="1480">
        <v>0</v>
      </c>
      <c r="K4262" s="1508"/>
      <c r="L4262" s="1508"/>
      <c r="M4262" s="1509">
        <f t="shared" si="637"/>
        <v>0</v>
      </c>
      <c r="N4262" s="1508">
        <f t="shared" si="638"/>
        <v>0</v>
      </c>
      <c r="O4262" s="1481">
        <f t="shared" si="642"/>
        <v>0</v>
      </c>
      <c r="P4262" s="1427">
        <f t="shared" si="643"/>
        <v>0</v>
      </c>
    </row>
    <row r="4263" spans="1:16" ht="15.5" outlineLevel="1" x14ac:dyDescent="0.25">
      <c r="A4263" s="1484">
        <f t="shared" si="645"/>
        <v>0</v>
      </c>
      <c r="B4263" s="1485" t="str">
        <f t="shared" si="645"/>
        <v>IDC</v>
      </c>
      <c r="C4263" s="1482" t="str">
        <f t="shared" si="645"/>
        <v>MERC/CAPEX/2022-2023/0321</v>
      </c>
      <c r="D4263" s="1390">
        <f t="shared" si="645"/>
        <v>44760</v>
      </c>
      <c r="E4263" s="560">
        <f t="shared" si="645"/>
        <v>0.72</v>
      </c>
      <c r="F4263" s="1508">
        <f t="shared" si="640"/>
        <v>0</v>
      </c>
      <c r="G4263" s="1508">
        <f t="shared" si="641"/>
        <v>0</v>
      </c>
      <c r="H4263" s="1508">
        <f t="shared" si="636"/>
        <v>0</v>
      </c>
      <c r="I4263" s="1480">
        <v>0</v>
      </c>
      <c r="J4263" s="1480">
        <v>0</v>
      </c>
      <c r="K4263" s="1508"/>
      <c r="L4263" s="1508"/>
      <c r="M4263" s="1509">
        <f t="shared" si="637"/>
        <v>0</v>
      </c>
      <c r="N4263" s="1508">
        <f t="shared" si="638"/>
        <v>0</v>
      </c>
      <c r="O4263" s="1481">
        <f t="shared" si="642"/>
        <v>0</v>
      </c>
      <c r="P4263" s="1427">
        <f t="shared" si="643"/>
        <v>0</v>
      </c>
    </row>
    <row r="4264" spans="1:16" ht="31" outlineLevel="1" x14ac:dyDescent="0.25">
      <c r="A4264" s="1489">
        <f t="shared" si="645"/>
        <v>42</v>
      </c>
      <c r="B4264" s="1490" t="str">
        <f t="shared" si="645"/>
        <v>ESP Upgradation of 5 Nos. of 210/500MW Units at Khaperkheda, Koradi &amp; Chandrapur TPS</v>
      </c>
      <c r="C4264" s="1486" t="str">
        <f t="shared" si="645"/>
        <v>MERC/CAPEX/2022-2023/MSPGCL/0453</v>
      </c>
      <c r="D4264" s="1487">
        <f t="shared" si="645"/>
        <v>44833</v>
      </c>
      <c r="E4264" s="1383">
        <f t="shared" si="645"/>
        <v>219.44</v>
      </c>
      <c r="F4264" s="1480">
        <f t="shared" si="640"/>
        <v>0</v>
      </c>
      <c r="G4264" s="1480">
        <f t="shared" si="641"/>
        <v>0</v>
      </c>
      <c r="H4264" s="1480">
        <f t="shared" si="636"/>
        <v>0</v>
      </c>
      <c r="I4264" s="1480">
        <v>0</v>
      </c>
      <c r="J4264" s="1480">
        <v>0</v>
      </c>
      <c r="K4264" s="1480"/>
      <c r="L4264" s="1480"/>
      <c r="M4264" s="1480">
        <f t="shared" si="637"/>
        <v>0</v>
      </c>
      <c r="N4264" s="1480">
        <f t="shared" si="638"/>
        <v>0</v>
      </c>
      <c r="O4264" s="1481">
        <f t="shared" si="642"/>
        <v>0</v>
      </c>
      <c r="P4264" s="1427">
        <f t="shared" si="643"/>
        <v>0</v>
      </c>
    </row>
    <row r="4265" spans="1:16" ht="31" outlineLevel="1" x14ac:dyDescent="0.25">
      <c r="A4265" s="1484">
        <f t="shared" si="645"/>
        <v>42.1</v>
      </c>
      <c r="B4265" s="1485" t="str">
        <f t="shared" si="645"/>
        <v>ESP Upgradation at Unit # 5 &amp; 6, Chandrapur TPS</v>
      </c>
      <c r="C4265" s="1488" t="str">
        <f t="shared" si="645"/>
        <v>MERC/CAPEX/2022-2023/MSPGCL/0453</v>
      </c>
      <c r="D4265" s="1413">
        <f t="shared" si="645"/>
        <v>44833</v>
      </c>
      <c r="E4265" s="560">
        <f t="shared" si="645"/>
        <v>207.46</v>
      </c>
      <c r="F4265" s="1508">
        <f t="shared" si="640"/>
        <v>232.76</v>
      </c>
      <c r="G4265" s="1508">
        <f t="shared" si="641"/>
        <v>232.76</v>
      </c>
      <c r="H4265" s="1508">
        <f t="shared" si="636"/>
        <v>0</v>
      </c>
      <c r="I4265" s="1480">
        <v>0</v>
      </c>
      <c r="J4265" s="1480">
        <v>0</v>
      </c>
      <c r="K4265" s="1508"/>
      <c r="L4265" s="1508"/>
      <c r="M4265" s="1509">
        <f t="shared" si="637"/>
        <v>0</v>
      </c>
      <c r="N4265" s="1508">
        <f t="shared" si="638"/>
        <v>0</v>
      </c>
      <c r="O4265" s="1481">
        <f t="shared" si="642"/>
        <v>0</v>
      </c>
      <c r="P4265" s="1427">
        <f t="shared" si="643"/>
        <v>0</v>
      </c>
    </row>
    <row r="4266" spans="1:16" ht="31" outlineLevel="1" x14ac:dyDescent="0.25">
      <c r="A4266" s="1484">
        <f t="shared" si="645"/>
        <v>0</v>
      </c>
      <c r="B4266" s="1485" t="str">
        <f t="shared" si="645"/>
        <v>IDC</v>
      </c>
      <c r="C4266" s="1482" t="str">
        <f t="shared" si="645"/>
        <v>MERC/CAPEX/2022-2023/MSPGCL/0453</v>
      </c>
      <c r="D4266" s="1390">
        <f t="shared" si="645"/>
        <v>44833</v>
      </c>
      <c r="E4266" s="560">
        <f t="shared" si="645"/>
        <v>11.98</v>
      </c>
      <c r="F4266" s="1508">
        <f t="shared" si="640"/>
        <v>0</v>
      </c>
      <c r="G4266" s="1508">
        <f t="shared" si="641"/>
        <v>0</v>
      </c>
      <c r="H4266" s="1508">
        <f t="shared" si="636"/>
        <v>0</v>
      </c>
      <c r="I4266" s="1480">
        <v>0</v>
      </c>
      <c r="J4266" s="1480">
        <v>0</v>
      </c>
      <c r="K4266" s="1508"/>
      <c r="L4266" s="1508"/>
      <c r="M4266" s="1509">
        <f t="shared" si="637"/>
        <v>0</v>
      </c>
      <c r="N4266" s="1508">
        <f t="shared" si="638"/>
        <v>0</v>
      </c>
      <c r="O4266" s="1481">
        <f t="shared" si="642"/>
        <v>0</v>
      </c>
      <c r="P4266" s="1427">
        <f t="shared" si="643"/>
        <v>0</v>
      </c>
    </row>
    <row r="4267" spans="1:16" ht="31" outlineLevel="1" x14ac:dyDescent="0.25">
      <c r="A4267" s="1489">
        <f t="shared" si="645"/>
        <v>43</v>
      </c>
      <c r="B4267" s="1490" t="str">
        <f t="shared" si="645"/>
        <v>Flue Gas Desulphurization (FGD) System at 10 Nos. of 210 MW Units at Chandrapur, Koradi, Khaperkheda &amp; Nasik TPS</v>
      </c>
      <c r="C4267" s="1486" t="str">
        <f t="shared" si="645"/>
        <v>MERC/CAPEX/MSPGCL/2023-2024/0459</v>
      </c>
      <c r="D4267" s="1487">
        <f t="shared" si="645"/>
        <v>45174</v>
      </c>
      <c r="E4267" s="1383">
        <f t="shared" si="645"/>
        <v>115.34</v>
      </c>
      <c r="F4267" s="1480">
        <f t="shared" si="640"/>
        <v>0</v>
      </c>
      <c r="G4267" s="1480">
        <f t="shared" si="641"/>
        <v>0</v>
      </c>
      <c r="H4267" s="1480">
        <f t="shared" si="636"/>
        <v>0</v>
      </c>
      <c r="I4267" s="1480">
        <v>0</v>
      </c>
      <c r="J4267" s="1480">
        <v>0</v>
      </c>
      <c r="K4267" s="1480"/>
      <c r="L4267" s="1480"/>
      <c r="M4267" s="1480">
        <f t="shared" si="637"/>
        <v>0</v>
      </c>
      <c r="N4267" s="1480">
        <f t="shared" si="638"/>
        <v>0</v>
      </c>
      <c r="O4267" s="1481">
        <f t="shared" si="642"/>
        <v>0</v>
      </c>
      <c r="P4267" s="1427">
        <f t="shared" si="643"/>
        <v>0</v>
      </c>
    </row>
    <row r="4268" spans="1:16" ht="31" outlineLevel="1" x14ac:dyDescent="0.25">
      <c r="A4268" s="1484">
        <f t="shared" si="645"/>
        <v>43.1</v>
      </c>
      <c r="B4268" s="1485" t="str">
        <f t="shared" si="645"/>
        <v>Flue Gas Desulphurization (FGD) System at Unit 3 &amp; 4, Chandrapur</v>
      </c>
      <c r="C4268" s="1488" t="str">
        <f t="shared" si="645"/>
        <v>MERC/CAPEX/MSPGCL/2023-2024/0459</v>
      </c>
      <c r="D4268" s="1413">
        <f t="shared" si="645"/>
        <v>45174</v>
      </c>
      <c r="E4268" s="560">
        <f t="shared" si="645"/>
        <v>109.4</v>
      </c>
      <c r="F4268" s="1508">
        <f t="shared" si="640"/>
        <v>147.38</v>
      </c>
      <c r="G4268" s="1508">
        <f t="shared" si="641"/>
        <v>256.32</v>
      </c>
      <c r="H4268" s="1508">
        <f t="shared" si="636"/>
        <v>-108.94</v>
      </c>
      <c r="I4268" s="1480">
        <v>0</v>
      </c>
      <c r="J4268" s="1480">
        <v>0</v>
      </c>
      <c r="K4268" s="1508"/>
      <c r="L4268" s="1508"/>
      <c r="M4268" s="1509">
        <f t="shared" si="637"/>
        <v>0</v>
      </c>
      <c r="N4268" s="1508">
        <f t="shared" si="638"/>
        <v>-108.94</v>
      </c>
      <c r="O4268" s="1481">
        <f t="shared" si="642"/>
        <v>0</v>
      </c>
      <c r="P4268" s="1427">
        <f t="shared" si="643"/>
        <v>0</v>
      </c>
    </row>
    <row r="4269" spans="1:16" ht="31" outlineLevel="1" x14ac:dyDescent="0.25">
      <c r="A4269" s="1484">
        <f t="shared" si="645"/>
        <v>0</v>
      </c>
      <c r="B4269" s="1485" t="str">
        <f t="shared" si="645"/>
        <v>IDC</v>
      </c>
      <c r="C4269" s="1488" t="str">
        <f t="shared" si="645"/>
        <v>MERC/CAPEX/MSPGCL/2023-2024/0459</v>
      </c>
      <c r="D4269" s="1413">
        <f t="shared" si="645"/>
        <v>45174</v>
      </c>
      <c r="E4269" s="560">
        <f t="shared" si="645"/>
        <v>5.94</v>
      </c>
      <c r="F4269" s="1508">
        <f t="shared" si="640"/>
        <v>0</v>
      </c>
      <c r="G4269" s="1508">
        <f t="shared" si="641"/>
        <v>0</v>
      </c>
      <c r="H4269" s="1508">
        <f t="shared" si="636"/>
        <v>0</v>
      </c>
      <c r="I4269" s="1480">
        <v>0</v>
      </c>
      <c r="J4269" s="1480">
        <v>0</v>
      </c>
      <c r="K4269" s="1508"/>
      <c r="L4269" s="1508"/>
      <c r="M4269" s="1509">
        <f t="shared" si="637"/>
        <v>0</v>
      </c>
      <c r="N4269" s="1508">
        <f t="shared" si="638"/>
        <v>0</v>
      </c>
      <c r="O4269" s="1481">
        <f t="shared" si="642"/>
        <v>0</v>
      </c>
      <c r="P4269" s="1427">
        <f t="shared" si="643"/>
        <v>0</v>
      </c>
    </row>
    <row r="4270" spans="1:16" ht="77.5" outlineLevel="1" x14ac:dyDescent="0.25">
      <c r="A4270" s="1489">
        <f t="shared" ref="A4270:E4285" si="646">A3600</f>
        <v>44</v>
      </c>
      <c r="B4270" s="1490" t="str">
        <f t="shared" si="646"/>
        <v>Design, Engineering, Manufacturing, Transportation to CSTPS site, unloading, Erection, Testing &amp; Commissioning of 3 nos. of new 200MVA. 21/400/√3KV, Single phase Generator Transformers, BHEL make for 3 X 500 MW Unit#5,6&amp;7 500MW Stage-III CSTPS, Chandrapur</v>
      </c>
      <c r="C4270" s="1486" t="str">
        <f t="shared" si="646"/>
        <v>MERC/CAPEX/2022-2023/0409</v>
      </c>
      <c r="D4270" s="1487">
        <f t="shared" si="646"/>
        <v>44806</v>
      </c>
      <c r="E4270" s="1383">
        <f t="shared" si="646"/>
        <v>33.268000000000001</v>
      </c>
      <c r="F4270" s="1480">
        <f t="shared" si="640"/>
        <v>0</v>
      </c>
      <c r="G4270" s="1480">
        <f t="shared" si="641"/>
        <v>0</v>
      </c>
      <c r="H4270" s="1480">
        <f t="shared" si="636"/>
        <v>0</v>
      </c>
      <c r="I4270" s="1480">
        <v>0</v>
      </c>
      <c r="J4270" s="1480">
        <v>0</v>
      </c>
      <c r="K4270" s="1480"/>
      <c r="L4270" s="1480"/>
      <c r="M4270" s="1480">
        <f t="shared" si="637"/>
        <v>0</v>
      </c>
      <c r="N4270" s="1480">
        <f t="shared" si="638"/>
        <v>0</v>
      </c>
      <c r="O4270" s="1481">
        <f t="shared" si="642"/>
        <v>0</v>
      </c>
      <c r="P4270" s="1427">
        <f t="shared" si="643"/>
        <v>0</v>
      </c>
    </row>
    <row r="4271" spans="1:16" ht="93" outlineLevel="1" x14ac:dyDescent="0.25">
      <c r="A4271" s="1484">
        <f t="shared" si="646"/>
        <v>44.1</v>
      </c>
      <c r="B4271" s="1485" t="str">
        <f t="shared" si="646"/>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4271" s="1488" t="str">
        <f t="shared" si="646"/>
        <v>MERC/CAPEX/2022-2023/0409</v>
      </c>
      <c r="D4271" s="1413">
        <f t="shared" si="646"/>
        <v>44806</v>
      </c>
      <c r="E4271" s="560">
        <f t="shared" si="646"/>
        <v>32.567999999999998</v>
      </c>
      <c r="F4271" s="1508">
        <f t="shared" si="640"/>
        <v>39</v>
      </c>
      <c r="G4271" s="1508">
        <f t="shared" si="641"/>
        <v>39</v>
      </c>
      <c r="H4271" s="1508">
        <f t="shared" si="636"/>
        <v>0</v>
      </c>
      <c r="I4271" s="1480">
        <v>0</v>
      </c>
      <c r="J4271" s="1480">
        <v>0</v>
      </c>
      <c r="K4271" s="1508"/>
      <c r="L4271" s="1508"/>
      <c r="M4271" s="1509">
        <f t="shared" si="637"/>
        <v>0</v>
      </c>
      <c r="N4271" s="1508">
        <f t="shared" si="638"/>
        <v>0</v>
      </c>
      <c r="O4271" s="1481">
        <f t="shared" si="642"/>
        <v>0</v>
      </c>
      <c r="P4271" s="1427">
        <f t="shared" si="643"/>
        <v>0</v>
      </c>
    </row>
    <row r="4272" spans="1:16" ht="15.5" outlineLevel="1" x14ac:dyDescent="0.25">
      <c r="A4272" s="1484">
        <f t="shared" si="646"/>
        <v>0</v>
      </c>
      <c r="B4272" s="1485" t="str">
        <f t="shared" si="646"/>
        <v>IDC</v>
      </c>
      <c r="C4272" s="1482" t="str">
        <f t="shared" si="646"/>
        <v>MERC/CAPEX/2022-2023/0409</v>
      </c>
      <c r="D4272" s="1390">
        <f t="shared" si="646"/>
        <v>44806</v>
      </c>
      <c r="E4272" s="560">
        <f t="shared" si="646"/>
        <v>0.7</v>
      </c>
      <c r="F4272" s="1508">
        <f t="shared" si="640"/>
        <v>0</v>
      </c>
      <c r="G4272" s="1508">
        <f t="shared" si="641"/>
        <v>0</v>
      </c>
      <c r="H4272" s="1508">
        <f t="shared" si="636"/>
        <v>0</v>
      </c>
      <c r="I4272" s="1480">
        <v>0</v>
      </c>
      <c r="J4272" s="1480">
        <v>0</v>
      </c>
      <c r="K4272" s="1508"/>
      <c r="L4272" s="1508"/>
      <c r="M4272" s="1509">
        <f t="shared" si="637"/>
        <v>0</v>
      </c>
      <c r="N4272" s="1508">
        <f t="shared" si="638"/>
        <v>0</v>
      </c>
      <c r="O4272" s="1481">
        <f t="shared" si="642"/>
        <v>0</v>
      </c>
      <c r="P4272" s="1427">
        <f t="shared" si="643"/>
        <v>0</v>
      </c>
    </row>
    <row r="4273" spans="1:16" ht="93" outlineLevel="1" x14ac:dyDescent="0.25">
      <c r="A4273" s="1489">
        <f t="shared" si="646"/>
        <v>45</v>
      </c>
      <c r="B4273" s="1490" t="str">
        <f t="shared" si="646"/>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4273" s="1486" t="str">
        <f t="shared" si="646"/>
        <v>MERC/CAPEX/2022-2023/MSPGCL/0458</v>
      </c>
      <c r="D4273" s="1487">
        <f t="shared" si="646"/>
        <v>45174</v>
      </c>
      <c r="E4273" s="560">
        <f t="shared" si="646"/>
        <v>145.05495436368</v>
      </c>
      <c r="F4273" s="1508">
        <f t="shared" si="640"/>
        <v>0</v>
      </c>
      <c r="G4273" s="1508">
        <f t="shared" si="641"/>
        <v>0</v>
      </c>
      <c r="H4273" s="1508">
        <f t="shared" si="636"/>
        <v>0</v>
      </c>
      <c r="I4273" s="1480">
        <v>0</v>
      </c>
      <c r="J4273" s="1480">
        <v>0</v>
      </c>
      <c r="K4273" s="1508"/>
      <c r="L4273" s="1508"/>
      <c r="M4273" s="1509">
        <f t="shared" ref="M4273:M4301" si="647">SUM(J4273:L4273)</f>
        <v>0</v>
      </c>
      <c r="N4273" s="1508">
        <f t="shared" si="638"/>
        <v>0</v>
      </c>
      <c r="O4273" s="1481"/>
      <c r="P4273" s="1427"/>
    </row>
    <row r="4274" spans="1:16" ht="31" outlineLevel="1" x14ac:dyDescent="0.25">
      <c r="A4274" s="1484">
        <f t="shared" si="646"/>
        <v>45.1</v>
      </c>
      <c r="B4274" s="1485" t="str">
        <f t="shared" si="646"/>
        <v>Construction of 4th raising of existing Ash Bund from T.B.L. 198.00 M to T.B.L 201.00 M</v>
      </c>
      <c r="C4274" s="1488" t="str">
        <f t="shared" si="646"/>
        <v>MERC/CAPEX/2022-2023/MSPGCL/0458</v>
      </c>
      <c r="D4274" s="1413">
        <f t="shared" si="646"/>
        <v>45174</v>
      </c>
      <c r="E4274" s="560">
        <f t="shared" si="646"/>
        <v>101.81018586775998</v>
      </c>
      <c r="F4274" s="1508">
        <f t="shared" si="640"/>
        <v>66.943683858253138</v>
      </c>
      <c r="G4274" s="1508">
        <f t="shared" si="641"/>
        <v>66.943683858253138</v>
      </c>
      <c r="H4274" s="1508">
        <f t="shared" si="636"/>
        <v>0</v>
      </c>
      <c r="I4274" s="1480">
        <v>0</v>
      </c>
      <c r="J4274" s="1480">
        <v>0</v>
      </c>
      <c r="K4274" s="1508"/>
      <c r="L4274" s="1508"/>
      <c r="M4274" s="1509">
        <f t="shared" si="647"/>
        <v>0</v>
      </c>
      <c r="N4274" s="1508">
        <f t="shared" si="638"/>
        <v>0</v>
      </c>
      <c r="O4274" s="1481"/>
      <c r="P4274" s="1427"/>
    </row>
    <row r="4275" spans="1:16" ht="31" outlineLevel="1" x14ac:dyDescent="0.25">
      <c r="A4275" s="1484">
        <f t="shared" si="646"/>
        <v>45.2</v>
      </c>
      <c r="B4275" s="1485" t="str">
        <f t="shared" si="646"/>
        <v>Construction of New Drain Wells (12 Nos.) along with necessary connection to existing drain wells at CSTPS</v>
      </c>
      <c r="C4275" s="1488" t="str">
        <f t="shared" si="646"/>
        <v>MERC/CAPEX/2022-2023/MSPGCL/0458</v>
      </c>
      <c r="D4275" s="1413">
        <f t="shared" si="646"/>
        <v>45174</v>
      </c>
      <c r="E4275" s="560">
        <f t="shared" si="646"/>
        <v>1.7079926814999997</v>
      </c>
      <c r="F4275" s="1508">
        <f t="shared" si="640"/>
        <v>1.1230636809863013</v>
      </c>
      <c r="G4275" s="1508">
        <f t="shared" si="641"/>
        <v>1.1230636809863013</v>
      </c>
      <c r="H4275" s="1508">
        <f t="shared" si="636"/>
        <v>0</v>
      </c>
      <c r="I4275" s="1480">
        <v>0</v>
      </c>
      <c r="J4275" s="1480">
        <v>0</v>
      </c>
      <c r="K4275" s="1508"/>
      <c r="L4275" s="1508"/>
      <c r="M4275" s="1509">
        <f t="shared" si="647"/>
        <v>0</v>
      </c>
      <c r="N4275" s="1508">
        <f t="shared" si="638"/>
        <v>0</v>
      </c>
      <c r="O4275" s="1481"/>
      <c r="P4275" s="1427"/>
    </row>
    <row r="4276" spans="1:16" ht="31" outlineLevel="1" x14ac:dyDescent="0.25">
      <c r="A4276" s="1484">
        <f t="shared" si="646"/>
        <v>45.3</v>
      </c>
      <c r="B4276" s="1485" t="str">
        <f t="shared" si="646"/>
        <v xml:space="preserve"> Construction of waste weir for raising of ash bund (Waste Weir &amp; Non overflow structure)</v>
      </c>
      <c r="C4276" s="1488" t="str">
        <f t="shared" si="646"/>
        <v>MERC/CAPEX/2022-2023/MSPGCL/0458</v>
      </c>
      <c r="D4276" s="1413">
        <f t="shared" si="646"/>
        <v>45174</v>
      </c>
      <c r="E4276" s="560">
        <f t="shared" si="646"/>
        <v>4.2692499462199995</v>
      </c>
      <c r="F4276" s="1508">
        <f t="shared" si="640"/>
        <v>2.8071780468295886</v>
      </c>
      <c r="G4276" s="1508">
        <f t="shared" si="641"/>
        <v>2.8071780468295886</v>
      </c>
      <c r="H4276" s="1508">
        <f t="shared" si="636"/>
        <v>0</v>
      </c>
      <c r="I4276" s="1480">
        <v>0</v>
      </c>
      <c r="J4276" s="1480">
        <v>0</v>
      </c>
      <c r="K4276" s="1508"/>
      <c r="L4276" s="1508"/>
      <c r="M4276" s="1509">
        <f t="shared" si="647"/>
        <v>0</v>
      </c>
      <c r="N4276" s="1508">
        <f t="shared" si="638"/>
        <v>0</v>
      </c>
      <c r="O4276" s="1481"/>
      <c r="P4276" s="1427"/>
    </row>
    <row r="4277" spans="1:16" ht="31" outlineLevel="1" x14ac:dyDescent="0.25">
      <c r="A4277" s="1484">
        <f t="shared" si="646"/>
        <v>45.4</v>
      </c>
      <c r="B4277" s="1485" t="str">
        <f t="shared" si="646"/>
        <v>Raising of Ash Compartment i.e. Lagoon in Ash Bund</v>
      </c>
      <c r="C4277" s="1488" t="str">
        <f t="shared" si="646"/>
        <v>MERC/CAPEX/2022-2023/MSPGCL/0458</v>
      </c>
      <c r="D4277" s="1413">
        <f t="shared" si="646"/>
        <v>45174</v>
      </c>
      <c r="E4277" s="560">
        <f t="shared" si="646"/>
        <v>25.657525868199997</v>
      </c>
      <c r="F4277" s="1508">
        <f t="shared" si="640"/>
        <v>16.870701940734246</v>
      </c>
      <c r="G4277" s="1508">
        <f t="shared" si="641"/>
        <v>16.870701940734246</v>
      </c>
      <c r="H4277" s="1508">
        <f t="shared" si="636"/>
        <v>0</v>
      </c>
      <c r="I4277" s="1480">
        <v>0</v>
      </c>
      <c r="J4277" s="1480">
        <v>0</v>
      </c>
      <c r="K4277" s="1508"/>
      <c r="L4277" s="1508"/>
      <c r="M4277" s="1509">
        <f t="shared" si="647"/>
        <v>0</v>
      </c>
      <c r="N4277" s="1508">
        <f t="shared" si="638"/>
        <v>0</v>
      </c>
      <c r="O4277" s="1481"/>
      <c r="P4277" s="1427"/>
    </row>
    <row r="4278" spans="1:16" ht="31" outlineLevel="1" x14ac:dyDescent="0.25">
      <c r="A4278" s="1484">
        <f t="shared" si="646"/>
        <v>0</v>
      </c>
      <c r="B4278" s="1485" t="str">
        <f t="shared" si="646"/>
        <v>IDC</v>
      </c>
      <c r="C4278" s="1482" t="str">
        <f t="shared" si="646"/>
        <v>MERC/CAPEX/2022-2023/MSPGCL/0458</v>
      </c>
      <c r="D4278" s="1390">
        <f t="shared" si="646"/>
        <v>45174</v>
      </c>
      <c r="E4278" s="560">
        <f t="shared" si="646"/>
        <v>11.61</v>
      </c>
      <c r="F4278" s="1508">
        <f t="shared" si="640"/>
        <v>0</v>
      </c>
      <c r="G4278" s="1508">
        <f t="shared" si="641"/>
        <v>0</v>
      </c>
      <c r="H4278" s="1508">
        <f t="shared" si="636"/>
        <v>0</v>
      </c>
      <c r="I4278" s="1480">
        <v>0</v>
      </c>
      <c r="J4278" s="1480">
        <v>0</v>
      </c>
      <c r="K4278" s="1508"/>
      <c r="L4278" s="1508"/>
      <c r="M4278" s="1509">
        <f t="shared" si="647"/>
        <v>0</v>
      </c>
      <c r="N4278" s="1508">
        <f t="shared" si="638"/>
        <v>0</v>
      </c>
      <c r="O4278" s="1481"/>
      <c r="P4278" s="1427"/>
    </row>
    <row r="4279" spans="1:16" ht="46.5" outlineLevel="1" x14ac:dyDescent="0.25">
      <c r="A4279" s="1489">
        <f t="shared" si="646"/>
        <v>46</v>
      </c>
      <c r="B4279" s="1490" t="str">
        <f t="shared" si="646"/>
        <v>Procurement of 03 Nos. of complete assembly of 3.3 KV, 300 KW Boiler Circulation Water Pump - Motors along with Impeller for Unit#5&amp;6, 500MW Stage-III CSTPS Chandrapur</v>
      </c>
      <c r="C4279" s="1486" t="str">
        <f t="shared" si="646"/>
        <v>MERC/CAPEX/2024-2025/MSPGCL/0308</v>
      </c>
      <c r="D4279" s="1487">
        <f t="shared" si="646"/>
        <v>45429</v>
      </c>
      <c r="E4279" s="560">
        <f t="shared" si="646"/>
        <v>37.32</v>
      </c>
      <c r="F4279" s="1508">
        <f t="shared" si="640"/>
        <v>0</v>
      </c>
      <c r="G4279" s="1508">
        <f t="shared" si="641"/>
        <v>0</v>
      </c>
      <c r="H4279" s="1508">
        <f t="shared" si="636"/>
        <v>0</v>
      </c>
      <c r="I4279" s="1480">
        <v>0</v>
      </c>
      <c r="J4279" s="1480">
        <v>0</v>
      </c>
      <c r="K4279" s="1508"/>
      <c r="L4279" s="1508"/>
      <c r="M4279" s="1509">
        <f t="shared" si="647"/>
        <v>0</v>
      </c>
      <c r="N4279" s="1508">
        <f t="shared" si="638"/>
        <v>0</v>
      </c>
      <c r="O4279" s="1481"/>
      <c r="P4279" s="1427"/>
    </row>
    <row r="4280" spans="1:16" ht="46.5" outlineLevel="1" x14ac:dyDescent="0.25">
      <c r="A4280" s="1484">
        <f t="shared" si="646"/>
        <v>46.1</v>
      </c>
      <c r="B4280" s="1485" t="str">
        <f t="shared" si="646"/>
        <v>Procurement of 03 Nos. of complete assembly of 3.3 KV, 300 KW Boiler Circulation Water Pump - Motors along with Impeller for Unit#5&amp;6, 500MW Stage-III CSTPS Chandrapur</v>
      </c>
      <c r="C4280" s="1488" t="str">
        <f t="shared" si="646"/>
        <v>MERC/CAPEX/2024-2025/MSPGCL/0308</v>
      </c>
      <c r="D4280" s="1495">
        <f t="shared" si="646"/>
        <v>45429</v>
      </c>
      <c r="E4280" s="560">
        <f t="shared" si="646"/>
        <v>0</v>
      </c>
      <c r="F4280" s="1508">
        <f t="shared" si="640"/>
        <v>35.944000000000003</v>
      </c>
      <c r="G4280" s="1508">
        <f t="shared" si="641"/>
        <v>35.944000000000003</v>
      </c>
      <c r="H4280" s="1508">
        <f t="shared" ref="H4280:H4343" si="648">F4280-G4280</f>
        <v>0</v>
      </c>
      <c r="I4280" s="1480">
        <v>0</v>
      </c>
      <c r="J4280" s="1480">
        <v>0</v>
      </c>
      <c r="K4280" s="1508"/>
      <c r="L4280" s="1508"/>
      <c r="M4280" s="1509">
        <f t="shared" si="647"/>
        <v>0</v>
      </c>
      <c r="N4280" s="1508">
        <f t="shared" ref="N4280:N4343" si="649">H4280+I4280-M4280</f>
        <v>0</v>
      </c>
      <c r="O4280" s="1481"/>
      <c r="P4280" s="1427"/>
    </row>
    <row r="4281" spans="1:16" ht="31" outlineLevel="1" x14ac:dyDescent="0.25">
      <c r="A4281" s="1484">
        <f t="shared" si="646"/>
        <v>0</v>
      </c>
      <c r="B4281" s="1485" t="str">
        <f t="shared" si="646"/>
        <v>IDC</v>
      </c>
      <c r="C4281" s="1488" t="str">
        <f t="shared" si="646"/>
        <v>MERC/CAPEX/2024-2025/MSPGCL/0308</v>
      </c>
      <c r="D4281" s="1495">
        <f t="shared" si="646"/>
        <v>45429</v>
      </c>
      <c r="E4281" s="560">
        <f t="shared" si="646"/>
        <v>0</v>
      </c>
      <c r="F4281" s="1508">
        <f t="shared" si="640"/>
        <v>0</v>
      </c>
      <c r="G4281" s="1508">
        <f t="shared" si="641"/>
        <v>0</v>
      </c>
      <c r="H4281" s="1508">
        <f t="shared" si="648"/>
        <v>0</v>
      </c>
      <c r="I4281" s="1480">
        <v>0</v>
      </c>
      <c r="J4281" s="1480">
        <v>0</v>
      </c>
      <c r="K4281" s="1508"/>
      <c r="L4281" s="1508"/>
      <c r="M4281" s="1509">
        <f t="shared" si="647"/>
        <v>0</v>
      </c>
      <c r="N4281" s="1508">
        <f t="shared" si="649"/>
        <v>0</v>
      </c>
      <c r="O4281" s="1481"/>
      <c r="P4281" s="1427"/>
    </row>
    <row r="4282" spans="1:16" ht="31" outlineLevel="1" x14ac:dyDescent="0.25">
      <c r="A4282" s="1489">
        <f t="shared" si="646"/>
        <v>47</v>
      </c>
      <c r="B4282" s="1490" t="str">
        <f t="shared" si="646"/>
        <v>Performance Improvement &amp; Life Extension Schemes for CHP of Unit 3 to 7 of CSTPS, Chandrapur</v>
      </c>
      <c r="C4282" s="1486" t="str">
        <f t="shared" si="646"/>
        <v>MERC/CAPEX/MSPGCL/2023-24/0560</v>
      </c>
      <c r="D4282" s="1413">
        <f t="shared" si="646"/>
        <v>45230</v>
      </c>
      <c r="E4282" s="560">
        <f t="shared" si="646"/>
        <v>43.01</v>
      </c>
      <c r="F4282" s="1508">
        <f t="shared" si="640"/>
        <v>0</v>
      </c>
      <c r="G4282" s="1508">
        <f t="shared" si="641"/>
        <v>0</v>
      </c>
      <c r="H4282" s="1508">
        <f t="shared" si="648"/>
        <v>0</v>
      </c>
      <c r="I4282" s="1480">
        <v>0</v>
      </c>
      <c r="J4282" s="1480">
        <v>0</v>
      </c>
      <c r="K4282" s="1508"/>
      <c r="L4282" s="1508"/>
      <c r="M4282" s="1509">
        <f t="shared" si="647"/>
        <v>0</v>
      </c>
      <c r="N4282" s="1508">
        <f t="shared" si="649"/>
        <v>0</v>
      </c>
      <c r="O4282" s="1481"/>
      <c r="P4282" s="1427"/>
    </row>
    <row r="4283" spans="1:16" ht="31" outlineLevel="1" x14ac:dyDescent="0.25">
      <c r="A4283" s="1484">
        <f t="shared" si="646"/>
        <v>47.1</v>
      </c>
      <c r="B4283" s="1485" t="str">
        <f t="shared" si="646"/>
        <v>Work of Renovation/Upgradation/Modification of Crusher House of CHPA of Unit 3&amp;4 of CSTPS Chandrapur.</v>
      </c>
      <c r="C4283" s="1488" t="str">
        <f t="shared" si="646"/>
        <v>MERC/CAPEX/MSPGCL/2023-24/0560</v>
      </c>
      <c r="D4283" s="1413">
        <f t="shared" si="646"/>
        <v>45230</v>
      </c>
      <c r="E4283" s="560">
        <f t="shared" si="646"/>
        <v>5.66</v>
      </c>
      <c r="F4283" s="1508">
        <f t="shared" si="640"/>
        <v>5.66</v>
      </c>
      <c r="G4283" s="1508">
        <f t="shared" si="641"/>
        <v>5.66</v>
      </c>
      <c r="H4283" s="1508">
        <f t="shared" si="648"/>
        <v>0</v>
      </c>
      <c r="I4283" s="1480">
        <v>0</v>
      </c>
      <c r="J4283" s="1480">
        <v>0</v>
      </c>
      <c r="K4283" s="1508"/>
      <c r="L4283" s="1508"/>
      <c r="M4283" s="1509">
        <f t="shared" si="647"/>
        <v>0</v>
      </c>
      <c r="N4283" s="1508">
        <f t="shared" si="649"/>
        <v>0</v>
      </c>
      <c r="O4283" s="1481"/>
      <c r="P4283" s="1427"/>
    </row>
    <row r="4284" spans="1:16" ht="31" outlineLevel="1" x14ac:dyDescent="0.25">
      <c r="A4284" s="1484">
        <f t="shared" si="646"/>
        <v>47.2</v>
      </c>
      <c r="B4284" s="1485" t="str">
        <f t="shared" si="646"/>
        <v>Work of Renovation/Upgradation/Modification of Belt Conveyor 10A/B/C of CHPA of Unit 3&amp;4 of CSTPS Chandrapur.</v>
      </c>
      <c r="C4284" s="1488" t="str">
        <f t="shared" si="646"/>
        <v>MERC/CAPEX/MSPGCL/2023-24/0560</v>
      </c>
      <c r="D4284" s="1413">
        <f t="shared" si="646"/>
        <v>45230</v>
      </c>
      <c r="E4284" s="560">
        <f t="shared" si="646"/>
        <v>8.17</v>
      </c>
      <c r="F4284" s="1508">
        <f t="shared" si="640"/>
        <v>8.17</v>
      </c>
      <c r="G4284" s="1508">
        <f t="shared" si="641"/>
        <v>8.17</v>
      </c>
      <c r="H4284" s="1508">
        <f t="shared" si="648"/>
        <v>0</v>
      </c>
      <c r="I4284" s="1480">
        <v>0</v>
      </c>
      <c r="J4284" s="1480">
        <v>0</v>
      </c>
      <c r="K4284" s="1508"/>
      <c r="L4284" s="1508"/>
      <c r="M4284" s="1509">
        <f t="shared" si="647"/>
        <v>0</v>
      </c>
      <c r="N4284" s="1508">
        <f t="shared" si="649"/>
        <v>0</v>
      </c>
      <c r="O4284" s="1481"/>
      <c r="P4284" s="1427"/>
    </row>
    <row r="4285" spans="1:16" ht="31" outlineLevel="1" x14ac:dyDescent="0.25">
      <c r="A4285" s="1484">
        <f t="shared" si="646"/>
        <v>47.3</v>
      </c>
      <c r="B4285" s="1485" t="str">
        <f t="shared" si="646"/>
        <v xml:space="preserve">Work of Modification/Modernization of conveyor cable of 10 A/B/C of CHPA of Unit 3&amp;4 of CSTPS Chandrapur. </v>
      </c>
      <c r="C4285" s="1488" t="str">
        <f t="shared" si="646"/>
        <v>MERC/CAPEX/MSPGCL/2023-24/0560</v>
      </c>
      <c r="D4285" s="1413">
        <f t="shared" si="646"/>
        <v>45230</v>
      </c>
      <c r="E4285" s="560">
        <f t="shared" si="646"/>
        <v>4.12</v>
      </c>
      <c r="F4285" s="1508">
        <f t="shared" si="640"/>
        <v>4.12</v>
      </c>
      <c r="G4285" s="1508">
        <f t="shared" si="641"/>
        <v>4.12</v>
      </c>
      <c r="H4285" s="1508">
        <f t="shared" si="648"/>
        <v>0</v>
      </c>
      <c r="I4285" s="1480">
        <v>0</v>
      </c>
      <c r="J4285" s="1480">
        <v>0</v>
      </c>
      <c r="K4285" s="1508"/>
      <c r="L4285" s="1508"/>
      <c r="M4285" s="1509">
        <f t="shared" si="647"/>
        <v>0</v>
      </c>
      <c r="N4285" s="1508">
        <f t="shared" si="649"/>
        <v>0</v>
      </c>
      <c r="O4285" s="1481"/>
      <c r="P4285" s="1427"/>
    </row>
    <row r="4286" spans="1:16" ht="46.5" outlineLevel="1" x14ac:dyDescent="0.25">
      <c r="A4286" s="1484">
        <f t="shared" ref="A4286:E4301" si="650">A3616</f>
        <v>47.4</v>
      </c>
      <c r="B4286" s="1485" t="str">
        <f t="shared" si="650"/>
        <v xml:space="preserve">Design, Engineering, Supply, Erection and commissioning of bypass chute with hydraulic cylinder &amp; modification/renovation at JT-06 of CHPA of Unit 3&amp;4 of CSTPS Chandrapur. </v>
      </c>
      <c r="C4286" s="1488" t="str">
        <f t="shared" si="650"/>
        <v>MERC/CAPEX/MSPGCL/2023-24/0560</v>
      </c>
      <c r="D4286" s="1413">
        <f t="shared" si="650"/>
        <v>45230</v>
      </c>
      <c r="E4286" s="560">
        <f t="shared" si="650"/>
        <v>3.72</v>
      </c>
      <c r="F4286" s="1508">
        <f t="shared" ref="F4286:F4349" si="651">F3616+I3616</f>
        <v>3.72</v>
      </c>
      <c r="G4286" s="1508">
        <f t="shared" ref="G4286:G4349" si="652">G3616+M3616</f>
        <v>3.72</v>
      </c>
      <c r="H4286" s="1508">
        <f t="shared" si="648"/>
        <v>0</v>
      </c>
      <c r="I4286" s="1480">
        <v>0</v>
      </c>
      <c r="J4286" s="1480">
        <v>0</v>
      </c>
      <c r="K4286" s="1508"/>
      <c r="L4286" s="1508"/>
      <c r="M4286" s="1509">
        <f t="shared" si="647"/>
        <v>0</v>
      </c>
      <c r="N4286" s="1508">
        <f t="shared" si="649"/>
        <v>0</v>
      </c>
      <c r="O4286" s="1481"/>
      <c r="P4286" s="1427"/>
    </row>
    <row r="4287" spans="1:16" ht="46.5" outlineLevel="1" x14ac:dyDescent="0.25">
      <c r="A4287" s="1484">
        <f t="shared" si="650"/>
        <v>47.5</v>
      </c>
      <c r="B4287" s="1485" t="str">
        <f t="shared" si="650"/>
        <v xml:space="preserve">Design, Engineering, Supply, Erection and Installation of Wear Resistance Chutes for Belt Conveyor System at CHPA/B of Unit 3to9 of CSTPS Chandrapur. </v>
      </c>
      <c r="C4287" s="1488" t="str">
        <f t="shared" si="650"/>
        <v>MERC/CAPEX/MSPGCL/2023-24/0560</v>
      </c>
      <c r="D4287" s="1413">
        <f t="shared" si="650"/>
        <v>45230</v>
      </c>
      <c r="E4287" s="560">
        <f t="shared" si="650"/>
        <v>3.45</v>
      </c>
      <c r="F4287" s="1508">
        <f t="shared" si="651"/>
        <v>3.45</v>
      </c>
      <c r="G4287" s="1508">
        <f t="shared" si="652"/>
        <v>3.45</v>
      </c>
      <c r="H4287" s="1508">
        <f t="shared" si="648"/>
        <v>0</v>
      </c>
      <c r="I4287" s="1480">
        <v>0</v>
      </c>
      <c r="J4287" s="1480">
        <v>0</v>
      </c>
      <c r="K4287" s="1508"/>
      <c r="L4287" s="1508"/>
      <c r="M4287" s="1509">
        <f t="shared" si="647"/>
        <v>0</v>
      </c>
      <c r="N4287" s="1508">
        <f t="shared" si="649"/>
        <v>0</v>
      </c>
      <c r="O4287" s="1481"/>
      <c r="P4287" s="1427"/>
    </row>
    <row r="4288" spans="1:16" ht="46.5" outlineLevel="1" x14ac:dyDescent="0.25">
      <c r="A4288" s="1484">
        <f t="shared" si="650"/>
        <v>47.6</v>
      </c>
      <c r="B4288" s="1485" t="str">
        <f t="shared" si="650"/>
        <v xml:space="preserve">Work of Modification/Renovation/Upgradation of Ventilation System of Track Hopper of CHPB of Unit 5,6&amp;7 of CSTPS Chandrapur. </v>
      </c>
      <c r="C4288" s="1488" t="str">
        <f t="shared" si="650"/>
        <v>MERC/CAPEX/MSPGCL/2023-24/0560</v>
      </c>
      <c r="D4288" s="1413">
        <f t="shared" si="650"/>
        <v>45230</v>
      </c>
      <c r="E4288" s="560">
        <f t="shared" si="650"/>
        <v>4.5999999999999996</v>
      </c>
      <c r="F4288" s="1508">
        <f t="shared" si="651"/>
        <v>4.5999999999999996</v>
      </c>
      <c r="G4288" s="1508">
        <f t="shared" si="652"/>
        <v>4.5999999999999996</v>
      </c>
      <c r="H4288" s="1508">
        <f t="shared" si="648"/>
        <v>0</v>
      </c>
      <c r="I4288" s="1480">
        <v>0</v>
      </c>
      <c r="J4288" s="1480">
        <v>0</v>
      </c>
      <c r="K4288" s="1508"/>
      <c r="L4288" s="1508"/>
      <c r="M4288" s="1509">
        <f t="shared" si="647"/>
        <v>0</v>
      </c>
      <c r="N4288" s="1508">
        <f t="shared" si="649"/>
        <v>0</v>
      </c>
      <c r="O4288" s="1481"/>
      <c r="P4288" s="1427"/>
    </row>
    <row r="4289" spans="1:16" ht="31" outlineLevel="1" x14ac:dyDescent="0.25">
      <c r="A4289" s="1484">
        <f t="shared" si="650"/>
        <v>47.7</v>
      </c>
      <c r="B4289" s="1485" t="str">
        <f t="shared" si="650"/>
        <v xml:space="preserve">Work of Renovation /Upgradation of Hydraulic System of Paddle Feeder at CHPB of Unit 5,6&amp;7 of CSTPS Chandrapur.  </v>
      </c>
      <c r="C4289" s="1488" t="str">
        <f t="shared" si="650"/>
        <v>MERC/CAPEX/MSPGCL/2023-24/0560</v>
      </c>
      <c r="D4289" s="1413">
        <f t="shared" si="650"/>
        <v>45230</v>
      </c>
      <c r="E4289" s="560">
        <f t="shared" si="650"/>
        <v>8.14</v>
      </c>
      <c r="F4289" s="1508">
        <f t="shared" si="651"/>
        <v>8.14</v>
      </c>
      <c r="G4289" s="1508">
        <f t="shared" si="652"/>
        <v>8.14</v>
      </c>
      <c r="H4289" s="1508">
        <f t="shared" si="648"/>
        <v>0</v>
      </c>
      <c r="I4289" s="1480">
        <v>0</v>
      </c>
      <c r="J4289" s="1480">
        <v>0</v>
      </c>
      <c r="K4289" s="1508"/>
      <c r="L4289" s="1508"/>
      <c r="M4289" s="1509">
        <f t="shared" si="647"/>
        <v>0</v>
      </c>
      <c r="N4289" s="1508">
        <f t="shared" si="649"/>
        <v>0</v>
      </c>
      <c r="O4289" s="1481"/>
      <c r="P4289" s="1427"/>
    </row>
    <row r="4290" spans="1:16" ht="46.5" outlineLevel="1" x14ac:dyDescent="0.25">
      <c r="A4290" s="1484">
        <f t="shared" si="650"/>
        <v>47.8</v>
      </c>
      <c r="B4290" s="1485" t="str">
        <f t="shared" si="650"/>
        <v xml:space="preserve">Design, Engineering, Manufacturing, Fabrication, Erection and commissioning of Modified Wobbler Feeder at CHPB of Unit 5,6&amp;7 of CSTPS Chandrapur. </v>
      </c>
      <c r="C4290" s="1488" t="str">
        <f t="shared" si="650"/>
        <v>MERC/CAPEX/MSPGCL/2023-24/0560</v>
      </c>
      <c r="D4290" s="1413">
        <f t="shared" si="650"/>
        <v>45230</v>
      </c>
      <c r="E4290" s="560">
        <f t="shared" si="650"/>
        <v>4.18</v>
      </c>
      <c r="F4290" s="1508">
        <f t="shared" si="651"/>
        <v>4.18</v>
      </c>
      <c r="G4290" s="1508">
        <f t="shared" si="652"/>
        <v>4.18</v>
      </c>
      <c r="H4290" s="1508">
        <f t="shared" si="648"/>
        <v>0</v>
      </c>
      <c r="I4290" s="1480">
        <v>0</v>
      </c>
      <c r="J4290" s="1480">
        <v>0</v>
      </c>
      <c r="K4290" s="1508"/>
      <c r="L4290" s="1508"/>
      <c r="M4290" s="1509">
        <f t="shared" si="647"/>
        <v>0</v>
      </c>
      <c r="N4290" s="1508">
        <f t="shared" si="649"/>
        <v>0</v>
      </c>
      <c r="O4290" s="1481"/>
      <c r="P4290" s="1427"/>
    </row>
    <row r="4291" spans="1:16" ht="31" outlineLevel="1" x14ac:dyDescent="0.25">
      <c r="A4291" s="1484">
        <f t="shared" si="650"/>
        <v>0</v>
      </c>
      <c r="B4291" s="1485" t="str">
        <f t="shared" si="650"/>
        <v>IDC</v>
      </c>
      <c r="C4291" s="1488" t="str">
        <f t="shared" si="650"/>
        <v>MERC/CAPEX/MSPGCL/2023-24/0560</v>
      </c>
      <c r="D4291" s="1413">
        <f t="shared" si="650"/>
        <v>45230</v>
      </c>
      <c r="E4291" s="560">
        <f t="shared" si="650"/>
        <v>0.97</v>
      </c>
      <c r="F4291" s="1508">
        <f t="shared" si="651"/>
        <v>0</v>
      </c>
      <c r="G4291" s="1508">
        <f t="shared" si="652"/>
        <v>0</v>
      </c>
      <c r="H4291" s="1508">
        <f t="shared" si="648"/>
        <v>0</v>
      </c>
      <c r="I4291" s="1480">
        <v>0</v>
      </c>
      <c r="J4291" s="1480">
        <v>0</v>
      </c>
      <c r="K4291" s="1508"/>
      <c r="L4291" s="1508"/>
      <c r="M4291" s="1509">
        <f t="shared" si="647"/>
        <v>0</v>
      </c>
      <c r="N4291" s="1508">
        <f t="shared" si="649"/>
        <v>0</v>
      </c>
      <c r="O4291" s="1481"/>
      <c r="P4291" s="1427"/>
    </row>
    <row r="4292" spans="1:16" ht="31" outlineLevel="1" x14ac:dyDescent="0.25">
      <c r="A4292" s="1489" t="str">
        <f t="shared" si="650"/>
        <v>HO
DPR 17</v>
      </c>
      <c r="B4292" s="1490" t="str">
        <f t="shared" si="650"/>
        <v>Construction of new Administrative Building for Mahagenco at Vidyut Bhawan, Katol Road, Nagpur</v>
      </c>
      <c r="C4292" s="1486" t="str">
        <f t="shared" si="650"/>
        <v>MERC/CAPEX/2021-2022/MSPGCL/063</v>
      </c>
      <c r="D4292" s="1487">
        <f t="shared" si="650"/>
        <v>44604</v>
      </c>
      <c r="E4292" s="560">
        <f t="shared" si="650"/>
        <v>57</v>
      </c>
      <c r="F4292" s="1508">
        <f t="shared" si="651"/>
        <v>0</v>
      </c>
      <c r="G4292" s="1508">
        <f t="shared" si="652"/>
        <v>0</v>
      </c>
      <c r="H4292" s="1508">
        <f t="shared" si="648"/>
        <v>0</v>
      </c>
      <c r="I4292" s="1480">
        <v>0</v>
      </c>
      <c r="J4292" s="1480">
        <v>0</v>
      </c>
      <c r="K4292" s="1508"/>
      <c r="L4292" s="1508"/>
      <c r="M4292" s="1509">
        <f t="shared" si="647"/>
        <v>0</v>
      </c>
      <c r="N4292" s="1508">
        <f t="shared" si="649"/>
        <v>0</v>
      </c>
      <c r="O4292" s="1481"/>
      <c r="P4292" s="1427"/>
    </row>
    <row r="4293" spans="1:16" ht="46.5" outlineLevel="1" x14ac:dyDescent="0.25">
      <c r="A4293" s="1484" t="str">
        <f t="shared" si="650"/>
        <v>HO
DPR 17.1</v>
      </c>
      <c r="B4293" s="1485" t="str">
        <f t="shared" si="650"/>
        <v>Construction of new Administrative Building for Mahagenco at Vidyut Bhawan, Katol Road, Nagpur</v>
      </c>
      <c r="C4293" s="1493" t="str">
        <f t="shared" si="650"/>
        <v>MERC/CAPEX/2021-2022/MSPGCL/063</v>
      </c>
      <c r="D4293" s="1494">
        <f t="shared" si="650"/>
        <v>44604</v>
      </c>
      <c r="E4293" s="560">
        <f t="shared" si="650"/>
        <v>54.24</v>
      </c>
      <c r="F4293" s="1508">
        <f t="shared" si="651"/>
        <v>27.12</v>
      </c>
      <c r="G4293" s="1508">
        <f t="shared" si="652"/>
        <v>27.12</v>
      </c>
      <c r="H4293" s="1508">
        <f t="shared" si="648"/>
        <v>0</v>
      </c>
      <c r="I4293" s="1480">
        <v>0</v>
      </c>
      <c r="J4293" s="1480">
        <v>0</v>
      </c>
      <c r="K4293" s="1508"/>
      <c r="L4293" s="1508"/>
      <c r="M4293" s="1509">
        <f t="shared" si="647"/>
        <v>0</v>
      </c>
      <c r="N4293" s="1508">
        <f t="shared" si="649"/>
        <v>0</v>
      </c>
      <c r="O4293" s="1481"/>
      <c r="P4293" s="1427"/>
    </row>
    <row r="4294" spans="1:16" ht="31" outlineLevel="1" x14ac:dyDescent="0.25">
      <c r="A4294" s="1496">
        <f t="shared" si="650"/>
        <v>0</v>
      </c>
      <c r="B4294" s="1485" t="str">
        <f t="shared" si="650"/>
        <v>IDC</v>
      </c>
      <c r="C4294" s="1493" t="str">
        <f t="shared" si="650"/>
        <v>MERC/CAPEX/2021-2022/MSPGCL/063</v>
      </c>
      <c r="D4294" s="1494">
        <f t="shared" si="650"/>
        <v>44604</v>
      </c>
      <c r="E4294" s="560">
        <f t="shared" si="650"/>
        <v>2.76</v>
      </c>
      <c r="F4294" s="1508">
        <f t="shared" si="651"/>
        <v>0</v>
      </c>
      <c r="G4294" s="1508">
        <f t="shared" si="652"/>
        <v>0</v>
      </c>
      <c r="H4294" s="1508">
        <f t="shared" si="648"/>
        <v>0</v>
      </c>
      <c r="I4294" s="1480">
        <v>0</v>
      </c>
      <c r="J4294" s="1480">
        <v>0</v>
      </c>
      <c r="K4294" s="1508"/>
      <c r="L4294" s="1508"/>
      <c r="M4294" s="1509">
        <f t="shared" si="647"/>
        <v>0</v>
      </c>
      <c r="N4294" s="1508">
        <f t="shared" si="649"/>
        <v>0</v>
      </c>
      <c r="O4294" s="1481"/>
      <c r="P4294" s="1427"/>
    </row>
    <row r="4295" spans="1:16" ht="31" outlineLevel="1" x14ac:dyDescent="0.25">
      <c r="A4295" s="1489" t="str">
        <f t="shared" si="650"/>
        <v>HO
DPR 18</v>
      </c>
      <c r="B4295" s="1490" t="str">
        <f t="shared" si="650"/>
        <v>Centralized Monitoring Solution</v>
      </c>
      <c r="C4295" s="1486" t="str">
        <f t="shared" si="650"/>
        <v>MERC/CAPEX/MSPGCL/2023-24/0576</v>
      </c>
      <c r="D4295" s="1487">
        <f t="shared" si="650"/>
        <v>45232</v>
      </c>
      <c r="E4295" s="560">
        <f t="shared" si="650"/>
        <v>69.308999999999997</v>
      </c>
      <c r="F4295" s="1508">
        <f t="shared" si="651"/>
        <v>0</v>
      </c>
      <c r="G4295" s="1508">
        <f t="shared" si="652"/>
        <v>0</v>
      </c>
      <c r="H4295" s="1508">
        <f t="shared" si="648"/>
        <v>0</v>
      </c>
      <c r="I4295" s="1480">
        <v>0</v>
      </c>
      <c r="J4295" s="1480">
        <v>0</v>
      </c>
      <c r="K4295" s="1508"/>
      <c r="L4295" s="1508"/>
      <c r="M4295" s="1509">
        <f t="shared" si="647"/>
        <v>0</v>
      </c>
      <c r="N4295" s="1508">
        <f t="shared" si="649"/>
        <v>0</v>
      </c>
      <c r="O4295" s="1481"/>
      <c r="P4295" s="1427"/>
    </row>
    <row r="4296" spans="1:16" ht="46.5" outlineLevel="1" x14ac:dyDescent="0.25">
      <c r="A4296" s="1484" t="str">
        <f t="shared" si="650"/>
        <v>HO
DPR 18.1</v>
      </c>
      <c r="B4296" s="1485" t="str">
        <f t="shared" si="650"/>
        <v>Centralized Monitoring Solution</v>
      </c>
      <c r="C4296" s="1493" t="str">
        <f t="shared" si="650"/>
        <v>MERC/CAPEX/MSPGCL/2023-24/0576</v>
      </c>
      <c r="D4296" s="1494">
        <f t="shared" si="650"/>
        <v>45232</v>
      </c>
      <c r="E4296" s="560">
        <f t="shared" si="650"/>
        <v>66.009</v>
      </c>
      <c r="F4296" s="1508">
        <f t="shared" si="651"/>
        <v>66.009</v>
      </c>
      <c r="G4296" s="1508">
        <f t="shared" si="652"/>
        <v>66.009</v>
      </c>
      <c r="H4296" s="1508">
        <f t="shared" si="648"/>
        <v>0</v>
      </c>
      <c r="I4296" s="1480">
        <v>0</v>
      </c>
      <c r="J4296" s="1480">
        <v>0</v>
      </c>
      <c r="K4296" s="1508"/>
      <c r="L4296" s="1508"/>
      <c r="M4296" s="1509">
        <f t="shared" si="647"/>
        <v>0</v>
      </c>
      <c r="N4296" s="1508">
        <f t="shared" si="649"/>
        <v>0</v>
      </c>
      <c r="O4296" s="1481"/>
      <c r="P4296" s="1427"/>
    </row>
    <row r="4297" spans="1:16" ht="31" outlineLevel="1" x14ac:dyDescent="0.25">
      <c r="A4297" s="1496">
        <f t="shared" si="650"/>
        <v>0</v>
      </c>
      <c r="B4297" s="1485" t="str">
        <f t="shared" si="650"/>
        <v>IDC</v>
      </c>
      <c r="C4297" s="1493" t="str">
        <f t="shared" si="650"/>
        <v>MERC/CAPEX/MSPGCL/2023-24/0576</v>
      </c>
      <c r="D4297" s="1494">
        <f t="shared" si="650"/>
        <v>45232</v>
      </c>
      <c r="E4297" s="560">
        <f t="shared" si="650"/>
        <v>3.3</v>
      </c>
      <c r="F4297" s="1508">
        <f t="shared" si="651"/>
        <v>0</v>
      </c>
      <c r="G4297" s="1508">
        <f t="shared" si="652"/>
        <v>0</v>
      </c>
      <c r="H4297" s="1508">
        <f t="shared" si="648"/>
        <v>0</v>
      </c>
      <c r="I4297" s="1480">
        <v>0</v>
      </c>
      <c r="J4297" s="1480">
        <v>0</v>
      </c>
      <c r="K4297" s="1508"/>
      <c r="L4297" s="1508"/>
      <c r="M4297" s="1509">
        <f t="shared" si="647"/>
        <v>0</v>
      </c>
      <c r="N4297" s="1508">
        <f t="shared" si="649"/>
        <v>0</v>
      </c>
      <c r="O4297" s="1481"/>
      <c r="P4297" s="1427"/>
    </row>
    <row r="4298" spans="1:16" ht="62" outlineLevel="1" x14ac:dyDescent="0.25">
      <c r="A4298" s="1486" t="str">
        <f t="shared" si="650"/>
        <v>Y2</v>
      </c>
      <c r="B4298" s="1491" t="str">
        <f t="shared" si="650"/>
        <v>Procurement &amp; replacement of 400 NB Cast Basalt Pipelines with the existing MSERW pipe of ash disposal system of Unit #5,6 &amp; 7 at CSTPS, Chandrapur” under capital expenditure during the FY 2023-24.</v>
      </c>
      <c r="C4298" s="1486" t="str">
        <f t="shared" si="650"/>
        <v>MERC/CAPEX/2024-2025/MSPGCL/0475 Dt 06.08.2024</v>
      </c>
      <c r="D4298" s="1487">
        <f t="shared" si="650"/>
        <v>45510</v>
      </c>
      <c r="E4298" s="560">
        <f t="shared" si="650"/>
        <v>81.350000000000009</v>
      </c>
      <c r="F4298" s="1508">
        <f t="shared" si="651"/>
        <v>0</v>
      </c>
      <c r="G4298" s="1508">
        <f t="shared" si="652"/>
        <v>0</v>
      </c>
      <c r="H4298" s="1508">
        <f t="shared" si="648"/>
        <v>0</v>
      </c>
      <c r="I4298" s="1480">
        <v>0</v>
      </c>
      <c r="J4298" s="1480">
        <v>0</v>
      </c>
      <c r="K4298" s="1508"/>
      <c r="L4298" s="1508"/>
      <c r="M4298" s="1509">
        <f t="shared" si="647"/>
        <v>0</v>
      </c>
      <c r="N4298" s="1508">
        <f t="shared" si="649"/>
        <v>0</v>
      </c>
      <c r="O4298" s="1481"/>
      <c r="P4298" s="1427"/>
    </row>
    <row r="4299" spans="1:16" ht="62" outlineLevel="1" x14ac:dyDescent="0.25">
      <c r="A4299" s="1488">
        <f t="shared" si="650"/>
        <v>2.1</v>
      </c>
      <c r="B4299" s="1492" t="str">
        <f t="shared" si="650"/>
        <v>Procurement &amp; replacement of 400 NB Cast Basalt Pipelines with the existing MSERW pipe of ash disposal system of Unit #5,6 &amp; 7 at CSTPS, Chandrapur” under capital expenditure during the FY 2023-24.</v>
      </c>
      <c r="C4299" s="1488" t="str">
        <f t="shared" si="650"/>
        <v>MERC/CAPEX/2024-2025/MSPGCL/0475 Dt 06.08.2024</v>
      </c>
      <c r="D4299" s="1413">
        <f t="shared" si="650"/>
        <v>45510</v>
      </c>
      <c r="E4299" s="560">
        <f t="shared" si="650"/>
        <v>80.150000000000006</v>
      </c>
      <c r="F4299" s="1508">
        <f t="shared" si="651"/>
        <v>80.150000000000006</v>
      </c>
      <c r="G4299" s="1508">
        <f t="shared" si="652"/>
        <v>80.150000000000006</v>
      </c>
      <c r="H4299" s="1508">
        <f t="shared" si="648"/>
        <v>0</v>
      </c>
      <c r="I4299" s="1480">
        <v>0</v>
      </c>
      <c r="J4299" s="1480">
        <v>0</v>
      </c>
      <c r="K4299" s="1508"/>
      <c r="L4299" s="1508"/>
      <c r="M4299" s="1509">
        <f t="shared" si="647"/>
        <v>0</v>
      </c>
      <c r="N4299" s="1508">
        <f t="shared" si="649"/>
        <v>0</v>
      </c>
      <c r="O4299" s="1481"/>
      <c r="P4299" s="1427"/>
    </row>
    <row r="4300" spans="1:16" ht="31" outlineLevel="1" x14ac:dyDescent="0.25">
      <c r="A4300" s="1488">
        <f t="shared" si="650"/>
        <v>0</v>
      </c>
      <c r="B4300" s="1492" t="str">
        <f t="shared" si="650"/>
        <v>IDC</v>
      </c>
      <c r="C4300" s="1488" t="str">
        <f t="shared" si="650"/>
        <v>MERC/CAPEX/2024-2025/MSPGCL/0475 Dt 06.08.2024</v>
      </c>
      <c r="D4300" s="1413">
        <f t="shared" si="650"/>
        <v>45510</v>
      </c>
      <c r="E4300" s="560">
        <f t="shared" si="650"/>
        <v>1.2</v>
      </c>
      <c r="F4300" s="1508">
        <f t="shared" si="651"/>
        <v>0</v>
      </c>
      <c r="G4300" s="1508">
        <f t="shared" si="652"/>
        <v>0</v>
      </c>
      <c r="H4300" s="1508">
        <f t="shared" si="648"/>
        <v>0</v>
      </c>
      <c r="I4300" s="1480">
        <v>0</v>
      </c>
      <c r="J4300" s="1480">
        <v>0</v>
      </c>
      <c r="K4300" s="1508"/>
      <c r="L4300" s="1508"/>
      <c r="M4300" s="1509">
        <f t="shared" si="647"/>
        <v>0</v>
      </c>
      <c r="N4300" s="1508">
        <f t="shared" si="649"/>
        <v>0</v>
      </c>
      <c r="O4300" s="1481"/>
      <c r="P4300" s="1427"/>
    </row>
    <row r="4301" spans="1:16" ht="77.5" outlineLevel="1" x14ac:dyDescent="0.25">
      <c r="A4301" s="1486" t="str">
        <f t="shared" si="650"/>
        <v>Y3</v>
      </c>
      <c r="B4301" s="1491" t="str">
        <f t="shared" si="650"/>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4301" s="1486" t="str">
        <f t="shared" si="650"/>
        <v>MERC/CAPEX/2024-25/MSPGCL/0473 Dt 06.08.2024</v>
      </c>
      <c r="D4301" s="1487">
        <f t="shared" si="650"/>
        <v>45510</v>
      </c>
      <c r="E4301" s="560">
        <f t="shared" si="650"/>
        <v>25.78</v>
      </c>
      <c r="F4301" s="1508">
        <f t="shared" si="651"/>
        <v>0</v>
      </c>
      <c r="G4301" s="1508">
        <f t="shared" si="652"/>
        <v>0</v>
      </c>
      <c r="H4301" s="1508">
        <f t="shared" si="648"/>
        <v>0</v>
      </c>
      <c r="I4301" s="1480">
        <v>0</v>
      </c>
      <c r="J4301" s="1480">
        <v>0</v>
      </c>
      <c r="K4301" s="1508"/>
      <c r="L4301" s="1508"/>
      <c r="M4301" s="1509">
        <f t="shared" si="647"/>
        <v>0</v>
      </c>
      <c r="N4301" s="1508">
        <f t="shared" si="649"/>
        <v>0</v>
      </c>
      <c r="O4301" s="1481"/>
      <c r="P4301" s="1427"/>
    </row>
    <row r="4302" spans="1:16" ht="31" outlineLevel="1" x14ac:dyDescent="0.25">
      <c r="A4302" s="1488">
        <f t="shared" ref="A4302:E4317" si="653">A3632</f>
        <v>3.1</v>
      </c>
      <c r="B4302" s="1497" t="str">
        <f t="shared" si="653"/>
        <v>Scheme-1: Upgradation of 11KV Sub-stations of Urjanagar colony, CSTPS, Chandrapur.</v>
      </c>
      <c r="C4302" s="1488" t="str">
        <f t="shared" si="653"/>
        <v>MERC/CAPEX/2024-25/MSPGCL/0473 Dt 06.08.2024</v>
      </c>
      <c r="D4302" s="1413">
        <f t="shared" si="653"/>
        <v>45510</v>
      </c>
      <c r="E4302" s="1383">
        <f t="shared" si="653"/>
        <v>7.19</v>
      </c>
      <c r="F4302" s="1480">
        <f t="shared" si="651"/>
        <v>7.19</v>
      </c>
      <c r="G4302" s="1480">
        <f t="shared" si="652"/>
        <v>7.19</v>
      </c>
      <c r="H4302" s="1480">
        <f t="shared" si="648"/>
        <v>0</v>
      </c>
      <c r="I4302" s="1480">
        <v>0</v>
      </c>
      <c r="J4302" s="1480">
        <v>0</v>
      </c>
      <c r="K4302" s="1480"/>
      <c r="L4302" s="1480"/>
      <c r="M4302" s="1480">
        <f t="shared" ref="M4302:M4360" si="654">SUM(J4302:L4302)</f>
        <v>0</v>
      </c>
      <c r="N4302" s="1480">
        <f t="shared" si="649"/>
        <v>0</v>
      </c>
      <c r="O4302" s="1481">
        <f t="shared" ref="O4302:O4324" si="655">MAX(0,IF(M4302=0,0,IF(G4302+M4302&lt;E4302,M4302,E4302-G4302)))</f>
        <v>0</v>
      </c>
      <c r="P4302" s="1427">
        <f t="shared" ref="P4302:P4324" si="656">M4302-O4302</f>
        <v>0</v>
      </c>
    </row>
    <row r="4303" spans="1:16" ht="31" outlineLevel="1" x14ac:dyDescent="0.25">
      <c r="A4303" s="1488">
        <f t="shared" si="653"/>
        <v>3.1</v>
      </c>
      <c r="B4303" s="1497" t="str">
        <f t="shared" si="653"/>
        <v>Scheme-3: Replacement of old energy meters by electronics energy meters at Urjanagar colony, CSTPS, Chandrapur.</v>
      </c>
      <c r="C4303" s="1488" t="str">
        <f t="shared" si="653"/>
        <v>MERC/CAPEX/2024-25/MSPGCL/0473 Dt 06.08.2024</v>
      </c>
      <c r="D4303" s="1413">
        <f t="shared" si="653"/>
        <v>45510</v>
      </c>
      <c r="E4303" s="560">
        <f t="shared" si="653"/>
        <v>0.8</v>
      </c>
      <c r="F4303" s="1508">
        <f t="shared" si="651"/>
        <v>0.8</v>
      </c>
      <c r="G4303" s="1508">
        <f t="shared" si="652"/>
        <v>0.8</v>
      </c>
      <c r="H4303" s="1508">
        <f t="shared" si="648"/>
        <v>0</v>
      </c>
      <c r="I4303" s="1480">
        <v>0</v>
      </c>
      <c r="J4303" s="1480">
        <v>0</v>
      </c>
      <c r="K4303" s="1508"/>
      <c r="L4303" s="1508"/>
      <c r="M4303" s="1509">
        <f t="shared" si="654"/>
        <v>0</v>
      </c>
      <c r="N4303" s="1508">
        <f t="shared" si="649"/>
        <v>0</v>
      </c>
      <c r="O4303" s="1481">
        <f t="shared" si="655"/>
        <v>0</v>
      </c>
      <c r="P4303" s="1427">
        <f t="shared" si="656"/>
        <v>0</v>
      </c>
    </row>
    <row r="4304" spans="1:16" ht="31" outlineLevel="1" x14ac:dyDescent="0.25">
      <c r="A4304" s="1488">
        <f t="shared" si="653"/>
        <v>3.1</v>
      </c>
      <c r="B4304" s="1497" t="str">
        <f t="shared" si="653"/>
        <v>Scheme-5 : Provision of 11KV  supply to Urjanagar colony from station board of Stage-III, CSTPS Chandrapur.</v>
      </c>
      <c r="C4304" s="1488" t="str">
        <f t="shared" si="653"/>
        <v>MERC/CAPEX/2024-25/MSPGCL/0473 Dt 06.08.2024</v>
      </c>
      <c r="D4304" s="1413">
        <f t="shared" si="653"/>
        <v>45510</v>
      </c>
      <c r="E4304" s="560">
        <f t="shared" si="653"/>
        <v>2.97</v>
      </c>
      <c r="F4304" s="1508">
        <f t="shared" si="651"/>
        <v>2.9193972000000001</v>
      </c>
      <c r="G4304" s="1508">
        <f t="shared" si="652"/>
        <v>2.9193972000000001</v>
      </c>
      <c r="H4304" s="1508">
        <f t="shared" si="648"/>
        <v>0</v>
      </c>
      <c r="I4304" s="1480">
        <v>0</v>
      </c>
      <c r="J4304" s="1480">
        <v>0</v>
      </c>
      <c r="K4304" s="1508"/>
      <c r="L4304" s="1508"/>
      <c r="M4304" s="1509">
        <f t="shared" si="654"/>
        <v>0</v>
      </c>
      <c r="N4304" s="1508">
        <f t="shared" si="649"/>
        <v>0</v>
      </c>
      <c r="O4304" s="1481">
        <f t="shared" si="655"/>
        <v>0</v>
      </c>
      <c r="P4304" s="1427">
        <f t="shared" si="656"/>
        <v>0</v>
      </c>
    </row>
    <row r="4305" spans="1:16" ht="77.5" outlineLevel="1" x14ac:dyDescent="0.25">
      <c r="A4305" s="1488">
        <f t="shared" si="653"/>
        <v>3.1</v>
      </c>
      <c r="B4305" s="1497" t="str">
        <f t="shared" si="653"/>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4305" s="1488" t="str">
        <f t="shared" si="653"/>
        <v>MERC/CAPEX/2024-25/MSPGCL/0473 Dt 06.08.2024</v>
      </c>
      <c r="D4305" s="1413">
        <f t="shared" si="653"/>
        <v>45510</v>
      </c>
      <c r="E4305" s="560">
        <f t="shared" si="653"/>
        <v>10.48</v>
      </c>
      <c r="F4305" s="1508">
        <f t="shared" si="651"/>
        <v>10.48</v>
      </c>
      <c r="G4305" s="1508">
        <f t="shared" si="652"/>
        <v>10.48</v>
      </c>
      <c r="H4305" s="1508">
        <f t="shared" si="648"/>
        <v>0</v>
      </c>
      <c r="I4305" s="1480">
        <v>0</v>
      </c>
      <c r="J4305" s="1480">
        <v>0</v>
      </c>
      <c r="K4305" s="1508"/>
      <c r="L4305" s="1508"/>
      <c r="M4305" s="1509">
        <f t="shared" si="654"/>
        <v>0</v>
      </c>
      <c r="N4305" s="1508">
        <f t="shared" si="649"/>
        <v>0</v>
      </c>
      <c r="O4305" s="1481">
        <f t="shared" si="655"/>
        <v>0</v>
      </c>
      <c r="P4305" s="1427">
        <f t="shared" si="656"/>
        <v>0</v>
      </c>
    </row>
    <row r="4306" spans="1:16" ht="62" outlineLevel="1" x14ac:dyDescent="0.25">
      <c r="A4306" s="1488">
        <f t="shared" si="653"/>
        <v>3.1</v>
      </c>
      <c r="B4306" s="1497" t="str">
        <f t="shared" si="653"/>
        <v>Scheme-7: Design, supply, erection, installation, testing and commissioning of the boiler goods lifts in place of the existing old lifts installed at Unit#6&amp;7 500MW Stage-III CSTPS Chandrapur</v>
      </c>
      <c r="C4306" s="1488" t="str">
        <f t="shared" si="653"/>
        <v>MERC/CAPEX/2024-25/MSPGCL/0473 Dt 06.08.2024</v>
      </c>
      <c r="D4306" s="1413">
        <f t="shared" si="653"/>
        <v>45510</v>
      </c>
      <c r="E4306" s="560">
        <f t="shared" si="653"/>
        <v>3.66</v>
      </c>
      <c r="F4306" s="1508">
        <f t="shared" si="651"/>
        <v>3.66</v>
      </c>
      <c r="G4306" s="1508">
        <f t="shared" si="652"/>
        <v>3.66</v>
      </c>
      <c r="H4306" s="1508">
        <f t="shared" si="648"/>
        <v>0</v>
      </c>
      <c r="I4306" s="1480">
        <v>0</v>
      </c>
      <c r="J4306" s="1480">
        <v>0</v>
      </c>
      <c r="K4306" s="1508"/>
      <c r="L4306" s="1508"/>
      <c r="M4306" s="1509">
        <f t="shared" si="654"/>
        <v>0</v>
      </c>
      <c r="N4306" s="1508">
        <f t="shared" si="649"/>
        <v>0</v>
      </c>
      <c r="O4306" s="1481">
        <f t="shared" si="655"/>
        <v>0</v>
      </c>
      <c r="P4306" s="1427">
        <f t="shared" si="656"/>
        <v>0</v>
      </c>
    </row>
    <row r="4307" spans="1:16" ht="31" outlineLevel="1" x14ac:dyDescent="0.25">
      <c r="A4307" s="1488">
        <f t="shared" si="653"/>
        <v>0</v>
      </c>
      <c r="B4307" s="1497" t="str">
        <f t="shared" si="653"/>
        <v>IDC</v>
      </c>
      <c r="C4307" s="1488" t="str">
        <f t="shared" si="653"/>
        <v>MERC/CAPEX/2024-25/MSPGCL/0473 Dt 06.08.2024</v>
      </c>
      <c r="D4307" s="1413">
        <f t="shared" si="653"/>
        <v>45510</v>
      </c>
      <c r="E4307" s="560">
        <f t="shared" si="653"/>
        <v>0.68</v>
      </c>
      <c r="F4307" s="1508">
        <f t="shared" si="651"/>
        <v>0</v>
      </c>
      <c r="G4307" s="1508">
        <f t="shared" si="652"/>
        <v>0</v>
      </c>
      <c r="H4307" s="1508">
        <f t="shared" si="648"/>
        <v>0</v>
      </c>
      <c r="I4307" s="1480">
        <v>0</v>
      </c>
      <c r="J4307" s="1480">
        <v>0</v>
      </c>
      <c r="K4307" s="1508"/>
      <c r="L4307" s="1508"/>
      <c r="M4307" s="1509">
        <f t="shared" si="654"/>
        <v>0</v>
      </c>
      <c r="N4307" s="1508">
        <f t="shared" si="649"/>
        <v>0</v>
      </c>
      <c r="O4307" s="1481">
        <f t="shared" si="655"/>
        <v>0</v>
      </c>
      <c r="P4307" s="1427">
        <f t="shared" si="656"/>
        <v>0</v>
      </c>
    </row>
    <row r="4308" spans="1:16" ht="31" outlineLevel="1" x14ac:dyDescent="0.25">
      <c r="A4308" s="1486" t="str">
        <f t="shared" si="653"/>
        <v>Y4</v>
      </c>
      <c r="B4308" s="1491" t="str">
        <f t="shared" si="653"/>
        <v>Providing 1600 mm pipeline from Erdai Dam to CSTPS, Chandrapur</v>
      </c>
      <c r="C4308" s="1486" t="str">
        <f t="shared" si="653"/>
        <v>MERC/CAPEX/2024-2025/MSPGCL/0476 Dt 06.08.2024</v>
      </c>
      <c r="D4308" s="1487">
        <f t="shared" si="653"/>
        <v>45510</v>
      </c>
      <c r="E4308" s="1383">
        <f t="shared" si="653"/>
        <v>0</v>
      </c>
      <c r="F4308" s="1480">
        <f t="shared" si="651"/>
        <v>0</v>
      </c>
      <c r="G4308" s="1480">
        <f t="shared" si="652"/>
        <v>0</v>
      </c>
      <c r="H4308" s="1480">
        <f t="shared" si="648"/>
        <v>0</v>
      </c>
      <c r="I4308" s="1480">
        <v>0</v>
      </c>
      <c r="J4308" s="1480">
        <v>0</v>
      </c>
      <c r="K4308" s="1480"/>
      <c r="L4308" s="1480"/>
      <c r="M4308" s="1480">
        <f t="shared" si="654"/>
        <v>0</v>
      </c>
      <c r="N4308" s="1480">
        <f t="shared" si="649"/>
        <v>0</v>
      </c>
      <c r="O4308" s="1481">
        <f t="shared" si="655"/>
        <v>0</v>
      </c>
      <c r="P4308" s="1427">
        <f t="shared" si="656"/>
        <v>0</v>
      </c>
    </row>
    <row r="4309" spans="1:16" ht="31" outlineLevel="1" x14ac:dyDescent="0.25">
      <c r="A4309" s="1488">
        <f t="shared" si="653"/>
        <v>4.0999999999999996</v>
      </c>
      <c r="B4309" s="1492" t="str">
        <f t="shared" si="653"/>
        <v>Providing 1600 mm pipeline from Erdai Dam to CSTPS, Chandrapur</v>
      </c>
      <c r="C4309" s="1488" t="str">
        <f t="shared" si="653"/>
        <v>MERC/CAPEX/2024-2025/MSPGCL/0476 Dt 06.08.2024</v>
      </c>
      <c r="D4309" s="1413">
        <f t="shared" si="653"/>
        <v>45510</v>
      </c>
      <c r="E4309" s="560">
        <f t="shared" si="653"/>
        <v>0</v>
      </c>
      <c r="F4309" s="1508">
        <f t="shared" si="651"/>
        <v>78.325479452054807</v>
      </c>
      <c r="G4309" s="1508">
        <f t="shared" si="652"/>
        <v>78.325479452054807</v>
      </c>
      <c r="H4309" s="1508">
        <f t="shared" si="648"/>
        <v>0</v>
      </c>
      <c r="I4309" s="1480">
        <v>0</v>
      </c>
      <c r="J4309" s="1480">
        <v>0</v>
      </c>
      <c r="K4309" s="1508"/>
      <c r="L4309" s="1508"/>
      <c r="M4309" s="1509">
        <f t="shared" si="654"/>
        <v>0</v>
      </c>
      <c r="N4309" s="1508">
        <f t="shared" si="649"/>
        <v>0</v>
      </c>
      <c r="O4309" s="1481">
        <f t="shared" si="655"/>
        <v>0</v>
      </c>
      <c r="P4309" s="1427">
        <f t="shared" si="656"/>
        <v>0</v>
      </c>
    </row>
    <row r="4310" spans="1:16" ht="31" outlineLevel="1" x14ac:dyDescent="0.25">
      <c r="A4310" s="1488">
        <f t="shared" si="653"/>
        <v>0</v>
      </c>
      <c r="B4310" s="1492" t="str">
        <f t="shared" si="653"/>
        <v>IDC</v>
      </c>
      <c r="C4310" s="1488" t="str">
        <f t="shared" si="653"/>
        <v>MERC/CAPEX/2024-2025/MSPGCL/0476 Dt 06.08.2024</v>
      </c>
      <c r="D4310" s="1413">
        <f t="shared" si="653"/>
        <v>45510</v>
      </c>
      <c r="E4310" s="560">
        <f t="shared" si="653"/>
        <v>0</v>
      </c>
      <c r="F4310" s="1508">
        <f t="shared" si="651"/>
        <v>0</v>
      </c>
      <c r="G4310" s="1508">
        <f t="shared" si="652"/>
        <v>0</v>
      </c>
      <c r="H4310" s="1508">
        <f t="shared" si="648"/>
        <v>0</v>
      </c>
      <c r="I4310" s="1480">
        <v>0</v>
      </c>
      <c r="J4310" s="1480">
        <v>0</v>
      </c>
      <c r="K4310" s="1508"/>
      <c r="L4310" s="1508"/>
      <c r="M4310" s="1509">
        <f t="shared" si="654"/>
        <v>0</v>
      </c>
      <c r="N4310" s="1508">
        <f t="shared" si="649"/>
        <v>0</v>
      </c>
      <c r="O4310" s="1481">
        <f t="shared" si="655"/>
        <v>0</v>
      </c>
      <c r="P4310" s="1427">
        <f t="shared" si="656"/>
        <v>0</v>
      </c>
    </row>
    <row r="4311" spans="1:16" ht="31" outlineLevel="1" x14ac:dyDescent="0.25">
      <c r="A4311" s="1486" t="str">
        <f t="shared" si="653"/>
        <v>Y5</v>
      </c>
      <c r="B4311" s="1491" t="str">
        <f t="shared" si="653"/>
        <v>Performance Improvement &amp; Life Extension Schemes for CHP of Unit 5 to 7 of CSTPS, Chandrapur. -Part-2</v>
      </c>
      <c r="C4311" s="1486" t="str">
        <f t="shared" si="653"/>
        <v>MERC/CAPEX/MSPGCL/2023-2024/0466 Dt 02.08.2024</v>
      </c>
      <c r="D4311" s="1487">
        <f t="shared" si="653"/>
        <v>45506</v>
      </c>
      <c r="E4311" s="560">
        <f t="shared" si="653"/>
        <v>0</v>
      </c>
      <c r="F4311" s="1508">
        <f t="shared" si="651"/>
        <v>0</v>
      </c>
      <c r="G4311" s="1508">
        <f t="shared" si="652"/>
        <v>0</v>
      </c>
      <c r="H4311" s="1508">
        <f t="shared" si="648"/>
        <v>0</v>
      </c>
      <c r="I4311" s="1480">
        <v>0</v>
      </c>
      <c r="J4311" s="1480">
        <v>0</v>
      </c>
      <c r="K4311" s="1508"/>
      <c r="L4311" s="1508"/>
      <c r="M4311" s="1509">
        <f t="shared" si="654"/>
        <v>0</v>
      </c>
      <c r="N4311" s="1508">
        <f t="shared" si="649"/>
        <v>0</v>
      </c>
      <c r="O4311" s="1481">
        <f t="shared" si="655"/>
        <v>0</v>
      </c>
      <c r="P4311" s="1427">
        <f t="shared" si="656"/>
        <v>0</v>
      </c>
    </row>
    <row r="4312" spans="1:16" ht="31" outlineLevel="1" x14ac:dyDescent="0.25">
      <c r="A4312" s="1488">
        <f t="shared" si="653"/>
        <v>5.0999999999999996</v>
      </c>
      <c r="B4312" s="1492" t="str">
        <f t="shared" si="653"/>
        <v>Scheme-1: Upgradation/Renovation of Deck Module of Under Ground Conveyor stream of CHPB of Unit-5,6&amp;7 Chandrapur.</v>
      </c>
      <c r="C4312" s="1488" t="str">
        <f t="shared" si="653"/>
        <v>MERC/CAPEX/MSPGCL/2023-2024/0466 Dt 02.08.2024</v>
      </c>
      <c r="D4312" s="1413">
        <f t="shared" si="653"/>
        <v>45506</v>
      </c>
      <c r="E4312" s="1383">
        <f t="shared" si="653"/>
        <v>0</v>
      </c>
      <c r="F4312" s="1480">
        <f t="shared" si="651"/>
        <v>4.43</v>
      </c>
      <c r="G4312" s="1480">
        <f t="shared" si="652"/>
        <v>4.43</v>
      </c>
      <c r="H4312" s="1480">
        <f t="shared" si="648"/>
        <v>0</v>
      </c>
      <c r="I4312" s="1480">
        <v>0</v>
      </c>
      <c r="J4312" s="1480">
        <v>0</v>
      </c>
      <c r="K4312" s="1480"/>
      <c r="L4312" s="1480"/>
      <c r="M4312" s="1480">
        <f t="shared" si="654"/>
        <v>0</v>
      </c>
      <c r="N4312" s="1480">
        <f t="shared" si="649"/>
        <v>0</v>
      </c>
      <c r="O4312" s="1481">
        <f t="shared" si="655"/>
        <v>0</v>
      </c>
      <c r="P4312" s="1427">
        <f t="shared" si="656"/>
        <v>0</v>
      </c>
    </row>
    <row r="4313" spans="1:16" ht="31" outlineLevel="1" x14ac:dyDescent="0.25">
      <c r="A4313" s="1488">
        <f t="shared" si="653"/>
        <v>5.2</v>
      </c>
      <c r="B4313" s="1492" t="str">
        <f t="shared" si="653"/>
        <v>Scheme-2: Renovation &amp; Upgradation of Transfer Point of CHPB of Unit 5 to 7 of CSTPS Chandrapur.</v>
      </c>
      <c r="C4313" s="1488" t="str">
        <f t="shared" si="653"/>
        <v>MERC/CAPEX/MSPGCL/2023-2024/0466 Dt 02.08.2024</v>
      </c>
      <c r="D4313" s="1413">
        <f t="shared" si="653"/>
        <v>45506</v>
      </c>
      <c r="E4313" s="560">
        <f t="shared" si="653"/>
        <v>0</v>
      </c>
      <c r="F4313" s="1508">
        <f t="shared" si="651"/>
        <v>4.54</v>
      </c>
      <c r="G4313" s="1508">
        <f t="shared" si="652"/>
        <v>4.54</v>
      </c>
      <c r="H4313" s="1508">
        <f t="shared" si="648"/>
        <v>0</v>
      </c>
      <c r="I4313" s="1480">
        <v>0</v>
      </c>
      <c r="J4313" s="1480">
        <v>0</v>
      </c>
      <c r="K4313" s="1508"/>
      <c r="L4313" s="1508"/>
      <c r="M4313" s="1509">
        <f t="shared" si="654"/>
        <v>0</v>
      </c>
      <c r="N4313" s="1508">
        <f t="shared" si="649"/>
        <v>0</v>
      </c>
      <c r="O4313" s="1481">
        <f t="shared" si="655"/>
        <v>0</v>
      </c>
      <c r="P4313" s="1427">
        <f t="shared" si="656"/>
        <v>0</v>
      </c>
    </row>
    <row r="4314" spans="1:16" ht="31" outlineLevel="1" x14ac:dyDescent="0.25">
      <c r="A4314" s="1488">
        <f t="shared" si="653"/>
        <v>5.3</v>
      </c>
      <c r="B4314" s="1492" t="str">
        <f t="shared" si="653"/>
        <v>Scheme-3: Renovation &amp; Upgradation of Walkway Platform of CHPB of Unit 5 to 7 of CSTPS Chandrapur.</v>
      </c>
      <c r="C4314" s="1488" t="str">
        <f t="shared" si="653"/>
        <v>MERC/CAPEX/MSPGCL/2023-2024/0466 Dt 02.08.2024</v>
      </c>
      <c r="D4314" s="1413">
        <f t="shared" si="653"/>
        <v>45506</v>
      </c>
      <c r="E4314" s="560">
        <f t="shared" si="653"/>
        <v>0</v>
      </c>
      <c r="F4314" s="1508">
        <f t="shared" si="651"/>
        <v>5.25</v>
      </c>
      <c r="G4314" s="1508">
        <f t="shared" si="652"/>
        <v>5.25</v>
      </c>
      <c r="H4314" s="1508">
        <f t="shared" si="648"/>
        <v>0</v>
      </c>
      <c r="I4314" s="1480">
        <v>0</v>
      </c>
      <c r="J4314" s="1480">
        <v>0</v>
      </c>
      <c r="K4314" s="1508"/>
      <c r="L4314" s="1508"/>
      <c r="M4314" s="1509">
        <f t="shared" si="654"/>
        <v>0</v>
      </c>
      <c r="N4314" s="1508">
        <f t="shared" si="649"/>
        <v>0</v>
      </c>
      <c r="O4314" s="1481">
        <f t="shared" si="655"/>
        <v>0</v>
      </c>
      <c r="P4314" s="1427">
        <f t="shared" si="656"/>
        <v>0</v>
      </c>
    </row>
    <row r="4315" spans="1:16" ht="31" outlineLevel="1" x14ac:dyDescent="0.25">
      <c r="A4315" s="1488">
        <f t="shared" si="653"/>
        <v>5.4</v>
      </c>
      <c r="B4315" s="1492" t="str">
        <f t="shared" si="653"/>
        <v>Scheme-4: Work of Renovation &amp; Modernization of Bunker Shuttle Conveyor of CHPB of Unit 5, 6 &amp; 7 in CSTPS Chandrapur.</v>
      </c>
      <c r="C4315" s="1488" t="str">
        <f t="shared" si="653"/>
        <v>MERC/CAPEX/MSPGCL/2023-2024/0466 Dt 02.08.2024</v>
      </c>
      <c r="D4315" s="1413">
        <f t="shared" si="653"/>
        <v>45506</v>
      </c>
      <c r="E4315" s="560">
        <f t="shared" si="653"/>
        <v>0</v>
      </c>
      <c r="F4315" s="1508">
        <f t="shared" si="651"/>
        <v>4.6100000000000003</v>
      </c>
      <c r="G4315" s="1508">
        <f t="shared" si="652"/>
        <v>4.6100000000000003</v>
      </c>
      <c r="H4315" s="1508">
        <f t="shared" si="648"/>
        <v>0</v>
      </c>
      <c r="I4315" s="1480">
        <v>0</v>
      </c>
      <c r="J4315" s="1480">
        <v>0</v>
      </c>
      <c r="K4315" s="1508"/>
      <c r="L4315" s="1508"/>
      <c r="M4315" s="1509">
        <f t="shared" si="654"/>
        <v>0</v>
      </c>
      <c r="N4315" s="1508">
        <f t="shared" si="649"/>
        <v>0</v>
      </c>
      <c r="O4315" s="1481">
        <f t="shared" si="655"/>
        <v>0</v>
      </c>
      <c r="P4315" s="1427">
        <f t="shared" si="656"/>
        <v>0</v>
      </c>
    </row>
    <row r="4316" spans="1:16" ht="46.5" outlineLevel="1" x14ac:dyDescent="0.25">
      <c r="A4316" s="1488">
        <f t="shared" si="653"/>
        <v>5.5</v>
      </c>
      <c r="B4316" s="1492" t="str">
        <f t="shared" si="653"/>
        <v>Scheme-5: Renovation &amp; Modernization of Wagon Tippler Concrete Hopper of Coal Handling Plant-B of Unit 5,6&amp;7 at CSTPS Chandrapur.</v>
      </c>
      <c r="C4316" s="1488" t="str">
        <f t="shared" si="653"/>
        <v>MERC/CAPEX/MSPGCL/2023-2024/0466 Dt 02.08.2024</v>
      </c>
      <c r="D4316" s="1413">
        <f t="shared" si="653"/>
        <v>45506</v>
      </c>
      <c r="E4316" s="560">
        <f t="shared" si="653"/>
        <v>0</v>
      </c>
      <c r="F4316" s="1508">
        <f t="shared" si="651"/>
        <v>3.83</v>
      </c>
      <c r="G4316" s="1508">
        <f t="shared" si="652"/>
        <v>3.83</v>
      </c>
      <c r="H4316" s="1508">
        <f t="shared" si="648"/>
        <v>0</v>
      </c>
      <c r="I4316" s="1480">
        <v>0</v>
      </c>
      <c r="J4316" s="1480">
        <v>0</v>
      </c>
      <c r="K4316" s="1508"/>
      <c r="L4316" s="1508"/>
      <c r="M4316" s="1509">
        <f t="shared" si="654"/>
        <v>0</v>
      </c>
      <c r="N4316" s="1508">
        <f t="shared" si="649"/>
        <v>0</v>
      </c>
      <c r="O4316" s="1481">
        <f t="shared" si="655"/>
        <v>0</v>
      </c>
      <c r="P4316" s="1427">
        <f t="shared" si="656"/>
        <v>0</v>
      </c>
    </row>
    <row r="4317" spans="1:16" ht="46.5" outlineLevel="1" x14ac:dyDescent="0.25">
      <c r="A4317" s="1488">
        <f t="shared" si="653"/>
        <v>5.6</v>
      </c>
      <c r="B4317" s="1492" t="str">
        <f t="shared" si="653"/>
        <v>Scheme-6: Renovation &amp; Modernization of Wagon Tippler Concrete Hopper of Coal Handling Plant-D of Unit 8&amp;9 at CSTPS Chandrapur.</v>
      </c>
      <c r="C4317" s="1488" t="str">
        <f t="shared" si="653"/>
        <v>MERC/CAPEX/MSPGCL/2023-2024/0466 Dt 02.08.2024</v>
      </c>
      <c r="D4317" s="1413">
        <f t="shared" si="653"/>
        <v>45506</v>
      </c>
      <c r="E4317" s="1383">
        <f t="shared" si="653"/>
        <v>0</v>
      </c>
      <c r="F4317" s="1480">
        <f t="shared" si="651"/>
        <v>3.83</v>
      </c>
      <c r="G4317" s="1480">
        <f t="shared" si="652"/>
        <v>3.83</v>
      </c>
      <c r="H4317" s="1480">
        <f t="shared" si="648"/>
        <v>0</v>
      </c>
      <c r="I4317" s="1480">
        <v>0</v>
      </c>
      <c r="J4317" s="1480">
        <v>0</v>
      </c>
      <c r="K4317" s="1480"/>
      <c r="L4317" s="1480"/>
      <c r="M4317" s="1480">
        <f t="shared" si="654"/>
        <v>0</v>
      </c>
      <c r="N4317" s="1480">
        <f t="shared" si="649"/>
        <v>0</v>
      </c>
      <c r="O4317" s="1481">
        <f t="shared" si="655"/>
        <v>0</v>
      </c>
      <c r="P4317" s="1427">
        <f t="shared" si="656"/>
        <v>0</v>
      </c>
    </row>
    <row r="4318" spans="1:16" ht="46.5" outlineLevel="1" x14ac:dyDescent="0.25">
      <c r="A4318" s="1488">
        <f t="shared" ref="A4318:E4333" si="657">A3648</f>
        <v>5.7</v>
      </c>
      <c r="B4318" s="1492" t="str">
        <f t="shared" si="657"/>
        <v xml:space="preserve">Scheme-7: Design, supply, installation &amp; commissioning of LED based energy efficient illumination system at CHP-A, B &amp; C, C.S.T.P.S., Chandrapur.  </v>
      </c>
      <c r="C4318" s="1488" t="str">
        <f t="shared" si="657"/>
        <v>MERC/CAPEX/MSPGCL/2023-2024/0466 Dt 02.08.2024</v>
      </c>
      <c r="D4318" s="1413">
        <f t="shared" si="657"/>
        <v>45506</v>
      </c>
      <c r="E4318" s="560">
        <f t="shared" si="657"/>
        <v>0</v>
      </c>
      <c r="F4318" s="1508">
        <f t="shared" si="651"/>
        <v>5.31</v>
      </c>
      <c r="G4318" s="1508">
        <f t="shared" si="652"/>
        <v>5.31</v>
      </c>
      <c r="H4318" s="1508">
        <f t="shared" si="648"/>
        <v>0</v>
      </c>
      <c r="I4318" s="1480">
        <v>0</v>
      </c>
      <c r="J4318" s="1480">
        <v>0</v>
      </c>
      <c r="K4318" s="1508"/>
      <c r="L4318" s="1508"/>
      <c r="M4318" s="1509">
        <f t="shared" si="654"/>
        <v>0</v>
      </c>
      <c r="N4318" s="1508">
        <f t="shared" si="649"/>
        <v>0</v>
      </c>
      <c r="O4318" s="1481">
        <f t="shared" si="655"/>
        <v>0</v>
      </c>
      <c r="P4318" s="1427">
        <f t="shared" si="656"/>
        <v>0</v>
      </c>
    </row>
    <row r="4319" spans="1:16" ht="31" outlineLevel="1" x14ac:dyDescent="0.25">
      <c r="A4319" s="1488">
        <f t="shared" si="657"/>
        <v>0</v>
      </c>
      <c r="B4319" s="1492" t="str">
        <f t="shared" si="657"/>
        <v>IDC</v>
      </c>
      <c r="C4319" s="1488" t="str">
        <f t="shared" si="657"/>
        <v>MERC/CAPEX/MSPGCL/2023-2024/0466 Dt 02.08.2024</v>
      </c>
      <c r="D4319" s="1413">
        <f t="shared" si="657"/>
        <v>45506</v>
      </c>
      <c r="E4319" s="1383">
        <f t="shared" si="657"/>
        <v>0</v>
      </c>
      <c r="F4319" s="1480">
        <f t="shared" si="651"/>
        <v>0</v>
      </c>
      <c r="G4319" s="1480">
        <f t="shared" si="652"/>
        <v>0</v>
      </c>
      <c r="H4319" s="1480">
        <f t="shared" si="648"/>
        <v>0</v>
      </c>
      <c r="I4319" s="1480">
        <v>0</v>
      </c>
      <c r="J4319" s="1480">
        <v>0</v>
      </c>
      <c r="K4319" s="1480"/>
      <c r="L4319" s="1480"/>
      <c r="M4319" s="1480">
        <f t="shared" si="654"/>
        <v>0</v>
      </c>
      <c r="N4319" s="1480">
        <f t="shared" si="649"/>
        <v>0</v>
      </c>
      <c r="O4319" s="1481">
        <f t="shared" si="655"/>
        <v>0</v>
      </c>
      <c r="P4319" s="1427">
        <f t="shared" si="656"/>
        <v>0</v>
      </c>
    </row>
    <row r="4320" spans="1:16" ht="62" outlineLevel="1" x14ac:dyDescent="0.25">
      <c r="A4320" s="1486">
        <f t="shared" si="657"/>
        <v>63</v>
      </c>
      <c r="B4320" s="1491" t="str">
        <f t="shared" si="657"/>
        <v>Procurement of Equipment’s for Stack yard management at Coal Handling Plant &amp; Upgradation of existing ash disposal pump system by installing higher efficiency pump system in Ash Handling Plant of Unit- 5 &amp; 6 at CSTPS, Chandrapur.</v>
      </c>
      <c r="C4320" s="1486" t="str">
        <f t="shared" si="657"/>
        <v>MERC/CAPEX/MSPGCL/2023-24/496 Dt 08.08.2024</v>
      </c>
      <c r="D4320" s="1413">
        <f t="shared" si="657"/>
        <v>45512</v>
      </c>
      <c r="E4320" s="560">
        <f t="shared" si="657"/>
        <v>38.4</v>
      </c>
      <c r="F4320" s="1508">
        <f t="shared" si="651"/>
        <v>0</v>
      </c>
      <c r="G4320" s="1508">
        <f t="shared" si="652"/>
        <v>0</v>
      </c>
      <c r="H4320" s="1508">
        <f t="shared" si="648"/>
        <v>0</v>
      </c>
      <c r="I4320" s="1480">
        <v>0</v>
      </c>
      <c r="J4320" s="1480">
        <v>0</v>
      </c>
      <c r="K4320" s="1508"/>
      <c r="L4320" s="1508"/>
      <c r="M4320" s="1509">
        <f t="shared" si="654"/>
        <v>0</v>
      </c>
      <c r="N4320" s="1508">
        <f t="shared" si="649"/>
        <v>0</v>
      </c>
      <c r="O4320" s="1481">
        <f t="shared" si="655"/>
        <v>0</v>
      </c>
      <c r="P4320" s="1427">
        <f t="shared" si="656"/>
        <v>0</v>
      </c>
    </row>
    <row r="4321" spans="1:16" ht="31" outlineLevel="1" x14ac:dyDescent="0.25">
      <c r="A4321" s="1488">
        <f t="shared" si="657"/>
        <v>6.1</v>
      </c>
      <c r="B4321" s="1492" t="str">
        <f t="shared" si="657"/>
        <v>Scheme-1: Procurement of 04 Nos Bulldozers.</v>
      </c>
      <c r="C4321" s="1488" t="str">
        <f t="shared" si="657"/>
        <v>MERC/CAPEX/MSPGCL/2023-24/496 Dt 08.08.2024</v>
      </c>
      <c r="D4321" s="1413">
        <f t="shared" si="657"/>
        <v>45512</v>
      </c>
      <c r="E4321" s="560">
        <f t="shared" si="657"/>
        <v>9.58</v>
      </c>
      <c r="F4321" s="1508">
        <f t="shared" si="651"/>
        <v>9.58</v>
      </c>
      <c r="G4321" s="1508">
        <f t="shared" si="652"/>
        <v>9.58</v>
      </c>
      <c r="H4321" s="1508">
        <f t="shared" si="648"/>
        <v>0</v>
      </c>
      <c r="I4321" s="1480">
        <v>0</v>
      </c>
      <c r="J4321" s="1480">
        <v>0</v>
      </c>
      <c r="K4321" s="1508"/>
      <c r="L4321" s="1508"/>
      <c r="M4321" s="1509">
        <f t="shared" si="654"/>
        <v>0</v>
      </c>
      <c r="N4321" s="1508">
        <f t="shared" si="649"/>
        <v>0</v>
      </c>
      <c r="O4321" s="1481">
        <f t="shared" si="655"/>
        <v>0</v>
      </c>
      <c r="P4321" s="1427">
        <f t="shared" si="656"/>
        <v>0</v>
      </c>
    </row>
    <row r="4322" spans="1:16" ht="31" outlineLevel="1" x14ac:dyDescent="0.25">
      <c r="A4322" s="1488">
        <f t="shared" si="657"/>
        <v>6.2</v>
      </c>
      <c r="B4322" s="1492" t="str">
        <f t="shared" si="657"/>
        <v>Scheme-2:  Procurement of 01 No Wheel Dozer</v>
      </c>
      <c r="C4322" s="1488" t="str">
        <f t="shared" si="657"/>
        <v>MERC/CAPEX/MSPGCL/2023-24/496 Dt 08.08.2024</v>
      </c>
      <c r="D4322" s="1413">
        <f t="shared" si="657"/>
        <v>45512</v>
      </c>
      <c r="E4322" s="1383">
        <f t="shared" si="657"/>
        <v>2.95</v>
      </c>
      <c r="F4322" s="1480">
        <f t="shared" si="651"/>
        <v>2.95</v>
      </c>
      <c r="G4322" s="1480">
        <f t="shared" si="652"/>
        <v>2.95</v>
      </c>
      <c r="H4322" s="1480">
        <f t="shared" si="648"/>
        <v>0</v>
      </c>
      <c r="I4322" s="1480">
        <v>0</v>
      </c>
      <c r="J4322" s="1480">
        <v>0</v>
      </c>
      <c r="K4322" s="1480"/>
      <c r="L4322" s="1480"/>
      <c r="M4322" s="1480">
        <f t="shared" si="654"/>
        <v>0</v>
      </c>
      <c r="N4322" s="1480">
        <f t="shared" si="649"/>
        <v>0</v>
      </c>
      <c r="O4322" s="1481">
        <f t="shared" si="655"/>
        <v>0</v>
      </c>
      <c r="P4322" s="1427">
        <f t="shared" si="656"/>
        <v>0</v>
      </c>
    </row>
    <row r="4323" spans="1:16" ht="31" outlineLevel="1" x14ac:dyDescent="0.25">
      <c r="A4323" s="1488">
        <f t="shared" si="657"/>
        <v>6.3</v>
      </c>
      <c r="B4323" s="1492" t="str">
        <f t="shared" si="657"/>
        <v>Scheme-3: Procurement 02 Nos. 800 HP Diesel Hydraulic Locomotives.</v>
      </c>
      <c r="C4323" s="1488" t="str">
        <f t="shared" si="657"/>
        <v>MERC/CAPEX/MSPGCL/2023-24/496 Dt 08.08.2024</v>
      </c>
      <c r="D4323" s="1413">
        <f t="shared" si="657"/>
        <v>45512</v>
      </c>
      <c r="E4323" s="560">
        <f t="shared" si="657"/>
        <v>7.95</v>
      </c>
      <c r="F4323" s="1508">
        <f t="shared" si="651"/>
        <v>7.95</v>
      </c>
      <c r="G4323" s="1508">
        <f t="shared" si="652"/>
        <v>7.95</v>
      </c>
      <c r="H4323" s="1508">
        <f t="shared" si="648"/>
        <v>0</v>
      </c>
      <c r="I4323" s="1480">
        <v>0</v>
      </c>
      <c r="J4323" s="1480">
        <v>0</v>
      </c>
      <c r="K4323" s="1508"/>
      <c r="L4323" s="1508"/>
      <c r="M4323" s="1509">
        <f t="shared" si="654"/>
        <v>0</v>
      </c>
      <c r="N4323" s="1508">
        <f t="shared" si="649"/>
        <v>0</v>
      </c>
      <c r="O4323" s="1481">
        <f t="shared" si="655"/>
        <v>0</v>
      </c>
      <c r="P4323" s="1427">
        <f t="shared" si="656"/>
        <v>0</v>
      </c>
    </row>
    <row r="4324" spans="1:16" ht="31" outlineLevel="1" x14ac:dyDescent="0.25">
      <c r="A4324" s="1488">
        <f t="shared" si="657"/>
        <v>6.4</v>
      </c>
      <c r="B4324" s="1492" t="str">
        <f t="shared" si="657"/>
        <v>Scheme-4: Upgradation of existing ash disposal pump assembly by higher efficiency pump assembly in ash handling plant.</v>
      </c>
      <c r="C4324" s="1488" t="str">
        <f t="shared" si="657"/>
        <v>MERC/CAPEX/MSPGCL/2023-24/496 Dt 08.08.2024</v>
      </c>
      <c r="D4324" s="1413">
        <f t="shared" si="657"/>
        <v>45512</v>
      </c>
      <c r="E4324" s="560">
        <f t="shared" si="657"/>
        <v>17.46</v>
      </c>
      <c r="F4324" s="1508">
        <f t="shared" si="651"/>
        <v>17.46</v>
      </c>
      <c r="G4324" s="1508">
        <f t="shared" si="652"/>
        <v>17.46</v>
      </c>
      <c r="H4324" s="1508">
        <f t="shared" si="648"/>
        <v>0</v>
      </c>
      <c r="I4324" s="1480">
        <v>0</v>
      </c>
      <c r="J4324" s="1480">
        <v>0</v>
      </c>
      <c r="K4324" s="1508"/>
      <c r="L4324" s="1508"/>
      <c r="M4324" s="1509">
        <f t="shared" si="654"/>
        <v>0</v>
      </c>
      <c r="N4324" s="1508">
        <f t="shared" si="649"/>
        <v>0</v>
      </c>
      <c r="O4324" s="1481">
        <f t="shared" si="655"/>
        <v>0</v>
      </c>
      <c r="P4324" s="1427">
        <f t="shared" si="656"/>
        <v>0</v>
      </c>
    </row>
    <row r="4325" spans="1:16" ht="31" outlineLevel="1" x14ac:dyDescent="0.25">
      <c r="A4325" s="1488">
        <f t="shared" si="657"/>
        <v>0</v>
      </c>
      <c r="B4325" s="1492" t="str">
        <f t="shared" si="657"/>
        <v>IDC</v>
      </c>
      <c r="C4325" s="1488" t="str">
        <f t="shared" si="657"/>
        <v>MERC/CAPEX/MSPGCL/2023-24/496 Dt 08.08.2024</v>
      </c>
      <c r="D4325" s="1413">
        <f t="shared" si="657"/>
        <v>45512</v>
      </c>
      <c r="E4325" s="560">
        <f t="shared" si="657"/>
        <v>0.46</v>
      </c>
      <c r="F4325" s="1508">
        <f t="shared" si="651"/>
        <v>0</v>
      </c>
      <c r="G4325" s="1508">
        <f t="shared" si="652"/>
        <v>0</v>
      </c>
      <c r="H4325" s="1508">
        <f t="shared" si="648"/>
        <v>0</v>
      </c>
      <c r="I4325" s="1480">
        <v>0</v>
      </c>
      <c r="J4325" s="1480">
        <v>0</v>
      </c>
      <c r="K4325" s="1508"/>
      <c r="L4325" s="1508"/>
      <c r="M4325" s="1509">
        <f t="shared" si="654"/>
        <v>0</v>
      </c>
      <c r="N4325" s="1508">
        <f t="shared" si="649"/>
        <v>0</v>
      </c>
    </row>
    <row r="4326" spans="1:16" ht="46.5" outlineLevel="1" x14ac:dyDescent="0.25">
      <c r="A4326" s="1486">
        <f t="shared" si="657"/>
        <v>64</v>
      </c>
      <c r="B4326" s="1491" t="str">
        <f t="shared" si="657"/>
        <v>Stacker Reclaimer, Impact Crusher and Conveyor Drive reliability &amp; availability improvement scheme for CHP of Unit 5,6&amp;7 CSTPS Chandrapur.- Elecon</v>
      </c>
      <c r="C4326" s="1488" t="str">
        <f t="shared" si="657"/>
        <v>MERC approved MERC/CAPEX/MSPGCL/2023-24/566  Dt 09.09.2024</v>
      </c>
      <c r="D4326" s="1413">
        <f t="shared" si="657"/>
        <v>45544</v>
      </c>
      <c r="E4326" s="1383">
        <f t="shared" si="657"/>
        <v>32.549999999999997</v>
      </c>
      <c r="F4326" s="1480">
        <f t="shared" si="651"/>
        <v>0</v>
      </c>
      <c r="G4326" s="1480">
        <f t="shared" si="652"/>
        <v>0</v>
      </c>
      <c r="H4326" s="1480">
        <f t="shared" si="648"/>
        <v>0</v>
      </c>
      <c r="I4326" s="1480">
        <v>0</v>
      </c>
      <c r="J4326" s="1480">
        <v>0</v>
      </c>
      <c r="K4326" s="1480"/>
      <c r="L4326" s="1480"/>
      <c r="M4326" s="1480">
        <f t="shared" si="654"/>
        <v>0</v>
      </c>
      <c r="N4326" s="1480">
        <f t="shared" si="649"/>
        <v>0</v>
      </c>
    </row>
    <row r="4327" spans="1:16" ht="46.5" outlineLevel="1" x14ac:dyDescent="0.25">
      <c r="A4327" s="1488">
        <f t="shared" si="657"/>
        <v>0</v>
      </c>
      <c r="B4327" s="1497" t="str">
        <f t="shared" si="657"/>
        <v xml:space="preserve">Scheme-1: Reliability &amp; availability improvement for Stacker Reclaimer by supply &amp; commissioning of essential equipment at CHPB of Unit 5,6&amp;7 CSTPS  Chandrapur. </v>
      </c>
      <c r="C4327" s="1488" t="str">
        <f t="shared" si="657"/>
        <v>MERC approved MERC/CAPEX/MSPGCL/2023-24/566  Dt 09.09.2024</v>
      </c>
      <c r="D4327" s="1413">
        <f t="shared" si="657"/>
        <v>45544</v>
      </c>
      <c r="E4327" s="560">
        <f t="shared" si="657"/>
        <v>17.61</v>
      </c>
      <c r="F4327" s="1508">
        <f t="shared" si="651"/>
        <v>17.61</v>
      </c>
      <c r="G4327" s="1508">
        <f t="shared" si="652"/>
        <v>17.61</v>
      </c>
      <c r="H4327" s="1508">
        <f t="shared" si="648"/>
        <v>0</v>
      </c>
      <c r="I4327" s="1480">
        <v>0</v>
      </c>
      <c r="J4327" s="1480">
        <v>0</v>
      </c>
      <c r="K4327" s="1508"/>
      <c r="L4327" s="1508"/>
      <c r="M4327" s="1509">
        <f t="shared" si="654"/>
        <v>0</v>
      </c>
      <c r="N4327" s="1508">
        <f t="shared" si="649"/>
        <v>0</v>
      </c>
    </row>
    <row r="4328" spans="1:16" ht="46.5" outlineLevel="1" x14ac:dyDescent="0.25">
      <c r="A4328" s="1488">
        <f t="shared" si="657"/>
        <v>0</v>
      </c>
      <c r="B4328" s="1497" t="str">
        <f t="shared" si="657"/>
        <v xml:space="preserve">Scheme-2: Reliability &amp; availability improvement for Conveyor Drive by supply &amp; commissioning of essential equipment at CHPB of Unit 5,6&amp;7 CSTPS </v>
      </c>
      <c r="C4328" s="1488" t="str">
        <f t="shared" si="657"/>
        <v>MERC approved MERC/CAPEX/MSPGCL/2023-24/566  Dt 09.09.2024</v>
      </c>
      <c r="D4328" s="1413">
        <f t="shared" si="657"/>
        <v>45544</v>
      </c>
      <c r="E4328" s="560">
        <f t="shared" si="657"/>
        <v>14.65</v>
      </c>
      <c r="F4328" s="1508">
        <f t="shared" si="651"/>
        <v>14.65</v>
      </c>
      <c r="G4328" s="1508">
        <f t="shared" si="652"/>
        <v>14.65</v>
      </c>
      <c r="H4328" s="1508">
        <f t="shared" si="648"/>
        <v>0</v>
      </c>
      <c r="I4328" s="1480">
        <v>0</v>
      </c>
      <c r="J4328" s="1480">
        <v>0</v>
      </c>
      <c r="K4328" s="1508"/>
      <c r="L4328" s="1508"/>
      <c r="M4328" s="1509">
        <f t="shared" si="654"/>
        <v>0</v>
      </c>
      <c r="N4328" s="1508">
        <f t="shared" si="649"/>
        <v>0</v>
      </c>
    </row>
    <row r="4329" spans="1:16" ht="46.5" outlineLevel="1" x14ac:dyDescent="0.25">
      <c r="A4329" s="1488">
        <f t="shared" si="657"/>
        <v>0</v>
      </c>
      <c r="B4329" s="1497" t="str">
        <f t="shared" si="657"/>
        <v>IDC</v>
      </c>
      <c r="C4329" s="1488" t="str">
        <f t="shared" si="657"/>
        <v>MERC approved MERC/CAPEX/MSPGCL/2023-24/566  Dt 09.09.2024</v>
      </c>
      <c r="D4329" s="1413">
        <f t="shared" si="657"/>
        <v>45544</v>
      </c>
      <c r="E4329" s="560">
        <f t="shared" si="657"/>
        <v>0.28999999999999998</v>
      </c>
      <c r="F4329" s="1508">
        <f t="shared" si="651"/>
        <v>0.28999999999999998</v>
      </c>
      <c r="G4329" s="1508">
        <f t="shared" si="652"/>
        <v>0.28999999999999998</v>
      </c>
      <c r="H4329" s="1508">
        <f t="shared" si="648"/>
        <v>0</v>
      </c>
      <c r="I4329" s="1480">
        <v>0</v>
      </c>
      <c r="J4329" s="1480">
        <v>0</v>
      </c>
      <c r="K4329" s="1508"/>
      <c r="L4329" s="1508"/>
      <c r="M4329" s="1509">
        <f t="shared" si="654"/>
        <v>0</v>
      </c>
      <c r="N4329" s="1508">
        <f t="shared" si="649"/>
        <v>0</v>
      </c>
    </row>
    <row r="4330" spans="1:16" ht="15.5" outlineLevel="1" x14ac:dyDescent="0.25">
      <c r="A4330" s="1498">
        <f t="shared" si="657"/>
        <v>0</v>
      </c>
      <c r="B4330" s="1492">
        <f t="shared" si="657"/>
        <v>0</v>
      </c>
      <c r="C4330" s="1498">
        <f t="shared" si="657"/>
        <v>0</v>
      </c>
      <c r="D4330" s="1499" t="str">
        <f t="shared" si="657"/>
        <v>-</v>
      </c>
      <c r="E4330" s="560">
        <f t="shared" si="657"/>
        <v>0</v>
      </c>
      <c r="F4330" s="1508">
        <f t="shared" si="651"/>
        <v>0</v>
      </c>
      <c r="G4330" s="1508">
        <f t="shared" si="652"/>
        <v>0</v>
      </c>
      <c r="H4330" s="1508">
        <f t="shared" si="648"/>
        <v>0</v>
      </c>
      <c r="I4330" s="1480">
        <v>0</v>
      </c>
      <c r="J4330" s="1480">
        <v>0</v>
      </c>
      <c r="K4330" s="1508"/>
      <c r="L4330" s="1508"/>
      <c r="M4330" s="1509">
        <f t="shared" si="654"/>
        <v>0</v>
      </c>
      <c r="N4330" s="1508">
        <f t="shared" si="649"/>
        <v>0</v>
      </c>
    </row>
    <row r="4331" spans="1:16" ht="15.5" outlineLevel="1" x14ac:dyDescent="0.25">
      <c r="A4331" s="1498">
        <f t="shared" si="657"/>
        <v>0</v>
      </c>
      <c r="B4331" s="1492">
        <f t="shared" si="657"/>
        <v>0</v>
      </c>
      <c r="C4331" s="1498">
        <f t="shared" si="657"/>
        <v>0</v>
      </c>
      <c r="D4331" s="1499" t="str">
        <f t="shared" si="657"/>
        <v>-</v>
      </c>
      <c r="E4331" s="560">
        <f t="shared" si="657"/>
        <v>0</v>
      </c>
      <c r="F4331" s="1508">
        <f t="shared" si="651"/>
        <v>0</v>
      </c>
      <c r="G4331" s="1508">
        <f t="shared" si="652"/>
        <v>0</v>
      </c>
      <c r="H4331" s="1508">
        <f t="shared" si="648"/>
        <v>0</v>
      </c>
      <c r="I4331" s="1480">
        <v>0</v>
      </c>
      <c r="J4331" s="1480">
        <v>0</v>
      </c>
      <c r="K4331" s="1508"/>
      <c r="L4331" s="1508"/>
      <c r="M4331" s="1509">
        <f t="shared" si="654"/>
        <v>0</v>
      </c>
      <c r="N4331" s="1508">
        <f t="shared" si="649"/>
        <v>0</v>
      </c>
    </row>
    <row r="4332" spans="1:16" ht="15.5" outlineLevel="1" x14ac:dyDescent="0.25">
      <c r="A4332" s="1500">
        <f t="shared" si="657"/>
        <v>0</v>
      </c>
      <c r="B4332" s="1483">
        <f t="shared" si="657"/>
        <v>0</v>
      </c>
      <c r="C4332" s="1500">
        <f t="shared" si="657"/>
        <v>0</v>
      </c>
      <c r="D4332" s="1501" t="str">
        <f t="shared" si="657"/>
        <v>-</v>
      </c>
      <c r="E4332" s="560">
        <f t="shared" si="657"/>
        <v>0</v>
      </c>
      <c r="F4332" s="1508">
        <f t="shared" si="651"/>
        <v>0</v>
      </c>
      <c r="G4332" s="1508">
        <f t="shared" si="652"/>
        <v>0</v>
      </c>
      <c r="H4332" s="1508">
        <f t="shared" si="648"/>
        <v>0</v>
      </c>
      <c r="I4332" s="1480">
        <v>0</v>
      </c>
      <c r="J4332" s="1480">
        <v>0</v>
      </c>
      <c r="K4332" s="1508"/>
      <c r="L4332" s="1508"/>
      <c r="M4332" s="1509">
        <f t="shared" si="654"/>
        <v>0</v>
      </c>
      <c r="N4332" s="1508">
        <f t="shared" si="649"/>
        <v>0</v>
      </c>
    </row>
    <row r="4333" spans="1:16" ht="15.5" outlineLevel="1" x14ac:dyDescent="0.25">
      <c r="A4333" s="131">
        <f t="shared" si="657"/>
        <v>0</v>
      </c>
      <c r="B4333" s="1476" t="str">
        <f t="shared" si="657"/>
        <v>(ii) Submitted to MERC, Yet To Receive Approval</v>
      </c>
      <c r="C4333" s="166">
        <f t="shared" si="657"/>
        <v>0</v>
      </c>
      <c r="D4333" s="1413" t="str">
        <f t="shared" si="657"/>
        <v>-</v>
      </c>
      <c r="E4333" s="1383">
        <f t="shared" si="657"/>
        <v>0</v>
      </c>
      <c r="F4333" s="1480">
        <f t="shared" si="651"/>
        <v>0</v>
      </c>
      <c r="G4333" s="1480">
        <f t="shared" si="652"/>
        <v>0</v>
      </c>
      <c r="H4333" s="1480">
        <f t="shared" si="648"/>
        <v>0</v>
      </c>
      <c r="I4333" s="1480">
        <v>0</v>
      </c>
      <c r="J4333" s="1480">
        <v>0</v>
      </c>
      <c r="K4333" s="1480"/>
      <c r="L4333" s="1480"/>
      <c r="M4333" s="1480">
        <f t="shared" si="654"/>
        <v>0</v>
      </c>
      <c r="N4333" s="1480">
        <f t="shared" si="649"/>
        <v>0</v>
      </c>
    </row>
    <row r="4334" spans="1:16" ht="93" outlineLevel="1" x14ac:dyDescent="0.25">
      <c r="A4334" s="1486" t="str">
        <f t="shared" ref="A4334:E4349" si="658">A3664</f>
        <v>Y8, Y9</v>
      </c>
      <c r="B4334" s="1491" t="str">
        <f t="shared" si="658"/>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4334" s="1486" t="str">
        <f t="shared" si="658"/>
        <v>Yet To Receive Approval</v>
      </c>
      <c r="D4334" s="1487" t="str">
        <f t="shared" si="658"/>
        <v>-</v>
      </c>
      <c r="E4334" s="560">
        <f t="shared" si="658"/>
        <v>0</v>
      </c>
      <c r="F4334" s="1508">
        <f t="shared" si="651"/>
        <v>0</v>
      </c>
      <c r="G4334" s="1508">
        <f t="shared" si="652"/>
        <v>0</v>
      </c>
      <c r="H4334" s="1508">
        <f t="shared" si="648"/>
        <v>0</v>
      </c>
      <c r="I4334" s="1480">
        <v>0</v>
      </c>
      <c r="J4334" s="1480">
        <v>0</v>
      </c>
      <c r="K4334" s="1508"/>
      <c r="L4334" s="1508"/>
      <c r="M4334" s="1509">
        <f t="shared" si="654"/>
        <v>0</v>
      </c>
      <c r="N4334" s="1508">
        <f t="shared" si="649"/>
        <v>0</v>
      </c>
    </row>
    <row r="4335" spans="1:16" ht="15.5" outlineLevel="1" x14ac:dyDescent="0.25">
      <c r="A4335" s="1488">
        <f t="shared" si="658"/>
        <v>0</v>
      </c>
      <c r="B4335" s="1497" t="str">
        <f t="shared" si="658"/>
        <v>Procurement of BOXN-HL Wagons for C.S.T.P.S., Chandrapur.</v>
      </c>
      <c r="C4335" s="1488" t="str">
        <f t="shared" si="658"/>
        <v>Yet To Receive Approval</v>
      </c>
      <c r="D4335" s="1413" t="str">
        <f t="shared" si="658"/>
        <v>-</v>
      </c>
      <c r="E4335" s="560">
        <f t="shared" si="658"/>
        <v>0</v>
      </c>
      <c r="F4335" s="1508">
        <f t="shared" si="651"/>
        <v>13.8</v>
      </c>
      <c r="G4335" s="1508">
        <f t="shared" si="652"/>
        <v>13.8</v>
      </c>
      <c r="H4335" s="1508">
        <f t="shared" si="648"/>
        <v>0</v>
      </c>
      <c r="I4335" s="1480">
        <v>0</v>
      </c>
      <c r="J4335" s="1480">
        <v>0</v>
      </c>
      <c r="K4335" s="1508"/>
      <c r="L4335" s="1508"/>
      <c r="M4335" s="1509">
        <f t="shared" si="654"/>
        <v>0</v>
      </c>
      <c r="N4335" s="1508">
        <f t="shared" si="649"/>
        <v>0</v>
      </c>
    </row>
    <row r="4336" spans="1:16" ht="31" outlineLevel="1" x14ac:dyDescent="0.25">
      <c r="A4336" s="1488">
        <f t="shared" si="658"/>
        <v>0</v>
      </c>
      <c r="B4336" s="1497" t="str">
        <f t="shared" si="658"/>
        <v>Combined Fire and Rescue vehicle with Hydraulic Platform (Multipurpose Fire Tender)</v>
      </c>
      <c r="C4336" s="1488" t="str">
        <f t="shared" si="658"/>
        <v>Yet To Receive Approval</v>
      </c>
      <c r="D4336" s="1413" t="str">
        <f t="shared" si="658"/>
        <v>-</v>
      </c>
      <c r="E4336" s="1383">
        <f t="shared" si="658"/>
        <v>0</v>
      </c>
      <c r="F4336" s="1480">
        <f t="shared" si="651"/>
        <v>10.19</v>
      </c>
      <c r="G4336" s="1480">
        <f t="shared" si="652"/>
        <v>10.19</v>
      </c>
      <c r="H4336" s="1480">
        <f t="shared" si="648"/>
        <v>0</v>
      </c>
      <c r="I4336" s="1480">
        <v>0</v>
      </c>
      <c r="J4336" s="1480">
        <v>0</v>
      </c>
      <c r="K4336" s="1480"/>
      <c r="L4336" s="1480"/>
      <c r="M4336" s="1480">
        <f t="shared" si="654"/>
        <v>0</v>
      </c>
      <c r="N4336" s="1480">
        <f t="shared" si="649"/>
        <v>0</v>
      </c>
    </row>
    <row r="4337" spans="1:14" ht="15.5" outlineLevel="1" x14ac:dyDescent="0.25">
      <c r="A4337" s="1488">
        <f t="shared" si="658"/>
        <v>0</v>
      </c>
      <c r="B4337" s="1497" t="str">
        <f t="shared" si="658"/>
        <v>Quick Response Vehicle (Multipurpose Fire Tender)</v>
      </c>
      <c r="C4337" s="1488" t="str">
        <f t="shared" si="658"/>
        <v>Yet To Receive Approval</v>
      </c>
      <c r="D4337" s="1413" t="str">
        <f t="shared" si="658"/>
        <v>-</v>
      </c>
      <c r="E4337" s="560">
        <f t="shared" si="658"/>
        <v>0</v>
      </c>
      <c r="F4337" s="1508">
        <f t="shared" si="651"/>
        <v>2.5499999999999998</v>
      </c>
      <c r="G4337" s="1508">
        <f t="shared" si="652"/>
        <v>2.5499999999999998</v>
      </c>
      <c r="H4337" s="1508">
        <f t="shared" si="648"/>
        <v>0</v>
      </c>
      <c r="I4337" s="1480">
        <v>0</v>
      </c>
      <c r="J4337" s="1480">
        <v>0</v>
      </c>
      <c r="K4337" s="1508"/>
      <c r="L4337" s="1508"/>
      <c r="M4337" s="1509">
        <f t="shared" si="654"/>
        <v>0</v>
      </c>
      <c r="N4337" s="1508">
        <f t="shared" si="649"/>
        <v>0</v>
      </c>
    </row>
    <row r="4338" spans="1:14" ht="31" outlineLevel="1" x14ac:dyDescent="0.25">
      <c r="A4338" s="1488">
        <f t="shared" si="658"/>
        <v>0</v>
      </c>
      <c r="B4338" s="1497" t="str">
        <f t="shared" si="658"/>
        <v xml:space="preserve">High capacity Machine for debris transporting by Mechanized way (Vehicle) along with jetting machine </v>
      </c>
      <c r="C4338" s="1488" t="str">
        <f t="shared" si="658"/>
        <v>Yet To Receive Approval</v>
      </c>
      <c r="D4338" s="1413" t="str">
        <f t="shared" si="658"/>
        <v>-</v>
      </c>
      <c r="E4338" s="560">
        <f t="shared" si="658"/>
        <v>0</v>
      </c>
      <c r="F4338" s="1508">
        <f t="shared" si="651"/>
        <v>8.35</v>
      </c>
      <c r="G4338" s="1508">
        <f t="shared" si="652"/>
        <v>8.35</v>
      </c>
      <c r="H4338" s="1508">
        <f t="shared" si="648"/>
        <v>0</v>
      </c>
      <c r="I4338" s="1480">
        <v>0</v>
      </c>
      <c r="J4338" s="1480">
        <v>0</v>
      </c>
      <c r="K4338" s="1508"/>
      <c r="L4338" s="1508"/>
      <c r="M4338" s="1509">
        <f t="shared" si="654"/>
        <v>0</v>
      </c>
      <c r="N4338" s="1508">
        <f t="shared" si="649"/>
        <v>0</v>
      </c>
    </row>
    <row r="4339" spans="1:14" ht="15.5" outlineLevel="1" x14ac:dyDescent="0.25">
      <c r="A4339" s="1488">
        <f t="shared" si="658"/>
        <v>0</v>
      </c>
      <c r="B4339" s="1497" t="str">
        <f t="shared" si="658"/>
        <v>IDC</v>
      </c>
      <c r="C4339" s="1488" t="str">
        <f t="shared" si="658"/>
        <v>Yet To Receive Approval</v>
      </c>
      <c r="D4339" s="1413" t="str">
        <f t="shared" si="658"/>
        <v>-</v>
      </c>
      <c r="E4339" s="1383">
        <f t="shared" si="658"/>
        <v>0</v>
      </c>
      <c r="F4339" s="1480">
        <f t="shared" si="651"/>
        <v>0</v>
      </c>
      <c r="G4339" s="1480">
        <f t="shared" si="652"/>
        <v>0</v>
      </c>
      <c r="H4339" s="1480">
        <f t="shared" si="648"/>
        <v>0</v>
      </c>
      <c r="I4339" s="1480">
        <v>0</v>
      </c>
      <c r="J4339" s="1480">
        <v>0</v>
      </c>
      <c r="K4339" s="1480"/>
      <c r="L4339" s="1480"/>
      <c r="M4339" s="1480">
        <f t="shared" si="654"/>
        <v>0</v>
      </c>
      <c r="N4339" s="1480">
        <f t="shared" si="649"/>
        <v>0</v>
      </c>
    </row>
    <row r="4340" spans="1:14" ht="62" outlineLevel="1" x14ac:dyDescent="0.25">
      <c r="A4340" s="1486" t="str">
        <f t="shared" si="658"/>
        <v>Y10</v>
      </c>
      <c r="B4340" s="1491" t="str">
        <f t="shared" si="658"/>
        <v>Retrofitting of existing SF6 HT Circuit Breakers installed at Unit # 7 &amp; EM-II (Outdoor plant) of 3X500MW CSTPS Chandrapur by latest technology HT Contactor/ Vacuum Circuit breakers along with Supply, Installation &amp; Commissioning</v>
      </c>
      <c r="C4340" s="1486" t="str">
        <f t="shared" si="658"/>
        <v>Yet To Receive Approval</v>
      </c>
      <c r="D4340" s="1413" t="str">
        <f t="shared" si="658"/>
        <v>-</v>
      </c>
      <c r="E4340" s="1383">
        <f t="shared" si="658"/>
        <v>0</v>
      </c>
      <c r="F4340" s="1480">
        <f t="shared" si="651"/>
        <v>0</v>
      </c>
      <c r="G4340" s="1480">
        <f t="shared" si="652"/>
        <v>0</v>
      </c>
      <c r="H4340" s="1480">
        <f t="shared" si="648"/>
        <v>0</v>
      </c>
      <c r="I4340" s="1480">
        <v>0</v>
      </c>
      <c r="J4340" s="1480">
        <v>0</v>
      </c>
      <c r="K4340" s="1480"/>
      <c r="L4340" s="1480"/>
      <c r="M4340" s="1480">
        <f t="shared" si="654"/>
        <v>0</v>
      </c>
      <c r="N4340" s="1480">
        <f t="shared" si="649"/>
        <v>0</v>
      </c>
    </row>
    <row r="4341" spans="1:14" ht="46.5" outlineLevel="1" x14ac:dyDescent="0.25">
      <c r="A4341" s="1488">
        <f t="shared" si="658"/>
        <v>0</v>
      </c>
      <c r="B4341" s="1497" t="str">
        <f t="shared" si="658"/>
        <v>Retrofitting of existing ABB make SF6 Circuit Breakers installed at AHP Unit#7 by latest technology SF6 HT Contactor/ Vacuum Circuit Breaker</v>
      </c>
      <c r="C4341" s="1488" t="str">
        <f t="shared" si="658"/>
        <v>Yet To Receive Approval</v>
      </c>
      <c r="D4341" s="1413" t="str">
        <f t="shared" si="658"/>
        <v>-</v>
      </c>
      <c r="E4341" s="1383">
        <f t="shared" si="658"/>
        <v>0</v>
      </c>
      <c r="F4341" s="1480">
        <f t="shared" si="651"/>
        <v>7</v>
      </c>
      <c r="G4341" s="1480">
        <f t="shared" si="652"/>
        <v>7</v>
      </c>
      <c r="H4341" s="1480">
        <f t="shared" si="648"/>
        <v>0</v>
      </c>
      <c r="I4341" s="1480">
        <v>0</v>
      </c>
      <c r="J4341" s="1480">
        <v>0</v>
      </c>
      <c r="K4341" s="1480"/>
      <c r="L4341" s="1480"/>
      <c r="M4341" s="1480">
        <f t="shared" si="654"/>
        <v>0</v>
      </c>
      <c r="N4341" s="1480">
        <f t="shared" si="649"/>
        <v>0</v>
      </c>
    </row>
    <row r="4342" spans="1:14" ht="62" outlineLevel="1" x14ac:dyDescent="0.25">
      <c r="A4342" s="1488">
        <f t="shared" si="658"/>
        <v>0</v>
      </c>
      <c r="B4342" s="1497" t="str">
        <f t="shared" si="658"/>
        <v>Retrofitting of existing ABB/Voltas make SF6 Circuit Breakers installed at CCW Board of Unit#5,6&amp;7 ODP-II, WTP- II Board of ODP-II, Raw water RWS Board of ODP-II by latest technology Vacuum Circuit Breaker:</v>
      </c>
      <c r="C4342" s="1488" t="str">
        <f t="shared" si="658"/>
        <v>Yet To Receive Approval</v>
      </c>
      <c r="D4342" s="1413" t="str">
        <f t="shared" si="658"/>
        <v>-</v>
      </c>
      <c r="E4342" s="560">
        <f t="shared" si="658"/>
        <v>0</v>
      </c>
      <c r="F4342" s="1508">
        <f t="shared" si="651"/>
        <v>17</v>
      </c>
      <c r="G4342" s="1508">
        <f t="shared" si="652"/>
        <v>17</v>
      </c>
      <c r="H4342" s="1508">
        <f t="shared" si="648"/>
        <v>0</v>
      </c>
      <c r="I4342" s="1480">
        <v>0</v>
      </c>
      <c r="J4342" s="1480">
        <v>0</v>
      </c>
      <c r="K4342" s="1508"/>
      <c r="L4342" s="1508"/>
      <c r="M4342" s="1509">
        <f t="shared" si="654"/>
        <v>0</v>
      </c>
      <c r="N4342" s="1508">
        <f t="shared" si="649"/>
        <v>0</v>
      </c>
    </row>
    <row r="4343" spans="1:14" ht="15.5" outlineLevel="1" x14ac:dyDescent="0.25">
      <c r="A4343" s="1488">
        <f t="shared" si="658"/>
        <v>0</v>
      </c>
      <c r="B4343" s="1497" t="str">
        <f t="shared" si="658"/>
        <v>IDC</v>
      </c>
      <c r="C4343" s="1488" t="str">
        <f t="shared" si="658"/>
        <v>Yet To Receive Approval</v>
      </c>
      <c r="D4343" s="1413" t="str">
        <f t="shared" si="658"/>
        <v>-</v>
      </c>
      <c r="E4343" s="560">
        <f t="shared" si="658"/>
        <v>0</v>
      </c>
      <c r="F4343" s="1508">
        <f t="shared" si="651"/>
        <v>0</v>
      </c>
      <c r="G4343" s="1508">
        <f t="shared" si="652"/>
        <v>0</v>
      </c>
      <c r="H4343" s="1508">
        <f t="shared" si="648"/>
        <v>0</v>
      </c>
      <c r="I4343" s="1480">
        <v>0</v>
      </c>
      <c r="J4343" s="1480">
        <v>0</v>
      </c>
      <c r="K4343" s="1508"/>
      <c r="L4343" s="1508"/>
      <c r="M4343" s="1509">
        <f t="shared" si="654"/>
        <v>0</v>
      </c>
      <c r="N4343" s="1508">
        <f t="shared" si="649"/>
        <v>0</v>
      </c>
    </row>
    <row r="4344" spans="1:14" ht="62" outlineLevel="1" x14ac:dyDescent="0.25">
      <c r="A4344" s="1486" t="str">
        <f t="shared" si="658"/>
        <v>Y11</v>
      </c>
      <c r="B4344" s="1491" t="str">
        <f t="shared" si="658"/>
        <v>Design, Engineering, Manufacturing, Supply, Erection, Commissioning and testing of Wagon Locking System for wagon Tippler &amp; Portable Reclaim Feeder for CHP of Unit 5 to 9 of CSTPS, Chandrapur</v>
      </c>
      <c r="C4344" s="1486" t="str">
        <f t="shared" si="658"/>
        <v>Yet To Receive Approval</v>
      </c>
      <c r="D4344" s="1413" t="str">
        <f t="shared" si="658"/>
        <v>-</v>
      </c>
      <c r="E4344" s="560">
        <f t="shared" si="658"/>
        <v>0</v>
      </c>
      <c r="F4344" s="1508">
        <f t="shared" si="651"/>
        <v>0</v>
      </c>
      <c r="G4344" s="1508">
        <f t="shared" si="652"/>
        <v>0</v>
      </c>
      <c r="H4344" s="1508">
        <f t="shared" ref="H4344:H4360" si="659">F4344-G4344</f>
        <v>0</v>
      </c>
      <c r="I4344" s="1480">
        <v>0</v>
      </c>
      <c r="J4344" s="1480">
        <v>0</v>
      </c>
      <c r="K4344" s="1508"/>
      <c r="L4344" s="1508"/>
      <c r="M4344" s="1509">
        <f t="shared" si="654"/>
        <v>0</v>
      </c>
      <c r="N4344" s="1508">
        <f t="shared" ref="N4344:N4360" si="660">H4344+I4344-M4344</f>
        <v>0</v>
      </c>
    </row>
    <row r="4345" spans="1:14" ht="46.5" outlineLevel="1" x14ac:dyDescent="0.25">
      <c r="A4345" s="1488">
        <f t="shared" si="658"/>
        <v>0</v>
      </c>
      <c r="B4345" s="1497" t="str">
        <f t="shared" si="658"/>
        <v>Scheme-1: Design, Engineering, Manufacturing, Supply, Erection, Commissioning and testing of Wagon Locking System for Wagon Tippler of CHP of Unit 5 to 9 of CSTPS Chandrapur.</v>
      </c>
      <c r="C4345" s="1488" t="str">
        <f t="shared" si="658"/>
        <v>Yet To Receive Approval</v>
      </c>
      <c r="D4345" s="1413" t="str">
        <f t="shared" si="658"/>
        <v>-</v>
      </c>
      <c r="E4345" s="560">
        <f t="shared" si="658"/>
        <v>0</v>
      </c>
      <c r="F4345" s="1508">
        <f t="shared" si="651"/>
        <v>11.9</v>
      </c>
      <c r="G4345" s="1508">
        <f t="shared" si="652"/>
        <v>11.9</v>
      </c>
      <c r="H4345" s="1508">
        <f t="shared" si="659"/>
        <v>0</v>
      </c>
      <c r="I4345" s="1480">
        <v>0</v>
      </c>
      <c r="J4345" s="1480">
        <v>0</v>
      </c>
      <c r="K4345" s="1508"/>
      <c r="L4345" s="1508"/>
      <c r="M4345" s="1509">
        <f t="shared" si="654"/>
        <v>0</v>
      </c>
      <c r="N4345" s="1508">
        <f t="shared" si="660"/>
        <v>0</v>
      </c>
    </row>
    <row r="4346" spans="1:14" ht="46.5" outlineLevel="1" x14ac:dyDescent="0.25">
      <c r="A4346" s="1488">
        <f t="shared" si="658"/>
        <v>0</v>
      </c>
      <c r="B4346" s="1497" t="str">
        <f t="shared" si="658"/>
        <v>Scheme-2: Design, Engineering, Manufacturing, Supply, Erection, Commissioning, and testing of Portable Reclaim Feeder for CHP of Unit 5 to 9 in CSTPS Chandrapur.</v>
      </c>
      <c r="C4346" s="1488" t="str">
        <f t="shared" si="658"/>
        <v>Yet To Receive Approval</v>
      </c>
      <c r="D4346" s="1413" t="str">
        <f t="shared" si="658"/>
        <v>-</v>
      </c>
      <c r="E4346" s="560">
        <f t="shared" si="658"/>
        <v>0</v>
      </c>
      <c r="F4346" s="1508">
        <f t="shared" si="651"/>
        <v>18.489999999999998</v>
      </c>
      <c r="G4346" s="1508">
        <f t="shared" si="652"/>
        <v>18.489999999999998</v>
      </c>
      <c r="H4346" s="1508">
        <f t="shared" si="659"/>
        <v>0</v>
      </c>
      <c r="I4346" s="1480">
        <v>0</v>
      </c>
      <c r="J4346" s="1480">
        <v>0</v>
      </c>
      <c r="K4346" s="1508"/>
      <c r="L4346" s="1508"/>
      <c r="M4346" s="1509">
        <f t="shared" si="654"/>
        <v>0</v>
      </c>
      <c r="N4346" s="1508">
        <f t="shared" si="660"/>
        <v>0</v>
      </c>
    </row>
    <row r="4347" spans="1:14" ht="15.5" outlineLevel="1" x14ac:dyDescent="0.25">
      <c r="A4347" s="1488">
        <f t="shared" si="658"/>
        <v>0</v>
      </c>
      <c r="B4347" s="1497" t="str">
        <f t="shared" si="658"/>
        <v>IDC</v>
      </c>
      <c r="C4347" s="1488" t="str">
        <f t="shared" si="658"/>
        <v>Yet To Receive Approval</v>
      </c>
      <c r="D4347" s="1413" t="str">
        <f t="shared" si="658"/>
        <v>-</v>
      </c>
      <c r="E4347" s="560">
        <f t="shared" si="658"/>
        <v>0</v>
      </c>
      <c r="F4347" s="1508">
        <f t="shared" si="651"/>
        <v>0</v>
      </c>
      <c r="G4347" s="1508">
        <f t="shared" si="652"/>
        <v>0</v>
      </c>
      <c r="H4347" s="1508">
        <f t="shared" si="659"/>
        <v>0</v>
      </c>
      <c r="I4347" s="1480">
        <v>0</v>
      </c>
      <c r="J4347" s="1480">
        <v>0</v>
      </c>
      <c r="K4347" s="1508"/>
      <c r="L4347" s="1508"/>
      <c r="M4347" s="1509">
        <f t="shared" si="654"/>
        <v>0</v>
      </c>
      <c r="N4347" s="1508">
        <f t="shared" si="660"/>
        <v>0</v>
      </c>
    </row>
    <row r="4348" spans="1:14" ht="46.5" outlineLevel="1" x14ac:dyDescent="0.25">
      <c r="A4348" s="1486" t="str">
        <f t="shared" si="658"/>
        <v>Y12</v>
      </c>
      <c r="B4348" s="1491" t="str">
        <f t="shared" si="658"/>
        <v>Efficiency and Reliability improvement of PRDS, HP Heaters &amp;
Boiler pressure part system by rejuvenation of control valves, CSTPS Chandrapur</v>
      </c>
      <c r="C4348" s="1486" t="str">
        <f t="shared" si="658"/>
        <v>Yet To Receive Approval</v>
      </c>
      <c r="D4348" s="1413" t="str">
        <f t="shared" si="658"/>
        <v>-</v>
      </c>
      <c r="E4348" s="560">
        <f t="shared" si="658"/>
        <v>0</v>
      </c>
      <c r="F4348" s="1508">
        <f t="shared" si="651"/>
        <v>0</v>
      </c>
      <c r="G4348" s="1508">
        <f t="shared" si="652"/>
        <v>0</v>
      </c>
      <c r="H4348" s="1508">
        <f t="shared" si="659"/>
        <v>0</v>
      </c>
      <c r="I4348" s="1480">
        <v>0</v>
      </c>
      <c r="J4348" s="1480">
        <v>0</v>
      </c>
      <c r="K4348" s="1508"/>
      <c r="L4348" s="1508"/>
      <c r="M4348" s="1509">
        <f t="shared" si="654"/>
        <v>0</v>
      </c>
      <c r="N4348" s="1508">
        <f t="shared" si="660"/>
        <v>0</v>
      </c>
    </row>
    <row r="4349" spans="1:14" ht="31" outlineLevel="1" x14ac:dyDescent="0.25">
      <c r="A4349" s="1488">
        <f t="shared" si="658"/>
        <v>0</v>
      </c>
      <c r="B4349" s="1497" t="str">
        <f t="shared" si="658"/>
        <v>Scheme-1: Procurement of Sub body assembly &amp; Actuator for control &amp; motorized valves for U#3 &amp; U#4 (210MW).</v>
      </c>
      <c r="C4349" s="1488" t="str">
        <f t="shared" si="658"/>
        <v>Yet To Receive Approval</v>
      </c>
      <c r="D4349" s="1413" t="str">
        <f t="shared" si="658"/>
        <v>-</v>
      </c>
      <c r="E4349" s="560">
        <f t="shared" si="658"/>
        <v>0</v>
      </c>
      <c r="F4349" s="1508">
        <f t="shared" si="651"/>
        <v>16.5</v>
      </c>
      <c r="G4349" s="1508">
        <f t="shared" si="652"/>
        <v>16.5</v>
      </c>
      <c r="H4349" s="1508">
        <f t="shared" si="659"/>
        <v>0</v>
      </c>
      <c r="I4349" s="1480">
        <v>0</v>
      </c>
      <c r="J4349" s="1480">
        <v>0</v>
      </c>
      <c r="K4349" s="1508"/>
      <c r="L4349" s="1508"/>
      <c r="M4349" s="1509">
        <f t="shared" si="654"/>
        <v>0</v>
      </c>
      <c r="N4349" s="1508">
        <f t="shared" si="660"/>
        <v>0</v>
      </c>
    </row>
    <row r="4350" spans="1:14" ht="46.5" outlineLevel="1" x14ac:dyDescent="0.25">
      <c r="A4350" s="1488">
        <f t="shared" ref="A4350:E4365" si="661">A3680</f>
        <v>0</v>
      </c>
      <c r="B4350" s="1497" t="str">
        <f t="shared" si="661"/>
        <v>Scheme-2: Procurement of HC &amp; LC Feed and Soot Blower Drain Control sub body assembly for control valves for boiler Unit- 5, 6 &amp; 7 (500MW).</v>
      </c>
      <c r="C4350" s="1488" t="str">
        <f t="shared" si="661"/>
        <v>Yet To Receive Approval</v>
      </c>
      <c r="D4350" s="1413" t="str">
        <f t="shared" si="661"/>
        <v>-</v>
      </c>
      <c r="E4350" s="560">
        <f t="shared" si="661"/>
        <v>0</v>
      </c>
      <c r="F4350" s="1508">
        <f t="shared" ref="F4350:F4413" si="662">F3680+I3680</f>
        <v>3.05</v>
      </c>
      <c r="G4350" s="1508">
        <f t="shared" ref="G4350:G4413" si="663">G3680+M3680</f>
        <v>3.05</v>
      </c>
      <c r="H4350" s="1508">
        <f t="shared" si="659"/>
        <v>0</v>
      </c>
      <c r="I4350" s="1480">
        <v>0</v>
      </c>
      <c r="J4350" s="1480">
        <v>0</v>
      </c>
      <c r="K4350" s="1508"/>
      <c r="L4350" s="1508"/>
      <c r="M4350" s="1509">
        <f t="shared" si="654"/>
        <v>0</v>
      </c>
      <c r="N4350" s="1508">
        <f t="shared" si="660"/>
        <v>0</v>
      </c>
    </row>
    <row r="4351" spans="1:14" ht="31" outlineLevel="1" x14ac:dyDescent="0.25">
      <c r="A4351" s="1488">
        <f t="shared" si="661"/>
        <v>0</v>
      </c>
      <c r="B4351" s="1497" t="str">
        <f t="shared" si="661"/>
        <v>Scheme-3: Procurement of actuator assembly for control valves for boiler Unit- 5, 6 &amp; 7 (500MW).</v>
      </c>
      <c r="C4351" s="1488" t="str">
        <f t="shared" si="661"/>
        <v>Yet To Receive Approval</v>
      </c>
      <c r="D4351" s="1413" t="str">
        <f t="shared" si="661"/>
        <v>-</v>
      </c>
      <c r="E4351" s="560">
        <f t="shared" si="661"/>
        <v>0</v>
      </c>
      <c r="F4351" s="1508">
        <f t="shared" si="662"/>
        <v>2.21</v>
      </c>
      <c r="G4351" s="1508">
        <f t="shared" si="663"/>
        <v>2.21</v>
      </c>
      <c r="H4351" s="1508">
        <f t="shared" si="659"/>
        <v>0</v>
      </c>
      <c r="I4351" s="1480">
        <v>0</v>
      </c>
      <c r="J4351" s="1480">
        <v>0</v>
      </c>
      <c r="K4351" s="1508"/>
      <c r="L4351" s="1508"/>
      <c r="M4351" s="1509">
        <f t="shared" si="654"/>
        <v>0</v>
      </c>
      <c r="N4351" s="1508">
        <f t="shared" si="660"/>
        <v>0</v>
      </c>
    </row>
    <row r="4352" spans="1:14" ht="31" outlineLevel="1" x14ac:dyDescent="0.25">
      <c r="A4352" s="1488">
        <f t="shared" si="661"/>
        <v>0</v>
      </c>
      <c r="B4352" s="1497" t="str">
        <f t="shared" si="661"/>
        <v>Scheme-4: Procurement of HP heaters drip sub body assembly for control valve of 500MW Unit-5,6&amp;7.</v>
      </c>
      <c r="C4352" s="1488" t="str">
        <f t="shared" si="661"/>
        <v>Yet To Receive Approval</v>
      </c>
      <c r="D4352" s="1413" t="str">
        <f t="shared" si="661"/>
        <v>-</v>
      </c>
      <c r="E4352" s="560">
        <f t="shared" si="661"/>
        <v>0</v>
      </c>
      <c r="F4352" s="1508">
        <f t="shared" si="662"/>
        <v>1.39</v>
      </c>
      <c r="G4352" s="1508">
        <f t="shared" si="663"/>
        <v>1.39</v>
      </c>
      <c r="H4352" s="1508">
        <f t="shared" si="659"/>
        <v>0</v>
      </c>
      <c r="I4352" s="1480">
        <v>0</v>
      </c>
      <c r="J4352" s="1480">
        <v>0</v>
      </c>
      <c r="K4352" s="1508"/>
      <c r="L4352" s="1508"/>
      <c r="M4352" s="1509">
        <f t="shared" si="654"/>
        <v>0</v>
      </c>
      <c r="N4352" s="1508">
        <f t="shared" si="660"/>
        <v>0</v>
      </c>
    </row>
    <row r="4353" spans="1:14" ht="31" outlineLevel="1" x14ac:dyDescent="0.25">
      <c r="A4353" s="1488">
        <f t="shared" si="661"/>
        <v>0</v>
      </c>
      <c r="B4353" s="1497" t="str">
        <f t="shared" si="661"/>
        <v>Scheme-5: Procurement of actuator assembly for control valve of 500MW Unit-5,6&amp;7.</v>
      </c>
      <c r="C4353" s="1488" t="str">
        <f t="shared" si="661"/>
        <v>Yet To Receive Approval</v>
      </c>
      <c r="D4353" s="1413" t="str">
        <f t="shared" si="661"/>
        <v>-</v>
      </c>
      <c r="E4353" s="560">
        <f t="shared" si="661"/>
        <v>0</v>
      </c>
      <c r="F4353" s="1508">
        <f t="shared" si="662"/>
        <v>1.95</v>
      </c>
      <c r="G4353" s="1508">
        <f t="shared" si="663"/>
        <v>1.95</v>
      </c>
      <c r="H4353" s="1508">
        <f t="shared" si="659"/>
        <v>0</v>
      </c>
      <c r="I4353" s="1480">
        <v>0</v>
      </c>
      <c r="J4353" s="1480">
        <v>0</v>
      </c>
      <c r="K4353" s="1508"/>
      <c r="L4353" s="1508"/>
      <c r="M4353" s="1509">
        <f t="shared" si="654"/>
        <v>0</v>
      </c>
      <c r="N4353" s="1508">
        <f t="shared" si="660"/>
        <v>0</v>
      </c>
    </row>
    <row r="4354" spans="1:14" ht="15.5" outlineLevel="1" x14ac:dyDescent="0.25">
      <c r="A4354" s="1488">
        <f t="shared" si="661"/>
        <v>0</v>
      </c>
      <c r="B4354" s="1497" t="str">
        <f t="shared" si="661"/>
        <v>IDC</v>
      </c>
      <c r="C4354" s="1488" t="str">
        <f t="shared" si="661"/>
        <v>Yet To Receive Approval</v>
      </c>
      <c r="D4354" s="1413" t="str">
        <f t="shared" si="661"/>
        <v>-</v>
      </c>
      <c r="E4354" s="560">
        <f t="shared" si="661"/>
        <v>0</v>
      </c>
      <c r="F4354" s="1508">
        <f t="shared" si="662"/>
        <v>0</v>
      </c>
      <c r="G4354" s="1508">
        <f t="shared" si="663"/>
        <v>0</v>
      </c>
      <c r="H4354" s="1508">
        <f t="shared" si="659"/>
        <v>0</v>
      </c>
      <c r="I4354" s="1480">
        <v>0</v>
      </c>
      <c r="J4354" s="1480">
        <v>0</v>
      </c>
      <c r="K4354" s="1508"/>
      <c r="L4354" s="1508"/>
      <c r="M4354" s="1509">
        <f t="shared" si="654"/>
        <v>0</v>
      </c>
      <c r="N4354" s="1508">
        <f t="shared" si="660"/>
        <v>0</v>
      </c>
    </row>
    <row r="4355" spans="1:14" ht="46.5" outlineLevel="1" x14ac:dyDescent="0.25">
      <c r="A4355" s="1486" t="str">
        <f t="shared" si="661"/>
        <v>Y13</v>
      </c>
      <c r="B4355" s="1491" t="str">
        <f t="shared" si="661"/>
        <v>Supply &amp; installation of Advanced ESP Controller &amp; Numerical relay at U-7 and DAVR &amp; Up-gradation of Servo valves (ST) for HP-Bypass system at U-5,6,7, CSTPS</v>
      </c>
      <c r="C4355" s="1486" t="str">
        <f t="shared" si="661"/>
        <v>Yet To Receive Approval</v>
      </c>
      <c r="D4355" s="1413" t="str">
        <f t="shared" si="661"/>
        <v>-</v>
      </c>
      <c r="E4355" s="560">
        <f t="shared" si="661"/>
        <v>0</v>
      </c>
      <c r="F4355" s="1508">
        <f t="shared" si="662"/>
        <v>0</v>
      </c>
      <c r="G4355" s="1508">
        <f t="shared" si="663"/>
        <v>0</v>
      </c>
      <c r="H4355" s="1508">
        <f t="shared" si="659"/>
        <v>0</v>
      </c>
      <c r="I4355" s="1480">
        <v>0</v>
      </c>
      <c r="J4355" s="1480">
        <v>0</v>
      </c>
      <c r="K4355" s="1508"/>
      <c r="L4355" s="1508"/>
      <c r="M4355" s="1509">
        <f t="shared" si="654"/>
        <v>0</v>
      </c>
      <c r="N4355" s="1508">
        <f t="shared" si="660"/>
        <v>0</v>
      </c>
    </row>
    <row r="4356" spans="1:14" ht="46.5" outlineLevel="1" x14ac:dyDescent="0.25">
      <c r="A4356" s="1488">
        <f t="shared" si="661"/>
        <v>0</v>
      </c>
      <c r="B4356" s="1497" t="str">
        <f t="shared" si="661"/>
        <v xml:space="preserve">Scheme1: Supply and installation of advanced ESP Controllers for retrofitting in place of existing Alstom make EPIC-II controllers at ESP U-7 </v>
      </c>
      <c r="C4356" s="1488" t="str">
        <f t="shared" si="661"/>
        <v>Yet To Receive Approval</v>
      </c>
      <c r="D4356" s="1413" t="str">
        <f t="shared" si="661"/>
        <v>-</v>
      </c>
      <c r="E4356" s="560">
        <f t="shared" si="661"/>
        <v>0</v>
      </c>
      <c r="F4356" s="1508">
        <f t="shared" si="662"/>
        <v>4.1500000000000004</v>
      </c>
      <c r="G4356" s="1508">
        <f t="shared" si="663"/>
        <v>4.1500000000000004</v>
      </c>
      <c r="H4356" s="1508">
        <f t="shared" si="659"/>
        <v>0</v>
      </c>
      <c r="I4356" s="1480">
        <v>0</v>
      </c>
      <c r="J4356" s="1480">
        <v>0</v>
      </c>
      <c r="K4356" s="1508"/>
      <c r="L4356" s="1508"/>
      <c r="M4356" s="1509">
        <f t="shared" si="654"/>
        <v>0</v>
      </c>
      <c r="N4356" s="1508">
        <f t="shared" si="660"/>
        <v>0</v>
      </c>
    </row>
    <row r="4357" spans="1:14" ht="15.5" outlineLevel="1" x14ac:dyDescent="0.25">
      <c r="A4357" s="1488">
        <f t="shared" si="661"/>
        <v>0</v>
      </c>
      <c r="B4357" s="1497" t="str">
        <f t="shared" si="661"/>
        <v>Scheme-2: Supply and installation of DAVR at U-5,6,7</v>
      </c>
      <c r="C4357" s="1488" t="str">
        <f t="shared" si="661"/>
        <v>Yet To Receive Approval</v>
      </c>
      <c r="D4357" s="1413" t="str">
        <f t="shared" si="661"/>
        <v>-</v>
      </c>
      <c r="E4357" s="560">
        <f t="shared" si="661"/>
        <v>0</v>
      </c>
      <c r="F4357" s="1508">
        <f t="shared" si="662"/>
        <v>6.07</v>
      </c>
      <c r="G4357" s="1508">
        <f t="shared" si="663"/>
        <v>6.07</v>
      </c>
      <c r="H4357" s="1508">
        <f t="shared" si="659"/>
        <v>0</v>
      </c>
      <c r="I4357" s="1480">
        <v>0</v>
      </c>
      <c r="J4357" s="1480">
        <v>0</v>
      </c>
      <c r="K4357" s="1508"/>
      <c r="L4357" s="1508"/>
      <c r="M4357" s="1509">
        <f t="shared" si="654"/>
        <v>0</v>
      </c>
      <c r="N4357" s="1508">
        <f t="shared" si="660"/>
        <v>0</v>
      </c>
    </row>
    <row r="4358" spans="1:14" ht="46.5" outlineLevel="1" x14ac:dyDescent="0.25">
      <c r="A4358" s="1488">
        <f t="shared" si="661"/>
        <v>0</v>
      </c>
      <c r="B4358" s="1497" t="str">
        <f t="shared" si="661"/>
        <v>Scheme 3: Supply, installation and commissioning of numerical protection relays with set of auxiliary relays for HT switchgear, Unit-7</v>
      </c>
      <c r="C4358" s="1488" t="str">
        <f t="shared" si="661"/>
        <v>Yet To Receive Approval</v>
      </c>
      <c r="D4358" s="1413" t="str">
        <f t="shared" si="661"/>
        <v>-</v>
      </c>
      <c r="E4358" s="560">
        <f t="shared" si="661"/>
        <v>0</v>
      </c>
      <c r="F4358" s="1508">
        <f t="shared" si="662"/>
        <v>9.01</v>
      </c>
      <c r="G4358" s="1508">
        <f t="shared" si="663"/>
        <v>9.01</v>
      </c>
      <c r="H4358" s="1508">
        <f t="shared" si="659"/>
        <v>0</v>
      </c>
      <c r="I4358" s="1480">
        <v>0</v>
      </c>
      <c r="J4358" s="1480">
        <v>0</v>
      </c>
      <c r="K4358" s="1508"/>
      <c r="L4358" s="1508"/>
      <c r="M4358" s="1509">
        <f t="shared" si="654"/>
        <v>0</v>
      </c>
      <c r="N4358" s="1508">
        <f t="shared" si="660"/>
        <v>0</v>
      </c>
    </row>
    <row r="4359" spans="1:14" ht="31" outlineLevel="1" x14ac:dyDescent="0.25">
      <c r="A4359" s="1488">
        <f t="shared" si="661"/>
        <v>0</v>
      </c>
      <c r="B4359" s="1497" t="str">
        <f t="shared" si="661"/>
        <v>Scheme 4: Up-gradation of Servo valves (ST) by Proportional valves (PV) &amp; oil unitOV to HV for HP- Bypass system in U-5,6,7</v>
      </c>
      <c r="C4359" s="1488" t="str">
        <f t="shared" si="661"/>
        <v>Yet To Receive Approval</v>
      </c>
      <c r="D4359" s="1413" t="str">
        <f t="shared" si="661"/>
        <v>-</v>
      </c>
      <c r="E4359" s="560">
        <f t="shared" si="661"/>
        <v>0</v>
      </c>
      <c r="F4359" s="1508">
        <f t="shared" si="662"/>
        <v>9.86</v>
      </c>
      <c r="G4359" s="1508">
        <f t="shared" si="663"/>
        <v>9.86</v>
      </c>
      <c r="H4359" s="1508">
        <f t="shared" si="659"/>
        <v>0</v>
      </c>
      <c r="I4359" s="1480">
        <v>0</v>
      </c>
      <c r="J4359" s="1480">
        <v>0</v>
      </c>
      <c r="K4359" s="1508"/>
      <c r="L4359" s="1508"/>
      <c r="M4359" s="1509">
        <f t="shared" si="654"/>
        <v>0</v>
      </c>
      <c r="N4359" s="1508">
        <f t="shared" si="660"/>
        <v>0</v>
      </c>
    </row>
    <row r="4360" spans="1:14" ht="15.5" outlineLevel="1" x14ac:dyDescent="0.25">
      <c r="A4360" s="1488">
        <f t="shared" si="661"/>
        <v>0</v>
      </c>
      <c r="B4360" s="1497" t="str">
        <f t="shared" si="661"/>
        <v>IDC</v>
      </c>
      <c r="C4360" s="1488" t="str">
        <f t="shared" si="661"/>
        <v>Yet To Receive Approval</v>
      </c>
      <c r="D4360" s="1413" t="str">
        <f t="shared" si="661"/>
        <v>-</v>
      </c>
      <c r="E4360" s="560">
        <f t="shared" si="661"/>
        <v>0</v>
      </c>
      <c r="F4360" s="1508">
        <f t="shared" si="662"/>
        <v>0</v>
      </c>
      <c r="G4360" s="1508">
        <f t="shared" si="663"/>
        <v>0</v>
      </c>
      <c r="H4360" s="1508">
        <f t="shared" si="659"/>
        <v>0</v>
      </c>
      <c r="I4360" s="1480">
        <v>0</v>
      </c>
      <c r="J4360" s="1480">
        <v>0</v>
      </c>
      <c r="K4360" s="1508"/>
      <c r="L4360" s="1508"/>
      <c r="M4360" s="1509">
        <f t="shared" si="654"/>
        <v>0</v>
      </c>
      <c r="N4360" s="1508">
        <f t="shared" si="660"/>
        <v>0</v>
      </c>
    </row>
    <row r="4361" spans="1:14" ht="46.5" outlineLevel="1" x14ac:dyDescent="0.25">
      <c r="A4361" s="1486" t="str">
        <f t="shared" si="661"/>
        <v>Y14</v>
      </c>
      <c r="B4361" s="1491" t="str">
        <f t="shared" si="661"/>
        <v>Improvement in Reliability and Life Enhancement of Coal Mill by Refurbishment of Flender make KMS 850 Gear Box of XRP-1043 Coal Mill Unit 5 &amp; 6 at CSTPS, Chandrapur</v>
      </c>
      <c r="C4361" s="1486" t="str">
        <f t="shared" si="661"/>
        <v>Yet To Receive Approval</v>
      </c>
      <c r="D4361" s="1413" t="str">
        <f t="shared" si="661"/>
        <v>-</v>
      </c>
      <c r="E4361" s="560">
        <f t="shared" si="661"/>
        <v>0</v>
      </c>
      <c r="F4361" s="1508">
        <f t="shared" si="662"/>
        <v>0</v>
      </c>
      <c r="G4361" s="1508">
        <f t="shared" si="663"/>
        <v>0</v>
      </c>
      <c r="H4361" s="1508">
        <f>F4361-G4361</f>
        <v>0</v>
      </c>
      <c r="I4361" s="1480">
        <v>0</v>
      </c>
      <c r="J4361" s="1480">
        <v>0</v>
      </c>
      <c r="K4361" s="1508"/>
      <c r="L4361" s="1508"/>
      <c r="M4361" s="1509">
        <f>SUM(J4361:L4361)</f>
        <v>0</v>
      </c>
      <c r="N4361" s="1508">
        <f>H4361+I4361-M4361</f>
        <v>0</v>
      </c>
    </row>
    <row r="4362" spans="1:14" ht="31" outlineLevel="1" x14ac:dyDescent="0.25">
      <c r="A4362" s="1488">
        <f t="shared" si="661"/>
        <v>0</v>
      </c>
      <c r="B4362" s="1497" t="str">
        <f t="shared" si="661"/>
        <v>Coal Mill Life Enhancement by Refurbishment of Flender make KMS 850 gear box of XRP-1043 coal mill in Unit-5&amp;6</v>
      </c>
      <c r="C4362" s="1488" t="str">
        <f t="shared" si="661"/>
        <v>Yet To Receive Approval</v>
      </c>
      <c r="D4362" s="1413" t="str">
        <f t="shared" si="661"/>
        <v>-</v>
      </c>
      <c r="E4362" s="560">
        <f t="shared" si="661"/>
        <v>0</v>
      </c>
      <c r="F4362" s="1508">
        <f t="shared" si="662"/>
        <v>24.96</v>
      </c>
      <c r="G4362" s="1508">
        <f t="shared" si="663"/>
        <v>24.96</v>
      </c>
      <c r="H4362" s="1508">
        <f>F4362-G4362</f>
        <v>0</v>
      </c>
      <c r="I4362" s="1480">
        <v>0</v>
      </c>
      <c r="J4362" s="1480">
        <v>0</v>
      </c>
      <c r="K4362" s="1508"/>
      <c r="L4362" s="1508"/>
      <c r="M4362" s="1509">
        <f>SUM(J4362:L4362)</f>
        <v>0</v>
      </c>
      <c r="N4362" s="1508">
        <f>H4362+I4362-M4362</f>
        <v>0</v>
      </c>
    </row>
    <row r="4363" spans="1:14" ht="15.5" outlineLevel="1" x14ac:dyDescent="0.25">
      <c r="A4363" s="1488">
        <f t="shared" si="661"/>
        <v>0</v>
      </c>
      <c r="B4363" s="1497" t="str">
        <f t="shared" si="661"/>
        <v>IDC</v>
      </c>
      <c r="C4363" s="1488" t="str">
        <f t="shared" si="661"/>
        <v>Yet To Receive Approval</v>
      </c>
      <c r="D4363" s="1413" t="str">
        <f t="shared" si="661"/>
        <v>-</v>
      </c>
      <c r="E4363" s="560">
        <f t="shared" si="661"/>
        <v>0</v>
      </c>
      <c r="F4363" s="1508">
        <f t="shared" si="662"/>
        <v>0</v>
      </c>
      <c r="G4363" s="1508">
        <f t="shared" si="663"/>
        <v>0</v>
      </c>
      <c r="H4363" s="1508">
        <f>F4363-G4363</f>
        <v>0</v>
      </c>
      <c r="I4363" s="1480">
        <v>0</v>
      </c>
      <c r="J4363" s="1480">
        <v>0</v>
      </c>
      <c r="K4363" s="1508"/>
      <c r="L4363" s="1508"/>
      <c r="M4363" s="1509">
        <f>SUM(J4363:L4363)</f>
        <v>0</v>
      </c>
      <c r="N4363" s="1508">
        <f>H4363+I4363-M4363</f>
        <v>0</v>
      </c>
    </row>
    <row r="4364" spans="1:14" ht="15.5" outlineLevel="1" x14ac:dyDescent="0.25">
      <c r="A4364" s="1488">
        <f t="shared" si="661"/>
        <v>0</v>
      </c>
      <c r="B4364" s="1497">
        <f t="shared" si="661"/>
        <v>0</v>
      </c>
      <c r="C4364" s="1488">
        <f t="shared" si="661"/>
        <v>0</v>
      </c>
      <c r="D4364" s="1413" t="str">
        <f t="shared" si="661"/>
        <v>-</v>
      </c>
      <c r="E4364" s="560">
        <f t="shared" si="661"/>
        <v>0</v>
      </c>
      <c r="F4364" s="1508">
        <f t="shared" si="662"/>
        <v>0</v>
      </c>
      <c r="G4364" s="1508">
        <f t="shared" si="663"/>
        <v>0</v>
      </c>
      <c r="H4364" s="1508">
        <f t="shared" ref="H4364:H4427" si="664">F4364-G4364</f>
        <v>0</v>
      </c>
      <c r="I4364" s="1480">
        <v>0</v>
      </c>
      <c r="J4364" s="1480">
        <v>0</v>
      </c>
      <c r="K4364" s="1508"/>
      <c r="L4364" s="1508"/>
      <c r="M4364" s="1509">
        <f t="shared" ref="M4364:M4427" si="665">SUM(J4364:L4364)</f>
        <v>0</v>
      </c>
      <c r="N4364" s="1508">
        <f t="shared" ref="N4364:N4427" si="666">H4364+I4364-M4364</f>
        <v>0</v>
      </c>
    </row>
    <row r="4365" spans="1:14" ht="15.5" outlineLevel="1" x14ac:dyDescent="0.25">
      <c r="A4365" s="1488">
        <f t="shared" si="661"/>
        <v>0</v>
      </c>
      <c r="B4365" s="1497">
        <f t="shared" si="661"/>
        <v>0</v>
      </c>
      <c r="C4365" s="1488">
        <f t="shared" si="661"/>
        <v>0</v>
      </c>
      <c r="D4365" s="1413" t="str">
        <f t="shared" si="661"/>
        <v>-</v>
      </c>
      <c r="E4365" s="560">
        <f t="shared" si="661"/>
        <v>0</v>
      </c>
      <c r="F4365" s="1508">
        <f t="shared" si="662"/>
        <v>0</v>
      </c>
      <c r="G4365" s="1508">
        <f t="shared" si="663"/>
        <v>0</v>
      </c>
      <c r="H4365" s="1508">
        <f t="shared" si="664"/>
        <v>0</v>
      </c>
      <c r="I4365" s="1480">
        <v>0</v>
      </c>
      <c r="J4365" s="1480">
        <v>0</v>
      </c>
      <c r="K4365" s="1508"/>
      <c r="L4365" s="1508"/>
      <c r="M4365" s="1509">
        <f t="shared" si="665"/>
        <v>0</v>
      </c>
      <c r="N4365" s="1508">
        <f t="shared" si="666"/>
        <v>0</v>
      </c>
    </row>
    <row r="4366" spans="1:14" ht="15.5" outlineLevel="1" x14ac:dyDescent="0.25">
      <c r="A4366" s="1500">
        <f t="shared" ref="A4366:E4381" si="667">A3696</f>
        <v>0</v>
      </c>
      <c r="B4366" s="1502">
        <f t="shared" si="667"/>
        <v>0</v>
      </c>
      <c r="C4366" s="1500">
        <f t="shared" si="667"/>
        <v>0</v>
      </c>
      <c r="D4366" s="1501" t="str">
        <f t="shared" si="667"/>
        <v>-</v>
      </c>
      <c r="E4366" s="560">
        <f t="shared" si="667"/>
        <v>0</v>
      </c>
      <c r="F4366" s="1508">
        <f t="shared" si="662"/>
        <v>0</v>
      </c>
      <c r="G4366" s="1508">
        <f t="shared" si="663"/>
        <v>0</v>
      </c>
      <c r="H4366" s="1508">
        <f t="shared" si="664"/>
        <v>0</v>
      </c>
      <c r="I4366" s="1480">
        <v>0</v>
      </c>
      <c r="J4366" s="1480">
        <v>0</v>
      </c>
      <c r="K4366" s="1508"/>
      <c r="L4366" s="1508"/>
      <c r="M4366" s="1509">
        <f t="shared" si="665"/>
        <v>0</v>
      </c>
      <c r="N4366" s="1508">
        <f t="shared" si="666"/>
        <v>0</v>
      </c>
    </row>
    <row r="4367" spans="1:14" ht="15.5" outlineLevel="1" x14ac:dyDescent="0.25">
      <c r="A4367" s="1453">
        <f t="shared" si="667"/>
        <v>0</v>
      </c>
      <c r="B4367" s="1476" t="str">
        <f t="shared" si="667"/>
        <v>(ii) Yet to be submitted to MERC</v>
      </c>
      <c r="C4367" s="1453">
        <f t="shared" si="667"/>
        <v>0</v>
      </c>
      <c r="D4367" s="1503" t="str">
        <f t="shared" si="667"/>
        <v>-</v>
      </c>
      <c r="E4367" s="560">
        <f t="shared" si="667"/>
        <v>0</v>
      </c>
      <c r="F4367" s="1508">
        <f t="shared" si="662"/>
        <v>0</v>
      </c>
      <c r="G4367" s="1508">
        <f t="shared" si="663"/>
        <v>0</v>
      </c>
      <c r="H4367" s="1508">
        <f t="shared" si="664"/>
        <v>0</v>
      </c>
      <c r="I4367" s="1480">
        <v>0</v>
      </c>
      <c r="J4367" s="1480">
        <v>0</v>
      </c>
      <c r="K4367" s="1508"/>
      <c r="L4367" s="1508"/>
      <c r="M4367" s="1509">
        <f t="shared" si="665"/>
        <v>0</v>
      </c>
      <c r="N4367" s="1508">
        <f t="shared" si="666"/>
        <v>0</v>
      </c>
    </row>
    <row r="4368" spans="1:14" ht="15.5" outlineLevel="1" x14ac:dyDescent="0.25">
      <c r="A4368" s="1453">
        <f t="shared" si="667"/>
        <v>0</v>
      </c>
      <c r="B4368" s="1476">
        <f t="shared" si="667"/>
        <v>0</v>
      </c>
      <c r="C4368" s="1453">
        <f t="shared" si="667"/>
        <v>0</v>
      </c>
      <c r="D4368" s="1503" t="str">
        <f t="shared" si="667"/>
        <v>-</v>
      </c>
      <c r="E4368" s="560">
        <f t="shared" si="667"/>
        <v>0</v>
      </c>
      <c r="F4368" s="1508">
        <f t="shared" si="662"/>
        <v>0</v>
      </c>
      <c r="G4368" s="1508">
        <f t="shared" si="663"/>
        <v>0</v>
      </c>
      <c r="H4368" s="1508">
        <f t="shared" si="664"/>
        <v>0</v>
      </c>
      <c r="I4368" s="1480">
        <v>0</v>
      </c>
      <c r="J4368" s="1480">
        <v>0</v>
      </c>
      <c r="K4368" s="1508"/>
      <c r="L4368" s="1508"/>
      <c r="M4368" s="1509">
        <f t="shared" si="665"/>
        <v>0</v>
      </c>
      <c r="N4368" s="1508">
        <f t="shared" si="666"/>
        <v>0</v>
      </c>
    </row>
    <row r="4369" spans="1:14" ht="77.5" outlineLevel="1" x14ac:dyDescent="0.25">
      <c r="A4369" s="1486">
        <f t="shared" si="667"/>
        <v>2</v>
      </c>
      <c r="B4369" s="1491" t="str">
        <f t="shared" si="667"/>
        <v>‘Supply, installation, restoration, up-gradation and revamping of Fire Protection Systems viz Fire Hydrant System, Passive Fire Protection System, DV House Construction &amp; Fire Water Spray System at plant &amp; ODP area of Unit-3to9 and CHPs (CHP-A,B,C,&amp;D) of CSTPS, Chandrapur’</v>
      </c>
      <c r="C4369" s="166">
        <f t="shared" si="667"/>
        <v>0</v>
      </c>
      <c r="D4369" s="1413" t="str">
        <f t="shared" si="667"/>
        <v>-</v>
      </c>
      <c r="E4369" s="560">
        <f t="shared" si="667"/>
        <v>118.75</v>
      </c>
      <c r="F4369" s="1508">
        <f t="shared" si="662"/>
        <v>0</v>
      </c>
      <c r="G4369" s="1508">
        <f t="shared" si="663"/>
        <v>0</v>
      </c>
      <c r="H4369" s="1508">
        <f t="shared" si="664"/>
        <v>0</v>
      </c>
      <c r="I4369" s="1480">
        <v>0</v>
      </c>
      <c r="J4369" s="1480">
        <v>0</v>
      </c>
      <c r="K4369" s="1508"/>
      <c r="L4369" s="1508"/>
      <c r="M4369" s="1509">
        <f t="shared" si="665"/>
        <v>0</v>
      </c>
      <c r="N4369" s="1508">
        <f t="shared" si="666"/>
        <v>0</v>
      </c>
    </row>
    <row r="4370" spans="1:14" ht="77.5" outlineLevel="1" x14ac:dyDescent="0.25">
      <c r="A4370" s="1492">
        <f t="shared" si="667"/>
        <v>0</v>
      </c>
      <c r="B4370" s="1492" t="str">
        <f t="shared" si="667"/>
        <v>‘Supply, installation, restoration, up-gradation and revamping of Fire Protection Systems viz Fire Hydrant System, Passive Fire Protection System, DV House Construction &amp; Fire Water Spray System at plant &amp; ODP area of Unit-3to9 and CHPs (CHP-A,B,C,&amp;D) of CSTPS, Chandrapur’</v>
      </c>
      <c r="C4370" s="166">
        <f t="shared" si="667"/>
        <v>0</v>
      </c>
      <c r="D4370" s="1413" t="str">
        <f t="shared" si="667"/>
        <v>-</v>
      </c>
      <c r="E4370" s="560">
        <f t="shared" si="667"/>
        <v>118.75</v>
      </c>
      <c r="F4370" s="1508">
        <f t="shared" si="662"/>
        <v>118.75</v>
      </c>
      <c r="G4370" s="1508">
        <f t="shared" si="663"/>
        <v>118.75</v>
      </c>
      <c r="H4370" s="1508">
        <f t="shared" si="664"/>
        <v>0</v>
      </c>
      <c r="I4370" s="1480">
        <v>0</v>
      </c>
      <c r="J4370" s="1480">
        <v>0</v>
      </c>
      <c r="K4370" s="1508"/>
      <c r="L4370" s="1508"/>
      <c r="M4370" s="1509">
        <f t="shared" si="665"/>
        <v>0</v>
      </c>
      <c r="N4370" s="1508">
        <f t="shared" si="666"/>
        <v>0</v>
      </c>
    </row>
    <row r="4371" spans="1:14" ht="62" outlineLevel="1" x14ac:dyDescent="0.25">
      <c r="A4371" s="1486">
        <f t="shared" si="667"/>
        <v>3</v>
      </c>
      <c r="B4371" s="1491" t="str">
        <f t="shared" si="667"/>
        <v>DPR for Fire Detection &amp; Alarm and Protection System from Fire and Providing Rapid Extinguishing Clean Agent (CA) System at Unit -7, Outdoor Plants, CHPs, Service building &amp; Admin Building at CSTPS</v>
      </c>
      <c r="C4371" s="166">
        <f t="shared" si="667"/>
        <v>0</v>
      </c>
      <c r="D4371" s="1413" t="str">
        <f t="shared" si="667"/>
        <v>-</v>
      </c>
      <c r="E4371" s="560">
        <f t="shared" si="667"/>
        <v>31.56</v>
      </c>
      <c r="F4371" s="1508">
        <f t="shared" si="662"/>
        <v>0</v>
      </c>
      <c r="G4371" s="1508">
        <f t="shared" si="663"/>
        <v>0</v>
      </c>
      <c r="H4371" s="1508">
        <f t="shared" si="664"/>
        <v>0</v>
      </c>
      <c r="I4371" s="1480">
        <v>0</v>
      </c>
      <c r="J4371" s="1480">
        <v>0</v>
      </c>
      <c r="K4371" s="1508"/>
      <c r="L4371" s="1508"/>
      <c r="M4371" s="1509">
        <f t="shared" si="665"/>
        <v>0</v>
      </c>
      <c r="N4371" s="1508">
        <f t="shared" si="666"/>
        <v>0</v>
      </c>
    </row>
    <row r="4372" spans="1:14" ht="62" outlineLevel="1" x14ac:dyDescent="0.25">
      <c r="A4372" s="1492">
        <f t="shared" si="667"/>
        <v>0</v>
      </c>
      <c r="B4372" s="1492" t="str">
        <f t="shared" si="667"/>
        <v>DPR for Fire Detection &amp; Alarm and Protection System from Fire and Providing Rapid Extinguishing Clean Agent (CA) System at Unit -7, Outdoor Plants, CHPs, Service building &amp; Admin Building at CSTPS</v>
      </c>
      <c r="C4372" s="166">
        <f t="shared" si="667"/>
        <v>0</v>
      </c>
      <c r="D4372" s="1413" t="str">
        <f t="shared" si="667"/>
        <v>-</v>
      </c>
      <c r="E4372" s="560">
        <f t="shared" si="667"/>
        <v>31.56</v>
      </c>
      <c r="F4372" s="1508">
        <f t="shared" si="662"/>
        <v>31.56</v>
      </c>
      <c r="G4372" s="1508">
        <f t="shared" si="663"/>
        <v>31.56</v>
      </c>
      <c r="H4372" s="1508">
        <f t="shared" si="664"/>
        <v>0</v>
      </c>
      <c r="I4372" s="1480">
        <v>0</v>
      </c>
      <c r="J4372" s="1480">
        <v>0</v>
      </c>
      <c r="K4372" s="1508"/>
      <c r="L4372" s="1508"/>
      <c r="M4372" s="1509">
        <f t="shared" si="665"/>
        <v>0</v>
      </c>
      <c r="N4372" s="1508">
        <f t="shared" si="666"/>
        <v>0</v>
      </c>
    </row>
    <row r="4373" spans="1:14" ht="46.5" outlineLevel="1" x14ac:dyDescent="0.25">
      <c r="A4373" s="1486">
        <f t="shared" si="667"/>
        <v>4</v>
      </c>
      <c r="B4373" s="1491" t="str">
        <f t="shared" si="667"/>
        <v>Renovation of various component of bottom opening bogie frame at CSTPS Chandrapur &amp; Provision of Wagon Tippler Safety System in Coal Handling Plant at CSTPS</v>
      </c>
      <c r="C4373" s="166">
        <f t="shared" si="667"/>
        <v>0</v>
      </c>
      <c r="D4373" s="1413" t="str">
        <f t="shared" si="667"/>
        <v>-</v>
      </c>
      <c r="E4373" s="560">
        <f t="shared" si="667"/>
        <v>35</v>
      </c>
      <c r="F4373" s="1508">
        <f t="shared" si="662"/>
        <v>0</v>
      </c>
      <c r="G4373" s="1508">
        <f t="shared" si="663"/>
        <v>0</v>
      </c>
      <c r="H4373" s="1508">
        <f t="shared" si="664"/>
        <v>0</v>
      </c>
      <c r="I4373" s="1480">
        <v>0</v>
      </c>
      <c r="J4373" s="1480">
        <v>0</v>
      </c>
      <c r="K4373" s="1508"/>
      <c r="L4373" s="1508"/>
      <c r="M4373" s="1509">
        <f t="shared" si="665"/>
        <v>0</v>
      </c>
      <c r="N4373" s="1508">
        <f t="shared" si="666"/>
        <v>0</v>
      </c>
    </row>
    <row r="4374" spans="1:14" ht="46.5" outlineLevel="1" x14ac:dyDescent="0.25">
      <c r="A4374" s="1492">
        <f t="shared" si="667"/>
        <v>0</v>
      </c>
      <c r="B4374" s="1492" t="str">
        <f t="shared" si="667"/>
        <v>Renovation of various component of bottom opening bogie frame at CSTPS Chandrapur &amp; Provision of Wagon Tippler Safety System in Coal Handling Plant at CSTPS</v>
      </c>
      <c r="C4374" s="166">
        <f t="shared" si="667"/>
        <v>0</v>
      </c>
      <c r="D4374" s="1413" t="str">
        <f t="shared" si="667"/>
        <v>-</v>
      </c>
      <c r="E4374" s="560">
        <f t="shared" si="667"/>
        <v>35</v>
      </c>
      <c r="F4374" s="1508">
        <f t="shared" si="662"/>
        <v>35</v>
      </c>
      <c r="G4374" s="1508">
        <f t="shared" si="663"/>
        <v>35</v>
      </c>
      <c r="H4374" s="1508">
        <f t="shared" si="664"/>
        <v>0</v>
      </c>
      <c r="I4374" s="1480">
        <v>0</v>
      </c>
      <c r="J4374" s="1480">
        <v>0</v>
      </c>
      <c r="K4374" s="1508"/>
      <c r="L4374" s="1508"/>
      <c r="M4374" s="1509">
        <f t="shared" si="665"/>
        <v>0</v>
      </c>
      <c r="N4374" s="1508">
        <f t="shared" si="666"/>
        <v>0</v>
      </c>
    </row>
    <row r="4375" spans="1:14" ht="31" outlineLevel="1" x14ac:dyDescent="0.25">
      <c r="A4375" s="1486">
        <f t="shared" si="667"/>
        <v>5</v>
      </c>
      <c r="B4375" s="1491" t="str">
        <f t="shared" si="667"/>
        <v>Construction of road from CHP Weighbridge to Railway Crossing &amp; provision of Road Under Bridge (RUB) at CSTPS, Chandrapur</v>
      </c>
      <c r="C4375" s="166">
        <f t="shared" si="667"/>
        <v>0</v>
      </c>
      <c r="D4375" s="1413" t="str">
        <f t="shared" si="667"/>
        <v>-</v>
      </c>
      <c r="E4375" s="560">
        <f t="shared" si="667"/>
        <v>41.24</v>
      </c>
      <c r="F4375" s="1508">
        <f t="shared" si="662"/>
        <v>0</v>
      </c>
      <c r="G4375" s="1508">
        <f t="shared" si="663"/>
        <v>0</v>
      </c>
      <c r="H4375" s="1508">
        <f t="shared" si="664"/>
        <v>0</v>
      </c>
      <c r="I4375" s="1480">
        <v>0</v>
      </c>
      <c r="J4375" s="1480">
        <v>0</v>
      </c>
      <c r="K4375" s="1508"/>
      <c r="L4375" s="1508"/>
      <c r="M4375" s="1509">
        <f t="shared" si="665"/>
        <v>0</v>
      </c>
      <c r="N4375" s="1508">
        <f t="shared" si="666"/>
        <v>0</v>
      </c>
    </row>
    <row r="4376" spans="1:14" ht="31" outlineLevel="1" x14ac:dyDescent="0.25">
      <c r="A4376" s="1492">
        <f t="shared" si="667"/>
        <v>0</v>
      </c>
      <c r="B4376" s="1492" t="str">
        <f t="shared" si="667"/>
        <v>Construction of concrete pavement road connecting to CHP weighbridge to Railway crossing at CSTPS, Chandrapur.</v>
      </c>
      <c r="C4376" s="166">
        <f t="shared" si="667"/>
        <v>0</v>
      </c>
      <c r="D4376" s="1413" t="str">
        <f t="shared" si="667"/>
        <v>-</v>
      </c>
      <c r="E4376" s="560">
        <f t="shared" si="667"/>
        <v>5.42</v>
      </c>
      <c r="F4376" s="1508">
        <f t="shared" si="662"/>
        <v>5.42</v>
      </c>
      <c r="G4376" s="1508">
        <f t="shared" si="663"/>
        <v>5.42</v>
      </c>
      <c r="H4376" s="1508">
        <f t="shared" si="664"/>
        <v>0</v>
      </c>
      <c r="I4376" s="1480">
        <v>0</v>
      </c>
      <c r="J4376" s="1480">
        <v>0</v>
      </c>
      <c r="K4376" s="1508"/>
      <c r="L4376" s="1508"/>
      <c r="M4376" s="1509">
        <f t="shared" si="665"/>
        <v>0</v>
      </c>
      <c r="N4376" s="1508">
        <f t="shared" si="666"/>
        <v>0</v>
      </c>
    </row>
    <row r="4377" spans="1:14" ht="31" outlineLevel="1" x14ac:dyDescent="0.25">
      <c r="A4377" s="1492">
        <f t="shared" si="667"/>
        <v>0</v>
      </c>
      <c r="B4377" s="1492" t="str">
        <f t="shared" si="667"/>
        <v>Provision of Road Under Bridge at Vivekanand Nagar Tukum At CSTPS, Chandrapur.</v>
      </c>
      <c r="C4377" s="166">
        <f t="shared" si="667"/>
        <v>0</v>
      </c>
      <c r="D4377" s="1413" t="str">
        <f t="shared" si="667"/>
        <v>-</v>
      </c>
      <c r="E4377" s="560">
        <f t="shared" si="667"/>
        <v>35.82</v>
      </c>
      <c r="F4377" s="1508">
        <f t="shared" si="662"/>
        <v>35.82</v>
      </c>
      <c r="G4377" s="1508">
        <f t="shared" si="663"/>
        <v>35.82</v>
      </c>
      <c r="H4377" s="1508">
        <f t="shared" si="664"/>
        <v>0</v>
      </c>
      <c r="I4377" s="1480">
        <v>0</v>
      </c>
      <c r="J4377" s="1480">
        <v>0</v>
      </c>
      <c r="K4377" s="1508"/>
      <c r="L4377" s="1508"/>
      <c r="M4377" s="1509">
        <f t="shared" si="665"/>
        <v>0</v>
      </c>
      <c r="N4377" s="1508">
        <f t="shared" si="666"/>
        <v>0</v>
      </c>
    </row>
    <row r="4378" spans="1:14" ht="31" outlineLevel="1" x14ac:dyDescent="0.25">
      <c r="A4378" s="1486">
        <f t="shared" si="667"/>
        <v>6</v>
      </c>
      <c r="B4378" s="1491" t="str">
        <f t="shared" si="667"/>
        <v>Construction of UCR wall and bed of Neri Nallah at CSTPS, Chandrapur.</v>
      </c>
      <c r="C4378" s="166">
        <f t="shared" si="667"/>
        <v>0</v>
      </c>
      <c r="D4378" s="1413" t="str">
        <f t="shared" si="667"/>
        <v>-</v>
      </c>
      <c r="E4378" s="560">
        <f t="shared" si="667"/>
        <v>33.47</v>
      </c>
      <c r="F4378" s="1508">
        <f t="shared" si="662"/>
        <v>0</v>
      </c>
      <c r="G4378" s="1508">
        <f t="shared" si="663"/>
        <v>0</v>
      </c>
      <c r="H4378" s="1508">
        <f t="shared" si="664"/>
        <v>0</v>
      </c>
      <c r="I4378" s="1480">
        <v>0</v>
      </c>
      <c r="J4378" s="1480">
        <v>0</v>
      </c>
      <c r="K4378" s="1508"/>
      <c r="L4378" s="1508"/>
      <c r="M4378" s="1509">
        <f t="shared" si="665"/>
        <v>0</v>
      </c>
      <c r="N4378" s="1508">
        <f t="shared" si="666"/>
        <v>0</v>
      </c>
    </row>
    <row r="4379" spans="1:14" ht="31" outlineLevel="1" x14ac:dyDescent="0.25">
      <c r="A4379" s="1492">
        <f t="shared" si="667"/>
        <v>0</v>
      </c>
      <c r="B4379" s="1492" t="str">
        <f t="shared" si="667"/>
        <v>Construction of UCR wall and bed of Neri Nallah at CSTPS, Chandrapur.</v>
      </c>
      <c r="C4379" s="166">
        <f t="shared" si="667"/>
        <v>0</v>
      </c>
      <c r="D4379" s="1413" t="str">
        <f t="shared" si="667"/>
        <v>-</v>
      </c>
      <c r="E4379" s="560">
        <f t="shared" si="667"/>
        <v>33.47</v>
      </c>
      <c r="F4379" s="1508">
        <f t="shared" si="662"/>
        <v>33.47</v>
      </c>
      <c r="G4379" s="1508">
        <f t="shared" si="663"/>
        <v>33.47</v>
      </c>
      <c r="H4379" s="1508">
        <f t="shared" si="664"/>
        <v>0</v>
      </c>
      <c r="I4379" s="1480">
        <v>0</v>
      </c>
      <c r="J4379" s="1480">
        <v>0</v>
      </c>
      <c r="K4379" s="1508"/>
      <c r="L4379" s="1508"/>
      <c r="M4379" s="1509">
        <f t="shared" si="665"/>
        <v>0</v>
      </c>
      <c r="N4379" s="1508">
        <f t="shared" si="666"/>
        <v>0</v>
      </c>
    </row>
    <row r="4380" spans="1:14" ht="46.5" outlineLevel="1" x14ac:dyDescent="0.25">
      <c r="A4380" s="1486">
        <f t="shared" si="667"/>
        <v>7</v>
      </c>
      <c r="B4380" s="1491" t="str">
        <f t="shared" si="667"/>
        <v>Construction of  Concrete Pavement  Road  Connecting to Reject Coal Gate &amp; F point upto  Ash water recovery pump house &amp; F point to CP No- 635 at CSTPS Chandrapur</v>
      </c>
      <c r="C4380" s="166">
        <f t="shared" si="667"/>
        <v>0</v>
      </c>
      <c r="D4380" s="1413" t="str">
        <f t="shared" si="667"/>
        <v>-</v>
      </c>
      <c r="E4380" s="560">
        <f t="shared" si="667"/>
        <v>71.5</v>
      </c>
      <c r="F4380" s="1508">
        <f t="shared" si="662"/>
        <v>0</v>
      </c>
      <c r="G4380" s="1508">
        <f t="shared" si="663"/>
        <v>0</v>
      </c>
      <c r="H4380" s="1508">
        <f t="shared" si="664"/>
        <v>0</v>
      </c>
      <c r="I4380" s="1480">
        <v>0</v>
      </c>
      <c r="J4380" s="1480">
        <v>0</v>
      </c>
      <c r="K4380" s="1508"/>
      <c r="L4380" s="1508"/>
      <c r="M4380" s="1509">
        <f t="shared" si="665"/>
        <v>0</v>
      </c>
      <c r="N4380" s="1508">
        <f t="shared" si="666"/>
        <v>0</v>
      </c>
    </row>
    <row r="4381" spans="1:14" ht="46.5" outlineLevel="1" x14ac:dyDescent="0.25">
      <c r="A4381" s="1492">
        <f t="shared" si="667"/>
        <v>0</v>
      </c>
      <c r="B4381" s="1492" t="str">
        <f t="shared" si="667"/>
        <v>Construction of  Concrete Pavement  Road  Connecting to Reject Coal Gate &amp; F point upto  Ash water recovery pump house &amp; F point to CP No- 635 at CSTPS Chandrapur</v>
      </c>
      <c r="C4381" s="166">
        <f t="shared" si="667"/>
        <v>0</v>
      </c>
      <c r="D4381" s="1413" t="str">
        <f t="shared" si="667"/>
        <v>-</v>
      </c>
      <c r="E4381" s="560">
        <f t="shared" si="667"/>
        <v>71.5</v>
      </c>
      <c r="F4381" s="1508">
        <f t="shared" si="662"/>
        <v>71.5</v>
      </c>
      <c r="G4381" s="1508">
        <f t="shared" si="663"/>
        <v>71.5</v>
      </c>
      <c r="H4381" s="1508">
        <f t="shared" si="664"/>
        <v>0</v>
      </c>
      <c r="I4381" s="1480">
        <v>0</v>
      </c>
      <c r="J4381" s="1480">
        <v>0</v>
      </c>
      <c r="K4381" s="1508"/>
      <c r="L4381" s="1508"/>
      <c r="M4381" s="1509">
        <f t="shared" si="665"/>
        <v>0</v>
      </c>
      <c r="N4381" s="1508">
        <f t="shared" si="666"/>
        <v>0</v>
      </c>
    </row>
    <row r="4382" spans="1:14" ht="15.5" outlineLevel="1" x14ac:dyDescent="0.25">
      <c r="A4382" s="1504">
        <f t="shared" ref="A4382:E4397" si="668">A3712</f>
        <v>0</v>
      </c>
      <c r="B4382" s="1504" t="str">
        <f t="shared" si="668"/>
        <v>Boiler Maintenance-I</v>
      </c>
      <c r="C4382" s="166">
        <f t="shared" si="668"/>
        <v>0</v>
      </c>
      <c r="D4382" s="1413" t="str">
        <f t="shared" si="668"/>
        <v>-</v>
      </c>
      <c r="E4382" s="560">
        <f t="shared" si="668"/>
        <v>0</v>
      </c>
      <c r="F4382" s="1508">
        <f t="shared" si="662"/>
        <v>0</v>
      </c>
      <c r="G4382" s="1508">
        <f t="shared" si="663"/>
        <v>0</v>
      </c>
      <c r="H4382" s="1508">
        <f t="shared" si="664"/>
        <v>0</v>
      </c>
      <c r="I4382" s="1480">
        <v>0</v>
      </c>
      <c r="J4382" s="1480">
        <v>0</v>
      </c>
      <c r="K4382" s="1508"/>
      <c r="L4382" s="1508"/>
      <c r="M4382" s="1509">
        <f t="shared" si="665"/>
        <v>0</v>
      </c>
      <c r="N4382" s="1508">
        <f t="shared" si="666"/>
        <v>0</v>
      </c>
    </row>
    <row r="4383" spans="1:14" ht="15.5" outlineLevel="1" x14ac:dyDescent="0.25">
      <c r="A4383" s="1486">
        <f t="shared" si="668"/>
        <v>1</v>
      </c>
      <c r="B4383" s="1491" t="str">
        <f t="shared" si="668"/>
        <v>DPR for Coal mill improvement</v>
      </c>
      <c r="C4383" s="166">
        <f t="shared" si="668"/>
        <v>0</v>
      </c>
      <c r="D4383" s="1413" t="str">
        <f t="shared" si="668"/>
        <v>-</v>
      </c>
      <c r="E4383" s="560">
        <f t="shared" si="668"/>
        <v>54.74</v>
      </c>
      <c r="F4383" s="1508">
        <f t="shared" si="662"/>
        <v>0</v>
      </c>
      <c r="G4383" s="1508">
        <f t="shared" si="663"/>
        <v>0</v>
      </c>
      <c r="H4383" s="1508">
        <f t="shared" si="664"/>
        <v>0</v>
      </c>
      <c r="I4383" s="1480">
        <v>0</v>
      </c>
      <c r="J4383" s="1480">
        <v>0</v>
      </c>
      <c r="K4383" s="1508"/>
      <c r="L4383" s="1508"/>
      <c r="M4383" s="1509">
        <f t="shared" si="665"/>
        <v>0</v>
      </c>
      <c r="N4383" s="1508">
        <f t="shared" si="666"/>
        <v>0</v>
      </c>
    </row>
    <row r="4384" spans="1:14" ht="31" outlineLevel="1" x14ac:dyDescent="0.25">
      <c r="A4384" s="1492">
        <f t="shared" si="668"/>
        <v>0</v>
      </c>
      <c r="B4384" s="1492" t="str">
        <f t="shared" si="668"/>
        <v>The performance improvement &amp; availability enhancement of coal millsXRP-803 at U#3&amp;4(210MW)CSTPS, Chandrapur</v>
      </c>
      <c r="C4384" s="166">
        <f t="shared" si="668"/>
        <v>0</v>
      </c>
      <c r="D4384" s="1413" t="str">
        <f t="shared" si="668"/>
        <v>-</v>
      </c>
      <c r="E4384" s="560">
        <f t="shared" si="668"/>
        <v>18.739999999999998</v>
      </c>
      <c r="F4384" s="1508">
        <f t="shared" si="662"/>
        <v>18.739999999999998</v>
      </c>
      <c r="G4384" s="1508">
        <f t="shared" si="663"/>
        <v>18.739999999999998</v>
      </c>
      <c r="H4384" s="1508">
        <f t="shared" si="664"/>
        <v>0</v>
      </c>
      <c r="I4384" s="1480">
        <v>0</v>
      </c>
      <c r="J4384" s="1480">
        <v>0</v>
      </c>
      <c r="K4384" s="1508"/>
      <c r="L4384" s="1508"/>
      <c r="M4384" s="1509">
        <f t="shared" si="665"/>
        <v>0</v>
      </c>
      <c r="N4384" s="1508">
        <f t="shared" si="666"/>
        <v>0</v>
      </c>
    </row>
    <row r="4385" spans="1:14" ht="31" outlineLevel="1" x14ac:dyDescent="0.25">
      <c r="A4385" s="1492">
        <f t="shared" si="668"/>
        <v>0</v>
      </c>
      <c r="B4385" s="1492" t="str">
        <f t="shared" si="668"/>
        <v>Replacement of Existing Volumetric coal feeders by Rotary Gravimetric coal feeders</v>
      </c>
      <c r="C4385" s="166">
        <f t="shared" si="668"/>
        <v>0</v>
      </c>
      <c r="D4385" s="1413" t="str">
        <f t="shared" si="668"/>
        <v>-</v>
      </c>
      <c r="E4385" s="560">
        <f t="shared" si="668"/>
        <v>36</v>
      </c>
      <c r="F4385" s="1508">
        <f t="shared" si="662"/>
        <v>36</v>
      </c>
      <c r="G4385" s="1508">
        <f t="shared" si="663"/>
        <v>36</v>
      </c>
      <c r="H4385" s="1508">
        <f t="shared" si="664"/>
        <v>0</v>
      </c>
      <c r="I4385" s="1480">
        <v>0</v>
      </c>
      <c r="J4385" s="1480">
        <v>0</v>
      </c>
      <c r="K4385" s="1508"/>
      <c r="L4385" s="1508"/>
      <c r="M4385" s="1509">
        <f t="shared" si="665"/>
        <v>0</v>
      </c>
      <c r="N4385" s="1508">
        <f t="shared" si="666"/>
        <v>0</v>
      </c>
    </row>
    <row r="4386" spans="1:14" ht="15.5" outlineLevel="1" x14ac:dyDescent="0.25">
      <c r="A4386" s="1486">
        <f t="shared" si="668"/>
        <v>2</v>
      </c>
      <c r="B4386" s="1491" t="str">
        <f t="shared" si="668"/>
        <v>DPR for APH basket, HRH coil and Valves</v>
      </c>
      <c r="C4386" s="1488">
        <f t="shared" si="668"/>
        <v>0</v>
      </c>
      <c r="D4386" s="1413" t="str">
        <f t="shared" si="668"/>
        <v>-</v>
      </c>
      <c r="E4386" s="560">
        <f t="shared" si="668"/>
        <v>28.94</v>
      </c>
      <c r="F4386" s="1508">
        <f t="shared" si="662"/>
        <v>0</v>
      </c>
      <c r="G4386" s="1508">
        <f t="shared" si="663"/>
        <v>0</v>
      </c>
      <c r="H4386" s="1508">
        <f t="shared" si="664"/>
        <v>0</v>
      </c>
      <c r="I4386" s="1480">
        <v>0</v>
      </c>
      <c r="J4386" s="1480">
        <v>0</v>
      </c>
      <c r="K4386" s="1508"/>
      <c r="L4386" s="1508"/>
      <c r="M4386" s="1509">
        <f t="shared" si="665"/>
        <v>0</v>
      </c>
      <c r="N4386" s="1508">
        <f t="shared" si="666"/>
        <v>0</v>
      </c>
    </row>
    <row r="4387" spans="1:14" ht="31" outlineLevel="1" x14ac:dyDescent="0.25">
      <c r="A4387" s="1492">
        <f t="shared" si="668"/>
        <v>0</v>
      </c>
      <c r="B4387" s="1492" t="str">
        <f t="shared" si="668"/>
        <v>Procurement &amp; replacement of APH Basket assemblies at U#3&amp;4,CSTPS, Chandrapur</v>
      </c>
      <c r="C4387" s="1488">
        <f t="shared" si="668"/>
        <v>0</v>
      </c>
      <c r="D4387" s="1413" t="str">
        <f t="shared" si="668"/>
        <v>-</v>
      </c>
      <c r="E4387" s="560">
        <f t="shared" si="668"/>
        <v>4.9400000000000004</v>
      </c>
      <c r="F4387" s="1508">
        <f t="shared" si="662"/>
        <v>4.9400000000000004</v>
      </c>
      <c r="G4387" s="1508">
        <f t="shared" si="663"/>
        <v>4.9400000000000004</v>
      </c>
      <c r="H4387" s="1508">
        <f t="shared" si="664"/>
        <v>0</v>
      </c>
      <c r="I4387" s="1480">
        <v>0</v>
      </c>
      <c r="J4387" s="1480">
        <v>0</v>
      </c>
      <c r="K4387" s="1508"/>
      <c r="L4387" s="1508"/>
      <c r="M4387" s="1509">
        <f t="shared" si="665"/>
        <v>0</v>
      </c>
      <c r="N4387" s="1508">
        <f t="shared" si="666"/>
        <v>0</v>
      </c>
    </row>
    <row r="4388" spans="1:14" ht="31" outlineLevel="1" x14ac:dyDescent="0.25">
      <c r="A4388" s="1492">
        <f t="shared" si="668"/>
        <v>0</v>
      </c>
      <c r="B4388" s="1492" t="str">
        <f t="shared" si="668"/>
        <v>Procurement &amp; replacement of complete HRH coils assembly in U#4</v>
      </c>
      <c r="C4388" s="1488">
        <f t="shared" si="668"/>
        <v>0</v>
      </c>
      <c r="D4388" s="1413" t="str">
        <f t="shared" si="668"/>
        <v>-</v>
      </c>
      <c r="E4388" s="560">
        <f t="shared" si="668"/>
        <v>24</v>
      </c>
      <c r="F4388" s="1508">
        <f t="shared" si="662"/>
        <v>24</v>
      </c>
      <c r="G4388" s="1508">
        <f t="shared" si="663"/>
        <v>24</v>
      </c>
      <c r="H4388" s="1508">
        <f t="shared" si="664"/>
        <v>0</v>
      </c>
      <c r="I4388" s="1480">
        <v>0</v>
      </c>
      <c r="J4388" s="1480">
        <v>0</v>
      </c>
      <c r="K4388" s="1508"/>
      <c r="L4388" s="1508"/>
      <c r="M4388" s="1509">
        <f t="shared" si="665"/>
        <v>0</v>
      </c>
      <c r="N4388" s="1508">
        <f t="shared" si="666"/>
        <v>0</v>
      </c>
    </row>
    <row r="4389" spans="1:14" ht="15.5" outlineLevel="1" x14ac:dyDescent="0.25">
      <c r="A4389" s="1486">
        <f t="shared" si="668"/>
        <v>3</v>
      </c>
      <c r="B4389" s="1491" t="str">
        <f t="shared" si="668"/>
        <v>DPR for ESP internal and CRH coil</v>
      </c>
      <c r="C4389" s="1488">
        <f t="shared" si="668"/>
        <v>0</v>
      </c>
      <c r="D4389" s="1413" t="str">
        <f t="shared" si="668"/>
        <v>-</v>
      </c>
      <c r="E4389" s="560">
        <f t="shared" si="668"/>
        <v>45</v>
      </c>
      <c r="F4389" s="1508">
        <f t="shared" si="662"/>
        <v>0</v>
      </c>
      <c r="G4389" s="1508">
        <f t="shared" si="663"/>
        <v>0</v>
      </c>
      <c r="H4389" s="1508">
        <f t="shared" si="664"/>
        <v>0</v>
      </c>
      <c r="I4389" s="1480">
        <v>0</v>
      </c>
      <c r="J4389" s="1480">
        <v>0</v>
      </c>
      <c r="K4389" s="1508"/>
      <c r="L4389" s="1508"/>
      <c r="M4389" s="1509">
        <f t="shared" si="665"/>
        <v>0</v>
      </c>
      <c r="N4389" s="1508">
        <f t="shared" si="666"/>
        <v>0</v>
      </c>
    </row>
    <row r="4390" spans="1:14" ht="15.5" outlineLevel="1" x14ac:dyDescent="0.25">
      <c r="A4390" s="1492">
        <f t="shared" si="668"/>
        <v>0</v>
      </c>
      <c r="B4390" s="1492" t="str">
        <f t="shared" si="668"/>
        <v>Replacement of complete internals of ESP U#3&amp;4</v>
      </c>
      <c r="C4390" s="1488">
        <f t="shared" si="668"/>
        <v>0</v>
      </c>
      <c r="D4390" s="1413" t="str">
        <f t="shared" si="668"/>
        <v>-</v>
      </c>
      <c r="E4390" s="560">
        <f t="shared" si="668"/>
        <v>20</v>
      </c>
      <c r="F4390" s="1508">
        <f t="shared" si="662"/>
        <v>20</v>
      </c>
      <c r="G4390" s="1508">
        <f t="shared" si="663"/>
        <v>20</v>
      </c>
      <c r="H4390" s="1508">
        <f t="shared" si="664"/>
        <v>0</v>
      </c>
      <c r="I4390" s="1480">
        <v>0</v>
      </c>
      <c r="J4390" s="1480">
        <v>0</v>
      </c>
      <c r="K4390" s="1508"/>
      <c r="L4390" s="1508"/>
      <c r="M4390" s="1509">
        <f t="shared" si="665"/>
        <v>0</v>
      </c>
      <c r="N4390" s="1508">
        <f t="shared" si="666"/>
        <v>0</v>
      </c>
    </row>
    <row r="4391" spans="1:14" ht="15.5" outlineLevel="1" x14ac:dyDescent="0.25">
      <c r="A4391" s="1492">
        <f t="shared" si="668"/>
        <v>0</v>
      </c>
      <c r="B4391" s="1492" t="str">
        <f t="shared" si="668"/>
        <v xml:space="preserve">Procurement &amp; replacement of CRH coil assemblies in U#3 </v>
      </c>
      <c r="C4391" s="1488">
        <f t="shared" si="668"/>
        <v>0</v>
      </c>
      <c r="D4391" s="1413" t="str">
        <f t="shared" si="668"/>
        <v>-</v>
      </c>
      <c r="E4391" s="560">
        <f t="shared" si="668"/>
        <v>25</v>
      </c>
      <c r="F4391" s="1508">
        <f t="shared" si="662"/>
        <v>25</v>
      </c>
      <c r="G4391" s="1508">
        <f t="shared" si="663"/>
        <v>25</v>
      </c>
      <c r="H4391" s="1508">
        <f t="shared" si="664"/>
        <v>0</v>
      </c>
      <c r="I4391" s="1480">
        <v>0</v>
      </c>
      <c r="J4391" s="1480">
        <v>0</v>
      </c>
      <c r="K4391" s="1508"/>
      <c r="L4391" s="1508"/>
      <c r="M4391" s="1509">
        <f t="shared" si="665"/>
        <v>0</v>
      </c>
      <c r="N4391" s="1508">
        <f t="shared" si="666"/>
        <v>0</v>
      </c>
    </row>
    <row r="4392" spans="1:14" ht="31" outlineLevel="1" x14ac:dyDescent="0.25">
      <c r="A4392" s="1486">
        <f t="shared" si="668"/>
        <v>4</v>
      </c>
      <c r="B4392" s="1491" t="str">
        <f t="shared" si="668"/>
        <v>Procurement &amp; replacement of LTSH &amp; Economiser coil assemblies in U#3</v>
      </c>
      <c r="C4392" s="1488">
        <f t="shared" si="668"/>
        <v>0</v>
      </c>
      <c r="D4392" s="1413" t="str">
        <f t="shared" si="668"/>
        <v>-</v>
      </c>
      <c r="E4392" s="560">
        <f t="shared" si="668"/>
        <v>30</v>
      </c>
      <c r="F4392" s="1508">
        <f t="shared" si="662"/>
        <v>0</v>
      </c>
      <c r="G4392" s="1508">
        <f t="shared" si="663"/>
        <v>0</v>
      </c>
      <c r="H4392" s="1508">
        <f t="shared" si="664"/>
        <v>0</v>
      </c>
      <c r="I4392" s="1480">
        <v>0</v>
      </c>
      <c r="J4392" s="1480">
        <v>0</v>
      </c>
      <c r="K4392" s="1508"/>
      <c r="L4392" s="1508"/>
      <c r="M4392" s="1509">
        <f t="shared" si="665"/>
        <v>0</v>
      </c>
      <c r="N4392" s="1508">
        <f t="shared" si="666"/>
        <v>0</v>
      </c>
    </row>
    <row r="4393" spans="1:14" ht="31" outlineLevel="1" x14ac:dyDescent="0.25">
      <c r="A4393" s="1492">
        <f t="shared" si="668"/>
        <v>0</v>
      </c>
      <c r="B4393" s="1492" t="str">
        <f t="shared" si="668"/>
        <v>Procurement &amp; replacement of LTSH &amp; Economiser coil assemblies in U#3</v>
      </c>
      <c r="C4393" s="1488">
        <f t="shared" si="668"/>
        <v>0</v>
      </c>
      <c r="D4393" s="1413" t="str">
        <f t="shared" si="668"/>
        <v>-</v>
      </c>
      <c r="E4393" s="560">
        <f t="shared" si="668"/>
        <v>30</v>
      </c>
      <c r="F4393" s="1508">
        <f t="shared" si="662"/>
        <v>30</v>
      </c>
      <c r="G4393" s="1508">
        <f t="shared" si="663"/>
        <v>30</v>
      </c>
      <c r="H4393" s="1508">
        <f t="shared" si="664"/>
        <v>0</v>
      </c>
      <c r="I4393" s="1480">
        <v>0</v>
      </c>
      <c r="J4393" s="1480">
        <v>0</v>
      </c>
      <c r="K4393" s="1508"/>
      <c r="L4393" s="1508"/>
      <c r="M4393" s="1509">
        <f t="shared" si="665"/>
        <v>0</v>
      </c>
      <c r="N4393" s="1508">
        <f t="shared" si="666"/>
        <v>0</v>
      </c>
    </row>
    <row r="4394" spans="1:14" ht="15.5" outlineLevel="1" x14ac:dyDescent="0.25">
      <c r="A4394" s="1504">
        <f t="shared" si="668"/>
        <v>0</v>
      </c>
      <c r="B4394" s="1504" t="str">
        <f t="shared" si="668"/>
        <v>Turbine Maintenance-I</v>
      </c>
      <c r="C4394" s="1488">
        <f t="shared" si="668"/>
        <v>0</v>
      </c>
      <c r="D4394" s="1413" t="str">
        <f t="shared" si="668"/>
        <v>-</v>
      </c>
      <c r="E4394" s="560">
        <f t="shared" si="668"/>
        <v>0</v>
      </c>
      <c r="F4394" s="1508">
        <f t="shared" si="662"/>
        <v>0</v>
      </c>
      <c r="G4394" s="1508">
        <f t="shared" si="663"/>
        <v>0</v>
      </c>
      <c r="H4394" s="1508">
        <f t="shared" si="664"/>
        <v>0</v>
      </c>
      <c r="I4394" s="1480">
        <v>0</v>
      </c>
      <c r="J4394" s="1480">
        <v>0</v>
      </c>
      <c r="K4394" s="1508"/>
      <c r="L4394" s="1508"/>
      <c r="M4394" s="1509">
        <f t="shared" si="665"/>
        <v>0</v>
      </c>
      <c r="N4394" s="1508">
        <f t="shared" si="666"/>
        <v>0</v>
      </c>
    </row>
    <row r="4395" spans="1:14" ht="31" outlineLevel="1" x14ac:dyDescent="0.25">
      <c r="A4395" s="1486">
        <f t="shared" si="668"/>
        <v>1</v>
      </c>
      <c r="B4395" s="1491" t="str">
        <f t="shared" si="668"/>
        <v>DPR for Vaccuum system improvement and procurment of BFP cartridge</v>
      </c>
      <c r="C4395" s="1488">
        <f t="shared" si="668"/>
        <v>0</v>
      </c>
      <c r="D4395" s="1413" t="str">
        <f t="shared" si="668"/>
        <v>-</v>
      </c>
      <c r="E4395" s="560">
        <f t="shared" si="668"/>
        <v>35</v>
      </c>
      <c r="F4395" s="1508">
        <f t="shared" si="662"/>
        <v>0</v>
      </c>
      <c r="G4395" s="1508">
        <f t="shared" si="663"/>
        <v>0</v>
      </c>
      <c r="H4395" s="1508">
        <f t="shared" si="664"/>
        <v>0</v>
      </c>
      <c r="I4395" s="1480">
        <v>0</v>
      </c>
      <c r="J4395" s="1480">
        <v>0</v>
      </c>
      <c r="K4395" s="1508"/>
      <c r="L4395" s="1508"/>
      <c r="M4395" s="1509">
        <f t="shared" si="665"/>
        <v>0</v>
      </c>
      <c r="N4395" s="1508">
        <f t="shared" si="666"/>
        <v>0</v>
      </c>
    </row>
    <row r="4396" spans="1:14" ht="15.5" outlineLevel="1" x14ac:dyDescent="0.25">
      <c r="A4396" s="1492">
        <f t="shared" si="668"/>
        <v>0</v>
      </c>
      <c r="B4396" s="1492" t="str">
        <f t="shared" si="668"/>
        <v>Condenser vaccuum system improvement</v>
      </c>
      <c r="C4396" s="1488">
        <f t="shared" si="668"/>
        <v>0</v>
      </c>
      <c r="D4396" s="1413" t="str">
        <f t="shared" si="668"/>
        <v>-</v>
      </c>
      <c r="E4396" s="560">
        <f t="shared" si="668"/>
        <v>16</v>
      </c>
      <c r="F4396" s="1508">
        <f t="shared" si="662"/>
        <v>16</v>
      </c>
      <c r="G4396" s="1508">
        <f t="shared" si="663"/>
        <v>16</v>
      </c>
      <c r="H4396" s="1508">
        <f t="shared" si="664"/>
        <v>0</v>
      </c>
      <c r="I4396" s="1480">
        <v>0</v>
      </c>
      <c r="J4396" s="1480">
        <v>0</v>
      </c>
      <c r="K4396" s="1508"/>
      <c r="L4396" s="1508"/>
      <c r="M4396" s="1509">
        <f t="shared" si="665"/>
        <v>0</v>
      </c>
      <c r="N4396" s="1508">
        <f t="shared" si="666"/>
        <v>0</v>
      </c>
    </row>
    <row r="4397" spans="1:14" ht="31" outlineLevel="1" x14ac:dyDescent="0.25">
      <c r="A4397" s="1492">
        <f t="shared" si="668"/>
        <v>0</v>
      </c>
      <c r="B4397" s="1492" t="str">
        <f t="shared" si="668"/>
        <v>Procurement of BFP main pump cartridges for 200 KHI/s BHEL pump &amp; Procurment of Voith Hydraulic Coupling R17K for BFP</v>
      </c>
      <c r="C4397" s="1488">
        <f t="shared" si="668"/>
        <v>0</v>
      </c>
      <c r="D4397" s="1413" t="str">
        <f t="shared" si="668"/>
        <v>-</v>
      </c>
      <c r="E4397" s="560">
        <f t="shared" si="668"/>
        <v>19</v>
      </c>
      <c r="F4397" s="1508">
        <f t="shared" si="662"/>
        <v>19</v>
      </c>
      <c r="G4397" s="1508">
        <f t="shared" si="663"/>
        <v>19</v>
      </c>
      <c r="H4397" s="1508">
        <f t="shared" si="664"/>
        <v>0</v>
      </c>
      <c r="I4397" s="1480">
        <v>0</v>
      </c>
      <c r="J4397" s="1480">
        <v>0</v>
      </c>
      <c r="K4397" s="1508"/>
      <c r="L4397" s="1508"/>
      <c r="M4397" s="1509">
        <f t="shared" si="665"/>
        <v>0</v>
      </c>
      <c r="N4397" s="1508">
        <f t="shared" si="666"/>
        <v>0</v>
      </c>
    </row>
    <row r="4398" spans="1:14" ht="15.5" outlineLevel="1" x14ac:dyDescent="0.25">
      <c r="A4398" s="1486">
        <f t="shared" ref="A4398:E4413" si="669">A3728</f>
        <v>2</v>
      </c>
      <c r="B4398" s="1491" t="str">
        <f t="shared" si="669"/>
        <v>WTP-I improvement schemes</v>
      </c>
      <c r="C4398" s="1488">
        <f t="shared" si="669"/>
        <v>0</v>
      </c>
      <c r="D4398" s="1413" t="str">
        <f t="shared" si="669"/>
        <v>-</v>
      </c>
      <c r="E4398" s="560">
        <f t="shared" si="669"/>
        <v>26</v>
      </c>
      <c r="F4398" s="1508">
        <f t="shared" si="662"/>
        <v>0</v>
      </c>
      <c r="G4398" s="1508">
        <f t="shared" si="663"/>
        <v>0</v>
      </c>
      <c r="H4398" s="1508">
        <f t="shared" si="664"/>
        <v>0</v>
      </c>
      <c r="I4398" s="1480">
        <v>0</v>
      </c>
      <c r="J4398" s="1480">
        <v>0</v>
      </c>
      <c r="K4398" s="1508"/>
      <c r="L4398" s="1508"/>
      <c r="M4398" s="1509">
        <f t="shared" si="665"/>
        <v>0</v>
      </c>
      <c r="N4398" s="1508">
        <f t="shared" si="666"/>
        <v>0</v>
      </c>
    </row>
    <row r="4399" spans="1:14" ht="46.5" outlineLevel="1" x14ac:dyDescent="0.25">
      <c r="A4399" s="1492">
        <f t="shared" si="669"/>
        <v>0</v>
      </c>
      <c r="B4399" s="1492" t="str">
        <f t="shared" si="669"/>
        <v>Replacement of instrument air an service air compressors in Unit 3 &amp; 4, WTP-I with screw type compressors including refrigerant type air dryer system</v>
      </c>
      <c r="C4399" s="1488">
        <f t="shared" si="669"/>
        <v>0</v>
      </c>
      <c r="D4399" s="1413" t="str">
        <f t="shared" si="669"/>
        <v>-</v>
      </c>
      <c r="E4399" s="560">
        <f t="shared" si="669"/>
        <v>6</v>
      </c>
      <c r="F4399" s="1508">
        <f t="shared" si="662"/>
        <v>6</v>
      </c>
      <c r="G4399" s="1508">
        <f t="shared" si="663"/>
        <v>6</v>
      </c>
      <c r="H4399" s="1508">
        <f t="shared" si="664"/>
        <v>0</v>
      </c>
      <c r="I4399" s="1480">
        <v>0</v>
      </c>
      <c r="J4399" s="1480">
        <v>0</v>
      </c>
      <c r="K4399" s="1508"/>
      <c r="L4399" s="1508"/>
      <c r="M4399" s="1509">
        <f t="shared" si="665"/>
        <v>0</v>
      </c>
      <c r="N4399" s="1508">
        <f t="shared" si="666"/>
        <v>0</v>
      </c>
    </row>
    <row r="4400" spans="1:14" ht="31" outlineLevel="1" x14ac:dyDescent="0.25">
      <c r="A4400" s="1492">
        <f t="shared" si="669"/>
        <v>0</v>
      </c>
      <c r="B4400" s="1492" t="str">
        <f t="shared" si="669"/>
        <v>Refurbishment of hydrogen compressors at Hydrogen plant WTP-I</v>
      </c>
      <c r="C4400" s="1488">
        <f t="shared" si="669"/>
        <v>0</v>
      </c>
      <c r="D4400" s="1413" t="str">
        <f t="shared" si="669"/>
        <v>-</v>
      </c>
      <c r="E4400" s="560">
        <f t="shared" si="669"/>
        <v>10</v>
      </c>
      <c r="F4400" s="1508">
        <f t="shared" si="662"/>
        <v>10</v>
      </c>
      <c r="G4400" s="1508">
        <f t="shared" si="663"/>
        <v>10</v>
      </c>
      <c r="H4400" s="1508">
        <f t="shared" si="664"/>
        <v>0</v>
      </c>
      <c r="I4400" s="1480">
        <v>0</v>
      </c>
      <c r="J4400" s="1480">
        <v>0</v>
      </c>
      <c r="K4400" s="1508"/>
      <c r="L4400" s="1508"/>
      <c r="M4400" s="1509">
        <f t="shared" si="665"/>
        <v>0</v>
      </c>
      <c r="N4400" s="1508">
        <f t="shared" si="666"/>
        <v>0</v>
      </c>
    </row>
    <row r="4401" spans="1:14" ht="15.5" outlineLevel="1" x14ac:dyDescent="0.25">
      <c r="A4401" s="1492">
        <f t="shared" si="669"/>
        <v>0</v>
      </c>
      <c r="B4401" s="1492" t="str">
        <f t="shared" si="669"/>
        <v>Replacement of Circulating water pumps in Unit 3 &amp; 4</v>
      </c>
      <c r="C4401" s="1488">
        <f t="shared" si="669"/>
        <v>0</v>
      </c>
      <c r="D4401" s="1413" t="str">
        <f t="shared" si="669"/>
        <v>-</v>
      </c>
      <c r="E4401" s="560">
        <f t="shared" si="669"/>
        <v>10</v>
      </c>
      <c r="F4401" s="1508">
        <f t="shared" si="662"/>
        <v>10</v>
      </c>
      <c r="G4401" s="1508">
        <f t="shared" si="663"/>
        <v>10</v>
      </c>
      <c r="H4401" s="1508">
        <f t="shared" si="664"/>
        <v>0</v>
      </c>
      <c r="I4401" s="1480">
        <v>0</v>
      </c>
      <c r="J4401" s="1480">
        <v>0</v>
      </c>
      <c r="K4401" s="1508"/>
      <c r="L4401" s="1508"/>
      <c r="M4401" s="1509">
        <f t="shared" si="665"/>
        <v>0</v>
      </c>
      <c r="N4401" s="1508">
        <f t="shared" si="666"/>
        <v>0</v>
      </c>
    </row>
    <row r="4402" spans="1:14" ht="15.5" outlineLevel="1" x14ac:dyDescent="0.25">
      <c r="A4402" s="1486">
        <f t="shared" si="669"/>
        <v>3</v>
      </c>
      <c r="B4402" s="1491" t="str">
        <f t="shared" si="669"/>
        <v>Procurment of HP valves, CEP Cartridge, GS pump</v>
      </c>
      <c r="C4402" s="1488">
        <f t="shared" si="669"/>
        <v>0</v>
      </c>
      <c r="D4402" s="1413" t="str">
        <f t="shared" si="669"/>
        <v>-</v>
      </c>
      <c r="E4402" s="560">
        <f t="shared" si="669"/>
        <v>25</v>
      </c>
      <c r="F4402" s="1508">
        <f t="shared" si="662"/>
        <v>0</v>
      </c>
      <c r="G4402" s="1508">
        <f t="shared" si="663"/>
        <v>0</v>
      </c>
      <c r="H4402" s="1508">
        <f t="shared" si="664"/>
        <v>0</v>
      </c>
      <c r="I4402" s="1480">
        <v>0</v>
      </c>
      <c r="J4402" s="1480">
        <v>0</v>
      </c>
      <c r="K4402" s="1508"/>
      <c r="L4402" s="1508"/>
      <c r="M4402" s="1509">
        <f t="shared" si="665"/>
        <v>0</v>
      </c>
      <c r="N4402" s="1508">
        <f t="shared" si="666"/>
        <v>0</v>
      </c>
    </row>
    <row r="4403" spans="1:14" ht="15.5" outlineLevel="1" x14ac:dyDescent="0.25">
      <c r="A4403" s="1492">
        <f t="shared" si="669"/>
        <v>0</v>
      </c>
      <c r="B4403" s="1492" t="str">
        <f t="shared" si="669"/>
        <v>Procurement of HP valves for Unit 3 &amp; 4</v>
      </c>
      <c r="C4403" s="1488">
        <f t="shared" si="669"/>
        <v>0</v>
      </c>
      <c r="D4403" s="1413" t="str">
        <f t="shared" si="669"/>
        <v>-</v>
      </c>
      <c r="E4403" s="560">
        <f t="shared" si="669"/>
        <v>15</v>
      </c>
      <c r="F4403" s="1508">
        <f t="shared" si="662"/>
        <v>15</v>
      </c>
      <c r="G4403" s="1508">
        <f t="shared" si="663"/>
        <v>15</v>
      </c>
      <c r="H4403" s="1508">
        <f t="shared" si="664"/>
        <v>0</v>
      </c>
      <c r="I4403" s="1480">
        <v>0</v>
      </c>
      <c r="J4403" s="1480">
        <v>0</v>
      </c>
      <c r="K4403" s="1508"/>
      <c r="L4403" s="1508"/>
      <c r="M4403" s="1509">
        <f t="shared" si="665"/>
        <v>0</v>
      </c>
      <c r="N4403" s="1508">
        <f t="shared" si="666"/>
        <v>0</v>
      </c>
    </row>
    <row r="4404" spans="1:14" ht="31" outlineLevel="1" x14ac:dyDescent="0.25">
      <c r="A4404" s="1492">
        <f t="shared" si="669"/>
        <v>0</v>
      </c>
      <c r="B4404" s="1492" t="str">
        <f t="shared" si="669"/>
        <v>Procurement cartridges for Condensate extraction pump ( Make KSB WKT 150/7)</v>
      </c>
      <c r="C4404" s="1488">
        <f t="shared" si="669"/>
        <v>0</v>
      </c>
      <c r="D4404" s="1413" t="str">
        <f t="shared" si="669"/>
        <v>-</v>
      </c>
      <c r="E4404" s="560">
        <f t="shared" si="669"/>
        <v>5</v>
      </c>
      <c r="F4404" s="1508">
        <f t="shared" si="662"/>
        <v>5</v>
      </c>
      <c r="G4404" s="1508">
        <f t="shared" si="663"/>
        <v>5</v>
      </c>
      <c r="H4404" s="1508">
        <f t="shared" si="664"/>
        <v>0</v>
      </c>
      <c r="I4404" s="1480">
        <v>0</v>
      </c>
      <c r="J4404" s="1480">
        <v>0</v>
      </c>
      <c r="K4404" s="1508"/>
      <c r="L4404" s="1508"/>
      <c r="M4404" s="1509">
        <f t="shared" si="665"/>
        <v>0</v>
      </c>
      <c r="N4404" s="1508">
        <f t="shared" si="666"/>
        <v>0</v>
      </c>
    </row>
    <row r="4405" spans="1:14" ht="31" outlineLevel="1" x14ac:dyDescent="0.25">
      <c r="A4405" s="1492">
        <f t="shared" si="669"/>
        <v>0</v>
      </c>
      <c r="B4405" s="1492" t="str">
        <f t="shared" si="669"/>
        <v>Procurement of WPIL make GS pump JTC 24E with pipelines and valves for Unit 3 &amp; 4</v>
      </c>
      <c r="C4405" s="1488">
        <f t="shared" si="669"/>
        <v>0</v>
      </c>
      <c r="D4405" s="1413" t="str">
        <f t="shared" si="669"/>
        <v>-</v>
      </c>
      <c r="E4405" s="560">
        <f t="shared" si="669"/>
        <v>5</v>
      </c>
      <c r="F4405" s="1508">
        <f t="shared" si="662"/>
        <v>5</v>
      </c>
      <c r="G4405" s="1508">
        <f t="shared" si="663"/>
        <v>5</v>
      </c>
      <c r="H4405" s="1508">
        <f t="shared" si="664"/>
        <v>0</v>
      </c>
      <c r="I4405" s="1480">
        <v>0</v>
      </c>
      <c r="J4405" s="1480">
        <v>0</v>
      </c>
      <c r="K4405" s="1508"/>
      <c r="L4405" s="1508"/>
      <c r="M4405" s="1509">
        <f t="shared" si="665"/>
        <v>0</v>
      </c>
      <c r="N4405" s="1508">
        <f t="shared" si="666"/>
        <v>0</v>
      </c>
    </row>
    <row r="4406" spans="1:14" ht="15.5" outlineLevel="1" x14ac:dyDescent="0.25">
      <c r="A4406" s="1504">
        <f t="shared" si="669"/>
        <v>0</v>
      </c>
      <c r="B4406" s="1504" t="str">
        <f t="shared" si="669"/>
        <v>Electrical maintenance -I</v>
      </c>
      <c r="C4406" s="1488">
        <f t="shared" si="669"/>
        <v>0</v>
      </c>
      <c r="D4406" s="1413" t="str">
        <f t="shared" si="669"/>
        <v>-</v>
      </c>
      <c r="E4406" s="560">
        <f t="shared" si="669"/>
        <v>0</v>
      </c>
      <c r="F4406" s="1508">
        <f t="shared" si="662"/>
        <v>0</v>
      </c>
      <c r="G4406" s="1508">
        <f t="shared" si="663"/>
        <v>0</v>
      </c>
      <c r="H4406" s="1508">
        <f t="shared" si="664"/>
        <v>0</v>
      </c>
      <c r="I4406" s="1480">
        <v>0</v>
      </c>
      <c r="J4406" s="1480">
        <v>0</v>
      </c>
      <c r="K4406" s="1508"/>
      <c r="L4406" s="1508"/>
      <c r="M4406" s="1509">
        <f t="shared" si="665"/>
        <v>0</v>
      </c>
      <c r="N4406" s="1508">
        <f t="shared" si="666"/>
        <v>0</v>
      </c>
    </row>
    <row r="4407" spans="1:14" ht="31" outlineLevel="1" x14ac:dyDescent="0.25">
      <c r="A4407" s="1486">
        <f t="shared" si="669"/>
        <v>1</v>
      </c>
      <c r="B4407" s="1491" t="str">
        <f t="shared" si="669"/>
        <v>DPR  for colony electrical renovation, switchgear, Energy meter, breaker</v>
      </c>
      <c r="C4407" s="1488">
        <f t="shared" si="669"/>
        <v>0</v>
      </c>
      <c r="D4407" s="1413" t="str">
        <f t="shared" si="669"/>
        <v>-</v>
      </c>
      <c r="E4407" s="560">
        <f t="shared" si="669"/>
        <v>47.3</v>
      </c>
      <c r="F4407" s="1508">
        <f t="shared" si="662"/>
        <v>0</v>
      </c>
      <c r="G4407" s="1508">
        <f t="shared" si="663"/>
        <v>0</v>
      </c>
      <c r="H4407" s="1508">
        <f t="shared" si="664"/>
        <v>0</v>
      </c>
      <c r="I4407" s="1480">
        <v>0</v>
      </c>
      <c r="J4407" s="1480">
        <v>0</v>
      </c>
      <c r="K4407" s="1508"/>
      <c r="L4407" s="1508"/>
      <c r="M4407" s="1509">
        <f t="shared" si="665"/>
        <v>0</v>
      </c>
      <c r="N4407" s="1508">
        <f t="shared" si="666"/>
        <v>0</v>
      </c>
    </row>
    <row r="4408" spans="1:14" ht="15.5" outlineLevel="1" x14ac:dyDescent="0.25">
      <c r="A4408" s="1492">
        <f t="shared" si="669"/>
        <v>0</v>
      </c>
      <c r="B4408" s="1492" t="str">
        <f t="shared" si="669"/>
        <v>Colony electrical renovation</v>
      </c>
      <c r="C4408" s="1488">
        <f t="shared" si="669"/>
        <v>0</v>
      </c>
      <c r="D4408" s="1413" t="str">
        <f t="shared" si="669"/>
        <v>-</v>
      </c>
      <c r="E4408" s="560">
        <f t="shared" si="669"/>
        <v>47.3</v>
      </c>
      <c r="F4408" s="1508">
        <f t="shared" si="662"/>
        <v>27.3</v>
      </c>
      <c r="G4408" s="1508">
        <f t="shared" si="663"/>
        <v>27.3</v>
      </c>
      <c r="H4408" s="1508">
        <f t="shared" si="664"/>
        <v>0</v>
      </c>
      <c r="I4408" s="1480">
        <v>10</v>
      </c>
      <c r="J4408" s="1480">
        <v>10</v>
      </c>
      <c r="K4408" s="1508"/>
      <c r="L4408" s="1508"/>
      <c r="M4408" s="1509">
        <f t="shared" si="665"/>
        <v>10</v>
      </c>
      <c r="N4408" s="1508">
        <f t="shared" si="666"/>
        <v>0</v>
      </c>
    </row>
    <row r="4409" spans="1:14" ht="31" outlineLevel="1" x14ac:dyDescent="0.25">
      <c r="A4409" s="1486">
        <f t="shared" si="669"/>
        <v>2</v>
      </c>
      <c r="B4409" s="1491" t="str">
        <f t="shared" si="669"/>
        <v>Electrification and illumination of perimeter wall CSTPS, Chandapur as per IB recomm</v>
      </c>
      <c r="C4409" s="1488">
        <f t="shared" si="669"/>
        <v>0</v>
      </c>
      <c r="D4409" s="1413" t="str">
        <f t="shared" si="669"/>
        <v>-</v>
      </c>
      <c r="E4409" s="560">
        <f t="shared" si="669"/>
        <v>25.679999999999996</v>
      </c>
      <c r="F4409" s="1508">
        <f t="shared" si="662"/>
        <v>0</v>
      </c>
      <c r="G4409" s="1508">
        <f t="shared" si="663"/>
        <v>0</v>
      </c>
      <c r="H4409" s="1508">
        <f t="shared" si="664"/>
        <v>0</v>
      </c>
      <c r="I4409" s="1480">
        <v>0</v>
      </c>
      <c r="J4409" s="1480">
        <v>0</v>
      </c>
      <c r="K4409" s="1508"/>
      <c r="L4409" s="1508"/>
      <c r="M4409" s="1509">
        <f t="shared" si="665"/>
        <v>0</v>
      </c>
      <c r="N4409" s="1508">
        <f t="shared" si="666"/>
        <v>0</v>
      </c>
    </row>
    <row r="4410" spans="1:14" ht="31" outlineLevel="1" x14ac:dyDescent="0.25">
      <c r="A4410" s="1492">
        <f t="shared" si="669"/>
        <v>0</v>
      </c>
      <c r="B4410" s="1492" t="str">
        <f t="shared" si="669"/>
        <v>Electrification and illumination of perimeter wall CSTPS, Chandapur</v>
      </c>
      <c r="C4410" s="1488">
        <f t="shared" si="669"/>
        <v>0</v>
      </c>
      <c r="D4410" s="1413" t="str">
        <f t="shared" si="669"/>
        <v>-</v>
      </c>
      <c r="E4410" s="560">
        <f t="shared" si="669"/>
        <v>12.52</v>
      </c>
      <c r="F4410" s="1508">
        <f t="shared" si="662"/>
        <v>12.52</v>
      </c>
      <c r="G4410" s="1508">
        <f t="shared" si="663"/>
        <v>12.52</v>
      </c>
      <c r="H4410" s="1508">
        <f t="shared" si="664"/>
        <v>0</v>
      </c>
      <c r="I4410" s="1480">
        <v>0</v>
      </c>
      <c r="J4410" s="1480">
        <v>0</v>
      </c>
      <c r="K4410" s="1508"/>
      <c r="L4410" s="1508"/>
      <c r="M4410" s="1509">
        <f t="shared" si="665"/>
        <v>0</v>
      </c>
      <c r="N4410" s="1508">
        <f t="shared" si="666"/>
        <v>0</v>
      </c>
    </row>
    <row r="4411" spans="1:14" ht="31" outlineLevel="1" x14ac:dyDescent="0.25">
      <c r="A4411" s="1492">
        <f t="shared" si="669"/>
        <v>0</v>
      </c>
      <c r="B4411" s="1492" t="str">
        <f t="shared" si="669"/>
        <v>Replacement of Distibution board, and switchgear at different areas of plant, colony, Dam</v>
      </c>
      <c r="C4411" s="1488">
        <f t="shared" si="669"/>
        <v>0</v>
      </c>
      <c r="D4411" s="1413" t="str">
        <f t="shared" si="669"/>
        <v>-</v>
      </c>
      <c r="E4411" s="560">
        <f t="shared" si="669"/>
        <v>12.35</v>
      </c>
      <c r="F4411" s="1508">
        <f t="shared" si="662"/>
        <v>7.35</v>
      </c>
      <c r="G4411" s="1508">
        <f t="shared" si="663"/>
        <v>7.35</v>
      </c>
      <c r="H4411" s="1508">
        <f t="shared" si="664"/>
        <v>0</v>
      </c>
      <c r="I4411" s="1480">
        <v>5</v>
      </c>
      <c r="J4411" s="1480">
        <v>5</v>
      </c>
      <c r="K4411" s="1508"/>
      <c r="L4411" s="1508"/>
      <c r="M4411" s="1509">
        <f t="shared" si="665"/>
        <v>5</v>
      </c>
      <c r="N4411" s="1508">
        <f t="shared" si="666"/>
        <v>0</v>
      </c>
    </row>
    <row r="4412" spans="1:14" ht="15.5" outlineLevel="1" x14ac:dyDescent="0.25">
      <c r="A4412" s="1492">
        <f t="shared" si="669"/>
        <v>0</v>
      </c>
      <c r="B4412" s="1492" t="str">
        <f t="shared" si="669"/>
        <v>Replacement of Energy meter</v>
      </c>
      <c r="C4412" s="1488">
        <f t="shared" si="669"/>
        <v>0</v>
      </c>
      <c r="D4412" s="1413" t="str">
        <f t="shared" si="669"/>
        <v>-</v>
      </c>
      <c r="E4412" s="560">
        <f t="shared" si="669"/>
        <v>0.81</v>
      </c>
      <c r="F4412" s="1508">
        <f t="shared" si="662"/>
        <v>0.81</v>
      </c>
      <c r="G4412" s="1508">
        <f t="shared" si="663"/>
        <v>0.81</v>
      </c>
      <c r="H4412" s="1508">
        <f t="shared" si="664"/>
        <v>0</v>
      </c>
      <c r="I4412" s="1480">
        <v>0</v>
      </c>
      <c r="J4412" s="1480">
        <v>0</v>
      </c>
      <c r="K4412" s="1508"/>
      <c r="L4412" s="1508"/>
      <c r="M4412" s="1509">
        <f t="shared" si="665"/>
        <v>0</v>
      </c>
      <c r="N4412" s="1508">
        <f t="shared" si="666"/>
        <v>0</v>
      </c>
    </row>
    <row r="4413" spans="1:14" ht="31" outlineLevel="1" x14ac:dyDescent="0.25">
      <c r="A4413" s="1486">
        <f t="shared" si="669"/>
        <v>3</v>
      </c>
      <c r="B4413" s="1491" t="str">
        <f t="shared" si="669"/>
        <v>Replacement of 400V, 220V, 50V, 26V batteries and its battery chargers at 210MW, Breakers, VFDs at compressor, Watch Tower</v>
      </c>
      <c r="C4413" s="1488">
        <f t="shared" si="669"/>
        <v>0</v>
      </c>
      <c r="D4413" s="1413" t="str">
        <f t="shared" si="669"/>
        <v>-</v>
      </c>
      <c r="E4413" s="560">
        <f t="shared" si="669"/>
        <v>29</v>
      </c>
      <c r="F4413" s="1508">
        <f t="shared" si="662"/>
        <v>0</v>
      </c>
      <c r="G4413" s="1508">
        <f t="shared" si="663"/>
        <v>0</v>
      </c>
      <c r="H4413" s="1508">
        <f t="shared" si="664"/>
        <v>0</v>
      </c>
      <c r="I4413" s="1480">
        <v>0</v>
      </c>
      <c r="J4413" s="1480">
        <v>0</v>
      </c>
      <c r="K4413" s="1508"/>
      <c r="L4413" s="1508"/>
      <c r="M4413" s="1509">
        <f t="shared" si="665"/>
        <v>0</v>
      </c>
      <c r="N4413" s="1508">
        <f t="shared" si="666"/>
        <v>0</v>
      </c>
    </row>
    <row r="4414" spans="1:14" ht="31" outlineLevel="1" x14ac:dyDescent="0.25">
      <c r="A4414" s="1492">
        <f t="shared" ref="A4414:E4429" si="670">A3744</f>
        <v>0</v>
      </c>
      <c r="B4414" s="1492" t="str">
        <f t="shared" si="670"/>
        <v>Replacement of 400V, 220V, 50V, 26V batteries and its battery chargers at 210MW, CSTPS.</v>
      </c>
      <c r="C4414" s="1488">
        <f t="shared" si="670"/>
        <v>0</v>
      </c>
      <c r="D4414" s="1413" t="str">
        <f t="shared" si="670"/>
        <v>-</v>
      </c>
      <c r="E4414" s="560">
        <f t="shared" si="670"/>
        <v>14</v>
      </c>
      <c r="F4414" s="1508">
        <f t="shared" ref="F4414:F4477" si="671">F3744+I3744</f>
        <v>14</v>
      </c>
      <c r="G4414" s="1508">
        <f t="shared" ref="G4414:G4477" si="672">G3744+M3744</f>
        <v>14</v>
      </c>
      <c r="H4414" s="1508">
        <f t="shared" si="664"/>
        <v>0</v>
      </c>
      <c r="I4414" s="1480">
        <v>0</v>
      </c>
      <c r="J4414" s="1480">
        <v>0</v>
      </c>
      <c r="K4414" s="1508"/>
      <c r="L4414" s="1508"/>
      <c r="M4414" s="1509">
        <f t="shared" si="665"/>
        <v>0</v>
      </c>
      <c r="N4414" s="1508">
        <f t="shared" si="666"/>
        <v>0</v>
      </c>
    </row>
    <row r="4415" spans="1:14" ht="15.5" outlineLevel="1" x14ac:dyDescent="0.25">
      <c r="A4415" s="1492">
        <f t="shared" si="670"/>
        <v>0</v>
      </c>
      <c r="B4415" s="1492" t="str">
        <f t="shared" si="670"/>
        <v>Retrofitting of Breakers</v>
      </c>
      <c r="C4415" s="1488">
        <f t="shared" si="670"/>
        <v>0</v>
      </c>
      <c r="D4415" s="1413" t="str">
        <f t="shared" si="670"/>
        <v>-</v>
      </c>
      <c r="E4415" s="560">
        <f t="shared" si="670"/>
        <v>6.8000000000000007</v>
      </c>
      <c r="F4415" s="1508">
        <f t="shared" si="671"/>
        <v>6.8000000000000007</v>
      </c>
      <c r="G4415" s="1508">
        <f t="shared" si="672"/>
        <v>6.8000000000000007</v>
      </c>
      <c r="H4415" s="1508">
        <f t="shared" si="664"/>
        <v>0</v>
      </c>
      <c r="I4415" s="1480">
        <v>0</v>
      </c>
      <c r="J4415" s="1480">
        <v>0</v>
      </c>
      <c r="K4415" s="1508"/>
      <c r="L4415" s="1508"/>
      <c r="M4415" s="1509">
        <f t="shared" si="665"/>
        <v>0</v>
      </c>
      <c r="N4415" s="1508">
        <f t="shared" si="666"/>
        <v>0</v>
      </c>
    </row>
    <row r="4416" spans="1:14" ht="31" outlineLevel="1" x14ac:dyDescent="0.25">
      <c r="A4416" s="1492">
        <f t="shared" si="670"/>
        <v>0</v>
      </c>
      <c r="B4416" s="1492" t="str">
        <f t="shared" si="670"/>
        <v>supply, installation and commissioning of VFDs at compressor and of soft starters  for clear water pump  at 210MW, CSTPS.</v>
      </c>
      <c r="C4416" s="1488">
        <f t="shared" si="670"/>
        <v>0</v>
      </c>
      <c r="D4416" s="1413" t="str">
        <f t="shared" si="670"/>
        <v>-</v>
      </c>
      <c r="E4416" s="560">
        <f t="shared" si="670"/>
        <v>1.8</v>
      </c>
      <c r="F4416" s="1508">
        <f t="shared" si="671"/>
        <v>1.8</v>
      </c>
      <c r="G4416" s="1508">
        <f t="shared" si="672"/>
        <v>1.8</v>
      </c>
      <c r="H4416" s="1508">
        <f t="shared" si="664"/>
        <v>0</v>
      </c>
      <c r="I4416" s="1480">
        <v>0</v>
      </c>
      <c r="J4416" s="1480">
        <v>0</v>
      </c>
      <c r="K4416" s="1508"/>
      <c r="L4416" s="1508"/>
      <c r="M4416" s="1509">
        <f t="shared" si="665"/>
        <v>0</v>
      </c>
      <c r="N4416" s="1508">
        <f t="shared" si="666"/>
        <v>0</v>
      </c>
    </row>
    <row r="4417" spans="1:14" ht="31" outlineLevel="1" x14ac:dyDescent="0.25">
      <c r="A4417" s="1492">
        <f t="shared" si="670"/>
        <v>0</v>
      </c>
      <c r="B4417" s="1492" t="str">
        <f t="shared" si="670"/>
        <v>Construction of Watch Tower along periphery compound wall as per IB recommendation at CSTPS, Chandrapur</v>
      </c>
      <c r="C4417" s="166">
        <f t="shared" si="670"/>
        <v>0</v>
      </c>
      <c r="D4417" s="1413" t="str">
        <f t="shared" si="670"/>
        <v>-</v>
      </c>
      <c r="E4417" s="560">
        <f t="shared" si="670"/>
        <v>6.4</v>
      </c>
      <c r="F4417" s="1508">
        <f t="shared" si="671"/>
        <v>6.4</v>
      </c>
      <c r="G4417" s="1508">
        <f t="shared" si="672"/>
        <v>6.4</v>
      </c>
      <c r="H4417" s="1508">
        <f t="shared" si="664"/>
        <v>0</v>
      </c>
      <c r="I4417" s="1480">
        <v>0</v>
      </c>
      <c r="J4417" s="1480">
        <v>0</v>
      </c>
      <c r="K4417" s="1508"/>
      <c r="L4417" s="1508"/>
      <c r="M4417" s="1509">
        <f t="shared" si="665"/>
        <v>0</v>
      </c>
      <c r="N4417" s="1508">
        <f t="shared" si="666"/>
        <v>0</v>
      </c>
    </row>
    <row r="4418" spans="1:14" ht="15.5" outlineLevel="1" x14ac:dyDescent="0.25">
      <c r="A4418" s="1504">
        <f t="shared" si="670"/>
        <v>0</v>
      </c>
      <c r="B4418" s="1504" t="str">
        <f t="shared" si="670"/>
        <v>TIC</v>
      </c>
      <c r="C4418" s="1488">
        <f t="shared" si="670"/>
        <v>0</v>
      </c>
      <c r="D4418" s="1413" t="str">
        <f t="shared" si="670"/>
        <v>-</v>
      </c>
      <c r="E4418" s="560">
        <f t="shared" si="670"/>
        <v>0</v>
      </c>
      <c r="F4418" s="1508">
        <f t="shared" si="671"/>
        <v>0</v>
      </c>
      <c r="G4418" s="1508">
        <f t="shared" si="672"/>
        <v>0</v>
      </c>
      <c r="H4418" s="1508">
        <f t="shared" si="664"/>
        <v>0</v>
      </c>
      <c r="I4418" s="1480">
        <v>0</v>
      </c>
      <c r="J4418" s="1480">
        <v>0</v>
      </c>
      <c r="K4418" s="1508"/>
      <c r="L4418" s="1508"/>
      <c r="M4418" s="1509">
        <f t="shared" si="665"/>
        <v>0</v>
      </c>
      <c r="N4418" s="1508">
        <f t="shared" si="666"/>
        <v>0</v>
      </c>
    </row>
    <row r="4419" spans="1:14" ht="62" outlineLevel="1" x14ac:dyDescent="0.25">
      <c r="A4419" s="1486">
        <f t="shared" si="670"/>
        <v>1</v>
      </c>
      <c r="B4419" s="1491" t="str">
        <f t="shared" si="670"/>
        <v xml:space="preserve">Up-gradation of complete Instrumentation System including  FSSS System , Soot Blower System, Station C &amp;I System ,Turbine protection system, Turbovisory, HP/LP and PRDS at CSTPS Unit # 3&amp;4 (210 MW) </v>
      </c>
      <c r="C4419" s="1488">
        <f t="shared" si="670"/>
        <v>0</v>
      </c>
      <c r="D4419" s="1413" t="str">
        <f t="shared" si="670"/>
        <v>-</v>
      </c>
      <c r="E4419" s="560">
        <f t="shared" si="670"/>
        <v>48.607999999999997</v>
      </c>
      <c r="F4419" s="1508">
        <f t="shared" si="671"/>
        <v>0</v>
      </c>
      <c r="G4419" s="1508">
        <f t="shared" si="672"/>
        <v>0</v>
      </c>
      <c r="H4419" s="1508">
        <f t="shared" si="664"/>
        <v>0</v>
      </c>
      <c r="I4419" s="1480">
        <v>0</v>
      </c>
      <c r="J4419" s="1480">
        <v>0</v>
      </c>
      <c r="K4419" s="1508"/>
      <c r="L4419" s="1508"/>
      <c r="M4419" s="1509">
        <f t="shared" si="665"/>
        <v>0</v>
      </c>
      <c r="N4419" s="1508">
        <f t="shared" si="666"/>
        <v>0</v>
      </c>
    </row>
    <row r="4420" spans="1:14" ht="62" outlineLevel="1" x14ac:dyDescent="0.25">
      <c r="A4420" s="1492">
        <f t="shared" si="670"/>
        <v>0</v>
      </c>
      <c r="B4420" s="1492" t="str">
        <f t="shared" si="670"/>
        <v>Up-gradation of complete Instrumentation System including  FSSS System , Soot Blower System, Station C &amp;I System ,Turbine protection system, Turbovisory, HP/LP and PRDS at CSTPS Unit # 3&amp;4 (210 MW)</v>
      </c>
      <c r="C4420" s="1488">
        <f t="shared" si="670"/>
        <v>0</v>
      </c>
      <c r="D4420" s="1413" t="str">
        <f t="shared" si="670"/>
        <v>-</v>
      </c>
      <c r="E4420" s="560">
        <f t="shared" si="670"/>
        <v>48.607999999999997</v>
      </c>
      <c r="F4420" s="1508">
        <f t="shared" si="671"/>
        <v>48.607999999999997</v>
      </c>
      <c r="G4420" s="1508">
        <f t="shared" si="672"/>
        <v>48.607999999999997</v>
      </c>
      <c r="H4420" s="1508">
        <f t="shared" si="664"/>
        <v>0</v>
      </c>
      <c r="I4420" s="1480">
        <v>0</v>
      </c>
      <c r="J4420" s="1480">
        <v>0</v>
      </c>
      <c r="K4420" s="1508"/>
      <c r="L4420" s="1508"/>
      <c r="M4420" s="1509">
        <f t="shared" si="665"/>
        <v>0</v>
      </c>
      <c r="N4420" s="1508">
        <f t="shared" si="666"/>
        <v>0</v>
      </c>
    </row>
    <row r="4421" spans="1:14" ht="62" outlineLevel="1" x14ac:dyDescent="0.25">
      <c r="A4421" s="1486">
        <f t="shared" si="670"/>
        <v>2</v>
      </c>
      <c r="B4421" s="1491" t="str">
        <f t="shared" si="670"/>
        <v>Retrofitting/Upgradation of critical control loops by multiloop programmable controllers at Unit #3 &amp; 4, Upgradation of old ACS, PLC, SCADA WTP, FBTS, WTP measuring and instrumentation &amp; other WTP improvement schemes</v>
      </c>
      <c r="C4421" s="1488">
        <f t="shared" si="670"/>
        <v>0</v>
      </c>
      <c r="D4421" s="1413" t="str">
        <f t="shared" si="670"/>
        <v>-</v>
      </c>
      <c r="E4421" s="560">
        <f t="shared" si="670"/>
        <v>25.39</v>
      </c>
      <c r="F4421" s="1508">
        <f t="shared" si="671"/>
        <v>0</v>
      </c>
      <c r="G4421" s="1508">
        <f t="shared" si="672"/>
        <v>0</v>
      </c>
      <c r="H4421" s="1508">
        <f t="shared" si="664"/>
        <v>0</v>
      </c>
      <c r="I4421" s="1480">
        <v>0</v>
      </c>
      <c r="J4421" s="1480">
        <v>0</v>
      </c>
      <c r="K4421" s="1508"/>
      <c r="L4421" s="1508"/>
      <c r="M4421" s="1509">
        <f t="shared" si="665"/>
        <v>0</v>
      </c>
      <c r="N4421" s="1508">
        <f t="shared" si="666"/>
        <v>0</v>
      </c>
    </row>
    <row r="4422" spans="1:14" ht="31" outlineLevel="1" x14ac:dyDescent="0.25">
      <c r="A4422" s="1492">
        <f t="shared" si="670"/>
        <v>0</v>
      </c>
      <c r="B4422" s="1492" t="str">
        <f t="shared" si="670"/>
        <v>Retrofitting/Upgradation of critical control loops by multiloop programmable controllers at Unit #3 &amp; 4 CSTPS,Chandrapur.</v>
      </c>
      <c r="C4422" s="1488">
        <f t="shared" si="670"/>
        <v>0</v>
      </c>
      <c r="D4422" s="1413" t="str">
        <f t="shared" si="670"/>
        <v>-</v>
      </c>
      <c r="E4422" s="560">
        <f t="shared" si="670"/>
        <v>6</v>
      </c>
      <c r="F4422" s="1508">
        <f t="shared" si="671"/>
        <v>0</v>
      </c>
      <c r="G4422" s="1508">
        <f t="shared" si="672"/>
        <v>0</v>
      </c>
      <c r="H4422" s="1508">
        <f t="shared" si="664"/>
        <v>0</v>
      </c>
      <c r="I4422" s="1480">
        <v>3</v>
      </c>
      <c r="J4422" s="1480">
        <v>3</v>
      </c>
      <c r="K4422" s="1508"/>
      <c r="L4422" s="1508"/>
      <c r="M4422" s="1509">
        <f t="shared" si="665"/>
        <v>3</v>
      </c>
      <c r="N4422" s="1508">
        <f t="shared" si="666"/>
        <v>0</v>
      </c>
    </row>
    <row r="4423" spans="1:14" ht="31" outlineLevel="1" x14ac:dyDescent="0.25">
      <c r="A4423" s="1492">
        <f t="shared" si="670"/>
        <v>0</v>
      </c>
      <c r="B4423" s="1492" t="str">
        <f t="shared" si="670"/>
        <v>Upgradation of Old control system with PLC and SCADA at WTP  Stg-I of U# 3,4, 8 and 9, CSTPS, Chandrapur.</v>
      </c>
      <c r="C4423" s="1488">
        <f t="shared" si="670"/>
        <v>0</v>
      </c>
      <c r="D4423" s="1413" t="str">
        <f t="shared" si="670"/>
        <v>-</v>
      </c>
      <c r="E4423" s="560">
        <f t="shared" si="670"/>
        <v>3.89</v>
      </c>
      <c r="F4423" s="1508">
        <f t="shared" si="671"/>
        <v>3.89</v>
      </c>
      <c r="G4423" s="1508">
        <f t="shared" si="672"/>
        <v>3.89</v>
      </c>
      <c r="H4423" s="1508">
        <f t="shared" si="664"/>
        <v>0</v>
      </c>
      <c r="I4423" s="1480">
        <v>0</v>
      </c>
      <c r="J4423" s="1480">
        <v>0</v>
      </c>
      <c r="K4423" s="1508"/>
      <c r="L4423" s="1508"/>
      <c r="M4423" s="1509">
        <f t="shared" si="665"/>
        <v>0</v>
      </c>
      <c r="N4423" s="1508">
        <f t="shared" si="666"/>
        <v>0</v>
      </c>
    </row>
    <row r="4424" spans="1:14" ht="46.5" outlineLevel="1" x14ac:dyDescent="0.25">
      <c r="A4424" s="1492">
        <f t="shared" si="670"/>
        <v>0</v>
      </c>
      <c r="B4424" s="1492" t="str">
        <f t="shared" si="670"/>
        <v xml:space="preserve">Supply &amp; commissioning of advanced Microprocessor based Fast Bus Transfer Scheme for Stage-II Unit 3&amp;4, CSTPS, Chandrapur. </v>
      </c>
      <c r="C4424" s="1488">
        <f t="shared" si="670"/>
        <v>0</v>
      </c>
      <c r="D4424" s="1413" t="str">
        <f t="shared" si="670"/>
        <v>-</v>
      </c>
      <c r="E4424" s="560">
        <f t="shared" si="670"/>
        <v>3</v>
      </c>
      <c r="F4424" s="1508">
        <f t="shared" si="671"/>
        <v>3</v>
      </c>
      <c r="G4424" s="1508">
        <f t="shared" si="672"/>
        <v>3</v>
      </c>
      <c r="H4424" s="1508">
        <f t="shared" si="664"/>
        <v>0</v>
      </c>
      <c r="I4424" s="1480">
        <v>0</v>
      </c>
      <c r="J4424" s="1480">
        <v>0</v>
      </c>
      <c r="K4424" s="1508"/>
      <c r="L4424" s="1508"/>
      <c r="M4424" s="1509">
        <f t="shared" si="665"/>
        <v>0</v>
      </c>
      <c r="N4424" s="1508">
        <f t="shared" si="666"/>
        <v>0</v>
      </c>
    </row>
    <row r="4425" spans="1:14" ht="31" outlineLevel="1" x14ac:dyDescent="0.25">
      <c r="A4425" s="1492">
        <f t="shared" si="670"/>
        <v>0</v>
      </c>
      <c r="B4425" s="1492" t="str">
        <f t="shared" si="670"/>
        <v>Upgradation of Measuring &amp; Instrumentation of  WTP  Stg-I of U# 3,4, 8 and 9, CSTPS, Chandrapur.</v>
      </c>
      <c r="C4425" s="1488">
        <f t="shared" si="670"/>
        <v>0</v>
      </c>
      <c r="D4425" s="1413" t="str">
        <f t="shared" si="670"/>
        <v>-</v>
      </c>
      <c r="E4425" s="560">
        <f t="shared" si="670"/>
        <v>3.5</v>
      </c>
      <c r="F4425" s="1508">
        <f t="shared" si="671"/>
        <v>3.5</v>
      </c>
      <c r="G4425" s="1508">
        <f t="shared" si="672"/>
        <v>3.5</v>
      </c>
      <c r="H4425" s="1508">
        <f t="shared" si="664"/>
        <v>0</v>
      </c>
      <c r="I4425" s="1480">
        <v>0</v>
      </c>
      <c r="J4425" s="1480">
        <v>0</v>
      </c>
      <c r="K4425" s="1508"/>
      <c r="L4425" s="1508"/>
      <c r="M4425" s="1509">
        <f t="shared" si="665"/>
        <v>0</v>
      </c>
      <c r="N4425" s="1508">
        <f t="shared" si="666"/>
        <v>0</v>
      </c>
    </row>
    <row r="4426" spans="1:14" ht="31" outlineLevel="1" x14ac:dyDescent="0.25">
      <c r="A4426" s="1492">
        <f t="shared" si="670"/>
        <v>0</v>
      </c>
      <c r="B4426" s="1492" t="str">
        <f t="shared" si="670"/>
        <v>Upgradation of Ash Level Monitoring System at ESP/Eco / AHP Ash Hoppers at U# 3,4 CSTPS, Chandrapur.</v>
      </c>
      <c r="C4426" s="1488">
        <f t="shared" si="670"/>
        <v>0</v>
      </c>
      <c r="D4426" s="1413" t="str">
        <f t="shared" si="670"/>
        <v>-</v>
      </c>
      <c r="E4426" s="560">
        <f t="shared" si="670"/>
        <v>3</v>
      </c>
      <c r="F4426" s="1508">
        <f t="shared" si="671"/>
        <v>3</v>
      </c>
      <c r="G4426" s="1508">
        <f t="shared" si="672"/>
        <v>3</v>
      </c>
      <c r="H4426" s="1508">
        <f t="shared" si="664"/>
        <v>0</v>
      </c>
      <c r="I4426" s="1480">
        <v>0</v>
      </c>
      <c r="J4426" s="1480">
        <v>0</v>
      </c>
      <c r="K4426" s="1508"/>
      <c r="L4426" s="1508"/>
      <c r="M4426" s="1509">
        <f t="shared" si="665"/>
        <v>0</v>
      </c>
      <c r="N4426" s="1508">
        <f t="shared" si="666"/>
        <v>0</v>
      </c>
    </row>
    <row r="4427" spans="1:14" ht="31" outlineLevel="1" x14ac:dyDescent="0.25">
      <c r="A4427" s="1492">
        <f t="shared" si="670"/>
        <v>0</v>
      </c>
      <c r="B4427" s="1492" t="str">
        <f t="shared" si="670"/>
        <v>Upgradation of Obsolete Electromechanical Protection Relays to advanced Numeric Relays Installed at WTP - I</v>
      </c>
      <c r="C4427" s="1488">
        <f t="shared" si="670"/>
        <v>0</v>
      </c>
      <c r="D4427" s="1413" t="str">
        <f t="shared" si="670"/>
        <v>-</v>
      </c>
      <c r="E4427" s="560">
        <f t="shared" si="670"/>
        <v>3</v>
      </c>
      <c r="F4427" s="1508">
        <f t="shared" si="671"/>
        <v>3</v>
      </c>
      <c r="G4427" s="1508">
        <f t="shared" si="672"/>
        <v>3</v>
      </c>
      <c r="H4427" s="1508">
        <f t="shared" si="664"/>
        <v>0</v>
      </c>
      <c r="I4427" s="1480">
        <v>0</v>
      </c>
      <c r="J4427" s="1480">
        <v>0</v>
      </c>
      <c r="K4427" s="1508"/>
      <c r="L4427" s="1508"/>
      <c r="M4427" s="1509">
        <f t="shared" si="665"/>
        <v>0</v>
      </c>
      <c r="N4427" s="1508">
        <f t="shared" si="666"/>
        <v>0</v>
      </c>
    </row>
    <row r="4428" spans="1:14" ht="31" outlineLevel="1" x14ac:dyDescent="0.25">
      <c r="A4428" s="1492">
        <f t="shared" si="670"/>
        <v>0</v>
      </c>
      <c r="B4428" s="1492" t="str">
        <f t="shared" si="670"/>
        <v>Upgardation of BPF Scoop with electrical actuators at U#3 &amp; 4 CSTPS, Chandrapur.</v>
      </c>
      <c r="C4428" s="1488">
        <f t="shared" si="670"/>
        <v>0</v>
      </c>
      <c r="D4428" s="1413" t="str">
        <f t="shared" si="670"/>
        <v>-</v>
      </c>
      <c r="E4428" s="560">
        <f t="shared" si="670"/>
        <v>3</v>
      </c>
      <c r="F4428" s="1508">
        <f t="shared" si="671"/>
        <v>3</v>
      </c>
      <c r="G4428" s="1508">
        <f t="shared" si="672"/>
        <v>3</v>
      </c>
      <c r="H4428" s="1508">
        <f t="shared" ref="H4428:H4491" si="673">F4428-G4428</f>
        <v>0</v>
      </c>
      <c r="I4428" s="1480">
        <v>0</v>
      </c>
      <c r="J4428" s="1480">
        <v>0</v>
      </c>
      <c r="K4428" s="1508"/>
      <c r="L4428" s="1508"/>
      <c r="M4428" s="1509">
        <f t="shared" ref="M4428:M4491" si="674">SUM(J4428:L4428)</f>
        <v>0</v>
      </c>
      <c r="N4428" s="1508">
        <f t="shared" ref="N4428:N4491" si="675">H4428+I4428-M4428</f>
        <v>0</v>
      </c>
    </row>
    <row r="4429" spans="1:14" ht="31" outlineLevel="1" x14ac:dyDescent="0.25">
      <c r="A4429" s="1486">
        <f t="shared" si="670"/>
        <v>3</v>
      </c>
      <c r="B4429" s="1491" t="str">
        <f t="shared" si="670"/>
        <v xml:space="preserve">Upgradation of Measuring Instruments, Final Control Elements and Control System for Unit #3/4, WTP, AHP CSTPS Chandrapur </v>
      </c>
      <c r="C4429" s="1488">
        <f t="shared" si="670"/>
        <v>0</v>
      </c>
      <c r="D4429" s="1413" t="str">
        <f t="shared" si="670"/>
        <v>-</v>
      </c>
      <c r="E4429" s="560">
        <f t="shared" si="670"/>
        <v>30</v>
      </c>
      <c r="F4429" s="1508">
        <f t="shared" si="671"/>
        <v>0</v>
      </c>
      <c r="G4429" s="1508">
        <f t="shared" si="672"/>
        <v>0</v>
      </c>
      <c r="H4429" s="1508">
        <f t="shared" si="673"/>
        <v>0</v>
      </c>
      <c r="I4429" s="1480">
        <v>0</v>
      </c>
      <c r="J4429" s="1480">
        <v>0</v>
      </c>
      <c r="K4429" s="1508"/>
      <c r="L4429" s="1508"/>
      <c r="M4429" s="1509">
        <f t="shared" si="674"/>
        <v>0</v>
      </c>
      <c r="N4429" s="1508">
        <f t="shared" si="675"/>
        <v>0</v>
      </c>
    </row>
    <row r="4430" spans="1:14" ht="31" outlineLevel="1" x14ac:dyDescent="0.25">
      <c r="A4430" s="1492">
        <f t="shared" ref="A4430:E4445" si="676">A3760</f>
        <v>0</v>
      </c>
      <c r="B4430" s="1492" t="str">
        <f t="shared" si="676"/>
        <v xml:space="preserve">Upgradation of Measuring Instruments, Final Control Elements and Control System for Unit #3/4, WTP, AHP CSTPS Chandrapur </v>
      </c>
      <c r="C4430" s="1488">
        <f t="shared" si="676"/>
        <v>0</v>
      </c>
      <c r="D4430" s="1413" t="str">
        <f t="shared" si="676"/>
        <v>-</v>
      </c>
      <c r="E4430" s="560">
        <f t="shared" si="676"/>
        <v>30</v>
      </c>
      <c r="F4430" s="1508">
        <f t="shared" si="671"/>
        <v>0</v>
      </c>
      <c r="G4430" s="1508">
        <f t="shared" si="672"/>
        <v>0</v>
      </c>
      <c r="H4430" s="1508">
        <f t="shared" si="673"/>
        <v>0</v>
      </c>
      <c r="I4430" s="1480">
        <v>30</v>
      </c>
      <c r="J4430" s="1480">
        <v>30</v>
      </c>
      <c r="K4430" s="1508"/>
      <c r="L4430" s="1508"/>
      <c r="M4430" s="1509">
        <f t="shared" si="674"/>
        <v>30</v>
      </c>
      <c r="N4430" s="1508">
        <f t="shared" si="675"/>
        <v>0</v>
      </c>
    </row>
    <row r="4431" spans="1:14" ht="31" outlineLevel="1" x14ac:dyDescent="0.25">
      <c r="A4431" s="1486">
        <f t="shared" si="676"/>
        <v>4</v>
      </c>
      <c r="B4431" s="1491" t="str">
        <f t="shared" si="676"/>
        <v>Installation Errection and commissioning of Solar System for Electrical Suppy to CSTPS Colony.</v>
      </c>
      <c r="C4431" s="1488">
        <f t="shared" si="676"/>
        <v>0</v>
      </c>
      <c r="D4431" s="1413" t="str">
        <f t="shared" si="676"/>
        <v>-</v>
      </c>
      <c r="E4431" s="560">
        <f t="shared" si="676"/>
        <v>60</v>
      </c>
      <c r="F4431" s="1508">
        <f t="shared" si="671"/>
        <v>0</v>
      </c>
      <c r="G4431" s="1508">
        <f t="shared" si="672"/>
        <v>0</v>
      </c>
      <c r="H4431" s="1508">
        <f t="shared" si="673"/>
        <v>0</v>
      </c>
      <c r="I4431" s="1480">
        <v>0</v>
      </c>
      <c r="J4431" s="1480">
        <v>0</v>
      </c>
      <c r="K4431" s="1508"/>
      <c r="L4431" s="1508"/>
      <c r="M4431" s="1509">
        <f t="shared" si="674"/>
        <v>0</v>
      </c>
      <c r="N4431" s="1508">
        <f t="shared" si="675"/>
        <v>0</v>
      </c>
    </row>
    <row r="4432" spans="1:14" ht="31" outlineLevel="1" x14ac:dyDescent="0.25">
      <c r="A4432" s="1492">
        <f t="shared" si="676"/>
        <v>0</v>
      </c>
      <c r="B4432" s="1492" t="str">
        <f t="shared" si="676"/>
        <v>Installation Errection and commissioning of Solar System for Electrical Suppy to CSTPS Colony.</v>
      </c>
      <c r="C4432" s="1488">
        <f t="shared" si="676"/>
        <v>0</v>
      </c>
      <c r="D4432" s="1413" t="str">
        <f t="shared" si="676"/>
        <v>-</v>
      </c>
      <c r="E4432" s="560">
        <f t="shared" si="676"/>
        <v>60</v>
      </c>
      <c r="F4432" s="1508">
        <f t="shared" si="671"/>
        <v>0</v>
      </c>
      <c r="G4432" s="1508">
        <f t="shared" si="672"/>
        <v>0</v>
      </c>
      <c r="H4432" s="1508">
        <f t="shared" si="673"/>
        <v>0</v>
      </c>
      <c r="I4432" s="1480">
        <v>0</v>
      </c>
      <c r="J4432" s="1480">
        <v>0</v>
      </c>
      <c r="K4432" s="1508"/>
      <c r="L4432" s="1508"/>
      <c r="M4432" s="1509">
        <f t="shared" si="674"/>
        <v>0</v>
      </c>
      <c r="N4432" s="1508">
        <f t="shared" si="675"/>
        <v>0</v>
      </c>
    </row>
    <row r="4433" spans="1:14" ht="15.5" outlineLevel="1" x14ac:dyDescent="0.25">
      <c r="A4433" s="1486">
        <f t="shared" si="676"/>
        <v>5</v>
      </c>
      <c r="B4433" s="1491" t="str">
        <f t="shared" si="676"/>
        <v>Rejuvenation of WTP-I</v>
      </c>
      <c r="C4433" s="1488">
        <f t="shared" si="676"/>
        <v>0</v>
      </c>
      <c r="D4433" s="1413" t="str">
        <f t="shared" si="676"/>
        <v>-</v>
      </c>
      <c r="E4433" s="560">
        <f t="shared" si="676"/>
        <v>26.4</v>
      </c>
      <c r="F4433" s="1508">
        <f t="shared" si="671"/>
        <v>0</v>
      </c>
      <c r="G4433" s="1508">
        <f t="shared" si="672"/>
        <v>0</v>
      </c>
      <c r="H4433" s="1508">
        <f t="shared" si="673"/>
        <v>0</v>
      </c>
      <c r="I4433" s="1480">
        <v>0</v>
      </c>
      <c r="J4433" s="1480">
        <v>0</v>
      </c>
      <c r="K4433" s="1508"/>
      <c r="L4433" s="1508"/>
      <c r="M4433" s="1509">
        <f t="shared" si="674"/>
        <v>0</v>
      </c>
      <c r="N4433" s="1508">
        <f t="shared" si="675"/>
        <v>0</v>
      </c>
    </row>
    <row r="4434" spans="1:14" ht="31" outlineLevel="1" x14ac:dyDescent="0.25">
      <c r="A4434" s="1492">
        <f t="shared" si="676"/>
        <v>0</v>
      </c>
      <c r="B4434" s="1492" t="str">
        <f t="shared" si="676"/>
        <v>Repairing rejuvenation with upgradation of rapid gravity sand filters under drain system.</v>
      </c>
      <c r="C4434" s="1488">
        <f t="shared" si="676"/>
        <v>0</v>
      </c>
      <c r="D4434" s="1413" t="str">
        <f t="shared" si="676"/>
        <v>-</v>
      </c>
      <c r="E4434" s="560">
        <f t="shared" si="676"/>
        <v>8.1999999999999993</v>
      </c>
      <c r="F4434" s="1508">
        <f t="shared" si="671"/>
        <v>0</v>
      </c>
      <c r="G4434" s="1508">
        <f t="shared" si="672"/>
        <v>0</v>
      </c>
      <c r="H4434" s="1508">
        <f t="shared" si="673"/>
        <v>0</v>
      </c>
      <c r="I4434" s="1480">
        <v>8.1999999999999993</v>
      </c>
      <c r="J4434" s="1480">
        <v>8.1999999999999993</v>
      </c>
      <c r="K4434" s="1508"/>
      <c r="L4434" s="1508"/>
      <c r="M4434" s="1509">
        <f t="shared" si="674"/>
        <v>8.1999999999999993</v>
      </c>
      <c r="N4434" s="1508">
        <f t="shared" si="675"/>
        <v>0</v>
      </c>
    </row>
    <row r="4435" spans="1:14" ht="31" outlineLevel="1" x14ac:dyDescent="0.25">
      <c r="A4435" s="1492">
        <f t="shared" si="676"/>
        <v>0</v>
      </c>
      <c r="B4435" s="1492" t="str">
        <f t="shared" si="676"/>
        <v>Repairing &amp; reconditioning of NDM clarifier of 27 Mtr dia &amp; DM clarifier of 15 mtr dia.</v>
      </c>
      <c r="C4435" s="1488">
        <f t="shared" si="676"/>
        <v>0</v>
      </c>
      <c r="D4435" s="1413" t="str">
        <f t="shared" si="676"/>
        <v>-</v>
      </c>
      <c r="E4435" s="560">
        <f t="shared" si="676"/>
        <v>2.4500000000000002</v>
      </c>
      <c r="F4435" s="1508">
        <f t="shared" si="671"/>
        <v>0</v>
      </c>
      <c r="G4435" s="1508">
        <f t="shared" si="672"/>
        <v>0</v>
      </c>
      <c r="H4435" s="1508">
        <f t="shared" si="673"/>
        <v>0</v>
      </c>
      <c r="I4435" s="1480">
        <v>2.4500000000000002</v>
      </c>
      <c r="J4435" s="1480">
        <v>2.4500000000000002</v>
      </c>
      <c r="K4435" s="1508"/>
      <c r="L4435" s="1508"/>
      <c r="M4435" s="1509">
        <f t="shared" si="674"/>
        <v>2.4500000000000002</v>
      </c>
      <c r="N4435" s="1508">
        <f t="shared" si="675"/>
        <v>0</v>
      </c>
    </row>
    <row r="4436" spans="1:14" ht="31" outlineLevel="1" x14ac:dyDescent="0.25">
      <c r="A4436" s="1492">
        <f t="shared" si="676"/>
        <v>0</v>
      </c>
      <c r="B4436" s="1492" t="str">
        <f t="shared" si="676"/>
        <v>Repairing &amp; reconditioning of ion exchanger vessels of DM plant stream (PF,ACF,SAC,WBA,SBA,MB &amp;Degassor)</v>
      </c>
      <c r="C4436" s="1488">
        <f t="shared" si="676"/>
        <v>0</v>
      </c>
      <c r="D4436" s="1413" t="str">
        <f t="shared" si="676"/>
        <v>-</v>
      </c>
      <c r="E4436" s="560">
        <f t="shared" si="676"/>
        <v>15.75</v>
      </c>
      <c r="F4436" s="1508">
        <f t="shared" si="671"/>
        <v>0</v>
      </c>
      <c r="G4436" s="1508">
        <f t="shared" si="672"/>
        <v>0</v>
      </c>
      <c r="H4436" s="1508">
        <f t="shared" si="673"/>
        <v>0</v>
      </c>
      <c r="I4436" s="1480">
        <v>15.75</v>
      </c>
      <c r="J4436" s="1480">
        <v>15.75</v>
      </c>
      <c r="K4436" s="1508"/>
      <c r="L4436" s="1508"/>
      <c r="M4436" s="1509">
        <f t="shared" si="674"/>
        <v>15.75</v>
      </c>
      <c r="N4436" s="1508">
        <f t="shared" si="675"/>
        <v>0</v>
      </c>
    </row>
    <row r="4437" spans="1:14" ht="15.5" outlineLevel="1" x14ac:dyDescent="0.25">
      <c r="A4437" s="1504">
        <f t="shared" si="676"/>
        <v>0</v>
      </c>
      <c r="B4437" s="1504" t="str">
        <f t="shared" si="676"/>
        <v>CHP-A</v>
      </c>
      <c r="C4437" s="1488">
        <f t="shared" si="676"/>
        <v>0</v>
      </c>
      <c r="D4437" s="1413" t="str">
        <f t="shared" si="676"/>
        <v>-</v>
      </c>
      <c r="E4437" s="560">
        <f t="shared" si="676"/>
        <v>0</v>
      </c>
      <c r="F4437" s="1508">
        <f t="shared" si="671"/>
        <v>0</v>
      </c>
      <c r="G4437" s="1508">
        <f t="shared" si="672"/>
        <v>0</v>
      </c>
      <c r="H4437" s="1508">
        <f t="shared" si="673"/>
        <v>0</v>
      </c>
      <c r="I4437" s="1480">
        <v>0</v>
      </c>
      <c r="J4437" s="1480">
        <v>0</v>
      </c>
      <c r="K4437" s="1508"/>
      <c r="L4437" s="1508"/>
      <c r="M4437" s="1509">
        <f t="shared" si="674"/>
        <v>0</v>
      </c>
      <c r="N4437" s="1508">
        <f t="shared" si="675"/>
        <v>0</v>
      </c>
    </row>
    <row r="4438" spans="1:14" ht="31" outlineLevel="1" x14ac:dyDescent="0.25">
      <c r="A4438" s="1486">
        <f t="shared" si="676"/>
        <v>1</v>
      </c>
      <c r="B4438" s="1491" t="str">
        <f t="shared" si="676"/>
        <v>Proc of Loco, Bulldozer, &amp; upgradation of Wagon Tippler, Stacker, Wing Tripper &amp; installation of  Dust Extraction system</v>
      </c>
      <c r="C4438" s="1488">
        <f t="shared" si="676"/>
        <v>0</v>
      </c>
      <c r="D4438" s="1413" t="str">
        <f t="shared" si="676"/>
        <v>-</v>
      </c>
      <c r="E4438" s="560">
        <f t="shared" si="676"/>
        <v>58</v>
      </c>
      <c r="F4438" s="1508">
        <f t="shared" si="671"/>
        <v>0</v>
      </c>
      <c r="G4438" s="1508">
        <f t="shared" si="672"/>
        <v>0</v>
      </c>
      <c r="H4438" s="1508">
        <f t="shared" si="673"/>
        <v>0</v>
      </c>
      <c r="I4438" s="1480">
        <v>0</v>
      </c>
      <c r="J4438" s="1480">
        <v>0</v>
      </c>
      <c r="K4438" s="1508"/>
      <c r="L4438" s="1508"/>
      <c r="M4438" s="1509">
        <f t="shared" si="674"/>
        <v>0</v>
      </c>
      <c r="N4438" s="1508">
        <f t="shared" si="675"/>
        <v>0</v>
      </c>
    </row>
    <row r="4439" spans="1:14" ht="31" outlineLevel="1" x14ac:dyDescent="0.25">
      <c r="A4439" s="1492">
        <f t="shared" si="676"/>
        <v>0</v>
      </c>
      <c r="B4439" s="1492" t="str">
        <f t="shared" si="676"/>
        <v>Procurement of 2 numbers WDG-3A Locomotives and 4 numbers Bulldozers</v>
      </c>
      <c r="C4439" s="1488">
        <f t="shared" si="676"/>
        <v>0</v>
      </c>
      <c r="D4439" s="1413" t="str">
        <f t="shared" si="676"/>
        <v>-</v>
      </c>
      <c r="E4439" s="560">
        <f t="shared" si="676"/>
        <v>38</v>
      </c>
      <c r="F4439" s="1508">
        <f t="shared" si="671"/>
        <v>38</v>
      </c>
      <c r="G4439" s="1508">
        <f t="shared" si="672"/>
        <v>38</v>
      </c>
      <c r="H4439" s="1508">
        <f t="shared" si="673"/>
        <v>0</v>
      </c>
      <c r="I4439" s="1480">
        <v>0</v>
      </c>
      <c r="J4439" s="1480">
        <v>0</v>
      </c>
      <c r="K4439" s="1508"/>
      <c r="L4439" s="1508"/>
      <c r="M4439" s="1509">
        <f t="shared" si="674"/>
        <v>0</v>
      </c>
      <c r="N4439" s="1508">
        <f t="shared" si="675"/>
        <v>0</v>
      </c>
    </row>
    <row r="4440" spans="1:14" ht="31" outlineLevel="1" x14ac:dyDescent="0.25">
      <c r="A4440" s="1492">
        <f t="shared" si="676"/>
        <v>0</v>
      </c>
      <c r="B4440" s="1492" t="str">
        <f t="shared" si="676"/>
        <v>Upgradation of Wagon Tipplers, Stacker Reclaimer Machine and Wing Tripper at CHP-A</v>
      </c>
      <c r="C4440" s="1488">
        <f t="shared" si="676"/>
        <v>0</v>
      </c>
      <c r="D4440" s="1413" t="str">
        <f t="shared" si="676"/>
        <v>-</v>
      </c>
      <c r="E4440" s="560">
        <f t="shared" si="676"/>
        <v>15</v>
      </c>
      <c r="F4440" s="1508">
        <f t="shared" si="671"/>
        <v>15</v>
      </c>
      <c r="G4440" s="1508">
        <f t="shared" si="672"/>
        <v>15</v>
      </c>
      <c r="H4440" s="1508">
        <f t="shared" si="673"/>
        <v>0</v>
      </c>
      <c r="I4440" s="1480">
        <v>0</v>
      </c>
      <c r="J4440" s="1480">
        <v>0</v>
      </c>
      <c r="K4440" s="1508"/>
      <c r="L4440" s="1508"/>
      <c r="M4440" s="1509">
        <f t="shared" si="674"/>
        <v>0</v>
      </c>
      <c r="N4440" s="1508">
        <f t="shared" si="675"/>
        <v>0</v>
      </c>
    </row>
    <row r="4441" spans="1:14" ht="31" outlineLevel="1" x14ac:dyDescent="0.25">
      <c r="A4441" s="1492">
        <f t="shared" si="676"/>
        <v>0</v>
      </c>
      <c r="B4441" s="1492" t="str">
        <f t="shared" si="676"/>
        <v>Installation of Dust Extraction system at Bunker and SCR buildings</v>
      </c>
      <c r="C4441" s="1488">
        <f t="shared" si="676"/>
        <v>0</v>
      </c>
      <c r="D4441" s="1413" t="str">
        <f t="shared" si="676"/>
        <v>-</v>
      </c>
      <c r="E4441" s="560">
        <f t="shared" si="676"/>
        <v>5</v>
      </c>
      <c r="F4441" s="1508">
        <f t="shared" si="671"/>
        <v>5</v>
      </c>
      <c r="G4441" s="1508">
        <f t="shared" si="672"/>
        <v>5</v>
      </c>
      <c r="H4441" s="1508">
        <f t="shared" si="673"/>
        <v>0</v>
      </c>
      <c r="I4441" s="1480">
        <v>0</v>
      </c>
      <c r="J4441" s="1480">
        <v>0</v>
      </c>
      <c r="K4441" s="1508"/>
      <c r="L4441" s="1508"/>
      <c r="M4441" s="1509">
        <f t="shared" si="674"/>
        <v>0</v>
      </c>
      <c r="N4441" s="1508">
        <f t="shared" si="675"/>
        <v>0</v>
      </c>
    </row>
    <row r="4442" spans="1:14" ht="77.5" outlineLevel="1" x14ac:dyDescent="0.25">
      <c r="A4442" s="1486">
        <f t="shared" si="676"/>
        <v>2</v>
      </c>
      <c r="B4442" s="1491" t="str">
        <f t="shared" si="676"/>
        <v>Upgradation of BC-9A &amp; BC-9C, Aerial Ropeway System 1 &amp; 2 &amp; BC-L1,L2 &amp; L3, Upgradation of Junction Tower-1 Hopper and Bunkering Trippers, Providing and Installation of Hopper Grills of Wagon Tippler-169 &amp; 170, Road Hopper, DT Ho[pper and DRCC Grills</v>
      </c>
      <c r="C4442" s="1488">
        <f t="shared" si="676"/>
        <v>0</v>
      </c>
      <c r="D4442" s="1413" t="str">
        <f t="shared" si="676"/>
        <v>-</v>
      </c>
      <c r="E4442" s="560">
        <f t="shared" si="676"/>
        <v>33</v>
      </c>
      <c r="F4442" s="1508">
        <f t="shared" si="671"/>
        <v>0</v>
      </c>
      <c r="G4442" s="1508">
        <f t="shared" si="672"/>
        <v>0</v>
      </c>
      <c r="H4442" s="1508">
        <f t="shared" si="673"/>
        <v>0</v>
      </c>
      <c r="I4442" s="1480">
        <v>0</v>
      </c>
      <c r="J4442" s="1480">
        <v>0</v>
      </c>
      <c r="K4442" s="1508"/>
      <c r="L4442" s="1508"/>
      <c r="M4442" s="1509">
        <f t="shared" si="674"/>
        <v>0</v>
      </c>
      <c r="N4442" s="1508">
        <f t="shared" si="675"/>
        <v>0</v>
      </c>
    </row>
    <row r="4443" spans="1:14" ht="31" outlineLevel="1" x14ac:dyDescent="0.25">
      <c r="A4443" s="1492">
        <f t="shared" si="676"/>
        <v>0</v>
      </c>
      <c r="B4443" s="1492" t="str">
        <f t="shared" si="676"/>
        <v>Upgradation of BC-9A &amp; BC-9C for converting 1000 mm to 1200 mm along with Gantry structure replacement</v>
      </c>
      <c r="C4443" s="1488">
        <f t="shared" si="676"/>
        <v>0</v>
      </c>
      <c r="D4443" s="1413" t="str">
        <f t="shared" si="676"/>
        <v>-</v>
      </c>
      <c r="E4443" s="560">
        <f t="shared" si="676"/>
        <v>12</v>
      </c>
      <c r="F4443" s="1508">
        <f t="shared" si="671"/>
        <v>12</v>
      </c>
      <c r="G4443" s="1508">
        <f t="shared" si="672"/>
        <v>12</v>
      </c>
      <c r="H4443" s="1508">
        <f t="shared" si="673"/>
        <v>0</v>
      </c>
      <c r="I4443" s="1480">
        <v>0</v>
      </c>
      <c r="J4443" s="1480">
        <v>0</v>
      </c>
      <c r="K4443" s="1508"/>
      <c r="L4443" s="1508"/>
      <c r="M4443" s="1509">
        <f t="shared" si="674"/>
        <v>0</v>
      </c>
      <c r="N4443" s="1508">
        <f t="shared" si="675"/>
        <v>0</v>
      </c>
    </row>
    <row r="4444" spans="1:14" ht="15.5" outlineLevel="1" x14ac:dyDescent="0.25">
      <c r="A4444" s="1492">
        <f t="shared" si="676"/>
        <v>0</v>
      </c>
      <c r="B4444" s="1492" t="str">
        <f t="shared" si="676"/>
        <v>Upgradation of Aerial Ropeway System 1 &amp; 2 &amp; BC-L1,L2 &amp; L3</v>
      </c>
      <c r="C4444" s="1488">
        <f t="shared" si="676"/>
        <v>0</v>
      </c>
      <c r="D4444" s="1413" t="str">
        <f t="shared" si="676"/>
        <v>-</v>
      </c>
      <c r="E4444" s="560">
        <f t="shared" si="676"/>
        <v>10</v>
      </c>
      <c r="F4444" s="1508">
        <f t="shared" si="671"/>
        <v>10</v>
      </c>
      <c r="G4444" s="1508">
        <f t="shared" si="672"/>
        <v>10</v>
      </c>
      <c r="H4444" s="1508">
        <f t="shared" si="673"/>
        <v>0</v>
      </c>
      <c r="I4444" s="1480">
        <v>0</v>
      </c>
      <c r="J4444" s="1480">
        <v>0</v>
      </c>
      <c r="K4444" s="1508"/>
      <c r="L4444" s="1508"/>
      <c r="M4444" s="1509">
        <f t="shared" si="674"/>
        <v>0</v>
      </c>
      <c r="N4444" s="1508">
        <f t="shared" si="675"/>
        <v>0</v>
      </c>
    </row>
    <row r="4445" spans="1:14" ht="31" outlineLevel="1" x14ac:dyDescent="0.25">
      <c r="A4445" s="1492">
        <f t="shared" si="676"/>
        <v>0</v>
      </c>
      <c r="B4445" s="1492" t="str">
        <f t="shared" si="676"/>
        <v>Upgradation of Junction Tower-1 Hopper and Bunkering Trippers</v>
      </c>
      <c r="C4445" s="1488">
        <f t="shared" si="676"/>
        <v>0</v>
      </c>
      <c r="D4445" s="1413" t="str">
        <f t="shared" si="676"/>
        <v>-</v>
      </c>
      <c r="E4445" s="560">
        <f t="shared" si="676"/>
        <v>5.5</v>
      </c>
      <c r="F4445" s="1508">
        <f t="shared" si="671"/>
        <v>5.5</v>
      </c>
      <c r="G4445" s="1508">
        <f t="shared" si="672"/>
        <v>5.5</v>
      </c>
      <c r="H4445" s="1508">
        <f t="shared" si="673"/>
        <v>0</v>
      </c>
      <c r="I4445" s="1480">
        <v>0</v>
      </c>
      <c r="J4445" s="1480">
        <v>0</v>
      </c>
      <c r="K4445" s="1508"/>
      <c r="L4445" s="1508"/>
      <c r="M4445" s="1509">
        <f t="shared" si="674"/>
        <v>0</v>
      </c>
      <c r="N4445" s="1508">
        <f t="shared" si="675"/>
        <v>0</v>
      </c>
    </row>
    <row r="4446" spans="1:14" ht="31" outlineLevel="1" x14ac:dyDescent="0.25">
      <c r="A4446" s="1492">
        <f t="shared" ref="A4446:E4461" si="677">A3776</f>
        <v>0</v>
      </c>
      <c r="B4446" s="1492" t="str">
        <f t="shared" si="677"/>
        <v>Providing and Installation of Hopper Grills of Wagon Tippler-169 &amp; 170, Road Hopper, DT Ho[pper and DRCC Grills</v>
      </c>
      <c r="C4446" s="1488">
        <f t="shared" si="677"/>
        <v>0</v>
      </c>
      <c r="D4446" s="1413" t="str">
        <f t="shared" si="677"/>
        <v>-</v>
      </c>
      <c r="E4446" s="560">
        <f t="shared" si="677"/>
        <v>5.5</v>
      </c>
      <c r="F4446" s="1508">
        <f t="shared" si="671"/>
        <v>5.5</v>
      </c>
      <c r="G4446" s="1508">
        <f t="shared" si="672"/>
        <v>5.5</v>
      </c>
      <c r="H4446" s="1508">
        <f t="shared" si="673"/>
        <v>0</v>
      </c>
      <c r="I4446" s="1480">
        <v>0</v>
      </c>
      <c r="J4446" s="1480">
        <v>0</v>
      </c>
      <c r="K4446" s="1508"/>
      <c r="L4446" s="1508"/>
      <c r="M4446" s="1509">
        <f t="shared" si="674"/>
        <v>0</v>
      </c>
      <c r="N4446" s="1508">
        <f t="shared" si="675"/>
        <v>0</v>
      </c>
    </row>
    <row r="4447" spans="1:14" ht="31" outlineLevel="1" x14ac:dyDescent="0.25">
      <c r="A4447" s="1486">
        <f t="shared" si="677"/>
        <v>3</v>
      </c>
      <c r="B4447" s="1491" t="str">
        <f t="shared" si="677"/>
        <v>DPR for Bulldozer, Locomotives, Tunnel conveyors, Augur machines</v>
      </c>
      <c r="C4447" s="1488">
        <f t="shared" si="677"/>
        <v>0</v>
      </c>
      <c r="D4447" s="1413" t="str">
        <f t="shared" si="677"/>
        <v>-</v>
      </c>
      <c r="E4447" s="560">
        <f t="shared" si="677"/>
        <v>32</v>
      </c>
      <c r="F4447" s="1508">
        <f t="shared" si="671"/>
        <v>0</v>
      </c>
      <c r="G4447" s="1508">
        <f t="shared" si="672"/>
        <v>0</v>
      </c>
      <c r="H4447" s="1508">
        <f t="shared" si="673"/>
        <v>0</v>
      </c>
      <c r="I4447" s="1480">
        <v>0</v>
      </c>
      <c r="J4447" s="1480">
        <v>0</v>
      </c>
      <c r="K4447" s="1508"/>
      <c r="L4447" s="1508"/>
      <c r="M4447" s="1509">
        <f t="shared" si="674"/>
        <v>0</v>
      </c>
      <c r="N4447" s="1508">
        <f t="shared" si="675"/>
        <v>0</v>
      </c>
    </row>
    <row r="4448" spans="1:14" ht="15.5" outlineLevel="1" x14ac:dyDescent="0.25">
      <c r="A4448" s="1492">
        <f t="shared" si="677"/>
        <v>0</v>
      </c>
      <c r="B4448" s="1492" t="str">
        <f t="shared" si="677"/>
        <v>Procurement of 4 Numbers Bulldozers</v>
      </c>
      <c r="C4448" s="1488">
        <f t="shared" si="677"/>
        <v>0</v>
      </c>
      <c r="D4448" s="1413" t="str">
        <f t="shared" si="677"/>
        <v>-</v>
      </c>
      <c r="E4448" s="560">
        <f t="shared" si="677"/>
        <v>12</v>
      </c>
      <c r="F4448" s="1508">
        <f t="shared" si="671"/>
        <v>12</v>
      </c>
      <c r="G4448" s="1508">
        <f t="shared" si="672"/>
        <v>12</v>
      </c>
      <c r="H4448" s="1508">
        <f t="shared" si="673"/>
        <v>0</v>
      </c>
      <c r="I4448" s="1480">
        <v>0</v>
      </c>
      <c r="J4448" s="1480">
        <v>0</v>
      </c>
      <c r="K4448" s="1508"/>
      <c r="L4448" s="1508"/>
      <c r="M4448" s="1509">
        <f t="shared" si="674"/>
        <v>0</v>
      </c>
      <c r="N4448" s="1508">
        <f t="shared" si="675"/>
        <v>0</v>
      </c>
    </row>
    <row r="4449" spans="1:14" ht="15.5" outlineLevel="1" x14ac:dyDescent="0.25">
      <c r="A4449" s="1492">
        <f t="shared" si="677"/>
        <v>0</v>
      </c>
      <c r="B4449" s="1492" t="str">
        <f t="shared" si="677"/>
        <v>Procurement of 2 Numbers 800 HP Locomotives</v>
      </c>
      <c r="C4449" s="1488">
        <f t="shared" si="677"/>
        <v>0</v>
      </c>
      <c r="D4449" s="1413" t="str">
        <f t="shared" si="677"/>
        <v>-</v>
      </c>
      <c r="E4449" s="560">
        <f t="shared" si="677"/>
        <v>9</v>
      </c>
      <c r="F4449" s="1508">
        <f t="shared" si="671"/>
        <v>9</v>
      </c>
      <c r="G4449" s="1508">
        <f t="shared" si="672"/>
        <v>9</v>
      </c>
      <c r="H4449" s="1508">
        <f t="shared" si="673"/>
        <v>0</v>
      </c>
      <c r="I4449" s="1480">
        <v>0</v>
      </c>
      <c r="J4449" s="1480">
        <v>0</v>
      </c>
      <c r="K4449" s="1508"/>
      <c r="L4449" s="1508"/>
      <c r="M4449" s="1509">
        <f t="shared" si="674"/>
        <v>0</v>
      </c>
      <c r="N4449" s="1508">
        <f t="shared" si="675"/>
        <v>0</v>
      </c>
    </row>
    <row r="4450" spans="1:14" ht="31" outlineLevel="1" x14ac:dyDescent="0.25">
      <c r="A4450" s="1492">
        <f t="shared" si="677"/>
        <v>0</v>
      </c>
      <c r="B4450" s="1492" t="str">
        <f t="shared" si="677"/>
        <v>Upgradation of Tunnel conveyors BC-1AB, BC-4AB, BC-3, BC-5AB &amp; BC-21B</v>
      </c>
      <c r="C4450" s="1488">
        <f t="shared" si="677"/>
        <v>0</v>
      </c>
      <c r="D4450" s="1413" t="str">
        <f t="shared" si="677"/>
        <v>-</v>
      </c>
      <c r="E4450" s="560">
        <f t="shared" si="677"/>
        <v>5</v>
      </c>
      <c r="F4450" s="1508">
        <f t="shared" si="671"/>
        <v>5</v>
      </c>
      <c r="G4450" s="1508">
        <f t="shared" si="672"/>
        <v>5</v>
      </c>
      <c r="H4450" s="1508">
        <f t="shared" si="673"/>
        <v>0</v>
      </c>
      <c r="I4450" s="1480">
        <v>0</v>
      </c>
      <c r="J4450" s="1480">
        <v>0</v>
      </c>
      <c r="K4450" s="1508"/>
      <c r="L4450" s="1508"/>
      <c r="M4450" s="1509">
        <f t="shared" si="674"/>
        <v>0</v>
      </c>
      <c r="N4450" s="1508">
        <f t="shared" si="675"/>
        <v>0</v>
      </c>
    </row>
    <row r="4451" spans="1:14" ht="31" outlineLevel="1" x14ac:dyDescent="0.25">
      <c r="A4451" s="1492">
        <f t="shared" si="677"/>
        <v>0</v>
      </c>
      <c r="B4451" s="1492" t="str">
        <f t="shared" si="677"/>
        <v>Procurement of 4 Numbers Mobile Coal sampling Equipments (Augur Machines)</v>
      </c>
      <c r="C4451" s="1488">
        <f t="shared" si="677"/>
        <v>0</v>
      </c>
      <c r="D4451" s="1413" t="str">
        <f t="shared" si="677"/>
        <v>-</v>
      </c>
      <c r="E4451" s="560">
        <f t="shared" si="677"/>
        <v>6</v>
      </c>
      <c r="F4451" s="1508">
        <f t="shared" si="671"/>
        <v>0</v>
      </c>
      <c r="G4451" s="1508">
        <f t="shared" si="672"/>
        <v>0</v>
      </c>
      <c r="H4451" s="1508">
        <f t="shared" si="673"/>
        <v>0</v>
      </c>
      <c r="I4451" s="1480">
        <v>6</v>
      </c>
      <c r="J4451" s="1480">
        <v>6</v>
      </c>
      <c r="K4451" s="1508"/>
      <c r="L4451" s="1508"/>
      <c r="M4451" s="1509">
        <f t="shared" si="674"/>
        <v>6</v>
      </c>
      <c r="N4451" s="1508">
        <f t="shared" si="675"/>
        <v>0</v>
      </c>
    </row>
    <row r="4452" spans="1:14" ht="15.5" outlineLevel="1" x14ac:dyDescent="0.25">
      <c r="A4452" s="1504">
        <f t="shared" si="677"/>
        <v>0</v>
      </c>
      <c r="B4452" s="1504" t="str">
        <f t="shared" si="677"/>
        <v>Boiler Maintenance -II</v>
      </c>
      <c r="C4452" s="1488">
        <f t="shared" si="677"/>
        <v>0</v>
      </c>
      <c r="D4452" s="1413" t="str">
        <f t="shared" si="677"/>
        <v>-</v>
      </c>
      <c r="E4452" s="560">
        <f t="shared" si="677"/>
        <v>0</v>
      </c>
      <c r="F4452" s="1508">
        <f t="shared" si="671"/>
        <v>0</v>
      </c>
      <c r="G4452" s="1508">
        <f t="shared" si="672"/>
        <v>0</v>
      </c>
      <c r="H4452" s="1508">
        <f t="shared" si="673"/>
        <v>0</v>
      </c>
      <c r="I4452" s="1480">
        <v>0</v>
      </c>
      <c r="J4452" s="1480">
        <v>0</v>
      </c>
      <c r="K4452" s="1508"/>
      <c r="L4452" s="1508"/>
      <c r="M4452" s="1509">
        <f t="shared" si="674"/>
        <v>0</v>
      </c>
      <c r="N4452" s="1508">
        <f t="shared" si="675"/>
        <v>0</v>
      </c>
    </row>
    <row r="4453" spans="1:14" ht="31" outlineLevel="1" x14ac:dyDescent="0.25">
      <c r="A4453" s="1486">
        <f t="shared" si="677"/>
        <v>1</v>
      </c>
      <c r="B4453" s="1491" t="str">
        <f t="shared" si="677"/>
        <v xml:space="preserve">Up  Gradation of existing volumetric belt type coal feeders to gravimetric rotary weigh coal feeder of U-5 &amp; 6 at CSTPS </v>
      </c>
      <c r="C4453" s="1488">
        <f t="shared" si="677"/>
        <v>0</v>
      </c>
      <c r="D4453" s="1413" t="str">
        <f t="shared" si="677"/>
        <v>-</v>
      </c>
      <c r="E4453" s="560">
        <f t="shared" si="677"/>
        <v>85.69</v>
      </c>
      <c r="F4453" s="1508">
        <f t="shared" si="671"/>
        <v>0</v>
      </c>
      <c r="G4453" s="1508">
        <f t="shared" si="672"/>
        <v>0</v>
      </c>
      <c r="H4453" s="1508">
        <f t="shared" si="673"/>
        <v>0</v>
      </c>
      <c r="I4453" s="1480">
        <v>0</v>
      </c>
      <c r="J4453" s="1480">
        <v>0</v>
      </c>
      <c r="K4453" s="1508"/>
      <c r="L4453" s="1508"/>
      <c r="M4453" s="1509">
        <f t="shared" si="674"/>
        <v>0</v>
      </c>
      <c r="N4453" s="1508">
        <f t="shared" si="675"/>
        <v>0</v>
      </c>
    </row>
    <row r="4454" spans="1:14" ht="31" outlineLevel="1" x14ac:dyDescent="0.25">
      <c r="A4454" s="1492">
        <f t="shared" si="677"/>
        <v>0</v>
      </c>
      <c r="B4454" s="1492" t="str">
        <f t="shared" si="677"/>
        <v xml:space="preserve">Up  Gradation of existing volumetric belt type coal feeders to gravimetric rotary weigh coal feeder of U-5 &amp; 6 at CSTPS </v>
      </c>
      <c r="C4454" s="1488">
        <f t="shared" si="677"/>
        <v>0</v>
      </c>
      <c r="D4454" s="1413" t="str">
        <f t="shared" si="677"/>
        <v>-</v>
      </c>
      <c r="E4454" s="560">
        <f t="shared" si="677"/>
        <v>85.679999999999993</v>
      </c>
      <c r="F4454" s="1508">
        <f t="shared" si="671"/>
        <v>85.679999999999993</v>
      </c>
      <c r="G4454" s="1508">
        <f t="shared" si="672"/>
        <v>85.679999999999993</v>
      </c>
      <c r="H4454" s="1508">
        <f t="shared" si="673"/>
        <v>0</v>
      </c>
      <c r="I4454" s="1480">
        <v>0</v>
      </c>
      <c r="J4454" s="1480">
        <v>0</v>
      </c>
      <c r="K4454" s="1508"/>
      <c r="L4454" s="1508"/>
      <c r="M4454" s="1509">
        <f t="shared" si="674"/>
        <v>0</v>
      </c>
      <c r="N4454" s="1508">
        <f t="shared" si="675"/>
        <v>0</v>
      </c>
    </row>
    <row r="4455" spans="1:14" ht="62" outlineLevel="1" x14ac:dyDescent="0.25">
      <c r="A4455" s="1486">
        <f t="shared" si="677"/>
        <v>2</v>
      </c>
      <c r="B4455" s="1491" t="str">
        <f t="shared" si="677"/>
        <v>DPR for the Work of Modification of existing coal bunker and commissioning of bunker chute assembly with vibrating motor to avoid bunker mouth coal choke up for Unit 5 &amp;6 at CSTPS, Chandrapur.</v>
      </c>
      <c r="C4455" s="1488">
        <f t="shared" si="677"/>
        <v>0</v>
      </c>
      <c r="D4455" s="1413" t="str">
        <f t="shared" si="677"/>
        <v>-</v>
      </c>
      <c r="E4455" s="560">
        <f t="shared" si="677"/>
        <v>32.28</v>
      </c>
      <c r="F4455" s="1508">
        <f t="shared" si="671"/>
        <v>0</v>
      </c>
      <c r="G4455" s="1508">
        <f t="shared" si="672"/>
        <v>0</v>
      </c>
      <c r="H4455" s="1508">
        <f t="shared" si="673"/>
        <v>0</v>
      </c>
      <c r="I4455" s="1480">
        <v>0</v>
      </c>
      <c r="J4455" s="1480">
        <v>0</v>
      </c>
      <c r="K4455" s="1508"/>
      <c r="L4455" s="1508"/>
      <c r="M4455" s="1509">
        <f t="shared" si="674"/>
        <v>0</v>
      </c>
      <c r="N4455" s="1508">
        <f t="shared" si="675"/>
        <v>0</v>
      </c>
    </row>
    <row r="4456" spans="1:14" ht="62" outlineLevel="1" x14ac:dyDescent="0.25">
      <c r="A4456" s="1492">
        <f t="shared" si="677"/>
        <v>0</v>
      </c>
      <c r="B4456" s="1492" t="str">
        <f t="shared" si="677"/>
        <v>DPR for the Work of Modification of existing coal bunker and commissioning of bunker chute assembly with vibrating motor to avoid bunker mouth coal choke up for Unit 5 &amp;6 at CSTPS, Chandrapur.</v>
      </c>
      <c r="C4456" s="1488">
        <f t="shared" si="677"/>
        <v>0</v>
      </c>
      <c r="D4456" s="1413" t="str">
        <f t="shared" si="677"/>
        <v>-</v>
      </c>
      <c r="E4456" s="560">
        <f t="shared" si="677"/>
        <v>32.28</v>
      </c>
      <c r="F4456" s="1508">
        <f t="shared" si="671"/>
        <v>32.28</v>
      </c>
      <c r="G4456" s="1508">
        <f t="shared" si="672"/>
        <v>32.28</v>
      </c>
      <c r="H4456" s="1508">
        <f t="shared" si="673"/>
        <v>0</v>
      </c>
      <c r="I4456" s="1480">
        <v>0</v>
      </c>
      <c r="J4456" s="1480">
        <v>0</v>
      </c>
      <c r="K4456" s="1508"/>
      <c r="L4456" s="1508"/>
      <c r="M4456" s="1509">
        <f t="shared" si="674"/>
        <v>0</v>
      </c>
      <c r="N4456" s="1508">
        <f t="shared" si="675"/>
        <v>0</v>
      </c>
    </row>
    <row r="4457" spans="1:14" ht="31" outlineLevel="1" x14ac:dyDescent="0.25">
      <c r="A4457" s="1486">
        <f t="shared" si="677"/>
        <v>3</v>
      </c>
      <c r="B4457" s="1491" t="str">
        <f t="shared" si="677"/>
        <v>DPR for  Supply &amp; Replacment of Boiler Thermal Insulation Unit 5 &amp;6, 7 at CSTPS, Chandrapur.</v>
      </c>
      <c r="C4457" s="1488">
        <f t="shared" si="677"/>
        <v>0</v>
      </c>
      <c r="D4457" s="1413" t="str">
        <f t="shared" si="677"/>
        <v>-</v>
      </c>
      <c r="E4457" s="560">
        <f t="shared" si="677"/>
        <v>30</v>
      </c>
      <c r="F4457" s="1508">
        <f t="shared" si="671"/>
        <v>0</v>
      </c>
      <c r="G4457" s="1508">
        <f t="shared" si="672"/>
        <v>0</v>
      </c>
      <c r="H4457" s="1508">
        <f t="shared" si="673"/>
        <v>0</v>
      </c>
      <c r="I4457" s="1480">
        <v>0</v>
      </c>
      <c r="J4457" s="1480">
        <v>0</v>
      </c>
      <c r="K4457" s="1508"/>
      <c r="L4457" s="1508"/>
      <c r="M4457" s="1509">
        <f t="shared" si="674"/>
        <v>0</v>
      </c>
      <c r="N4457" s="1508">
        <f t="shared" si="675"/>
        <v>0</v>
      </c>
    </row>
    <row r="4458" spans="1:14" ht="31" outlineLevel="1" x14ac:dyDescent="0.25">
      <c r="A4458" s="1492">
        <f t="shared" si="677"/>
        <v>0</v>
      </c>
      <c r="B4458" s="1492" t="str">
        <f t="shared" si="677"/>
        <v>DPR for  Supply &amp; Replacment of Boiler Thermal Insulation Unit 5 &amp;6, 7 at CSTPS, Chandrapur.</v>
      </c>
      <c r="C4458" s="1488">
        <f t="shared" si="677"/>
        <v>0</v>
      </c>
      <c r="D4458" s="1413" t="str">
        <f t="shared" si="677"/>
        <v>-</v>
      </c>
      <c r="E4458" s="560">
        <f t="shared" si="677"/>
        <v>30</v>
      </c>
      <c r="F4458" s="1508">
        <f t="shared" si="671"/>
        <v>30</v>
      </c>
      <c r="G4458" s="1508">
        <f t="shared" si="672"/>
        <v>30</v>
      </c>
      <c r="H4458" s="1508">
        <f t="shared" si="673"/>
        <v>0</v>
      </c>
      <c r="I4458" s="1480">
        <v>0</v>
      </c>
      <c r="J4458" s="1480">
        <v>0</v>
      </c>
      <c r="K4458" s="1508"/>
      <c r="L4458" s="1508"/>
      <c r="M4458" s="1509">
        <f t="shared" si="674"/>
        <v>0</v>
      </c>
      <c r="N4458" s="1508">
        <f t="shared" si="675"/>
        <v>0</v>
      </c>
    </row>
    <row r="4459" spans="1:14" ht="62" outlineLevel="1" x14ac:dyDescent="0.25">
      <c r="A4459" s="1486">
        <f t="shared" si="677"/>
        <v>4</v>
      </c>
      <c r="B4459" s="1491" t="str">
        <f t="shared" si="677"/>
        <v>Detailed Project Report for Manufacturing, supply and application of wear resistance liners for Coal Mill XRP-1043 and Procurement of Complete Gear box for Coal Mill XRP-1043, ID Fan impeller and sub assembly for Unit 5 &amp; 6 At CSTPS, Chandrapur.</v>
      </c>
      <c r="C4459" s="1488">
        <f t="shared" si="677"/>
        <v>0</v>
      </c>
      <c r="D4459" s="1413" t="str">
        <f t="shared" si="677"/>
        <v>-</v>
      </c>
      <c r="E4459" s="560">
        <f t="shared" si="677"/>
        <v>25</v>
      </c>
      <c r="F4459" s="1508">
        <f t="shared" si="671"/>
        <v>0</v>
      </c>
      <c r="G4459" s="1508">
        <f t="shared" si="672"/>
        <v>0</v>
      </c>
      <c r="H4459" s="1508">
        <f t="shared" si="673"/>
        <v>0</v>
      </c>
      <c r="I4459" s="1480">
        <v>0</v>
      </c>
      <c r="J4459" s="1480">
        <v>0</v>
      </c>
      <c r="K4459" s="1508"/>
      <c r="L4459" s="1508"/>
      <c r="M4459" s="1509">
        <f t="shared" si="674"/>
        <v>0</v>
      </c>
      <c r="N4459" s="1508">
        <f t="shared" si="675"/>
        <v>0</v>
      </c>
    </row>
    <row r="4460" spans="1:14" ht="77.5" outlineLevel="1" x14ac:dyDescent="0.25">
      <c r="A4460" s="1492">
        <f t="shared" si="677"/>
        <v>0</v>
      </c>
      <c r="B4460" s="1492" t="str">
        <f t="shared" si="677"/>
        <v>Detailed Project Report for Manufacturing, supply and application of wear resistance liners for Coal Mill XRP-1043 and Procurement of Complete Gear box for Coal Mill XRP-1043, ID Fan impeller and sub assembly for Unit 5 &amp; 6 At CSTPS, Chandrapur.</v>
      </c>
      <c r="C4460" s="1488">
        <f t="shared" si="677"/>
        <v>0</v>
      </c>
      <c r="D4460" s="1413" t="str">
        <f t="shared" si="677"/>
        <v>-</v>
      </c>
      <c r="E4460" s="560">
        <f t="shared" si="677"/>
        <v>25</v>
      </c>
      <c r="F4460" s="1508">
        <f t="shared" si="671"/>
        <v>25</v>
      </c>
      <c r="G4460" s="1508">
        <f t="shared" si="672"/>
        <v>25</v>
      </c>
      <c r="H4460" s="1508">
        <f t="shared" si="673"/>
        <v>0</v>
      </c>
      <c r="I4460" s="1480">
        <v>0</v>
      </c>
      <c r="J4460" s="1480">
        <v>0</v>
      </c>
      <c r="K4460" s="1508"/>
      <c r="L4460" s="1508"/>
      <c r="M4460" s="1509">
        <f t="shared" si="674"/>
        <v>0</v>
      </c>
      <c r="N4460" s="1508">
        <f t="shared" si="675"/>
        <v>0</v>
      </c>
    </row>
    <row r="4461" spans="1:14" ht="31" outlineLevel="1" x14ac:dyDescent="0.25">
      <c r="A4461" s="1486">
        <f t="shared" si="677"/>
        <v>5</v>
      </c>
      <c r="B4461" s="1491" t="str">
        <f t="shared" si="677"/>
        <v>DPR for Modification and Restoration of Eco. outlet to ESP inlet duct of Unit -6 (500MW) CSTPS, Chandrapur .</v>
      </c>
      <c r="C4461" s="1488">
        <f t="shared" si="677"/>
        <v>0</v>
      </c>
      <c r="D4461" s="1413" t="str">
        <f t="shared" si="677"/>
        <v>-</v>
      </c>
      <c r="E4461" s="560">
        <f t="shared" si="677"/>
        <v>25</v>
      </c>
      <c r="F4461" s="1508">
        <f t="shared" si="671"/>
        <v>0</v>
      </c>
      <c r="G4461" s="1508">
        <f t="shared" si="672"/>
        <v>0</v>
      </c>
      <c r="H4461" s="1508">
        <f t="shared" si="673"/>
        <v>0</v>
      </c>
      <c r="I4461" s="1480">
        <v>0</v>
      </c>
      <c r="J4461" s="1480">
        <v>0</v>
      </c>
      <c r="K4461" s="1508"/>
      <c r="L4461" s="1508"/>
      <c r="M4461" s="1509">
        <f t="shared" si="674"/>
        <v>0</v>
      </c>
      <c r="N4461" s="1508">
        <f t="shared" si="675"/>
        <v>0</v>
      </c>
    </row>
    <row r="4462" spans="1:14" ht="31" outlineLevel="1" x14ac:dyDescent="0.25">
      <c r="A4462" s="1492">
        <f t="shared" ref="A4462:E4477" si="678">A3792</f>
        <v>0</v>
      </c>
      <c r="B4462" s="1492" t="str">
        <f t="shared" si="678"/>
        <v>DPR for Modification and Restoration of Eco. outlet to ESP inlet duct of Unit -6 (500MW) CSTPS, Chandrapur .</v>
      </c>
      <c r="C4462" s="1488">
        <f t="shared" si="678"/>
        <v>0</v>
      </c>
      <c r="D4462" s="1413" t="str">
        <f t="shared" si="678"/>
        <v>-</v>
      </c>
      <c r="E4462" s="560">
        <f t="shared" si="678"/>
        <v>25</v>
      </c>
      <c r="F4462" s="1508">
        <f t="shared" si="671"/>
        <v>25</v>
      </c>
      <c r="G4462" s="1508">
        <f t="shared" si="672"/>
        <v>25</v>
      </c>
      <c r="H4462" s="1508">
        <f t="shared" si="673"/>
        <v>0</v>
      </c>
      <c r="I4462" s="1480">
        <v>0</v>
      </c>
      <c r="J4462" s="1480">
        <v>0</v>
      </c>
      <c r="K4462" s="1508"/>
      <c r="L4462" s="1508"/>
      <c r="M4462" s="1509">
        <f t="shared" si="674"/>
        <v>0</v>
      </c>
      <c r="N4462" s="1508">
        <f t="shared" si="675"/>
        <v>0</v>
      </c>
    </row>
    <row r="4463" spans="1:14" ht="108.5" outlineLevel="1" x14ac:dyDescent="0.25">
      <c r="A4463" s="1486">
        <f t="shared" si="678"/>
        <v>6</v>
      </c>
      <c r="B4463" s="1491" t="str">
        <f t="shared" si="678"/>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4463" s="1488">
        <f t="shared" si="678"/>
        <v>0</v>
      </c>
      <c r="D4463" s="1413" t="str">
        <f t="shared" si="678"/>
        <v>-</v>
      </c>
      <c r="E4463" s="560">
        <f t="shared" si="678"/>
        <v>40</v>
      </c>
      <c r="F4463" s="1508">
        <f t="shared" si="671"/>
        <v>0</v>
      </c>
      <c r="G4463" s="1508">
        <f t="shared" si="672"/>
        <v>0</v>
      </c>
      <c r="H4463" s="1508">
        <f t="shared" si="673"/>
        <v>0</v>
      </c>
      <c r="I4463" s="1480">
        <v>0</v>
      </c>
      <c r="J4463" s="1480">
        <v>0</v>
      </c>
      <c r="K4463" s="1508"/>
      <c r="L4463" s="1508"/>
      <c r="M4463" s="1509">
        <f t="shared" si="674"/>
        <v>0</v>
      </c>
      <c r="N4463" s="1508">
        <f t="shared" si="675"/>
        <v>0</v>
      </c>
    </row>
    <row r="4464" spans="1:14" ht="108.5" outlineLevel="1" x14ac:dyDescent="0.25">
      <c r="A4464" s="1492">
        <f t="shared" si="678"/>
        <v>0</v>
      </c>
      <c r="B4464" s="1492" t="str">
        <f t="shared" si="678"/>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4464" s="1488">
        <f t="shared" si="678"/>
        <v>0</v>
      </c>
      <c r="D4464" s="1413" t="str">
        <f t="shared" si="678"/>
        <v>-</v>
      </c>
      <c r="E4464" s="560">
        <f t="shared" si="678"/>
        <v>40</v>
      </c>
      <c r="F4464" s="1508">
        <f t="shared" si="671"/>
        <v>40</v>
      </c>
      <c r="G4464" s="1508">
        <f t="shared" si="672"/>
        <v>40</v>
      </c>
      <c r="H4464" s="1508">
        <f t="shared" si="673"/>
        <v>0</v>
      </c>
      <c r="I4464" s="1480">
        <v>0</v>
      </c>
      <c r="J4464" s="1480">
        <v>0</v>
      </c>
      <c r="K4464" s="1508"/>
      <c r="L4464" s="1508"/>
      <c r="M4464" s="1509">
        <f t="shared" si="674"/>
        <v>0</v>
      </c>
      <c r="N4464" s="1508">
        <f t="shared" si="675"/>
        <v>0</v>
      </c>
    </row>
    <row r="4465" spans="1:14" ht="46.5" outlineLevel="1" x14ac:dyDescent="0.25">
      <c r="A4465" s="1486">
        <f t="shared" si="678"/>
        <v>7</v>
      </c>
      <c r="B4465" s="1491" t="str">
        <f t="shared" si="678"/>
        <v>DPR for Supply &amp; Replacement of Divisional Panels in Boiler Unit 5,6 &amp; 7 and Economizer upper coil assembly in Unit 5 &amp; 6 CSTPS, Chandrapur.</v>
      </c>
      <c r="C4465" s="1488">
        <f t="shared" si="678"/>
        <v>0</v>
      </c>
      <c r="D4465" s="1413" t="str">
        <f t="shared" si="678"/>
        <v>-</v>
      </c>
      <c r="E4465" s="560">
        <f t="shared" si="678"/>
        <v>40</v>
      </c>
      <c r="F4465" s="1508">
        <f t="shared" si="671"/>
        <v>0</v>
      </c>
      <c r="G4465" s="1508">
        <f t="shared" si="672"/>
        <v>0</v>
      </c>
      <c r="H4465" s="1508">
        <f t="shared" si="673"/>
        <v>0</v>
      </c>
      <c r="I4465" s="1480">
        <v>0</v>
      </c>
      <c r="J4465" s="1480">
        <v>0</v>
      </c>
      <c r="K4465" s="1508"/>
      <c r="L4465" s="1508"/>
      <c r="M4465" s="1509">
        <f t="shared" si="674"/>
        <v>0</v>
      </c>
      <c r="N4465" s="1508">
        <f t="shared" si="675"/>
        <v>0</v>
      </c>
    </row>
    <row r="4466" spans="1:14" ht="46.5" outlineLevel="1" x14ac:dyDescent="0.25">
      <c r="A4466" s="1492">
        <f t="shared" si="678"/>
        <v>0</v>
      </c>
      <c r="B4466" s="1492" t="str">
        <f t="shared" si="678"/>
        <v>DPR for Supply &amp; Replacement of Divisional Panels in Boiler Unit 5,6 &amp; 7 and Economizer upper coil assembly in Unit 5 &amp; 6 CSTPS, Chandrapur.</v>
      </c>
      <c r="C4466" s="1488">
        <f t="shared" si="678"/>
        <v>0</v>
      </c>
      <c r="D4466" s="1413" t="str">
        <f t="shared" si="678"/>
        <v>-</v>
      </c>
      <c r="E4466" s="560">
        <f t="shared" si="678"/>
        <v>40</v>
      </c>
      <c r="F4466" s="1508">
        <f t="shared" si="671"/>
        <v>40</v>
      </c>
      <c r="G4466" s="1508">
        <f t="shared" si="672"/>
        <v>40</v>
      </c>
      <c r="H4466" s="1508">
        <f t="shared" si="673"/>
        <v>0</v>
      </c>
      <c r="I4466" s="1480">
        <v>0</v>
      </c>
      <c r="J4466" s="1480">
        <v>0</v>
      </c>
      <c r="K4466" s="1508"/>
      <c r="L4466" s="1508"/>
      <c r="M4466" s="1509">
        <f t="shared" si="674"/>
        <v>0</v>
      </c>
      <c r="N4466" s="1508">
        <f t="shared" si="675"/>
        <v>0</v>
      </c>
    </row>
    <row r="4467" spans="1:14" ht="46.5" outlineLevel="1" x14ac:dyDescent="0.25">
      <c r="A4467" s="1486">
        <f t="shared" si="678"/>
        <v>8</v>
      </c>
      <c r="B4467" s="1491" t="str">
        <f t="shared" si="678"/>
        <v>DPR for the Supply &amp; Replacement of Platen Superheater, Front Reheater in Unit-7 and Economizer middle &amp; Economizer lower coil assembly in Unit 5 &amp; 6 CSTPS, Chandrapur.</v>
      </c>
      <c r="C4467" s="1488">
        <f t="shared" si="678"/>
        <v>0</v>
      </c>
      <c r="D4467" s="1413" t="str">
        <f t="shared" si="678"/>
        <v>-</v>
      </c>
      <c r="E4467" s="560">
        <f t="shared" si="678"/>
        <v>52</v>
      </c>
      <c r="F4467" s="1508">
        <f t="shared" si="671"/>
        <v>0</v>
      </c>
      <c r="G4467" s="1508">
        <f t="shared" si="672"/>
        <v>0</v>
      </c>
      <c r="H4467" s="1508">
        <f t="shared" si="673"/>
        <v>0</v>
      </c>
      <c r="I4467" s="1480">
        <v>0</v>
      </c>
      <c r="J4467" s="1480">
        <v>0</v>
      </c>
      <c r="K4467" s="1508"/>
      <c r="L4467" s="1508"/>
      <c r="M4467" s="1509">
        <f t="shared" si="674"/>
        <v>0</v>
      </c>
      <c r="N4467" s="1508">
        <f t="shared" si="675"/>
        <v>0</v>
      </c>
    </row>
    <row r="4468" spans="1:14" ht="46.5" outlineLevel="1" x14ac:dyDescent="0.25">
      <c r="A4468" s="1492">
        <f t="shared" si="678"/>
        <v>0</v>
      </c>
      <c r="B4468" s="1492" t="str">
        <f t="shared" si="678"/>
        <v>DPR for the Supply &amp; Replacement of Platen Superheater, Front Reheater in Unit-7 and Economizer middle &amp; Economizer lower coil assembly in Unit 5 &amp; 6 CSTPS, Chandrapur.</v>
      </c>
      <c r="C4468" s="1488">
        <f t="shared" si="678"/>
        <v>0</v>
      </c>
      <c r="D4468" s="1413" t="str">
        <f t="shared" si="678"/>
        <v>-</v>
      </c>
      <c r="E4468" s="560">
        <f t="shared" si="678"/>
        <v>52</v>
      </c>
      <c r="F4468" s="1508">
        <f t="shared" si="671"/>
        <v>52</v>
      </c>
      <c r="G4468" s="1508">
        <f t="shared" si="672"/>
        <v>52</v>
      </c>
      <c r="H4468" s="1508">
        <f t="shared" si="673"/>
        <v>0</v>
      </c>
      <c r="I4468" s="1480">
        <v>0</v>
      </c>
      <c r="J4468" s="1480">
        <v>0</v>
      </c>
      <c r="K4468" s="1508"/>
      <c r="L4468" s="1508"/>
      <c r="M4468" s="1509">
        <f t="shared" si="674"/>
        <v>0</v>
      </c>
      <c r="N4468" s="1508">
        <f t="shared" si="675"/>
        <v>0</v>
      </c>
    </row>
    <row r="4469" spans="1:14" ht="31" outlineLevel="1" x14ac:dyDescent="0.25">
      <c r="A4469" s="1486">
        <f t="shared" si="678"/>
        <v>9</v>
      </c>
      <c r="B4469" s="1491" t="str">
        <f t="shared" si="678"/>
        <v>DPR for the Supply &amp; Replacement of Front &amp; Rear Reheater coil assemblies and LTSH terminal tube assembly in Boiler Unit 5 &amp; 6</v>
      </c>
      <c r="C4469" s="1488">
        <f t="shared" si="678"/>
        <v>0</v>
      </c>
      <c r="D4469" s="1413" t="str">
        <f t="shared" si="678"/>
        <v>-</v>
      </c>
      <c r="E4469" s="560">
        <f t="shared" si="678"/>
        <v>30</v>
      </c>
      <c r="F4469" s="1508">
        <f t="shared" si="671"/>
        <v>0</v>
      </c>
      <c r="G4469" s="1508">
        <f t="shared" si="672"/>
        <v>0</v>
      </c>
      <c r="H4469" s="1508">
        <f t="shared" si="673"/>
        <v>0</v>
      </c>
      <c r="I4469" s="1480">
        <v>0</v>
      </c>
      <c r="J4469" s="1480">
        <v>0</v>
      </c>
      <c r="K4469" s="1508"/>
      <c r="L4469" s="1508"/>
      <c r="M4469" s="1509">
        <f t="shared" si="674"/>
        <v>0</v>
      </c>
      <c r="N4469" s="1508">
        <f t="shared" si="675"/>
        <v>0</v>
      </c>
    </row>
    <row r="4470" spans="1:14" ht="46.5" outlineLevel="1" x14ac:dyDescent="0.25">
      <c r="A4470" s="1492">
        <f t="shared" si="678"/>
        <v>0</v>
      </c>
      <c r="B4470" s="1492" t="str">
        <f t="shared" si="678"/>
        <v xml:space="preserve">DPR for the Supply &amp; Replacement of Front &amp; Rear Reheater coil assemblies and LTSH terminal tube assembly in Boiler Unit 5 &amp; 6 . </v>
      </c>
      <c r="C4470" s="1488">
        <f t="shared" si="678"/>
        <v>0</v>
      </c>
      <c r="D4470" s="1413" t="str">
        <f t="shared" si="678"/>
        <v>-</v>
      </c>
      <c r="E4470" s="560">
        <f t="shared" si="678"/>
        <v>30</v>
      </c>
      <c r="F4470" s="1508">
        <f t="shared" si="671"/>
        <v>30</v>
      </c>
      <c r="G4470" s="1508">
        <f t="shared" si="672"/>
        <v>30</v>
      </c>
      <c r="H4470" s="1508">
        <f t="shared" si="673"/>
        <v>0</v>
      </c>
      <c r="I4470" s="1480">
        <v>0</v>
      </c>
      <c r="J4470" s="1480">
        <v>0</v>
      </c>
      <c r="K4470" s="1508"/>
      <c r="L4470" s="1508"/>
      <c r="M4470" s="1509">
        <f t="shared" si="674"/>
        <v>0</v>
      </c>
      <c r="N4470" s="1508">
        <f t="shared" si="675"/>
        <v>0</v>
      </c>
    </row>
    <row r="4471" spans="1:14" ht="46.5" outlineLevel="1" x14ac:dyDescent="0.25">
      <c r="A4471" s="1486">
        <f t="shared" si="678"/>
        <v>10</v>
      </c>
      <c r="B4471" s="1491" t="str">
        <f t="shared" si="678"/>
        <v>DPR For Coal Mill Performance Improvement and Life Enhancement of BHEL Make XRP-1043 Coal Mills in Unit 5 &amp; 6 At CSTPS, Chandrapur.</v>
      </c>
      <c r="C4471" s="1488">
        <f t="shared" si="678"/>
        <v>0</v>
      </c>
      <c r="D4471" s="1413" t="str">
        <f t="shared" si="678"/>
        <v>-</v>
      </c>
      <c r="E4471" s="560">
        <f t="shared" si="678"/>
        <v>52.62</v>
      </c>
      <c r="F4471" s="1508">
        <f t="shared" si="671"/>
        <v>0</v>
      </c>
      <c r="G4471" s="1508">
        <f t="shared" si="672"/>
        <v>0</v>
      </c>
      <c r="H4471" s="1508">
        <f t="shared" si="673"/>
        <v>0</v>
      </c>
      <c r="I4471" s="1480">
        <v>0</v>
      </c>
      <c r="J4471" s="1480">
        <v>0</v>
      </c>
      <c r="K4471" s="1508"/>
      <c r="L4471" s="1508"/>
      <c r="M4471" s="1509">
        <f t="shared" si="674"/>
        <v>0</v>
      </c>
      <c r="N4471" s="1508">
        <f t="shared" si="675"/>
        <v>0</v>
      </c>
    </row>
    <row r="4472" spans="1:14" ht="46.5" outlineLevel="1" x14ac:dyDescent="0.25">
      <c r="A4472" s="1492">
        <f t="shared" si="678"/>
        <v>0</v>
      </c>
      <c r="B4472" s="1492" t="str">
        <f t="shared" si="678"/>
        <v>DPR For Coal Mill Performance Improvement and Life Enhancement of BHEL Make XRP-1043 Coal Mills in Unit 5 &amp; 6 At CSTPS, Chandrapur.</v>
      </c>
      <c r="C4472" s="1488">
        <f t="shared" si="678"/>
        <v>0</v>
      </c>
      <c r="D4472" s="1413" t="str">
        <f t="shared" si="678"/>
        <v>-</v>
      </c>
      <c r="E4472" s="560">
        <f t="shared" si="678"/>
        <v>52.62</v>
      </c>
      <c r="F4472" s="1508">
        <f t="shared" si="671"/>
        <v>52.62</v>
      </c>
      <c r="G4472" s="1508">
        <f t="shared" si="672"/>
        <v>52.62</v>
      </c>
      <c r="H4472" s="1508">
        <f t="shared" si="673"/>
        <v>0</v>
      </c>
      <c r="I4472" s="1480">
        <v>0</v>
      </c>
      <c r="J4472" s="1480">
        <v>0</v>
      </c>
      <c r="K4472" s="1508"/>
      <c r="L4472" s="1508"/>
      <c r="M4472" s="1509">
        <f t="shared" si="674"/>
        <v>0</v>
      </c>
      <c r="N4472" s="1508">
        <f t="shared" si="675"/>
        <v>0</v>
      </c>
    </row>
    <row r="4473" spans="1:14" ht="15.5" outlineLevel="1" x14ac:dyDescent="0.25">
      <c r="A4473" s="1504">
        <f t="shared" si="678"/>
        <v>0</v>
      </c>
      <c r="B4473" s="1504" t="str">
        <f t="shared" si="678"/>
        <v>Turbine Maintenance-II</v>
      </c>
      <c r="C4473" s="1488">
        <f t="shared" si="678"/>
        <v>0</v>
      </c>
      <c r="D4473" s="1413" t="str">
        <f t="shared" si="678"/>
        <v>-</v>
      </c>
      <c r="E4473" s="560">
        <f t="shared" si="678"/>
        <v>0</v>
      </c>
      <c r="F4473" s="1508">
        <f t="shared" si="671"/>
        <v>0</v>
      </c>
      <c r="G4473" s="1508">
        <f t="shared" si="672"/>
        <v>0</v>
      </c>
      <c r="H4473" s="1508">
        <f t="shared" si="673"/>
        <v>0</v>
      </c>
      <c r="I4473" s="1480">
        <v>0</v>
      </c>
      <c r="J4473" s="1480">
        <v>0</v>
      </c>
      <c r="K4473" s="1508"/>
      <c r="L4473" s="1508"/>
      <c r="M4473" s="1509">
        <f t="shared" si="674"/>
        <v>0</v>
      </c>
      <c r="N4473" s="1508">
        <f t="shared" si="675"/>
        <v>0</v>
      </c>
    </row>
    <row r="4474" spans="1:14" ht="46.5" outlineLevel="1" x14ac:dyDescent="0.25">
      <c r="A4474" s="1486">
        <f t="shared" si="678"/>
        <v>1</v>
      </c>
      <c r="B4474" s="1491" t="str">
        <f t="shared" si="678"/>
        <v>Post facto DPR for "Urgent restoration and Life Enhancement of Unit#5 500 MW BHEL make Turbo Generator for prolonged efficient operation at Stage-III CSTPS Chandrapur"</v>
      </c>
      <c r="C4474" s="166">
        <f t="shared" si="678"/>
        <v>0</v>
      </c>
      <c r="D4474" s="1413" t="str">
        <f t="shared" si="678"/>
        <v>-</v>
      </c>
      <c r="E4474" s="560">
        <f t="shared" si="678"/>
        <v>25.42</v>
      </c>
      <c r="F4474" s="1508">
        <f t="shared" si="671"/>
        <v>0</v>
      </c>
      <c r="G4474" s="1508">
        <f t="shared" si="672"/>
        <v>0</v>
      </c>
      <c r="H4474" s="1508">
        <f t="shared" si="673"/>
        <v>0</v>
      </c>
      <c r="I4474" s="1480">
        <v>0</v>
      </c>
      <c r="J4474" s="1480">
        <v>0</v>
      </c>
      <c r="K4474" s="1508"/>
      <c r="L4474" s="1508"/>
      <c r="M4474" s="1509">
        <f t="shared" si="674"/>
        <v>0</v>
      </c>
      <c r="N4474" s="1508">
        <f t="shared" si="675"/>
        <v>0</v>
      </c>
    </row>
    <row r="4475" spans="1:14" ht="46.5" outlineLevel="1" x14ac:dyDescent="0.25">
      <c r="A4475" s="1492">
        <f t="shared" si="678"/>
        <v>0</v>
      </c>
      <c r="B4475" s="1492" t="str">
        <f t="shared" si="678"/>
        <v>Post facto DPR for "Urgent restoration and Life Enhancement of Unit#5 500 MW BHEL make Turbo Generator for prolonged efficient operation at Stage-III CSTPS Chandrapur"</v>
      </c>
      <c r="C4475" s="166">
        <f t="shared" si="678"/>
        <v>0</v>
      </c>
      <c r="D4475" s="1413" t="str">
        <f t="shared" si="678"/>
        <v>-</v>
      </c>
      <c r="E4475" s="560">
        <f t="shared" si="678"/>
        <v>25.42</v>
      </c>
      <c r="F4475" s="1508">
        <f t="shared" si="671"/>
        <v>25.42</v>
      </c>
      <c r="G4475" s="1508">
        <f t="shared" si="672"/>
        <v>25.42</v>
      </c>
      <c r="H4475" s="1508">
        <f t="shared" si="673"/>
        <v>0</v>
      </c>
      <c r="I4475" s="1480">
        <v>0</v>
      </c>
      <c r="J4475" s="1480">
        <v>0</v>
      </c>
      <c r="K4475" s="1508"/>
      <c r="L4475" s="1508"/>
      <c r="M4475" s="1509">
        <f t="shared" si="674"/>
        <v>0</v>
      </c>
      <c r="N4475" s="1508">
        <f t="shared" si="675"/>
        <v>0</v>
      </c>
    </row>
    <row r="4476" spans="1:14" ht="31" outlineLevel="1" x14ac:dyDescent="0.25">
      <c r="A4476" s="1486">
        <f t="shared" si="678"/>
        <v>2</v>
      </c>
      <c r="B4476" s="1491" t="str">
        <f t="shared" si="678"/>
        <v>Upgradation and modernization scheme for Air Washer system installed in U-5 &amp; 6, CSTPS, Chandrapur</v>
      </c>
      <c r="C4476" s="1488">
        <f t="shared" si="678"/>
        <v>0</v>
      </c>
      <c r="D4476" s="1413" t="str">
        <f t="shared" si="678"/>
        <v>-</v>
      </c>
      <c r="E4476" s="560">
        <f t="shared" si="678"/>
        <v>25</v>
      </c>
      <c r="F4476" s="1508">
        <f t="shared" si="671"/>
        <v>0</v>
      </c>
      <c r="G4476" s="1508">
        <f t="shared" si="672"/>
        <v>0</v>
      </c>
      <c r="H4476" s="1508">
        <f t="shared" si="673"/>
        <v>0</v>
      </c>
      <c r="I4476" s="1480">
        <v>0</v>
      </c>
      <c r="J4476" s="1480">
        <v>0</v>
      </c>
      <c r="K4476" s="1508"/>
      <c r="L4476" s="1508"/>
      <c r="M4476" s="1509">
        <f t="shared" si="674"/>
        <v>0</v>
      </c>
      <c r="N4476" s="1508">
        <f t="shared" si="675"/>
        <v>0</v>
      </c>
    </row>
    <row r="4477" spans="1:14" ht="46.5" outlineLevel="1" x14ac:dyDescent="0.25">
      <c r="A4477" s="1492">
        <f t="shared" si="678"/>
        <v>0</v>
      </c>
      <c r="B4477" s="1492" t="str">
        <f t="shared" si="678"/>
        <v>Design, Supply, Installation, Testing &amp; commissioning of Energy Efficient Air Washer System for Unit -5 &amp; 6, 500MW, CSTPS, Chandrapur</v>
      </c>
      <c r="C4477" s="1488">
        <f t="shared" si="678"/>
        <v>0</v>
      </c>
      <c r="D4477" s="1413" t="str">
        <f t="shared" si="678"/>
        <v>-</v>
      </c>
      <c r="E4477" s="560">
        <f t="shared" si="678"/>
        <v>25</v>
      </c>
      <c r="F4477" s="1508">
        <f t="shared" si="671"/>
        <v>12.5</v>
      </c>
      <c r="G4477" s="1508">
        <f t="shared" si="672"/>
        <v>12.5</v>
      </c>
      <c r="H4477" s="1508">
        <f t="shared" si="673"/>
        <v>0</v>
      </c>
      <c r="I4477" s="1480">
        <v>6.25</v>
      </c>
      <c r="J4477" s="1480">
        <v>6.25</v>
      </c>
      <c r="K4477" s="1508"/>
      <c r="L4477" s="1508"/>
      <c r="M4477" s="1509">
        <f t="shared" si="674"/>
        <v>6.25</v>
      </c>
      <c r="N4477" s="1508">
        <f t="shared" si="675"/>
        <v>0</v>
      </c>
    </row>
    <row r="4478" spans="1:14" ht="31" outlineLevel="1" x14ac:dyDescent="0.25">
      <c r="A4478" s="1486">
        <f t="shared" ref="A4478:E4493" si="679">A3808</f>
        <v>3</v>
      </c>
      <c r="B4478" s="1491" t="str">
        <f t="shared" si="679"/>
        <v>Schemes for Improvement in availability &amp; performance of feed system for U-5, 6 &amp; 7, CSTPS, Chandrapur</v>
      </c>
      <c r="C4478" s="1488">
        <f t="shared" si="679"/>
        <v>0</v>
      </c>
      <c r="D4478" s="1413" t="str">
        <f t="shared" si="679"/>
        <v>-</v>
      </c>
      <c r="E4478" s="560">
        <f t="shared" si="679"/>
        <v>44.25</v>
      </c>
      <c r="F4478" s="1508">
        <f t="shared" ref="F4478:F4541" si="680">F3808+I3808</f>
        <v>0</v>
      </c>
      <c r="G4478" s="1508">
        <f t="shared" ref="G4478:G4541" si="681">G3808+M3808</f>
        <v>0</v>
      </c>
      <c r="H4478" s="1508">
        <f t="shared" si="673"/>
        <v>0</v>
      </c>
      <c r="I4478" s="1480">
        <v>0</v>
      </c>
      <c r="J4478" s="1480">
        <v>0</v>
      </c>
      <c r="K4478" s="1508"/>
      <c r="L4478" s="1508"/>
      <c r="M4478" s="1509">
        <f t="shared" si="674"/>
        <v>0</v>
      </c>
      <c r="N4478" s="1508">
        <f t="shared" si="675"/>
        <v>0</v>
      </c>
    </row>
    <row r="4479" spans="1:14" ht="31" outlineLevel="1" x14ac:dyDescent="0.25">
      <c r="A4479" s="1492">
        <f t="shared" si="679"/>
        <v>0</v>
      </c>
      <c r="B4479" s="1492" t="str">
        <f t="shared" si="679"/>
        <v>Procurement of BFP Booster Pump assembly for Unit-5, 6 &amp; 7 CSTPS Chandrapur</v>
      </c>
      <c r="C4479" s="1488">
        <f t="shared" si="679"/>
        <v>0</v>
      </c>
      <c r="D4479" s="1413" t="str">
        <f t="shared" si="679"/>
        <v>-</v>
      </c>
      <c r="E4479" s="560">
        <f t="shared" si="679"/>
        <v>7.2</v>
      </c>
      <c r="F4479" s="1508">
        <f t="shared" si="680"/>
        <v>3.2</v>
      </c>
      <c r="G4479" s="1508">
        <f t="shared" si="681"/>
        <v>3.2</v>
      </c>
      <c r="H4479" s="1508">
        <f t="shared" si="673"/>
        <v>0</v>
      </c>
      <c r="I4479" s="1480">
        <v>0</v>
      </c>
      <c r="J4479" s="1480">
        <v>0</v>
      </c>
      <c r="K4479" s="1508"/>
      <c r="L4479" s="1508"/>
      <c r="M4479" s="1509">
        <f t="shared" si="674"/>
        <v>0</v>
      </c>
      <c r="N4479" s="1508">
        <f t="shared" si="675"/>
        <v>0</v>
      </c>
    </row>
    <row r="4480" spans="1:14" ht="31" outlineLevel="1" x14ac:dyDescent="0.25">
      <c r="A4480" s="1492">
        <f t="shared" si="679"/>
        <v>0</v>
      </c>
      <c r="B4480" s="1492" t="str">
        <f t="shared" si="679"/>
        <v>Procurement of Boiler Feed Pump catridge with CI sealing for Unit- 5 &amp; 6 CSTPS Chandrapur</v>
      </c>
      <c r="C4480" s="1488">
        <f t="shared" si="679"/>
        <v>0</v>
      </c>
      <c r="D4480" s="1413" t="str">
        <f t="shared" si="679"/>
        <v>-</v>
      </c>
      <c r="E4480" s="560">
        <f t="shared" si="679"/>
        <v>11.2</v>
      </c>
      <c r="F4480" s="1508">
        <f t="shared" si="680"/>
        <v>5.2</v>
      </c>
      <c r="G4480" s="1508">
        <f t="shared" si="681"/>
        <v>5.2</v>
      </c>
      <c r="H4480" s="1508">
        <f t="shared" si="673"/>
        <v>0</v>
      </c>
      <c r="I4480" s="1480">
        <v>0</v>
      </c>
      <c r="J4480" s="1480">
        <v>0</v>
      </c>
      <c r="K4480" s="1508"/>
      <c r="L4480" s="1508"/>
      <c r="M4480" s="1509">
        <f t="shared" si="674"/>
        <v>0</v>
      </c>
      <c r="N4480" s="1508">
        <f t="shared" si="675"/>
        <v>0</v>
      </c>
    </row>
    <row r="4481" spans="1:14" ht="31" outlineLevel="1" x14ac:dyDescent="0.25">
      <c r="A4481" s="1492">
        <f t="shared" si="679"/>
        <v>0</v>
      </c>
      <c r="B4481" s="1492" t="str">
        <f t="shared" si="679"/>
        <v>Procurement of Modulating type Boiler Feed Pump Recirculation valve  assembly for 500 MW, U-5, 6 &amp; 7</v>
      </c>
      <c r="C4481" s="1488">
        <f t="shared" si="679"/>
        <v>0</v>
      </c>
      <c r="D4481" s="1413" t="str">
        <f t="shared" si="679"/>
        <v>-</v>
      </c>
      <c r="E4481" s="560">
        <f t="shared" si="679"/>
        <v>15.85</v>
      </c>
      <c r="F4481" s="1508">
        <f t="shared" si="680"/>
        <v>15.85</v>
      </c>
      <c r="G4481" s="1508">
        <f t="shared" si="681"/>
        <v>15.85</v>
      </c>
      <c r="H4481" s="1508">
        <f t="shared" si="673"/>
        <v>0</v>
      </c>
      <c r="I4481" s="1480">
        <v>0</v>
      </c>
      <c r="J4481" s="1480">
        <v>0</v>
      </c>
      <c r="K4481" s="1508"/>
      <c r="L4481" s="1508"/>
      <c r="M4481" s="1509">
        <f t="shared" si="674"/>
        <v>0</v>
      </c>
      <c r="N4481" s="1508">
        <f t="shared" si="675"/>
        <v>0</v>
      </c>
    </row>
    <row r="4482" spans="1:14" ht="31" outlineLevel="1" x14ac:dyDescent="0.25">
      <c r="A4482" s="1492">
        <f t="shared" si="679"/>
        <v>0</v>
      </c>
      <c r="B4482" s="1492" t="str">
        <f t="shared" si="679"/>
        <v>Procurement of Fully bladed dynamically balanced Rotor (along with both side coupling hub) for TDBFP Turbine</v>
      </c>
      <c r="C4482" s="1488">
        <f t="shared" si="679"/>
        <v>0</v>
      </c>
      <c r="D4482" s="1413" t="str">
        <f t="shared" si="679"/>
        <v>-</v>
      </c>
      <c r="E4482" s="560">
        <f t="shared" si="679"/>
        <v>8.5</v>
      </c>
      <c r="F4482" s="1508">
        <f t="shared" si="680"/>
        <v>0</v>
      </c>
      <c r="G4482" s="1508">
        <f t="shared" si="681"/>
        <v>0</v>
      </c>
      <c r="H4482" s="1508">
        <f t="shared" si="673"/>
        <v>0</v>
      </c>
      <c r="I4482" s="1480">
        <v>8.5</v>
      </c>
      <c r="J4482" s="1480">
        <v>8.5</v>
      </c>
      <c r="K4482" s="1508"/>
      <c r="L4482" s="1508"/>
      <c r="M4482" s="1509">
        <f t="shared" si="674"/>
        <v>8.5</v>
      </c>
      <c r="N4482" s="1508">
        <f t="shared" si="675"/>
        <v>0</v>
      </c>
    </row>
    <row r="4483" spans="1:14" ht="31" outlineLevel="1" x14ac:dyDescent="0.25">
      <c r="A4483" s="1492">
        <f t="shared" si="679"/>
        <v>0</v>
      </c>
      <c r="B4483" s="1492" t="str">
        <f t="shared" si="679"/>
        <v>Life enhancement and efficiency improvement of 500MW U-5 &amp; 6 TDBFP Lub System</v>
      </c>
      <c r="C4483" s="1488">
        <f t="shared" si="679"/>
        <v>0</v>
      </c>
      <c r="D4483" s="1413" t="str">
        <f t="shared" si="679"/>
        <v>-</v>
      </c>
      <c r="E4483" s="560">
        <f t="shared" si="679"/>
        <v>1.5</v>
      </c>
      <c r="F4483" s="1508">
        <f t="shared" si="680"/>
        <v>1.5</v>
      </c>
      <c r="G4483" s="1508">
        <f t="shared" si="681"/>
        <v>1.5</v>
      </c>
      <c r="H4483" s="1508">
        <f t="shared" si="673"/>
        <v>0</v>
      </c>
      <c r="I4483" s="1480">
        <v>0</v>
      </c>
      <c r="J4483" s="1480">
        <v>0</v>
      </c>
      <c r="K4483" s="1508"/>
      <c r="L4483" s="1508"/>
      <c r="M4483" s="1509">
        <f t="shared" si="674"/>
        <v>0</v>
      </c>
      <c r="N4483" s="1508">
        <f t="shared" si="675"/>
        <v>0</v>
      </c>
    </row>
    <row r="4484" spans="1:14" ht="31" outlineLevel="1" x14ac:dyDescent="0.25">
      <c r="A4484" s="1486">
        <f t="shared" si="679"/>
        <v>4</v>
      </c>
      <c r="B4484" s="1491" t="str">
        <f t="shared" si="679"/>
        <v xml:space="preserve">Life enhancement and Reliability improvement schemes of 500MW Main Turbine Assests </v>
      </c>
      <c r="C4484" s="1488">
        <f t="shared" si="679"/>
        <v>0</v>
      </c>
      <c r="D4484" s="1413" t="str">
        <f t="shared" si="679"/>
        <v>-</v>
      </c>
      <c r="E4484" s="560">
        <f t="shared" si="679"/>
        <v>36.81</v>
      </c>
      <c r="F4484" s="1508">
        <f t="shared" si="680"/>
        <v>0</v>
      </c>
      <c r="G4484" s="1508">
        <f t="shared" si="681"/>
        <v>0</v>
      </c>
      <c r="H4484" s="1508">
        <f t="shared" si="673"/>
        <v>0</v>
      </c>
      <c r="I4484" s="1480">
        <v>0</v>
      </c>
      <c r="J4484" s="1480">
        <v>0</v>
      </c>
      <c r="K4484" s="1508"/>
      <c r="L4484" s="1508"/>
      <c r="M4484" s="1509">
        <f t="shared" si="674"/>
        <v>0</v>
      </c>
      <c r="N4484" s="1508">
        <f t="shared" si="675"/>
        <v>0</v>
      </c>
    </row>
    <row r="4485" spans="1:14" ht="46.5" outlineLevel="1" x14ac:dyDescent="0.25">
      <c r="A4485" s="1492">
        <f t="shared" si="679"/>
        <v>0</v>
      </c>
      <c r="B4485" s="1492" t="str">
        <f t="shared" si="679"/>
        <v>Reliability improvement of Low pressure Turbine by maintaining one set of LP free standing blades as insurance spare</v>
      </c>
      <c r="C4485" s="1488">
        <f t="shared" si="679"/>
        <v>0</v>
      </c>
      <c r="D4485" s="1413" t="str">
        <f t="shared" si="679"/>
        <v>-</v>
      </c>
      <c r="E4485" s="560">
        <f t="shared" si="679"/>
        <v>24</v>
      </c>
      <c r="F4485" s="1508">
        <f t="shared" si="680"/>
        <v>24</v>
      </c>
      <c r="G4485" s="1508">
        <f t="shared" si="681"/>
        <v>24</v>
      </c>
      <c r="H4485" s="1508">
        <f t="shared" si="673"/>
        <v>0</v>
      </c>
      <c r="I4485" s="1480">
        <v>0</v>
      </c>
      <c r="J4485" s="1480">
        <v>0</v>
      </c>
      <c r="K4485" s="1508"/>
      <c r="L4485" s="1508"/>
      <c r="M4485" s="1509">
        <f t="shared" si="674"/>
        <v>0</v>
      </c>
      <c r="N4485" s="1508">
        <f t="shared" si="675"/>
        <v>0</v>
      </c>
    </row>
    <row r="4486" spans="1:14" ht="31" outlineLevel="1" x14ac:dyDescent="0.25">
      <c r="A4486" s="1492">
        <f t="shared" si="679"/>
        <v>0</v>
      </c>
      <c r="B4486" s="1492" t="str">
        <f t="shared" si="679"/>
        <v>Performance and efficiency improvement of 500MW U-5 &amp; 6 High Pressure Turbine module</v>
      </c>
      <c r="C4486" s="1488">
        <f t="shared" si="679"/>
        <v>0</v>
      </c>
      <c r="D4486" s="1413" t="str">
        <f t="shared" si="679"/>
        <v>-</v>
      </c>
      <c r="E4486" s="560">
        <f t="shared" si="679"/>
        <v>9.81</v>
      </c>
      <c r="F4486" s="1508">
        <f t="shared" si="680"/>
        <v>9.81</v>
      </c>
      <c r="G4486" s="1508">
        <f t="shared" si="681"/>
        <v>9.81</v>
      </c>
      <c r="H4486" s="1508">
        <f t="shared" si="673"/>
        <v>0</v>
      </c>
      <c r="I4486" s="1480">
        <v>0</v>
      </c>
      <c r="J4486" s="1480">
        <v>0</v>
      </c>
      <c r="K4486" s="1508"/>
      <c r="L4486" s="1508"/>
      <c r="M4486" s="1509">
        <f t="shared" si="674"/>
        <v>0</v>
      </c>
      <c r="N4486" s="1508">
        <f t="shared" si="675"/>
        <v>0</v>
      </c>
    </row>
    <row r="4487" spans="1:14" ht="31" outlineLevel="1" x14ac:dyDescent="0.25">
      <c r="A4487" s="1492">
        <f t="shared" si="679"/>
        <v>0</v>
      </c>
      <c r="B4487" s="1492" t="str">
        <f t="shared" si="679"/>
        <v xml:space="preserve"> Life enhancement and efficiency improvement of 500MW U-5 &amp; 6 Main TG Lub System</v>
      </c>
      <c r="C4487" s="1488">
        <f t="shared" si="679"/>
        <v>0</v>
      </c>
      <c r="D4487" s="1413" t="str">
        <f t="shared" si="679"/>
        <v>-</v>
      </c>
      <c r="E4487" s="560">
        <f t="shared" si="679"/>
        <v>3</v>
      </c>
      <c r="F4487" s="1508">
        <f t="shared" si="680"/>
        <v>3</v>
      </c>
      <c r="G4487" s="1508">
        <f t="shared" si="681"/>
        <v>3</v>
      </c>
      <c r="H4487" s="1508">
        <f t="shared" si="673"/>
        <v>0</v>
      </c>
      <c r="I4487" s="1480">
        <v>0</v>
      </c>
      <c r="J4487" s="1480">
        <v>0</v>
      </c>
      <c r="K4487" s="1508"/>
      <c r="L4487" s="1508"/>
      <c r="M4487" s="1509">
        <f t="shared" si="674"/>
        <v>0</v>
      </c>
      <c r="N4487" s="1508">
        <f t="shared" si="675"/>
        <v>0</v>
      </c>
    </row>
    <row r="4488" spans="1:14" ht="15.5" outlineLevel="1" x14ac:dyDescent="0.25">
      <c r="A4488" s="1486">
        <f t="shared" si="679"/>
        <v>5</v>
      </c>
      <c r="B4488" s="1491" t="str">
        <f t="shared" si="679"/>
        <v xml:space="preserve"> Reliability improvement of Main Turbine </v>
      </c>
      <c r="C4488" s="1488">
        <f t="shared" si="679"/>
        <v>0</v>
      </c>
      <c r="D4488" s="1413" t="str">
        <f t="shared" si="679"/>
        <v>-</v>
      </c>
      <c r="E4488" s="560">
        <f t="shared" si="679"/>
        <v>45</v>
      </c>
      <c r="F4488" s="1508">
        <f t="shared" si="680"/>
        <v>0</v>
      </c>
      <c r="G4488" s="1508">
        <f t="shared" si="681"/>
        <v>0</v>
      </c>
      <c r="H4488" s="1508">
        <f t="shared" si="673"/>
        <v>0</v>
      </c>
      <c r="I4488" s="1480">
        <v>0</v>
      </c>
      <c r="J4488" s="1480">
        <v>0</v>
      </c>
      <c r="K4488" s="1508"/>
      <c r="L4488" s="1508"/>
      <c r="M4488" s="1509">
        <f t="shared" si="674"/>
        <v>0</v>
      </c>
      <c r="N4488" s="1508">
        <f t="shared" si="675"/>
        <v>0</v>
      </c>
    </row>
    <row r="4489" spans="1:14" ht="31" outlineLevel="1" x14ac:dyDescent="0.25">
      <c r="A4489" s="1492">
        <f t="shared" si="679"/>
        <v>0</v>
      </c>
      <c r="B4489" s="1492" t="str">
        <f t="shared" si="679"/>
        <v>Brief Scope of Work; Procurement of critical spares for Main TG U-5, 6 &amp; 7</v>
      </c>
      <c r="C4489" s="1488">
        <f t="shared" si="679"/>
        <v>0</v>
      </c>
      <c r="D4489" s="1413" t="str">
        <f t="shared" si="679"/>
        <v>-</v>
      </c>
      <c r="E4489" s="560">
        <f t="shared" si="679"/>
        <v>10</v>
      </c>
      <c r="F4489" s="1508">
        <f t="shared" si="680"/>
        <v>10</v>
      </c>
      <c r="G4489" s="1508">
        <f t="shared" si="681"/>
        <v>10</v>
      </c>
      <c r="H4489" s="1508">
        <f t="shared" si="673"/>
        <v>0</v>
      </c>
      <c r="I4489" s="1480">
        <v>0</v>
      </c>
      <c r="J4489" s="1480">
        <v>0</v>
      </c>
      <c r="K4489" s="1508"/>
      <c r="L4489" s="1508"/>
      <c r="M4489" s="1509">
        <f t="shared" si="674"/>
        <v>0</v>
      </c>
      <c r="N4489" s="1508">
        <f t="shared" si="675"/>
        <v>0</v>
      </c>
    </row>
    <row r="4490" spans="1:14" ht="46.5" outlineLevel="1" x14ac:dyDescent="0.25">
      <c r="A4490" s="1492">
        <f t="shared" si="679"/>
        <v>0</v>
      </c>
      <c r="B4490" s="1492" t="str">
        <f t="shared" si="679"/>
        <v xml:space="preserve">Procurement of HP turbine Module along with breach nuts and pipe spool pieces (Type:H30-100-2) for Unit-7, CSTPS, Chandrapur </v>
      </c>
      <c r="C4490" s="1488">
        <f t="shared" si="679"/>
        <v>0</v>
      </c>
      <c r="D4490" s="1413" t="str">
        <f t="shared" si="679"/>
        <v>-</v>
      </c>
      <c r="E4490" s="560">
        <f t="shared" si="679"/>
        <v>35</v>
      </c>
      <c r="F4490" s="1508">
        <f t="shared" si="680"/>
        <v>35</v>
      </c>
      <c r="G4490" s="1508">
        <f t="shared" si="681"/>
        <v>35</v>
      </c>
      <c r="H4490" s="1508">
        <f t="shared" si="673"/>
        <v>0</v>
      </c>
      <c r="I4490" s="1480">
        <v>0</v>
      </c>
      <c r="J4490" s="1480">
        <v>0</v>
      </c>
      <c r="K4490" s="1508"/>
      <c r="L4490" s="1508"/>
      <c r="M4490" s="1509">
        <f t="shared" si="674"/>
        <v>0</v>
      </c>
      <c r="N4490" s="1508">
        <f t="shared" si="675"/>
        <v>0</v>
      </c>
    </row>
    <row r="4491" spans="1:14" ht="31" outlineLevel="1" x14ac:dyDescent="0.25">
      <c r="A4491" s="1486">
        <f t="shared" si="679"/>
        <v>6</v>
      </c>
      <c r="B4491" s="1491" t="str">
        <f t="shared" si="679"/>
        <v xml:space="preserve">Reliability improvement of IP Turbine for 500 MW Main TG U-5 &amp; 6 </v>
      </c>
      <c r="C4491" s="1488">
        <f t="shared" si="679"/>
        <v>0</v>
      </c>
      <c r="D4491" s="1413" t="str">
        <f t="shared" si="679"/>
        <v>-</v>
      </c>
      <c r="E4491" s="560">
        <f t="shared" si="679"/>
        <v>35</v>
      </c>
      <c r="F4491" s="1508">
        <f t="shared" si="680"/>
        <v>0</v>
      </c>
      <c r="G4491" s="1508">
        <f t="shared" si="681"/>
        <v>0</v>
      </c>
      <c r="H4491" s="1508">
        <f t="shared" si="673"/>
        <v>0</v>
      </c>
      <c r="I4491" s="1480">
        <v>0</v>
      </c>
      <c r="J4491" s="1480">
        <v>0</v>
      </c>
      <c r="K4491" s="1508"/>
      <c r="L4491" s="1508"/>
      <c r="M4491" s="1509">
        <f t="shared" si="674"/>
        <v>0</v>
      </c>
      <c r="N4491" s="1508">
        <f t="shared" si="675"/>
        <v>0</v>
      </c>
    </row>
    <row r="4492" spans="1:14" ht="46.5" outlineLevel="1" x14ac:dyDescent="0.25">
      <c r="A4492" s="1492">
        <f t="shared" si="679"/>
        <v>0</v>
      </c>
      <c r="B4492" s="1492" t="str">
        <f t="shared" si="679"/>
        <v>Procurement of Fully Bladed &amp; Dynamically Balanced IP Rotor (M 30-50) for 500MW Unit-5 &amp; 6, CSTPS, Chandrapur under Capital Nature items.</v>
      </c>
      <c r="C4492" s="1488">
        <f t="shared" si="679"/>
        <v>0</v>
      </c>
      <c r="D4492" s="1413" t="str">
        <f t="shared" si="679"/>
        <v>-</v>
      </c>
      <c r="E4492" s="560">
        <f t="shared" si="679"/>
        <v>35</v>
      </c>
      <c r="F4492" s="1508">
        <f t="shared" si="680"/>
        <v>35</v>
      </c>
      <c r="G4492" s="1508">
        <f t="shared" si="681"/>
        <v>35</v>
      </c>
      <c r="H4492" s="1508">
        <f t="shared" ref="H4492:H4555" si="682">F4492-G4492</f>
        <v>0</v>
      </c>
      <c r="I4492" s="1480">
        <v>0</v>
      </c>
      <c r="J4492" s="1480">
        <v>0</v>
      </c>
      <c r="K4492" s="1508"/>
      <c r="L4492" s="1508"/>
      <c r="M4492" s="1509">
        <f t="shared" ref="M4492:M4555" si="683">SUM(J4492:L4492)</f>
        <v>0</v>
      </c>
      <c r="N4492" s="1508">
        <f t="shared" ref="N4492:N4555" si="684">H4492+I4492-M4492</f>
        <v>0</v>
      </c>
    </row>
    <row r="4493" spans="1:14" ht="15.5" outlineLevel="1" x14ac:dyDescent="0.25">
      <c r="A4493" s="1486">
        <f t="shared" si="679"/>
        <v>7</v>
      </c>
      <c r="B4493" s="1491" t="str">
        <f t="shared" si="679"/>
        <v>Energy saving in Air compressors</v>
      </c>
      <c r="C4493" s="1488">
        <f t="shared" si="679"/>
        <v>0</v>
      </c>
      <c r="D4493" s="1413" t="str">
        <f t="shared" si="679"/>
        <v>-</v>
      </c>
      <c r="E4493" s="560">
        <f t="shared" si="679"/>
        <v>30</v>
      </c>
      <c r="F4493" s="1508">
        <f t="shared" si="680"/>
        <v>0</v>
      </c>
      <c r="G4493" s="1508">
        <f t="shared" si="681"/>
        <v>0</v>
      </c>
      <c r="H4493" s="1508">
        <f t="shared" si="682"/>
        <v>0</v>
      </c>
      <c r="I4493" s="1480">
        <v>0</v>
      </c>
      <c r="J4493" s="1480">
        <v>0</v>
      </c>
      <c r="K4493" s="1508"/>
      <c r="L4493" s="1508"/>
      <c r="M4493" s="1509">
        <f t="shared" si="683"/>
        <v>0</v>
      </c>
      <c r="N4493" s="1508">
        <f t="shared" si="684"/>
        <v>0</v>
      </c>
    </row>
    <row r="4494" spans="1:14" ht="31" outlineLevel="1" x14ac:dyDescent="0.25">
      <c r="A4494" s="1492">
        <f t="shared" ref="A4494:E4509" si="685">A3824</f>
        <v>0</v>
      </c>
      <c r="B4494" s="1492" t="str">
        <f t="shared" si="685"/>
        <v>Air Compressor Unit-7 to be replaced in a phased manner with energy efficient compressor</v>
      </c>
      <c r="C4494" s="1488">
        <f t="shared" si="685"/>
        <v>0</v>
      </c>
      <c r="D4494" s="1413" t="str">
        <f t="shared" si="685"/>
        <v>-</v>
      </c>
      <c r="E4494" s="560">
        <f t="shared" si="685"/>
        <v>30</v>
      </c>
      <c r="F4494" s="1508">
        <f t="shared" si="680"/>
        <v>0</v>
      </c>
      <c r="G4494" s="1508">
        <f t="shared" si="681"/>
        <v>0</v>
      </c>
      <c r="H4494" s="1508">
        <f t="shared" si="682"/>
        <v>0</v>
      </c>
      <c r="I4494" s="1480">
        <v>0</v>
      </c>
      <c r="J4494" s="1480">
        <v>0</v>
      </c>
      <c r="K4494" s="1508"/>
      <c r="L4494" s="1508"/>
      <c r="M4494" s="1509">
        <f t="shared" si="683"/>
        <v>0</v>
      </c>
      <c r="N4494" s="1508">
        <f t="shared" si="684"/>
        <v>0</v>
      </c>
    </row>
    <row r="4495" spans="1:14" ht="15.5" outlineLevel="1" x14ac:dyDescent="0.25">
      <c r="A4495" s="1486">
        <f t="shared" si="685"/>
        <v>8</v>
      </c>
      <c r="B4495" s="1491" t="str">
        <f t="shared" si="685"/>
        <v>Efficiency Upgrade of AC Plant of Unit-5 &amp; 6</v>
      </c>
      <c r="C4495" s="1488">
        <f t="shared" si="685"/>
        <v>0</v>
      </c>
      <c r="D4495" s="1413" t="str">
        <f t="shared" si="685"/>
        <v>-</v>
      </c>
      <c r="E4495" s="560">
        <f t="shared" si="685"/>
        <v>50</v>
      </c>
      <c r="F4495" s="1508">
        <f t="shared" si="680"/>
        <v>0</v>
      </c>
      <c r="G4495" s="1508">
        <f t="shared" si="681"/>
        <v>0</v>
      </c>
      <c r="H4495" s="1508">
        <f t="shared" si="682"/>
        <v>0</v>
      </c>
      <c r="I4495" s="1480">
        <v>0</v>
      </c>
      <c r="J4495" s="1480">
        <v>0</v>
      </c>
      <c r="K4495" s="1508"/>
      <c r="L4495" s="1508"/>
      <c r="M4495" s="1509">
        <f t="shared" si="683"/>
        <v>0</v>
      </c>
      <c r="N4495" s="1508">
        <f t="shared" si="684"/>
        <v>0</v>
      </c>
    </row>
    <row r="4496" spans="1:14" ht="46.5" outlineLevel="1" x14ac:dyDescent="0.25">
      <c r="A4496" s="1492">
        <f t="shared" si="685"/>
        <v>0</v>
      </c>
      <c r="B4496" s="1492" t="str">
        <f t="shared" si="685"/>
        <v>Design, Manufacture, Supply, Erection &amp; Commissioning,environment friendly, Efficiency Upgrade of AC Plant of Unit-5 &amp; 6</v>
      </c>
      <c r="C4496" s="1488">
        <f t="shared" si="685"/>
        <v>0</v>
      </c>
      <c r="D4496" s="1413" t="str">
        <f t="shared" si="685"/>
        <v>-</v>
      </c>
      <c r="E4496" s="560">
        <f t="shared" si="685"/>
        <v>50</v>
      </c>
      <c r="F4496" s="1508">
        <f t="shared" si="680"/>
        <v>0</v>
      </c>
      <c r="G4496" s="1508">
        <f t="shared" si="681"/>
        <v>0</v>
      </c>
      <c r="H4496" s="1508">
        <f t="shared" si="682"/>
        <v>0</v>
      </c>
      <c r="I4496" s="1480">
        <v>25</v>
      </c>
      <c r="J4496" s="1480">
        <v>25</v>
      </c>
      <c r="K4496" s="1508"/>
      <c r="L4496" s="1508"/>
      <c r="M4496" s="1509">
        <f t="shared" si="683"/>
        <v>25</v>
      </c>
      <c r="N4496" s="1508">
        <f t="shared" si="684"/>
        <v>0</v>
      </c>
    </row>
    <row r="4497" spans="1:14" ht="15.5" outlineLevel="1" x14ac:dyDescent="0.25">
      <c r="A4497" s="1504">
        <f t="shared" si="685"/>
        <v>0</v>
      </c>
      <c r="B4497" s="1504" t="str">
        <f t="shared" si="685"/>
        <v>Electrical Maintenance-II</v>
      </c>
      <c r="C4497" s="1488">
        <f t="shared" si="685"/>
        <v>0</v>
      </c>
      <c r="D4497" s="1413" t="str">
        <f t="shared" si="685"/>
        <v>-</v>
      </c>
      <c r="E4497" s="560">
        <f t="shared" si="685"/>
        <v>0</v>
      </c>
      <c r="F4497" s="1508">
        <f t="shared" si="680"/>
        <v>0</v>
      </c>
      <c r="G4497" s="1508">
        <f t="shared" si="681"/>
        <v>0</v>
      </c>
      <c r="H4497" s="1508">
        <f t="shared" si="682"/>
        <v>0</v>
      </c>
      <c r="I4497" s="1480">
        <v>0</v>
      </c>
      <c r="J4497" s="1480">
        <v>0</v>
      </c>
      <c r="K4497" s="1508"/>
      <c r="L4497" s="1508"/>
      <c r="M4497" s="1509">
        <f t="shared" si="683"/>
        <v>0</v>
      </c>
      <c r="N4497" s="1508">
        <f t="shared" si="684"/>
        <v>0</v>
      </c>
    </row>
    <row r="4498" spans="1:14" ht="139.5" outlineLevel="1" x14ac:dyDescent="0.25">
      <c r="A4498" s="1486">
        <f t="shared" si="685"/>
        <v>1</v>
      </c>
      <c r="B4498" s="1491" t="str">
        <f t="shared" si="685"/>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4498" s="1488">
        <f t="shared" si="685"/>
        <v>0</v>
      </c>
      <c r="D4498" s="1413" t="str">
        <f t="shared" si="685"/>
        <v>-</v>
      </c>
      <c r="E4498" s="560">
        <f t="shared" si="685"/>
        <v>25.07</v>
      </c>
      <c r="F4498" s="1508">
        <f t="shared" si="680"/>
        <v>0</v>
      </c>
      <c r="G4498" s="1508">
        <f t="shared" si="681"/>
        <v>0</v>
      </c>
      <c r="H4498" s="1508">
        <f t="shared" si="682"/>
        <v>0</v>
      </c>
      <c r="I4498" s="1480">
        <v>0</v>
      </c>
      <c r="J4498" s="1480">
        <v>0</v>
      </c>
      <c r="K4498" s="1508"/>
      <c r="L4498" s="1508"/>
      <c r="M4498" s="1509">
        <f t="shared" si="683"/>
        <v>0</v>
      </c>
      <c r="N4498" s="1508">
        <f t="shared" si="684"/>
        <v>0</v>
      </c>
    </row>
    <row r="4499" spans="1:14" ht="77.5" outlineLevel="1" x14ac:dyDescent="0.25">
      <c r="A4499" s="1492">
        <f t="shared" si="685"/>
        <v>0</v>
      </c>
      <c r="B4499" s="1492" t="str">
        <f t="shared" si="685"/>
        <v>Supply, Installation, Testing, Commissioning for complete solution and comprehensive protection and monitoring package along with retrofit of allied accessories for Generator Transformers for 3 X 500 MW Unit#5,6&amp;7 500MW Stage-III CSTPS Chandrapur.</v>
      </c>
      <c r="C4499" s="1488">
        <f t="shared" si="685"/>
        <v>0</v>
      </c>
      <c r="D4499" s="1413" t="str">
        <f t="shared" si="685"/>
        <v>-</v>
      </c>
      <c r="E4499" s="560">
        <f t="shared" si="685"/>
        <v>15.07</v>
      </c>
      <c r="F4499" s="1508">
        <f t="shared" si="680"/>
        <v>15.07</v>
      </c>
      <c r="G4499" s="1508">
        <f t="shared" si="681"/>
        <v>15.07</v>
      </c>
      <c r="H4499" s="1508">
        <f t="shared" si="682"/>
        <v>0</v>
      </c>
      <c r="I4499" s="1480">
        <v>0</v>
      </c>
      <c r="J4499" s="1480">
        <v>0</v>
      </c>
      <c r="K4499" s="1508"/>
      <c r="L4499" s="1508"/>
      <c r="M4499" s="1509">
        <f t="shared" si="683"/>
        <v>0</v>
      </c>
      <c r="N4499" s="1508">
        <f t="shared" si="684"/>
        <v>0</v>
      </c>
    </row>
    <row r="4500" spans="1:14" ht="108.5" outlineLevel="1" x14ac:dyDescent="0.25">
      <c r="A4500" s="1492">
        <f t="shared" si="685"/>
        <v>0</v>
      </c>
      <c r="B4500" s="1492" t="str">
        <f t="shared" si="685"/>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4500" s="1488">
        <f t="shared" si="685"/>
        <v>0</v>
      </c>
      <c r="D4500" s="1413" t="str">
        <f t="shared" si="685"/>
        <v>-</v>
      </c>
      <c r="E4500" s="560">
        <f t="shared" si="685"/>
        <v>10</v>
      </c>
      <c r="F4500" s="1508">
        <f t="shared" si="680"/>
        <v>10</v>
      </c>
      <c r="G4500" s="1508">
        <f t="shared" si="681"/>
        <v>10</v>
      </c>
      <c r="H4500" s="1508">
        <f t="shared" si="682"/>
        <v>0</v>
      </c>
      <c r="I4500" s="1480">
        <v>0</v>
      </c>
      <c r="J4500" s="1480">
        <v>0</v>
      </c>
      <c r="K4500" s="1508"/>
      <c r="L4500" s="1508"/>
      <c r="M4500" s="1509">
        <f t="shared" si="683"/>
        <v>0</v>
      </c>
      <c r="N4500" s="1508">
        <f t="shared" si="684"/>
        <v>0</v>
      </c>
    </row>
    <row r="4501" spans="1:14" ht="31" outlineLevel="1" x14ac:dyDescent="0.25">
      <c r="A4501" s="1486">
        <f t="shared" si="685"/>
        <v>2</v>
      </c>
      <c r="B4501" s="1491" t="str">
        <f t="shared" si="685"/>
        <v>DPR for Life enhancement and Energy efficiency of Critical HT Auxiliaries of Unit#3 to 7, CSTPS, Chandrapur</v>
      </c>
      <c r="C4501" s="1488">
        <f t="shared" si="685"/>
        <v>0</v>
      </c>
      <c r="D4501" s="1413" t="str">
        <f t="shared" si="685"/>
        <v>-</v>
      </c>
      <c r="E4501" s="560">
        <f t="shared" si="685"/>
        <v>44.31</v>
      </c>
      <c r="F4501" s="1508">
        <f t="shared" si="680"/>
        <v>0</v>
      </c>
      <c r="G4501" s="1508">
        <f t="shared" si="681"/>
        <v>0</v>
      </c>
      <c r="H4501" s="1508">
        <f t="shared" si="682"/>
        <v>0</v>
      </c>
      <c r="I4501" s="1480">
        <v>0</v>
      </c>
      <c r="J4501" s="1480">
        <v>0</v>
      </c>
      <c r="K4501" s="1508"/>
      <c r="L4501" s="1508"/>
      <c r="M4501" s="1509">
        <f t="shared" si="683"/>
        <v>0</v>
      </c>
      <c r="N4501" s="1508">
        <f t="shared" si="684"/>
        <v>0</v>
      </c>
    </row>
    <row r="4502" spans="1:14" ht="31" outlineLevel="1" x14ac:dyDescent="0.25">
      <c r="A4502" s="1492">
        <f t="shared" si="685"/>
        <v>0</v>
      </c>
      <c r="B4502" s="1492" t="str">
        <f t="shared" si="685"/>
        <v>Life enhancement and Energy efficiency of Critical HT Auxiliaries of Unit#3 to 7, CSTPS, Chandrapur</v>
      </c>
      <c r="C4502" s="1488">
        <f t="shared" si="685"/>
        <v>0</v>
      </c>
      <c r="D4502" s="1413" t="str">
        <f t="shared" si="685"/>
        <v>-</v>
      </c>
      <c r="E4502" s="560">
        <f t="shared" si="685"/>
        <v>44.31</v>
      </c>
      <c r="F4502" s="1508">
        <f t="shared" si="680"/>
        <v>44.31</v>
      </c>
      <c r="G4502" s="1508">
        <f t="shared" si="681"/>
        <v>44.31</v>
      </c>
      <c r="H4502" s="1508">
        <f t="shared" si="682"/>
        <v>0</v>
      </c>
      <c r="I4502" s="1480">
        <v>0</v>
      </c>
      <c r="J4502" s="1480">
        <v>0</v>
      </c>
      <c r="K4502" s="1508"/>
      <c r="L4502" s="1508"/>
      <c r="M4502" s="1509">
        <f t="shared" si="683"/>
        <v>0</v>
      </c>
      <c r="N4502" s="1508">
        <f t="shared" si="684"/>
        <v>0</v>
      </c>
    </row>
    <row r="4503" spans="1:14" ht="31" outlineLevel="1" x14ac:dyDescent="0.25">
      <c r="A4503" s="1486">
        <f t="shared" si="685"/>
        <v>3</v>
      </c>
      <c r="B4503" s="1491" t="str">
        <f t="shared" si="685"/>
        <v>DPR for “Supply &amp; Installation of energy saving plates for Energy Conservation  at 3X500MW, CSTPS, Chandrapur.”</v>
      </c>
      <c r="C4503" s="1488">
        <f t="shared" si="685"/>
        <v>0</v>
      </c>
      <c r="D4503" s="1413" t="str">
        <f t="shared" si="685"/>
        <v>-</v>
      </c>
      <c r="E4503" s="560">
        <f t="shared" si="685"/>
        <v>25</v>
      </c>
      <c r="F4503" s="1508">
        <f t="shared" si="680"/>
        <v>0</v>
      </c>
      <c r="G4503" s="1508">
        <f t="shared" si="681"/>
        <v>0</v>
      </c>
      <c r="H4503" s="1508">
        <f t="shared" si="682"/>
        <v>0</v>
      </c>
      <c r="I4503" s="1480">
        <v>0</v>
      </c>
      <c r="J4503" s="1480">
        <v>0</v>
      </c>
      <c r="K4503" s="1508"/>
      <c r="L4503" s="1508"/>
      <c r="M4503" s="1509">
        <f t="shared" si="683"/>
        <v>0</v>
      </c>
      <c r="N4503" s="1508">
        <f t="shared" si="684"/>
        <v>0</v>
      </c>
    </row>
    <row r="4504" spans="1:14" ht="31" outlineLevel="1" x14ac:dyDescent="0.25">
      <c r="A4504" s="1492">
        <f t="shared" si="685"/>
        <v>0</v>
      </c>
      <c r="B4504" s="1492" t="str">
        <f t="shared" si="685"/>
        <v>Supply &amp; Installation of energy saving plates for Energy Conservation  at 3X500MW, CSTPS, Chandrapur.</v>
      </c>
      <c r="C4504" s="1488">
        <f t="shared" si="685"/>
        <v>0</v>
      </c>
      <c r="D4504" s="1413" t="str">
        <f t="shared" si="685"/>
        <v>-</v>
      </c>
      <c r="E4504" s="560">
        <f t="shared" si="685"/>
        <v>25</v>
      </c>
      <c r="F4504" s="1508">
        <f t="shared" si="680"/>
        <v>0</v>
      </c>
      <c r="G4504" s="1508">
        <f t="shared" si="681"/>
        <v>0</v>
      </c>
      <c r="H4504" s="1508">
        <f t="shared" si="682"/>
        <v>0</v>
      </c>
      <c r="I4504" s="1480">
        <v>0</v>
      </c>
      <c r="J4504" s="1480">
        <v>0</v>
      </c>
      <c r="K4504" s="1508"/>
      <c r="L4504" s="1508"/>
      <c r="M4504" s="1509">
        <f t="shared" si="683"/>
        <v>0</v>
      </c>
      <c r="N4504" s="1508">
        <f t="shared" si="684"/>
        <v>0</v>
      </c>
    </row>
    <row r="4505" spans="1:14" ht="108.5" outlineLevel="1" x14ac:dyDescent="0.25">
      <c r="A4505" s="1486">
        <f t="shared" si="685"/>
        <v>4</v>
      </c>
      <c r="B4505" s="1491" t="str">
        <f t="shared" si="685"/>
        <v>DPR for "Complete renovation of Chimney elevator ) of Unit-5,6,7" &amp;
Complete revamping of chimney aviation obstruction lights (AOL) &amp; other associated spares installed at unit#5,6&amp;7 CSTPS Chandrapur. &amp;
DPR for “Provision of 11KV supply to Aundha pump house from Unit 5,6&amp;7.”</v>
      </c>
      <c r="C4505" s="1488">
        <f t="shared" si="685"/>
        <v>0</v>
      </c>
      <c r="D4505" s="1413" t="str">
        <f t="shared" si="685"/>
        <v>-</v>
      </c>
      <c r="E4505" s="560">
        <f t="shared" si="685"/>
        <v>38</v>
      </c>
      <c r="F4505" s="1508">
        <f t="shared" si="680"/>
        <v>0</v>
      </c>
      <c r="G4505" s="1508">
        <f t="shared" si="681"/>
        <v>0</v>
      </c>
      <c r="H4505" s="1508">
        <f t="shared" si="682"/>
        <v>0</v>
      </c>
      <c r="I4505" s="1480">
        <v>0</v>
      </c>
      <c r="J4505" s="1480">
        <v>0</v>
      </c>
      <c r="K4505" s="1508"/>
      <c r="L4505" s="1508"/>
      <c r="M4505" s="1509">
        <f t="shared" si="683"/>
        <v>0</v>
      </c>
      <c r="N4505" s="1508">
        <f t="shared" si="684"/>
        <v>0</v>
      </c>
    </row>
    <row r="4506" spans="1:14" ht="46.5" outlineLevel="1" x14ac:dyDescent="0.25">
      <c r="A4506" s="1492">
        <f t="shared" si="685"/>
        <v>0</v>
      </c>
      <c r="B4506" s="1492" t="str">
        <f t="shared" si="685"/>
        <v xml:space="preserve">Complete renovation of Chimney elevator of Unit-5,6,7
</v>
      </c>
      <c r="C4506" s="1488">
        <f t="shared" si="685"/>
        <v>0</v>
      </c>
      <c r="D4506" s="1413" t="str">
        <f t="shared" si="685"/>
        <v>-</v>
      </c>
      <c r="E4506" s="560">
        <f t="shared" si="685"/>
        <v>10</v>
      </c>
      <c r="F4506" s="1508">
        <f t="shared" si="680"/>
        <v>10</v>
      </c>
      <c r="G4506" s="1508">
        <f t="shared" si="681"/>
        <v>10</v>
      </c>
      <c r="H4506" s="1508">
        <f t="shared" si="682"/>
        <v>0</v>
      </c>
      <c r="I4506" s="1480">
        <v>0</v>
      </c>
      <c r="J4506" s="1480">
        <v>0</v>
      </c>
      <c r="K4506" s="1508"/>
      <c r="L4506" s="1508"/>
      <c r="M4506" s="1509">
        <f t="shared" si="683"/>
        <v>0</v>
      </c>
      <c r="N4506" s="1508">
        <f t="shared" si="684"/>
        <v>0</v>
      </c>
    </row>
    <row r="4507" spans="1:14" ht="46.5" outlineLevel="1" x14ac:dyDescent="0.25">
      <c r="A4507" s="1492">
        <f t="shared" si="685"/>
        <v>0</v>
      </c>
      <c r="B4507" s="1492" t="str">
        <f t="shared" si="685"/>
        <v>Complete revamping of chimney aviation obstruction lights (AOL) &amp; other associated spares installed at unit#5,6&amp;7 CSTPS Chandrapur.</v>
      </c>
      <c r="C4507" s="1488">
        <f t="shared" si="685"/>
        <v>0</v>
      </c>
      <c r="D4507" s="1413" t="str">
        <f t="shared" si="685"/>
        <v>-</v>
      </c>
      <c r="E4507" s="560">
        <f t="shared" si="685"/>
        <v>3</v>
      </c>
      <c r="F4507" s="1508">
        <f t="shared" si="680"/>
        <v>3</v>
      </c>
      <c r="G4507" s="1508">
        <f t="shared" si="681"/>
        <v>3</v>
      </c>
      <c r="H4507" s="1508">
        <f t="shared" si="682"/>
        <v>0</v>
      </c>
      <c r="I4507" s="1480">
        <v>0</v>
      </c>
      <c r="J4507" s="1480">
        <v>0</v>
      </c>
      <c r="K4507" s="1508"/>
      <c r="L4507" s="1508"/>
      <c r="M4507" s="1509">
        <f t="shared" si="683"/>
        <v>0</v>
      </c>
      <c r="N4507" s="1508">
        <f t="shared" si="684"/>
        <v>0</v>
      </c>
    </row>
    <row r="4508" spans="1:14" ht="31" outlineLevel="1" x14ac:dyDescent="0.25">
      <c r="A4508" s="1492">
        <f t="shared" si="685"/>
        <v>0</v>
      </c>
      <c r="B4508" s="1492" t="str">
        <f t="shared" si="685"/>
        <v>Provision of 11KV supply to Aundha pump house from U 5,6&amp;7 Station boards.</v>
      </c>
      <c r="C4508" s="1488">
        <f t="shared" si="685"/>
        <v>0</v>
      </c>
      <c r="D4508" s="1413" t="str">
        <f t="shared" si="685"/>
        <v>-</v>
      </c>
      <c r="E4508" s="560">
        <f t="shared" si="685"/>
        <v>25</v>
      </c>
      <c r="F4508" s="1508">
        <f t="shared" si="680"/>
        <v>25</v>
      </c>
      <c r="G4508" s="1508">
        <f t="shared" si="681"/>
        <v>25</v>
      </c>
      <c r="H4508" s="1508">
        <f t="shared" si="682"/>
        <v>0</v>
      </c>
      <c r="I4508" s="1480">
        <v>0</v>
      </c>
      <c r="J4508" s="1480">
        <v>0</v>
      </c>
      <c r="K4508" s="1508"/>
      <c r="L4508" s="1508"/>
      <c r="M4508" s="1509">
        <f t="shared" si="683"/>
        <v>0</v>
      </c>
      <c r="N4508" s="1508">
        <f t="shared" si="684"/>
        <v>0</v>
      </c>
    </row>
    <row r="4509" spans="1:14" ht="62" outlineLevel="1" x14ac:dyDescent="0.25">
      <c r="A4509" s="1486">
        <f t="shared" si="685"/>
        <v>5</v>
      </c>
      <c r="B4509" s="1491" t="str">
        <f t="shared" si="685"/>
        <v xml:space="preserve">DPR for Energy saving by installation of VFD for CEP motors at Unit#5 to 9, CSTPS, Chandrapur.
</v>
      </c>
      <c r="C4509" s="1488">
        <f t="shared" si="685"/>
        <v>0</v>
      </c>
      <c r="D4509" s="1413" t="str">
        <f t="shared" si="685"/>
        <v>-</v>
      </c>
      <c r="E4509" s="560">
        <f t="shared" si="685"/>
        <v>26</v>
      </c>
      <c r="F4509" s="1508">
        <f t="shared" si="680"/>
        <v>0</v>
      </c>
      <c r="G4509" s="1508">
        <f t="shared" si="681"/>
        <v>0</v>
      </c>
      <c r="H4509" s="1508">
        <f t="shared" si="682"/>
        <v>0</v>
      </c>
      <c r="I4509" s="1480">
        <v>0</v>
      </c>
      <c r="J4509" s="1480">
        <v>0</v>
      </c>
      <c r="K4509" s="1508"/>
      <c r="L4509" s="1508"/>
      <c r="M4509" s="1509">
        <f t="shared" si="683"/>
        <v>0</v>
      </c>
      <c r="N4509" s="1508">
        <f t="shared" si="684"/>
        <v>0</v>
      </c>
    </row>
    <row r="4510" spans="1:14" ht="62" outlineLevel="1" x14ac:dyDescent="0.25">
      <c r="A4510" s="1492">
        <f t="shared" ref="A4510:E4525" si="686">A3840</f>
        <v>0</v>
      </c>
      <c r="B4510" s="1492" t="str">
        <f t="shared" si="686"/>
        <v xml:space="preserve">Energy saving by installation of VFD for CEP motors at Unit#5 to 9, CSTPS, Chandrapur.
</v>
      </c>
      <c r="C4510" s="1488">
        <f t="shared" si="686"/>
        <v>0</v>
      </c>
      <c r="D4510" s="1413" t="str">
        <f t="shared" si="686"/>
        <v>-</v>
      </c>
      <c r="E4510" s="560">
        <f t="shared" si="686"/>
        <v>26</v>
      </c>
      <c r="F4510" s="1508">
        <f t="shared" si="680"/>
        <v>26</v>
      </c>
      <c r="G4510" s="1508">
        <f t="shared" si="681"/>
        <v>26</v>
      </c>
      <c r="H4510" s="1508">
        <f t="shared" si="682"/>
        <v>0</v>
      </c>
      <c r="I4510" s="1480">
        <v>0</v>
      </c>
      <c r="J4510" s="1480">
        <v>0</v>
      </c>
      <c r="K4510" s="1508"/>
      <c r="L4510" s="1508"/>
      <c r="M4510" s="1509">
        <f t="shared" si="683"/>
        <v>0</v>
      </c>
      <c r="N4510" s="1508">
        <f t="shared" si="684"/>
        <v>0</v>
      </c>
    </row>
    <row r="4511" spans="1:14" ht="31" outlineLevel="1" x14ac:dyDescent="0.25">
      <c r="A4511" s="1486">
        <f t="shared" si="686"/>
        <v>6</v>
      </c>
      <c r="B4511" s="1491" t="str">
        <f t="shared" si="686"/>
        <v>DPR for Energy saving by installation of VFD for PA Fan &amp; ID Fan  motors at Unit#5 to 9, CSTPS, Chandrapur.</v>
      </c>
      <c r="C4511" s="1488">
        <f t="shared" si="686"/>
        <v>0</v>
      </c>
      <c r="D4511" s="1413" t="str">
        <f t="shared" si="686"/>
        <v>-</v>
      </c>
      <c r="E4511" s="560">
        <f t="shared" si="686"/>
        <v>25</v>
      </c>
      <c r="F4511" s="1508">
        <f t="shared" si="680"/>
        <v>0</v>
      </c>
      <c r="G4511" s="1508">
        <f t="shared" si="681"/>
        <v>0</v>
      </c>
      <c r="H4511" s="1508">
        <f t="shared" si="682"/>
        <v>0</v>
      </c>
      <c r="I4511" s="1480">
        <v>0</v>
      </c>
      <c r="J4511" s="1480">
        <v>0</v>
      </c>
      <c r="K4511" s="1508"/>
      <c r="L4511" s="1508"/>
      <c r="M4511" s="1509">
        <f t="shared" si="683"/>
        <v>0</v>
      </c>
      <c r="N4511" s="1508">
        <f t="shared" si="684"/>
        <v>0</v>
      </c>
    </row>
    <row r="4512" spans="1:14" ht="31" outlineLevel="1" x14ac:dyDescent="0.25">
      <c r="A4512" s="1492">
        <f t="shared" si="686"/>
        <v>0</v>
      </c>
      <c r="B4512" s="1492" t="str">
        <f t="shared" si="686"/>
        <v>Energy saving by installation of VFD for PA Fan &amp; ID Fan  motors at Unit#5 to 9, CSTPS, Chandrapur.</v>
      </c>
      <c r="C4512" s="1488">
        <f t="shared" si="686"/>
        <v>0</v>
      </c>
      <c r="D4512" s="1413" t="str">
        <f t="shared" si="686"/>
        <v>-</v>
      </c>
      <c r="E4512" s="560">
        <f t="shared" si="686"/>
        <v>25</v>
      </c>
      <c r="F4512" s="1508">
        <f t="shared" si="680"/>
        <v>25</v>
      </c>
      <c r="G4512" s="1508">
        <f t="shared" si="681"/>
        <v>25</v>
      </c>
      <c r="H4512" s="1508">
        <f t="shared" si="682"/>
        <v>0</v>
      </c>
      <c r="I4512" s="1480">
        <v>0</v>
      </c>
      <c r="J4512" s="1480">
        <v>0</v>
      </c>
      <c r="K4512" s="1508"/>
      <c r="L4512" s="1508"/>
      <c r="M4512" s="1509">
        <f t="shared" si="683"/>
        <v>0</v>
      </c>
      <c r="N4512" s="1508">
        <f t="shared" si="684"/>
        <v>0</v>
      </c>
    </row>
    <row r="4513" spans="1:14" ht="31" outlineLevel="1" x14ac:dyDescent="0.25">
      <c r="A4513" s="1486">
        <f t="shared" si="686"/>
        <v>7</v>
      </c>
      <c r="B4513" s="1491" t="str">
        <f t="shared" si="686"/>
        <v>DPR for refurbishment of Critical HT &amp; LT board installed at Unit#5,6,&amp;7, CSTPS Chandrapur.</v>
      </c>
      <c r="C4513" s="1488">
        <f t="shared" si="686"/>
        <v>0</v>
      </c>
      <c r="D4513" s="1413" t="str">
        <f t="shared" si="686"/>
        <v>-</v>
      </c>
      <c r="E4513" s="560">
        <f t="shared" si="686"/>
        <v>25</v>
      </c>
      <c r="F4513" s="1508">
        <f t="shared" si="680"/>
        <v>0</v>
      </c>
      <c r="G4513" s="1508">
        <f t="shared" si="681"/>
        <v>0</v>
      </c>
      <c r="H4513" s="1508">
        <f t="shared" si="682"/>
        <v>0</v>
      </c>
      <c r="I4513" s="1480">
        <v>0</v>
      </c>
      <c r="J4513" s="1480">
        <v>0</v>
      </c>
      <c r="K4513" s="1508"/>
      <c r="L4513" s="1508"/>
      <c r="M4513" s="1509">
        <f t="shared" si="683"/>
        <v>0</v>
      </c>
      <c r="N4513" s="1508">
        <f t="shared" si="684"/>
        <v>0</v>
      </c>
    </row>
    <row r="4514" spans="1:14" ht="31" outlineLevel="1" x14ac:dyDescent="0.25">
      <c r="A4514" s="1492">
        <f t="shared" si="686"/>
        <v>0</v>
      </c>
      <c r="B4514" s="1492" t="str">
        <f t="shared" si="686"/>
        <v xml:space="preserve"> Refurbishment of Critical HT &amp; LT board installed at Unit#5,6,&amp;7, CSTPS Chandrapur.</v>
      </c>
      <c r="C4514" s="1488">
        <f t="shared" si="686"/>
        <v>0</v>
      </c>
      <c r="D4514" s="1413" t="str">
        <f t="shared" si="686"/>
        <v>-</v>
      </c>
      <c r="E4514" s="560">
        <f t="shared" si="686"/>
        <v>25</v>
      </c>
      <c r="F4514" s="1508">
        <f t="shared" si="680"/>
        <v>0</v>
      </c>
      <c r="G4514" s="1508">
        <f t="shared" si="681"/>
        <v>0</v>
      </c>
      <c r="H4514" s="1508">
        <f t="shared" si="682"/>
        <v>0</v>
      </c>
      <c r="I4514" s="1480">
        <v>25</v>
      </c>
      <c r="J4514" s="1480">
        <v>25</v>
      </c>
      <c r="K4514" s="1508"/>
      <c r="L4514" s="1508"/>
      <c r="M4514" s="1509">
        <f t="shared" si="683"/>
        <v>25</v>
      </c>
      <c r="N4514" s="1508">
        <f t="shared" si="684"/>
        <v>0</v>
      </c>
    </row>
    <row r="4515" spans="1:14" ht="31" outlineLevel="1" x14ac:dyDescent="0.25">
      <c r="A4515" s="1486">
        <f t="shared" si="686"/>
        <v>8</v>
      </c>
      <c r="B4515" s="1491" t="str">
        <f t="shared" si="686"/>
        <v>Refurbishment of LV bus duct Bus duct of UAT, SAT, station transformer installed at Unit#5,6,&amp;7, CSTPS Chandrapur.</v>
      </c>
      <c r="C4515" s="1488">
        <f t="shared" si="686"/>
        <v>0</v>
      </c>
      <c r="D4515" s="1413" t="str">
        <f t="shared" si="686"/>
        <v>-</v>
      </c>
      <c r="E4515" s="560">
        <f t="shared" si="686"/>
        <v>30</v>
      </c>
      <c r="F4515" s="1508">
        <f t="shared" si="680"/>
        <v>0</v>
      </c>
      <c r="G4515" s="1508">
        <f t="shared" si="681"/>
        <v>0</v>
      </c>
      <c r="H4515" s="1508">
        <f t="shared" si="682"/>
        <v>0</v>
      </c>
      <c r="I4515" s="1480">
        <v>0</v>
      </c>
      <c r="J4515" s="1480">
        <v>0</v>
      </c>
      <c r="K4515" s="1508"/>
      <c r="L4515" s="1508"/>
      <c r="M4515" s="1509">
        <f t="shared" si="683"/>
        <v>0</v>
      </c>
      <c r="N4515" s="1508">
        <f t="shared" si="684"/>
        <v>0</v>
      </c>
    </row>
    <row r="4516" spans="1:14" ht="31" outlineLevel="1" x14ac:dyDescent="0.25">
      <c r="A4516" s="1492">
        <f t="shared" si="686"/>
        <v>0</v>
      </c>
      <c r="B4516" s="1492" t="str">
        <f t="shared" si="686"/>
        <v>Refurbishment of LV bus duct Bus duct of UAT, SAT, station transformer installed at Unit#5,6,&amp;7, CSTPS Chandrapur.</v>
      </c>
      <c r="C4516" s="1488">
        <f t="shared" si="686"/>
        <v>0</v>
      </c>
      <c r="D4516" s="1413" t="str">
        <f t="shared" si="686"/>
        <v>-</v>
      </c>
      <c r="E4516" s="560">
        <f t="shared" si="686"/>
        <v>30</v>
      </c>
      <c r="F4516" s="1508">
        <f t="shared" si="680"/>
        <v>30</v>
      </c>
      <c r="G4516" s="1508">
        <f t="shared" si="681"/>
        <v>30</v>
      </c>
      <c r="H4516" s="1508">
        <f t="shared" si="682"/>
        <v>0</v>
      </c>
      <c r="I4516" s="1480">
        <v>0</v>
      </c>
      <c r="J4516" s="1480">
        <v>0</v>
      </c>
      <c r="K4516" s="1508"/>
      <c r="L4516" s="1508"/>
      <c r="M4516" s="1509">
        <f t="shared" si="683"/>
        <v>0</v>
      </c>
      <c r="N4516" s="1508">
        <f t="shared" si="684"/>
        <v>0</v>
      </c>
    </row>
    <row r="4517" spans="1:14" ht="15.5" outlineLevel="1" x14ac:dyDescent="0.25">
      <c r="A4517" s="1504">
        <f t="shared" si="686"/>
        <v>0</v>
      </c>
      <c r="B4517" s="1504" t="str">
        <f t="shared" si="686"/>
        <v>Instrumentation &amp; Control-II</v>
      </c>
      <c r="C4517" s="1488">
        <f t="shared" si="686"/>
        <v>0</v>
      </c>
      <c r="D4517" s="1413" t="str">
        <f t="shared" si="686"/>
        <v>-</v>
      </c>
      <c r="E4517" s="560">
        <f t="shared" si="686"/>
        <v>0</v>
      </c>
      <c r="F4517" s="1508">
        <f t="shared" si="680"/>
        <v>0</v>
      </c>
      <c r="G4517" s="1508">
        <f t="shared" si="681"/>
        <v>0</v>
      </c>
      <c r="H4517" s="1508">
        <f t="shared" si="682"/>
        <v>0</v>
      </c>
      <c r="I4517" s="1480">
        <v>0</v>
      </c>
      <c r="J4517" s="1480">
        <v>0</v>
      </c>
      <c r="K4517" s="1508"/>
      <c r="L4517" s="1508"/>
      <c r="M4517" s="1509">
        <f t="shared" si="683"/>
        <v>0</v>
      </c>
      <c r="N4517" s="1508">
        <f t="shared" si="684"/>
        <v>0</v>
      </c>
    </row>
    <row r="4518" spans="1:14" ht="31" outlineLevel="1" x14ac:dyDescent="0.25">
      <c r="A4518" s="1486">
        <f t="shared" si="686"/>
        <v>1</v>
      </c>
      <c r="B4518" s="1491" t="str">
        <f t="shared" si="686"/>
        <v>Complete Supply ,Erection and Commissioning DDCMIS system of Unit 7 at CSTPS</v>
      </c>
      <c r="C4518" s="1488">
        <f t="shared" si="686"/>
        <v>0</v>
      </c>
      <c r="D4518" s="1413" t="str">
        <f t="shared" si="686"/>
        <v>-</v>
      </c>
      <c r="E4518" s="560">
        <f t="shared" si="686"/>
        <v>30</v>
      </c>
      <c r="F4518" s="1508">
        <f t="shared" si="680"/>
        <v>0</v>
      </c>
      <c r="G4518" s="1508">
        <f t="shared" si="681"/>
        <v>0</v>
      </c>
      <c r="H4518" s="1508">
        <f t="shared" si="682"/>
        <v>0</v>
      </c>
      <c r="I4518" s="1480">
        <v>0</v>
      </c>
      <c r="J4518" s="1480">
        <v>0</v>
      </c>
      <c r="K4518" s="1508"/>
      <c r="L4518" s="1508"/>
      <c r="M4518" s="1509">
        <f t="shared" si="683"/>
        <v>0</v>
      </c>
      <c r="N4518" s="1508">
        <f t="shared" si="684"/>
        <v>0</v>
      </c>
    </row>
    <row r="4519" spans="1:14" ht="31" outlineLevel="1" x14ac:dyDescent="0.25">
      <c r="A4519" s="1492">
        <f t="shared" si="686"/>
        <v>0</v>
      </c>
      <c r="B4519" s="1492" t="str">
        <f t="shared" si="686"/>
        <v>Complete Supply ,Erection and Commissioning DDCMIS system of Unit 7  at CSTPS</v>
      </c>
      <c r="C4519" s="1488">
        <f t="shared" si="686"/>
        <v>0</v>
      </c>
      <c r="D4519" s="1413" t="str">
        <f t="shared" si="686"/>
        <v>-</v>
      </c>
      <c r="E4519" s="560">
        <f t="shared" si="686"/>
        <v>30</v>
      </c>
      <c r="F4519" s="1508">
        <f t="shared" si="680"/>
        <v>30</v>
      </c>
      <c r="G4519" s="1508">
        <f t="shared" si="681"/>
        <v>30</v>
      </c>
      <c r="H4519" s="1508">
        <f t="shared" si="682"/>
        <v>0</v>
      </c>
      <c r="I4519" s="1480">
        <v>0</v>
      </c>
      <c r="J4519" s="1480">
        <v>0</v>
      </c>
      <c r="K4519" s="1508"/>
      <c r="L4519" s="1508"/>
      <c r="M4519" s="1509">
        <f t="shared" si="683"/>
        <v>0</v>
      </c>
      <c r="N4519" s="1508">
        <f t="shared" si="684"/>
        <v>0</v>
      </c>
    </row>
    <row r="4520" spans="1:14" ht="31" outlineLevel="1" x14ac:dyDescent="0.25">
      <c r="A4520" s="1486">
        <f t="shared" si="686"/>
        <v>2</v>
      </c>
      <c r="B4520" s="1491" t="str">
        <f t="shared" si="686"/>
        <v>Implementation of Flexible Operation Solutions for Unit5,6 &amp;7, CSTPS, Chandrapur</v>
      </c>
      <c r="C4520" s="1488">
        <f t="shared" si="686"/>
        <v>0</v>
      </c>
      <c r="D4520" s="1413" t="str">
        <f t="shared" si="686"/>
        <v>-</v>
      </c>
      <c r="E4520" s="560">
        <f t="shared" si="686"/>
        <v>40</v>
      </c>
      <c r="F4520" s="1508">
        <f t="shared" si="680"/>
        <v>0</v>
      </c>
      <c r="G4520" s="1508">
        <f t="shared" si="681"/>
        <v>0</v>
      </c>
      <c r="H4520" s="1508">
        <f t="shared" si="682"/>
        <v>0</v>
      </c>
      <c r="I4520" s="1480">
        <v>0</v>
      </c>
      <c r="J4520" s="1480">
        <v>0</v>
      </c>
      <c r="K4520" s="1508"/>
      <c r="L4520" s="1508"/>
      <c r="M4520" s="1509">
        <f t="shared" si="683"/>
        <v>0</v>
      </c>
      <c r="N4520" s="1508">
        <f t="shared" si="684"/>
        <v>0</v>
      </c>
    </row>
    <row r="4521" spans="1:14" ht="31" outlineLevel="1" x14ac:dyDescent="0.25">
      <c r="A4521" s="1492">
        <f t="shared" si="686"/>
        <v>0</v>
      </c>
      <c r="B4521" s="1492" t="str">
        <f t="shared" si="686"/>
        <v>Implementation of Flexible Operation Solutions for Unit5,6 &amp;7, CSTPS, Chandrapur</v>
      </c>
      <c r="C4521" s="1488">
        <f t="shared" si="686"/>
        <v>0</v>
      </c>
      <c r="D4521" s="1413" t="str">
        <f t="shared" si="686"/>
        <v>-</v>
      </c>
      <c r="E4521" s="560">
        <f t="shared" si="686"/>
        <v>40</v>
      </c>
      <c r="F4521" s="1508">
        <f t="shared" si="680"/>
        <v>40</v>
      </c>
      <c r="G4521" s="1508">
        <f t="shared" si="681"/>
        <v>40</v>
      </c>
      <c r="H4521" s="1508">
        <f t="shared" si="682"/>
        <v>0</v>
      </c>
      <c r="I4521" s="1480">
        <v>0</v>
      </c>
      <c r="J4521" s="1480">
        <v>0</v>
      </c>
      <c r="K4521" s="1508"/>
      <c r="L4521" s="1508"/>
      <c r="M4521" s="1509">
        <f t="shared" si="683"/>
        <v>0</v>
      </c>
      <c r="N4521" s="1508">
        <f t="shared" si="684"/>
        <v>0</v>
      </c>
    </row>
    <row r="4522" spans="1:14" ht="46.5" outlineLevel="1" x14ac:dyDescent="0.25">
      <c r="A4522" s="1486">
        <f t="shared" si="686"/>
        <v>3</v>
      </c>
      <c r="B4522" s="1491" t="str">
        <f t="shared" si="686"/>
        <v>Supply of sub-assy for ID Fan VFD System&amp;  Energy Management System (EMS) at Stage-III, CSTPS, &amp; Procurement of numerical motor/feeder protection relay</v>
      </c>
      <c r="C4522" s="1488">
        <f t="shared" si="686"/>
        <v>0</v>
      </c>
      <c r="D4522" s="1413" t="str">
        <f t="shared" si="686"/>
        <v>-</v>
      </c>
      <c r="E4522" s="560">
        <f t="shared" si="686"/>
        <v>26.1</v>
      </c>
      <c r="F4522" s="1508">
        <f t="shared" si="680"/>
        <v>0</v>
      </c>
      <c r="G4522" s="1508">
        <f t="shared" si="681"/>
        <v>0</v>
      </c>
      <c r="H4522" s="1508">
        <f t="shared" si="682"/>
        <v>0</v>
      </c>
      <c r="I4522" s="1480">
        <v>0</v>
      </c>
      <c r="J4522" s="1480">
        <v>0</v>
      </c>
      <c r="K4522" s="1508"/>
      <c r="L4522" s="1508"/>
      <c r="M4522" s="1509">
        <f t="shared" si="683"/>
        <v>0</v>
      </c>
      <c r="N4522" s="1508">
        <f t="shared" si="684"/>
        <v>0</v>
      </c>
    </row>
    <row r="4523" spans="1:14" ht="15.5" outlineLevel="1" x14ac:dyDescent="0.25">
      <c r="A4523" s="1492">
        <f t="shared" si="686"/>
        <v>0</v>
      </c>
      <c r="B4523" s="1492" t="str">
        <f t="shared" si="686"/>
        <v>Supply of sub-assy for ID Fan VFD System</v>
      </c>
      <c r="C4523" s="1488">
        <f t="shared" si="686"/>
        <v>0</v>
      </c>
      <c r="D4523" s="1413" t="str">
        <f t="shared" si="686"/>
        <v>-</v>
      </c>
      <c r="E4523" s="560">
        <f t="shared" si="686"/>
        <v>4.5</v>
      </c>
      <c r="F4523" s="1508">
        <f t="shared" si="680"/>
        <v>4.5</v>
      </c>
      <c r="G4523" s="1508">
        <f t="shared" si="681"/>
        <v>4.5</v>
      </c>
      <c r="H4523" s="1508">
        <f t="shared" si="682"/>
        <v>0</v>
      </c>
      <c r="I4523" s="1480">
        <v>0</v>
      </c>
      <c r="J4523" s="1480">
        <v>0</v>
      </c>
      <c r="K4523" s="1508"/>
      <c r="L4523" s="1508"/>
      <c r="M4523" s="1509">
        <f t="shared" si="683"/>
        <v>0</v>
      </c>
      <c r="N4523" s="1508">
        <f t="shared" si="684"/>
        <v>0</v>
      </c>
    </row>
    <row r="4524" spans="1:14" ht="31" outlineLevel="1" x14ac:dyDescent="0.25">
      <c r="A4524" s="1492">
        <f t="shared" si="686"/>
        <v>0</v>
      </c>
      <c r="B4524" s="1492" t="str">
        <f t="shared" si="686"/>
        <v>Energy Management System (EMS) at Stage-III, CSTPS, Chandrapur.</v>
      </c>
      <c r="C4524" s="1488">
        <f t="shared" si="686"/>
        <v>0</v>
      </c>
      <c r="D4524" s="1413" t="str">
        <f t="shared" si="686"/>
        <v>-</v>
      </c>
      <c r="E4524" s="560">
        <f t="shared" si="686"/>
        <v>5.5</v>
      </c>
      <c r="F4524" s="1508">
        <f t="shared" si="680"/>
        <v>5.5</v>
      </c>
      <c r="G4524" s="1508">
        <f t="shared" si="681"/>
        <v>5.5</v>
      </c>
      <c r="H4524" s="1508">
        <f t="shared" si="682"/>
        <v>0</v>
      </c>
      <c r="I4524" s="1480">
        <v>0</v>
      </c>
      <c r="J4524" s="1480">
        <v>0</v>
      </c>
      <c r="K4524" s="1508"/>
      <c r="L4524" s="1508"/>
      <c r="M4524" s="1509">
        <f t="shared" si="683"/>
        <v>0</v>
      </c>
      <c r="N4524" s="1508">
        <f t="shared" si="684"/>
        <v>0</v>
      </c>
    </row>
    <row r="4525" spans="1:14" ht="15.5" outlineLevel="1" x14ac:dyDescent="0.25">
      <c r="A4525" s="1492">
        <f t="shared" si="686"/>
        <v>0</v>
      </c>
      <c r="B4525" s="1492" t="str">
        <f t="shared" si="686"/>
        <v>Procurement of numerical motor/feeder protection relays</v>
      </c>
      <c r="C4525" s="1488">
        <f t="shared" si="686"/>
        <v>0</v>
      </c>
      <c r="D4525" s="1413" t="str">
        <f t="shared" si="686"/>
        <v>-</v>
      </c>
      <c r="E4525" s="560">
        <f t="shared" si="686"/>
        <v>8.1</v>
      </c>
      <c r="F4525" s="1508">
        <f t="shared" si="680"/>
        <v>8.1</v>
      </c>
      <c r="G4525" s="1508">
        <f t="shared" si="681"/>
        <v>8.1</v>
      </c>
      <c r="H4525" s="1508">
        <f t="shared" si="682"/>
        <v>0</v>
      </c>
      <c r="I4525" s="1480">
        <v>0</v>
      </c>
      <c r="J4525" s="1480">
        <v>0</v>
      </c>
      <c r="K4525" s="1508"/>
      <c r="L4525" s="1508"/>
      <c r="M4525" s="1509">
        <f t="shared" si="683"/>
        <v>0</v>
      </c>
      <c r="N4525" s="1508">
        <f t="shared" si="684"/>
        <v>0</v>
      </c>
    </row>
    <row r="4526" spans="1:14" ht="46.5" outlineLevel="1" x14ac:dyDescent="0.25">
      <c r="A4526" s="1492">
        <f t="shared" ref="A4526:E4541" si="687">A3856</f>
        <v>0</v>
      </c>
      <c r="B4526" s="1492" t="str">
        <f t="shared" si="687"/>
        <v>Procurement of portable multi function test kit, Microprocessot based CB TIM, CRM &amp; MVDT, CBO analyser, Vacuum cleaner bottle HV tester</v>
      </c>
      <c r="C4526" s="1488">
        <f t="shared" si="687"/>
        <v>0</v>
      </c>
      <c r="D4526" s="1413" t="str">
        <f t="shared" si="687"/>
        <v>-</v>
      </c>
      <c r="E4526" s="560">
        <f t="shared" si="687"/>
        <v>2</v>
      </c>
      <c r="F4526" s="1508">
        <f t="shared" si="680"/>
        <v>2</v>
      </c>
      <c r="G4526" s="1508">
        <f t="shared" si="681"/>
        <v>2</v>
      </c>
      <c r="H4526" s="1508">
        <f t="shared" si="682"/>
        <v>0</v>
      </c>
      <c r="I4526" s="1480">
        <v>0</v>
      </c>
      <c r="J4526" s="1480">
        <v>0</v>
      </c>
      <c r="K4526" s="1508"/>
      <c r="L4526" s="1508"/>
      <c r="M4526" s="1509">
        <f t="shared" si="683"/>
        <v>0</v>
      </c>
      <c r="N4526" s="1508">
        <f t="shared" si="684"/>
        <v>0</v>
      </c>
    </row>
    <row r="4527" spans="1:14" ht="31" outlineLevel="1" x14ac:dyDescent="0.25">
      <c r="A4527" s="1492">
        <f t="shared" si="687"/>
        <v>0</v>
      </c>
      <c r="B4527" s="1492" t="str">
        <f t="shared" si="687"/>
        <v xml:space="preserve">Replacement of various motorised control actuators at Unit 5, 6  CSTPS,Chandrapur.                              </v>
      </c>
      <c r="C4527" s="1488">
        <f t="shared" si="687"/>
        <v>0</v>
      </c>
      <c r="D4527" s="1413" t="str">
        <f t="shared" si="687"/>
        <v>-</v>
      </c>
      <c r="E4527" s="560">
        <f t="shared" si="687"/>
        <v>6</v>
      </c>
      <c r="F4527" s="1508">
        <f t="shared" si="680"/>
        <v>6</v>
      </c>
      <c r="G4527" s="1508">
        <f t="shared" si="681"/>
        <v>6</v>
      </c>
      <c r="H4527" s="1508">
        <f t="shared" si="682"/>
        <v>0</v>
      </c>
      <c r="I4527" s="1480">
        <v>0</v>
      </c>
      <c r="J4527" s="1480">
        <v>0</v>
      </c>
      <c r="K4527" s="1508"/>
      <c r="L4527" s="1508"/>
      <c r="M4527" s="1509">
        <f t="shared" si="683"/>
        <v>0</v>
      </c>
      <c r="N4527" s="1508">
        <f t="shared" si="684"/>
        <v>0</v>
      </c>
    </row>
    <row r="4528" spans="1:14" ht="62" outlineLevel="1" x14ac:dyDescent="0.25">
      <c r="A4528" s="1486">
        <f t="shared" si="687"/>
        <v>4</v>
      </c>
      <c r="B4528" s="1491" t="str">
        <f t="shared" si="687"/>
        <v>Supply and commissioning of Energy Optimization &amp; Real Time Analysis system software for Auxiliary Power management of power network &amp; Pump performance monitoring system for water pumping stations for Unit#5,6&amp;7, CSTPS, Chandrapur</v>
      </c>
      <c r="C4528" s="1488">
        <f t="shared" si="687"/>
        <v>0</v>
      </c>
      <c r="D4528" s="1413" t="str">
        <f t="shared" si="687"/>
        <v>-</v>
      </c>
      <c r="E4528" s="560">
        <f t="shared" si="687"/>
        <v>26</v>
      </c>
      <c r="F4528" s="1508">
        <f t="shared" si="680"/>
        <v>0</v>
      </c>
      <c r="G4528" s="1508">
        <f t="shared" si="681"/>
        <v>0</v>
      </c>
      <c r="H4528" s="1508">
        <f t="shared" si="682"/>
        <v>0</v>
      </c>
      <c r="I4528" s="1480">
        <v>0</v>
      </c>
      <c r="J4528" s="1480">
        <v>0</v>
      </c>
      <c r="K4528" s="1508"/>
      <c r="L4528" s="1508"/>
      <c r="M4528" s="1509">
        <f t="shared" si="683"/>
        <v>0</v>
      </c>
      <c r="N4528" s="1508">
        <f t="shared" si="684"/>
        <v>0</v>
      </c>
    </row>
    <row r="4529" spans="1:14" ht="46.5" outlineLevel="1" x14ac:dyDescent="0.25">
      <c r="A4529" s="1492">
        <f t="shared" si="687"/>
        <v>0</v>
      </c>
      <c r="B4529" s="1492" t="str">
        <f t="shared" si="687"/>
        <v>Supply and commissioning of Energy Optimization &amp; Real Time Analysis system software for Auxiliary Power management of power network</v>
      </c>
      <c r="C4529" s="1488">
        <f t="shared" si="687"/>
        <v>0</v>
      </c>
      <c r="D4529" s="1413" t="str">
        <f t="shared" si="687"/>
        <v>-</v>
      </c>
      <c r="E4529" s="560">
        <f t="shared" si="687"/>
        <v>9</v>
      </c>
      <c r="F4529" s="1508">
        <f t="shared" si="680"/>
        <v>9</v>
      </c>
      <c r="G4529" s="1508">
        <f t="shared" si="681"/>
        <v>9</v>
      </c>
      <c r="H4529" s="1508">
        <f t="shared" si="682"/>
        <v>0</v>
      </c>
      <c r="I4529" s="1480">
        <v>0</v>
      </c>
      <c r="J4529" s="1480">
        <v>0</v>
      </c>
      <c r="K4529" s="1508"/>
      <c r="L4529" s="1508"/>
      <c r="M4529" s="1509">
        <f t="shared" si="683"/>
        <v>0</v>
      </c>
      <c r="N4529" s="1508">
        <f t="shared" si="684"/>
        <v>0</v>
      </c>
    </row>
    <row r="4530" spans="1:14" ht="46.5" outlineLevel="1" x14ac:dyDescent="0.25">
      <c r="A4530" s="1492">
        <f t="shared" si="687"/>
        <v>0</v>
      </c>
      <c r="B4530" s="1492" t="str">
        <f t="shared" si="687"/>
        <v>Supply and installation of advanced Microprocessor based Pump performance monitoring system for water pumping stations for Unit#5,6&amp;7, CSTPS, Chandrapur</v>
      </c>
      <c r="C4530" s="1488">
        <f t="shared" si="687"/>
        <v>0</v>
      </c>
      <c r="D4530" s="1413" t="str">
        <f t="shared" si="687"/>
        <v>-</v>
      </c>
      <c r="E4530" s="560">
        <f t="shared" si="687"/>
        <v>7</v>
      </c>
      <c r="F4530" s="1508">
        <f t="shared" si="680"/>
        <v>7</v>
      </c>
      <c r="G4530" s="1508">
        <f t="shared" si="681"/>
        <v>7</v>
      </c>
      <c r="H4530" s="1508">
        <f t="shared" si="682"/>
        <v>0</v>
      </c>
      <c r="I4530" s="1480">
        <v>0</v>
      </c>
      <c r="J4530" s="1480">
        <v>0</v>
      </c>
      <c r="K4530" s="1508"/>
      <c r="L4530" s="1508"/>
      <c r="M4530" s="1509">
        <f t="shared" si="683"/>
        <v>0</v>
      </c>
      <c r="N4530" s="1508">
        <f t="shared" si="684"/>
        <v>0</v>
      </c>
    </row>
    <row r="4531" spans="1:14" ht="31" outlineLevel="1" x14ac:dyDescent="0.25">
      <c r="A4531" s="1492">
        <f t="shared" si="687"/>
        <v>0</v>
      </c>
      <c r="B4531" s="1492" t="str">
        <f t="shared" si="687"/>
        <v>Upgradation of Online Connectivity and Environmental Monitoring (OCEMS) System at Unit-5,6&amp;7</v>
      </c>
      <c r="C4531" s="1488">
        <f t="shared" si="687"/>
        <v>0</v>
      </c>
      <c r="D4531" s="1413" t="str">
        <f t="shared" si="687"/>
        <v>-</v>
      </c>
      <c r="E4531" s="560">
        <f t="shared" si="687"/>
        <v>4</v>
      </c>
      <c r="F4531" s="1508">
        <f t="shared" si="680"/>
        <v>4</v>
      </c>
      <c r="G4531" s="1508">
        <f t="shared" si="681"/>
        <v>4</v>
      </c>
      <c r="H4531" s="1508">
        <f t="shared" si="682"/>
        <v>0</v>
      </c>
      <c r="I4531" s="1480">
        <v>0</v>
      </c>
      <c r="J4531" s="1480">
        <v>0</v>
      </c>
      <c r="K4531" s="1508"/>
      <c r="L4531" s="1508"/>
      <c r="M4531" s="1509">
        <f t="shared" si="683"/>
        <v>0</v>
      </c>
      <c r="N4531" s="1508">
        <f t="shared" si="684"/>
        <v>0</v>
      </c>
    </row>
    <row r="4532" spans="1:14" ht="15.5" outlineLevel="1" x14ac:dyDescent="0.25">
      <c r="A4532" s="1492">
        <f t="shared" si="687"/>
        <v>0</v>
      </c>
      <c r="B4532" s="1492" t="str">
        <f t="shared" si="687"/>
        <v xml:space="preserve">Procurement of I&amp;C Testing Labouratory Instruments </v>
      </c>
      <c r="C4532" s="1488">
        <f t="shared" si="687"/>
        <v>0</v>
      </c>
      <c r="D4532" s="1413" t="str">
        <f t="shared" si="687"/>
        <v>-</v>
      </c>
      <c r="E4532" s="560">
        <f t="shared" si="687"/>
        <v>2</v>
      </c>
      <c r="F4532" s="1508">
        <f t="shared" si="680"/>
        <v>2</v>
      </c>
      <c r="G4532" s="1508">
        <f t="shared" si="681"/>
        <v>2</v>
      </c>
      <c r="H4532" s="1508">
        <f t="shared" si="682"/>
        <v>0</v>
      </c>
      <c r="I4532" s="1480">
        <v>0</v>
      </c>
      <c r="J4532" s="1480">
        <v>0</v>
      </c>
      <c r="K4532" s="1508"/>
      <c r="L4532" s="1508"/>
      <c r="M4532" s="1509">
        <f t="shared" si="683"/>
        <v>0</v>
      </c>
      <c r="N4532" s="1508">
        <f t="shared" si="684"/>
        <v>0</v>
      </c>
    </row>
    <row r="4533" spans="1:14" ht="31" outlineLevel="1" x14ac:dyDescent="0.25">
      <c r="A4533" s="1492">
        <f t="shared" si="687"/>
        <v>0</v>
      </c>
      <c r="B4533" s="1492" t="str">
        <f t="shared" si="687"/>
        <v xml:space="preserve">Upgradation of various motorised control actuators at Unit-7,  CSTPS,Chandrapur.                              </v>
      </c>
      <c r="C4533" s="1488">
        <f t="shared" si="687"/>
        <v>0</v>
      </c>
      <c r="D4533" s="1413" t="str">
        <f t="shared" si="687"/>
        <v>-</v>
      </c>
      <c r="E4533" s="560">
        <f t="shared" si="687"/>
        <v>4</v>
      </c>
      <c r="F4533" s="1508">
        <f t="shared" si="680"/>
        <v>4</v>
      </c>
      <c r="G4533" s="1508">
        <f t="shared" si="681"/>
        <v>4</v>
      </c>
      <c r="H4533" s="1508">
        <f t="shared" si="682"/>
        <v>0</v>
      </c>
      <c r="I4533" s="1480">
        <v>0</v>
      </c>
      <c r="J4533" s="1480">
        <v>0</v>
      </c>
      <c r="K4533" s="1508"/>
      <c r="L4533" s="1508"/>
      <c r="M4533" s="1509">
        <f t="shared" si="683"/>
        <v>0</v>
      </c>
      <c r="N4533" s="1508">
        <f t="shared" si="684"/>
        <v>0</v>
      </c>
    </row>
    <row r="4534" spans="1:14" ht="15.5" outlineLevel="1" x14ac:dyDescent="0.25">
      <c r="A4534" s="1504">
        <f t="shared" si="687"/>
        <v>0</v>
      </c>
      <c r="B4534" s="1504" t="str">
        <f t="shared" si="687"/>
        <v>ODP-II</v>
      </c>
      <c r="C4534" s="1488">
        <f t="shared" si="687"/>
        <v>0</v>
      </c>
      <c r="D4534" s="1413" t="str">
        <f t="shared" si="687"/>
        <v>-</v>
      </c>
      <c r="E4534" s="560">
        <f t="shared" si="687"/>
        <v>0</v>
      </c>
      <c r="F4534" s="1508">
        <f t="shared" si="680"/>
        <v>0</v>
      </c>
      <c r="G4534" s="1508">
        <f t="shared" si="681"/>
        <v>0</v>
      </c>
      <c r="H4534" s="1508">
        <f t="shared" si="682"/>
        <v>0</v>
      </c>
      <c r="I4534" s="1480">
        <v>0</v>
      </c>
      <c r="J4534" s="1480">
        <v>0</v>
      </c>
      <c r="K4534" s="1508"/>
      <c r="L4534" s="1508"/>
      <c r="M4534" s="1509">
        <f t="shared" si="683"/>
        <v>0</v>
      </c>
      <c r="N4534" s="1508">
        <f t="shared" si="684"/>
        <v>0</v>
      </c>
    </row>
    <row r="4535" spans="1:14" ht="31" outlineLevel="1" x14ac:dyDescent="0.25">
      <c r="A4535" s="1486">
        <f t="shared" si="687"/>
        <v>1</v>
      </c>
      <c r="B4535" s="1491" t="str">
        <f t="shared" si="687"/>
        <v>Complete reconditioning of Condensate cooling water system, Ash raw water system &amp; fire fightning system of U-5,6 &amp; 7</v>
      </c>
      <c r="C4535" s="1488">
        <f t="shared" si="687"/>
        <v>0</v>
      </c>
      <c r="D4535" s="1413" t="str">
        <f t="shared" si="687"/>
        <v>-</v>
      </c>
      <c r="E4535" s="560">
        <f t="shared" si="687"/>
        <v>92</v>
      </c>
      <c r="F4535" s="1508">
        <f t="shared" si="680"/>
        <v>0</v>
      </c>
      <c r="G4535" s="1508">
        <f t="shared" si="681"/>
        <v>0</v>
      </c>
      <c r="H4535" s="1508">
        <f t="shared" si="682"/>
        <v>0</v>
      </c>
      <c r="I4535" s="1480">
        <v>0</v>
      </c>
      <c r="J4535" s="1480">
        <v>0</v>
      </c>
      <c r="K4535" s="1508"/>
      <c r="L4535" s="1508"/>
      <c r="M4535" s="1509">
        <f t="shared" si="683"/>
        <v>0</v>
      </c>
      <c r="N4535" s="1508">
        <f t="shared" si="684"/>
        <v>0</v>
      </c>
    </row>
    <row r="4536" spans="1:14" ht="15.5" outlineLevel="1" x14ac:dyDescent="0.25">
      <c r="A4536" s="1492">
        <f t="shared" si="687"/>
        <v>0</v>
      </c>
      <c r="B4536" s="1492" t="str">
        <f t="shared" si="687"/>
        <v xml:space="preserve"> Complete reconditioning of cooling tower 5A &amp; 5B of Unit -5. </v>
      </c>
      <c r="C4536" s="1488">
        <f t="shared" si="687"/>
        <v>0</v>
      </c>
      <c r="D4536" s="1413" t="str">
        <f t="shared" si="687"/>
        <v>-</v>
      </c>
      <c r="E4536" s="560">
        <f t="shared" si="687"/>
        <v>45</v>
      </c>
      <c r="F4536" s="1508">
        <f t="shared" si="680"/>
        <v>45</v>
      </c>
      <c r="G4536" s="1508">
        <f t="shared" si="681"/>
        <v>45</v>
      </c>
      <c r="H4536" s="1508">
        <f t="shared" si="682"/>
        <v>0</v>
      </c>
      <c r="I4536" s="1480">
        <v>0</v>
      </c>
      <c r="J4536" s="1480">
        <v>0</v>
      </c>
      <c r="K4536" s="1508"/>
      <c r="L4536" s="1508"/>
      <c r="M4536" s="1509">
        <f t="shared" si="683"/>
        <v>0</v>
      </c>
      <c r="N4536" s="1508">
        <f t="shared" si="684"/>
        <v>0</v>
      </c>
    </row>
    <row r="4537" spans="1:14" ht="46.5" outlineLevel="1" x14ac:dyDescent="0.25">
      <c r="A4537" s="1492">
        <f t="shared" si="687"/>
        <v>0</v>
      </c>
      <c r="B4537" s="1492" t="str">
        <f t="shared" si="687"/>
        <v>Revamping of induced draft Cooling tower - 6A &amp; 6B internals with supply &amp; replacement to improve the performance of Cooling tower of Unit -6 (500MW), CSTPS, Chandrapur</v>
      </c>
      <c r="C4537" s="1488">
        <f t="shared" si="687"/>
        <v>0</v>
      </c>
      <c r="D4537" s="1413" t="str">
        <f t="shared" si="687"/>
        <v>-</v>
      </c>
      <c r="E4537" s="560">
        <f t="shared" si="687"/>
        <v>47</v>
      </c>
      <c r="F4537" s="1508">
        <f t="shared" si="680"/>
        <v>47</v>
      </c>
      <c r="G4537" s="1508">
        <f t="shared" si="681"/>
        <v>47</v>
      </c>
      <c r="H4537" s="1508">
        <f t="shared" si="682"/>
        <v>0</v>
      </c>
      <c r="I4537" s="1480">
        <v>0</v>
      </c>
      <c r="J4537" s="1480">
        <v>0</v>
      </c>
      <c r="K4537" s="1508"/>
      <c r="L4537" s="1508"/>
      <c r="M4537" s="1509">
        <f t="shared" si="683"/>
        <v>0</v>
      </c>
      <c r="N4537" s="1508">
        <f t="shared" si="684"/>
        <v>0</v>
      </c>
    </row>
    <row r="4538" spans="1:14" ht="31" outlineLevel="1" x14ac:dyDescent="0.25">
      <c r="A4538" s="1486">
        <f t="shared" si="687"/>
        <v>2</v>
      </c>
      <c r="B4538" s="1491" t="str">
        <f t="shared" si="687"/>
        <v>Replacement of  Complete pump assembly of CCW pump, ACW pump and other schemes</v>
      </c>
      <c r="C4538" s="1488">
        <f t="shared" si="687"/>
        <v>0</v>
      </c>
      <c r="D4538" s="1413" t="str">
        <f t="shared" si="687"/>
        <v>-</v>
      </c>
      <c r="E4538" s="560">
        <f t="shared" si="687"/>
        <v>121</v>
      </c>
      <c r="F4538" s="1508">
        <f t="shared" si="680"/>
        <v>0</v>
      </c>
      <c r="G4538" s="1508">
        <f t="shared" si="681"/>
        <v>0</v>
      </c>
      <c r="H4538" s="1508">
        <f t="shared" si="682"/>
        <v>0</v>
      </c>
      <c r="I4538" s="1480">
        <v>0</v>
      </c>
      <c r="J4538" s="1480">
        <v>0</v>
      </c>
      <c r="K4538" s="1508"/>
      <c r="L4538" s="1508"/>
      <c r="M4538" s="1509">
        <f t="shared" si="683"/>
        <v>0</v>
      </c>
      <c r="N4538" s="1508">
        <f t="shared" si="684"/>
        <v>0</v>
      </c>
    </row>
    <row r="4539" spans="1:14" ht="31" outlineLevel="1" x14ac:dyDescent="0.25">
      <c r="A4539" s="1492">
        <f t="shared" si="687"/>
        <v>0</v>
      </c>
      <c r="B4539" s="1492" t="str">
        <f t="shared" si="687"/>
        <v>Replacement of  Complete pump assembly of CCW pump installed at U-5,6,7.</v>
      </c>
      <c r="C4539" s="1488">
        <f t="shared" si="687"/>
        <v>0</v>
      </c>
      <c r="D4539" s="1413" t="str">
        <f t="shared" si="687"/>
        <v>-</v>
      </c>
      <c r="E4539" s="560">
        <f t="shared" si="687"/>
        <v>100</v>
      </c>
      <c r="F4539" s="1508">
        <f t="shared" si="680"/>
        <v>60</v>
      </c>
      <c r="G4539" s="1508">
        <f t="shared" si="681"/>
        <v>60</v>
      </c>
      <c r="H4539" s="1508">
        <f t="shared" si="682"/>
        <v>0</v>
      </c>
      <c r="I4539" s="1480">
        <v>20</v>
      </c>
      <c r="J4539" s="1480">
        <v>20</v>
      </c>
      <c r="K4539" s="1508"/>
      <c r="L4539" s="1508"/>
      <c r="M4539" s="1509">
        <f t="shared" si="683"/>
        <v>20</v>
      </c>
      <c r="N4539" s="1508">
        <f t="shared" si="684"/>
        <v>0</v>
      </c>
    </row>
    <row r="4540" spans="1:14" ht="31" outlineLevel="1" x14ac:dyDescent="0.25">
      <c r="A4540" s="1492">
        <f t="shared" si="687"/>
        <v>0</v>
      </c>
      <c r="B4540" s="1492" t="str">
        <f t="shared" si="687"/>
        <v xml:space="preserve"> Replacement of  Complete pump assembly of ACW  pump installed at U-5,6,7.</v>
      </c>
      <c r="C4540" s="1488">
        <f t="shared" si="687"/>
        <v>0</v>
      </c>
      <c r="D4540" s="1413" t="str">
        <f t="shared" si="687"/>
        <v>-</v>
      </c>
      <c r="E4540" s="560">
        <f t="shared" si="687"/>
        <v>11</v>
      </c>
      <c r="F4540" s="1508">
        <f t="shared" si="680"/>
        <v>11</v>
      </c>
      <c r="G4540" s="1508">
        <f t="shared" si="681"/>
        <v>11</v>
      </c>
      <c r="H4540" s="1508">
        <f t="shared" si="682"/>
        <v>0</v>
      </c>
      <c r="I4540" s="1480">
        <v>0</v>
      </c>
      <c r="J4540" s="1480">
        <v>0</v>
      </c>
      <c r="K4540" s="1508"/>
      <c r="L4540" s="1508"/>
      <c r="M4540" s="1509">
        <f t="shared" si="683"/>
        <v>0</v>
      </c>
      <c r="N4540" s="1508">
        <f t="shared" si="684"/>
        <v>0</v>
      </c>
    </row>
    <row r="4541" spans="1:14" ht="31" outlineLevel="1" x14ac:dyDescent="0.25">
      <c r="A4541" s="1492">
        <f t="shared" si="687"/>
        <v>0</v>
      </c>
      <c r="B4541" s="1492" t="str">
        <f t="shared" si="687"/>
        <v xml:space="preserve"> Complete reconditioning of Ash Raw water system &amp; DM/NDM system of U- 7. </v>
      </c>
      <c r="C4541" s="1488">
        <f t="shared" si="687"/>
        <v>0</v>
      </c>
      <c r="D4541" s="1413" t="str">
        <f t="shared" si="687"/>
        <v>-</v>
      </c>
      <c r="E4541" s="560">
        <f t="shared" si="687"/>
        <v>8</v>
      </c>
      <c r="F4541" s="1508">
        <f t="shared" si="680"/>
        <v>8</v>
      </c>
      <c r="G4541" s="1508">
        <f t="shared" si="681"/>
        <v>8</v>
      </c>
      <c r="H4541" s="1508">
        <f t="shared" si="682"/>
        <v>0</v>
      </c>
      <c r="I4541" s="1480">
        <v>0</v>
      </c>
      <c r="J4541" s="1480">
        <v>0</v>
      </c>
      <c r="K4541" s="1508"/>
      <c r="L4541" s="1508"/>
      <c r="M4541" s="1509">
        <f t="shared" si="683"/>
        <v>0</v>
      </c>
      <c r="N4541" s="1508">
        <f t="shared" si="684"/>
        <v>0</v>
      </c>
    </row>
    <row r="4542" spans="1:14" ht="31" outlineLevel="1" x14ac:dyDescent="0.25">
      <c r="A4542" s="1492">
        <f t="shared" ref="A4542:E4557" si="688">A3872</f>
        <v>0</v>
      </c>
      <c r="B4542" s="1492" t="str">
        <f t="shared" si="688"/>
        <v xml:space="preserve">Complete reconditioning of Fire fightning system of Stage -I, II, III. </v>
      </c>
      <c r="C4542" s="1488">
        <f t="shared" si="688"/>
        <v>0</v>
      </c>
      <c r="D4542" s="1413" t="str">
        <f t="shared" si="688"/>
        <v>-</v>
      </c>
      <c r="E4542" s="560">
        <f t="shared" si="688"/>
        <v>2</v>
      </c>
      <c r="F4542" s="1508">
        <f t="shared" ref="F4542:F4605" si="689">F3872+I3872</f>
        <v>2</v>
      </c>
      <c r="G4542" s="1508">
        <f t="shared" ref="G4542:G4605" si="690">G3872+M3872</f>
        <v>2</v>
      </c>
      <c r="H4542" s="1508">
        <f t="shared" si="682"/>
        <v>0</v>
      </c>
      <c r="I4542" s="1480">
        <v>0</v>
      </c>
      <c r="J4542" s="1480">
        <v>0</v>
      </c>
      <c r="K4542" s="1508"/>
      <c r="L4542" s="1508"/>
      <c r="M4542" s="1509">
        <f t="shared" si="683"/>
        <v>0</v>
      </c>
      <c r="N4542" s="1508">
        <f t="shared" si="684"/>
        <v>0</v>
      </c>
    </row>
    <row r="4543" spans="1:14" ht="77.5" outlineLevel="1" x14ac:dyDescent="0.25">
      <c r="A4543" s="1486">
        <f t="shared" si="688"/>
        <v>3</v>
      </c>
      <c r="B4543" s="1491" t="str">
        <f t="shared" si="688"/>
        <v xml:space="preserve">Upgradation of existing DM water system along with supply, erection &amp; Commissioning of PLC panel, Instrumentation, CPVC Pipes &amp; fittings, installed at WTP–500MW, CSTPS, Chandrapur.
</v>
      </c>
      <c r="C4543" s="1488">
        <f t="shared" si="688"/>
        <v>0</v>
      </c>
      <c r="D4543" s="1413" t="str">
        <f t="shared" si="688"/>
        <v>-</v>
      </c>
      <c r="E4543" s="560">
        <f t="shared" si="688"/>
        <v>56</v>
      </c>
      <c r="F4543" s="1508">
        <f t="shared" si="689"/>
        <v>0</v>
      </c>
      <c r="G4543" s="1508">
        <f t="shared" si="690"/>
        <v>0</v>
      </c>
      <c r="H4543" s="1508">
        <f t="shared" si="682"/>
        <v>0</v>
      </c>
      <c r="I4543" s="1480">
        <v>0</v>
      </c>
      <c r="J4543" s="1480">
        <v>0</v>
      </c>
      <c r="K4543" s="1508"/>
      <c r="L4543" s="1508"/>
      <c r="M4543" s="1509">
        <f t="shared" si="683"/>
        <v>0</v>
      </c>
      <c r="N4543" s="1508">
        <f t="shared" si="684"/>
        <v>0</v>
      </c>
    </row>
    <row r="4544" spans="1:14" ht="77.5" outlineLevel="1" x14ac:dyDescent="0.25">
      <c r="A4544" s="1492">
        <f t="shared" si="688"/>
        <v>0</v>
      </c>
      <c r="B4544" s="1492" t="str">
        <f t="shared" si="688"/>
        <v xml:space="preserve">Upgradation of existing DM water system along with supply, erection &amp; Commissioning of PLC panel, Instrumentation, CPVC Pipes &amp; fittings, installed at WTP–500MW, CSTPS, Chandrapur.
</v>
      </c>
      <c r="C4544" s="1488">
        <f t="shared" si="688"/>
        <v>0</v>
      </c>
      <c r="D4544" s="1413" t="str">
        <f t="shared" si="688"/>
        <v>-</v>
      </c>
      <c r="E4544" s="560">
        <f t="shared" si="688"/>
        <v>56</v>
      </c>
      <c r="F4544" s="1508">
        <f t="shared" si="689"/>
        <v>56</v>
      </c>
      <c r="G4544" s="1508">
        <f t="shared" si="690"/>
        <v>56</v>
      </c>
      <c r="H4544" s="1508">
        <f t="shared" si="682"/>
        <v>0</v>
      </c>
      <c r="I4544" s="1480">
        <v>0</v>
      </c>
      <c r="J4544" s="1480">
        <v>0</v>
      </c>
      <c r="K4544" s="1508"/>
      <c r="L4544" s="1508"/>
      <c r="M4544" s="1509">
        <f t="shared" si="683"/>
        <v>0</v>
      </c>
      <c r="N4544" s="1508">
        <f t="shared" si="684"/>
        <v>0</v>
      </c>
    </row>
    <row r="4545" spans="1:14" ht="31" outlineLevel="1" x14ac:dyDescent="0.25">
      <c r="A4545" s="1486">
        <f t="shared" si="688"/>
        <v>4</v>
      </c>
      <c r="B4545" s="1491" t="str">
        <f t="shared" si="688"/>
        <v>Various work for renovation &amp; improvement of ash disposal pipeline system of Unit # 5 &amp; 6 at  CSTPS, Chandrapur.</v>
      </c>
      <c r="C4545" s="1488">
        <f t="shared" si="688"/>
        <v>0</v>
      </c>
      <c r="D4545" s="1413" t="str">
        <f t="shared" si="688"/>
        <v>-</v>
      </c>
      <c r="E4545" s="560">
        <f t="shared" si="688"/>
        <v>58.37</v>
      </c>
      <c r="F4545" s="1508">
        <f t="shared" si="689"/>
        <v>0</v>
      </c>
      <c r="G4545" s="1508">
        <f t="shared" si="690"/>
        <v>0</v>
      </c>
      <c r="H4545" s="1508">
        <f t="shared" si="682"/>
        <v>0</v>
      </c>
      <c r="I4545" s="1480">
        <v>0</v>
      </c>
      <c r="J4545" s="1480">
        <v>0</v>
      </c>
      <c r="K4545" s="1508"/>
      <c r="L4545" s="1508"/>
      <c r="M4545" s="1509">
        <f t="shared" si="683"/>
        <v>0</v>
      </c>
      <c r="N4545" s="1508">
        <f t="shared" si="684"/>
        <v>0</v>
      </c>
    </row>
    <row r="4546" spans="1:14" ht="31" outlineLevel="1" x14ac:dyDescent="0.25">
      <c r="A4546" s="1492">
        <f t="shared" si="688"/>
        <v>0</v>
      </c>
      <c r="B4546" s="1492" t="str">
        <f t="shared" si="688"/>
        <v>Supply, Erection &amp; commissioning of third 400 NB ash slurry disposal pipeline for Unit #5 at CSTPS, Chandrapur</v>
      </c>
      <c r="C4546" s="1488">
        <f t="shared" si="688"/>
        <v>0</v>
      </c>
      <c r="D4546" s="1413" t="str">
        <f t="shared" si="688"/>
        <v>-</v>
      </c>
      <c r="E4546" s="560">
        <f t="shared" si="688"/>
        <v>20.190000000000001</v>
      </c>
      <c r="F4546" s="1508">
        <f t="shared" si="689"/>
        <v>20.190000000000001</v>
      </c>
      <c r="G4546" s="1508">
        <f t="shared" si="690"/>
        <v>20.190000000000001</v>
      </c>
      <c r="H4546" s="1508">
        <f t="shared" si="682"/>
        <v>0</v>
      </c>
      <c r="I4546" s="1480">
        <v>0</v>
      </c>
      <c r="J4546" s="1480">
        <v>0</v>
      </c>
      <c r="K4546" s="1508"/>
      <c r="L4546" s="1508"/>
      <c r="M4546" s="1509">
        <f t="shared" si="683"/>
        <v>0</v>
      </c>
      <c r="N4546" s="1508">
        <f t="shared" si="684"/>
        <v>0</v>
      </c>
    </row>
    <row r="4547" spans="1:14" ht="46.5" outlineLevel="1" x14ac:dyDescent="0.25">
      <c r="A4547" s="1492">
        <f t="shared" si="688"/>
        <v>0</v>
      </c>
      <c r="B4547" s="1492" t="str">
        <f t="shared" si="688"/>
        <v>Supply, Erection, Replacement of 400 NB MSERW pipes of existing Ash disposal pipelines of Unit # 5 &amp; 6 in ‘B’ &amp; ‘C’ zone at CSTPS, Chandrapur.</v>
      </c>
      <c r="C4547" s="1488">
        <f t="shared" si="688"/>
        <v>0</v>
      </c>
      <c r="D4547" s="1413" t="str">
        <f t="shared" si="688"/>
        <v>-</v>
      </c>
      <c r="E4547" s="560">
        <f t="shared" si="688"/>
        <v>38.18</v>
      </c>
      <c r="F4547" s="1508">
        <f t="shared" si="689"/>
        <v>38.18</v>
      </c>
      <c r="G4547" s="1508">
        <f t="shared" si="690"/>
        <v>38.18</v>
      </c>
      <c r="H4547" s="1508">
        <f t="shared" si="682"/>
        <v>0</v>
      </c>
      <c r="I4547" s="1480">
        <v>0</v>
      </c>
      <c r="J4547" s="1480">
        <v>0</v>
      </c>
      <c r="K4547" s="1508"/>
      <c r="L4547" s="1508"/>
      <c r="M4547" s="1509">
        <f t="shared" si="683"/>
        <v>0</v>
      </c>
      <c r="N4547" s="1508">
        <f t="shared" si="684"/>
        <v>0</v>
      </c>
    </row>
    <row r="4548" spans="1:14" ht="46.5" outlineLevel="1" x14ac:dyDescent="0.25">
      <c r="A4548" s="1486">
        <f t="shared" si="688"/>
        <v>5</v>
      </c>
      <c r="B4548" s="1491" t="str">
        <f t="shared" si="688"/>
        <v>Design, engineering, supply, installation and commissioning of disposal of bottom ash in under ground mines at Chandrapur area WCL at CSTPS, Chandrapur</v>
      </c>
      <c r="C4548" s="1488">
        <f t="shared" si="688"/>
        <v>0</v>
      </c>
      <c r="D4548" s="1413" t="str">
        <f t="shared" si="688"/>
        <v>-</v>
      </c>
      <c r="E4548" s="560">
        <f t="shared" si="688"/>
        <v>27.55</v>
      </c>
      <c r="F4548" s="1508">
        <f t="shared" si="689"/>
        <v>0</v>
      </c>
      <c r="G4548" s="1508">
        <f t="shared" si="690"/>
        <v>0</v>
      </c>
      <c r="H4548" s="1508">
        <f t="shared" si="682"/>
        <v>0</v>
      </c>
      <c r="I4548" s="1480">
        <v>0</v>
      </c>
      <c r="J4548" s="1480">
        <v>0</v>
      </c>
      <c r="K4548" s="1508"/>
      <c r="L4548" s="1508"/>
      <c r="M4548" s="1509">
        <f t="shared" si="683"/>
        <v>0</v>
      </c>
      <c r="N4548" s="1508">
        <f t="shared" si="684"/>
        <v>0</v>
      </c>
    </row>
    <row r="4549" spans="1:14" ht="46.5" outlineLevel="1" x14ac:dyDescent="0.25">
      <c r="A4549" s="1492">
        <f t="shared" si="688"/>
        <v>0</v>
      </c>
      <c r="B4549" s="1492" t="str">
        <f t="shared" si="688"/>
        <v>Design, engineering, supply, installation and commissioning of disposal of bottom ash in under ground mines at Chandrapur area WCL at CSTPS, Chandrapur</v>
      </c>
      <c r="C4549" s="1488">
        <f t="shared" si="688"/>
        <v>0</v>
      </c>
      <c r="D4549" s="1413" t="str">
        <f t="shared" si="688"/>
        <v>-</v>
      </c>
      <c r="E4549" s="560">
        <f t="shared" si="688"/>
        <v>27.55</v>
      </c>
      <c r="F4549" s="1508">
        <f t="shared" si="689"/>
        <v>27.55</v>
      </c>
      <c r="G4549" s="1508">
        <f t="shared" si="690"/>
        <v>27.55</v>
      </c>
      <c r="H4549" s="1508">
        <f t="shared" si="682"/>
        <v>0</v>
      </c>
      <c r="I4549" s="1480">
        <v>0</v>
      </c>
      <c r="J4549" s="1480">
        <v>0</v>
      </c>
      <c r="K4549" s="1508"/>
      <c r="L4549" s="1508"/>
      <c r="M4549" s="1509">
        <f t="shared" si="683"/>
        <v>0</v>
      </c>
      <c r="N4549" s="1508">
        <f t="shared" si="684"/>
        <v>0</v>
      </c>
    </row>
    <row r="4550" spans="1:14" ht="31" outlineLevel="1" x14ac:dyDescent="0.25">
      <c r="A4550" s="1486">
        <f t="shared" si="688"/>
        <v>6</v>
      </c>
      <c r="B4550" s="1491" t="str">
        <f t="shared" si="688"/>
        <v>Supply and replacement of 400 NB MSERW pipe lines of ash disposal system in Ash Handling Plant at CSTPS, Chandrapur.</v>
      </c>
      <c r="C4550" s="1488">
        <f t="shared" si="688"/>
        <v>0</v>
      </c>
      <c r="D4550" s="1413" t="str">
        <f t="shared" si="688"/>
        <v>-</v>
      </c>
      <c r="E4550" s="560">
        <f t="shared" si="688"/>
        <v>81.06</v>
      </c>
      <c r="F4550" s="1508">
        <f t="shared" si="689"/>
        <v>0</v>
      </c>
      <c r="G4550" s="1508">
        <f t="shared" si="690"/>
        <v>0</v>
      </c>
      <c r="H4550" s="1508">
        <f t="shared" si="682"/>
        <v>0</v>
      </c>
      <c r="I4550" s="1480">
        <v>0</v>
      </c>
      <c r="J4550" s="1480">
        <v>0</v>
      </c>
      <c r="K4550" s="1508"/>
      <c r="L4550" s="1508"/>
      <c r="M4550" s="1509">
        <f t="shared" si="683"/>
        <v>0</v>
      </c>
      <c r="N4550" s="1508">
        <f t="shared" si="684"/>
        <v>0</v>
      </c>
    </row>
    <row r="4551" spans="1:14" ht="46.5" outlineLevel="1" x14ac:dyDescent="0.25">
      <c r="A4551" s="1492">
        <f t="shared" si="688"/>
        <v>0</v>
      </c>
      <c r="B4551" s="1492" t="str">
        <f t="shared" si="688"/>
        <v>Procurement and replacement of 400 NB MSERW pipe lines of ash disposal system in Ash Handling Plant at CSTPS, Chandrapur.</v>
      </c>
      <c r="C4551" s="1488">
        <f t="shared" si="688"/>
        <v>0</v>
      </c>
      <c r="D4551" s="1413" t="str">
        <f t="shared" si="688"/>
        <v>-</v>
      </c>
      <c r="E4551" s="560">
        <f t="shared" si="688"/>
        <v>81.06</v>
      </c>
      <c r="F4551" s="1508">
        <f t="shared" si="689"/>
        <v>38.56</v>
      </c>
      <c r="G4551" s="1508">
        <f t="shared" si="690"/>
        <v>38.56</v>
      </c>
      <c r="H4551" s="1508">
        <f t="shared" si="682"/>
        <v>0</v>
      </c>
      <c r="I4551" s="1480">
        <v>20.73</v>
      </c>
      <c r="J4551" s="1480">
        <v>20.73</v>
      </c>
      <c r="K4551" s="1508"/>
      <c r="L4551" s="1508"/>
      <c r="M4551" s="1509">
        <f t="shared" si="683"/>
        <v>20.73</v>
      </c>
      <c r="N4551" s="1508">
        <f t="shared" si="684"/>
        <v>0</v>
      </c>
    </row>
    <row r="4552" spans="1:14" ht="15.5" outlineLevel="1" x14ac:dyDescent="0.25">
      <c r="A4552" s="1504">
        <f t="shared" si="688"/>
        <v>0</v>
      </c>
      <c r="B4552" s="1504" t="str">
        <f t="shared" si="688"/>
        <v>WTP-II</v>
      </c>
      <c r="C4552" s="1488">
        <f t="shared" si="688"/>
        <v>0</v>
      </c>
      <c r="D4552" s="1413" t="str">
        <f t="shared" si="688"/>
        <v>-</v>
      </c>
      <c r="E4552" s="560">
        <f t="shared" si="688"/>
        <v>0</v>
      </c>
      <c r="F4552" s="1508">
        <f t="shared" si="689"/>
        <v>0</v>
      </c>
      <c r="G4552" s="1508">
        <f t="shared" si="690"/>
        <v>0</v>
      </c>
      <c r="H4552" s="1508">
        <f t="shared" si="682"/>
        <v>0</v>
      </c>
      <c r="I4552" s="1480">
        <v>0</v>
      </c>
      <c r="J4552" s="1480">
        <v>0</v>
      </c>
      <c r="K4552" s="1508"/>
      <c r="L4552" s="1508"/>
      <c r="M4552" s="1509">
        <f t="shared" si="683"/>
        <v>0</v>
      </c>
      <c r="N4552" s="1508">
        <f t="shared" si="684"/>
        <v>0</v>
      </c>
    </row>
    <row r="4553" spans="1:14" ht="31" outlineLevel="1" x14ac:dyDescent="0.25">
      <c r="A4553" s="1486">
        <f t="shared" si="688"/>
        <v>1</v>
      </c>
      <c r="B4553" s="1491" t="str">
        <f t="shared" si="688"/>
        <v xml:space="preserve">SWAS system &amp; STREAM FILTRATION FOR COOLING WATER SYSTEM </v>
      </c>
      <c r="C4553" s="1488">
        <f t="shared" si="688"/>
        <v>0</v>
      </c>
      <c r="D4553" s="1413" t="str">
        <f t="shared" si="688"/>
        <v>-</v>
      </c>
      <c r="E4553" s="560">
        <f t="shared" si="688"/>
        <v>95.65</v>
      </c>
      <c r="F4553" s="1508">
        <f t="shared" si="689"/>
        <v>0</v>
      </c>
      <c r="G4553" s="1508">
        <f t="shared" si="690"/>
        <v>0</v>
      </c>
      <c r="H4553" s="1508">
        <f t="shared" si="682"/>
        <v>0</v>
      </c>
      <c r="I4553" s="1480">
        <v>0</v>
      </c>
      <c r="J4553" s="1480">
        <v>0</v>
      </c>
      <c r="K4553" s="1508"/>
      <c r="L4553" s="1508"/>
      <c r="M4553" s="1509">
        <f t="shared" si="683"/>
        <v>0</v>
      </c>
      <c r="N4553" s="1508">
        <f t="shared" si="684"/>
        <v>0</v>
      </c>
    </row>
    <row r="4554" spans="1:14" ht="31" outlineLevel="1" x14ac:dyDescent="0.25">
      <c r="A4554" s="1492">
        <f t="shared" si="688"/>
        <v>0</v>
      </c>
      <c r="B4554" s="1492" t="str">
        <f t="shared" si="688"/>
        <v>Revamping of SWAS system at 3 x 500 MW at WTP-II of CSTPS, Chandrapur</v>
      </c>
      <c r="C4554" s="1488">
        <f t="shared" si="688"/>
        <v>0</v>
      </c>
      <c r="D4554" s="1413" t="str">
        <f t="shared" si="688"/>
        <v>-</v>
      </c>
      <c r="E4554" s="560">
        <f t="shared" si="688"/>
        <v>16</v>
      </c>
      <c r="F4554" s="1508">
        <f t="shared" si="689"/>
        <v>16</v>
      </c>
      <c r="G4554" s="1508">
        <f t="shared" si="690"/>
        <v>16</v>
      </c>
      <c r="H4554" s="1508">
        <f t="shared" si="682"/>
        <v>0</v>
      </c>
      <c r="I4554" s="1480">
        <v>0</v>
      </c>
      <c r="J4554" s="1480">
        <v>0</v>
      </c>
      <c r="K4554" s="1508"/>
      <c r="L4554" s="1508"/>
      <c r="M4554" s="1509">
        <f t="shared" si="683"/>
        <v>0</v>
      </c>
      <c r="N4554" s="1508">
        <f t="shared" si="684"/>
        <v>0</v>
      </c>
    </row>
    <row r="4555" spans="1:14" ht="31" outlineLevel="1" x14ac:dyDescent="0.25">
      <c r="A4555" s="1492">
        <f t="shared" si="688"/>
        <v>0</v>
      </c>
      <c r="B4555" s="1492" t="str">
        <f t="shared" si="688"/>
        <v>STREAM FILTRATION FOR COOLING WATER SYSTEM OF UNIT 5,6,7,8 and 9 OF CSTPS CHANDRAPUR</v>
      </c>
      <c r="C4555" s="1488">
        <f t="shared" si="688"/>
        <v>0</v>
      </c>
      <c r="D4555" s="1413" t="str">
        <f t="shared" si="688"/>
        <v>-</v>
      </c>
      <c r="E4555" s="560">
        <f t="shared" si="688"/>
        <v>85.529939999999996</v>
      </c>
      <c r="F4555" s="1508">
        <f t="shared" si="689"/>
        <v>0</v>
      </c>
      <c r="G4555" s="1508">
        <f t="shared" si="690"/>
        <v>0</v>
      </c>
      <c r="H4555" s="1508">
        <f t="shared" si="682"/>
        <v>0</v>
      </c>
      <c r="I4555" s="1480">
        <v>85.529939999999996</v>
      </c>
      <c r="J4555" s="1480">
        <v>85.529939999999996</v>
      </c>
      <c r="K4555" s="1508"/>
      <c r="L4555" s="1508"/>
      <c r="M4555" s="1509">
        <f t="shared" si="683"/>
        <v>85.529939999999996</v>
      </c>
      <c r="N4555" s="1508">
        <f t="shared" si="684"/>
        <v>0</v>
      </c>
    </row>
    <row r="4556" spans="1:14" ht="15.5" outlineLevel="1" x14ac:dyDescent="0.25">
      <c r="A4556" s="1504">
        <f t="shared" si="688"/>
        <v>0</v>
      </c>
      <c r="B4556" s="1504" t="str">
        <f t="shared" si="688"/>
        <v>CHP-B</v>
      </c>
      <c r="C4556" s="1488">
        <f t="shared" si="688"/>
        <v>0</v>
      </c>
      <c r="D4556" s="1413" t="str">
        <f t="shared" si="688"/>
        <v>-</v>
      </c>
      <c r="E4556" s="560">
        <f t="shared" si="688"/>
        <v>0</v>
      </c>
      <c r="F4556" s="1508">
        <f t="shared" si="689"/>
        <v>0</v>
      </c>
      <c r="G4556" s="1508">
        <f t="shared" si="690"/>
        <v>0</v>
      </c>
      <c r="H4556" s="1508">
        <f t="shared" ref="H4556:H4619" si="691">F4556-G4556</f>
        <v>0</v>
      </c>
      <c r="I4556" s="1480">
        <v>0</v>
      </c>
      <c r="J4556" s="1480">
        <v>0</v>
      </c>
      <c r="K4556" s="1508"/>
      <c r="L4556" s="1508"/>
      <c r="M4556" s="1509">
        <f t="shared" ref="M4556:M4619" si="692">SUM(J4556:L4556)</f>
        <v>0</v>
      </c>
      <c r="N4556" s="1508">
        <f t="shared" ref="N4556:N4619" si="693">H4556+I4556-M4556</f>
        <v>0</v>
      </c>
    </row>
    <row r="4557" spans="1:14" ht="46.5" outlineLevel="1" x14ac:dyDescent="0.25">
      <c r="A4557" s="1486">
        <f t="shared" si="688"/>
        <v>1</v>
      </c>
      <c r="B4557" s="1491" t="str">
        <f t="shared" si="688"/>
        <v xml:space="preserve">Renovation of Bunker Hopper of Unit 5&amp;6 along with coal flow system &amp;  Design, Engineering, Manufacturing, Fabrication, Erection and commissioning of Modified Wobbler Feeder at CHPC </v>
      </c>
      <c r="C4557" s="1488">
        <f t="shared" si="688"/>
        <v>0</v>
      </c>
      <c r="D4557" s="1413" t="str">
        <f t="shared" si="688"/>
        <v>-</v>
      </c>
      <c r="E4557" s="560">
        <f t="shared" si="688"/>
        <v>38</v>
      </c>
      <c r="F4557" s="1508">
        <f t="shared" si="689"/>
        <v>0</v>
      </c>
      <c r="G4557" s="1508">
        <f t="shared" si="690"/>
        <v>0</v>
      </c>
      <c r="H4557" s="1508">
        <f t="shared" si="691"/>
        <v>0</v>
      </c>
      <c r="I4557" s="1480">
        <v>0</v>
      </c>
      <c r="J4557" s="1480">
        <v>0</v>
      </c>
      <c r="K4557" s="1508"/>
      <c r="L4557" s="1508"/>
      <c r="M4557" s="1509">
        <f t="shared" si="692"/>
        <v>0</v>
      </c>
      <c r="N4557" s="1508">
        <f t="shared" si="693"/>
        <v>0</v>
      </c>
    </row>
    <row r="4558" spans="1:14" ht="46.5" outlineLevel="1" x14ac:dyDescent="0.25">
      <c r="A4558" s="1492">
        <f t="shared" ref="A4558:E4573" si="694">A3888</f>
        <v>0</v>
      </c>
      <c r="B4558" s="1492" t="str">
        <f t="shared" si="694"/>
        <v>Scheme-1 Work of Modification,Upgradation &amp; renovation of Bunker Hopper of Unit 5&amp;6 along with coal flow system at CSTPS Chandrapur</v>
      </c>
      <c r="C4558" s="1488">
        <f t="shared" si="694"/>
        <v>0</v>
      </c>
      <c r="D4558" s="1413" t="str">
        <f t="shared" si="694"/>
        <v>-</v>
      </c>
      <c r="E4558" s="560">
        <f t="shared" si="694"/>
        <v>16</v>
      </c>
      <c r="F4558" s="1508">
        <f t="shared" si="689"/>
        <v>16</v>
      </c>
      <c r="G4558" s="1508">
        <f t="shared" si="690"/>
        <v>16</v>
      </c>
      <c r="H4558" s="1508">
        <f t="shared" si="691"/>
        <v>0</v>
      </c>
      <c r="I4558" s="1480">
        <v>0</v>
      </c>
      <c r="J4558" s="1480">
        <v>0</v>
      </c>
      <c r="K4558" s="1508"/>
      <c r="L4558" s="1508"/>
      <c r="M4558" s="1509">
        <f t="shared" si="692"/>
        <v>0</v>
      </c>
      <c r="N4558" s="1508">
        <f t="shared" si="693"/>
        <v>0</v>
      </c>
    </row>
    <row r="4559" spans="1:14" ht="31" outlineLevel="1" x14ac:dyDescent="0.25">
      <c r="A4559" s="1492">
        <f t="shared" si="694"/>
        <v>0</v>
      </c>
      <c r="B4559" s="1492" t="str">
        <f t="shared" si="694"/>
        <v>Scheme-2 :- Renovation &amp; up gradation of conveyor gantries &amp; Travelling Tripper of CHPB.</v>
      </c>
      <c r="C4559" s="1488">
        <f t="shared" si="694"/>
        <v>0</v>
      </c>
      <c r="D4559" s="1413" t="str">
        <f t="shared" si="694"/>
        <v>-</v>
      </c>
      <c r="E4559" s="560">
        <f t="shared" si="694"/>
        <v>7</v>
      </c>
      <c r="F4559" s="1508">
        <f t="shared" si="689"/>
        <v>7</v>
      </c>
      <c r="G4559" s="1508">
        <f t="shared" si="690"/>
        <v>7</v>
      </c>
      <c r="H4559" s="1508">
        <f t="shared" si="691"/>
        <v>0</v>
      </c>
      <c r="I4559" s="1480">
        <v>0</v>
      </c>
      <c r="J4559" s="1480">
        <v>0</v>
      </c>
      <c r="K4559" s="1508"/>
      <c r="L4559" s="1508"/>
      <c r="M4559" s="1509">
        <f t="shared" si="692"/>
        <v>0</v>
      </c>
      <c r="N4559" s="1508">
        <f t="shared" si="693"/>
        <v>0</v>
      </c>
    </row>
    <row r="4560" spans="1:14" ht="46.5" outlineLevel="1" x14ac:dyDescent="0.25">
      <c r="A4560" s="1492">
        <f t="shared" si="694"/>
        <v>0</v>
      </c>
      <c r="B4560" s="1492" t="str">
        <f t="shared" si="694"/>
        <v>Scheme-3 :- Design, Engineering, Manufacturing, Fabrication, Erection and commissioning of Modified Wobbler Feeder at CHPC of Unit 6&amp;7 of CSTPS Chandrapur</v>
      </c>
      <c r="C4560" s="1488">
        <f t="shared" si="694"/>
        <v>0</v>
      </c>
      <c r="D4560" s="1413" t="str">
        <f t="shared" si="694"/>
        <v>-</v>
      </c>
      <c r="E4560" s="560">
        <f t="shared" si="694"/>
        <v>5</v>
      </c>
      <c r="F4560" s="1508">
        <f t="shared" si="689"/>
        <v>5</v>
      </c>
      <c r="G4560" s="1508">
        <f t="shared" si="690"/>
        <v>5</v>
      </c>
      <c r="H4560" s="1508">
        <f t="shared" si="691"/>
        <v>0</v>
      </c>
      <c r="I4560" s="1480">
        <v>0</v>
      </c>
      <c r="J4560" s="1480">
        <v>0</v>
      </c>
      <c r="K4560" s="1508"/>
      <c r="L4560" s="1508"/>
      <c r="M4560" s="1509">
        <f t="shared" si="692"/>
        <v>0</v>
      </c>
      <c r="N4560" s="1508">
        <f t="shared" si="693"/>
        <v>0</v>
      </c>
    </row>
    <row r="4561" spans="1:14" ht="31" outlineLevel="1" x14ac:dyDescent="0.25">
      <c r="A4561" s="1486">
        <f t="shared" si="694"/>
        <v>2</v>
      </c>
      <c r="B4561" s="1491" t="str">
        <f t="shared" si="694"/>
        <v xml:space="preserve">installation &amp; commissioning of various LV and MV drives at CHPA &amp; Automation of Control Room of CHPA/B </v>
      </c>
      <c r="C4561" s="1488">
        <f t="shared" si="694"/>
        <v>0</v>
      </c>
      <c r="D4561" s="1413" t="str">
        <f t="shared" si="694"/>
        <v>-</v>
      </c>
      <c r="E4561" s="560">
        <f t="shared" si="694"/>
        <v>75</v>
      </c>
      <c r="F4561" s="1508">
        <f t="shared" si="689"/>
        <v>0</v>
      </c>
      <c r="G4561" s="1508">
        <f t="shared" si="690"/>
        <v>0</v>
      </c>
      <c r="H4561" s="1508">
        <f t="shared" si="691"/>
        <v>0</v>
      </c>
      <c r="I4561" s="1480">
        <v>0</v>
      </c>
      <c r="J4561" s="1480">
        <v>0</v>
      </c>
      <c r="K4561" s="1508"/>
      <c r="L4561" s="1508"/>
      <c r="M4561" s="1509">
        <f t="shared" si="692"/>
        <v>0</v>
      </c>
      <c r="N4561" s="1508">
        <f t="shared" si="693"/>
        <v>0</v>
      </c>
    </row>
    <row r="4562" spans="1:14" ht="31" outlineLevel="1" x14ac:dyDescent="0.25">
      <c r="A4562" s="1492">
        <f t="shared" si="694"/>
        <v>0</v>
      </c>
      <c r="B4562" s="1492" t="str">
        <f t="shared" si="694"/>
        <v>Scheme-1 Design, Engineering, supply, installation &amp; commissioning of various LV and MV drives at CHPA</v>
      </c>
      <c r="C4562" s="1488">
        <f t="shared" si="694"/>
        <v>0</v>
      </c>
      <c r="D4562" s="1413" t="str">
        <f t="shared" si="694"/>
        <v>-</v>
      </c>
      <c r="E4562" s="560">
        <f t="shared" si="694"/>
        <v>39</v>
      </c>
      <c r="F4562" s="1508">
        <f t="shared" si="689"/>
        <v>39</v>
      </c>
      <c r="G4562" s="1508">
        <f t="shared" si="690"/>
        <v>39</v>
      </c>
      <c r="H4562" s="1508">
        <f t="shared" si="691"/>
        <v>0</v>
      </c>
      <c r="I4562" s="1480">
        <v>0</v>
      </c>
      <c r="J4562" s="1480">
        <v>0</v>
      </c>
      <c r="K4562" s="1508"/>
      <c r="L4562" s="1508"/>
      <c r="M4562" s="1509">
        <f t="shared" si="692"/>
        <v>0</v>
      </c>
      <c r="N4562" s="1508">
        <f t="shared" si="693"/>
        <v>0</v>
      </c>
    </row>
    <row r="4563" spans="1:14" ht="15.5" outlineLevel="1" x14ac:dyDescent="0.25">
      <c r="A4563" s="1492">
        <f t="shared" si="694"/>
        <v>0</v>
      </c>
      <c r="B4563" s="1492" t="str">
        <f t="shared" si="694"/>
        <v xml:space="preserve">Scheme-2 Automation of Control Room of CHPA/B </v>
      </c>
      <c r="C4563" s="1488">
        <f t="shared" si="694"/>
        <v>0</v>
      </c>
      <c r="D4563" s="1413" t="str">
        <f t="shared" si="694"/>
        <v>-</v>
      </c>
      <c r="E4563" s="560">
        <f t="shared" si="694"/>
        <v>15</v>
      </c>
      <c r="F4563" s="1508">
        <f t="shared" si="689"/>
        <v>15</v>
      </c>
      <c r="G4563" s="1508">
        <f t="shared" si="690"/>
        <v>15</v>
      </c>
      <c r="H4563" s="1508">
        <f t="shared" si="691"/>
        <v>0</v>
      </c>
      <c r="I4563" s="1480">
        <v>0</v>
      </c>
      <c r="J4563" s="1480">
        <v>0</v>
      </c>
      <c r="K4563" s="1508"/>
      <c r="L4563" s="1508"/>
      <c r="M4563" s="1509">
        <f t="shared" si="692"/>
        <v>0</v>
      </c>
      <c r="N4563" s="1508">
        <f t="shared" si="693"/>
        <v>0</v>
      </c>
    </row>
    <row r="4564" spans="1:14" ht="31" outlineLevel="1" x14ac:dyDescent="0.25">
      <c r="A4564" s="1492">
        <f t="shared" si="694"/>
        <v>0</v>
      </c>
      <c r="B4564" s="1492" t="str">
        <f t="shared" si="694"/>
        <v>Scheme-3 Design, Engineering, supply, installation &amp; commissioning of various MV VFD for Crusher 1,2,3&amp;4 at CHPB</v>
      </c>
      <c r="C4564" s="1488">
        <f t="shared" si="694"/>
        <v>0</v>
      </c>
      <c r="D4564" s="1413" t="str">
        <f t="shared" si="694"/>
        <v>-</v>
      </c>
      <c r="E4564" s="560">
        <f t="shared" si="694"/>
        <v>11</v>
      </c>
      <c r="F4564" s="1508">
        <f t="shared" si="689"/>
        <v>11</v>
      </c>
      <c r="G4564" s="1508">
        <f t="shared" si="690"/>
        <v>11</v>
      </c>
      <c r="H4564" s="1508">
        <f t="shared" si="691"/>
        <v>0</v>
      </c>
      <c r="I4564" s="1480">
        <v>0</v>
      </c>
      <c r="J4564" s="1480">
        <v>0</v>
      </c>
      <c r="K4564" s="1508"/>
      <c r="L4564" s="1508"/>
      <c r="M4564" s="1509">
        <f t="shared" si="692"/>
        <v>0</v>
      </c>
      <c r="N4564" s="1508">
        <f t="shared" si="693"/>
        <v>0</v>
      </c>
    </row>
    <row r="4565" spans="1:14" ht="31" outlineLevel="1" x14ac:dyDescent="0.25">
      <c r="A4565" s="1492">
        <f t="shared" si="694"/>
        <v>0</v>
      </c>
      <c r="B4565" s="1492" t="str">
        <f t="shared" si="694"/>
        <v>Scheme-4:- Renovation modernization of 11 KV PMCC Board at Sub-Station-2 of CHPB</v>
      </c>
      <c r="C4565" s="1488">
        <f t="shared" si="694"/>
        <v>0</v>
      </c>
      <c r="D4565" s="1413" t="str">
        <f t="shared" si="694"/>
        <v>-</v>
      </c>
      <c r="E4565" s="560">
        <f t="shared" si="694"/>
        <v>10</v>
      </c>
      <c r="F4565" s="1508">
        <f t="shared" si="689"/>
        <v>10</v>
      </c>
      <c r="G4565" s="1508">
        <f t="shared" si="690"/>
        <v>10</v>
      </c>
      <c r="H4565" s="1508">
        <f t="shared" si="691"/>
        <v>0</v>
      </c>
      <c r="I4565" s="1480">
        <v>0</v>
      </c>
      <c r="J4565" s="1480">
        <v>0</v>
      </c>
      <c r="K4565" s="1508"/>
      <c r="L4565" s="1508"/>
      <c r="M4565" s="1509">
        <f t="shared" si="692"/>
        <v>0</v>
      </c>
      <c r="N4565" s="1508">
        <f t="shared" si="693"/>
        <v>0</v>
      </c>
    </row>
    <row r="4566" spans="1:14" ht="46.5" outlineLevel="1" x14ac:dyDescent="0.25">
      <c r="A4566" s="1486">
        <f t="shared" si="694"/>
        <v>3</v>
      </c>
      <c r="B4566" s="1491" t="str">
        <f t="shared" si="694"/>
        <v>Renovation &amp; Upgrdation of Bunker lift &amp; Desgin, Engineering, supply, installation &amp; commissioning of Energy chain system at various locations of CHPB &amp; CHPC</v>
      </c>
      <c r="C4566" s="1488">
        <f t="shared" si="694"/>
        <v>0</v>
      </c>
      <c r="D4566" s="1413" t="str">
        <f t="shared" si="694"/>
        <v>-</v>
      </c>
      <c r="E4566" s="560">
        <f t="shared" si="694"/>
        <v>29</v>
      </c>
      <c r="F4566" s="1508">
        <f t="shared" si="689"/>
        <v>0</v>
      </c>
      <c r="G4566" s="1508">
        <f t="shared" si="690"/>
        <v>0</v>
      </c>
      <c r="H4566" s="1508">
        <f t="shared" si="691"/>
        <v>0</v>
      </c>
      <c r="I4566" s="1480">
        <v>0</v>
      </c>
      <c r="J4566" s="1480">
        <v>0</v>
      </c>
      <c r="K4566" s="1508"/>
      <c r="L4566" s="1508"/>
      <c r="M4566" s="1509">
        <f t="shared" si="692"/>
        <v>0</v>
      </c>
      <c r="N4566" s="1508">
        <f t="shared" si="693"/>
        <v>0</v>
      </c>
    </row>
    <row r="4567" spans="1:14" ht="31" outlineLevel="1" x14ac:dyDescent="0.25">
      <c r="A4567" s="1492">
        <f t="shared" si="694"/>
        <v>0</v>
      </c>
      <c r="B4567" s="1492" t="str">
        <f t="shared" si="694"/>
        <v>Scheme-1: Renovation &amp; Upgrdation of Bunker lift of Unit 5,6&amp;7 of CHPB</v>
      </c>
      <c r="C4567" s="1488">
        <f t="shared" si="694"/>
        <v>0</v>
      </c>
      <c r="D4567" s="1413" t="str">
        <f t="shared" si="694"/>
        <v>-</v>
      </c>
      <c r="E4567" s="560">
        <f t="shared" si="694"/>
        <v>9</v>
      </c>
      <c r="F4567" s="1508">
        <f t="shared" si="689"/>
        <v>9</v>
      </c>
      <c r="G4567" s="1508">
        <f t="shared" si="690"/>
        <v>9</v>
      </c>
      <c r="H4567" s="1508">
        <f t="shared" si="691"/>
        <v>0</v>
      </c>
      <c r="I4567" s="1480">
        <v>0</v>
      </c>
      <c r="J4567" s="1480">
        <v>0</v>
      </c>
      <c r="K4567" s="1508"/>
      <c r="L4567" s="1508"/>
      <c r="M4567" s="1509">
        <f t="shared" si="692"/>
        <v>0</v>
      </c>
      <c r="N4567" s="1508">
        <f t="shared" si="693"/>
        <v>0</v>
      </c>
    </row>
    <row r="4568" spans="1:14" ht="46.5" outlineLevel="1" x14ac:dyDescent="0.25">
      <c r="A4568" s="1492">
        <f t="shared" si="694"/>
        <v>0</v>
      </c>
      <c r="B4568" s="1492" t="str">
        <f t="shared" si="694"/>
        <v>Scheme-2:- Desgin, Engineering, supply, installation &amp; commissioning of Energy chain system at various locations of CHPB &amp; CHPC</v>
      </c>
      <c r="C4568" s="1488">
        <f t="shared" si="694"/>
        <v>0</v>
      </c>
      <c r="D4568" s="1413" t="str">
        <f t="shared" si="694"/>
        <v>-</v>
      </c>
      <c r="E4568" s="560">
        <f t="shared" si="694"/>
        <v>20</v>
      </c>
      <c r="F4568" s="1508">
        <f t="shared" si="689"/>
        <v>20</v>
      </c>
      <c r="G4568" s="1508">
        <f t="shared" si="690"/>
        <v>20</v>
      </c>
      <c r="H4568" s="1508">
        <f t="shared" si="691"/>
        <v>0</v>
      </c>
      <c r="I4568" s="1480">
        <v>0</v>
      </c>
      <c r="J4568" s="1480">
        <v>0</v>
      </c>
      <c r="K4568" s="1508"/>
      <c r="L4568" s="1508"/>
      <c r="M4568" s="1509">
        <f t="shared" si="692"/>
        <v>0</v>
      </c>
      <c r="N4568" s="1508">
        <f t="shared" si="693"/>
        <v>0</v>
      </c>
    </row>
    <row r="4569" spans="1:14" ht="31" outlineLevel="1" x14ac:dyDescent="0.25">
      <c r="A4569" s="1486">
        <f t="shared" si="694"/>
        <v>4</v>
      </c>
      <c r="B4569" s="1491" t="str">
        <f t="shared" si="694"/>
        <v xml:space="preserve">Upgradation of old ropeway, BC-108 A/B, installation of coal pile thermal monitoring system for stack pile of CHPA/B. </v>
      </c>
      <c r="C4569" s="1488">
        <f t="shared" si="694"/>
        <v>0</v>
      </c>
      <c r="D4569" s="1413" t="str">
        <f t="shared" si="694"/>
        <v>-</v>
      </c>
      <c r="E4569" s="560">
        <f t="shared" si="694"/>
        <v>29</v>
      </c>
      <c r="F4569" s="1508">
        <f t="shared" si="689"/>
        <v>0</v>
      </c>
      <c r="G4569" s="1508">
        <f t="shared" si="690"/>
        <v>0</v>
      </c>
      <c r="H4569" s="1508">
        <f t="shared" si="691"/>
        <v>0</v>
      </c>
      <c r="I4569" s="1480">
        <v>0</v>
      </c>
      <c r="J4569" s="1480">
        <v>0</v>
      </c>
      <c r="K4569" s="1508"/>
      <c r="L4569" s="1508"/>
      <c r="M4569" s="1509">
        <f t="shared" si="692"/>
        <v>0</v>
      </c>
      <c r="N4569" s="1508">
        <f t="shared" si="693"/>
        <v>0</v>
      </c>
    </row>
    <row r="4570" spans="1:14" ht="31" outlineLevel="1" x14ac:dyDescent="0.25">
      <c r="A4570" s="1492">
        <f t="shared" si="694"/>
        <v>0</v>
      </c>
      <c r="B4570" s="1492" t="str">
        <f t="shared" si="694"/>
        <v>Scheme-1 Work of Renovation &amp; upgradation of Ventilation system of CHPA&amp;CHPB.</v>
      </c>
      <c r="C4570" s="1488">
        <f t="shared" si="694"/>
        <v>0</v>
      </c>
      <c r="D4570" s="1413" t="str">
        <f t="shared" si="694"/>
        <v>-</v>
      </c>
      <c r="E4570" s="560">
        <f t="shared" si="694"/>
        <v>8</v>
      </c>
      <c r="F4570" s="1508">
        <f t="shared" si="689"/>
        <v>8</v>
      </c>
      <c r="G4570" s="1508">
        <f t="shared" si="690"/>
        <v>8</v>
      </c>
      <c r="H4570" s="1508">
        <f t="shared" si="691"/>
        <v>0</v>
      </c>
      <c r="I4570" s="1480">
        <v>0</v>
      </c>
      <c r="J4570" s="1480">
        <v>0</v>
      </c>
      <c r="K4570" s="1508"/>
      <c r="L4570" s="1508"/>
      <c r="M4570" s="1509">
        <f t="shared" si="692"/>
        <v>0</v>
      </c>
      <c r="N4570" s="1508">
        <f t="shared" si="693"/>
        <v>0</v>
      </c>
    </row>
    <row r="4571" spans="1:14" ht="46.5" outlineLevel="1" x14ac:dyDescent="0.25">
      <c r="A4571" s="1492">
        <f t="shared" si="694"/>
        <v>0</v>
      </c>
      <c r="B4571" s="1492" t="str">
        <f t="shared" si="694"/>
        <v>Scheme-2: Design, Engineering, Supply, fabrication, Erection, installation &amp; commissioning of modified take up arrangement for BC 108A/B of CHPB.</v>
      </c>
      <c r="C4571" s="1488">
        <f t="shared" si="694"/>
        <v>0</v>
      </c>
      <c r="D4571" s="1413" t="str">
        <f t="shared" si="694"/>
        <v>-</v>
      </c>
      <c r="E4571" s="560">
        <f t="shared" si="694"/>
        <v>4</v>
      </c>
      <c r="F4571" s="1508">
        <f t="shared" si="689"/>
        <v>4</v>
      </c>
      <c r="G4571" s="1508">
        <f t="shared" si="690"/>
        <v>4</v>
      </c>
      <c r="H4571" s="1508">
        <f t="shared" si="691"/>
        <v>0</v>
      </c>
      <c r="I4571" s="1480">
        <v>0</v>
      </c>
      <c r="J4571" s="1480">
        <v>0</v>
      </c>
      <c r="K4571" s="1508"/>
      <c r="L4571" s="1508"/>
      <c r="M4571" s="1509">
        <f t="shared" si="692"/>
        <v>0</v>
      </c>
      <c r="N4571" s="1508">
        <f t="shared" si="693"/>
        <v>0</v>
      </c>
    </row>
    <row r="4572" spans="1:14" ht="31" outlineLevel="1" x14ac:dyDescent="0.25">
      <c r="A4572" s="1492">
        <f t="shared" si="694"/>
        <v>0</v>
      </c>
      <c r="B4572" s="1492" t="str">
        <f t="shared" si="694"/>
        <v>Scheme-3: Design, Engineering, supply &amp; installation of coal pile thermal monitoring system for stack pile of CHPA/B.</v>
      </c>
      <c r="C4572" s="1488">
        <f t="shared" si="694"/>
        <v>0</v>
      </c>
      <c r="D4572" s="1413" t="str">
        <f t="shared" si="694"/>
        <v>-</v>
      </c>
      <c r="E4572" s="560">
        <f t="shared" si="694"/>
        <v>8</v>
      </c>
      <c r="F4572" s="1508">
        <f t="shared" si="689"/>
        <v>8</v>
      </c>
      <c r="G4572" s="1508">
        <f t="shared" si="690"/>
        <v>8</v>
      </c>
      <c r="H4572" s="1508">
        <f t="shared" si="691"/>
        <v>0</v>
      </c>
      <c r="I4572" s="1480">
        <v>0</v>
      </c>
      <c r="J4572" s="1480">
        <v>0</v>
      </c>
      <c r="K4572" s="1508"/>
      <c r="L4572" s="1508"/>
      <c r="M4572" s="1509">
        <f t="shared" si="692"/>
        <v>0</v>
      </c>
      <c r="N4572" s="1508">
        <f t="shared" si="693"/>
        <v>0</v>
      </c>
    </row>
    <row r="4573" spans="1:14" ht="31" outlineLevel="1" x14ac:dyDescent="0.25">
      <c r="A4573" s="1492">
        <f t="shared" si="694"/>
        <v>0</v>
      </c>
      <c r="B4573" s="1492" t="str">
        <f t="shared" si="694"/>
        <v>Scheme-3: Design, Engineering, supply &amp; installation of Belt Tear Detector system for belt conveyor system of CHPB.</v>
      </c>
      <c r="C4573" s="1488">
        <f t="shared" si="694"/>
        <v>0</v>
      </c>
      <c r="D4573" s="1413" t="str">
        <f t="shared" si="694"/>
        <v>-</v>
      </c>
      <c r="E4573" s="560">
        <f t="shared" si="694"/>
        <v>4</v>
      </c>
      <c r="F4573" s="1508">
        <f t="shared" si="689"/>
        <v>4</v>
      </c>
      <c r="G4573" s="1508">
        <f t="shared" si="690"/>
        <v>4</v>
      </c>
      <c r="H4573" s="1508">
        <f t="shared" si="691"/>
        <v>0</v>
      </c>
      <c r="I4573" s="1480">
        <v>0</v>
      </c>
      <c r="J4573" s="1480">
        <v>0</v>
      </c>
      <c r="K4573" s="1508"/>
      <c r="L4573" s="1508"/>
      <c r="M4573" s="1509">
        <f t="shared" si="692"/>
        <v>0</v>
      </c>
      <c r="N4573" s="1508">
        <f t="shared" si="693"/>
        <v>0</v>
      </c>
    </row>
    <row r="4574" spans="1:14" ht="31" outlineLevel="1" x14ac:dyDescent="0.25">
      <c r="A4574" s="1492">
        <f t="shared" ref="A4574:E4589" si="695">A3904</f>
        <v>0</v>
      </c>
      <c r="B4574" s="1492" t="str">
        <f t="shared" si="695"/>
        <v>Scheme-4: Capacity Enhancement of Belt Conveyor Drives of CHPB by upgrdation of conveyor drvie system.</v>
      </c>
      <c r="C4574" s="1488">
        <f t="shared" si="695"/>
        <v>0</v>
      </c>
      <c r="D4574" s="1413" t="str">
        <f t="shared" si="695"/>
        <v>-</v>
      </c>
      <c r="E4574" s="560">
        <f t="shared" si="695"/>
        <v>5</v>
      </c>
      <c r="F4574" s="1508">
        <f t="shared" si="689"/>
        <v>5</v>
      </c>
      <c r="G4574" s="1508">
        <f t="shared" si="690"/>
        <v>5</v>
      </c>
      <c r="H4574" s="1508">
        <f t="shared" si="691"/>
        <v>0</v>
      </c>
      <c r="I4574" s="1480">
        <v>0</v>
      </c>
      <c r="J4574" s="1480">
        <v>0</v>
      </c>
      <c r="K4574" s="1508"/>
      <c r="L4574" s="1508"/>
      <c r="M4574" s="1509">
        <f t="shared" si="692"/>
        <v>0</v>
      </c>
      <c r="N4574" s="1508">
        <f t="shared" si="693"/>
        <v>0</v>
      </c>
    </row>
    <row r="4575" spans="1:14" ht="15.5" outlineLevel="1" x14ac:dyDescent="0.25">
      <c r="A4575" s="1486">
        <f t="shared" si="695"/>
        <v>5</v>
      </c>
      <c r="B4575" s="1491" t="str">
        <f t="shared" si="695"/>
        <v>Modification &amp; upgradation in Railway Track network of CSTPS</v>
      </c>
      <c r="C4575" s="1488">
        <f t="shared" si="695"/>
        <v>0</v>
      </c>
      <c r="D4575" s="1413" t="str">
        <f t="shared" si="695"/>
        <v>-</v>
      </c>
      <c r="E4575" s="560">
        <f t="shared" si="695"/>
        <v>29</v>
      </c>
      <c r="F4575" s="1508">
        <f t="shared" si="689"/>
        <v>0</v>
      </c>
      <c r="G4575" s="1508">
        <f t="shared" si="690"/>
        <v>0</v>
      </c>
      <c r="H4575" s="1508">
        <f t="shared" si="691"/>
        <v>0</v>
      </c>
      <c r="I4575" s="1480">
        <v>0</v>
      </c>
      <c r="J4575" s="1480">
        <v>0</v>
      </c>
      <c r="K4575" s="1508"/>
      <c r="L4575" s="1508"/>
      <c r="M4575" s="1509">
        <f t="shared" si="692"/>
        <v>0</v>
      </c>
      <c r="N4575" s="1508">
        <f t="shared" si="693"/>
        <v>0</v>
      </c>
    </row>
    <row r="4576" spans="1:14" ht="62" outlineLevel="1" x14ac:dyDescent="0.25">
      <c r="A4576" s="1492">
        <f t="shared" si="695"/>
        <v>0</v>
      </c>
      <c r="B4576" s="1492" t="str">
        <f t="shared" si="695"/>
        <v xml:space="preserve">Scheme-1: Work of Modification &amp; upgradation in Railway Track network of CSTPS by Provision of additional take off &amp; cutoff point for CHPD and empty formation at WT outhaul in CSTPS Railway Siding. </v>
      </c>
      <c r="C4576" s="1488">
        <f t="shared" si="695"/>
        <v>0</v>
      </c>
      <c r="D4576" s="1413" t="str">
        <f t="shared" si="695"/>
        <v>-</v>
      </c>
      <c r="E4576" s="560">
        <f t="shared" si="695"/>
        <v>14</v>
      </c>
      <c r="F4576" s="1508">
        <f t="shared" si="689"/>
        <v>14</v>
      </c>
      <c r="G4576" s="1508">
        <f t="shared" si="690"/>
        <v>14</v>
      </c>
      <c r="H4576" s="1508">
        <f t="shared" si="691"/>
        <v>0</v>
      </c>
      <c r="I4576" s="1480">
        <v>0</v>
      </c>
      <c r="J4576" s="1480">
        <v>0</v>
      </c>
      <c r="K4576" s="1508"/>
      <c r="L4576" s="1508"/>
      <c r="M4576" s="1509">
        <f t="shared" si="692"/>
        <v>0</v>
      </c>
      <c r="N4576" s="1508">
        <f t="shared" si="693"/>
        <v>0</v>
      </c>
    </row>
    <row r="4577" spans="1:14" ht="46.5" outlineLevel="1" x14ac:dyDescent="0.25">
      <c r="A4577" s="1492">
        <f t="shared" si="695"/>
        <v>0</v>
      </c>
      <c r="B4577" s="1492" t="str">
        <f t="shared" si="695"/>
        <v>Scheme-1: Work of Modification &amp; upgradation in Railway Track network of CSTPS by Complete Track Renewal of old BG rail with other allied works in CSTPS Railway Siding.</v>
      </c>
      <c r="C4577" s="1488">
        <f t="shared" si="695"/>
        <v>0</v>
      </c>
      <c r="D4577" s="1413" t="str">
        <f t="shared" si="695"/>
        <v>-</v>
      </c>
      <c r="E4577" s="560">
        <f t="shared" si="695"/>
        <v>15</v>
      </c>
      <c r="F4577" s="1508">
        <f t="shared" si="689"/>
        <v>15</v>
      </c>
      <c r="G4577" s="1508">
        <f t="shared" si="690"/>
        <v>15</v>
      </c>
      <c r="H4577" s="1508">
        <f t="shared" si="691"/>
        <v>0</v>
      </c>
      <c r="I4577" s="1480">
        <v>0</v>
      </c>
      <c r="J4577" s="1480">
        <v>0</v>
      </c>
      <c r="K4577" s="1508"/>
      <c r="L4577" s="1508"/>
      <c r="M4577" s="1509">
        <f t="shared" si="692"/>
        <v>0</v>
      </c>
      <c r="N4577" s="1508">
        <f t="shared" si="693"/>
        <v>0</v>
      </c>
    </row>
    <row r="4578" spans="1:14" ht="46.5" outlineLevel="1" x14ac:dyDescent="0.25">
      <c r="A4578" s="1486">
        <f t="shared" si="695"/>
        <v>6</v>
      </c>
      <c r="B4578" s="1491" t="str">
        <f t="shared" si="695"/>
        <v>extension of Pipe Conveyor System from Padmapur Loading Station to Coal Handling Plant-C of Unit 5,6&amp;7 at CSTPS Chandrapur.</v>
      </c>
      <c r="C4578" s="1488">
        <f t="shared" si="695"/>
        <v>0</v>
      </c>
      <c r="D4578" s="1413" t="str">
        <f t="shared" si="695"/>
        <v>-</v>
      </c>
      <c r="E4578" s="560">
        <f t="shared" si="695"/>
        <v>100</v>
      </c>
      <c r="F4578" s="1508">
        <f t="shared" si="689"/>
        <v>0</v>
      </c>
      <c r="G4578" s="1508">
        <f t="shared" si="690"/>
        <v>0</v>
      </c>
      <c r="H4578" s="1508">
        <f t="shared" si="691"/>
        <v>0</v>
      </c>
      <c r="I4578" s="1480">
        <v>0</v>
      </c>
      <c r="J4578" s="1480">
        <v>0</v>
      </c>
      <c r="K4578" s="1508"/>
      <c r="L4578" s="1508"/>
      <c r="M4578" s="1509">
        <f t="shared" si="692"/>
        <v>0</v>
      </c>
      <c r="N4578" s="1508">
        <f t="shared" si="693"/>
        <v>0</v>
      </c>
    </row>
    <row r="4579" spans="1:14" ht="46.5" outlineLevel="1" x14ac:dyDescent="0.25">
      <c r="A4579" s="1492">
        <f t="shared" si="695"/>
        <v>0</v>
      </c>
      <c r="B4579" s="1492" t="str">
        <f t="shared" si="695"/>
        <v>Scheme-1: Augmentation of extension of Pipe Conveyor System from Padmapur Loading Station to Coal Handling Plant-C of Unit 5,6&amp;7 at CSTPS Chandrapur.</v>
      </c>
      <c r="C4579" s="1488">
        <f t="shared" si="695"/>
        <v>0</v>
      </c>
      <c r="D4579" s="1413" t="str">
        <f t="shared" si="695"/>
        <v>-</v>
      </c>
      <c r="E4579" s="560">
        <f t="shared" si="695"/>
        <v>100</v>
      </c>
      <c r="F4579" s="1508">
        <f t="shared" si="689"/>
        <v>100</v>
      </c>
      <c r="G4579" s="1508">
        <f t="shared" si="690"/>
        <v>100</v>
      </c>
      <c r="H4579" s="1508">
        <f t="shared" si="691"/>
        <v>0</v>
      </c>
      <c r="I4579" s="1480">
        <v>0</v>
      </c>
      <c r="J4579" s="1480">
        <v>0</v>
      </c>
      <c r="K4579" s="1508"/>
      <c r="L4579" s="1508"/>
      <c r="M4579" s="1509">
        <f t="shared" si="692"/>
        <v>0</v>
      </c>
      <c r="N4579" s="1508">
        <f t="shared" si="693"/>
        <v>0</v>
      </c>
    </row>
    <row r="4580" spans="1:14" ht="15.5" outlineLevel="1" x14ac:dyDescent="0.25">
      <c r="A4580" s="1504">
        <f t="shared" si="695"/>
        <v>0</v>
      </c>
      <c r="B4580" s="1504" t="str">
        <f t="shared" si="695"/>
        <v>CHP-C</v>
      </c>
      <c r="C4580" s="1488">
        <f t="shared" si="695"/>
        <v>0</v>
      </c>
      <c r="D4580" s="1413" t="str">
        <f t="shared" si="695"/>
        <v>-</v>
      </c>
      <c r="E4580" s="560">
        <f t="shared" si="695"/>
        <v>0</v>
      </c>
      <c r="F4580" s="1508">
        <f t="shared" si="689"/>
        <v>0</v>
      </c>
      <c r="G4580" s="1508">
        <f t="shared" si="690"/>
        <v>0</v>
      </c>
      <c r="H4580" s="1508">
        <f t="shared" si="691"/>
        <v>0</v>
      </c>
      <c r="I4580" s="1480">
        <v>0</v>
      </c>
      <c r="J4580" s="1480">
        <v>0</v>
      </c>
      <c r="K4580" s="1508"/>
      <c r="L4580" s="1508"/>
      <c r="M4580" s="1509">
        <f t="shared" si="692"/>
        <v>0</v>
      </c>
      <c r="N4580" s="1508">
        <f t="shared" si="693"/>
        <v>0</v>
      </c>
    </row>
    <row r="4581" spans="1:14" ht="31" outlineLevel="1" x14ac:dyDescent="0.25">
      <c r="A4581" s="1486">
        <f t="shared" si="695"/>
        <v>1</v>
      </c>
      <c r="B4581" s="1491" t="str">
        <f t="shared" si="695"/>
        <v>Design, Engineering, supply, Erection and commissioning of new fire fighting system at Pipe conveyor of CSTPS, Chandrapur</v>
      </c>
      <c r="C4581" s="1488">
        <f t="shared" si="695"/>
        <v>0</v>
      </c>
      <c r="D4581" s="1413" t="str">
        <f t="shared" si="695"/>
        <v>-</v>
      </c>
      <c r="E4581" s="560">
        <f t="shared" si="695"/>
        <v>25</v>
      </c>
      <c r="F4581" s="1508">
        <f t="shared" si="689"/>
        <v>0</v>
      </c>
      <c r="G4581" s="1508">
        <f t="shared" si="690"/>
        <v>0</v>
      </c>
      <c r="H4581" s="1508">
        <f t="shared" si="691"/>
        <v>0</v>
      </c>
      <c r="I4581" s="1480">
        <v>0</v>
      </c>
      <c r="J4581" s="1480">
        <v>0</v>
      </c>
      <c r="K4581" s="1508"/>
      <c r="L4581" s="1508"/>
      <c r="M4581" s="1509">
        <f t="shared" si="692"/>
        <v>0</v>
      </c>
      <c r="N4581" s="1508">
        <f t="shared" si="693"/>
        <v>0</v>
      </c>
    </row>
    <row r="4582" spans="1:14" ht="31" outlineLevel="1" x14ac:dyDescent="0.25">
      <c r="A4582" s="1492">
        <f t="shared" si="695"/>
        <v>0</v>
      </c>
      <c r="B4582" s="1492" t="str">
        <f t="shared" si="695"/>
        <v>Design, Engineering, supply, Erection and commissioning of new fire fighting system at Pipe conveyor of CSTPS, Chandrapur</v>
      </c>
      <c r="C4582" s="1488">
        <f t="shared" si="695"/>
        <v>0</v>
      </c>
      <c r="D4582" s="1413" t="str">
        <f t="shared" si="695"/>
        <v>-</v>
      </c>
      <c r="E4582" s="560">
        <f t="shared" si="695"/>
        <v>25</v>
      </c>
      <c r="F4582" s="1508">
        <f t="shared" si="689"/>
        <v>25</v>
      </c>
      <c r="G4582" s="1508">
        <f t="shared" si="690"/>
        <v>0</v>
      </c>
      <c r="H4582" s="1508">
        <f t="shared" si="691"/>
        <v>25</v>
      </c>
      <c r="I4582" s="1480">
        <v>0</v>
      </c>
      <c r="J4582" s="1480">
        <v>0</v>
      </c>
      <c r="K4582" s="1508"/>
      <c r="L4582" s="1508"/>
      <c r="M4582" s="1509">
        <f t="shared" si="692"/>
        <v>0</v>
      </c>
      <c r="N4582" s="1508">
        <f t="shared" si="693"/>
        <v>25</v>
      </c>
    </row>
    <row r="4583" spans="1:14" ht="31" outlineLevel="1" x14ac:dyDescent="0.25">
      <c r="A4583" s="1486">
        <f t="shared" si="695"/>
        <v>2</v>
      </c>
      <c r="B4583" s="1491" t="str">
        <f t="shared" si="695"/>
        <v>Reliability &amp; availability improvement of coal transportation by Procurement of UTS (BOBR) Wagons for CHP</v>
      </c>
      <c r="C4583" s="1488">
        <f t="shared" si="695"/>
        <v>0</v>
      </c>
      <c r="D4583" s="1413" t="str">
        <f t="shared" si="695"/>
        <v>-</v>
      </c>
      <c r="E4583" s="560">
        <f t="shared" si="695"/>
        <v>15</v>
      </c>
      <c r="F4583" s="1508">
        <f t="shared" si="689"/>
        <v>0</v>
      </c>
      <c r="G4583" s="1508">
        <f t="shared" si="690"/>
        <v>0</v>
      </c>
      <c r="H4583" s="1508">
        <f t="shared" si="691"/>
        <v>0</v>
      </c>
      <c r="I4583" s="1480">
        <v>0</v>
      </c>
      <c r="J4583" s="1480">
        <v>0</v>
      </c>
      <c r="K4583" s="1508"/>
      <c r="L4583" s="1508"/>
      <c r="M4583" s="1509">
        <f t="shared" si="692"/>
        <v>0</v>
      </c>
      <c r="N4583" s="1508">
        <f t="shared" si="693"/>
        <v>0</v>
      </c>
    </row>
    <row r="4584" spans="1:14" ht="31" outlineLevel="1" x14ac:dyDescent="0.25">
      <c r="A4584" s="1492">
        <f t="shared" si="695"/>
        <v>0</v>
      </c>
      <c r="B4584" s="1492" t="str">
        <f t="shared" si="695"/>
        <v>Reliability &amp; availability improvement of coal transportation by Procurement of UTS (BOBR) Wagons for CHP</v>
      </c>
      <c r="C4584" s="1488">
        <f t="shared" si="695"/>
        <v>0</v>
      </c>
      <c r="D4584" s="1413" t="str">
        <f t="shared" si="695"/>
        <v>-</v>
      </c>
      <c r="E4584" s="560">
        <f t="shared" si="695"/>
        <v>15</v>
      </c>
      <c r="F4584" s="1508">
        <f t="shared" si="689"/>
        <v>15</v>
      </c>
      <c r="G4584" s="1508">
        <f t="shared" si="690"/>
        <v>0</v>
      </c>
      <c r="H4584" s="1508">
        <f t="shared" si="691"/>
        <v>15</v>
      </c>
      <c r="I4584" s="1480">
        <v>0</v>
      </c>
      <c r="J4584" s="1480">
        <v>0</v>
      </c>
      <c r="K4584" s="1508"/>
      <c r="L4584" s="1508"/>
      <c r="M4584" s="1509">
        <f t="shared" si="692"/>
        <v>0</v>
      </c>
      <c r="N4584" s="1508">
        <f t="shared" si="693"/>
        <v>15</v>
      </c>
    </row>
    <row r="4585" spans="1:14" ht="31" outlineLevel="1" x14ac:dyDescent="0.25">
      <c r="A4585" s="1486">
        <f t="shared" si="695"/>
        <v>3</v>
      </c>
      <c r="B4585" s="1491" t="str">
        <f t="shared" si="695"/>
        <v>Reliability &amp; availability improvement by replacement of set of internals for Paddle feeders</v>
      </c>
      <c r="C4585" s="1488">
        <f t="shared" si="695"/>
        <v>0</v>
      </c>
      <c r="D4585" s="1413" t="str">
        <f t="shared" si="695"/>
        <v>-</v>
      </c>
      <c r="E4585" s="560">
        <f t="shared" si="695"/>
        <v>6</v>
      </c>
      <c r="F4585" s="1508">
        <f t="shared" si="689"/>
        <v>0</v>
      </c>
      <c r="G4585" s="1508">
        <f t="shared" si="690"/>
        <v>0</v>
      </c>
      <c r="H4585" s="1508">
        <f t="shared" si="691"/>
        <v>0</v>
      </c>
      <c r="I4585" s="1480">
        <v>0</v>
      </c>
      <c r="J4585" s="1480">
        <v>0</v>
      </c>
      <c r="K4585" s="1508"/>
      <c r="L4585" s="1508"/>
      <c r="M4585" s="1509">
        <f t="shared" si="692"/>
        <v>0</v>
      </c>
      <c r="N4585" s="1508">
        <f t="shared" si="693"/>
        <v>0</v>
      </c>
    </row>
    <row r="4586" spans="1:14" ht="31" outlineLevel="1" x14ac:dyDescent="0.25">
      <c r="A4586" s="1492">
        <f t="shared" si="695"/>
        <v>0</v>
      </c>
      <c r="B4586" s="1492" t="str">
        <f t="shared" si="695"/>
        <v>Reliability &amp; availability improvement by replacement of set of internals for Paddle feeders</v>
      </c>
      <c r="C4586" s="1488">
        <f t="shared" si="695"/>
        <v>0</v>
      </c>
      <c r="D4586" s="1413" t="str">
        <f t="shared" si="695"/>
        <v>-</v>
      </c>
      <c r="E4586" s="560">
        <f t="shared" si="695"/>
        <v>6</v>
      </c>
      <c r="F4586" s="1508">
        <f t="shared" si="689"/>
        <v>6</v>
      </c>
      <c r="G4586" s="1508">
        <f t="shared" si="690"/>
        <v>0</v>
      </c>
      <c r="H4586" s="1508">
        <f t="shared" si="691"/>
        <v>6</v>
      </c>
      <c r="I4586" s="1480">
        <v>0</v>
      </c>
      <c r="J4586" s="1480">
        <v>0</v>
      </c>
      <c r="K4586" s="1508"/>
      <c r="L4586" s="1508"/>
      <c r="M4586" s="1509">
        <f t="shared" si="692"/>
        <v>0</v>
      </c>
      <c r="N4586" s="1508">
        <f t="shared" si="693"/>
        <v>6</v>
      </c>
    </row>
    <row r="4587" spans="1:14" ht="31" outlineLevel="1" x14ac:dyDescent="0.25">
      <c r="A4587" s="1486">
        <f t="shared" si="695"/>
        <v>4</v>
      </c>
      <c r="B4587" s="1491" t="str">
        <f t="shared" si="695"/>
        <v>Reliability &amp; availability improvement by replacement of transfer chutes at CHP-C</v>
      </c>
      <c r="C4587" s="1488">
        <f t="shared" si="695"/>
        <v>0</v>
      </c>
      <c r="D4587" s="1413" t="str">
        <f t="shared" si="695"/>
        <v>-</v>
      </c>
      <c r="E4587" s="560">
        <f t="shared" si="695"/>
        <v>10</v>
      </c>
      <c r="F4587" s="1508">
        <f t="shared" si="689"/>
        <v>0</v>
      </c>
      <c r="G4587" s="1508">
        <f t="shared" si="690"/>
        <v>0</v>
      </c>
      <c r="H4587" s="1508">
        <f t="shared" si="691"/>
        <v>0</v>
      </c>
      <c r="I4587" s="1480">
        <v>0</v>
      </c>
      <c r="J4587" s="1480">
        <v>0</v>
      </c>
      <c r="K4587" s="1508"/>
      <c r="L4587" s="1508"/>
      <c r="M4587" s="1509">
        <f t="shared" si="692"/>
        <v>0</v>
      </c>
      <c r="N4587" s="1508">
        <f t="shared" si="693"/>
        <v>0</v>
      </c>
    </row>
    <row r="4588" spans="1:14" ht="31" outlineLevel="1" x14ac:dyDescent="0.25">
      <c r="A4588" s="1492">
        <f t="shared" si="695"/>
        <v>0</v>
      </c>
      <c r="B4588" s="1492" t="str">
        <f t="shared" si="695"/>
        <v>Reliability &amp; availability improvement by replacement of transfer chutes at CHP-C</v>
      </c>
      <c r="C4588" s="1488">
        <f t="shared" si="695"/>
        <v>0</v>
      </c>
      <c r="D4588" s="1413" t="str">
        <f t="shared" si="695"/>
        <v>-</v>
      </c>
      <c r="E4588" s="560">
        <f t="shared" si="695"/>
        <v>10</v>
      </c>
      <c r="F4588" s="1508">
        <f t="shared" si="689"/>
        <v>10</v>
      </c>
      <c r="G4588" s="1508">
        <f t="shared" si="690"/>
        <v>0</v>
      </c>
      <c r="H4588" s="1508">
        <f t="shared" si="691"/>
        <v>10</v>
      </c>
      <c r="I4588" s="1480">
        <v>0</v>
      </c>
      <c r="J4588" s="1480">
        <v>0</v>
      </c>
      <c r="K4588" s="1508"/>
      <c r="L4588" s="1508"/>
      <c r="M4588" s="1509">
        <f t="shared" si="692"/>
        <v>0</v>
      </c>
      <c r="N4588" s="1508">
        <f t="shared" si="693"/>
        <v>10</v>
      </c>
    </row>
    <row r="4589" spans="1:14" ht="15.5" outlineLevel="1" x14ac:dyDescent="0.25">
      <c r="A4589" s="1504">
        <f t="shared" si="695"/>
        <v>0</v>
      </c>
      <c r="B4589" s="1504" t="str">
        <f t="shared" si="695"/>
        <v>Civil U#3  to U#7</v>
      </c>
      <c r="C4589" s="1488">
        <f t="shared" si="695"/>
        <v>0</v>
      </c>
      <c r="D4589" s="1413" t="str">
        <f t="shared" si="695"/>
        <v>-</v>
      </c>
      <c r="E4589" s="560">
        <f t="shared" si="695"/>
        <v>0</v>
      </c>
      <c r="F4589" s="1508">
        <f t="shared" si="689"/>
        <v>0</v>
      </c>
      <c r="G4589" s="1508">
        <f t="shared" si="690"/>
        <v>0</v>
      </c>
      <c r="H4589" s="1508">
        <f t="shared" si="691"/>
        <v>0</v>
      </c>
      <c r="I4589" s="1480">
        <v>0</v>
      </c>
      <c r="J4589" s="1480">
        <v>0</v>
      </c>
      <c r="K4589" s="1508"/>
      <c r="L4589" s="1508"/>
      <c r="M4589" s="1509">
        <f t="shared" si="692"/>
        <v>0</v>
      </c>
      <c r="N4589" s="1508">
        <f t="shared" si="693"/>
        <v>0</v>
      </c>
    </row>
    <row r="4590" spans="1:14" ht="31" outlineLevel="1" x14ac:dyDescent="0.25">
      <c r="A4590" s="1486">
        <f t="shared" ref="A4590:E4605" si="696">A3920</f>
        <v>1</v>
      </c>
      <c r="B4590" s="1491" t="str">
        <f t="shared" si="696"/>
        <v xml:space="preserve">Provision for Scientific storage of coal reject and leachate collection system at CSTPS, Chandrapur </v>
      </c>
      <c r="C4590" s="1488">
        <f t="shared" si="696"/>
        <v>0</v>
      </c>
      <c r="D4590" s="1413" t="str">
        <f t="shared" si="696"/>
        <v>-</v>
      </c>
      <c r="E4590" s="560">
        <f t="shared" si="696"/>
        <v>37.57</v>
      </c>
      <c r="F4590" s="1508">
        <f t="shared" si="689"/>
        <v>0</v>
      </c>
      <c r="G4590" s="1508">
        <f t="shared" si="690"/>
        <v>0</v>
      </c>
      <c r="H4590" s="1508">
        <f t="shared" si="691"/>
        <v>0</v>
      </c>
      <c r="I4590" s="1480">
        <v>0</v>
      </c>
      <c r="J4590" s="1480">
        <v>0</v>
      </c>
      <c r="K4590" s="1508"/>
      <c r="L4590" s="1508"/>
      <c r="M4590" s="1509">
        <f t="shared" si="692"/>
        <v>0</v>
      </c>
      <c r="N4590" s="1508">
        <f t="shared" si="693"/>
        <v>0</v>
      </c>
    </row>
    <row r="4591" spans="1:14" ht="31" outlineLevel="1" x14ac:dyDescent="0.25">
      <c r="A4591" s="1492">
        <f t="shared" si="696"/>
        <v>0</v>
      </c>
      <c r="B4591" s="1492" t="str">
        <f t="shared" si="696"/>
        <v>Provision for Scientific storage of coal reject and leachate collection system at CSTPS, Chandrapur</v>
      </c>
      <c r="C4591" s="1488">
        <f t="shared" si="696"/>
        <v>0</v>
      </c>
      <c r="D4591" s="1413" t="str">
        <f t="shared" si="696"/>
        <v>-</v>
      </c>
      <c r="E4591" s="560">
        <f t="shared" si="696"/>
        <v>37.57</v>
      </c>
      <c r="F4591" s="1508">
        <f t="shared" si="689"/>
        <v>37.57</v>
      </c>
      <c r="G4591" s="1508">
        <f t="shared" si="690"/>
        <v>37.57</v>
      </c>
      <c r="H4591" s="1508">
        <f t="shared" si="691"/>
        <v>0</v>
      </c>
      <c r="I4591" s="1480">
        <v>0</v>
      </c>
      <c r="J4591" s="1480">
        <v>0</v>
      </c>
      <c r="K4591" s="1508"/>
      <c r="L4591" s="1508"/>
      <c r="M4591" s="1509">
        <f t="shared" si="692"/>
        <v>0</v>
      </c>
      <c r="N4591" s="1508">
        <f t="shared" si="693"/>
        <v>0</v>
      </c>
    </row>
    <row r="4592" spans="1:14" ht="31" outlineLevel="1" x14ac:dyDescent="0.25">
      <c r="A4592" s="1486">
        <f t="shared" si="696"/>
        <v>2</v>
      </c>
      <c r="B4592" s="1491" t="str">
        <f t="shared" si="696"/>
        <v xml:space="preserve">Infrastructure  development scheme for improvement of CHP at CSTPS, Chandrapur </v>
      </c>
      <c r="C4592" s="1488">
        <f t="shared" si="696"/>
        <v>0</v>
      </c>
      <c r="D4592" s="1413" t="str">
        <f t="shared" si="696"/>
        <v>-</v>
      </c>
      <c r="E4592" s="560">
        <f t="shared" si="696"/>
        <v>47.15</v>
      </c>
      <c r="F4592" s="1508">
        <f t="shared" si="689"/>
        <v>0</v>
      </c>
      <c r="G4592" s="1508">
        <f t="shared" si="690"/>
        <v>0</v>
      </c>
      <c r="H4592" s="1508">
        <f t="shared" si="691"/>
        <v>0</v>
      </c>
      <c r="I4592" s="1480">
        <v>0</v>
      </c>
      <c r="J4592" s="1480">
        <v>0</v>
      </c>
      <c r="K4592" s="1508"/>
      <c r="L4592" s="1508"/>
      <c r="M4592" s="1509">
        <f t="shared" si="692"/>
        <v>0</v>
      </c>
      <c r="N4592" s="1508">
        <f t="shared" si="693"/>
        <v>0</v>
      </c>
    </row>
    <row r="4593" spans="1:14" ht="46.5" outlineLevel="1" x14ac:dyDescent="0.25">
      <c r="A4593" s="1492">
        <f t="shared" si="696"/>
        <v>0</v>
      </c>
      <c r="B4593" s="1492" t="str">
        <f t="shared" si="696"/>
        <v xml:space="preserve">Construction of RCC platform facility for Coal storage &amp; transportation in CHP-B STACKER I &amp; II area (500MW) at CSTPS, Chandrapur </v>
      </c>
      <c r="C4593" s="1488">
        <f t="shared" si="696"/>
        <v>0</v>
      </c>
      <c r="D4593" s="1413" t="str">
        <f t="shared" si="696"/>
        <v>-</v>
      </c>
      <c r="E4593" s="560">
        <f t="shared" si="696"/>
        <v>47.15</v>
      </c>
      <c r="F4593" s="1508">
        <f t="shared" si="689"/>
        <v>47.15</v>
      </c>
      <c r="G4593" s="1508">
        <f t="shared" si="690"/>
        <v>47.15</v>
      </c>
      <c r="H4593" s="1508">
        <f t="shared" si="691"/>
        <v>0</v>
      </c>
      <c r="I4593" s="1480">
        <v>0</v>
      </c>
      <c r="J4593" s="1480">
        <v>0</v>
      </c>
      <c r="K4593" s="1508"/>
      <c r="L4593" s="1508"/>
      <c r="M4593" s="1509">
        <f t="shared" si="692"/>
        <v>0</v>
      </c>
      <c r="N4593" s="1508">
        <f t="shared" si="693"/>
        <v>0</v>
      </c>
    </row>
    <row r="4594" spans="1:14" ht="31" outlineLevel="1" x14ac:dyDescent="0.25">
      <c r="A4594" s="1486">
        <f t="shared" si="696"/>
        <v>3</v>
      </c>
      <c r="B4594" s="1491" t="str">
        <f t="shared" si="696"/>
        <v>Contruction of cement concrete roads in CHP area at CSTPS, Chandrapur</v>
      </c>
      <c r="C4594" s="1488">
        <f t="shared" si="696"/>
        <v>0</v>
      </c>
      <c r="D4594" s="1413" t="str">
        <f t="shared" si="696"/>
        <v>-</v>
      </c>
      <c r="E4594" s="560">
        <f t="shared" si="696"/>
        <v>27.05</v>
      </c>
      <c r="F4594" s="1508">
        <f t="shared" si="689"/>
        <v>0</v>
      </c>
      <c r="G4594" s="1508">
        <f t="shared" si="690"/>
        <v>0</v>
      </c>
      <c r="H4594" s="1508">
        <f t="shared" si="691"/>
        <v>0</v>
      </c>
      <c r="I4594" s="1480">
        <v>0</v>
      </c>
      <c r="J4594" s="1480">
        <v>0</v>
      </c>
      <c r="K4594" s="1508"/>
      <c r="L4594" s="1508"/>
      <c r="M4594" s="1509">
        <f t="shared" si="692"/>
        <v>0</v>
      </c>
      <c r="N4594" s="1508">
        <f t="shared" si="693"/>
        <v>0</v>
      </c>
    </row>
    <row r="4595" spans="1:14" ht="31" outlineLevel="1" x14ac:dyDescent="0.25">
      <c r="A4595" s="1492">
        <f t="shared" si="696"/>
        <v>0</v>
      </c>
      <c r="B4595" s="1492" t="str">
        <f t="shared" si="696"/>
        <v>Contruction of cement concrete roads in CHP area at CSTPS, Chandrapur</v>
      </c>
      <c r="C4595" s="1488">
        <f t="shared" si="696"/>
        <v>0</v>
      </c>
      <c r="D4595" s="1413" t="str">
        <f t="shared" si="696"/>
        <v>-</v>
      </c>
      <c r="E4595" s="560">
        <f t="shared" si="696"/>
        <v>27.05</v>
      </c>
      <c r="F4595" s="1508">
        <f t="shared" si="689"/>
        <v>27.05</v>
      </c>
      <c r="G4595" s="1508">
        <f t="shared" si="690"/>
        <v>27.05</v>
      </c>
      <c r="H4595" s="1508">
        <f t="shared" si="691"/>
        <v>0</v>
      </c>
      <c r="I4595" s="1480">
        <v>0</v>
      </c>
      <c r="J4595" s="1480">
        <v>0</v>
      </c>
      <c r="K4595" s="1508"/>
      <c r="L4595" s="1508"/>
      <c r="M4595" s="1509">
        <f t="shared" si="692"/>
        <v>0</v>
      </c>
      <c r="N4595" s="1508">
        <f t="shared" si="693"/>
        <v>0</v>
      </c>
    </row>
    <row r="4596" spans="1:14" ht="31" outlineLevel="1" x14ac:dyDescent="0.25">
      <c r="A4596" s="1486">
        <f t="shared" si="696"/>
        <v>4</v>
      </c>
      <c r="B4596" s="1491" t="str">
        <f t="shared" si="696"/>
        <v>Arresting Leakages by  water proofing treatment in main Plant &amp; ancillary buildings  at CSTPS, Chandrapur.</v>
      </c>
      <c r="C4596" s="1488">
        <f t="shared" si="696"/>
        <v>0</v>
      </c>
      <c r="D4596" s="1413" t="str">
        <f t="shared" si="696"/>
        <v>-</v>
      </c>
      <c r="E4596" s="560">
        <f t="shared" si="696"/>
        <v>30</v>
      </c>
      <c r="F4596" s="1508">
        <f t="shared" si="689"/>
        <v>0</v>
      </c>
      <c r="G4596" s="1508">
        <f t="shared" si="690"/>
        <v>0</v>
      </c>
      <c r="H4596" s="1508">
        <f t="shared" si="691"/>
        <v>0</v>
      </c>
      <c r="I4596" s="1480">
        <v>0</v>
      </c>
      <c r="J4596" s="1480">
        <v>0</v>
      </c>
      <c r="K4596" s="1508"/>
      <c r="L4596" s="1508"/>
      <c r="M4596" s="1509">
        <f t="shared" si="692"/>
        <v>0</v>
      </c>
      <c r="N4596" s="1508">
        <f t="shared" si="693"/>
        <v>0</v>
      </c>
    </row>
    <row r="4597" spans="1:14" ht="62" outlineLevel="1" x14ac:dyDescent="0.25">
      <c r="A4597" s="1492">
        <f t="shared" si="696"/>
        <v>0</v>
      </c>
      <c r="B4597" s="1492" t="str">
        <f t="shared" si="696"/>
        <v xml:space="preserve">A)- water proofing treatment in Control room of WTP-I area.
(B)- water proofing treatment inControl room of WTP-II area.
(C)-  water proofing treatment in Control room of CT Fan area 
(D)- water proofing treatment in   Main Plant area. </v>
      </c>
      <c r="C4597" s="1488">
        <f t="shared" si="696"/>
        <v>0</v>
      </c>
      <c r="D4597" s="1413" t="str">
        <f t="shared" si="696"/>
        <v>-</v>
      </c>
      <c r="E4597" s="560">
        <f t="shared" si="696"/>
        <v>30</v>
      </c>
      <c r="F4597" s="1508">
        <f t="shared" si="689"/>
        <v>30</v>
      </c>
      <c r="G4597" s="1508">
        <f t="shared" si="690"/>
        <v>30</v>
      </c>
      <c r="H4597" s="1508">
        <f t="shared" si="691"/>
        <v>0</v>
      </c>
      <c r="I4597" s="1480">
        <v>0</v>
      </c>
      <c r="J4597" s="1480">
        <v>0</v>
      </c>
      <c r="K4597" s="1508"/>
      <c r="L4597" s="1508"/>
      <c r="M4597" s="1509">
        <f t="shared" si="692"/>
        <v>0</v>
      </c>
      <c r="N4597" s="1508">
        <f t="shared" si="693"/>
        <v>0</v>
      </c>
    </row>
    <row r="4598" spans="1:14" ht="15.5" outlineLevel="1" x14ac:dyDescent="0.25">
      <c r="A4598" s="1486">
        <f t="shared" si="696"/>
        <v>5</v>
      </c>
      <c r="B4598" s="1491" t="str">
        <f t="shared" si="696"/>
        <v>Structural strengthening of Unit 3&amp; 4 at CSTPS, Chandrapur</v>
      </c>
      <c r="C4598" s="1488">
        <f t="shared" si="696"/>
        <v>0</v>
      </c>
      <c r="D4598" s="1413" t="str">
        <f t="shared" si="696"/>
        <v>-</v>
      </c>
      <c r="E4598" s="560">
        <f t="shared" si="696"/>
        <v>40</v>
      </c>
      <c r="F4598" s="1508">
        <f t="shared" si="689"/>
        <v>0</v>
      </c>
      <c r="G4598" s="1508">
        <f t="shared" si="690"/>
        <v>0</v>
      </c>
      <c r="H4598" s="1508">
        <f t="shared" si="691"/>
        <v>0</v>
      </c>
      <c r="I4598" s="1480">
        <v>0</v>
      </c>
      <c r="J4598" s="1480">
        <v>0</v>
      </c>
      <c r="K4598" s="1508"/>
      <c r="L4598" s="1508"/>
      <c r="M4598" s="1509">
        <f t="shared" si="692"/>
        <v>0</v>
      </c>
      <c r="N4598" s="1508">
        <f t="shared" si="693"/>
        <v>0</v>
      </c>
    </row>
    <row r="4599" spans="1:14" ht="15.5" outlineLevel="1" x14ac:dyDescent="0.25">
      <c r="A4599" s="1492">
        <f t="shared" si="696"/>
        <v>0</v>
      </c>
      <c r="B4599" s="1492" t="str">
        <f t="shared" si="696"/>
        <v>Structural strengthening of Unit 3&amp; 4 at CSTPS, Chandrapur</v>
      </c>
      <c r="C4599" s="1488">
        <f t="shared" si="696"/>
        <v>0</v>
      </c>
      <c r="D4599" s="1413" t="str">
        <f t="shared" si="696"/>
        <v>-</v>
      </c>
      <c r="E4599" s="560">
        <f t="shared" si="696"/>
        <v>30</v>
      </c>
      <c r="F4599" s="1508">
        <f t="shared" si="689"/>
        <v>30</v>
      </c>
      <c r="G4599" s="1508">
        <f t="shared" si="690"/>
        <v>30</v>
      </c>
      <c r="H4599" s="1508">
        <f t="shared" si="691"/>
        <v>0</v>
      </c>
      <c r="I4599" s="1480">
        <v>0</v>
      </c>
      <c r="J4599" s="1480">
        <v>0</v>
      </c>
      <c r="K4599" s="1508"/>
      <c r="L4599" s="1508"/>
      <c r="M4599" s="1509">
        <f t="shared" si="692"/>
        <v>0</v>
      </c>
      <c r="N4599" s="1508">
        <f t="shared" si="693"/>
        <v>0</v>
      </c>
    </row>
    <row r="4600" spans="1:14" ht="15.5" outlineLevel="1" x14ac:dyDescent="0.25">
      <c r="A4600" s="1492">
        <f t="shared" si="696"/>
        <v>0</v>
      </c>
      <c r="B4600" s="1492" t="str">
        <f t="shared" si="696"/>
        <v>Structural strengthening of CHP-A buildings</v>
      </c>
      <c r="C4600" s="1488">
        <f t="shared" si="696"/>
        <v>0</v>
      </c>
      <c r="D4600" s="1413" t="str">
        <f t="shared" si="696"/>
        <v>-</v>
      </c>
      <c r="E4600" s="560">
        <f t="shared" si="696"/>
        <v>10</v>
      </c>
      <c r="F4600" s="1508">
        <f t="shared" si="689"/>
        <v>10</v>
      </c>
      <c r="G4600" s="1508">
        <f t="shared" si="690"/>
        <v>10</v>
      </c>
      <c r="H4600" s="1508">
        <f t="shared" si="691"/>
        <v>0</v>
      </c>
      <c r="I4600" s="1480">
        <v>0</v>
      </c>
      <c r="J4600" s="1480">
        <v>0</v>
      </c>
      <c r="K4600" s="1508"/>
      <c r="L4600" s="1508"/>
      <c r="M4600" s="1509">
        <f t="shared" si="692"/>
        <v>0</v>
      </c>
      <c r="N4600" s="1508">
        <f t="shared" si="693"/>
        <v>0</v>
      </c>
    </row>
    <row r="4601" spans="1:14" ht="31" outlineLevel="1" x14ac:dyDescent="0.25">
      <c r="A4601" s="1486">
        <f t="shared" si="696"/>
        <v>6</v>
      </c>
      <c r="B4601" s="1491" t="str">
        <f t="shared" si="696"/>
        <v>Infrastructure Deveolpment of CSTPS colony at CSTPS Chandrapur .</v>
      </c>
      <c r="C4601" s="1488">
        <f t="shared" si="696"/>
        <v>0</v>
      </c>
      <c r="D4601" s="1413" t="str">
        <f t="shared" si="696"/>
        <v>-</v>
      </c>
      <c r="E4601" s="560">
        <f t="shared" si="696"/>
        <v>67.900000000000006</v>
      </c>
      <c r="F4601" s="1508">
        <f t="shared" si="689"/>
        <v>0</v>
      </c>
      <c r="G4601" s="1508">
        <f t="shared" si="690"/>
        <v>0</v>
      </c>
      <c r="H4601" s="1508">
        <f t="shared" si="691"/>
        <v>0</v>
      </c>
      <c r="I4601" s="1480">
        <v>0</v>
      </c>
      <c r="J4601" s="1480">
        <v>0</v>
      </c>
      <c r="K4601" s="1508"/>
      <c r="L4601" s="1508"/>
      <c r="M4601" s="1509">
        <f t="shared" si="692"/>
        <v>0</v>
      </c>
      <c r="N4601" s="1508">
        <f t="shared" si="693"/>
        <v>0</v>
      </c>
    </row>
    <row r="4602" spans="1:14" ht="31" outlineLevel="1" x14ac:dyDescent="0.25">
      <c r="A4602" s="1492">
        <f t="shared" si="696"/>
        <v>0</v>
      </c>
      <c r="B4602" s="1492" t="str">
        <f t="shared" si="696"/>
        <v>i- Construction of new ESR (Elevated Storage Reservoir) at CSTPS Chandrapur</v>
      </c>
      <c r="C4602" s="1488">
        <f t="shared" si="696"/>
        <v>0</v>
      </c>
      <c r="D4602" s="1413" t="str">
        <f t="shared" si="696"/>
        <v>-</v>
      </c>
      <c r="E4602" s="560">
        <f t="shared" si="696"/>
        <v>3.78</v>
      </c>
      <c r="F4602" s="1508">
        <f t="shared" si="689"/>
        <v>3.78</v>
      </c>
      <c r="G4602" s="1508">
        <f t="shared" si="690"/>
        <v>3.78</v>
      </c>
      <c r="H4602" s="1508">
        <f t="shared" si="691"/>
        <v>0</v>
      </c>
      <c r="I4602" s="1480">
        <v>0</v>
      </c>
      <c r="J4602" s="1480">
        <v>0</v>
      </c>
      <c r="K4602" s="1508"/>
      <c r="L4602" s="1508"/>
      <c r="M4602" s="1509">
        <f t="shared" si="692"/>
        <v>0</v>
      </c>
      <c r="N4602" s="1508">
        <f t="shared" si="693"/>
        <v>0</v>
      </c>
    </row>
    <row r="4603" spans="1:14" ht="31" outlineLevel="1" x14ac:dyDescent="0.25">
      <c r="A4603" s="1492">
        <f t="shared" si="696"/>
        <v>0</v>
      </c>
      <c r="B4603" s="1492" t="str">
        <f t="shared" si="696"/>
        <v>ii- Providing &amp; Rerouting of existing water supply pipe line at CSTPS Chandrapur</v>
      </c>
      <c r="C4603" s="1488">
        <f t="shared" si="696"/>
        <v>0</v>
      </c>
      <c r="D4603" s="1413" t="str">
        <f t="shared" si="696"/>
        <v>-</v>
      </c>
      <c r="E4603" s="560">
        <f t="shared" si="696"/>
        <v>4.05</v>
      </c>
      <c r="F4603" s="1508">
        <f t="shared" si="689"/>
        <v>4.05</v>
      </c>
      <c r="G4603" s="1508">
        <f t="shared" si="690"/>
        <v>4.05</v>
      </c>
      <c r="H4603" s="1508">
        <f t="shared" si="691"/>
        <v>0</v>
      </c>
      <c r="I4603" s="1480">
        <v>0</v>
      </c>
      <c r="J4603" s="1480">
        <v>0</v>
      </c>
      <c r="K4603" s="1508"/>
      <c r="L4603" s="1508"/>
      <c r="M4603" s="1509">
        <f t="shared" si="692"/>
        <v>0</v>
      </c>
      <c r="N4603" s="1508">
        <f t="shared" si="693"/>
        <v>0</v>
      </c>
    </row>
    <row r="4604" spans="1:14" ht="31" outlineLevel="1" x14ac:dyDescent="0.25">
      <c r="A4604" s="1492">
        <f t="shared" si="696"/>
        <v>0</v>
      </c>
      <c r="B4604" s="1492" t="str">
        <f t="shared" si="696"/>
        <v>iii- Providing &amp; Rerouting of esiting sewer line at CSTPS colony Chandrapur</v>
      </c>
      <c r="C4604" s="1488">
        <f t="shared" si="696"/>
        <v>0</v>
      </c>
      <c r="D4604" s="1413" t="str">
        <f t="shared" si="696"/>
        <v>-</v>
      </c>
      <c r="E4604" s="560">
        <f t="shared" si="696"/>
        <v>7.01</v>
      </c>
      <c r="F4604" s="1508">
        <f t="shared" si="689"/>
        <v>7.01</v>
      </c>
      <c r="G4604" s="1508">
        <f t="shared" si="690"/>
        <v>7.01</v>
      </c>
      <c r="H4604" s="1508">
        <f t="shared" si="691"/>
        <v>0</v>
      </c>
      <c r="I4604" s="1480">
        <v>0</v>
      </c>
      <c r="J4604" s="1480">
        <v>0</v>
      </c>
      <c r="K4604" s="1508"/>
      <c r="L4604" s="1508"/>
      <c r="M4604" s="1509">
        <f t="shared" si="692"/>
        <v>0</v>
      </c>
      <c r="N4604" s="1508">
        <f t="shared" si="693"/>
        <v>0</v>
      </c>
    </row>
    <row r="4605" spans="1:14" ht="31" outlineLevel="1" x14ac:dyDescent="0.25">
      <c r="A4605" s="1492">
        <f t="shared" si="696"/>
        <v>0</v>
      </c>
      <c r="B4605" s="1492" t="str">
        <f t="shared" si="696"/>
        <v>iv- Providing water proofing treatment to terrace slab of residential building aaat CSTPS colony Chandrapur</v>
      </c>
      <c r="C4605" s="1488">
        <f t="shared" si="696"/>
        <v>0</v>
      </c>
      <c r="D4605" s="1413" t="str">
        <f t="shared" si="696"/>
        <v>-</v>
      </c>
      <c r="E4605" s="560">
        <f t="shared" si="696"/>
        <v>6.34</v>
      </c>
      <c r="F4605" s="1508">
        <f t="shared" si="689"/>
        <v>6.34</v>
      </c>
      <c r="G4605" s="1508">
        <f t="shared" si="690"/>
        <v>6.34</v>
      </c>
      <c r="H4605" s="1508">
        <f t="shared" si="691"/>
        <v>0</v>
      </c>
      <c r="I4605" s="1480">
        <v>0</v>
      </c>
      <c r="J4605" s="1480">
        <v>0</v>
      </c>
      <c r="K4605" s="1508"/>
      <c r="L4605" s="1508"/>
      <c r="M4605" s="1509">
        <f t="shared" si="692"/>
        <v>0</v>
      </c>
      <c r="N4605" s="1508">
        <f t="shared" si="693"/>
        <v>0</v>
      </c>
    </row>
    <row r="4606" spans="1:14" ht="31" outlineLevel="1" x14ac:dyDescent="0.25">
      <c r="A4606" s="1492">
        <f t="shared" ref="A4606:E4621" si="697">A3936</f>
        <v>0</v>
      </c>
      <c r="B4606" s="1492" t="str">
        <f t="shared" si="697"/>
        <v>v- Construction of storm water drain along major and internal road of CSTPS colony at Chnadrapur</v>
      </c>
      <c r="C4606" s="1488">
        <f t="shared" si="697"/>
        <v>0</v>
      </c>
      <c r="D4606" s="1413" t="str">
        <f t="shared" si="697"/>
        <v>-</v>
      </c>
      <c r="E4606" s="560">
        <f t="shared" si="697"/>
        <v>16.86</v>
      </c>
      <c r="F4606" s="1508">
        <f t="shared" ref="F4606:F4669" si="698">F3936+I3936</f>
        <v>16.86</v>
      </c>
      <c r="G4606" s="1508">
        <f t="shared" ref="G4606:G4669" si="699">G3936+M3936</f>
        <v>16.86</v>
      </c>
      <c r="H4606" s="1508">
        <f t="shared" si="691"/>
        <v>0</v>
      </c>
      <c r="I4606" s="1480">
        <v>0</v>
      </c>
      <c r="J4606" s="1480">
        <v>0</v>
      </c>
      <c r="K4606" s="1508"/>
      <c r="L4606" s="1508"/>
      <c r="M4606" s="1509">
        <f t="shared" si="692"/>
        <v>0</v>
      </c>
      <c r="N4606" s="1508">
        <f t="shared" si="693"/>
        <v>0</v>
      </c>
    </row>
    <row r="4607" spans="1:14" ht="31" outlineLevel="1" x14ac:dyDescent="0.25">
      <c r="A4607" s="1492">
        <f t="shared" si="697"/>
        <v>0</v>
      </c>
      <c r="B4607" s="1492" t="str">
        <f t="shared" si="697"/>
        <v>vi-Improvement of existing major and internal Bitumen   road of CSTPS colony  by Bituminous treatment  at  CSTPS Chandrapur</v>
      </c>
      <c r="C4607" s="1488">
        <f t="shared" si="697"/>
        <v>0</v>
      </c>
      <c r="D4607" s="1413" t="str">
        <f t="shared" si="697"/>
        <v>-</v>
      </c>
      <c r="E4607" s="560">
        <f t="shared" si="697"/>
        <v>29.81</v>
      </c>
      <c r="F4607" s="1508">
        <f t="shared" si="698"/>
        <v>29.81</v>
      </c>
      <c r="G4607" s="1508">
        <f t="shared" si="699"/>
        <v>29.81</v>
      </c>
      <c r="H4607" s="1508">
        <f t="shared" si="691"/>
        <v>0</v>
      </c>
      <c r="I4607" s="1480">
        <v>0</v>
      </c>
      <c r="J4607" s="1480">
        <v>0</v>
      </c>
      <c r="K4607" s="1508"/>
      <c r="L4607" s="1508"/>
      <c r="M4607" s="1509">
        <f t="shared" si="692"/>
        <v>0</v>
      </c>
      <c r="N4607" s="1508">
        <f t="shared" si="693"/>
        <v>0</v>
      </c>
    </row>
    <row r="4608" spans="1:14" ht="31" outlineLevel="1" x14ac:dyDescent="0.25">
      <c r="A4608" s="1486">
        <f t="shared" si="697"/>
        <v>7</v>
      </c>
      <c r="B4608" s="1491" t="str">
        <f t="shared" si="697"/>
        <v>Renovation of residential buildings , Public building , Road and other allied civil works in CSTPS colony at Chandrapur</v>
      </c>
      <c r="C4608" s="1488">
        <f t="shared" si="697"/>
        <v>0</v>
      </c>
      <c r="D4608" s="1413" t="str">
        <f t="shared" si="697"/>
        <v>-</v>
      </c>
      <c r="E4608" s="560">
        <f t="shared" si="697"/>
        <v>209</v>
      </c>
      <c r="F4608" s="1508">
        <f t="shared" si="698"/>
        <v>0</v>
      </c>
      <c r="G4608" s="1508">
        <f t="shared" si="699"/>
        <v>0</v>
      </c>
      <c r="H4608" s="1508">
        <f t="shared" si="691"/>
        <v>0</v>
      </c>
      <c r="I4608" s="1480">
        <v>0</v>
      </c>
      <c r="J4608" s="1480">
        <v>0</v>
      </c>
      <c r="K4608" s="1508"/>
      <c r="L4608" s="1508"/>
      <c r="M4608" s="1509">
        <f t="shared" si="692"/>
        <v>0</v>
      </c>
      <c r="N4608" s="1508">
        <f t="shared" si="693"/>
        <v>0</v>
      </c>
    </row>
    <row r="4609" spans="1:14" ht="31" outlineLevel="1" x14ac:dyDescent="0.25">
      <c r="A4609" s="1492">
        <f t="shared" si="697"/>
        <v>0</v>
      </c>
      <c r="B4609" s="1492" t="str">
        <f t="shared" si="697"/>
        <v>i- Renovation and Beautification of residential building ( Type A, B, C, D, E and F)  Phase -II at CSTPS Chnadrapur</v>
      </c>
      <c r="C4609" s="1488">
        <f t="shared" si="697"/>
        <v>0</v>
      </c>
      <c r="D4609" s="1413" t="str">
        <f t="shared" si="697"/>
        <v>-</v>
      </c>
      <c r="E4609" s="560">
        <f t="shared" si="697"/>
        <v>132</v>
      </c>
      <c r="F4609" s="1508">
        <f t="shared" si="698"/>
        <v>88</v>
      </c>
      <c r="G4609" s="1508">
        <f t="shared" si="699"/>
        <v>88</v>
      </c>
      <c r="H4609" s="1508">
        <f t="shared" si="691"/>
        <v>0</v>
      </c>
      <c r="I4609" s="1480">
        <v>44</v>
      </c>
      <c r="J4609" s="1480">
        <v>44</v>
      </c>
      <c r="K4609" s="1508"/>
      <c r="L4609" s="1508"/>
      <c r="M4609" s="1509">
        <f t="shared" si="692"/>
        <v>44</v>
      </c>
      <c r="N4609" s="1508">
        <f t="shared" si="693"/>
        <v>0</v>
      </c>
    </row>
    <row r="4610" spans="1:14" ht="15.5" outlineLevel="1" x14ac:dyDescent="0.25">
      <c r="A4610" s="1492">
        <f t="shared" si="697"/>
        <v>0</v>
      </c>
      <c r="B4610" s="1492" t="str">
        <f t="shared" si="697"/>
        <v>ii-Renovation of old and new market at CSTPS Chandrapur</v>
      </c>
      <c r="C4610" s="1488">
        <f t="shared" si="697"/>
        <v>0</v>
      </c>
      <c r="D4610" s="1413" t="str">
        <f t="shared" si="697"/>
        <v>-</v>
      </c>
      <c r="E4610" s="560">
        <f t="shared" si="697"/>
        <v>2</v>
      </c>
      <c r="F4610" s="1508">
        <f t="shared" si="698"/>
        <v>2</v>
      </c>
      <c r="G4610" s="1508">
        <f t="shared" si="699"/>
        <v>2</v>
      </c>
      <c r="H4610" s="1508">
        <f t="shared" si="691"/>
        <v>0</v>
      </c>
      <c r="I4610" s="1480">
        <v>0</v>
      </c>
      <c r="J4610" s="1480">
        <v>0</v>
      </c>
      <c r="K4610" s="1508"/>
      <c r="L4610" s="1508"/>
      <c r="M4610" s="1509">
        <f t="shared" si="692"/>
        <v>0</v>
      </c>
      <c r="N4610" s="1508">
        <f t="shared" si="693"/>
        <v>0</v>
      </c>
    </row>
    <row r="4611" spans="1:14" ht="31" outlineLevel="1" x14ac:dyDescent="0.25">
      <c r="A4611" s="1492">
        <f t="shared" si="697"/>
        <v>0</v>
      </c>
      <c r="B4611" s="1492" t="str">
        <f t="shared" si="697"/>
        <v>iii-Improvement of exsiting Main road by Cement Concrte road  in colony at CSTPS Chandrapur</v>
      </c>
      <c r="C4611" s="1488">
        <f t="shared" si="697"/>
        <v>0</v>
      </c>
      <c r="D4611" s="1413" t="str">
        <f t="shared" si="697"/>
        <v>-</v>
      </c>
      <c r="E4611" s="560">
        <f t="shared" si="697"/>
        <v>55</v>
      </c>
      <c r="F4611" s="1508">
        <f t="shared" si="698"/>
        <v>27.5</v>
      </c>
      <c r="G4611" s="1508">
        <f t="shared" si="699"/>
        <v>27.5</v>
      </c>
      <c r="H4611" s="1508">
        <f t="shared" si="691"/>
        <v>0</v>
      </c>
      <c r="I4611" s="1480">
        <v>27.5</v>
      </c>
      <c r="J4611" s="1480">
        <v>27.5</v>
      </c>
      <c r="K4611" s="1508"/>
      <c r="L4611" s="1508"/>
      <c r="M4611" s="1509">
        <f t="shared" si="692"/>
        <v>27.5</v>
      </c>
      <c r="N4611" s="1508">
        <f t="shared" si="693"/>
        <v>0</v>
      </c>
    </row>
    <row r="4612" spans="1:14" ht="31" outlineLevel="1" x14ac:dyDescent="0.25">
      <c r="A4612" s="1492">
        <f t="shared" si="697"/>
        <v>0</v>
      </c>
      <c r="B4612" s="1492" t="str">
        <f t="shared" si="697"/>
        <v>iv-Renovation of Civil and Electrical Maint office building at CSTPS Chandrapur.</v>
      </c>
      <c r="C4612" s="1488">
        <f t="shared" si="697"/>
        <v>0</v>
      </c>
      <c r="D4612" s="1413" t="str">
        <f t="shared" si="697"/>
        <v>-</v>
      </c>
      <c r="E4612" s="560">
        <f t="shared" si="697"/>
        <v>1.5</v>
      </c>
      <c r="F4612" s="1508">
        <f t="shared" si="698"/>
        <v>1.5</v>
      </c>
      <c r="G4612" s="1508">
        <f t="shared" si="699"/>
        <v>1.5</v>
      </c>
      <c r="H4612" s="1508">
        <f t="shared" si="691"/>
        <v>0</v>
      </c>
      <c r="I4612" s="1480">
        <v>0</v>
      </c>
      <c r="J4612" s="1480">
        <v>0</v>
      </c>
      <c r="K4612" s="1508"/>
      <c r="L4612" s="1508"/>
      <c r="M4612" s="1509">
        <f t="shared" si="692"/>
        <v>0</v>
      </c>
      <c r="N4612" s="1508">
        <f t="shared" si="693"/>
        <v>0</v>
      </c>
    </row>
    <row r="4613" spans="1:14" ht="31" outlineLevel="1" x14ac:dyDescent="0.25">
      <c r="A4613" s="1492">
        <f t="shared" si="697"/>
        <v>0</v>
      </c>
      <c r="B4613" s="1492" t="str">
        <f t="shared" si="697"/>
        <v xml:space="preserve">v- Renoavtion of Post office building and Bank Building at CSTPS Chandrapur </v>
      </c>
      <c r="C4613" s="1488">
        <f t="shared" si="697"/>
        <v>0</v>
      </c>
      <c r="D4613" s="1413" t="str">
        <f t="shared" si="697"/>
        <v>-</v>
      </c>
      <c r="E4613" s="560">
        <f t="shared" si="697"/>
        <v>1.5</v>
      </c>
      <c r="F4613" s="1508">
        <f t="shared" si="698"/>
        <v>1.5</v>
      </c>
      <c r="G4613" s="1508">
        <f t="shared" si="699"/>
        <v>1.5</v>
      </c>
      <c r="H4613" s="1508">
        <f t="shared" si="691"/>
        <v>0</v>
      </c>
      <c r="I4613" s="1480">
        <v>0</v>
      </c>
      <c r="J4613" s="1480">
        <v>0</v>
      </c>
      <c r="K4613" s="1508"/>
      <c r="L4613" s="1508"/>
      <c r="M4613" s="1509">
        <f t="shared" si="692"/>
        <v>0</v>
      </c>
      <c r="N4613" s="1508">
        <f t="shared" si="693"/>
        <v>0</v>
      </c>
    </row>
    <row r="4614" spans="1:14" ht="15.5" outlineLevel="1" x14ac:dyDescent="0.25">
      <c r="A4614" s="1492">
        <f t="shared" si="697"/>
        <v>0</v>
      </c>
      <c r="B4614" s="1492" t="str">
        <f t="shared" si="697"/>
        <v>vi- Renovation fo Erai Dam guest House at CSTPS Chandrapur</v>
      </c>
      <c r="C4614" s="1488">
        <f t="shared" si="697"/>
        <v>0</v>
      </c>
      <c r="D4614" s="1413" t="str">
        <f t="shared" si="697"/>
        <v>-</v>
      </c>
      <c r="E4614" s="560">
        <f t="shared" si="697"/>
        <v>2</v>
      </c>
      <c r="F4614" s="1508">
        <f t="shared" si="698"/>
        <v>2</v>
      </c>
      <c r="G4614" s="1508">
        <f t="shared" si="699"/>
        <v>2</v>
      </c>
      <c r="H4614" s="1508">
        <f t="shared" si="691"/>
        <v>0</v>
      </c>
      <c r="I4614" s="1480">
        <v>0</v>
      </c>
      <c r="J4614" s="1480">
        <v>0</v>
      </c>
      <c r="K4614" s="1508"/>
      <c r="L4614" s="1508"/>
      <c r="M4614" s="1509">
        <f t="shared" si="692"/>
        <v>0</v>
      </c>
      <c r="N4614" s="1508">
        <f t="shared" si="693"/>
        <v>0</v>
      </c>
    </row>
    <row r="4615" spans="1:14" ht="31" outlineLevel="1" x14ac:dyDescent="0.25">
      <c r="A4615" s="1492">
        <f t="shared" si="697"/>
        <v>0</v>
      </c>
      <c r="B4615" s="1492" t="str">
        <f t="shared" si="697"/>
        <v>vii- Improvement of Erai dam approch road by Bituminous treatment at CSTPS Chnadrapur</v>
      </c>
      <c r="C4615" s="1488">
        <f t="shared" si="697"/>
        <v>0</v>
      </c>
      <c r="D4615" s="1413" t="str">
        <f t="shared" si="697"/>
        <v>-</v>
      </c>
      <c r="E4615" s="560">
        <f t="shared" si="697"/>
        <v>15</v>
      </c>
      <c r="F4615" s="1508">
        <f t="shared" si="698"/>
        <v>15</v>
      </c>
      <c r="G4615" s="1508">
        <f t="shared" si="699"/>
        <v>15</v>
      </c>
      <c r="H4615" s="1508">
        <f t="shared" si="691"/>
        <v>0</v>
      </c>
      <c r="I4615" s="1480">
        <v>0</v>
      </c>
      <c r="J4615" s="1480">
        <v>0</v>
      </c>
      <c r="K4615" s="1508"/>
      <c r="L4615" s="1508"/>
      <c r="M4615" s="1509">
        <f t="shared" si="692"/>
        <v>0</v>
      </c>
      <c r="N4615" s="1508">
        <f t="shared" si="693"/>
        <v>0</v>
      </c>
    </row>
    <row r="4616" spans="1:14" ht="46.5" outlineLevel="1" x14ac:dyDescent="0.25">
      <c r="A4616" s="1486">
        <f t="shared" si="697"/>
        <v>8</v>
      </c>
      <c r="B4616" s="1491" t="str">
        <f t="shared" si="697"/>
        <v>Construction of new residential building ,Hospital Building ,Chemmary Building,security office building  and allied civil work infrastructure in colony at CSTPS Chandrapur</v>
      </c>
      <c r="C4616" s="1488">
        <f t="shared" si="697"/>
        <v>0</v>
      </c>
      <c r="D4616" s="1413" t="str">
        <f t="shared" si="697"/>
        <v>-</v>
      </c>
      <c r="E4616" s="560">
        <f t="shared" si="697"/>
        <v>76.25</v>
      </c>
      <c r="F4616" s="1508">
        <f t="shared" si="698"/>
        <v>0</v>
      </c>
      <c r="G4616" s="1508">
        <f t="shared" si="699"/>
        <v>0</v>
      </c>
      <c r="H4616" s="1508">
        <f t="shared" si="691"/>
        <v>0</v>
      </c>
      <c r="I4616" s="1480">
        <v>0</v>
      </c>
      <c r="J4616" s="1480">
        <v>0</v>
      </c>
      <c r="K4616" s="1508"/>
      <c r="L4616" s="1508"/>
      <c r="M4616" s="1509">
        <f t="shared" si="692"/>
        <v>0</v>
      </c>
      <c r="N4616" s="1508">
        <f t="shared" si="693"/>
        <v>0</v>
      </c>
    </row>
    <row r="4617" spans="1:14" ht="31" outlineLevel="1" x14ac:dyDescent="0.25">
      <c r="A4617" s="1492">
        <f t="shared" si="697"/>
        <v>0</v>
      </c>
      <c r="B4617" s="1492" t="str">
        <f t="shared" si="697"/>
        <v>i- Construction of new residential staff quarter of A, B ,C D and E type  building in colony at CSTPS Chandrapur</v>
      </c>
      <c r="C4617" s="1488">
        <f t="shared" si="697"/>
        <v>0</v>
      </c>
      <c r="D4617" s="1413" t="str">
        <f t="shared" si="697"/>
        <v>-</v>
      </c>
      <c r="E4617" s="560">
        <f t="shared" si="697"/>
        <v>60</v>
      </c>
      <c r="F4617" s="1508">
        <f t="shared" si="698"/>
        <v>30</v>
      </c>
      <c r="G4617" s="1508">
        <f t="shared" si="699"/>
        <v>30</v>
      </c>
      <c r="H4617" s="1508">
        <f t="shared" si="691"/>
        <v>0</v>
      </c>
      <c r="I4617" s="1480">
        <v>30</v>
      </c>
      <c r="J4617" s="1480">
        <v>30</v>
      </c>
      <c r="K4617" s="1508"/>
      <c r="L4617" s="1508"/>
      <c r="M4617" s="1509">
        <f t="shared" si="692"/>
        <v>30</v>
      </c>
      <c r="N4617" s="1508">
        <f t="shared" si="693"/>
        <v>0</v>
      </c>
    </row>
    <row r="4618" spans="1:14" ht="15.5" outlineLevel="1" x14ac:dyDescent="0.25">
      <c r="A4618" s="1492">
        <f t="shared" si="697"/>
        <v>0</v>
      </c>
      <c r="B4618" s="1492" t="str">
        <f t="shared" si="697"/>
        <v>ii-Construction of New Hospital Building at CSTSP Chandrapur</v>
      </c>
      <c r="C4618" s="1488">
        <f t="shared" si="697"/>
        <v>0</v>
      </c>
      <c r="D4618" s="1413" t="str">
        <f t="shared" si="697"/>
        <v>-</v>
      </c>
      <c r="E4618" s="560">
        <f t="shared" si="697"/>
        <v>2</v>
      </c>
      <c r="F4618" s="1508">
        <f t="shared" si="698"/>
        <v>0</v>
      </c>
      <c r="G4618" s="1508">
        <f t="shared" si="699"/>
        <v>0</v>
      </c>
      <c r="H4618" s="1508">
        <f t="shared" si="691"/>
        <v>0</v>
      </c>
      <c r="I4618" s="1480">
        <v>2</v>
      </c>
      <c r="J4618" s="1480">
        <v>2</v>
      </c>
      <c r="K4618" s="1508"/>
      <c r="L4618" s="1508"/>
      <c r="M4618" s="1509">
        <f t="shared" si="692"/>
        <v>2</v>
      </c>
      <c r="N4618" s="1508">
        <f t="shared" si="693"/>
        <v>0</v>
      </c>
    </row>
    <row r="4619" spans="1:14" ht="31" outlineLevel="1" x14ac:dyDescent="0.25">
      <c r="A4619" s="1492">
        <f t="shared" si="697"/>
        <v>0</v>
      </c>
      <c r="B4619" s="1492" t="str">
        <f t="shared" si="697"/>
        <v>iii-Construction of new Chummary Building at CSTPS Chandrapur</v>
      </c>
      <c r="C4619" s="1488">
        <f t="shared" si="697"/>
        <v>0</v>
      </c>
      <c r="D4619" s="1413" t="str">
        <f t="shared" si="697"/>
        <v>-</v>
      </c>
      <c r="E4619" s="560">
        <f t="shared" si="697"/>
        <v>7.5</v>
      </c>
      <c r="F4619" s="1508">
        <f t="shared" si="698"/>
        <v>0</v>
      </c>
      <c r="G4619" s="1508">
        <f t="shared" si="699"/>
        <v>0</v>
      </c>
      <c r="H4619" s="1508">
        <f t="shared" si="691"/>
        <v>0</v>
      </c>
      <c r="I4619" s="1480">
        <v>7.5</v>
      </c>
      <c r="J4619" s="1480">
        <v>7.5</v>
      </c>
      <c r="K4619" s="1508"/>
      <c r="L4619" s="1508"/>
      <c r="M4619" s="1509">
        <f t="shared" si="692"/>
        <v>7.5</v>
      </c>
      <c r="N4619" s="1508">
        <f t="shared" si="693"/>
        <v>0</v>
      </c>
    </row>
    <row r="4620" spans="1:14" ht="31" outlineLevel="1" x14ac:dyDescent="0.25">
      <c r="A4620" s="1492">
        <f t="shared" si="697"/>
        <v>0</v>
      </c>
      <c r="B4620" s="1492" t="str">
        <f t="shared" si="697"/>
        <v>iv-Construction of new security office and check post at various location in colony at CSTPS Chandrapur</v>
      </c>
      <c r="C4620" s="1488">
        <f t="shared" si="697"/>
        <v>0</v>
      </c>
      <c r="D4620" s="1413" t="str">
        <f t="shared" si="697"/>
        <v>-</v>
      </c>
      <c r="E4620" s="560">
        <f t="shared" si="697"/>
        <v>0.75</v>
      </c>
      <c r="F4620" s="1508">
        <f t="shared" si="698"/>
        <v>0</v>
      </c>
      <c r="G4620" s="1508">
        <f t="shared" si="699"/>
        <v>0</v>
      </c>
      <c r="H4620" s="1508">
        <f t="shared" ref="H4620:H4683" si="700">F4620-G4620</f>
        <v>0</v>
      </c>
      <c r="I4620" s="1480">
        <v>0.75</v>
      </c>
      <c r="J4620" s="1480">
        <v>0.75</v>
      </c>
      <c r="K4620" s="1508"/>
      <c r="L4620" s="1508"/>
      <c r="M4620" s="1509">
        <f t="shared" ref="M4620:M4683" si="701">SUM(J4620:L4620)</f>
        <v>0.75</v>
      </c>
      <c r="N4620" s="1508">
        <f t="shared" ref="N4620:N4683" si="702">H4620+I4620-M4620</f>
        <v>0</v>
      </c>
    </row>
    <row r="4621" spans="1:14" ht="31" outlineLevel="1" x14ac:dyDescent="0.25">
      <c r="A4621" s="1492">
        <f t="shared" si="697"/>
        <v>0</v>
      </c>
      <c r="B4621" s="1492" t="str">
        <f t="shared" si="697"/>
        <v>v-Construction of swimming pool in colony at CSTPS Chandrapur</v>
      </c>
      <c r="C4621" s="1488">
        <f t="shared" si="697"/>
        <v>0</v>
      </c>
      <c r="D4621" s="1413" t="str">
        <f t="shared" si="697"/>
        <v>-</v>
      </c>
      <c r="E4621" s="560">
        <f t="shared" si="697"/>
        <v>2</v>
      </c>
      <c r="F4621" s="1508">
        <f t="shared" si="698"/>
        <v>0</v>
      </c>
      <c r="G4621" s="1508">
        <f t="shared" si="699"/>
        <v>0</v>
      </c>
      <c r="H4621" s="1508">
        <f t="shared" si="700"/>
        <v>0</v>
      </c>
      <c r="I4621" s="1480">
        <v>2</v>
      </c>
      <c r="J4621" s="1480">
        <v>2</v>
      </c>
      <c r="K4621" s="1508"/>
      <c r="L4621" s="1508"/>
      <c r="M4621" s="1509">
        <f t="shared" si="701"/>
        <v>2</v>
      </c>
      <c r="N4621" s="1508">
        <f t="shared" si="702"/>
        <v>0</v>
      </c>
    </row>
    <row r="4622" spans="1:14" ht="46.5" outlineLevel="1" x14ac:dyDescent="0.25">
      <c r="A4622" s="1492">
        <f t="shared" ref="A4622:E4637" si="703">A3952</f>
        <v>0</v>
      </c>
      <c r="B4622" s="1492" t="str">
        <f t="shared" si="703"/>
        <v>vii-Providing new drinking water supply DI- pipe line  300 mm dia .for domestic water supply to rsidential colony at CSTPS Chandrapur.</v>
      </c>
      <c r="C4622" s="1488">
        <f t="shared" si="703"/>
        <v>0</v>
      </c>
      <c r="D4622" s="1413" t="str">
        <f t="shared" si="703"/>
        <v>-</v>
      </c>
      <c r="E4622" s="560">
        <f t="shared" si="703"/>
        <v>2</v>
      </c>
      <c r="F4622" s="1508">
        <f t="shared" si="698"/>
        <v>0</v>
      </c>
      <c r="G4622" s="1508">
        <f t="shared" si="699"/>
        <v>0</v>
      </c>
      <c r="H4622" s="1508">
        <f t="shared" si="700"/>
        <v>0</v>
      </c>
      <c r="I4622" s="1480">
        <v>2</v>
      </c>
      <c r="J4622" s="1480">
        <v>2</v>
      </c>
      <c r="K4622" s="1508"/>
      <c r="L4622" s="1508"/>
      <c r="M4622" s="1509">
        <f t="shared" si="701"/>
        <v>2</v>
      </c>
      <c r="N4622" s="1508">
        <f t="shared" si="702"/>
        <v>0</v>
      </c>
    </row>
    <row r="4623" spans="1:14" ht="31" outlineLevel="1" x14ac:dyDescent="0.25">
      <c r="A4623" s="1492">
        <f t="shared" si="703"/>
        <v>0</v>
      </c>
      <c r="B4623" s="1492" t="str">
        <f t="shared" si="703"/>
        <v>viii-Rain water Harvesting system to residential building at CSTPS Chandrapur.</v>
      </c>
      <c r="C4623" s="1488">
        <f t="shared" si="703"/>
        <v>0</v>
      </c>
      <c r="D4623" s="1413" t="str">
        <f t="shared" si="703"/>
        <v>-</v>
      </c>
      <c r="E4623" s="560">
        <f t="shared" si="703"/>
        <v>2</v>
      </c>
      <c r="F4623" s="1508">
        <f t="shared" si="698"/>
        <v>0</v>
      </c>
      <c r="G4623" s="1508">
        <f t="shared" si="699"/>
        <v>0</v>
      </c>
      <c r="H4623" s="1508">
        <f t="shared" si="700"/>
        <v>0</v>
      </c>
      <c r="I4623" s="1480">
        <v>2</v>
      </c>
      <c r="J4623" s="1480">
        <v>2</v>
      </c>
      <c r="K4623" s="1508"/>
      <c r="L4623" s="1508"/>
      <c r="M4623" s="1509">
        <f t="shared" si="701"/>
        <v>2</v>
      </c>
      <c r="N4623" s="1508">
        <f t="shared" si="702"/>
        <v>0</v>
      </c>
    </row>
    <row r="4624" spans="1:14" ht="15.5" outlineLevel="1" x14ac:dyDescent="0.25">
      <c r="A4624" s="1486">
        <f t="shared" si="703"/>
        <v>9</v>
      </c>
      <c r="B4624" s="1491" t="str">
        <f t="shared" si="703"/>
        <v>Renovation of public utility building of CSTPS, Chandrapur</v>
      </c>
      <c r="C4624" s="1488">
        <f t="shared" si="703"/>
        <v>0</v>
      </c>
      <c r="D4624" s="1413" t="str">
        <f t="shared" si="703"/>
        <v>-</v>
      </c>
      <c r="E4624" s="560">
        <f t="shared" si="703"/>
        <v>29.950000000000003</v>
      </c>
      <c r="F4624" s="1508">
        <f t="shared" si="698"/>
        <v>0</v>
      </c>
      <c r="G4624" s="1508">
        <f t="shared" si="699"/>
        <v>0</v>
      </c>
      <c r="H4624" s="1508">
        <f t="shared" si="700"/>
        <v>0</v>
      </c>
      <c r="I4624" s="1480">
        <v>0</v>
      </c>
      <c r="J4624" s="1480">
        <v>0</v>
      </c>
      <c r="K4624" s="1508"/>
      <c r="L4624" s="1508"/>
      <c r="M4624" s="1509">
        <f t="shared" si="701"/>
        <v>0</v>
      </c>
      <c r="N4624" s="1508">
        <f t="shared" si="702"/>
        <v>0</v>
      </c>
    </row>
    <row r="4625" spans="1:14" ht="15.5" outlineLevel="1" x14ac:dyDescent="0.25">
      <c r="A4625" s="1492">
        <f t="shared" si="703"/>
        <v>0</v>
      </c>
      <c r="B4625" s="1492" t="str">
        <f t="shared" si="703"/>
        <v>Renovation and interior decoration of Hirai guest house</v>
      </c>
      <c r="C4625" s="1488">
        <f t="shared" si="703"/>
        <v>0</v>
      </c>
      <c r="D4625" s="1413" t="str">
        <f t="shared" si="703"/>
        <v>-</v>
      </c>
      <c r="E4625" s="560">
        <f t="shared" si="703"/>
        <v>7.51</v>
      </c>
      <c r="F4625" s="1508">
        <f t="shared" si="698"/>
        <v>7.51</v>
      </c>
      <c r="G4625" s="1508">
        <f t="shared" si="699"/>
        <v>7.51</v>
      </c>
      <c r="H4625" s="1508">
        <f t="shared" si="700"/>
        <v>0</v>
      </c>
      <c r="I4625" s="1480">
        <v>0</v>
      </c>
      <c r="J4625" s="1480">
        <v>0</v>
      </c>
      <c r="K4625" s="1508"/>
      <c r="L4625" s="1508"/>
      <c r="M4625" s="1509">
        <f t="shared" si="701"/>
        <v>0</v>
      </c>
      <c r="N4625" s="1508">
        <f t="shared" si="702"/>
        <v>0</v>
      </c>
    </row>
    <row r="4626" spans="1:14" ht="31" outlineLevel="1" x14ac:dyDescent="0.25">
      <c r="A4626" s="1492">
        <f t="shared" si="703"/>
        <v>0</v>
      </c>
      <c r="B4626" s="1492" t="str">
        <f t="shared" si="703"/>
        <v>Renovation and interior decoration of existing chummery guest house</v>
      </c>
      <c r="C4626" s="1488">
        <f t="shared" si="703"/>
        <v>0</v>
      </c>
      <c r="D4626" s="1413" t="str">
        <f t="shared" si="703"/>
        <v>-</v>
      </c>
      <c r="E4626" s="560">
        <f t="shared" si="703"/>
        <v>12.22</v>
      </c>
      <c r="F4626" s="1508">
        <f t="shared" si="698"/>
        <v>12.22</v>
      </c>
      <c r="G4626" s="1508">
        <f t="shared" si="699"/>
        <v>12.22</v>
      </c>
      <c r="H4626" s="1508">
        <f t="shared" si="700"/>
        <v>0</v>
      </c>
      <c r="I4626" s="1480">
        <v>0</v>
      </c>
      <c r="J4626" s="1480">
        <v>0</v>
      </c>
      <c r="K4626" s="1508"/>
      <c r="L4626" s="1508"/>
      <c r="M4626" s="1509">
        <f t="shared" si="701"/>
        <v>0</v>
      </c>
      <c r="N4626" s="1508">
        <f t="shared" si="702"/>
        <v>0</v>
      </c>
    </row>
    <row r="4627" spans="1:14" ht="31" outlineLevel="1" x14ac:dyDescent="0.25">
      <c r="A4627" s="1492">
        <f t="shared" si="703"/>
        <v>0</v>
      </c>
      <c r="B4627" s="1492" t="str">
        <f t="shared" si="703"/>
        <v>Renovation and interior decoration of existing Erai dam guest house</v>
      </c>
      <c r="C4627" s="1488">
        <f t="shared" si="703"/>
        <v>0</v>
      </c>
      <c r="D4627" s="1413" t="str">
        <f t="shared" si="703"/>
        <v>-</v>
      </c>
      <c r="E4627" s="560">
        <f t="shared" si="703"/>
        <v>6.65</v>
      </c>
      <c r="F4627" s="1508">
        <f t="shared" si="698"/>
        <v>6.65</v>
      </c>
      <c r="G4627" s="1508">
        <f t="shared" si="699"/>
        <v>6.65</v>
      </c>
      <c r="H4627" s="1508">
        <f t="shared" si="700"/>
        <v>0</v>
      </c>
      <c r="I4627" s="1480">
        <v>0</v>
      </c>
      <c r="J4627" s="1480">
        <v>0</v>
      </c>
      <c r="K4627" s="1508"/>
      <c r="L4627" s="1508"/>
      <c r="M4627" s="1509">
        <f t="shared" si="701"/>
        <v>0</v>
      </c>
      <c r="N4627" s="1508">
        <f t="shared" si="702"/>
        <v>0</v>
      </c>
    </row>
    <row r="4628" spans="1:14" ht="46.5" outlineLevel="1" x14ac:dyDescent="0.25">
      <c r="A4628" s="1492">
        <f t="shared" si="703"/>
        <v>0</v>
      </c>
      <c r="B4628" s="1492" t="str">
        <f t="shared" si="703"/>
        <v xml:space="preserve">Work of interior decoration by proding stop cabin arrangement and other internal architechture decorative work for RP section of admin building </v>
      </c>
      <c r="C4628" s="1488">
        <f t="shared" si="703"/>
        <v>0</v>
      </c>
      <c r="D4628" s="1413" t="str">
        <f t="shared" si="703"/>
        <v>-</v>
      </c>
      <c r="E4628" s="560">
        <f t="shared" si="703"/>
        <v>3.57</v>
      </c>
      <c r="F4628" s="1508">
        <f t="shared" si="698"/>
        <v>3.57</v>
      </c>
      <c r="G4628" s="1508">
        <f t="shared" si="699"/>
        <v>3.57</v>
      </c>
      <c r="H4628" s="1508">
        <f t="shared" si="700"/>
        <v>0</v>
      </c>
      <c r="I4628" s="1480">
        <v>0</v>
      </c>
      <c r="J4628" s="1480">
        <v>0</v>
      </c>
      <c r="K4628" s="1508"/>
      <c r="L4628" s="1508"/>
      <c r="M4628" s="1509">
        <f t="shared" si="701"/>
        <v>0</v>
      </c>
      <c r="N4628" s="1508">
        <f t="shared" si="702"/>
        <v>0</v>
      </c>
    </row>
    <row r="4629" spans="1:14" ht="15.5" outlineLevel="1" x14ac:dyDescent="0.25">
      <c r="A4629" s="1486">
        <f t="shared" si="703"/>
        <v>10</v>
      </c>
      <c r="B4629" s="1491" t="str">
        <f t="shared" si="703"/>
        <v>R&amp;M/LE for Identified Thermal units of MSPGCL</v>
      </c>
      <c r="C4629" s="1488">
        <f t="shared" si="703"/>
        <v>0</v>
      </c>
      <c r="D4629" s="1413" t="str">
        <f t="shared" si="703"/>
        <v>-</v>
      </c>
      <c r="E4629" s="560">
        <f t="shared" si="703"/>
        <v>400</v>
      </c>
      <c r="F4629" s="1508">
        <f t="shared" si="698"/>
        <v>0</v>
      </c>
      <c r="G4629" s="1508">
        <f t="shared" si="699"/>
        <v>0</v>
      </c>
      <c r="H4629" s="1508">
        <f t="shared" si="700"/>
        <v>0</v>
      </c>
      <c r="I4629" s="1480">
        <v>0</v>
      </c>
      <c r="J4629" s="1480">
        <v>0</v>
      </c>
      <c r="K4629" s="1508"/>
      <c r="L4629" s="1508"/>
      <c r="M4629" s="1509">
        <f t="shared" si="701"/>
        <v>0</v>
      </c>
      <c r="N4629" s="1508">
        <f t="shared" si="702"/>
        <v>0</v>
      </c>
    </row>
    <row r="4630" spans="1:14" ht="15.5" outlineLevel="1" x14ac:dyDescent="0.25">
      <c r="A4630" s="1492">
        <f t="shared" si="703"/>
        <v>0</v>
      </c>
      <c r="B4630" s="1492" t="str">
        <f t="shared" si="703"/>
        <v>R&amp;M/LE for Identified Thermal units of MSPGCL, CSTPS U-3</v>
      </c>
      <c r="C4630" s="1488">
        <f t="shared" si="703"/>
        <v>0</v>
      </c>
      <c r="D4630" s="1413" t="str">
        <f t="shared" si="703"/>
        <v>-</v>
      </c>
      <c r="E4630" s="560">
        <f t="shared" si="703"/>
        <v>293</v>
      </c>
      <c r="F4630" s="1508">
        <f t="shared" si="698"/>
        <v>293</v>
      </c>
      <c r="G4630" s="1508">
        <f t="shared" si="699"/>
        <v>293</v>
      </c>
      <c r="H4630" s="1508">
        <f t="shared" si="700"/>
        <v>0</v>
      </c>
      <c r="I4630" s="1480">
        <v>0</v>
      </c>
      <c r="J4630" s="1480">
        <v>0</v>
      </c>
      <c r="K4630" s="1508"/>
      <c r="L4630" s="1508"/>
      <c r="M4630" s="1509">
        <f t="shared" si="701"/>
        <v>0</v>
      </c>
      <c r="N4630" s="1508">
        <f t="shared" si="702"/>
        <v>0</v>
      </c>
    </row>
    <row r="4631" spans="1:14" ht="15.5" outlineLevel="1" x14ac:dyDescent="0.25">
      <c r="A4631" s="1492">
        <f t="shared" si="703"/>
        <v>0</v>
      </c>
      <c r="B4631" s="1492" t="str">
        <f t="shared" si="703"/>
        <v>R&amp;M/LE for Identified Thermal units of MSPGCL, CSTPS U-4</v>
      </c>
      <c r="C4631" s="1488">
        <f t="shared" si="703"/>
        <v>0</v>
      </c>
      <c r="D4631" s="1413" t="str">
        <f t="shared" si="703"/>
        <v>-</v>
      </c>
      <c r="E4631" s="560">
        <f t="shared" si="703"/>
        <v>300</v>
      </c>
      <c r="F4631" s="1508">
        <f t="shared" si="698"/>
        <v>0</v>
      </c>
      <c r="G4631" s="1508">
        <f t="shared" si="699"/>
        <v>0</v>
      </c>
      <c r="H4631" s="1508">
        <f t="shared" si="700"/>
        <v>0</v>
      </c>
      <c r="I4631" s="1480">
        <v>300</v>
      </c>
      <c r="J4631" s="1480">
        <v>300</v>
      </c>
      <c r="K4631" s="1508"/>
      <c r="L4631" s="1508"/>
      <c r="M4631" s="1509">
        <f t="shared" si="701"/>
        <v>300</v>
      </c>
      <c r="N4631" s="1508">
        <f t="shared" si="702"/>
        <v>0</v>
      </c>
    </row>
    <row r="4632" spans="1:14" ht="15.5" outlineLevel="1" x14ac:dyDescent="0.25">
      <c r="A4632" s="1486">
        <f t="shared" si="703"/>
        <v>11</v>
      </c>
      <c r="B4632" s="1491" t="str">
        <f t="shared" si="703"/>
        <v xml:space="preserve">CHP Improvement Schemes </v>
      </c>
      <c r="C4632" s="1488">
        <f t="shared" si="703"/>
        <v>0</v>
      </c>
      <c r="D4632" s="1413" t="str">
        <f t="shared" si="703"/>
        <v>-</v>
      </c>
      <c r="E4632" s="560">
        <f t="shared" si="703"/>
        <v>100</v>
      </c>
      <c r="F4632" s="1508">
        <f t="shared" si="698"/>
        <v>0</v>
      </c>
      <c r="G4632" s="1508">
        <f t="shared" si="699"/>
        <v>0</v>
      </c>
      <c r="H4632" s="1508">
        <f t="shared" si="700"/>
        <v>0</v>
      </c>
      <c r="I4632" s="1480">
        <v>0</v>
      </c>
      <c r="J4632" s="1480">
        <v>0</v>
      </c>
      <c r="K4632" s="1508"/>
      <c r="L4632" s="1508"/>
      <c r="M4632" s="1509">
        <f t="shared" si="701"/>
        <v>0</v>
      </c>
      <c r="N4632" s="1508">
        <f t="shared" si="702"/>
        <v>0</v>
      </c>
    </row>
    <row r="4633" spans="1:14" ht="15.5" outlineLevel="1" x14ac:dyDescent="0.25">
      <c r="A4633" s="1492">
        <f t="shared" si="703"/>
        <v>0</v>
      </c>
      <c r="B4633" s="1492" t="str">
        <f t="shared" si="703"/>
        <v>CHP Improvement Schemes at CHP-A, B, C</v>
      </c>
      <c r="C4633" s="1488">
        <f t="shared" si="703"/>
        <v>0</v>
      </c>
      <c r="D4633" s="1413" t="str">
        <f t="shared" si="703"/>
        <v>-</v>
      </c>
      <c r="E4633" s="560">
        <f t="shared" si="703"/>
        <v>100</v>
      </c>
      <c r="F4633" s="1508">
        <f t="shared" si="698"/>
        <v>100</v>
      </c>
      <c r="G4633" s="1508">
        <f t="shared" si="699"/>
        <v>100</v>
      </c>
      <c r="H4633" s="1508">
        <f t="shared" si="700"/>
        <v>0</v>
      </c>
      <c r="I4633" s="1480">
        <v>0</v>
      </c>
      <c r="J4633" s="1480">
        <v>0</v>
      </c>
      <c r="K4633" s="1508"/>
      <c r="L4633" s="1508"/>
      <c r="M4633" s="1509">
        <f t="shared" si="701"/>
        <v>0</v>
      </c>
      <c r="N4633" s="1508">
        <f t="shared" si="702"/>
        <v>0</v>
      </c>
    </row>
    <row r="4634" spans="1:14" ht="15.5" outlineLevel="1" x14ac:dyDescent="0.25">
      <c r="A4634" s="1486">
        <f t="shared" si="703"/>
        <v>12</v>
      </c>
      <c r="B4634" s="1491" t="str">
        <f t="shared" si="703"/>
        <v>Developlment &amp; Upgradation of SAP for MSPGCL</v>
      </c>
      <c r="C4634" s="1488">
        <f t="shared" si="703"/>
        <v>0</v>
      </c>
      <c r="D4634" s="1413" t="str">
        <f t="shared" si="703"/>
        <v>-</v>
      </c>
      <c r="E4634" s="560">
        <f t="shared" si="703"/>
        <v>200</v>
      </c>
      <c r="F4634" s="1508">
        <f t="shared" si="698"/>
        <v>0</v>
      </c>
      <c r="G4634" s="1508">
        <f t="shared" si="699"/>
        <v>0</v>
      </c>
      <c r="H4634" s="1508">
        <f t="shared" si="700"/>
        <v>0</v>
      </c>
      <c r="I4634" s="1480">
        <v>0</v>
      </c>
      <c r="J4634" s="1480">
        <v>0</v>
      </c>
      <c r="K4634" s="1508"/>
      <c r="L4634" s="1508"/>
      <c r="M4634" s="1509">
        <f t="shared" si="701"/>
        <v>0</v>
      </c>
      <c r="N4634" s="1508">
        <f t="shared" si="702"/>
        <v>0</v>
      </c>
    </row>
    <row r="4635" spans="1:14" ht="15.5" outlineLevel="1" x14ac:dyDescent="0.25">
      <c r="A4635" s="1492">
        <f t="shared" si="703"/>
        <v>0</v>
      </c>
      <c r="B4635" s="1492" t="str">
        <f t="shared" si="703"/>
        <v>Developlment &amp; Upgradation of SAP for MSPGCL</v>
      </c>
      <c r="C4635" s="1488">
        <f t="shared" si="703"/>
        <v>0</v>
      </c>
      <c r="D4635" s="1413" t="str">
        <f t="shared" si="703"/>
        <v>-</v>
      </c>
      <c r="E4635" s="560">
        <f t="shared" si="703"/>
        <v>200</v>
      </c>
      <c r="F4635" s="1508">
        <f t="shared" si="698"/>
        <v>200</v>
      </c>
      <c r="G4635" s="1508">
        <f t="shared" si="699"/>
        <v>200</v>
      </c>
      <c r="H4635" s="1508">
        <f t="shared" si="700"/>
        <v>0</v>
      </c>
      <c r="I4635" s="1480">
        <v>0</v>
      </c>
      <c r="J4635" s="1480">
        <v>0</v>
      </c>
      <c r="K4635" s="1508"/>
      <c r="L4635" s="1508"/>
      <c r="M4635" s="1509">
        <f t="shared" si="701"/>
        <v>0</v>
      </c>
      <c r="N4635" s="1508">
        <f t="shared" si="702"/>
        <v>0</v>
      </c>
    </row>
    <row r="4636" spans="1:14" ht="62" outlineLevel="1" x14ac:dyDescent="0.25">
      <c r="A4636" s="1486">
        <f t="shared" si="703"/>
        <v>13</v>
      </c>
      <c r="B4636" s="1491" t="str">
        <f t="shared" si="703"/>
        <v>Design, supply, installation and commissioning of Smart Energy Efficienient Illumination System for safety precautions and proving suitable working conditions  at stg-II &amp; III, CSTPS, Chandrapur</v>
      </c>
      <c r="C4636" s="1488">
        <f t="shared" si="703"/>
        <v>0</v>
      </c>
      <c r="D4636" s="1413" t="str">
        <f t="shared" si="703"/>
        <v>-</v>
      </c>
      <c r="E4636" s="560">
        <f t="shared" si="703"/>
        <v>42</v>
      </c>
      <c r="F4636" s="1508">
        <f t="shared" si="698"/>
        <v>0</v>
      </c>
      <c r="G4636" s="1508">
        <f t="shared" si="699"/>
        <v>0</v>
      </c>
      <c r="H4636" s="1508">
        <f t="shared" si="700"/>
        <v>0</v>
      </c>
      <c r="I4636" s="1480">
        <v>0</v>
      </c>
      <c r="J4636" s="1480">
        <v>0</v>
      </c>
      <c r="K4636" s="1508"/>
      <c r="L4636" s="1508"/>
      <c r="M4636" s="1509">
        <f t="shared" si="701"/>
        <v>0</v>
      </c>
      <c r="N4636" s="1508">
        <f t="shared" si="702"/>
        <v>0</v>
      </c>
    </row>
    <row r="4637" spans="1:14" ht="62" outlineLevel="1" x14ac:dyDescent="0.25">
      <c r="A4637" s="1492">
        <f t="shared" si="703"/>
        <v>0</v>
      </c>
      <c r="B4637" s="1492" t="str">
        <f t="shared" si="703"/>
        <v>Design, supply, installation and commissioning of Smart Energy Efficienient Illumination System for safety precautions and proving suitable working conditions  at stg-II &amp; III, CSTPS, Chandrapur</v>
      </c>
      <c r="C4637" s="1488">
        <f t="shared" si="703"/>
        <v>0</v>
      </c>
      <c r="D4637" s="1413" t="str">
        <f t="shared" si="703"/>
        <v>-</v>
      </c>
      <c r="E4637" s="560">
        <f t="shared" si="703"/>
        <v>42</v>
      </c>
      <c r="F4637" s="1508">
        <f t="shared" si="698"/>
        <v>42</v>
      </c>
      <c r="G4637" s="1508">
        <f t="shared" si="699"/>
        <v>42</v>
      </c>
      <c r="H4637" s="1508">
        <f t="shared" si="700"/>
        <v>0</v>
      </c>
      <c r="I4637" s="1480">
        <v>0</v>
      </c>
      <c r="J4637" s="1480">
        <v>0</v>
      </c>
      <c r="K4637" s="1508"/>
      <c r="L4637" s="1508"/>
      <c r="M4637" s="1509">
        <f t="shared" si="701"/>
        <v>0</v>
      </c>
      <c r="N4637" s="1508">
        <f t="shared" si="702"/>
        <v>0</v>
      </c>
    </row>
    <row r="4638" spans="1:14" ht="15.5" outlineLevel="1" x14ac:dyDescent="0.25">
      <c r="A4638" s="1486">
        <f t="shared" ref="A4638:E4653" si="704">A3968</f>
        <v>14</v>
      </c>
      <c r="B4638" s="1491" t="str">
        <f t="shared" si="704"/>
        <v>Implementation of Flexible Operation Solutions  (U-3,4)</v>
      </c>
      <c r="C4638" s="1488">
        <f t="shared" si="704"/>
        <v>0</v>
      </c>
      <c r="D4638" s="1413" t="str">
        <f t="shared" si="704"/>
        <v>-</v>
      </c>
      <c r="E4638" s="560">
        <f t="shared" si="704"/>
        <v>25</v>
      </c>
      <c r="F4638" s="1508">
        <f t="shared" si="698"/>
        <v>0</v>
      </c>
      <c r="G4638" s="1508">
        <f t="shared" si="699"/>
        <v>0</v>
      </c>
      <c r="H4638" s="1508">
        <f t="shared" si="700"/>
        <v>0</v>
      </c>
      <c r="I4638" s="1480">
        <v>0</v>
      </c>
      <c r="J4638" s="1480">
        <v>0</v>
      </c>
      <c r="K4638" s="1508"/>
      <c r="L4638" s="1508"/>
      <c r="M4638" s="1509">
        <f t="shared" si="701"/>
        <v>0</v>
      </c>
      <c r="N4638" s="1508">
        <f t="shared" si="702"/>
        <v>0</v>
      </c>
    </row>
    <row r="4639" spans="1:14" ht="15.5" outlineLevel="1" x14ac:dyDescent="0.25">
      <c r="A4639" s="1492">
        <f t="shared" si="704"/>
        <v>0</v>
      </c>
      <c r="B4639" s="1492" t="str">
        <f t="shared" si="704"/>
        <v>Implementation of Flexible Operation Solutions (U-3,4)</v>
      </c>
      <c r="C4639" s="1488">
        <f t="shared" si="704"/>
        <v>0</v>
      </c>
      <c r="D4639" s="1413" t="str">
        <f t="shared" si="704"/>
        <v>-</v>
      </c>
      <c r="E4639" s="560">
        <f t="shared" si="704"/>
        <v>25</v>
      </c>
      <c r="F4639" s="1508">
        <f t="shared" si="698"/>
        <v>25</v>
      </c>
      <c r="G4639" s="1508">
        <f t="shared" si="699"/>
        <v>25</v>
      </c>
      <c r="H4639" s="1508">
        <f t="shared" si="700"/>
        <v>0</v>
      </c>
      <c r="I4639" s="1480">
        <v>0</v>
      </c>
      <c r="J4639" s="1480">
        <v>0</v>
      </c>
      <c r="K4639" s="1508"/>
      <c r="L4639" s="1508"/>
      <c r="M4639" s="1509">
        <f t="shared" si="701"/>
        <v>0</v>
      </c>
      <c r="N4639" s="1508">
        <f t="shared" si="702"/>
        <v>0</v>
      </c>
    </row>
    <row r="4640" spans="1:14" ht="15.5" outlineLevel="1" x14ac:dyDescent="0.25">
      <c r="A4640" s="1486">
        <f t="shared" si="704"/>
        <v>15</v>
      </c>
      <c r="B4640" s="1491" t="str">
        <f t="shared" si="704"/>
        <v>DPR for ash utilisation cell- infrastructure development</v>
      </c>
      <c r="C4640" s="1488">
        <f t="shared" si="704"/>
        <v>0</v>
      </c>
      <c r="D4640" s="1413" t="str">
        <f t="shared" si="704"/>
        <v>-</v>
      </c>
      <c r="E4640" s="560">
        <f t="shared" si="704"/>
        <v>278.5</v>
      </c>
      <c r="F4640" s="1508">
        <f t="shared" si="698"/>
        <v>0</v>
      </c>
      <c r="G4640" s="1508">
        <f t="shared" si="699"/>
        <v>0</v>
      </c>
      <c r="H4640" s="1508">
        <f t="shared" si="700"/>
        <v>0</v>
      </c>
      <c r="I4640" s="1480">
        <v>0</v>
      </c>
      <c r="J4640" s="1480">
        <v>0</v>
      </c>
      <c r="K4640" s="1508"/>
      <c r="L4640" s="1508"/>
      <c r="M4640" s="1509">
        <f t="shared" si="701"/>
        <v>0</v>
      </c>
      <c r="N4640" s="1508">
        <f t="shared" si="702"/>
        <v>0</v>
      </c>
    </row>
    <row r="4641" spans="1:14" ht="31" outlineLevel="1" x14ac:dyDescent="0.25">
      <c r="A4641" s="1492">
        <f t="shared" si="704"/>
        <v>0</v>
      </c>
      <c r="B4641" s="1492" t="str">
        <f t="shared" si="704"/>
        <v>DPR for development of infrastructure for loading and dispatch of fly ash through Railway Wagons, CSTPS, Chandrapur</v>
      </c>
      <c r="C4641" s="1488">
        <f t="shared" si="704"/>
        <v>0</v>
      </c>
      <c r="D4641" s="1413" t="str">
        <f t="shared" si="704"/>
        <v>-</v>
      </c>
      <c r="E4641" s="560">
        <f t="shared" si="704"/>
        <v>268</v>
      </c>
      <c r="F4641" s="1508">
        <f t="shared" si="698"/>
        <v>268</v>
      </c>
      <c r="G4641" s="1508">
        <f t="shared" si="699"/>
        <v>268</v>
      </c>
      <c r="H4641" s="1508">
        <f t="shared" si="700"/>
        <v>0</v>
      </c>
      <c r="I4641" s="1480">
        <v>0</v>
      </c>
      <c r="J4641" s="1480">
        <v>0</v>
      </c>
      <c r="K4641" s="1508"/>
      <c r="L4641" s="1508"/>
      <c r="M4641" s="1509">
        <f t="shared" si="701"/>
        <v>0</v>
      </c>
      <c r="N4641" s="1508">
        <f t="shared" si="702"/>
        <v>0</v>
      </c>
    </row>
    <row r="4642" spans="1:14" ht="31" outlineLevel="1" x14ac:dyDescent="0.25">
      <c r="A4642" s="1492">
        <f t="shared" si="704"/>
        <v>0</v>
      </c>
      <c r="B4642" s="1492" t="str">
        <f t="shared" si="704"/>
        <v>Disposal of bottom ash for stowing of u/g mines of Chandrapur Area by installing direct pipeline from CSTPS to WCL</v>
      </c>
      <c r="C4642" s="1488">
        <f t="shared" si="704"/>
        <v>0</v>
      </c>
      <c r="D4642" s="1413" t="str">
        <f t="shared" si="704"/>
        <v>-</v>
      </c>
      <c r="E4642" s="560">
        <f t="shared" si="704"/>
        <v>10</v>
      </c>
      <c r="F4642" s="1508">
        <f t="shared" si="698"/>
        <v>10</v>
      </c>
      <c r="G4642" s="1508">
        <f t="shared" si="699"/>
        <v>10</v>
      </c>
      <c r="H4642" s="1508">
        <f t="shared" si="700"/>
        <v>0</v>
      </c>
      <c r="I4642" s="1480">
        <v>0</v>
      </c>
      <c r="J4642" s="1480">
        <v>0</v>
      </c>
      <c r="K4642" s="1508"/>
      <c r="L4642" s="1508"/>
      <c r="M4642" s="1509">
        <f t="shared" si="701"/>
        <v>0</v>
      </c>
      <c r="N4642" s="1508">
        <f t="shared" si="702"/>
        <v>0</v>
      </c>
    </row>
    <row r="4643" spans="1:14" ht="46.5" outlineLevel="1" x14ac:dyDescent="0.25">
      <c r="A4643" s="1492">
        <f t="shared" si="704"/>
        <v>0</v>
      </c>
      <c r="B4643" s="1492" t="str">
        <f t="shared" si="704"/>
        <v>Design, supply, installation, testing and commissioning of 100 MT 16X3 Mtr. electronic weigh bridge system, for weighment and dispatch of Pond Ash from Ash bund, CSTPS, Chandrapur</v>
      </c>
      <c r="C4643" s="1488">
        <f t="shared" si="704"/>
        <v>0</v>
      </c>
      <c r="D4643" s="1413" t="str">
        <f t="shared" si="704"/>
        <v>-</v>
      </c>
      <c r="E4643" s="560">
        <f t="shared" si="704"/>
        <v>0.5</v>
      </c>
      <c r="F4643" s="1508">
        <f t="shared" si="698"/>
        <v>0.5</v>
      </c>
      <c r="G4643" s="1508">
        <f t="shared" si="699"/>
        <v>0.5</v>
      </c>
      <c r="H4643" s="1508">
        <f t="shared" si="700"/>
        <v>0</v>
      </c>
      <c r="I4643" s="1480">
        <v>0</v>
      </c>
      <c r="J4643" s="1480">
        <v>0</v>
      </c>
      <c r="K4643" s="1508"/>
      <c r="L4643" s="1508"/>
      <c r="M4643" s="1509">
        <f t="shared" si="701"/>
        <v>0</v>
      </c>
      <c r="N4643" s="1508">
        <f t="shared" si="702"/>
        <v>0</v>
      </c>
    </row>
    <row r="4644" spans="1:14" ht="15.5" outlineLevel="1" x14ac:dyDescent="0.25">
      <c r="A4644" s="1486">
        <f t="shared" si="704"/>
        <v>16</v>
      </c>
      <c r="B4644" s="1491" t="str">
        <f t="shared" si="704"/>
        <v>Up-gradation Schemes for CAAQM Stations &amp; NABL Laboratory</v>
      </c>
      <c r="C4644" s="1488">
        <f t="shared" si="704"/>
        <v>0</v>
      </c>
      <c r="D4644" s="1413" t="str">
        <f t="shared" si="704"/>
        <v>-</v>
      </c>
      <c r="E4644" s="560">
        <f t="shared" si="704"/>
        <v>25</v>
      </c>
      <c r="F4644" s="1508">
        <f t="shared" si="698"/>
        <v>0</v>
      </c>
      <c r="G4644" s="1508">
        <f t="shared" si="699"/>
        <v>0</v>
      </c>
      <c r="H4644" s="1508">
        <f t="shared" si="700"/>
        <v>0</v>
      </c>
      <c r="I4644" s="1480">
        <v>0</v>
      </c>
      <c r="J4644" s="1480">
        <v>0</v>
      </c>
      <c r="K4644" s="1508"/>
      <c r="L4644" s="1508"/>
      <c r="M4644" s="1509">
        <f t="shared" si="701"/>
        <v>0</v>
      </c>
      <c r="N4644" s="1508">
        <f t="shared" si="702"/>
        <v>0</v>
      </c>
    </row>
    <row r="4645" spans="1:14" ht="15.5" outlineLevel="1" x14ac:dyDescent="0.25">
      <c r="A4645" s="1492">
        <f t="shared" si="704"/>
        <v>0</v>
      </c>
      <c r="B4645" s="1492" t="str">
        <f t="shared" si="704"/>
        <v>Up-gradation Schemes for CAAQM Stations &amp; NABL Laboratory</v>
      </c>
      <c r="C4645" s="1488">
        <f t="shared" si="704"/>
        <v>0</v>
      </c>
      <c r="D4645" s="1413" t="str">
        <f t="shared" si="704"/>
        <v>-</v>
      </c>
      <c r="E4645" s="560">
        <f t="shared" si="704"/>
        <v>25</v>
      </c>
      <c r="F4645" s="1508">
        <f t="shared" si="698"/>
        <v>25</v>
      </c>
      <c r="G4645" s="1508">
        <f t="shared" si="699"/>
        <v>25</v>
      </c>
      <c r="H4645" s="1508">
        <f t="shared" si="700"/>
        <v>0</v>
      </c>
      <c r="I4645" s="1480">
        <v>0</v>
      </c>
      <c r="J4645" s="1480">
        <v>0</v>
      </c>
      <c r="K4645" s="1508"/>
      <c r="L4645" s="1508"/>
      <c r="M4645" s="1509">
        <f t="shared" si="701"/>
        <v>0</v>
      </c>
      <c r="N4645" s="1508">
        <f t="shared" si="702"/>
        <v>0</v>
      </c>
    </row>
    <row r="4646" spans="1:14" ht="62" outlineLevel="1" x14ac:dyDescent="0.25">
      <c r="A4646" s="1486">
        <f t="shared" si="704"/>
        <v>17</v>
      </c>
      <c r="B4646" s="1491" t="str">
        <f t="shared" si="704"/>
        <v>Comprehensive Strategies for Environmental Sustainability at CSTPS: Implementing Zero Discharge Policies and Pollution Control Measures for Effective Water Body Management and Hazard Prevention</v>
      </c>
      <c r="C4646" s="1488">
        <f t="shared" si="704"/>
        <v>0</v>
      </c>
      <c r="D4646" s="1413" t="str">
        <f t="shared" si="704"/>
        <v>-</v>
      </c>
      <c r="E4646" s="560">
        <f t="shared" si="704"/>
        <v>27.6</v>
      </c>
      <c r="F4646" s="1508">
        <f t="shared" si="698"/>
        <v>0</v>
      </c>
      <c r="G4646" s="1508">
        <f t="shared" si="699"/>
        <v>0</v>
      </c>
      <c r="H4646" s="1508">
        <f t="shared" si="700"/>
        <v>0</v>
      </c>
      <c r="I4646" s="1480">
        <v>0</v>
      </c>
      <c r="J4646" s="1480">
        <v>0</v>
      </c>
      <c r="K4646" s="1508"/>
      <c r="L4646" s="1508"/>
      <c r="M4646" s="1509">
        <f t="shared" si="701"/>
        <v>0</v>
      </c>
      <c r="N4646" s="1508">
        <f t="shared" si="702"/>
        <v>0</v>
      </c>
    </row>
    <row r="4647" spans="1:14" ht="62" outlineLevel="1" x14ac:dyDescent="0.25">
      <c r="A4647" s="1492">
        <f t="shared" si="704"/>
        <v>0</v>
      </c>
      <c r="B4647" s="1492" t="str">
        <f t="shared" si="704"/>
        <v>Upgrading Settling tank near the Coal Reject Area: Installation of Settling Tank Liners and Enhanced Upgraded Pump House Systems to Prevent Acidic Water Seepage into the Ranvendli Nallah which connected to the ERAI River.</v>
      </c>
      <c r="C4647" s="1488">
        <f t="shared" si="704"/>
        <v>0</v>
      </c>
      <c r="D4647" s="1413" t="str">
        <f t="shared" si="704"/>
        <v>-</v>
      </c>
      <c r="E4647" s="560">
        <f t="shared" si="704"/>
        <v>8.9</v>
      </c>
      <c r="F4647" s="1508">
        <f t="shared" si="698"/>
        <v>8.9</v>
      </c>
      <c r="G4647" s="1508">
        <f t="shared" si="699"/>
        <v>8.9</v>
      </c>
      <c r="H4647" s="1508">
        <f t="shared" si="700"/>
        <v>0</v>
      </c>
      <c r="I4647" s="1480">
        <v>0</v>
      </c>
      <c r="J4647" s="1480">
        <v>0</v>
      </c>
      <c r="K4647" s="1508"/>
      <c r="L4647" s="1508"/>
      <c r="M4647" s="1509">
        <f t="shared" si="701"/>
        <v>0</v>
      </c>
      <c r="N4647" s="1508">
        <f t="shared" si="702"/>
        <v>0</v>
      </c>
    </row>
    <row r="4648" spans="1:14" ht="46.5" outlineLevel="1" x14ac:dyDescent="0.25">
      <c r="A4648" s="1492">
        <f t="shared" si="704"/>
        <v>0</v>
      </c>
      <c r="B4648" s="1492" t="str">
        <f t="shared" si="704"/>
        <v>Implementation of Zero Water Discharge Solutions: Design, Construction, and Commissioning of New Pump Houses for ETP 1 and ETP 2 to Enhance Capacity for Effective Water Recovery</v>
      </c>
      <c r="C4648" s="1488">
        <f t="shared" si="704"/>
        <v>0</v>
      </c>
      <c r="D4648" s="1413" t="str">
        <f t="shared" si="704"/>
        <v>-</v>
      </c>
      <c r="E4648" s="560">
        <f t="shared" si="704"/>
        <v>10.82</v>
      </c>
      <c r="F4648" s="1508">
        <f t="shared" si="698"/>
        <v>10.82</v>
      </c>
      <c r="G4648" s="1508">
        <f t="shared" si="699"/>
        <v>10.82</v>
      </c>
      <c r="H4648" s="1508">
        <f t="shared" si="700"/>
        <v>0</v>
      </c>
      <c r="I4648" s="1480">
        <v>0</v>
      </c>
      <c r="J4648" s="1480">
        <v>0</v>
      </c>
      <c r="K4648" s="1508"/>
      <c r="L4648" s="1508"/>
      <c r="M4648" s="1509">
        <f t="shared" si="701"/>
        <v>0</v>
      </c>
      <c r="N4648" s="1508">
        <f t="shared" si="702"/>
        <v>0</v>
      </c>
    </row>
    <row r="4649" spans="1:14" ht="62" outlineLevel="1" x14ac:dyDescent="0.25">
      <c r="A4649" s="1492">
        <f t="shared" si="704"/>
        <v>0</v>
      </c>
      <c r="B4649" s="1492" t="str">
        <f t="shared" si="704"/>
        <v>Underground Ash Disposal Pipeline Management: Design, Construction, and Installation of Filter Beds Along Ash Disposal Pipelines for Improved Environmental Protection of Water Bodies from Ingress into the Erai River</v>
      </c>
      <c r="C4649" s="1488">
        <f t="shared" si="704"/>
        <v>0</v>
      </c>
      <c r="D4649" s="1413" t="str">
        <f t="shared" si="704"/>
        <v>-</v>
      </c>
      <c r="E4649" s="560">
        <f t="shared" si="704"/>
        <v>7.88</v>
      </c>
      <c r="F4649" s="1508">
        <f t="shared" si="698"/>
        <v>7.88</v>
      </c>
      <c r="G4649" s="1508">
        <f t="shared" si="699"/>
        <v>7.88</v>
      </c>
      <c r="H4649" s="1508">
        <f t="shared" si="700"/>
        <v>0</v>
      </c>
      <c r="I4649" s="1480">
        <v>0</v>
      </c>
      <c r="J4649" s="1480">
        <v>0</v>
      </c>
      <c r="K4649" s="1508"/>
      <c r="L4649" s="1508"/>
      <c r="M4649" s="1509">
        <f t="shared" si="701"/>
        <v>0</v>
      </c>
      <c r="N4649" s="1508">
        <f t="shared" si="702"/>
        <v>0</v>
      </c>
    </row>
    <row r="4650" spans="1:14" ht="15.5" outlineLevel="1" x14ac:dyDescent="0.25">
      <c r="A4650" s="1486">
        <f t="shared" si="704"/>
        <v>18</v>
      </c>
      <c r="B4650" s="1491" t="str">
        <f t="shared" si="704"/>
        <v>Ash bund peripheral road</v>
      </c>
      <c r="C4650" s="1488">
        <f t="shared" si="704"/>
        <v>0</v>
      </c>
      <c r="D4650" s="1413" t="str">
        <f t="shared" si="704"/>
        <v>-</v>
      </c>
      <c r="E4650" s="560">
        <f t="shared" si="704"/>
        <v>120</v>
      </c>
      <c r="F4650" s="1508">
        <f t="shared" si="698"/>
        <v>0</v>
      </c>
      <c r="G4650" s="1508">
        <f t="shared" si="699"/>
        <v>0</v>
      </c>
      <c r="H4650" s="1508">
        <f t="shared" si="700"/>
        <v>0</v>
      </c>
      <c r="I4650" s="1480">
        <v>0</v>
      </c>
      <c r="J4650" s="1480">
        <v>0</v>
      </c>
      <c r="K4650" s="1508"/>
      <c r="L4650" s="1508"/>
      <c r="M4650" s="1509">
        <f t="shared" si="701"/>
        <v>0</v>
      </c>
      <c r="N4650" s="1508">
        <f t="shared" si="702"/>
        <v>0</v>
      </c>
    </row>
    <row r="4651" spans="1:14" ht="15.5" outlineLevel="1" x14ac:dyDescent="0.25">
      <c r="A4651" s="1492">
        <f t="shared" si="704"/>
        <v>0</v>
      </c>
      <c r="B4651" s="1492" t="str">
        <f t="shared" si="704"/>
        <v>Ash bund peripheral road</v>
      </c>
      <c r="C4651" s="1488">
        <f t="shared" si="704"/>
        <v>0</v>
      </c>
      <c r="D4651" s="1413" t="str">
        <f t="shared" si="704"/>
        <v>-</v>
      </c>
      <c r="E4651" s="560">
        <f t="shared" si="704"/>
        <v>120</v>
      </c>
      <c r="F4651" s="1508">
        <f t="shared" si="698"/>
        <v>60</v>
      </c>
      <c r="G4651" s="1508">
        <f t="shared" si="699"/>
        <v>60</v>
      </c>
      <c r="H4651" s="1508">
        <f t="shared" si="700"/>
        <v>0</v>
      </c>
      <c r="I4651" s="1480">
        <v>60</v>
      </c>
      <c r="J4651" s="1480">
        <v>60</v>
      </c>
      <c r="K4651" s="1508"/>
      <c r="L4651" s="1508"/>
      <c r="M4651" s="1509">
        <f t="shared" si="701"/>
        <v>60</v>
      </c>
      <c r="N4651" s="1508">
        <f t="shared" si="702"/>
        <v>0</v>
      </c>
    </row>
    <row r="4652" spans="1:14" ht="15.5" outlineLevel="1" x14ac:dyDescent="0.25">
      <c r="A4652" s="1486">
        <f t="shared" si="704"/>
        <v>19</v>
      </c>
      <c r="B4652" s="1491" t="str">
        <f t="shared" si="704"/>
        <v>Construction of peripheral nallah</v>
      </c>
      <c r="C4652" s="1488">
        <f t="shared" si="704"/>
        <v>0</v>
      </c>
      <c r="D4652" s="1413" t="str">
        <f t="shared" si="704"/>
        <v>-</v>
      </c>
      <c r="E4652" s="560">
        <f t="shared" si="704"/>
        <v>100</v>
      </c>
      <c r="F4652" s="1508">
        <f t="shared" si="698"/>
        <v>0</v>
      </c>
      <c r="G4652" s="1508">
        <f t="shared" si="699"/>
        <v>0</v>
      </c>
      <c r="H4652" s="1508">
        <f t="shared" si="700"/>
        <v>0</v>
      </c>
      <c r="I4652" s="1480">
        <v>0</v>
      </c>
      <c r="J4652" s="1480">
        <v>0</v>
      </c>
      <c r="K4652" s="1508"/>
      <c r="L4652" s="1508"/>
      <c r="M4652" s="1509">
        <f t="shared" si="701"/>
        <v>0</v>
      </c>
      <c r="N4652" s="1508">
        <f t="shared" si="702"/>
        <v>0</v>
      </c>
    </row>
    <row r="4653" spans="1:14" ht="15.5" outlineLevel="1" x14ac:dyDescent="0.25">
      <c r="A4653" s="1492">
        <f t="shared" si="704"/>
        <v>0</v>
      </c>
      <c r="B4653" s="1492" t="str">
        <f t="shared" si="704"/>
        <v>Construction of peripheral nallah</v>
      </c>
      <c r="C4653" s="1488">
        <f t="shared" si="704"/>
        <v>0</v>
      </c>
      <c r="D4653" s="1413" t="str">
        <f t="shared" si="704"/>
        <v>-</v>
      </c>
      <c r="E4653" s="560">
        <f t="shared" si="704"/>
        <v>100</v>
      </c>
      <c r="F4653" s="1508">
        <f t="shared" si="698"/>
        <v>50</v>
      </c>
      <c r="G4653" s="1508">
        <f t="shared" si="699"/>
        <v>50</v>
      </c>
      <c r="H4653" s="1508">
        <f t="shared" si="700"/>
        <v>0</v>
      </c>
      <c r="I4653" s="1480">
        <v>50</v>
      </c>
      <c r="J4653" s="1480">
        <v>50</v>
      </c>
      <c r="K4653" s="1508"/>
      <c r="L4653" s="1508"/>
      <c r="M4653" s="1509">
        <f t="shared" si="701"/>
        <v>50</v>
      </c>
      <c r="N4653" s="1508">
        <f t="shared" si="702"/>
        <v>0</v>
      </c>
    </row>
    <row r="4654" spans="1:14" ht="15.5" outlineLevel="1" x14ac:dyDescent="0.25">
      <c r="A4654" s="1486">
        <f t="shared" ref="A4654:E4669" si="705">A3984</f>
        <v>20</v>
      </c>
      <c r="B4654" s="1491" t="str">
        <f t="shared" si="705"/>
        <v>Construction of concrete Roads with drains at colony</v>
      </c>
      <c r="C4654" s="1488">
        <f t="shared" si="705"/>
        <v>0</v>
      </c>
      <c r="D4654" s="1413" t="str">
        <f t="shared" si="705"/>
        <v>-</v>
      </c>
      <c r="E4654" s="560">
        <f t="shared" si="705"/>
        <v>110</v>
      </c>
      <c r="F4654" s="1508">
        <f t="shared" si="698"/>
        <v>0</v>
      </c>
      <c r="G4654" s="1508">
        <f t="shared" si="699"/>
        <v>0</v>
      </c>
      <c r="H4654" s="1508">
        <f t="shared" si="700"/>
        <v>0</v>
      </c>
      <c r="I4654" s="1480">
        <v>0</v>
      </c>
      <c r="J4654" s="1480">
        <v>0</v>
      </c>
      <c r="K4654" s="1508"/>
      <c r="L4654" s="1508"/>
      <c r="M4654" s="1509">
        <f t="shared" si="701"/>
        <v>0</v>
      </c>
      <c r="N4654" s="1508">
        <f t="shared" si="702"/>
        <v>0</v>
      </c>
    </row>
    <row r="4655" spans="1:14" ht="15.5" outlineLevel="1" x14ac:dyDescent="0.25">
      <c r="A4655" s="1492">
        <f t="shared" si="705"/>
        <v>0</v>
      </c>
      <c r="B4655" s="1492" t="str">
        <f t="shared" si="705"/>
        <v>Construction of concrete Roads with drains at colony</v>
      </c>
      <c r="C4655" s="1488">
        <f t="shared" si="705"/>
        <v>0</v>
      </c>
      <c r="D4655" s="1413" t="str">
        <f t="shared" si="705"/>
        <v>-</v>
      </c>
      <c r="E4655" s="560">
        <f t="shared" si="705"/>
        <v>110</v>
      </c>
      <c r="F4655" s="1508">
        <f t="shared" si="698"/>
        <v>55</v>
      </c>
      <c r="G4655" s="1508">
        <f t="shared" si="699"/>
        <v>55</v>
      </c>
      <c r="H4655" s="1508">
        <f t="shared" si="700"/>
        <v>0</v>
      </c>
      <c r="I4655" s="1480">
        <v>55</v>
      </c>
      <c r="J4655" s="1480">
        <v>55</v>
      </c>
      <c r="K4655" s="1508"/>
      <c r="L4655" s="1508"/>
      <c r="M4655" s="1509">
        <f t="shared" si="701"/>
        <v>55</v>
      </c>
      <c r="N4655" s="1508">
        <f t="shared" si="702"/>
        <v>0</v>
      </c>
    </row>
    <row r="4656" spans="1:14" ht="15.5" outlineLevel="1" x14ac:dyDescent="0.25">
      <c r="A4656" s="1486">
        <f t="shared" si="705"/>
        <v>21</v>
      </c>
      <c r="B4656" s="1491" t="str">
        <f t="shared" si="705"/>
        <v>Fugitive emisson reduction techniques</v>
      </c>
      <c r="C4656" s="1488">
        <f t="shared" si="705"/>
        <v>0</v>
      </c>
      <c r="D4656" s="1413" t="str">
        <f t="shared" si="705"/>
        <v>-</v>
      </c>
      <c r="E4656" s="560">
        <f t="shared" si="705"/>
        <v>50</v>
      </c>
      <c r="F4656" s="1508">
        <f t="shared" si="698"/>
        <v>0</v>
      </c>
      <c r="G4656" s="1508">
        <f t="shared" si="699"/>
        <v>0</v>
      </c>
      <c r="H4656" s="1508">
        <f t="shared" si="700"/>
        <v>0</v>
      </c>
      <c r="I4656" s="1480">
        <v>0</v>
      </c>
      <c r="J4656" s="1480">
        <v>0</v>
      </c>
      <c r="K4656" s="1508"/>
      <c r="L4656" s="1508"/>
      <c r="M4656" s="1509">
        <f t="shared" si="701"/>
        <v>0</v>
      </c>
      <c r="N4656" s="1508">
        <f t="shared" si="702"/>
        <v>0</v>
      </c>
    </row>
    <row r="4657" spans="1:14" ht="15.5" outlineLevel="1" x14ac:dyDescent="0.25">
      <c r="A4657" s="1492">
        <f t="shared" si="705"/>
        <v>0</v>
      </c>
      <c r="B4657" s="1492" t="str">
        <f t="shared" si="705"/>
        <v>Fugitive emisson reduction schemes</v>
      </c>
      <c r="C4657" s="1488">
        <f t="shared" si="705"/>
        <v>0</v>
      </c>
      <c r="D4657" s="1413" t="str">
        <f t="shared" si="705"/>
        <v>-</v>
      </c>
      <c r="E4657" s="560">
        <f t="shared" si="705"/>
        <v>50</v>
      </c>
      <c r="F4657" s="1508">
        <f t="shared" si="698"/>
        <v>25</v>
      </c>
      <c r="G4657" s="1508">
        <f t="shared" si="699"/>
        <v>25</v>
      </c>
      <c r="H4657" s="1508">
        <f t="shared" si="700"/>
        <v>0</v>
      </c>
      <c r="I4657" s="1480">
        <v>25</v>
      </c>
      <c r="J4657" s="1480">
        <v>25</v>
      </c>
      <c r="K4657" s="1508"/>
      <c r="L4657" s="1508"/>
      <c r="M4657" s="1509">
        <f t="shared" si="701"/>
        <v>25</v>
      </c>
      <c r="N4657" s="1508">
        <f t="shared" si="702"/>
        <v>0</v>
      </c>
    </row>
    <row r="4658" spans="1:14" ht="15.5" outlineLevel="1" x14ac:dyDescent="0.25">
      <c r="A4658" s="1453">
        <f t="shared" si="705"/>
        <v>0</v>
      </c>
      <c r="B4658" s="96">
        <f t="shared" si="705"/>
        <v>0</v>
      </c>
      <c r="C4658" s="1453">
        <f t="shared" si="705"/>
        <v>0</v>
      </c>
      <c r="D4658" s="1503" t="str">
        <f t="shared" si="705"/>
        <v>-</v>
      </c>
      <c r="E4658" s="560">
        <f t="shared" si="705"/>
        <v>0</v>
      </c>
      <c r="F4658" s="1508">
        <f t="shared" si="698"/>
        <v>0</v>
      </c>
      <c r="G4658" s="1508">
        <f t="shared" si="699"/>
        <v>0</v>
      </c>
      <c r="H4658" s="1508">
        <f t="shared" si="700"/>
        <v>0</v>
      </c>
      <c r="I4658" s="1480">
        <v>0</v>
      </c>
      <c r="J4658" s="1480">
        <v>0</v>
      </c>
      <c r="K4658" s="1508"/>
      <c r="L4658" s="1508"/>
      <c r="M4658" s="1509">
        <f t="shared" si="701"/>
        <v>0</v>
      </c>
      <c r="N4658" s="1508">
        <f t="shared" si="702"/>
        <v>0</v>
      </c>
    </row>
    <row r="4659" spans="1:14" ht="15.5" outlineLevel="1" x14ac:dyDescent="0.25">
      <c r="A4659" s="1488">
        <f t="shared" si="705"/>
        <v>0</v>
      </c>
      <c r="B4659" s="1492">
        <f t="shared" si="705"/>
        <v>0</v>
      </c>
      <c r="C4659" s="1488">
        <f t="shared" si="705"/>
        <v>0</v>
      </c>
      <c r="D4659" s="1413" t="str">
        <f t="shared" si="705"/>
        <v>-</v>
      </c>
      <c r="E4659" s="560">
        <f t="shared" si="705"/>
        <v>0</v>
      </c>
      <c r="F4659" s="1508">
        <f t="shared" si="698"/>
        <v>0</v>
      </c>
      <c r="G4659" s="1508">
        <f t="shared" si="699"/>
        <v>0</v>
      </c>
      <c r="H4659" s="1508">
        <f t="shared" si="700"/>
        <v>0</v>
      </c>
      <c r="I4659" s="1480">
        <v>0</v>
      </c>
      <c r="J4659" s="1480">
        <v>0</v>
      </c>
      <c r="K4659" s="1508"/>
      <c r="L4659" s="1508"/>
      <c r="M4659" s="1509">
        <f t="shared" si="701"/>
        <v>0</v>
      </c>
      <c r="N4659" s="1508">
        <f t="shared" si="702"/>
        <v>0</v>
      </c>
    </row>
    <row r="4660" spans="1:14" ht="15.5" outlineLevel="1" x14ac:dyDescent="0.25">
      <c r="A4660" s="1505">
        <f t="shared" si="705"/>
        <v>0</v>
      </c>
      <c r="B4660" s="1492">
        <f t="shared" si="705"/>
        <v>0</v>
      </c>
      <c r="C4660" s="1505">
        <f t="shared" si="705"/>
        <v>0</v>
      </c>
      <c r="D4660" s="1503" t="str">
        <f t="shared" si="705"/>
        <v>-</v>
      </c>
      <c r="E4660" s="560">
        <f t="shared" si="705"/>
        <v>0</v>
      </c>
      <c r="F4660" s="1508">
        <f t="shared" si="698"/>
        <v>0</v>
      </c>
      <c r="G4660" s="1508">
        <f t="shared" si="699"/>
        <v>0</v>
      </c>
      <c r="H4660" s="1508">
        <f t="shared" si="700"/>
        <v>0</v>
      </c>
      <c r="I4660" s="1480">
        <v>0</v>
      </c>
      <c r="J4660" s="1480">
        <v>0</v>
      </c>
      <c r="K4660" s="1508"/>
      <c r="L4660" s="1508"/>
      <c r="M4660" s="1509">
        <f t="shared" si="701"/>
        <v>0</v>
      </c>
      <c r="N4660" s="1508">
        <f t="shared" si="702"/>
        <v>0</v>
      </c>
    </row>
    <row r="4661" spans="1:14" ht="15.5" outlineLevel="1" x14ac:dyDescent="0.25">
      <c r="A4661" s="1453">
        <f t="shared" si="705"/>
        <v>0</v>
      </c>
      <c r="B4661" s="1389" t="str">
        <f t="shared" si="705"/>
        <v>B) Non-DPR Schemes</v>
      </c>
      <c r="C4661" s="1453">
        <f t="shared" si="705"/>
        <v>0</v>
      </c>
      <c r="D4661" s="1503" t="str">
        <f t="shared" si="705"/>
        <v>-</v>
      </c>
      <c r="E4661" s="560">
        <f t="shared" si="705"/>
        <v>0</v>
      </c>
      <c r="F4661" s="1508">
        <f t="shared" si="698"/>
        <v>0</v>
      </c>
      <c r="G4661" s="1508">
        <f t="shared" si="699"/>
        <v>0</v>
      </c>
      <c r="H4661" s="1508">
        <f t="shared" si="700"/>
        <v>0</v>
      </c>
      <c r="I4661" s="1480">
        <v>0</v>
      </c>
      <c r="J4661" s="1480">
        <v>0</v>
      </c>
      <c r="K4661" s="1508"/>
      <c r="L4661" s="1508"/>
      <c r="M4661" s="1509">
        <f t="shared" si="701"/>
        <v>0</v>
      </c>
      <c r="N4661" s="1508">
        <f t="shared" si="702"/>
        <v>0</v>
      </c>
    </row>
    <row r="4662" spans="1:14" ht="15.5" outlineLevel="1" x14ac:dyDescent="0.25">
      <c r="A4662" s="1488">
        <f t="shared" si="705"/>
        <v>1</v>
      </c>
      <c r="B4662" s="1492" t="str">
        <f t="shared" si="705"/>
        <v>GENERAL ASSET</v>
      </c>
      <c r="C4662" s="1488">
        <f t="shared" si="705"/>
        <v>0</v>
      </c>
      <c r="D4662" s="1413" t="str">
        <f t="shared" si="705"/>
        <v>-</v>
      </c>
      <c r="E4662" s="560">
        <f t="shared" si="705"/>
        <v>20</v>
      </c>
      <c r="F4662" s="1508">
        <f t="shared" si="698"/>
        <v>8.3761807089999998</v>
      </c>
      <c r="G4662" s="1508">
        <f t="shared" si="699"/>
        <v>8.3761807089999998</v>
      </c>
      <c r="H4662" s="1508">
        <f t="shared" si="700"/>
        <v>0</v>
      </c>
      <c r="I4662" s="1480">
        <v>0</v>
      </c>
      <c r="J4662" s="1480">
        <v>0</v>
      </c>
      <c r="K4662" s="1508"/>
      <c r="L4662" s="1508"/>
      <c r="M4662" s="1509">
        <f t="shared" si="701"/>
        <v>0</v>
      </c>
      <c r="N4662" s="1508">
        <f t="shared" si="702"/>
        <v>0</v>
      </c>
    </row>
    <row r="4663" spans="1:14" ht="15.5" outlineLevel="1" x14ac:dyDescent="0.25">
      <c r="A4663" s="1488">
        <f t="shared" si="705"/>
        <v>2</v>
      </c>
      <c r="B4663" s="1492" t="str">
        <f t="shared" si="705"/>
        <v>M/S GEO-MILLER arbitration amount</v>
      </c>
      <c r="C4663" s="1488">
        <f t="shared" si="705"/>
        <v>0</v>
      </c>
      <c r="D4663" s="1413" t="str">
        <f t="shared" si="705"/>
        <v>-</v>
      </c>
      <c r="E4663" s="560">
        <f t="shared" si="705"/>
        <v>1.3764700000000001</v>
      </c>
      <c r="F4663" s="1508">
        <f t="shared" si="698"/>
        <v>0.68823500000000004</v>
      </c>
      <c r="G4663" s="1508">
        <f t="shared" si="699"/>
        <v>0.68823500000000004</v>
      </c>
      <c r="H4663" s="1508">
        <f t="shared" si="700"/>
        <v>0</v>
      </c>
      <c r="I4663" s="1480">
        <v>0</v>
      </c>
      <c r="J4663" s="1480">
        <v>0</v>
      </c>
      <c r="K4663" s="1508"/>
      <c r="L4663" s="1508"/>
      <c r="M4663" s="1509">
        <f t="shared" si="701"/>
        <v>0</v>
      </c>
      <c r="N4663" s="1508">
        <f t="shared" si="702"/>
        <v>0</v>
      </c>
    </row>
    <row r="4664" spans="1:14" ht="15.5" outlineLevel="1" x14ac:dyDescent="0.25">
      <c r="A4664" s="1488">
        <f t="shared" si="705"/>
        <v>3</v>
      </c>
      <c r="B4664" s="1492" t="str">
        <f t="shared" si="705"/>
        <v xml:space="preserve"> CM Reject Handling Sys Macawber Breakey</v>
      </c>
      <c r="C4664" s="1488">
        <f t="shared" si="705"/>
        <v>0</v>
      </c>
      <c r="D4664" s="1413" t="str">
        <f t="shared" si="705"/>
        <v>-</v>
      </c>
      <c r="E4664" s="560">
        <f t="shared" si="705"/>
        <v>3.1821571</v>
      </c>
      <c r="F4664" s="1508">
        <f t="shared" si="698"/>
        <v>0</v>
      </c>
      <c r="G4664" s="1508">
        <f t="shared" si="699"/>
        <v>0</v>
      </c>
      <c r="H4664" s="1508">
        <f t="shared" si="700"/>
        <v>0</v>
      </c>
      <c r="I4664" s="1480">
        <v>0</v>
      </c>
      <c r="J4664" s="1480">
        <v>0</v>
      </c>
      <c r="K4664" s="1508"/>
      <c r="L4664" s="1508"/>
      <c r="M4664" s="1509">
        <f t="shared" si="701"/>
        <v>0</v>
      </c>
      <c r="N4664" s="1508">
        <f t="shared" si="702"/>
        <v>0</v>
      </c>
    </row>
    <row r="4665" spans="1:14" ht="62" outlineLevel="1" x14ac:dyDescent="0.25">
      <c r="A4665" s="1488">
        <f t="shared" si="705"/>
        <v>4</v>
      </c>
      <c r="B4665" s="1492" t="str">
        <f t="shared" si="705"/>
        <v xml:space="preserve">Work of Design, Engineering, manufacturing, supply, erection &amp;  commissioning of interconnection conveyor belt Elecon stack yard of CHPA of U-3 &amp; U-4 to Belt Conveyor 105-A/B at CHP-B of Unit 5, 6 &amp; 7 at CSTPS Chandrapur ((Non-DPR) </v>
      </c>
      <c r="C4665" s="1488">
        <f t="shared" si="705"/>
        <v>0</v>
      </c>
      <c r="D4665" s="1413" t="str">
        <f t="shared" si="705"/>
        <v>-</v>
      </c>
      <c r="E4665" s="560">
        <f t="shared" si="705"/>
        <v>4.8622366000000001</v>
      </c>
      <c r="F4665" s="1508">
        <f t="shared" si="698"/>
        <v>4.8622366000000001</v>
      </c>
      <c r="G4665" s="1508">
        <f t="shared" si="699"/>
        <v>4.8622366000000001</v>
      </c>
      <c r="H4665" s="1508">
        <f t="shared" si="700"/>
        <v>0</v>
      </c>
      <c r="I4665" s="1480">
        <v>0</v>
      </c>
      <c r="J4665" s="1480">
        <v>0</v>
      </c>
      <c r="K4665" s="1508"/>
      <c r="L4665" s="1508"/>
      <c r="M4665" s="1509">
        <f t="shared" si="701"/>
        <v>0</v>
      </c>
      <c r="N4665" s="1508">
        <f t="shared" si="702"/>
        <v>0</v>
      </c>
    </row>
    <row r="4666" spans="1:14" ht="46.5" outlineLevel="1" x14ac:dyDescent="0.25">
      <c r="A4666" s="1488">
        <f t="shared" si="705"/>
        <v>5</v>
      </c>
      <c r="B4666" s="1492" t="str">
        <f t="shared" si="705"/>
        <v>Non Dpr The Work of Upgradation/Renovation of Track Hopper Unloading Conveyor system with allied works in CHPB of Unit-5, 6&amp;7 at CSTPS Chandrapur</v>
      </c>
      <c r="C4666" s="1488">
        <f t="shared" si="705"/>
        <v>0</v>
      </c>
      <c r="D4666" s="1413" t="str">
        <f t="shared" si="705"/>
        <v>-</v>
      </c>
      <c r="E4666" s="560">
        <f t="shared" si="705"/>
        <v>4.7420485000000001</v>
      </c>
      <c r="F4666" s="1508">
        <f t="shared" si="698"/>
        <v>4.7420485000000001</v>
      </c>
      <c r="G4666" s="1508">
        <f t="shared" si="699"/>
        <v>4.7420485000000001</v>
      </c>
      <c r="H4666" s="1508">
        <f t="shared" si="700"/>
        <v>0</v>
      </c>
      <c r="I4666" s="1480">
        <v>0</v>
      </c>
      <c r="J4666" s="1480">
        <v>0</v>
      </c>
      <c r="K4666" s="1508"/>
      <c r="L4666" s="1508"/>
      <c r="M4666" s="1509">
        <f t="shared" si="701"/>
        <v>0</v>
      </c>
      <c r="N4666" s="1508">
        <f t="shared" si="702"/>
        <v>0</v>
      </c>
    </row>
    <row r="4667" spans="1:14" ht="46.5" outlineLevel="1" x14ac:dyDescent="0.25">
      <c r="A4667" s="1488">
        <f t="shared" si="705"/>
        <v>6</v>
      </c>
      <c r="B4667" s="1492" t="str">
        <f t="shared" si="705"/>
        <v>Non DPR scheme for “The Work of Upgradation of Belt Conveyor 107A/B by replacement of conveyor deck structure with allied works in CHPB of Unit-5, 6&amp;7 at CSTPS Chandrapur</v>
      </c>
      <c r="C4667" s="1488">
        <f t="shared" si="705"/>
        <v>0</v>
      </c>
      <c r="D4667" s="1413" t="str">
        <f t="shared" si="705"/>
        <v>-</v>
      </c>
      <c r="E4667" s="560">
        <f t="shared" si="705"/>
        <v>4.51</v>
      </c>
      <c r="F4667" s="1508">
        <f t="shared" si="698"/>
        <v>4.5085439999999997</v>
      </c>
      <c r="G4667" s="1508">
        <f t="shared" si="699"/>
        <v>4.5085439999999997</v>
      </c>
      <c r="H4667" s="1508">
        <f t="shared" si="700"/>
        <v>0</v>
      </c>
      <c r="I4667" s="1480">
        <v>0</v>
      </c>
      <c r="J4667" s="1480">
        <v>0</v>
      </c>
      <c r="K4667" s="1508"/>
      <c r="L4667" s="1508"/>
      <c r="M4667" s="1509">
        <f t="shared" si="701"/>
        <v>0</v>
      </c>
      <c r="N4667" s="1508">
        <f t="shared" si="702"/>
        <v>0</v>
      </c>
    </row>
    <row r="4668" spans="1:14" ht="46.5" outlineLevel="1" x14ac:dyDescent="0.25">
      <c r="A4668" s="1488">
        <f t="shared" si="705"/>
        <v>7</v>
      </c>
      <c r="B4668" s="1492" t="str">
        <f t="shared" si="705"/>
        <v>Non-DPR: Supply, installation &amp; commissioning of oil cooled over band magnetic separators for various conveyor belts of CHP-B &amp; CHP-C, CSTPS, Chandrapur</v>
      </c>
      <c r="C4668" s="1488">
        <f t="shared" si="705"/>
        <v>0</v>
      </c>
      <c r="D4668" s="1413" t="str">
        <f t="shared" si="705"/>
        <v>-</v>
      </c>
      <c r="E4668" s="560">
        <f t="shared" si="705"/>
        <v>3.45</v>
      </c>
      <c r="F4668" s="1508">
        <f t="shared" si="698"/>
        <v>3.4450571999999999</v>
      </c>
      <c r="G4668" s="1508">
        <f t="shared" si="699"/>
        <v>3.4450571999999999</v>
      </c>
      <c r="H4668" s="1508">
        <f t="shared" si="700"/>
        <v>0</v>
      </c>
      <c r="I4668" s="1480">
        <v>0</v>
      </c>
      <c r="J4668" s="1480">
        <v>0</v>
      </c>
      <c r="K4668" s="1508"/>
      <c r="L4668" s="1508"/>
      <c r="M4668" s="1509">
        <f t="shared" si="701"/>
        <v>0</v>
      </c>
      <c r="N4668" s="1508">
        <f t="shared" si="702"/>
        <v>0</v>
      </c>
    </row>
    <row r="4669" spans="1:14" ht="62" outlineLevel="1" x14ac:dyDescent="0.25">
      <c r="A4669" s="1488">
        <f t="shared" si="705"/>
        <v>8</v>
      </c>
      <c r="B4669" s="1492" t="str">
        <f t="shared" si="705"/>
        <v>Various preventive works to avoid Tiger movement and animals in CSTPS colony premises Up-gradation od existing periphery compound wall by avoiding barbed wire and concertina fencing and allied works in the colony at CSTPS, Chandrapur</v>
      </c>
      <c r="C4669" s="1488">
        <f t="shared" si="705"/>
        <v>0</v>
      </c>
      <c r="D4669" s="1413" t="str">
        <f t="shared" si="705"/>
        <v>-</v>
      </c>
      <c r="E4669" s="560">
        <f t="shared" si="705"/>
        <v>6.41</v>
      </c>
      <c r="F4669" s="1508">
        <f t="shared" si="698"/>
        <v>3.6119999999999997</v>
      </c>
      <c r="G4669" s="1508">
        <f t="shared" si="699"/>
        <v>3.6119999999999997</v>
      </c>
      <c r="H4669" s="1508">
        <f t="shared" si="700"/>
        <v>0</v>
      </c>
      <c r="I4669" s="1480">
        <v>0</v>
      </c>
      <c r="J4669" s="1480">
        <v>0</v>
      </c>
      <c r="K4669" s="1508"/>
      <c r="L4669" s="1508"/>
      <c r="M4669" s="1509">
        <f t="shared" si="701"/>
        <v>0</v>
      </c>
      <c r="N4669" s="1508">
        <f t="shared" si="702"/>
        <v>0</v>
      </c>
    </row>
    <row r="4670" spans="1:14" ht="46.5" outlineLevel="1" x14ac:dyDescent="0.25">
      <c r="A4670" s="1488">
        <f t="shared" ref="A4670:E4685" si="706">A4000</f>
        <v>9</v>
      </c>
      <c r="B4670" s="1492" t="str">
        <f t="shared" si="706"/>
        <v>Repairing, revamping and modification of existing alarm and protection system from fire and providing rapid extinguishing CA system at 500 MW Unit # 5 &amp; 6 CSTPS</v>
      </c>
      <c r="C4670" s="1488">
        <f t="shared" si="706"/>
        <v>0</v>
      </c>
      <c r="D4670" s="1413" t="str">
        <f t="shared" si="706"/>
        <v>-</v>
      </c>
      <c r="E4670" s="560">
        <f t="shared" si="706"/>
        <v>7.95</v>
      </c>
      <c r="F4670" s="1508">
        <f t="shared" ref="F4670:F4694" si="707">F4000+I4000</f>
        <v>7.9500000000000011</v>
      </c>
      <c r="G4670" s="1508">
        <f t="shared" ref="G4670:G4694" si="708">G4000+M4000</f>
        <v>7.9500000000000011</v>
      </c>
      <c r="H4670" s="1508">
        <f t="shared" si="700"/>
        <v>0</v>
      </c>
      <c r="I4670" s="1480">
        <v>0</v>
      </c>
      <c r="J4670" s="1480">
        <v>0</v>
      </c>
      <c r="K4670" s="1508"/>
      <c r="L4670" s="1508"/>
      <c r="M4670" s="1509">
        <f t="shared" si="701"/>
        <v>0</v>
      </c>
      <c r="N4670" s="1508">
        <f t="shared" si="702"/>
        <v>0</v>
      </c>
    </row>
    <row r="4671" spans="1:14" ht="62" outlineLevel="1" x14ac:dyDescent="0.25">
      <c r="A4671" s="1488">
        <f t="shared" si="706"/>
        <v>10</v>
      </c>
      <c r="B4671" s="1506" t="str">
        <f t="shared" si="706"/>
        <v>NON-Detailed Project Report for the Work of Upgradation/Renovation of Crusher House of CHPB of Unit-5, 6&amp;7 at CSTPS Chandrapur (benefit U-8,9 by short conveyor coal stacking in catering emergency)</v>
      </c>
      <c r="C4671" s="1488">
        <f t="shared" si="706"/>
        <v>0</v>
      </c>
      <c r="D4671" s="1413" t="str">
        <f t="shared" si="706"/>
        <v>-</v>
      </c>
      <c r="E4671" s="560">
        <f t="shared" si="706"/>
        <v>4.7</v>
      </c>
      <c r="F4671" s="1508">
        <f t="shared" si="707"/>
        <v>1.8274607199999999</v>
      </c>
      <c r="G4671" s="1508">
        <f t="shared" si="708"/>
        <v>1.8274607199999999</v>
      </c>
      <c r="H4671" s="1508">
        <f t="shared" si="700"/>
        <v>0</v>
      </c>
      <c r="I4671" s="1480">
        <v>0</v>
      </c>
      <c r="J4671" s="1480">
        <v>0</v>
      </c>
      <c r="K4671" s="1508"/>
      <c r="L4671" s="1508"/>
      <c r="M4671" s="1509">
        <f t="shared" si="701"/>
        <v>0</v>
      </c>
      <c r="N4671" s="1508">
        <f t="shared" si="702"/>
        <v>0</v>
      </c>
    </row>
    <row r="4672" spans="1:14" ht="46.5" outlineLevel="1" x14ac:dyDescent="0.25">
      <c r="A4672" s="1488">
        <f t="shared" si="706"/>
        <v>11</v>
      </c>
      <c r="B4672" s="1492" t="str">
        <f t="shared" si="706"/>
        <v>Work of Up-gradation/Renovation of Bunkering Conveyor system with allied works in CHPA of Unit-3&amp;4 at CSTPS Chandrapur</v>
      </c>
      <c r="C4672" s="1488">
        <f t="shared" si="706"/>
        <v>0</v>
      </c>
      <c r="D4672" s="1413" t="str">
        <f t="shared" si="706"/>
        <v>-</v>
      </c>
      <c r="E4672" s="560">
        <f t="shared" si="706"/>
        <v>4.6024180000000001</v>
      </c>
      <c r="F4672" s="1508">
        <f t="shared" si="707"/>
        <v>4.6024180000000001</v>
      </c>
      <c r="G4672" s="1508">
        <f t="shared" si="708"/>
        <v>4.6024180000000001</v>
      </c>
      <c r="H4672" s="1508">
        <f t="shared" si="700"/>
        <v>0</v>
      </c>
      <c r="I4672" s="1480">
        <v>0</v>
      </c>
      <c r="J4672" s="1480">
        <v>0</v>
      </c>
      <c r="K4672" s="1508"/>
      <c r="L4672" s="1508"/>
      <c r="M4672" s="1509">
        <f t="shared" si="701"/>
        <v>0</v>
      </c>
      <c r="N4672" s="1508">
        <f t="shared" si="702"/>
        <v>0</v>
      </c>
    </row>
    <row r="4673" spans="1:14" ht="46.5" outlineLevel="1" x14ac:dyDescent="0.25">
      <c r="A4673" s="1488">
        <f t="shared" si="706"/>
        <v>12</v>
      </c>
      <c r="B4673" s="1492" t="str">
        <f t="shared" si="706"/>
        <v>Non-Detailed Project Report for the up-gradation of existing belt type gravimetric coal feeders to gravimetric rotary weigh coal feeders of unit- 7, at CSTPS, Chandrapur</v>
      </c>
      <c r="C4673" s="1488">
        <f t="shared" si="706"/>
        <v>0</v>
      </c>
      <c r="D4673" s="1413" t="str">
        <f t="shared" si="706"/>
        <v>-</v>
      </c>
      <c r="E4673" s="560">
        <f t="shared" si="706"/>
        <v>7.2510000000000003</v>
      </c>
      <c r="F4673" s="1508">
        <f t="shared" si="707"/>
        <v>7.2509395000000003</v>
      </c>
      <c r="G4673" s="1508">
        <f t="shared" si="708"/>
        <v>7.2509395000000003</v>
      </c>
      <c r="H4673" s="1508">
        <f t="shared" si="700"/>
        <v>0</v>
      </c>
      <c r="I4673" s="1480">
        <v>0</v>
      </c>
      <c r="J4673" s="1480">
        <v>0</v>
      </c>
      <c r="K4673" s="1508"/>
      <c r="L4673" s="1508"/>
      <c r="M4673" s="1509">
        <f t="shared" si="701"/>
        <v>0</v>
      </c>
      <c r="N4673" s="1508">
        <f t="shared" si="702"/>
        <v>0</v>
      </c>
    </row>
    <row r="4674" spans="1:14" ht="31" outlineLevel="1" x14ac:dyDescent="0.25">
      <c r="A4674" s="1488">
        <f t="shared" si="706"/>
        <v>14</v>
      </c>
      <c r="B4674" s="1492" t="str">
        <f t="shared" si="706"/>
        <v>Non DPR scheme for the procurement of Girth Gear Assembly for BBD-4772 coal mill unit-7</v>
      </c>
      <c r="C4674" s="1488">
        <f t="shared" si="706"/>
        <v>0</v>
      </c>
      <c r="D4674" s="1413" t="str">
        <f t="shared" si="706"/>
        <v>-</v>
      </c>
      <c r="E4674" s="560">
        <f t="shared" si="706"/>
        <v>5.27</v>
      </c>
      <c r="F4674" s="1508">
        <f t="shared" si="707"/>
        <v>5.27</v>
      </c>
      <c r="G4674" s="1508">
        <f t="shared" si="708"/>
        <v>5.27</v>
      </c>
      <c r="H4674" s="1508">
        <f t="shared" si="700"/>
        <v>0</v>
      </c>
      <c r="I4674" s="1480">
        <v>0</v>
      </c>
      <c r="J4674" s="1480">
        <v>0</v>
      </c>
      <c r="K4674" s="1508"/>
      <c r="L4674" s="1508"/>
      <c r="M4674" s="1509">
        <f t="shared" si="701"/>
        <v>0</v>
      </c>
      <c r="N4674" s="1508">
        <f t="shared" si="702"/>
        <v>0</v>
      </c>
    </row>
    <row r="4675" spans="1:14" ht="62" outlineLevel="1" x14ac:dyDescent="0.25">
      <c r="A4675" s="1488">
        <f t="shared" si="706"/>
        <v>15</v>
      </c>
      <c r="B4675" s="1492" t="str">
        <f t="shared" si="706"/>
        <v>Non DPR Supply of Sub-Assemblies for KBL -make Auxiliary cooling water pump, Model BHR-70 &amp; BHR 60-30 deg. installed at Auxiliary cooling water system of U- 5 to 7 at ODP-II, CSTPS, Chandrapur.</v>
      </c>
      <c r="C4675" s="1488">
        <f t="shared" si="706"/>
        <v>0</v>
      </c>
      <c r="D4675" s="1413" t="str">
        <f t="shared" si="706"/>
        <v>-</v>
      </c>
      <c r="E4675" s="560">
        <f t="shared" si="706"/>
        <v>5.61</v>
      </c>
      <c r="F4675" s="1508">
        <f t="shared" si="707"/>
        <v>5.5874359760000001</v>
      </c>
      <c r="G4675" s="1508">
        <f t="shared" si="708"/>
        <v>5.5874359760000001</v>
      </c>
      <c r="H4675" s="1508">
        <f t="shared" si="700"/>
        <v>0</v>
      </c>
      <c r="I4675" s="1480">
        <v>0</v>
      </c>
      <c r="J4675" s="1480">
        <v>0</v>
      </c>
      <c r="K4675" s="1508"/>
      <c r="L4675" s="1508"/>
      <c r="M4675" s="1509">
        <f t="shared" si="701"/>
        <v>0</v>
      </c>
      <c r="N4675" s="1508">
        <f t="shared" si="702"/>
        <v>0</v>
      </c>
    </row>
    <row r="4676" spans="1:14" ht="46.5" outlineLevel="1" x14ac:dyDescent="0.25">
      <c r="A4676" s="1488">
        <f t="shared" si="706"/>
        <v>16</v>
      </c>
      <c r="B4676" s="1492" t="str">
        <f t="shared" si="706"/>
        <v>Procurement of Primary and Secondary Air Pre-heater Baskets for Unit-5, Chandrapur STPS, 500MW through OEM basis from M/s. BHEL</v>
      </c>
      <c r="C4676" s="1488">
        <f t="shared" si="706"/>
        <v>0</v>
      </c>
      <c r="D4676" s="1413" t="str">
        <f t="shared" si="706"/>
        <v>-</v>
      </c>
      <c r="E4676" s="560">
        <f t="shared" si="706"/>
        <v>9.09</v>
      </c>
      <c r="F4676" s="1508">
        <f t="shared" si="707"/>
        <v>9.09</v>
      </c>
      <c r="G4676" s="1508">
        <f t="shared" si="708"/>
        <v>9.09</v>
      </c>
      <c r="H4676" s="1508">
        <f t="shared" si="700"/>
        <v>0</v>
      </c>
      <c r="I4676" s="1480">
        <v>0</v>
      </c>
      <c r="J4676" s="1480">
        <v>0</v>
      </c>
      <c r="K4676" s="1508"/>
      <c r="L4676" s="1508"/>
      <c r="M4676" s="1509">
        <f t="shared" si="701"/>
        <v>0</v>
      </c>
      <c r="N4676" s="1508">
        <f t="shared" si="702"/>
        <v>0</v>
      </c>
    </row>
    <row r="4677" spans="1:14" ht="46.5" outlineLevel="1" x14ac:dyDescent="0.25">
      <c r="A4677" s="1488">
        <f t="shared" si="706"/>
        <v>17</v>
      </c>
      <c r="B4677" s="1492" t="str">
        <f t="shared" si="706"/>
        <v>Restoration of Operational efficiency and improvement in useful life of spare HP turbine Module of 500MW Unit-5,6 CSTPS chandrapur by Refurbishement</v>
      </c>
      <c r="C4677" s="1488">
        <f t="shared" si="706"/>
        <v>0</v>
      </c>
      <c r="D4677" s="1413" t="str">
        <f t="shared" si="706"/>
        <v>-</v>
      </c>
      <c r="E4677" s="560">
        <f t="shared" si="706"/>
        <v>9.9499999999999993</v>
      </c>
      <c r="F4677" s="1508">
        <f t="shared" si="707"/>
        <v>9.9499999999999993</v>
      </c>
      <c r="G4677" s="1508">
        <f t="shared" si="708"/>
        <v>9.9499999999999993</v>
      </c>
      <c r="H4677" s="1508">
        <f t="shared" si="700"/>
        <v>0</v>
      </c>
      <c r="I4677" s="1480">
        <v>0</v>
      </c>
      <c r="J4677" s="1480">
        <v>0</v>
      </c>
      <c r="K4677" s="1508"/>
      <c r="L4677" s="1508"/>
      <c r="M4677" s="1509">
        <f t="shared" si="701"/>
        <v>0</v>
      </c>
      <c r="N4677" s="1508">
        <f t="shared" si="702"/>
        <v>0</v>
      </c>
    </row>
    <row r="4678" spans="1:14" ht="46.5" outlineLevel="1" x14ac:dyDescent="0.25">
      <c r="A4678" s="1488">
        <f t="shared" si="706"/>
        <v>18</v>
      </c>
      <c r="B4678" s="1492" t="str">
        <f t="shared" si="706"/>
        <v>Work of Upgradation/Renovation of Crusher House &amp; Track Hopper Unloading System of CHPC of Unit-6&amp;7 CSTPS Chandrapur</v>
      </c>
      <c r="C4678" s="1488">
        <f t="shared" si="706"/>
        <v>0</v>
      </c>
      <c r="D4678" s="1413" t="str">
        <f t="shared" si="706"/>
        <v>-</v>
      </c>
      <c r="E4678" s="560">
        <f t="shared" si="706"/>
        <v>4.9000000000000004</v>
      </c>
      <c r="F4678" s="1508">
        <f t="shared" si="707"/>
        <v>4.9000000000000004</v>
      </c>
      <c r="G4678" s="1508">
        <f t="shared" si="708"/>
        <v>4.9000000000000004</v>
      </c>
      <c r="H4678" s="1508">
        <f t="shared" si="700"/>
        <v>0</v>
      </c>
      <c r="I4678" s="1480">
        <v>0</v>
      </c>
      <c r="J4678" s="1480">
        <v>0</v>
      </c>
      <c r="K4678" s="1508"/>
      <c r="L4678" s="1508"/>
      <c r="M4678" s="1509">
        <f t="shared" si="701"/>
        <v>0</v>
      </c>
      <c r="N4678" s="1508">
        <f t="shared" si="702"/>
        <v>0</v>
      </c>
    </row>
    <row r="4679" spans="1:14" ht="46.5" outlineLevel="1" x14ac:dyDescent="0.25">
      <c r="A4679" s="1488">
        <f t="shared" si="706"/>
        <v>19</v>
      </c>
      <c r="B4679" s="1492" t="str">
        <f t="shared" si="706"/>
        <v>Non – DPR: Design, supply, erection, installation, testing and commissioning of boiler goods lift in place of existing old lifts installed at Unit#6,7 500MW CSTPS, Chandrapur </v>
      </c>
      <c r="C4679" s="1488">
        <f t="shared" si="706"/>
        <v>0</v>
      </c>
      <c r="D4679" s="1413" t="str">
        <f t="shared" si="706"/>
        <v>-</v>
      </c>
      <c r="E4679" s="560">
        <f t="shared" si="706"/>
        <v>3.66</v>
      </c>
      <c r="F4679" s="1508">
        <f t="shared" si="707"/>
        <v>3.66</v>
      </c>
      <c r="G4679" s="1508">
        <f t="shared" si="708"/>
        <v>3.66</v>
      </c>
      <c r="H4679" s="1508">
        <f t="shared" si="700"/>
        <v>0</v>
      </c>
      <c r="I4679" s="1480">
        <v>0</v>
      </c>
      <c r="J4679" s="1480">
        <v>0</v>
      </c>
      <c r="K4679" s="1508"/>
      <c r="L4679" s="1508"/>
      <c r="M4679" s="1509">
        <f t="shared" si="701"/>
        <v>0</v>
      </c>
      <c r="N4679" s="1508">
        <f t="shared" si="702"/>
        <v>0</v>
      </c>
    </row>
    <row r="4680" spans="1:14" ht="31" outlineLevel="1" x14ac:dyDescent="0.25">
      <c r="A4680" s="1488">
        <f t="shared" si="706"/>
        <v>20</v>
      </c>
      <c r="B4680" s="1492" t="str">
        <f t="shared" si="706"/>
        <v>Work of refurbishment of Flender make KMS 850 gear box of XRP-1043 coal mill unit 5&amp;6 at CSTPS, Chandrapur</v>
      </c>
      <c r="C4680" s="1488">
        <f t="shared" si="706"/>
        <v>0</v>
      </c>
      <c r="D4680" s="1413" t="str">
        <f t="shared" si="706"/>
        <v>-</v>
      </c>
      <c r="E4680" s="560">
        <f t="shared" si="706"/>
        <v>4.37</v>
      </c>
      <c r="F4680" s="1508">
        <f t="shared" si="707"/>
        <v>4.37</v>
      </c>
      <c r="G4680" s="1508">
        <f t="shared" si="708"/>
        <v>4.37</v>
      </c>
      <c r="H4680" s="1508">
        <f t="shared" si="700"/>
        <v>0</v>
      </c>
      <c r="I4680" s="1480">
        <v>0</v>
      </c>
      <c r="J4680" s="1480">
        <v>0</v>
      </c>
      <c r="K4680" s="1508"/>
      <c r="L4680" s="1508"/>
      <c r="M4680" s="1509">
        <f t="shared" si="701"/>
        <v>0</v>
      </c>
      <c r="N4680" s="1508">
        <f t="shared" si="702"/>
        <v>0</v>
      </c>
    </row>
    <row r="4681" spans="1:14" ht="77.5" outlineLevel="1" x14ac:dyDescent="0.25">
      <c r="A4681" s="1488">
        <f t="shared" si="706"/>
        <v>21</v>
      </c>
      <c r="B4681" s="1492" t="str">
        <f t="shared" si="706"/>
        <v>Work of renovation of take up trestle structure of BC-105A2/BC-105B and trestle near TP-104, Modification of MS fixtures for the work of various auxiliary replacement at various sites and other allied works in CHP-B (M2) at CSTPS Chandrapur, as NonDPR Scheme.</v>
      </c>
      <c r="C4681" s="1488">
        <f t="shared" si="706"/>
        <v>0</v>
      </c>
      <c r="D4681" s="1413" t="str">
        <f t="shared" si="706"/>
        <v>-</v>
      </c>
      <c r="E4681" s="560">
        <f t="shared" si="706"/>
        <v>2.2400000000000002</v>
      </c>
      <c r="F4681" s="1508">
        <f t="shared" si="707"/>
        <v>2.2400000000000002</v>
      </c>
      <c r="G4681" s="1508">
        <f t="shared" si="708"/>
        <v>2.2400000000000002</v>
      </c>
      <c r="H4681" s="1508">
        <f t="shared" si="700"/>
        <v>0</v>
      </c>
      <c r="I4681" s="1480">
        <v>0</v>
      </c>
      <c r="J4681" s="1480">
        <v>0</v>
      </c>
      <c r="K4681" s="1508"/>
      <c r="L4681" s="1508"/>
      <c r="M4681" s="1509">
        <f t="shared" si="701"/>
        <v>0</v>
      </c>
      <c r="N4681" s="1508">
        <f t="shared" si="702"/>
        <v>0</v>
      </c>
    </row>
    <row r="4682" spans="1:14" ht="31" outlineLevel="1" x14ac:dyDescent="0.25">
      <c r="A4682" s="1488">
        <f t="shared" si="706"/>
        <v>22</v>
      </c>
      <c r="B4682" s="1492" t="str">
        <f t="shared" si="706"/>
        <v>Non DPR scheme for upgradation and life enhancements of BC-1AB_BC-4AB at CHP-A, CSTPS, Chandrapur</v>
      </c>
      <c r="C4682" s="1488">
        <f t="shared" si="706"/>
        <v>0</v>
      </c>
      <c r="D4682" s="1413" t="str">
        <f t="shared" si="706"/>
        <v>-</v>
      </c>
      <c r="E4682" s="560">
        <f t="shared" si="706"/>
        <v>1.6</v>
      </c>
      <c r="F4682" s="1508">
        <f t="shared" si="707"/>
        <v>1.6</v>
      </c>
      <c r="G4682" s="1508">
        <f t="shared" si="708"/>
        <v>1.6</v>
      </c>
      <c r="H4682" s="1508">
        <f t="shared" si="700"/>
        <v>0</v>
      </c>
      <c r="I4682" s="1480">
        <v>0</v>
      </c>
      <c r="J4682" s="1480">
        <v>0</v>
      </c>
      <c r="K4682" s="1508"/>
      <c r="L4682" s="1508"/>
      <c r="M4682" s="1509">
        <f t="shared" si="701"/>
        <v>0</v>
      </c>
      <c r="N4682" s="1508">
        <f t="shared" si="702"/>
        <v>0</v>
      </c>
    </row>
    <row r="4683" spans="1:14" ht="31" outlineLevel="1" x14ac:dyDescent="0.25">
      <c r="A4683" s="1488">
        <f t="shared" si="706"/>
        <v>23</v>
      </c>
      <c r="B4683" s="1492" t="str">
        <f t="shared" si="706"/>
        <v>THE PROCUREMENT AND REPLACEMENT OF AIR PREHEATER BASKETS ASSEMBLIES AT UNIT-6 AT CSTPS, CHANDRAPUR</v>
      </c>
      <c r="C4683" s="1488">
        <f t="shared" si="706"/>
        <v>0</v>
      </c>
      <c r="D4683" s="1413" t="str">
        <f t="shared" si="706"/>
        <v>-</v>
      </c>
      <c r="E4683" s="560">
        <f t="shared" si="706"/>
        <v>9.01</v>
      </c>
      <c r="F4683" s="1508">
        <f t="shared" si="707"/>
        <v>9.01</v>
      </c>
      <c r="G4683" s="1508">
        <f t="shared" si="708"/>
        <v>9.01</v>
      </c>
      <c r="H4683" s="1508">
        <f t="shared" si="700"/>
        <v>0</v>
      </c>
      <c r="I4683" s="1480">
        <v>0</v>
      </c>
      <c r="J4683" s="1480">
        <v>0</v>
      </c>
      <c r="K4683" s="1508"/>
      <c r="L4683" s="1508"/>
      <c r="M4683" s="1509">
        <f t="shared" si="701"/>
        <v>0</v>
      </c>
      <c r="N4683" s="1508">
        <f t="shared" si="702"/>
        <v>0</v>
      </c>
    </row>
    <row r="4684" spans="1:14" ht="46.5" outlineLevel="1" x14ac:dyDescent="0.25">
      <c r="A4684" s="1488">
        <f t="shared" si="706"/>
        <v>24</v>
      </c>
      <c r="B4684" s="1492" t="str">
        <f t="shared" si="706"/>
        <v>NonDPR: Procurement of cartridge for boiler feed pump of 500MW U#7 and parallel shaft gear box for boiler feed pump of 500MW Unit-5 &amp;6 CSTPS, Chandrapur</v>
      </c>
      <c r="C4684" s="1488">
        <f t="shared" si="706"/>
        <v>0</v>
      </c>
      <c r="D4684" s="1413" t="str">
        <f t="shared" si="706"/>
        <v>-</v>
      </c>
      <c r="E4684" s="560">
        <f t="shared" si="706"/>
        <v>2.57</v>
      </c>
      <c r="F4684" s="1508">
        <f t="shared" si="707"/>
        <v>2.5700000000000003</v>
      </c>
      <c r="G4684" s="1508">
        <f t="shared" si="708"/>
        <v>2.5700000000000003</v>
      </c>
      <c r="H4684" s="1508">
        <f>F4684-G4684</f>
        <v>0</v>
      </c>
      <c r="I4684" s="1480">
        <v>0</v>
      </c>
      <c r="J4684" s="1480">
        <v>0</v>
      </c>
      <c r="K4684" s="1508"/>
      <c r="L4684" s="1508"/>
      <c r="M4684" s="1509">
        <f>SUM(J4684:L4684)</f>
        <v>0</v>
      </c>
      <c r="N4684" s="1508">
        <f>H4684+I4684-M4684</f>
        <v>0</v>
      </c>
    </row>
    <row r="4685" spans="1:14" ht="31" outlineLevel="1" x14ac:dyDescent="0.25">
      <c r="A4685" s="1488">
        <f t="shared" si="706"/>
        <v>25</v>
      </c>
      <c r="B4685" s="1492" t="str">
        <f t="shared" si="706"/>
        <v>Replacement of FD &amp; ID Fan IGV Actuators &amp; Electronic Controllers in 500 MW Unit-5 &amp; 6 at CSTPS, Chandrapur</v>
      </c>
      <c r="C4685" s="1488">
        <f t="shared" si="706"/>
        <v>0</v>
      </c>
      <c r="D4685" s="1413" t="str">
        <f t="shared" si="706"/>
        <v>-</v>
      </c>
      <c r="E4685" s="560">
        <f t="shared" si="706"/>
        <v>4.2</v>
      </c>
      <c r="F4685" s="1508">
        <f t="shared" si="707"/>
        <v>4.2</v>
      </c>
      <c r="G4685" s="1508">
        <f t="shared" si="708"/>
        <v>4.2</v>
      </c>
      <c r="H4685" s="1508">
        <f>F4685-G4685</f>
        <v>0</v>
      </c>
      <c r="I4685" s="1480">
        <v>0</v>
      </c>
      <c r="J4685" s="1480">
        <v>0</v>
      </c>
      <c r="K4685" s="1508"/>
      <c r="L4685" s="1508"/>
      <c r="M4685" s="1509">
        <f>SUM(J4685:L4685)</f>
        <v>0</v>
      </c>
      <c r="N4685" s="1508">
        <f>H4685+I4685-M4685</f>
        <v>0</v>
      </c>
    </row>
    <row r="4686" spans="1:14" ht="77.5" outlineLevel="1" x14ac:dyDescent="0.25">
      <c r="A4686" s="1488">
        <f t="shared" ref="A4686:E4694" si="709">A4016</f>
        <v>26</v>
      </c>
      <c r="B4686" s="1492" t="str">
        <f t="shared" si="709"/>
        <v>Non DPR for Work of Repairing and Strengthening of Coal Mill structure, Replacement of MS grating and painting of structural supports, columns, and platform supports of at various locations Coal Mill, Boiler and ESP of Unit-5, 6 and 7 at CSTPS Chandrapur.</v>
      </c>
      <c r="C4686" s="1488">
        <f t="shared" si="709"/>
        <v>0</v>
      </c>
      <c r="D4686" s="1413" t="str">
        <f t="shared" si="709"/>
        <v>-</v>
      </c>
      <c r="E4686" s="560">
        <f t="shared" si="709"/>
        <v>2.1</v>
      </c>
      <c r="F4686" s="1508">
        <f t="shared" si="707"/>
        <v>2.1</v>
      </c>
      <c r="G4686" s="1508">
        <f t="shared" si="708"/>
        <v>2.1</v>
      </c>
      <c r="H4686" s="1508">
        <f>F4686-G4686</f>
        <v>0</v>
      </c>
      <c r="I4686" s="1480">
        <v>0</v>
      </c>
      <c r="J4686" s="1480">
        <v>0</v>
      </c>
      <c r="K4686" s="1508"/>
      <c r="L4686" s="1508"/>
      <c r="M4686" s="1509">
        <f>SUM(J4686:L4686)</f>
        <v>0</v>
      </c>
      <c r="N4686" s="1508">
        <f>H4686+I4686-M4686</f>
        <v>0</v>
      </c>
    </row>
    <row r="4687" spans="1:14" ht="62" outlineLevel="1" x14ac:dyDescent="0.25">
      <c r="A4687" s="1488">
        <f t="shared" si="709"/>
        <v>27</v>
      </c>
      <c r="B4687" s="1492" t="str">
        <f t="shared" si="709"/>
        <v>Administrative approval under Non DPR scheme for“The Work of Up-gradation / Renovation and life enhancement of Conveyor system BC-6ABC with allied works in CHP-A of Unit-3&amp;4 at CSTPS Chandrapur”</v>
      </c>
      <c r="C4687" s="1488">
        <f t="shared" si="709"/>
        <v>0</v>
      </c>
      <c r="D4687" s="1413" t="str">
        <f t="shared" si="709"/>
        <v>-</v>
      </c>
      <c r="E4687" s="560">
        <f t="shared" si="709"/>
        <v>4.55</v>
      </c>
      <c r="F4687" s="1508">
        <f t="shared" si="707"/>
        <v>4.55</v>
      </c>
      <c r="G4687" s="1508">
        <f t="shared" si="708"/>
        <v>4.55</v>
      </c>
      <c r="H4687" s="1508">
        <f>F4687-G4687</f>
        <v>0</v>
      </c>
      <c r="I4687" s="1480">
        <v>0</v>
      </c>
      <c r="J4687" s="1480">
        <v>0</v>
      </c>
      <c r="K4687" s="1508"/>
      <c r="L4687" s="1508"/>
      <c r="M4687" s="1509">
        <f>SUM(J4687:L4687)</f>
        <v>0</v>
      </c>
      <c r="N4687" s="1508">
        <f>H4687+I4687-M4687</f>
        <v>0</v>
      </c>
    </row>
    <row r="4688" spans="1:14" ht="62" outlineLevel="1" x14ac:dyDescent="0.25">
      <c r="A4688" s="1488">
        <f t="shared" si="709"/>
        <v>28</v>
      </c>
      <c r="B4688" s="1492" t="str">
        <f t="shared" si="709"/>
        <v>Supply Erection and commissioning of Institu type SOX, NOX Analyzer along with remote calibration facility and connectivity to CPCB and MPCB as per latest CPCB Guidelines for Unit-3&amp;4, CSTPS.</v>
      </c>
      <c r="C4688" s="1488">
        <f t="shared" si="709"/>
        <v>0</v>
      </c>
      <c r="D4688" s="1413" t="str">
        <f t="shared" si="709"/>
        <v>-</v>
      </c>
      <c r="E4688" s="560">
        <f t="shared" si="709"/>
        <v>0.97</v>
      </c>
      <c r="F4688" s="1508">
        <f t="shared" si="707"/>
        <v>0.97</v>
      </c>
      <c r="G4688" s="1508">
        <f t="shared" si="708"/>
        <v>0.97</v>
      </c>
      <c r="H4688" s="1508">
        <f>F4688-G4688</f>
        <v>0</v>
      </c>
      <c r="I4688" s="1480">
        <v>0</v>
      </c>
      <c r="J4688" s="1480">
        <v>0</v>
      </c>
      <c r="K4688" s="1508"/>
      <c r="L4688" s="1508"/>
      <c r="M4688" s="1509">
        <f>SUM(J4688:L4688)</f>
        <v>0</v>
      </c>
      <c r="N4688" s="1508">
        <f>H4688+I4688-M4688</f>
        <v>0</v>
      </c>
    </row>
    <row r="4689" spans="1:16" ht="62" outlineLevel="1" x14ac:dyDescent="0.25">
      <c r="A4689" s="1488">
        <f t="shared" si="709"/>
        <v>29</v>
      </c>
      <c r="B4689" s="1492" t="str">
        <f t="shared" si="709"/>
        <v>Work of Renovation &amp; Upgradation of Receipt &amp; Dispatch Yard of Railway Siding of CSTPS by provision of Various Standard Infrastructure facilities at R&amp;D yard in Coal Handling Plant of CSTPS Chandrapur</v>
      </c>
      <c r="C4689" s="1488">
        <f t="shared" si="709"/>
        <v>0</v>
      </c>
      <c r="D4689" s="1413" t="str">
        <f t="shared" si="709"/>
        <v>-</v>
      </c>
      <c r="E4689" s="560">
        <f t="shared" si="709"/>
        <v>7.89</v>
      </c>
      <c r="F4689" s="1508">
        <f t="shared" si="707"/>
        <v>7.89</v>
      </c>
      <c r="G4689" s="1508">
        <f t="shared" si="708"/>
        <v>7.89</v>
      </c>
      <c r="H4689" s="1508">
        <f t="shared" ref="H4689:H4694" si="710">F4689-G4689</f>
        <v>0</v>
      </c>
      <c r="I4689" s="1480">
        <v>0</v>
      </c>
      <c r="J4689" s="1480">
        <v>0</v>
      </c>
      <c r="K4689" s="1508"/>
      <c r="L4689" s="1508"/>
      <c r="M4689" s="1509">
        <f t="shared" ref="M4689:M4694" si="711">SUM(J4689:L4689)</f>
        <v>0</v>
      </c>
      <c r="N4689" s="1508">
        <f t="shared" ref="N4689:N4694" si="712">H4689+I4689-M4689</f>
        <v>0</v>
      </c>
    </row>
    <row r="4690" spans="1:16" ht="46.5" outlineLevel="1" x14ac:dyDescent="0.25">
      <c r="A4690" s="1488">
        <f t="shared" si="709"/>
        <v>30</v>
      </c>
      <c r="B4690" s="1492" t="str">
        <f t="shared" si="709"/>
        <v>Supply, Installation and Commissioning of MV VFD panel along with integrated online cell redundancy technology with VFD bypass feature arrangement for conveyors 103 A &amp; B of CHP-B.</v>
      </c>
      <c r="C4690" s="1488">
        <f t="shared" si="709"/>
        <v>0</v>
      </c>
      <c r="D4690" s="1413" t="str">
        <f t="shared" si="709"/>
        <v>-</v>
      </c>
      <c r="E4690" s="560">
        <f t="shared" si="709"/>
        <v>5.44</v>
      </c>
      <c r="F4690" s="1508">
        <f t="shared" si="707"/>
        <v>5.44</v>
      </c>
      <c r="G4690" s="1508">
        <f t="shared" si="708"/>
        <v>5.44</v>
      </c>
      <c r="H4690" s="1508">
        <f t="shared" si="710"/>
        <v>0</v>
      </c>
      <c r="I4690" s="1480">
        <v>0</v>
      </c>
      <c r="J4690" s="1480">
        <v>0</v>
      </c>
      <c r="K4690" s="1508"/>
      <c r="L4690" s="1508"/>
      <c r="M4690" s="1509">
        <f t="shared" si="711"/>
        <v>0</v>
      </c>
      <c r="N4690" s="1508">
        <f t="shared" si="712"/>
        <v>0</v>
      </c>
    </row>
    <row r="4691" spans="1:16" ht="15.5" outlineLevel="1" x14ac:dyDescent="0.25">
      <c r="A4691" s="1488">
        <f t="shared" si="709"/>
        <v>31</v>
      </c>
      <c r="B4691" s="1492" t="str">
        <f t="shared" si="709"/>
        <v>Replacement of LTSH assemblies in U- 5</v>
      </c>
      <c r="C4691" s="1488">
        <f t="shared" si="709"/>
        <v>0</v>
      </c>
      <c r="D4691" s="1413" t="str">
        <f t="shared" si="709"/>
        <v>-</v>
      </c>
      <c r="E4691" s="560">
        <f t="shared" si="709"/>
        <v>1.3756576</v>
      </c>
      <c r="F4691" s="1508">
        <f t="shared" si="707"/>
        <v>1.3756576</v>
      </c>
      <c r="G4691" s="1508">
        <f t="shared" si="708"/>
        <v>1.3756576</v>
      </c>
      <c r="H4691" s="1508">
        <f t="shared" si="710"/>
        <v>0</v>
      </c>
      <c r="I4691" s="1480">
        <v>0</v>
      </c>
      <c r="J4691" s="1480">
        <v>0</v>
      </c>
      <c r="K4691" s="1508"/>
      <c r="L4691" s="1508"/>
      <c r="M4691" s="1509">
        <f t="shared" si="711"/>
        <v>0</v>
      </c>
      <c r="N4691" s="1508">
        <f t="shared" si="712"/>
        <v>0</v>
      </c>
    </row>
    <row r="4692" spans="1:16" ht="15.5" outlineLevel="1" x14ac:dyDescent="0.25">
      <c r="A4692" s="1488">
        <f t="shared" si="709"/>
        <v>32</v>
      </c>
      <c r="B4692" s="1492" t="str">
        <f t="shared" si="709"/>
        <v>Replacement of complete Z-panels in unit- 5</v>
      </c>
      <c r="C4692" s="1488">
        <f t="shared" si="709"/>
        <v>0</v>
      </c>
      <c r="D4692" s="1413" t="str">
        <f t="shared" si="709"/>
        <v>-</v>
      </c>
      <c r="E4692" s="560">
        <f t="shared" si="709"/>
        <v>0.82545579999999996</v>
      </c>
      <c r="F4692" s="1508">
        <f t="shared" si="707"/>
        <v>0.82545579999999996</v>
      </c>
      <c r="G4692" s="1508">
        <f t="shared" si="708"/>
        <v>0.82545579999999996</v>
      </c>
      <c r="H4692" s="1508">
        <f t="shared" si="710"/>
        <v>0</v>
      </c>
      <c r="I4692" s="1480">
        <v>0</v>
      </c>
      <c r="J4692" s="1480">
        <v>0</v>
      </c>
      <c r="K4692" s="1508"/>
      <c r="L4692" s="1508"/>
      <c r="M4692" s="1509">
        <f t="shared" si="711"/>
        <v>0</v>
      </c>
      <c r="N4692" s="1508">
        <f t="shared" si="712"/>
        <v>0</v>
      </c>
    </row>
    <row r="4693" spans="1:16" ht="31" outlineLevel="1" x14ac:dyDescent="0.25">
      <c r="A4693" s="1488">
        <f t="shared" si="709"/>
        <v>33</v>
      </c>
      <c r="B4693" s="1492" t="str">
        <f t="shared" si="709"/>
        <v>MODIFICATION AND RESTORATION OF APH OUTLET TO ESP INLET DUCTS AT U#3 (210MW)</v>
      </c>
      <c r="C4693" s="1488">
        <f t="shared" si="709"/>
        <v>0</v>
      </c>
      <c r="D4693" s="1413" t="str">
        <f t="shared" si="709"/>
        <v>-</v>
      </c>
      <c r="E4693" s="560">
        <f t="shared" si="709"/>
        <v>10.3</v>
      </c>
      <c r="F4693" s="1508">
        <f t="shared" si="707"/>
        <v>10.3</v>
      </c>
      <c r="G4693" s="1508">
        <f t="shared" si="708"/>
        <v>10.3</v>
      </c>
      <c r="H4693" s="1508">
        <f t="shared" si="710"/>
        <v>0</v>
      </c>
      <c r="I4693" s="1480">
        <v>0</v>
      </c>
      <c r="J4693" s="1480">
        <v>0</v>
      </c>
      <c r="K4693" s="1508"/>
      <c r="L4693" s="1508"/>
      <c r="M4693" s="1509">
        <f t="shared" si="711"/>
        <v>0</v>
      </c>
      <c r="N4693" s="1508">
        <f t="shared" si="712"/>
        <v>0</v>
      </c>
    </row>
    <row r="4694" spans="1:16" ht="62.5" outlineLevel="1" thickBot="1" x14ac:dyDescent="0.3">
      <c r="A4694" s="1488">
        <f t="shared" si="709"/>
        <v>34</v>
      </c>
      <c r="B4694" s="1492" t="str">
        <f t="shared" si="709"/>
        <v xml:space="preserve">Supply, Installation, Testing, Commissioning for complete solution and comprehensive protection and monitoring package along with retrofit of allied accessories for Generator Transformers for 3 X 500 MW Unit#5,6&amp;7 </v>
      </c>
      <c r="C4694" s="1488">
        <f t="shared" si="709"/>
        <v>0</v>
      </c>
      <c r="D4694" s="1413" t="str">
        <f t="shared" si="709"/>
        <v>-</v>
      </c>
      <c r="E4694" s="560">
        <f t="shared" si="709"/>
        <v>5.62</v>
      </c>
      <c r="F4694" s="1508">
        <f t="shared" si="707"/>
        <v>5.62</v>
      </c>
      <c r="G4694" s="1508">
        <f t="shared" si="708"/>
        <v>5.62</v>
      </c>
      <c r="H4694" s="1508">
        <f t="shared" si="710"/>
        <v>0</v>
      </c>
      <c r="I4694" s="1480">
        <v>0</v>
      </c>
      <c r="J4694" s="1480">
        <v>0</v>
      </c>
      <c r="K4694" s="1508"/>
      <c r="L4694" s="1508"/>
      <c r="M4694" s="1509">
        <f t="shared" si="711"/>
        <v>0</v>
      </c>
      <c r="N4694" s="1508">
        <f t="shared" si="712"/>
        <v>0</v>
      </c>
    </row>
    <row r="4695" spans="1:16" ht="15.5" thickBot="1" x14ac:dyDescent="0.3">
      <c r="A4695" s="1428"/>
      <c r="B4695" s="1429" t="str">
        <f>B4025</f>
        <v>Total</v>
      </c>
      <c r="C4695" s="1430"/>
      <c r="D4695" s="1431"/>
      <c r="E4695" s="1507"/>
      <c r="F4695" s="1507">
        <f>SUM(F4030:F4694)</f>
        <v>7816.708572769413</v>
      </c>
      <c r="G4695" s="1507">
        <f>SUM(G4030:G4694)</f>
        <v>7869.5439958654133</v>
      </c>
      <c r="H4695" s="1507">
        <f>SUM(H4030:H4694)</f>
        <v>-52.835423096</v>
      </c>
      <c r="I4695" s="1507">
        <f t="shared" ref="I4695:K4695" si="713">SUM(I4030:I4694)</f>
        <v>879.15994000000001</v>
      </c>
      <c r="J4695" s="1507">
        <f t="shared" si="713"/>
        <v>879.15994000000001</v>
      </c>
      <c r="K4695" s="1507">
        <f t="shared" si="713"/>
        <v>0</v>
      </c>
      <c r="L4695" s="1507">
        <f>SUM(L4030:L4694)</f>
        <v>0</v>
      </c>
      <c r="M4695" s="1507">
        <f>SUM(M4030:M4694)</f>
        <v>879.15994000000001</v>
      </c>
      <c r="N4695" s="1507">
        <f>SUM(N4030:N4694)</f>
        <v>-52.835423096</v>
      </c>
    </row>
    <row r="4697" spans="1:16" x14ac:dyDescent="0.25">
      <c r="A4697" s="1419"/>
      <c r="B4697" s="569" t="s">
        <v>973</v>
      </c>
      <c r="C4697" s="1474"/>
      <c r="D4697" s="1475"/>
      <c r="E4697" s="320"/>
      <c r="F4697" s="320"/>
      <c r="G4697" s="320"/>
      <c r="H4697" s="320"/>
      <c r="I4697" s="320"/>
      <c r="J4697" s="320"/>
      <c r="K4697" s="320"/>
      <c r="L4697" s="320"/>
      <c r="M4697" s="320"/>
      <c r="N4697" s="320"/>
    </row>
    <row r="4698" spans="1:16" outlineLevel="1" x14ac:dyDescent="0.25">
      <c r="A4698" s="131"/>
      <c r="B4698" s="1389" t="str">
        <f t="shared" ref="B4698:B4699" si="714">B4028</f>
        <v>a) DPR Schemes</v>
      </c>
      <c r="C4698" s="166"/>
      <c r="D4698" s="166"/>
      <c r="E4698" s="320"/>
      <c r="F4698" s="320"/>
      <c r="G4698" s="320"/>
      <c r="H4698" s="320"/>
      <c r="I4698" s="320"/>
      <c r="J4698" s="320"/>
      <c r="K4698" s="320"/>
      <c r="L4698" s="320"/>
      <c r="M4698" s="320"/>
      <c r="N4698" s="320"/>
    </row>
    <row r="4699" spans="1:16" outlineLevel="1" x14ac:dyDescent="0.25">
      <c r="A4699" s="131"/>
      <c r="B4699" s="1476" t="str">
        <f t="shared" si="714"/>
        <v>(i) In Principally Approved By MERC</v>
      </c>
      <c r="C4699" s="166"/>
      <c r="D4699" s="166"/>
      <c r="E4699" s="320"/>
      <c r="F4699" s="320"/>
      <c r="G4699" s="320"/>
      <c r="H4699" s="320"/>
      <c r="I4699" s="320"/>
      <c r="J4699" s="320"/>
      <c r="K4699" s="320"/>
      <c r="L4699" s="320"/>
      <c r="M4699" s="320"/>
      <c r="N4699" s="320"/>
    </row>
    <row r="4700" spans="1:16" ht="15.5" outlineLevel="1" x14ac:dyDescent="0.25">
      <c r="A4700" s="1477">
        <f t="shared" ref="A4700:E4715" si="715">A4030</f>
        <v>1</v>
      </c>
      <c r="B4700" s="1478" t="str">
        <f t="shared" si="715"/>
        <v>Boiler &amp; Turbine Improvement</v>
      </c>
      <c r="C4700" s="1477" t="str">
        <f t="shared" si="715"/>
        <v>MERC/CAPEX/20102011/01755</v>
      </c>
      <c r="D4700" s="1479">
        <f t="shared" si="715"/>
        <v>40507</v>
      </c>
      <c r="E4700" s="1383">
        <f t="shared" si="715"/>
        <v>181.82700000000003</v>
      </c>
      <c r="F4700" s="1480">
        <f t="shared" ref="F4700:F4763" si="716">F4030+I4030</f>
        <v>0</v>
      </c>
      <c r="G4700" s="1480">
        <f t="shared" ref="G4700:G4763" si="717">G4030+M4030</f>
        <v>0</v>
      </c>
      <c r="H4700" s="1480">
        <f>F4700-G4700</f>
        <v>0</v>
      </c>
      <c r="I4700" s="1480">
        <v>0</v>
      </c>
      <c r="J4700" s="1480">
        <v>0</v>
      </c>
      <c r="K4700" s="1480"/>
      <c r="L4700" s="1480"/>
      <c r="M4700" s="1480">
        <f>SUM(J4700:L4700)</f>
        <v>0</v>
      </c>
      <c r="N4700" s="1480">
        <f>H4700+I4700-M4700</f>
        <v>0</v>
      </c>
      <c r="O4700" s="1481">
        <f t="shared" ref="O4700:O4763" si="718">MAX(0,IF(M4700=0,0,IF(G4700+M4700&lt;E4700,M4700,E4700-G4700)))</f>
        <v>0</v>
      </c>
      <c r="P4700" s="1427">
        <f t="shared" ref="P4700:P4763" si="719">M4700-O4700</f>
        <v>0</v>
      </c>
    </row>
    <row r="4701" spans="1:16" ht="31" outlineLevel="1" x14ac:dyDescent="0.25">
      <c r="A4701" s="1482">
        <f t="shared" si="715"/>
        <v>1.1000000000000001</v>
      </c>
      <c r="B4701" s="1483" t="str">
        <f t="shared" si="715"/>
        <v>Installation of Sonic soot blowers for unit 5, 6 and  7 - Sonic soot blowers will be installed in LTSH and Eco zones (48 nos)</v>
      </c>
      <c r="C4701" s="1482" t="str">
        <f t="shared" si="715"/>
        <v>MERC/CAPEX/20102011/01755</v>
      </c>
      <c r="D4701" s="1390">
        <f t="shared" si="715"/>
        <v>40507</v>
      </c>
      <c r="E4701" s="560">
        <f t="shared" si="715"/>
        <v>1.06</v>
      </c>
      <c r="F4701" s="1508">
        <f t="shared" si="716"/>
        <v>0.44763439999999999</v>
      </c>
      <c r="G4701" s="1508">
        <f t="shared" si="717"/>
        <v>0.44763439999999999</v>
      </c>
      <c r="H4701" s="1508">
        <f t="shared" ref="H4701:H4764" si="720">F4701-G4701</f>
        <v>0</v>
      </c>
      <c r="I4701" s="1480">
        <v>0</v>
      </c>
      <c r="J4701" s="1480">
        <v>0</v>
      </c>
      <c r="K4701" s="1508"/>
      <c r="L4701" s="1508"/>
      <c r="M4701" s="1509">
        <f t="shared" ref="M4701:M4764" si="721">SUM(J4701:L4701)</f>
        <v>0</v>
      </c>
      <c r="N4701" s="1508">
        <f t="shared" ref="N4701:N4764" si="722">H4701+I4701-M4701</f>
        <v>0</v>
      </c>
      <c r="O4701" s="1481">
        <f t="shared" si="718"/>
        <v>0</v>
      </c>
      <c r="P4701" s="1427">
        <f t="shared" si="719"/>
        <v>0</v>
      </c>
    </row>
    <row r="4702" spans="1:16" ht="46.5" outlineLevel="1" x14ac:dyDescent="0.25">
      <c r="A4702" s="1482">
        <f t="shared" si="715"/>
        <v>1.2</v>
      </c>
      <c r="B4702" s="1483" t="str">
        <f t="shared" si="715"/>
        <v>Installation of smart soot blower system for unit 5 and 6 boiler (Smart cannons- 8 nos, sealing and cooling air fans – 8 nos, heat flux sensors- 32 nos, HP pump – 1 no</v>
      </c>
      <c r="C4702" s="1482" t="str">
        <f t="shared" si="715"/>
        <v>MERC/CAPEX/20102011/01755</v>
      </c>
      <c r="D4702" s="1390">
        <f t="shared" si="715"/>
        <v>40507</v>
      </c>
      <c r="E4702" s="560">
        <f t="shared" si="715"/>
        <v>11.8</v>
      </c>
      <c r="F4702" s="1508">
        <f t="shared" si="716"/>
        <v>0</v>
      </c>
      <c r="G4702" s="1508">
        <f t="shared" si="717"/>
        <v>0</v>
      </c>
      <c r="H4702" s="1508">
        <f t="shared" si="720"/>
        <v>0</v>
      </c>
      <c r="I4702" s="1480">
        <v>0</v>
      </c>
      <c r="J4702" s="1480">
        <v>0</v>
      </c>
      <c r="K4702" s="1508"/>
      <c r="L4702" s="1508"/>
      <c r="M4702" s="1509">
        <f t="shared" si="721"/>
        <v>0</v>
      </c>
      <c r="N4702" s="1508">
        <f t="shared" si="722"/>
        <v>0</v>
      </c>
      <c r="O4702" s="1481">
        <f t="shared" si="718"/>
        <v>0</v>
      </c>
      <c r="P4702" s="1427">
        <f t="shared" si="719"/>
        <v>0</v>
      </c>
    </row>
    <row r="4703" spans="1:16" ht="62" outlineLevel="1" x14ac:dyDescent="0.25">
      <c r="A4703" s="1482">
        <f t="shared" si="715"/>
        <v>1.3</v>
      </c>
      <c r="B4703" s="1483" t="str">
        <f t="shared" si="715"/>
        <v>Total Replacement of boiler skin and air duct insulation of unit 3 to 7 (Ribbed aluminium cladding – 2000 m2, GI cladding, U bonded rock wool mattresses 100 mm thick )(consists of two schemes)</v>
      </c>
      <c r="C4703" s="1482" t="str">
        <f t="shared" si="715"/>
        <v>MERC/CAPEX/20102011/01755</v>
      </c>
      <c r="D4703" s="1390">
        <f t="shared" si="715"/>
        <v>40507</v>
      </c>
      <c r="E4703" s="560">
        <f t="shared" si="715"/>
        <v>12.3</v>
      </c>
      <c r="F4703" s="1508">
        <f t="shared" si="716"/>
        <v>10.016599048</v>
      </c>
      <c r="G4703" s="1508">
        <f t="shared" si="717"/>
        <v>10.016599048000002</v>
      </c>
      <c r="H4703" s="1508">
        <f t="shared" si="720"/>
        <v>0</v>
      </c>
      <c r="I4703" s="1480">
        <v>0</v>
      </c>
      <c r="J4703" s="1480">
        <v>0</v>
      </c>
      <c r="K4703" s="1508"/>
      <c r="L4703" s="1508"/>
      <c r="M4703" s="1509">
        <f t="shared" si="721"/>
        <v>0</v>
      </c>
      <c r="N4703" s="1508">
        <f t="shared" si="722"/>
        <v>0</v>
      </c>
      <c r="O4703" s="1481">
        <f t="shared" si="718"/>
        <v>0</v>
      </c>
      <c r="P4703" s="1427">
        <f t="shared" si="719"/>
        <v>0</v>
      </c>
    </row>
    <row r="4704" spans="1:16" ht="77.5" outlineLevel="1" x14ac:dyDescent="0.25">
      <c r="A4704" s="1482">
        <f t="shared" si="715"/>
        <v>1.4</v>
      </c>
      <c r="B4704" s="1483" t="str">
        <f t="shared" si="715"/>
        <v>Redesign of the burner equipment with superior grade steel alloys and hardened with weld overlays of tungsten carbide or chromium carbides ( Coal tips-104 nos, coal nozzle-104 nos, weld overlay on coal tip by tungsten carbide – 104 nos, weld overlay on coal nozzle by tungsten carbide- 104 nos)</v>
      </c>
      <c r="C4704" s="1482" t="str">
        <f t="shared" si="715"/>
        <v>MERC/CAPEX/20102011/01755</v>
      </c>
      <c r="D4704" s="1390">
        <f t="shared" si="715"/>
        <v>40507</v>
      </c>
      <c r="E4704" s="560">
        <f t="shared" si="715"/>
        <v>7.52</v>
      </c>
      <c r="F4704" s="1508">
        <f t="shared" si="716"/>
        <v>3.8601695880000002</v>
      </c>
      <c r="G4704" s="1508">
        <f t="shared" si="717"/>
        <v>3.8601695880000002</v>
      </c>
      <c r="H4704" s="1508">
        <f t="shared" si="720"/>
        <v>0</v>
      </c>
      <c r="I4704" s="1480">
        <v>0</v>
      </c>
      <c r="J4704" s="1480">
        <v>0</v>
      </c>
      <c r="K4704" s="1508"/>
      <c r="L4704" s="1508"/>
      <c r="M4704" s="1509">
        <f t="shared" si="721"/>
        <v>0</v>
      </c>
      <c r="N4704" s="1508">
        <f t="shared" si="722"/>
        <v>0</v>
      </c>
      <c r="O4704" s="1481">
        <f t="shared" si="718"/>
        <v>0</v>
      </c>
      <c r="P4704" s="1427">
        <f t="shared" si="719"/>
        <v>0</v>
      </c>
    </row>
    <row r="4705" spans="1:16" ht="46.5" outlineLevel="1" x14ac:dyDescent="0.25">
      <c r="A4705" s="1482">
        <f t="shared" si="715"/>
        <v>1.5</v>
      </c>
      <c r="B4705" s="1483" t="str">
        <f t="shared" si="715"/>
        <v>Replacement of ECO coils with gas velocity profiles and erosion control devices for Unit 1 to 6 (U7 middle eco- 69 assemblies, U5&amp;6 middle and lower eco- 65 assemblies each)</v>
      </c>
      <c r="C4705" s="1482" t="str">
        <f t="shared" si="715"/>
        <v>MERC/CAPEX/20102011/01755</v>
      </c>
      <c r="D4705" s="1390">
        <f t="shared" si="715"/>
        <v>40507</v>
      </c>
      <c r="E4705" s="560">
        <f t="shared" si="715"/>
        <v>43.2</v>
      </c>
      <c r="F4705" s="1508">
        <f t="shared" si="716"/>
        <v>56.159367274552196</v>
      </c>
      <c r="G4705" s="1508">
        <f t="shared" si="717"/>
        <v>56.159367274552196</v>
      </c>
      <c r="H4705" s="1508">
        <f t="shared" si="720"/>
        <v>0</v>
      </c>
      <c r="I4705" s="1480">
        <v>0</v>
      </c>
      <c r="J4705" s="1480">
        <v>0</v>
      </c>
      <c r="K4705" s="1508"/>
      <c r="L4705" s="1508"/>
      <c r="M4705" s="1509">
        <f t="shared" si="721"/>
        <v>0</v>
      </c>
      <c r="N4705" s="1508">
        <f t="shared" si="722"/>
        <v>0</v>
      </c>
      <c r="O4705" s="1481">
        <f t="shared" si="718"/>
        <v>0</v>
      </c>
      <c r="P4705" s="1427">
        <f t="shared" si="719"/>
        <v>0</v>
      </c>
    </row>
    <row r="4706" spans="1:16" ht="46.5" outlineLevel="1" x14ac:dyDescent="0.25">
      <c r="A4706" s="1482">
        <f t="shared" si="715"/>
        <v>1.6</v>
      </c>
      <c r="B4706" s="1483" t="str">
        <f t="shared" si="715"/>
        <v>Replacement of LTSH coils with improved tube materials, gas velocity profiles and erosion control devices for unit 3 to 7 (U5&amp;6 LTSH terminal tubes – 58 assemblies)</v>
      </c>
      <c r="C4706" s="1482" t="str">
        <f t="shared" si="715"/>
        <v>MERC/CAPEX/20102011/01755</v>
      </c>
      <c r="D4706" s="1390">
        <f t="shared" si="715"/>
        <v>40507</v>
      </c>
      <c r="E4706" s="560">
        <f t="shared" si="715"/>
        <v>23.4</v>
      </c>
      <c r="F4706" s="1508">
        <f t="shared" si="716"/>
        <v>12.917271588999998</v>
      </c>
      <c r="G4706" s="1508">
        <f t="shared" si="717"/>
        <v>12.917271589</v>
      </c>
      <c r="H4706" s="1508">
        <f t="shared" si="720"/>
        <v>0</v>
      </c>
      <c r="I4706" s="1480">
        <v>0</v>
      </c>
      <c r="J4706" s="1480">
        <v>0</v>
      </c>
      <c r="K4706" s="1508"/>
      <c r="L4706" s="1508"/>
      <c r="M4706" s="1509">
        <f t="shared" si="721"/>
        <v>0</v>
      </c>
      <c r="N4706" s="1508">
        <f t="shared" si="722"/>
        <v>0</v>
      </c>
      <c r="O4706" s="1481">
        <f t="shared" si="718"/>
        <v>0</v>
      </c>
      <c r="P4706" s="1427">
        <f t="shared" si="719"/>
        <v>0</v>
      </c>
    </row>
    <row r="4707" spans="1:16" ht="31" outlineLevel="1" x14ac:dyDescent="0.25">
      <c r="A4707" s="1482">
        <f t="shared" si="715"/>
        <v>1.7</v>
      </c>
      <c r="B4707" s="1483" t="str">
        <f t="shared" si="715"/>
        <v>Replacement of RH platens for Unit 5 &amp; 6 (unit 5- 46 coils, unit 6- 28 coils)</v>
      </c>
      <c r="C4707" s="1482" t="str">
        <f t="shared" si="715"/>
        <v>MERC/CAPEX/20102011/01755</v>
      </c>
      <c r="D4707" s="1390">
        <f t="shared" si="715"/>
        <v>40507</v>
      </c>
      <c r="E4707" s="560">
        <f t="shared" si="715"/>
        <v>27.6</v>
      </c>
      <c r="F4707" s="1508">
        <f t="shared" si="716"/>
        <v>11.3681175</v>
      </c>
      <c r="G4707" s="1508">
        <f t="shared" si="717"/>
        <v>11.3681175</v>
      </c>
      <c r="H4707" s="1508">
        <f t="shared" si="720"/>
        <v>0</v>
      </c>
      <c r="I4707" s="1480">
        <v>0</v>
      </c>
      <c r="J4707" s="1480">
        <v>0</v>
      </c>
      <c r="K4707" s="1508"/>
      <c r="L4707" s="1508"/>
      <c r="M4707" s="1509">
        <f t="shared" si="721"/>
        <v>0</v>
      </c>
      <c r="N4707" s="1508">
        <f t="shared" si="722"/>
        <v>0</v>
      </c>
      <c r="O4707" s="1481">
        <f t="shared" si="718"/>
        <v>0</v>
      </c>
      <c r="P4707" s="1427">
        <f t="shared" si="719"/>
        <v>0</v>
      </c>
    </row>
    <row r="4708" spans="1:16" ht="46.5" outlineLevel="1" x14ac:dyDescent="0.25">
      <c r="A4708" s="1482">
        <f t="shared" si="715"/>
        <v>1.8</v>
      </c>
      <c r="B4708" s="1483" t="str">
        <f t="shared" si="715"/>
        <v>Gas proportioning dampers, flue gas, primary and secondary air dampers should be retrofitted with cold hardened material (SAH dampers- 4 nos)</v>
      </c>
      <c r="C4708" s="1482" t="str">
        <f t="shared" si="715"/>
        <v>MERC/CAPEX/20102011/01755</v>
      </c>
      <c r="D4708" s="1390">
        <f t="shared" si="715"/>
        <v>40507</v>
      </c>
      <c r="E4708" s="560">
        <f t="shared" si="715"/>
        <v>1.43</v>
      </c>
      <c r="F4708" s="1508">
        <f t="shared" si="716"/>
        <v>1.8769309999999999</v>
      </c>
      <c r="G4708" s="1508">
        <f t="shared" si="717"/>
        <v>1.8769309999999999</v>
      </c>
      <c r="H4708" s="1508">
        <f t="shared" si="720"/>
        <v>0</v>
      </c>
      <c r="I4708" s="1480">
        <v>0</v>
      </c>
      <c r="J4708" s="1480">
        <v>0</v>
      </c>
      <c r="K4708" s="1508"/>
      <c r="L4708" s="1508"/>
      <c r="M4708" s="1509">
        <f t="shared" si="721"/>
        <v>0</v>
      </c>
      <c r="N4708" s="1508">
        <f t="shared" si="722"/>
        <v>0</v>
      </c>
      <c r="O4708" s="1481">
        <f t="shared" si="718"/>
        <v>0</v>
      </c>
      <c r="P4708" s="1427">
        <f t="shared" si="719"/>
        <v>0</v>
      </c>
    </row>
    <row r="4709" spans="1:16" ht="93" outlineLevel="1" x14ac:dyDescent="0.25">
      <c r="A4709" s="1484">
        <f t="shared" si="715"/>
        <v>1.9</v>
      </c>
      <c r="B4709" s="1485" t="str">
        <f t="shared" si="715"/>
        <v>Replacement of flue gas ducting zones prone to erosion with 6 to 8 mm high grade material and insulation of the flue gas ducts may be replaced (need based depending on the deterioration) by new unbonded, felted, mineral/rock/slag wool mattresses for Unit 5, 6 and 7 (Straight wear plates – 440 m2, curved wear plates – 400 m2)</v>
      </c>
      <c r="C4709" s="1482" t="str">
        <f t="shared" si="715"/>
        <v>MERC/CAPEX/20102011/01755</v>
      </c>
      <c r="D4709" s="1390">
        <f t="shared" si="715"/>
        <v>40507</v>
      </c>
      <c r="E4709" s="560">
        <f t="shared" si="715"/>
        <v>3.5</v>
      </c>
      <c r="F4709" s="1508">
        <f t="shared" si="716"/>
        <v>4.2488259999999993</v>
      </c>
      <c r="G4709" s="1508">
        <f t="shared" si="717"/>
        <v>4.2488259999999993</v>
      </c>
      <c r="H4709" s="1508">
        <f t="shared" si="720"/>
        <v>0</v>
      </c>
      <c r="I4709" s="1480">
        <v>0</v>
      </c>
      <c r="J4709" s="1480">
        <v>0</v>
      </c>
      <c r="K4709" s="1508"/>
      <c r="L4709" s="1508"/>
      <c r="M4709" s="1509">
        <f t="shared" si="721"/>
        <v>0</v>
      </c>
      <c r="N4709" s="1508">
        <f t="shared" si="722"/>
        <v>0</v>
      </c>
      <c r="O4709" s="1481">
        <f t="shared" si="718"/>
        <v>0</v>
      </c>
      <c r="P4709" s="1427">
        <f t="shared" si="719"/>
        <v>0</v>
      </c>
    </row>
    <row r="4710" spans="1:16" ht="62" outlineLevel="1" x14ac:dyDescent="0.25">
      <c r="A4710" s="1482" t="str">
        <f t="shared" si="715"/>
        <v>1.10</v>
      </c>
      <c r="B4710" s="1483" t="str">
        <f t="shared" si="715"/>
        <v>Reducing the pressure drop across APH in Unit 5, 6 and 7 (CFD analysis and design modification in APH inlet duct, Manufacture and supply and erection of carbide overlay divertet plates – 600 m2</v>
      </c>
      <c r="C4710" s="1482" t="str">
        <f t="shared" si="715"/>
        <v>MERC/CAPEX/20102011/01755</v>
      </c>
      <c r="D4710" s="1390">
        <f t="shared" si="715"/>
        <v>40507</v>
      </c>
      <c r="E4710" s="560">
        <f t="shared" si="715"/>
        <v>2</v>
      </c>
      <c r="F4710" s="1508">
        <f t="shared" si="716"/>
        <v>2.0468280000000001</v>
      </c>
      <c r="G4710" s="1508">
        <f t="shared" si="717"/>
        <v>2.0468280000000001</v>
      </c>
      <c r="H4710" s="1508">
        <f t="shared" si="720"/>
        <v>0</v>
      </c>
      <c r="I4710" s="1480">
        <v>0</v>
      </c>
      <c r="J4710" s="1480">
        <v>0</v>
      </c>
      <c r="K4710" s="1508"/>
      <c r="L4710" s="1508"/>
      <c r="M4710" s="1509">
        <f t="shared" si="721"/>
        <v>0</v>
      </c>
      <c r="N4710" s="1508">
        <f t="shared" si="722"/>
        <v>0</v>
      </c>
      <c r="O4710" s="1481">
        <f t="shared" si="718"/>
        <v>0</v>
      </c>
      <c r="P4710" s="1427">
        <f t="shared" si="719"/>
        <v>0</v>
      </c>
    </row>
    <row r="4711" spans="1:16" ht="15.5" outlineLevel="1" x14ac:dyDescent="0.25">
      <c r="A4711" s="1482">
        <f t="shared" si="715"/>
        <v>1.1100000000000001</v>
      </c>
      <c r="B4711" s="1483" t="str">
        <f t="shared" si="715"/>
        <v>Reducing the pressure drop across ESP</v>
      </c>
      <c r="C4711" s="1482" t="str">
        <f t="shared" si="715"/>
        <v>MERC/CAPEX/20102011/01755</v>
      </c>
      <c r="D4711" s="1390">
        <f t="shared" si="715"/>
        <v>40507</v>
      </c>
      <c r="E4711" s="560">
        <f t="shared" si="715"/>
        <v>0</v>
      </c>
      <c r="F4711" s="1508">
        <f t="shared" si="716"/>
        <v>0</v>
      </c>
      <c r="G4711" s="1508">
        <f t="shared" si="717"/>
        <v>0</v>
      </c>
      <c r="H4711" s="1508">
        <f t="shared" si="720"/>
        <v>0</v>
      </c>
      <c r="I4711" s="1480">
        <v>0</v>
      </c>
      <c r="J4711" s="1480">
        <v>0</v>
      </c>
      <c r="K4711" s="1508"/>
      <c r="L4711" s="1508"/>
      <c r="M4711" s="1509">
        <f t="shared" si="721"/>
        <v>0</v>
      </c>
      <c r="N4711" s="1508">
        <f t="shared" si="722"/>
        <v>0</v>
      </c>
      <c r="O4711" s="1481">
        <f t="shared" si="718"/>
        <v>0</v>
      </c>
      <c r="P4711" s="1427">
        <f t="shared" si="719"/>
        <v>0</v>
      </c>
    </row>
    <row r="4712" spans="1:16" ht="31" outlineLevel="1" x14ac:dyDescent="0.25">
      <c r="A4712" s="1482">
        <f t="shared" si="715"/>
        <v>1.1200000000000001</v>
      </c>
      <c r="B4712" s="1483" t="str">
        <f t="shared" si="715"/>
        <v>Replacement  of CT fan blades from GRP to FRP and resizing the motor to 75 kw</v>
      </c>
      <c r="C4712" s="1482" t="str">
        <f t="shared" si="715"/>
        <v>MERC/CAPEX/20102011/01755</v>
      </c>
      <c r="D4712" s="1390">
        <f t="shared" si="715"/>
        <v>40507</v>
      </c>
      <c r="E4712" s="560">
        <f t="shared" si="715"/>
        <v>2.9129999999999998</v>
      </c>
      <c r="F4712" s="1508">
        <f t="shared" si="716"/>
        <v>1.6187437680000003</v>
      </c>
      <c r="G4712" s="1508">
        <f t="shared" si="717"/>
        <v>1.6187437679999999</v>
      </c>
      <c r="H4712" s="1508">
        <f t="shared" si="720"/>
        <v>0</v>
      </c>
      <c r="I4712" s="1480">
        <v>0</v>
      </c>
      <c r="J4712" s="1480">
        <v>0</v>
      </c>
      <c r="K4712" s="1508"/>
      <c r="L4712" s="1508"/>
      <c r="M4712" s="1509">
        <f t="shared" si="721"/>
        <v>0</v>
      </c>
      <c r="N4712" s="1508">
        <f t="shared" si="722"/>
        <v>0</v>
      </c>
      <c r="O4712" s="1481">
        <f t="shared" si="718"/>
        <v>0</v>
      </c>
      <c r="P4712" s="1427">
        <f t="shared" si="719"/>
        <v>0</v>
      </c>
    </row>
    <row r="4713" spans="1:16" ht="31" outlineLevel="1" x14ac:dyDescent="0.25">
      <c r="A4713" s="1482">
        <f t="shared" si="715"/>
        <v>1.1299999999999999</v>
      </c>
      <c r="B4713" s="1483" t="str">
        <f t="shared" si="715"/>
        <v>Improving the BFP efficiency by overhauling of pump and motors for unit 3 &amp;4</v>
      </c>
      <c r="C4713" s="1482" t="str">
        <f t="shared" si="715"/>
        <v>MERC/CAPEX/20102011/01755</v>
      </c>
      <c r="D4713" s="1390">
        <f t="shared" si="715"/>
        <v>40507</v>
      </c>
      <c r="E4713" s="560">
        <f t="shared" si="715"/>
        <v>15</v>
      </c>
      <c r="F4713" s="1508">
        <f t="shared" si="716"/>
        <v>14.851620102999998</v>
      </c>
      <c r="G4713" s="1508">
        <f t="shared" si="717"/>
        <v>14.851620102999998</v>
      </c>
      <c r="H4713" s="1508">
        <f t="shared" si="720"/>
        <v>0</v>
      </c>
      <c r="I4713" s="1480">
        <v>0</v>
      </c>
      <c r="J4713" s="1480">
        <v>0</v>
      </c>
      <c r="K4713" s="1508"/>
      <c r="L4713" s="1508"/>
      <c r="M4713" s="1509">
        <f t="shared" si="721"/>
        <v>0</v>
      </c>
      <c r="N4713" s="1508">
        <f t="shared" si="722"/>
        <v>0</v>
      </c>
      <c r="O4713" s="1481">
        <f t="shared" si="718"/>
        <v>0</v>
      </c>
      <c r="P4713" s="1427">
        <f t="shared" si="719"/>
        <v>0</v>
      </c>
    </row>
    <row r="4714" spans="1:16" ht="31" outlineLevel="1" x14ac:dyDescent="0.25">
      <c r="A4714" s="1482">
        <f t="shared" si="715"/>
        <v>1.1399999999999999</v>
      </c>
      <c r="B4714" s="1483" t="str">
        <f t="shared" si="715"/>
        <v>During the next capital overhaul, restoration of the steam paths through steam path audits for unit 1 to 7</v>
      </c>
      <c r="C4714" s="1482" t="str">
        <f t="shared" si="715"/>
        <v>MERC/CAPEX/20102011/01755</v>
      </c>
      <c r="D4714" s="1390">
        <f t="shared" si="715"/>
        <v>40507</v>
      </c>
      <c r="E4714" s="560">
        <f t="shared" si="715"/>
        <v>4.6040000000000001</v>
      </c>
      <c r="F4714" s="1508">
        <f t="shared" si="716"/>
        <v>8.9775599999999997E-2</v>
      </c>
      <c r="G4714" s="1508">
        <f t="shared" si="717"/>
        <v>8.9775599999999997E-2</v>
      </c>
      <c r="H4714" s="1508">
        <f t="shared" si="720"/>
        <v>0</v>
      </c>
      <c r="I4714" s="1480">
        <v>0</v>
      </c>
      <c r="J4714" s="1480">
        <v>0</v>
      </c>
      <c r="K4714" s="1508"/>
      <c r="L4714" s="1508"/>
      <c r="M4714" s="1509">
        <f t="shared" si="721"/>
        <v>0</v>
      </c>
      <c r="N4714" s="1508">
        <f t="shared" si="722"/>
        <v>0</v>
      </c>
      <c r="O4714" s="1481">
        <f t="shared" si="718"/>
        <v>0</v>
      </c>
      <c r="P4714" s="1427">
        <f t="shared" si="719"/>
        <v>0</v>
      </c>
    </row>
    <row r="4715" spans="1:16" ht="31" outlineLevel="1" x14ac:dyDescent="0.25">
      <c r="A4715" s="1482">
        <f t="shared" si="715"/>
        <v>1.1499999999999999</v>
      </c>
      <c r="B4715" s="1483" t="str">
        <f t="shared" si="715"/>
        <v>Continuous monitoring system for CO in the furnace and flue gas ducting zone for Unit 3 to 7</v>
      </c>
      <c r="C4715" s="1482" t="str">
        <f t="shared" si="715"/>
        <v>MERC/CAPEX/20102011/01755</v>
      </c>
      <c r="D4715" s="1390">
        <f t="shared" si="715"/>
        <v>40507</v>
      </c>
      <c r="E4715" s="560">
        <f t="shared" si="715"/>
        <v>10.5</v>
      </c>
      <c r="F4715" s="1508">
        <f t="shared" si="716"/>
        <v>0</v>
      </c>
      <c r="G4715" s="1508">
        <f t="shared" si="717"/>
        <v>0</v>
      </c>
      <c r="H4715" s="1508">
        <f t="shared" si="720"/>
        <v>0</v>
      </c>
      <c r="I4715" s="1480">
        <v>0</v>
      </c>
      <c r="J4715" s="1480">
        <v>0</v>
      </c>
      <c r="K4715" s="1508"/>
      <c r="L4715" s="1508"/>
      <c r="M4715" s="1509">
        <f t="shared" si="721"/>
        <v>0</v>
      </c>
      <c r="N4715" s="1508">
        <f t="shared" si="722"/>
        <v>0</v>
      </c>
      <c r="O4715" s="1481">
        <f t="shared" si="718"/>
        <v>0</v>
      </c>
      <c r="P4715" s="1427">
        <f t="shared" si="719"/>
        <v>0</v>
      </c>
    </row>
    <row r="4716" spans="1:16" ht="31" outlineLevel="1" x14ac:dyDescent="0.25">
      <c r="A4716" s="1482">
        <f t="shared" ref="A4716:E4731" si="723">A4046</f>
        <v>1.1599999999999999</v>
      </c>
      <c r="B4716" s="1483" t="str">
        <f t="shared" si="723"/>
        <v>Oxygen measurement must be introduced at APH inlet and after ID fan outlet  for unit 1 to 7</v>
      </c>
      <c r="C4716" s="1482" t="str">
        <f t="shared" si="723"/>
        <v>MERC/CAPEX/20102011/01755</v>
      </c>
      <c r="D4716" s="1390">
        <f t="shared" si="723"/>
        <v>40507</v>
      </c>
      <c r="E4716" s="560">
        <f t="shared" si="723"/>
        <v>4.91</v>
      </c>
      <c r="F4716" s="1508">
        <f t="shared" si="716"/>
        <v>3.543640452</v>
      </c>
      <c r="G4716" s="1508">
        <f t="shared" si="717"/>
        <v>3.543640452</v>
      </c>
      <c r="H4716" s="1508">
        <f t="shared" si="720"/>
        <v>0</v>
      </c>
      <c r="I4716" s="1480">
        <v>0</v>
      </c>
      <c r="J4716" s="1480">
        <v>0</v>
      </c>
      <c r="K4716" s="1508"/>
      <c r="L4716" s="1508"/>
      <c r="M4716" s="1509">
        <f t="shared" si="721"/>
        <v>0</v>
      </c>
      <c r="N4716" s="1508">
        <f t="shared" si="722"/>
        <v>0</v>
      </c>
      <c r="O4716" s="1481">
        <f t="shared" si="718"/>
        <v>0</v>
      </c>
      <c r="P4716" s="1427">
        <f t="shared" si="719"/>
        <v>0</v>
      </c>
    </row>
    <row r="4717" spans="1:16" ht="15.5" outlineLevel="1" x14ac:dyDescent="0.25">
      <c r="A4717" s="1482">
        <f t="shared" si="723"/>
        <v>0</v>
      </c>
      <c r="B4717" s="1483" t="str">
        <f t="shared" si="723"/>
        <v>IDC</v>
      </c>
      <c r="C4717" s="1482" t="str">
        <f t="shared" si="723"/>
        <v>MERC/CAPEX/20102011/01755</v>
      </c>
      <c r="D4717" s="1390">
        <f t="shared" si="723"/>
        <v>40507</v>
      </c>
      <c r="E4717" s="560">
        <f t="shared" si="723"/>
        <v>10.09</v>
      </c>
      <c r="F4717" s="1508">
        <f t="shared" si="716"/>
        <v>0</v>
      </c>
      <c r="G4717" s="1508">
        <f t="shared" si="717"/>
        <v>0</v>
      </c>
      <c r="H4717" s="1508">
        <f t="shared" si="720"/>
        <v>0</v>
      </c>
      <c r="I4717" s="1480">
        <v>0</v>
      </c>
      <c r="J4717" s="1480">
        <v>0</v>
      </c>
      <c r="K4717" s="1508"/>
      <c r="L4717" s="1508"/>
      <c r="M4717" s="1509">
        <f t="shared" si="721"/>
        <v>0</v>
      </c>
      <c r="N4717" s="1508">
        <f t="shared" si="722"/>
        <v>0</v>
      </c>
      <c r="O4717" s="1481">
        <f t="shared" si="718"/>
        <v>0</v>
      </c>
      <c r="P4717" s="1427">
        <f t="shared" si="719"/>
        <v>0</v>
      </c>
    </row>
    <row r="4718" spans="1:16" ht="15.5" outlineLevel="1" x14ac:dyDescent="0.25">
      <c r="A4718" s="1477">
        <f t="shared" si="723"/>
        <v>2</v>
      </c>
      <c r="B4718" s="1478" t="str">
        <f t="shared" si="723"/>
        <v>Input source Measurement</v>
      </c>
      <c r="C4718" s="1486" t="str">
        <f t="shared" si="723"/>
        <v>MERC/CAPEX/20112012/00925</v>
      </c>
      <c r="D4718" s="1487">
        <f t="shared" si="723"/>
        <v>40730</v>
      </c>
      <c r="E4718" s="1383">
        <f t="shared" si="723"/>
        <v>20.990099999999998</v>
      </c>
      <c r="F4718" s="1480">
        <f t="shared" si="716"/>
        <v>0</v>
      </c>
      <c r="G4718" s="1480">
        <f t="shared" si="717"/>
        <v>0</v>
      </c>
      <c r="H4718" s="1480">
        <f t="shared" si="720"/>
        <v>0</v>
      </c>
      <c r="I4718" s="1480">
        <v>0</v>
      </c>
      <c r="J4718" s="1480">
        <v>0</v>
      </c>
      <c r="K4718" s="1480"/>
      <c r="L4718" s="1480"/>
      <c r="M4718" s="1480">
        <f t="shared" si="721"/>
        <v>0</v>
      </c>
      <c r="N4718" s="1480">
        <f t="shared" si="722"/>
        <v>0</v>
      </c>
      <c r="O4718" s="1481">
        <f t="shared" si="718"/>
        <v>0</v>
      </c>
      <c r="P4718" s="1427">
        <f t="shared" si="719"/>
        <v>0</v>
      </c>
    </row>
    <row r="4719" spans="1:16" ht="46.5" outlineLevel="1" x14ac:dyDescent="0.25">
      <c r="A4719" s="1482">
        <f t="shared" si="723"/>
        <v>2.1</v>
      </c>
      <c r="B4719" s="1483" t="str">
        <f t="shared" si="723"/>
        <v>Installation of Guided wave radar type level indicators for all fuel oil tanks of unit-1 to 7 DTFA 15 tanks and MTFA 15 tanks (total 30 tanks)</v>
      </c>
      <c r="C4719" s="1482" t="str">
        <f t="shared" si="723"/>
        <v>MERC/CAPEX/20112012/00925</v>
      </c>
      <c r="D4719" s="1390">
        <f t="shared" si="723"/>
        <v>40730</v>
      </c>
      <c r="E4719" s="560">
        <f t="shared" si="723"/>
        <v>1.0398000000000001</v>
      </c>
      <c r="F4719" s="1508">
        <f t="shared" si="716"/>
        <v>0.70700000000000007</v>
      </c>
      <c r="G4719" s="1508">
        <f t="shared" si="717"/>
        <v>0.70700000000000007</v>
      </c>
      <c r="H4719" s="1508">
        <f t="shared" si="720"/>
        <v>0</v>
      </c>
      <c r="I4719" s="1480">
        <v>0</v>
      </c>
      <c r="J4719" s="1480">
        <v>0</v>
      </c>
      <c r="K4719" s="1508"/>
      <c r="L4719" s="1508"/>
      <c r="M4719" s="1509">
        <f t="shared" si="721"/>
        <v>0</v>
      </c>
      <c r="N4719" s="1508">
        <f t="shared" si="722"/>
        <v>0</v>
      </c>
      <c r="O4719" s="1481">
        <f t="shared" si="718"/>
        <v>0</v>
      </c>
      <c r="P4719" s="1427">
        <f t="shared" si="719"/>
        <v>0</v>
      </c>
    </row>
    <row r="4720" spans="1:16" ht="31" outlineLevel="1" x14ac:dyDescent="0.25">
      <c r="A4720" s="1482">
        <f t="shared" si="723"/>
        <v>2.2000000000000002</v>
      </c>
      <c r="B4720" s="1483" t="str">
        <f t="shared" si="723"/>
        <v>Installation of mass based oil flow meters with provision for continuous digital transfer (20 transmitters)</v>
      </c>
      <c r="C4720" s="1482" t="str">
        <f t="shared" si="723"/>
        <v>MERC/CAPEX/20112012/00925</v>
      </c>
      <c r="D4720" s="1390">
        <f t="shared" si="723"/>
        <v>40730</v>
      </c>
      <c r="E4720" s="560">
        <f t="shared" si="723"/>
        <v>3.1379999999999999</v>
      </c>
      <c r="F4720" s="1508">
        <f t="shared" si="716"/>
        <v>0</v>
      </c>
      <c r="G4720" s="1508">
        <f t="shared" si="717"/>
        <v>0</v>
      </c>
      <c r="H4720" s="1508">
        <f t="shared" si="720"/>
        <v>0</v>
      </c>
      <c r="I4720" s="1480">
        <v>0</v>
      </c>
      <c r="J4720" s="1480">
        <v>0</v>
      </c>
      <c r="K4720" s="1508"/>
      <c r="L4720" s="1508"/>
      <c r="M4720" s="1509">
        <f t="shared" si="721"/>
        <v>0</v>
      </c>
      <c r="N4720" s="1508">
        <f t="shared" si="722"/>
        <v>0</v>
      </c>
      <c r="O4720" s="1481">
        <f t="shared" si="718"/>
        <v>0</v>
      </c>
      <c r="P4720" s="1427">
        <f t="shared" si="719"/>
        <v>0</v>
      </c>
    </row>
    <row r="4721" spans="1:16" ht="31" outlineLevel="1" x14ac:dyDescent="0.25">
      <c r="A4721" s="1482">
        <f t="shared" si="723"/>
        <v>2.2999999999999998</v>
      </c>
      <c r="B4721" s="1483" t="str">
        <f t="shared" si="723"/>
        <v>Installation of 54 Nos. of ultrasonic type Flow measurement transmitters for water consumption monitoring</v>
      </c>
      <c r="C4721" s="1482" t="str">
        <f t="shared" si="723"/>
        <v>MERC/CAPEX/20112012/00925</v>
      </c>
      <c r="D4721" s="1390">
        <f t="shared" si="723"/>
        <v>40730</v>
      </c>
      <c r="E4721" s="560">
        <f t="shared" si="723"/>
        <v>3.0657000000000001</v>
      </c>
      <c r="F4721" s="1508">
        <f t="shared" si="716"/>
        <v>1.7642598999999999</v>
      </c>
      <c r="G4721" s="1508">
        <f t="shared" si="717"/>
        <v>1.7642598999999999</v>
      </c>
      <c r="H4721" s="1508">
        <f t="shared" si="720"/>
        <v>0</v>
      </c>
      <c r="I4721" s="1480">
        <v>0</v>
      </c>
      <c r="J4721" s="1480">
        <v>0</v>
      </c>
      <c r="K4721" s="1508"/>
      <c r="L4721" s="1508"/>
      <c r="M4721" s="1509">
        <f t="shared" si="721"/>
        <v>0</v>
      </c>
      <c r="N4721" s="1508">
        <f t="shared" si="722"/>
        <v>0</v>
      </c>
      <c r="O4721" s="1481">
        <f t="shared" si="718"/>
        <v>0</v>
      </c>
      <c r="P4721" s="1427">
        <f t="shared" si="719"/>
        <v>0</v>
      </c>
    </row>
    <row r="4722" spans="1:16" ht="31" outlineLevel="1" x14ac:dyDescent="0.25">
      <c r="A4722" s="1482">
        <f t="shared" si="723"/>
        <v>2.4</v>
      </c>
      <c r="B4722" s="1483" t="str">
        <f t="shared" si="723"/>
        <v>Trivector Meters for Auxiliary power measurement of GT (7 Nos).</v>
      </c>
      <c r="C4722" s="1488" t="str">
        <f t="shared" si="723"/>
        <v>MERC/CAPEX/20112012/00925</v>
      </c>
      <c r="D4722" s="1413">
        <f t="shared" si="723"/>
        <v>40730</v>
      </c>
      <c r="E4722" s="560">
        <f t="shared" si="723"/>
        <v>2.1100000000000001E-2</v>
      </c>
      <c r="F4722" s="1508">
        <f t="shared" si="716"/>
        <v>0</v>
      </c>
      <c r="G4722" s="1508">
        <f t="shared" si="717"/>
        <v>0</v>
      </c>
      <c r="H4722" s="1508">
        <f t="shared" si="720"/>
        <v>0</v>
      </c>
      <c r="I4722" s="1480">
        <v>0</v>
      </c>
      <c r="J4722" s="1480">
        <v>0</v>
      </c>
      <c r="K4722" s="1508"/>
      <c r="L4722" s="1508"/>
      <c r="M4722" s="1509">
        <f t="shared" si="721"/>
        <v>0</v>
      </c>
      <c r="N4722" s="1508">
        <f t="shared" si="722"/>
        <v>0</v>
      </c>
      <c r="O4722" s="1481">
        <f t="shared" si="718"/>
        <v>0</v>
      </c>
      <c r="P4722" s="1427">
        <f t="shared" si="719"/>
        <v>0</v>
      </c>
    </row>
    <row r="4723" spans="1:16" ht="31" outlineLevel="1" x14ac:dyDescent="0.25">
      <c r="A4723" s="1482">
        <f t="shared" si="723"/>
        <v>2.5</v>
      </c>
      <c r="B4723" s="1483" t="str">
        <f t="shared" si="723"/>
        <v>Standard Meters for Auxiliary power measurement for sp. Consumption of Auxiliary transformer, Limbs and auxiliaries.</v>
      </c>
      <c r="C4723" s="1482" t="str">
        <f t="shared" si="723"/>
        <v>MERC/CAPEX/20112012/00925</v>
      </c>
      <c r="D4723" s="1390">
        <f t="shared" si="723"/>
        <v>40730</v>
      </c>
      <c r="E4723" s="560">
        <f t="shared" si="723"/>
        <v>0.49540000000000001</v>
      </c>
      <c r="F4723" s="1508">
        <f t="shared" si="716"/>
        <v>0.29783999999999999</v>
      </c>
      <c r="G4723" s="1508">
        <f t="shared" si="717"/>
        <v>0.29783999999999999</v>
      </c>
      <c r="H4723" s="1508">
        <f t="shared" si="720"/>
        <v>0</v>
      </c>
      <c r="I4723" s="1480">
        <v>0</v>
      </c>
      <c r="J4723" s="1480">
        <v>0</v>
      </c>
      <c r="K4723" s="1508"/>
      <c r="L4723" s="1508"/>
      <c r="M4723" s="1509">
        <f t="shared" si="721"/>
        <v>0</v>
      </c>
      <c r="N4723" s="1508">
        <f t="shared" si="722"/>
        <v>0</v>
      </c>
      <c r="O4723" s="1481">
        <f t="shared" si="718"/>
        <v>0</v>
      </c>
      <c r="P4723" s="1427">
        <f t="shared" si="719"/>
        <v>0</v>
      </c>
    </row>
    <row r="4724" spans="1:16" ht="15.5" outlineLevel="1" x14ac:dyDescent="0.25">
      <c r="A4724" s="1482">
        <f t="shared" si="723"/>
        <v>2.6</v>
      </c>
      <c r="B4724" s="1483" t="str">
        <f t="shared" si="723"/>
        <v>Belt weighers (28 Nos.)</v>
      </c>
      <c r="C4724" s="1482" t="str">
        <f t="shared" si="723"/>
        <v>MERC/CAPEX/20112012/00925</v>
      </c>
      <c r="D4724" s="1390">
        <f t="shared" si="723"/>
        <v>40730</v>
      </c>
      <c r="E4724" s="560">
        <f t="shared" si="723"/>
        <v>3.3195999999999999</v>
      </c>
      <c r="F4724" s="1508">
        <f t="shared" si="716"/>
        <v>0</v>
      </c>
      <c r="G4724" s="1508">
        <f t="shared" si="717"/>
        <v>0</v>
      </c>
      <c r="H4724" s="1508">
        <f t="shared" si="720"/>
        <v>0</v>
      </c>
      <c r="I4724" s="1480">
        <v>0</v>
      </c>
      <c r="J4724" s="1480">
        <v>0</v>
      </c>
      <c r="K4724" s="1508"/>
      <c r="L4724" s="1508"/>
      <c r="M4724" s="1509">
        <f t="shared" si="721"/>
        <v>0</v>
      </c>
      <c r="N4724" s="1508">
        <f t="shared" si="722"/>
        <v>0</v>
      </c>
      <c r="O4724" s="1481">
        <f t="shared" si="718"/>
        <v>0</v>
      </c>
      <c r="P4724" s="1427">
        <f t="shared" si="719"/>
        <v>0</v>
      </c>
    </row>
    <row r="4725" spans="1:16" ht="15.5" outlineLevel="1" x14ac:dyDescent="0.25">
      <c r="A4725" s="1482">
        <f t="shared" si="723"/>
        <v>2.7</v>
      </c>
      <c r="B4725" s="1483" t="str">
        <f t="shared" si="723"/>
        <v>In motion weigh bridge (10 Nos).</v>
      </c>
      <c r="C4725" s="1482" t="str">
        <f t="shared" si="723"/>
        <v>MERC/CAPEX/20112012/00925</v>
      </c>
      <c r="D4725" s="1390">
        <f t="shared" si="723"/>
        <v>40730</v>
      </c>
      <c r="E4725" s="560">
        <f t="shared" si="723"/>
        <v>4.5396000000000001</v>
      </c>
      <c r="F4725" s="1508">
        <f t="shared" si="716"/>
        <v>0.19084200000000001</v>
      </c>
      <c r="G4725" s="1508">
        <f t="shared" si="717"/>
        <v>0.19084200000000001</v>
      </c>
      <c r="H4725" s="1508">
        <f t="shared" si="720"/>
        <v>0</v>
      </c>
      <c r="I4725" s="1480">
        <v>0</v>
      </c>
      <c r="J4725" s="1480">
        <v>0</v>
      </c>
      <c r="K4725" s="1508"/>
      <c r="L4725" s="1508"/>
      <c r="M4725" s="1509">
        <f t="shared" si="721"/>
        <v>0</v>
      </c>
      <c r="N4725" s="1508">
        <f t="shared" si="722"/>
        <v>0</v>
      </c>
      <c r="O4725" s="1481">
        <f t="shared" si="718"/>
        <v>0</v>
      </c>
      <c r="P4725" s="1427">
        <f t="shared" si="719"/>
        <v>0</v>
      </c>
    </row>
    <row r="4726" spans="1:16" ht="15.5" outlineLevel="1" x14ac:dyDescent="0.25">
      <c r="A4726" s="1482">
        <f t="shared" si="723"/>
        <v>2.8</v>
      </c>
      <c r="B4726" s="1483" t="str">
        <f t="shared" si="723"/>
        <v>Bunker level transmitters (50 Nos.)</v>
      </c>
      <c r="C4726" s="1482" t="str">
        <f t="shared" si="723"/>
        <v>MERC/CAPEX/20112012/00925</v>
      </c>
      <c r="D4726" s="1390">
        <f t="shared" si="723"/>
        <v>40730</v>
      </c>
      <c r="E4726" s="560">
        <f t="shared" si="723"/>
        <v>2.5285000000000002</v>
      </c>
      <c r="F4726" s="1508">
        <f t="shared" si="716"/>
        <v>0</v>
      </c>
      <c r="G4726" s="1508">
        <f t="shared" si="717"/>
        <v>0</v>
      </c>
      <c r="H4726" s="1508">
        <f t="shared" si="720"/>
        <v>0</v>
      </c>
      <c r="I4726" s="1480">
        <v>0</v>
      </c>
      <c r="J4726" s="1480">
        <v>0</v>
      </c>
      <c r="K4726" s="1508"/>
      <c r="L4726" s="1508"/>
      <c r="M4726" s="1509">
        <f t="shared" si="721"/>
        <v>0</v>
      </c>
      <c r="N4726" s="1508">
        <f t="shared" si="722"/>
        <v>0</v>
      </c>
      <c r="O4726" s="1481">
        <f t="shared" si="718"/>
        <v>0</v>
      </c>
      <c r="P4726" s="1427">
        <f t="shared" si="719"/>
        <v>0</v>
      </c>
    </row>
    <row r="4727" spans="1:16" ht="15.5" outlineLevel="1" x14ac:dyDescent="0.25">
      <c r="A4727" s="1482">
        <f t="shared" si="723"/>
        <v>2.9</v>
      </c>
      <c r="B4727" s="1483" t="str">
        <f t="shared" si="723"/>
        <v>Flap Gate sensors (120 Nos.)</v>
      </c>
      <c r="C4727" s="1482" t="str">
        <f t="shared" si="723"/>
        <v>MERC/CAPEX/20112012/00925</v>
      </c>
      <c r="D4727" s="1390">
        <f t="shared" si="723"/>
        <v>40730</v>
      </c>
      <c r="E4727" s="560">
        <f t="shared" si="723"/>
        <v>0.1225</v>
      </c>
      <c r="F4727" s="1508">
        <f t="shared" si="716"/>
        <v>0</v>
      </c>
      <c r="G4727" s="1508">
        <f t="shared" si="717"/>
        <v>0</v>
      </c>
      <c r="H4727" s="1508">
        <f t="shared" si="720"/>
        <v>0</v>
      </c>
      <c r="I4727" s="1480">
        <v>0</v>
      </c>
      <c r="J4727" s="1480">
        <v>0</v>
      </c>
      <c r="K4727" s="1508"/>
      <c r="L4727" s="1508"/>
      <c r="M4727" s="1509">
        <f t="shared" si="721"/>
        <v>0</v>
      </c>
      <c r="N4727" s="1508">
        <f t="shared" si="722"/>
        <v>0</v>
      </c>
      <c r="O4727" s="1481">
        <f t="shared" si="718"/>
        <v>0</v>
      </c>
      <c r="P4727" s="1427">
        <f t="shared" si="719"/>
        <v>0</v>
      </c>
    </row>
    <row r="4728" spans="1:16" ht="15.5" outlineLevel="1" x14ac:dyDescent="0.25">
      <c r="A4728" s="1482" t="str">
        <f t="shared" si="723"/>
        <v>2.10</v>
      </c>
      <c r="B4728" s="1483" t="str">
        <f t="shared" si="723"/>
        <v>PLC (20 Nos)</v>
      </c>
      <c r="C4728" s="1482" t="str">
        <f t="shared" si="723"/>
        <v>MERC/CAPEX/20112012/00925</v>
      </c>
      <c r="D4728" s="1390">
        <f t="shared" si="723"/>
        <v>40730</v>
      </c>
      <c r="E4728" s="560">
        <f t="shared" si="723"/>
        <v>0.5333</v>
      </c>
      <c r="F4728" s="1508">
        <f t="shared" si="716"/>
        <v>0</v>
      </c>
      <c r="G4728" s="1508">
        <f t="shared" si="717"/>
        <v>0</v>
      </c>
      <c r="H4728" s="1508">
        <f t="shared" si="720"/>
        <v>0</v>
      </c>
      <c r="I4728" s="1480">
        <v>0</v>
      </c>
      <c r="J4728" s="1480">
        <v>0</v>
      </c>
      <c r="K4728" s="1508"/>
      <c r="L4728" s="1508"/>
      <c r="M4728" s="1509">
        <f t="shared" si="721"/>
        <v>0</v>
      </c>
      <c r="N4728" s="1508">
        <f t="shared" si="722"/>
        <v>0</v>
      </c>
      <c r="O4728" s="1481">
        <f t="shared" si="718"/>
        <v>0</v>
      </c>
      <c r="P4728" s="1427">
        <f t="shared" si="719"/>
        <v>0</v>
      </c>
    </row>
    <row r="4729" spans="1:16" ht="15.5" outlineLevel="1" x14ac:dyDescent="0.25">
      <c r="A4729" s="1482">
        <f t="shared" si="723"/>
        <v>2.11</v>
      </c>
      <c r="B4729" s="1483" t="str">
        <f t="shared" si="723"/>
        <v>Cables (20,000 meters estimated)</v>
      </c>
      <c r="C4729" s="1482" t="str">
        <f t="shared" si="723"/>
        <v>MERC/CAPEX/20112012/00925</v>
      </c>
      <c r="D4729" s="1390">
        <f t="shared" si="723"/>
        <v>40730</v>
      </c>
      <c r="E4729" s="560">
        <f t="shared" si="723"/>
        <v>1.0216000000000001</v>
      </c>
      <c r="F4729" s="1508">
        <f t="shared" si="716"/>
        <v>0</v>
      </c>
      <c r="G4729" s="1508">
        <f t="shared" si="717"/>
        <v>0</v>
      </c>
      <c r="H4729" s="1508">
        <f t="shared" si="720"/>
        <v>0</v>
      </c>
      <c r="I4729" s="1480">
        <v>0</v>
      </c>
      <c r="J4729" s="1480">
        <v>0</v>
      </c>
      <c r="K4729" s="1508"/>
      <c r="L4729" s="1508"/>
      <c r="M4729" s="1509">
        <f t="shared" si="721"/>
        <v>0</v>
      </c>
      <c r="N4729" s="1508">
        <f t="shared" si="722"/>
        <v>0</v>
      </c>
      <c r="O4729" s="1481">
        <f t="shared" si="718"/>
        <v>0</v>
      </c>
      <c r="P4729" s="1427">
        <f t="shared" si="719"/>
        <v>0</v>
      </c>
    </row>
    <row r="4730" spans="1:16" ht="15.5" outlineLevel="1" x14ac:dyDescent="0.25">
      <c r="A4730" s="1482">
        <f t="shared" si="723"/>
        <v>0</v>
      </c>
      <c r="B4730" s="1483" t="str">
        <f t="shared" si="723"/>
        <v>IDC</v>
      </c>
      <c r="C4730" s="1482" t="str">
        <f t="shared" si="723"/>
        <v>MERC/CAPEX/20112012/00925</v>
      </c>
      <c r="D4730" s="1390">
        <f t="shared" si="723"/>
        <v>40730</v>
      </c>
      <c r="E4730" s="560">
        <f t="shared" si="723"/>
        <v>1.165</v>
      </c>
      <c r="F4730" s="1508">
        <f t="shared" si="716"/>
        <v>0</v>
      </c>
      <c r="G4730" s="1508">
        <f t="shared" si="717"/>
        <v>0</v>
      </c>
      <c r="H4730" s="1508">
        <f t="shared" si="720"/>
        <v>0</v>
      </c>
      <c r="I4730" s="1480">
        <v>0</v>
      </c>
      <c r="J4730" s="1480">
        <v>0</v>
      </c>
      <c r="K4730" s="1508"/>
      <c r="L4730" s="1508"/>
      <c r="M4730" s="1509">
        <f t="shared" si="721"/>
        <v>0</v>
      </c>
      <c r="N4730" s="1508">
        <f t="shared" si="722"/>
        <v>0</v>
      </c>
      <c r="O4730" s="1481">
        <f t="shared" si="718"/>
        <v>0</v>
      </c>
      <c r="P4730" s="1427">
        <f t="shared" si="719"/>
        <v>0</v>
      </c>
    </row>
    <row r="4731" spans="1:16" ht="15.5" outlineLevel="1" x14ac:dyDescent="0.25">
      <c r="A4731" s="1489">
        <f t="shared" si="723"/>
        <v>3</v>
      </c>
      <c r="B4731" s="1490" t="str">
        <f t="shared" si="723"/>
        <v>ESP Restoration/Refurbishment</v>
      </c>
      <c r="C4731" s="1477" t="str">
        <f t="shared" si="723"/>
        <v>MERC/CAPEX/20112012/00939</v>
      </c>
      <c r="D4731" s="1479">
        <f t="shared" si="723"/>
        <v>40731</v>
      </c>
      <c r="E4731" s="1383">
        <f t="shared" si="723"/>
        <v>53.989999999999995</v>
      </c>
      <c r="F4731" s="1480">
        <f t="shared" si="716"/>
        <v>0</v>
      </c>
      <c r="G4731" s="1480">
        <f t="shared" si="717"/>
        <v>0</v>
      </c>
      <c r="H4731" s="1480">
        <f t="shared" si="720"/>
        <v>0</v>
      </c>
      <c r="I4731" s="1480">
        <v>0</v>
      </c>
      <c r="J4731" s="1480">
        <v>0</v>
      </c>
      <c r="K4731" s="1480"/>
      <c r="L4731" s="1480"/>
      <c r="M4731" s="1480">
        <f t="shared" si="721"/>
        <v>0</v>
      </c>
      <c r="N4731" s="1480">
        <f t="shared" si="722"/>
        <v>0</v>
      </c>
      <c r="O4731" s="1481">
        <f t="shared" si="718"/>
        <v>0</v>
      </c>
      <c r="P4731" s="1427">
        <f t="shared" si="719"/>
        <v>0</v>
      </c>
    </row>
    <row r="4732" spans="1:16" ht="31" outlineLevel="1" x14ac:dyDescent="0.25">
      <c r="A4732" s="1484">
        <f t="shared" ref="A4732:E4747" si="724">A4062</f>
        <v>3.1</v>
      </c>
      <c r="B4732" s="1485" t="str">
        <f t="shared" si="724"/>
        <v xml:space="preserve">Replacement of all emitting coils and collecting plates of U#5 ESP of all four pass of field 2nd, 3rd &amp; 4th </v>
      </c>
      <c r="C4732" s="1482" t="str">
        <f t="shared" si="724"/>
        <v>MERC/CAPEX/20112012/00939</v>
      </c>
      <c r="D4732" s="1390">
        <f t="shared" si="724"/>
        <v>40731</v>
      </c>
      <c r="E4732" s="560">
        <f t="shared" si="724"/>
        <v>11.7</v>
      </c>
      <c r="F4732" s="1508">
        <f t="shared" si="716"/>
        <v>8.6202149769999998</v>
      </c>
      <c r="G4732" s="1508">
        <f t="shared" si="717"/>
        <v>8.6202149769999998</v>
      </c>
      <c r="H4732" s="1508">
        <f t="shared" si="720"/>
        <v>0</v>
      </c>
      <c r="I4732" s="1480">
        <v>0</v>
      </c>
      <c r="J4732" s="1480">
        <v>0</v>
      </c>
      <c r="K4732" s="1508"/>
      <c r="L4732" s="1508"/>
      <c r="M4732" s="1509">
        <f t="shared" si="721"/>
        <v>0</v>
      </c>
      <c r="N4732" s="1508">
        <f t="shared" si="722"/>
        <v>0</v>
      </c>
      <c r="O4732" s="1481">
        <f t="shared" si="718"/>
        <v>0</v>
      </c>
      <c r="P4732" s="1427">
        <f t="shared" si="719"/>
        <v>0</v>
      </c>
    </row>
    <row r="4733" spans="1:16" ht="31" outlineLevel="1" x14ac:dyDescent="0.25">
      <c r="A4733" s="1484">
        <f t="shared" si="724"/>
        <v>3.2</v>
      </c>
      <c r="B4733" s="1485" t="str">
        <f t="shared" si="724"/>
        <v>Replacement of all emitting coils and collecting plates of all four pass of field 1 to 4, U#6 ESP</v>
      </c>
      <c r="C4733" s="1482" t="str">
        <f t="shared" si="724"/>
        <v>MERC/CAPEX/20112012/00939</v>
      </c>
      <c r="D4733" s="1390">
        <f t="shared" si="724"/>
        <v>40731</v>
      </c>
      <c r="E4733" s="560">
        <f t="shared" si="724"/>
        <v>15.6</v>
      </c>
      <c r="F4733" s="1508">
        <f t="shared" si="716"/>
        <v>12.555251865000001</v>
      </c>
      <c r="G4733" s="1508">
        <f t="shared" si="717"/>
        <v>12.555251865000001</v>
      </c>
      <c r="H4733" s="1508">
        <f t="shared" si="720"/>
        <v>0</v>
      </c>
      <c r="I4733" s="1480">
        <v>0</v>
      </c>
      <c r="J4733" s="1480">
        <v>0</v>
      </c>
      <c r="K4733" s="1508"/>
      <c r="L4733" s="1508"/>
      <c r="M4733" s="1509">
        <f t="shared" si="721"/>
        <v>0</v>
      </c>
      <c r="N4733" s="1508">
        <f t="shared" si="722"/>
        <v>0</v>
      </c>
      <c r="O4733" s="1481">
        <f t="shared" si="718"/>
        <v>0</v>
      </c>
      <c r="P4733" s="1427">
        <f t="shared" si="719"/>
        <v>0</v>
      </c>
    </row>
    <row r="4734" spans="1:16" ht="31" outlineLevel="1" x14ac:dyDescent="0.25">
      <c r="A4734" s="1484">
        <f t="shared" si="724"/>
        <v>3.3</v>
      </c>
      <c r="B4734" s="1485" t="str">
        <f t="shared" si="724"/>
        <v xml:space="preserve">Replacement of all emitting coils and collecting plates of all four pass of field 1 to 4, U#7 ESP </v>
      </c>
      <c r="C4734" s="1482" t="str">
        <f t="shared" si="724"/>
        <v>MERC/CAPEX/20112012/00939</v>
      </c>
      <c r="D4734" s="1390">
        <f t="shared" si="724"/>
        <v>40731</v>
      </c>
      <c r="E4734" s="560">
        <f t="shared" si="724"/>
        <v>16.02</v>
      </c>
      <c r="F4734" s="1508">
        <f t="shared" si="716"/>
        <v>13.189855725000001</v>
      </c>
      <c r="G4734" s="1508">
        <f t="shared" si="717"/>
        <v>13.085278921</v>
      </c>
      <c r="H4734" s="1508">
        <f t="shared" si="720"/>
        <v>0.10457680400000058</v>
      </c>
      <c r="I4734" s="1480">
        <v>0</v>
      </c>
      <c r="J4734" s="1480">
        <v>0</v>
      </c>
      <c r="K4734" s="1508"/>
      <c r="L4734" s="1508"/>
      <c r="M4734" s="1509">
        <f t="shared" si="721"/>
        <v>0</v>
      </c>
      <c r="N4734" s="1508">
        <f t="shared" si="722"/>
        <v>0.10457680400000058</v>
      </c>
      <c r="O4734" s="1481">
        <f t="shared" si="718"/>
        <v>0</v>
      </c>
      <c r="P4734" s="1427">
        <f t="shared" si="719"/>
        <v>0</v>
      </c>
    </row>
    <row r="4735" spans="1:16" ht="31" outlineLevel="1" x14ac:dyDescent="0.25">
      <c r="A4735" s="1484">
        <f t="shared" si="724"/>
        <v>3.4</v>
      </c>
      <c r="B4735" s="1485" t="str">
        <f t="shared" si="724"/>
        <v>Ash evacuation system on existing dummy hoppers of Flue gas duct from APH outlet to ESP inlet of U#5 &amp; 6.</v>
      </c>
      <c r="C4735" s="1482" t="str">
        <f t="shared" si="724"/>
        <v>MERC/CAPEX/20112012/00939</v>
      </c>
      <c r="D4735" s="1390">
        <f t="shared" si="724"/>
        <v>40731</v>
      </c>
      <c r="E4735" s="560">
        <f t="shared" si="724"/>
        <v>0.95</v>
      </c>
      <c r="F4735" s="1508">
        <f t="shared" si="716"/>
        <v>0.92199359999999997</v>
      </c>
      <c r="G4735" s="1508">
        <f t="shared" si="717"/>
        <v>0.92199359999999997</v>
      </c>
      <c r="H4735" s="1508">
        <f t="shared" si="720"/>
        <v>0</v>
      </c>
      <c r="I4735" s="1480">
        <v>0</v>
      </c>
      <c r="J4735" s="1480">
        <v>0</v>
      </c>
      <c r="K4735" s="1508"/>
      <c r="L4735" s="1508"/>
      <c r="M4735" s="1509">
        <f t="shared" si="721"/>
        <v>0</v>
      </c>
      <c r="N4735" s="1508">
        <f t="shared" si="722"/>
        <v>0</v>
      </c>
      <c r="O4735" s="1481">
        <f t="shared" si="718"/>
        <v>0</v>
      </c>
      <c r="P4735" s="1427">
        <f t="shared" si="719"/>
        <v>0</v>
      </c>
    </row>
    <row r="4736" spans="1:16" ht="15.5" outlineLevel="1" x14ac:dyDescent="0.25">
      <c r="A4736" s="1484">
        <f t="shared" si="724"/>
        <v>0</v>
      </c>
      <c r="B4736" s="1485" t="str">
        <f t="shared" si="724"/>
        <v>IDC</v>
      </c>
      <c r="C4736" s="1482" t="str">
        <f t="shared" si="724"/>
        <v>MERC/CAPEX/20112012/00939</v>
      </c>
      <c r="D4736" s="1390">
        <f t="shared" si="724"/>
        <v>40731</v>
      </c>
      <c r="E4736" s="560">
        <f t="shared" si="724"/>
        <v>9.7200000000000006</v>
      </c>
      <c r="F4736" s="1508">
        <f t="shared" si="716"/>
        <v>3.8649799999999998E-2</v>
      </c>
      <c r="G4736" s="1508">
        <f t="shared" si="717"/>
        <v>3.8649799999999998E-2</v>
      </c>
      <c r="H4736" s="1508">
        <f t="shared" si="720"/>
        <v>0</v>
      </c>
      <c r="I4736" s="1480">
        <v>0</v>
      </c>
      <c r="J4736" s="1480">
        <v>0</v>
      </c>
      <c r="K4736" s="1508"/>
      <c r="L4736" s="1508"/>
      <c r="M4736" s="1509">
        <f t="shared" si="721"/>
        <v>0</v>
      </c>
      <c r="N4736" s="1508">
        <f t="shared" si="722"/>
        <v>0</v>
      </c>
      <c r="O4736" s="1481">
        <f t="shared" si="718"/>
        <v>0</v>
      </c>
      <c r="P4736" s="1427">
        <f t="shared" si="719"/>
        <v>0</v>
      </c>
    </row>
    <row r="4737" spans="1:16" ht="15.5" outlineLevel="1" x14ac:dyDescent="0.25">
      <c r="A4737" s="1486">
        <f t="shared" si="724"/>
        <v>4</v>
      </c>
      <c r="B4737" s="1491" t="str">
        <f t="shared" si="724"/>
        <v>Control &amp; Instrumentation up-gradation of CSTPS Unit 5 &amp; 6</v>
      </c>
      <c r="C4737" s="1486" t="str">
        <f t="shared" si="724"/>
        <v>MERC/CAPEX/20112012/01908</v>
      </c>
      <c r="D4737" s="1487">
        <f t="shared" si="724"/>
        <v>40850</v>
      </c>
      <c r="E4737" s="1383">
        <f t="shared" si="724"/>
        <v>57.7</v>
      </c>
      <c r="F4737" s="1480">
        <f t="shared" si="716"/>
        <v>0</v>
      </c>
      <c r="G4737" s="1480">
        <f t="shared" si="717"/>
        <v>0</v>
      </c>
      <c r="H4737" s="1480">
        <f t="shared" si="720"/>
        <v>0</v>
      </c>
      <c r="I4737" s="1480">
        <v>0</v>
      </c>
      <c r="J4737" s="1480">
        <v>0</v>
      </c>
      <c r="K4737" s="1480"/>
      <c r="L4737" s="1480"/>
      <c r="M4737" s="1480">
        <f t="shared" si="721"/>
        <v>0</v>
      </c>
      <c r="N4737" s="1480">
        <f t="shared" si="722"/>
        <v>0</v>
      </c>
      <c r="O4737" s="1481">
        <f t="shared" si="718"/>
        <v>0</v>
      </c>
      <c r="P4737" s="1427">
        <f t="shared" si="719"/>
        <v>0</v>
      </c>
    </row>
    <row r="4738" spans="1:16" ht="15.5" outlineLevel="1" x14ac:dyDescent="0.25">
      <c r="A4738" s="1488">
        <f t="shared" si="724"/>
        <v>4.0999999999999996</v>
      </c>
      <c r="B4738" s="1492" t="str">
        <f t="shared" si="724"/>
        <v>Control &amp; Instrumentation up-gradation of CSTPS Unit 5</v>
      </c>
      <c r="C4738" s="1488" t="str">
        <f t="shared" si="724"/>
        <v>MERC/CAPEX/20112012/01908</v>
      </c>
      <c r="D4738" s="1413">
        <f t="shared" si="724"/>
        <v>40850</v>
      </c>
      <c r="E4738" s="560">
        <f t="shared" si="724"/>
        <v>26.1</v>
      </c>
      <c r="F4738" s="1508">
        <f t="shared" si="716"/>
        <v>26.1</v>
      </c>
      <c r="G4738" s="1508">
        <f t="shared" si="717"/>
        <v>26.1</v>
      </c>
      <c r="H4738" s="1508">
        <f t="shared" si="720"/>
        <v>0</v>
      </c>
      <c r="I4738" s="1480">
        <v>0</v>
      </c>
      <c r="J4738" s="1480">
        <v>0</v>
      </c>
      <c r="K4738" s="1508"/>
      <c r="L4738" s="1508"/>
      <c r="M4738" s="1509">
        <f t="shared" si="721"/>
        <v>0</v>
      </c>
      <c r="N4738" s="1508">
        <f t="shared" si="722"/>
        <v>0</v>
      </c>
      <c r="O4738" s="1481">
        <f t="shared" si="718"/>
        <v>0</v>
      </c>
      <c r="P4738" s="1427">
        <f t="shared" si="719"/>
        <v>0</v>
      </c>
    </row>
    <row r="4739" spans="1:16" ht="15.5" outlineLevel="1" x14ac:dyDescent="0.25">
      <c r="A4739" s="1488">
        <f t="shared" si="724"/>
        <v>4.2</v>
      </c>
      <c r="B4739" s="1492" t="str">
        <f t="shared" si="724"/>
        <v>Control &amp; Instrumentation up-gradation of CSTPS Unit 6</v>
      </c>
      <c r="C4739" s="1488" t="str">
        <f t="shared" si="724"/>
        <v>MERC/CAPEX/20112012/01908</v>
      </c>
      <c r="D4739" s="1413">
        <f t="shared" si="724"/>
        <v>40850</v>
      </c>
      <c r="E4739" s="560">
        <f t="shared" si="724"/>
        <v>26.1</v>
      </c>
      <c r="F4739" s="1508">
        <f t="shared" si="716"/>
        <v>26.1</v>
      </c>
      <c r="G4739" s="1508">
        <f t="shared" si="717"/>
        <v>26.1</v>
      </c>
      <c r="H4739" s="1508">
        <f t="shared" si="720"/>
        <v>0</v>
      </c>
      <c r="I4739" s="1480">
        <v>0</v>
      </c>
      <c r="J4739" s="1480">
        <v>0</v>
      </c>
      <c r="K4739" s="1508"/>
      <c r="L4739" s="1508"/>
      <c r="M4739" s="1509">
        <f t="shared" si="721"/>
        <v>0</v>
      </c>
      <c r="N4739" s="1508">
        <f t="shared" si="722"/>
        <v>0</v>
      </c>
      <c r="O4739" s="1481">
        <f t="shared" si="718"/>
        <v>0</v>
      </c>
      <c r="P4739" s="1427">
        <f t="shared" si="719"/>
        <v>0</v>
      </c>
    </row>
    <row r="4740" spans="1:16" ht="15.5" outlineLevel="1" x14ac:dyDescent="0.25">
      <c r="A4740" s="1484">
        <f t="shared" si="724"/>
        <v>0</v>
      </c>
      <c r="B4740" s="1485" t="str">
        <f t="shared" si="724"/>
        <v>IDC</v>
      </c>
      <c r="C4740" s="1482" t="str">
        <f t="shared" si="724"/>
        <v>MERC/CAPEX/20112012/01908</v>
      </c>
      <c r="D4740" s="1390">
        <f t="shared" si="724"/>
        <v>40850</v>
      </c>
      <c r="E4740" s="560">
        <f t="shared" si="724"/>
        <v>5.5</v>
      </c>
      <c r="F4740" s="1508">
        <f t="shared" si="716"/>
        <v>0</v>
      </c>
      <c r="G4740" s="1508">
        <f t="shared" si="717"/>
        <v>0</v>
      </c>
      <c r="H4740" s="1508">
        <f t="shared" si="720"/>
        <v>0</v>
      </c>
      <c r="I4740" s="1480">
        <v>0</v>
      </c>
      <c r="J4740" s="1480">
        <v>0</v>
      </c>
      <c r="K4740" s="1508"/>
      <c r="L4740" s="1508"/>
      <c r="M4740" s="1509">
        <f t="shared" si="721"/>
        <v>0</v>
      </c>
      <c r="N4740" s="1508">
        <f t="shared" si="722"/>
        <v>0</v>
      </c>
      <c r="O4740" s="1481">
        <f t="shared" si="718"/>
        <v>0</v>
      </c>
      <c r="P4740" s="1427">
        <f t="shared" si="719"/>
        <v>0</v>
      </c>
    </row>
    <row r="4741" spans="1:16" ht="31" outlineLevel="1" x14ac:dyDescent="0.25">
      <c r="A4741" s="1477">
        <f t="shared" si="724"/>
        <v>5</v>
      </c>
      <c r="B4741" s="1478" t="str">
        <f t="shared" si="724"/>
        <v>Alternate water supply Scheme for Chandrapur T.P.S as a crisis management scheme</v>
      </c>
      <c r="C4741" s="1477" t="str">
        <f t="shared" si="724"/>
        <v>MERC/CAPEX/20112012/02443</v>
      </c>
      <c r="D4741" s="1479">
        <f t="shared" si="724"/>
        <v>40911</v>
      </c>
      <c r="E4741" s="1383">
        <f t="shared" si="724"/>
        <v>229.4</v>
      </c>
      <c r="F4741" s="1480">
        <f t="shared" si="716"/>
        <v>0</v>
      </c>
      <c r="G4741" s="1480">
        <f t="shared" si="717"/>
        <v>0</v>
      </c>
      <c r="H4741" s="1480">
        <f t="shared" si="720"/>
        <v>0</v>
      </c>
      <c r="I4741" s="1480">
        <v>0</v>
      </c>
      <c r="J4741" s="1480">
        <v>0</v>
      </c>
      <c r="K4741" s="1480"/>
      <c r="L4741" s="1480"/>
      <c r="M4741" s="1480">
        <f t="shared" si="721"/>
        <v>0</v>
      </c>
      <c r="N4741" s="1480">
        <f t="shared" si="722"/>
        <v>0</v>
      </c>
      <c r="O4741" s="1481">
        <f t="shared" si="718"/>
        <v>0</v>
      </c>
      <c r="P4741" s="1427">
        <f t="shared" si="719"/>
        <v>0</v>
      </c>
    </row>
    <row r="4742" spans="1:16" ht="31" outlineLevel="1" x14ac:dyDescent="0.25">
      <c r="A4742" s="1482">
        <f t="shared" si="724"/>
        <v>5.0999999999999996</v>
      </c>
      <c r="B4742" s="1483" t="str">
        <f t="shared" si="724"/>
        <v>Alternate water supply Scheme for Chandrapur T.P.S as a crisis management scheme</v>
      </c>
      <c r="C4742" s="1482" t="str">
        <f t="shared" si="724"/>
        <v>MERC/CAPEX/20112012/02443</v>
      </c>
      <c r="D4742" s="1390">
        <f t="shared" si="724"/>
        <v>40911</v>
      </c>
      <c r="E4742" s="560">
        <f t="shared" si="724"/>
        <v>229.4</v>
      </c>
      <c r="F4742" s="1508">
        <f t="shared" si="716"/>
        <v>0</v>
      </c>
      <c r="G4742" s="1508">
        <f t="shared" si="717"/>
        <v>0</v>
      </c>
      <c r="H4742" s="1508">
        <f t="shared" si="720"/>
        <v>0</v>
      </c>
      <c r="I4742" s="1480">
        <v>0</v>
      </c>
      <c r="J4742" s="1480">
        <v>0</v>
      </c>
      <c r="K4742" s="1508"/>
      <c r="L4742" s="1508"/>
      <c r="M4742" s="1509">
        <f t="shared" si="721"/>
        <v>0</v>
      </c>
      <c r="N4742" s="1508">
        <f t="shared" si="722"/>
        <v>0</v>
      </c>
      <c r="O4742" s="1481">
        <f t="shared" si="718"/>
        <v>0</v>
      </c>
      <c r="P4742" s="1427">
        <f t="shared" si="719"/>
        <v>0</v>
      </c>
    </row>
    <row r="4743" spans="1:16" ht="62" outlineLevel="1" x14ac:dyDescent="0.25">
      <c r="A4743" s="1486">
        <f t="shared" si="724"/>
        <v>6</v>
      </c>
      <c r="B4743" s="1491" t="str">
        <f t="shared" si="724"/>
        <v>Complete Track Renovation (CTR) work of rail track from Chandrapur Vivekanand Nagar railway stations to exchange yard and bulb line of BOBR at CSTPS siding maintained by railway authority</v>
      </c>
      <c r="C4743" s="1486" t="str">
        <f t="shared" si="724"/>
        <v>MERC/CAPEX/20122013/00818</v>
      </c>
      <c r="D4743" s="1487">
        <f t="shared" si="724"/>
        <v>41100</v>
      </c>
      <c r="E4743" s="1383">
        <f t="shared" si="724"/>
        <v>16.77</v>
      </c>
      <c r="F4743" s="1480">
        <f t="shared" si="716"/>
        <v>0</v>
      </c>
      <c r="G4743" s="1480">
        <f t="shared" si="717"/>
        <v>0</v>
      </c>
      <c r="H4743" s="1480">
        <f t="shared" si="720"/>
        <v>0</v>
      </c>
      <c r="I4743" s="1480">
        <v>0</v>
      </c>
      <c r="J4743" s="1480">
        <v>0</v>
      </c>
      <c r="K4743" s="1480"/>
      <c r="L4743" s="1480"/>
      <c r="M4743" s="1480">
        <f t="shared" si="721"/>
        <v>0</v>
      </c>
      <c r="N4743" s="1480">
        <f t="shared" si="722"/>
        <v>0</v>
      </c>
      <c r="O4743" s="1481">
        <f t="shared" si="718"/>
        <v>0</v>
      </c>
      <c r="P4743" s="1427">
        <f t="shared" si="719"/>
        <v>0</v>
      </c>
    </row>
    <row r="4744" spans="1:16" ht="62" outlineLevel="1" x14ac:dyDescent="0.25">
      <c r="A4744" s="1488">
        <f t="shared" si="724"/>
        <v>6.1</v>
      </c>
      <c r="B4744" s="1492" t="str">
        <f t="shared" si="724"/>
        <v>Complete Track Renovation (CTR) work of rail track from Chandrapur Vivekanand Nagar railway stations to exchange yard and bulb line of BOBR at CSTPS siding maintained by railway authority</v>
      </c>
      <c r="C4744" s="1488" t="str">
        <f t="shared" si="724"/>
        <v>MERC/CAPEX/20122013/00818</v>
      </c>
      <c r="D4744" s="1413">
        <f t="shared" si="724"/>
        <v>41100</v>
      </c>
      <c r="E4744" s="560">
        <f t="shared" si="724"/>
        <v>16.77</v>
      </c>
      <c r="F4744" s="1508">
        <f t="shared" si="716"/>
        <v>16.77</v>
      </c>
      <c r="G4744" s="1508">
        <f t="shared" si="717"/>
        <v>16.77</v>
      </c>
      <c r="H4744" s="1508">
        <f t="shared" si="720"/>
        <v>0</v>
      </c>
      <c r="I4744" s="1480">
        <v>0</v>
      </c>
      <c r="J4744" s="1480">
        <v>0</v>
      </c>
      <c r="K4744" s="1508"/>
      <c r="L4744" s="1508"/>
      <c r="M4744" s="1509">
        <f t="shared" si="721"/>
        <v>0</v>
      </c>
      <c r="N4744" s="1508">
        <f t="shared" si="722"/>
        <v>0</v>
      </c>
      <c r="O4744" s="1481">
        <f t="shared" si="718"/>
        <v>0</v>
      </c>
      <c r="P4744" s="1427">
        <f t="shared" si="719"/>
        <v>0</v>
      </c>
    </row>
    <row r="4745" spans="1:16" ht="31" outlineLevel="1" x14ac:dyDescent="0.25">
      <c r="A4745" s="1477">
        <f t="shared" si="724"/>
        <v>7</v>
      </c>
      <c r="B4745" s="1478" t="str">
        <f t="shared" si="724"/>
        <v>Construction of additional IDCT to improve performance of existing condenser cooling system of CSTPS Unit 5 &amp; 6</v>
      </c>
      <c r="C4745" s="1477" t="str">
        <f t="shared" si="724"/>
        <v>MERC/CAPEX/20122013/00827</v>
      </c>
      <c r="D4745" s="1479">
        <f t="shared" si="724"/>
        <v>41100</v>
      </c>
      <c r="E4745" s="1383">
        <f t="shared" si="724"/>
        <v>29.28</v>
      </c>
      <c r="F4745" s="1480">
        <f t="shared" si="716"/>
        <v>0</v>
      </c>
      <c r="G4745" s="1480">
        <f t="shared" si="717"/>
        <v>0</v>
      </c>
      <c r="H4745" s="1480">
        <f t="shared" si="720"/>
        <v>0</v>
      </c>
      <c r="I4745" s="1480">
        <v>0</v>
      </c>
      <c r="J4745" s="1480">
        <v>0</v>
      </c>
      <c r="K4745" s="1480"/>
      <c r="L4745" s="1480"/>
      <c r="M4745" s="1480">
        <f t="shared" si="721"/>
        <v>0</v>
      </c>
      <c r="N4745" s="1480">
        <f t="shared" si="722"/>
        <v>0</v>
      </c>
      <c r="O4745" s="1481">
        <f t="shared" si="718"/>
        <v>0</v>
      </c>
      <c r="P4745" s="1427">
        <f t="shared" si="719"/>
        <v>0</v>
      </c>
    </row>
    <row r="4746" spans="1:16" ht="15.5" outlineLevel="1" x14ac:dyDescent="0.25">
      <c r="A4746" s="1482">
        <f t="shared" si="724"/>
        <v>7.1</v>
      </c>
      <c r="B4746" s="1483" t="str">
        <f t="shared" si="724"/>
        <v>Construction for U#5</v>
      </c>
      <c r="C4746" s="1482" t="str">
        <f t="shared" si="724"/>
        <v>MERC/CAPEX/20122013/00827</v>
      </c>
      <c r="D4746" s="1390">
        <f t="shared" si="724"/>
        <v>41100</v>
      </c>
      <c r="E4746" s="560">
        <f t="shared" si="724"/>
        <v>11.2318</v>
      </c>
      <c r="F4746" s="1508">
        <f t="shared" si="716"/>
        <v>19.378237200000001</v>
      </c>
      <c r="G4746" s="1508">
        <f t="shared" si="717"/>
        <v>19.378237200000001</v>
      </c>
      <c r="H4746" s="1508">
        <f t="shared" si="720"/>
        <v>0</v>
      </c>
      <c r="I4746" s="1480">
        <v>0</v>
      </c>
      <c r="J4746" s="1480">
        <v>0</v>
      </c>
      <c r="K4746" s="1508"/>
      <c r="L4746" s="1508"/>
      <c r="M4746" s="1509">
        <f t="shared" si="721"/>
        <v>0</v>
      </c>
      <c r="N4746" s="1508">
        <f t="shared" si="722"/>
        <v>0</v>
      </c>
      <c r="O4746" s="1481">
        <f t="shared" si="718"/>
        <v>0</v>
      </c>
      <c r="P4746" s="1427">
        <f t="shared" si="719"/>
        <v>0</v>
      </c>
    </row>
    <row r="4747" spans="1:16" ht="15.5" outlineLevel="1" x14ac:dyDescent="0.25">
      <c r="A4747" s="1482">
        <f t="shared" si="724"/>
        <v>7.2</v>
      </c>
      <c r="B4747" s="1483" t="str">
        <f t="shared" si="724"/>
        <v>Construction for U#6</v>
      </c>
      <c r="C4747" s="1482" t="str">
        <f t="shared" si="724"/>
        <v>MERC/CAPEX/20122013/00827</v>
      </c>
      <c r="D4747" s="1390">
        <f t="shared" si="724"/>
        <v>41100</v>
      </c>
      <c r="E4747" s="560">
        <f t="shared" si="724"/>
        <v>14.968</v>
      </c>
      <c r="F4747" s="1508">
        <f t="shared" si="716"/>
        <v>23.1898537</v>
      </c>
      <c r="G4747" s="1508">
        <f t="shared" si="717"/>
        <v>23.1898537</v>
      </c>
      <c r="H4747" s="1508">
        <f t="shared" si="720"/>
        <v>0</v>
      </c>
      <c r="I4747" s="1480">
        <v>0</v>
      </c>
      <c r="J4747" s="1480">
        <v>0</v>
      </c>
      <c r="K4747" s="1508"/>
      <c r="L4747" s="1508"/>
      <c r="M4747" s="1509">
        <f t="shared" si="721"/>
        <v>0</v>
      </c>
      <c r="N4747" s="1508">
        <f t="shared" si="722"/>
        <v>0</v>
      </c>
      <c r="O4747" s="1481">
        <f t="shared" si="718"/>
        <v>0</v>
      </c>
      <c r="P4747" s="1427">
        <f t="shared" si="719"/>
        <v>0</v>
      </c>
    </row>
    <row r="4748" spans="1:16" ht="15.5" outlineLevel="1" x14ac:dyDescent="0.25">
      <c r="A4748" s="1482">
        <f t="shared" ref="A4748:E4763" si="725">A4078</f>
        <v>0</v>
      </c>
      <c r="B4748" s="1483" t="str">
        <f t="shared" si="725"/>
        <v>IDC</v>
      </c>
      <c r="C4748" s="1482" t="str">
        <f t="shared" si="725"/>
        <v>MERC/CAPEX/20122013/00827</v>
      </c>
      <c r="D4748" s="1390">
        <f t="shared" si="725"/>
        <v>41100</v>
      </c>
      <c r="E4748" s="560">
        <f t="shared" si="725"/>
        <v>3.0802000000000014</v>
      </c>
      <c r="F4748" s="1508">
        <f t="shared" si="716"/>
        <v>0</v>
      </c>
      <c r="G4748" s="1508">
        <f t="shared" si="717"/>
        <v>0</v>
      </c>
      <c r="H4748" s="1508">
        <f t="shared" si="720"/>
        <v>0</v>
      </c>
      <c r="I4748" s="1480">
        <v>0</v>
      </c>
      <c r="J4748" s="1480">
        <v>0</v>
      </c>
      <c r="K4748" s="1508"/>
      <c r="L4748" s="1508"/>
      <c r="M4748" s="1509">
        <f t="shared" si="721"/>
        <v>0</v>
      </c>
      <c r="N4748" s="1508">
        <f t="shared" si="722"/>
        <v>0</v>
      </c>
      <c r="O4748" s="1481">
        <f t="shared" si="718"/>
        <v>0</v>
      </c>
      <c r="P4748" s="1427">
        <f t="shared" si="719"/>
        <v>0</v>
      </c>
    </row>
    <row r="4749" spans="1:16" ht="15.5" outlineLevel="1" x14ac:dyDescent="0.25">
      <c r="A4749" s="1477">
        <f t="shared" si="725"/>
        <v>8</v>
      </c>
      <c r="B4749" s="1478" t="str">
        <f t="shared" si="725"/>
        <v>Upgradation of IDCT Unit 5</v>
      </c>
      <c r="C4749" s="1477" t="str">
        <f t="shared" si="725"/>
        <v>MERC/CAPEX/20122013/00914</v>
      </c>
      <c r="D4749" s="1479">
        <f t="shared" si="725"/>
        <v>41108</v>
      </c>
      <c r="E4749" s="1383">
        <f t="shared" si="725"/>
        <v>18.2</v>
      </c>
      <c r="F4749" s="1480">
        <f t="shared" si="716"/>
        <v>0</v>
      </c>
      <c r="G4749" s="1480">
        <f t="shared" si="717"/>
        <v>0</v>
      </c>
      <c r="H4749" s="1480">
        <f t="shared" si="720"/>
        <v>0</v>
      </c>
      <c r="I4749" s="1480">
        <v>0</v>
      </c>
      <c r="J4749" s="1480">
        <v>0</v>
      </c>
      <c r="K4749" s="1480"/>
      <c r="L4749" s="1480"/>
      <c r="M4749" s="1480">
        <f t="shared" si="721"/>
        <v>0</v>
      </c>
      <c r="N4749" s="1480">
        <f t="shared" si="722"/>
        <v>0</v>
      </c>
      <c r="O4749" s="1481">
        <f t="shared" si="718"/>
        <v>0</v>
      </c>
      <c r="P4749" s="1427">
        <f t="shared" si="719"/>
        <v>0</v>
      </c>
    </row>
    <row r="4750" spans="1:16" ht="15.5" outlineLevel="1" x14ac:dyDescent="0.25">
      <c r="A4750" s="1482">
        <f t="shared" si="725"/>
        <v>8.1</v>
      </c>
      <c r="B4750" s="1483" t="str">
        <f t="shared" si="725"/>
        <v>Cooling Tower IDCT for Unit-5A</v>
      </c>
      <c r="C4750" s="1482" t="str">
        <f t="shared" si="725"/>
        <v>MERC/CAPEX/20122013/00914</v>
      </c>
      <c r="D4750" s="1390">
        <f t="shared" si="725"/>
        <v>41108</v>
      </c>
      <c r="E4750" s="560">
        <f t="shared" si="725"/>
        <v>8.5</v>
      </c>
      <c r="F4750" s="1508">
        <f t="shared" si="716"/>
        <v>0</v>
      </c>
      <c r="G4750" s="1508">
        <f t="shared" si="717"/>
        <v>0</v>
      </c>
      <c r="H4750" s="1508">
        <f t="shared" si="720"/>
        <v>0</v>
      </c>
      <c r="I4750" s="1480">
        <v>0</v>
      </c>
      <c r="J4750" s="1480">
        <v>0</v>
      </c>
      <c r="K4750" s="1508"/>
      <c r="L4750" s="1508"/>
      <c r="M4750" s="1509">
        <f t="shared" si="721"/>
        <v>0</v>
      </c>
      <c r="N4750" s="1508">
        <f t="shared" si="722"/>
        <v>0</v>
      </c>
      <c r="O4750" s="1481">
        <f t="shared" si="718"/>
        <v>0</v>
      </c>
      <c r="P4750" s="1427">
        <f t="shared" si="719"/>
        <v>0</v>
      </c>
    </row>
    <row r="4751" spans="1:16" ht="15.5" outlineLevel="1" x14ac:dyDescent="0.25">
      <c r="A4751" s="1482">
        <f t="shared" si="725"/>
        <v>8.1999999999999993</v>
      </c>
      <c r="B4751" s="1483" t="str">
        <f t="shared" si="725"/>
        <v>Cooling Tower IDCT for Unit-5B</v>
      </c>
      <c r="C4751" s="1482" t="str">
        <f t="shared" si="725"/>
        <v>MERC/CAPEX/20122013/00914</v>
      </c>
      <c r="D4751" s="1390">
        <f t="shared" si="725"/>
        <v>41108</v>
      </c>
      <c r="E4751" s="560">
        <f t="shared" si="725"/>
        <v>8.5</v>
      </c>
      <c r="F4751" s="1508">
        <f t="shared" si="716"/>
        <v>0</v>
      </c>
      <c r="G4751" s="1508">
        <f t="shared" si="717"/>
        <v>0</v>
      </c>
      <c r="H4751" s="1508">
        <f t="shared" si="720"/>
        <v>0</v>
      </c>
      <c r="I4751" s="1480">
        <v>0</v>
      </c>
      <c r="J4751" s="1480">
        <v>0</v>
      </c>
      <c r="K4751" s="1508"/>
      <c r="L4751" s="1508"/>
      <c r="M4751" s="1509">
        <f t="shared" si="721"/>
        <v>0</v>
      </c>
      <c r="N4751" s="1508">
        <f t="shared" si="722"/>
        <v>0</v>
      </c>
      <c r="O4751" s="1481">
        <f t="shared" si="718"/>
        <v>0</v>
      </c>
      <c r="P4751" s="1427">
        <f t="shared" si="719"/>
        <v>0</v>
      </c>
    </row>
    <row r="4752" spans="1:16" ht="15.5" outlineLevel="1" x14ac:dyDescent="0.25">
      <c r="A4752" s="1482">
        <f t="shared" si="725"/>
        <v>0</v>
      </c>
      <c r="B4752" s="1483" t="str">
        <f t="shared" si="725"/>
        <v>IDC</v>
      </c>
      <c r="C4752" s="1482" t="str">
        <f t="shared" si="725"/>
        <v>MERC/CAPEX/20122013/00914</v>
      </c>
      <c r="D4752" s="1390">
        <f t="shared" si="725"/>
        <v>41108</v>
      </c>
      <c r="E4752" s="560">
        <f t="shared" si="725"/>
        <v>1.2</v>
      </c>
      <c r="F4752" s="1508">
        <f t="shared" si="716"/>
        <v>0</v>
      </c>
      <c r="G4752" s="1508">
        <f t="shared" si="717"/>
        <v>0</v>
      </c>
      <c r="H4752" s="1508">
        <f t="shared" si="720"/>
        <v>0</v>
      </c>
      <c r="I4752" s="1480">
        <v>0</v>
      </c>
      <c r="J4752" s="1480">
        <v>0</v>
      </c>
      <c r="K4752" s="1508"/>
      <c r="L4752" s="1508"/>
      <c r="M4752" s="1509">
        <f t="shared" si="721"/>
        <v>0</v>
      </c>
      <c r="N4752" s="1508">
        <f t="shared" si="722"/>
        <v>0</v>
      </c>
      <c r="O4752" s="1481">
        <f t="shared" si="718"/>
        <v>0</v>
      </c>
      <c r="P4752" s="1427">
        <f t="shared" si="719"/>
        <v>0</v>
      </c>
    </row>
    <row r="4753" spans="1:16" ht="31" outlineLevel="1" x14ac:dyDescent="0.25">
      <c r="A4753" s="1477">
        <f t="shared" si="725"/>
        <v>9</v>
      </c>
      <c r="B4753" s="1478" t="str">
        <f t="shared" si="725"/>
        <v>LPT Retrofit at Chandrapur TPS Units 3 &amp; 4</v>
      </c>
      <c r="C4753" s="1477" t="str">
        <f t="shared" si="725"/>
        <v>MERC/TECH 1/CAPEX/20132014/00823</v>
      </c>
      <c r="D4753" s="1479">
        <f t="shared" si="725"/>
        <v>41464</v>
      </c>
      <c r="E4753" s="1383">
        <f t="shared" si="725"/>
        <v>107.8364</v>
      </c>
      <c r="F4753" s="1480">
        <f t="shared" si="716"/>
        <v>0</v>
      </c>
      <c r="G4753" s="1480">
        <f t="shared" si="717"/>
        <v>0</v>
      </c>
      <c r="H4753" s="1480">
        <f t="shared" si="720"/>
        <v>0</v>
      </c>
      <c r="I4753" s="1480">
        <v>0</v>
      </c>
      <c r="J4753" s="1480">
        <v>0</v>
      </c>
      <c r="K4753" s="1480"/>
      <c r="L4753" s="1480"/>
      <c r="M4753" s="1480">
        <f t="shared" si="721"/>
        <v>0</v>
      </c>
      <c r="N4753" s="1480">
        <f t="shared" si="722"/>
        <v>0</v>
      </c>
      <c r="O4753" s="1481">
        <f t="shared" si="718"/>
        <v>0</v>
      </c>
      <c r="P4753" s="1427">
        <f t="shared" si="719"/>
        <v>0</v>
      </c>
    </row>
    <row r="4754" spans="1:16" ht="46.5" outlineLevel="1" x14ac:dyDescent="0.25">
      <c r="A4754" s="1482">
        <f t="shared" si="725"/>
        <v>9.1</v>
      </c>
      <c r="B4754" s="1483" t="str">
        <f t="shared" si="725"/>
        <v xml:space="preserve">Design, Engineering, Supply and Retrofitting of LP Cylinder with Modified Bladed rotor without Bauman’s Stages, diaphragms, liners, Gland sealing and exhaust hood spray. (total 2 units) </v>
      </c>
      <c r="C4754" s="1482" t="str">
        <f t="shared" si="725"/>
        <v>MERC/TECH 1/CAPEX/20132014/00823</v>
      </c>
      <c r="D4754" s="1390">
        <f t="shared" si="725"/>
        <v>41464</v>
      </c>
      <c r="E4754" s="560">
        <f t="shared" si="725"/>
        <v>101.8526</v>
      </c>
      <c r="F4754" s="1508">
        <f t="shared" si="716"/>
        <v>0</v>
      </c>
      <c r="G4754" s="1508">
        <f t="shared" si="717"/>
        <v>0</v>
      </c>
      <c r="H4754" s="1508">
        <f t="shared" si="720"/>
        <v>0</v>
      </c>
      <c r="I4754" s="1480">
        <v>0</v>
      </c>
      <c r="J4754" s="1480">
        <v>0</v>
      </c>
      <c r="K4754" s="1508"/>
      <c r="L4754" s="1508"/>
      <c r="M4754" s="1509">
        <f t="shared" si="721"/>
        <v>0</v>
      </c>
      <c r="N4754" s="1508">
        <f t="shared" si="722"/>
        <v>0</v>
      </c>
      <c r="O4754" s="1481">
        <f t="shared" si="718"/>
        <v>0</v>
      </c>
      <c r="P4754" s="1427">
        <f t="shared" si="719"/>
        <v>0</v>
      </c>
    </row>
    <row r="4755" spans="1:16" ht="31" outlineLevel="1" x14ac:dyDescent="0.25">
      <c r="A4755" s="1482">
        <f t="shared" si="725"/>
        <v>0</v>
      </c>
      <c r="B4755" s="1483" t="str">
        <f t="shared" si="725"/>
        <v>IDC</v>
      </c>
      <c r="C4755" s="1482" t="str">
        <f t="shared" si="725"/>
        <v>MERC/TECH 1/CAPEX/20132014/00823</v>
      </c>
      <c r="D4755" s="1390">
        <f t="shared" si="725"/>
        <v>41464</v>
      </c>
      <c r="E4755" s="560">
        <f t="shared" si="725"/>
        <v>5.9837999999999996</v>
      </c>
      <c r="F4755" s="1508">
        <f t="shared" si="716"/>
        <v>0</v>
      </c>
      <c r="G4755" s="1508">
        <f t="shared" si="717"/>
        <v>0</v>
      </c>
      <c r="H4755" s="1508">
        <f t="shared" si="720"/>
        <v>0</v>
      </c>
      <c r="I4755" s="1480">
        <v>0</v>
      </c>
      <c r="J4755" s="1480">
        <v>0</v>
      </c>
      <c r="K4755" s="1508"/>
      <c r="L4755" s="1508"/>
      <c r="M4755" s="1509">
        <f t="shared" si="721"/>
        <v>0</v>
      </c>
      <c r="N4755" s="1508">
        <f t="shared" si="722"/>
        <v>0</v>
      </c>
      <c r="O4755" s="1481">
        <f t="shared" si="718"/>
        <v>0</v>
      </c>
      <c r="P4755" s="1427">
        <f t="shared" si="719"/>
        <v>0</v>
      </c>
    </row>
    <row r="4756" spans="1:16" ht="15.5" outlineLevel="1" x14ac:dyDescent="0.25">
      <c r="A4756" s="1489">
        <f t="shared" si="725"/>
        <v>10</v>
      </c>
      <c r="B4756" s="1490" t="str">
        <f t="shared" si="725"/>
        <v>Modification in Ash Handling Plant at Chandrapur TPS unit 5 &amp; 6</v>
      </c>
      <c r="C4756" s="1477" t="str">
        <f t="shared" si="725"/>
        <v>MERC/CAPEX/20122013/02104</v>
      </c>
      <c r="D4756" s="1479">
        <f t="shared" si="725"/>
        <v>41281</v>
      </c>
      <c r="E4756" s="1383">
        <f t="shared" si="725"/>
        <v>15.25</v>
      </c>
      <c r="F4756" s="1480">
        <f t="shared" si="716"/>
        <v>0</v>
      </c>
      <c r="G4756" s="1480">
        <f t="shared" si="717"/>
        <v>0</v>
      </c>
      <c r="H4756" s="1480">
        <f t="shared" si="720"/>
        <v>0</v>
      </c>
      <c r="I4756" s="1480">
        <v>0</v>
      </c>
      <c r="J4756" s="1480">
        <v>0</v>
      </c>
      <c r="K4756" s="1480"/>
      <c r="L4756" s="1480"/>
      <c r="M4756" s="1480">
        <f t="shared" si="721"/>
        <v>0</v>
      </c>
      <c r="N4756" s="1480">
        <f t="shared" si="722"/>
        <v>0</v>
      </c>
      <c r="O4756" s="1481">
        <f t="shared" si="718"/>
        <v>0</v>
      </c>
      <c r="P4756" s="1427">
        <f t="shared" si="719"/>
        <v>0</v>
      </c>
    </row>
    <row r="4757" spans="1:16" ht="15.5" outlineLevel="1" x14ac:dyDescent="0.25">
      <c r="A4757" s="1484">
        <f t="shared" si="725"/>
        <v>10.1</v>
      </c>
      <c r="B4757" s="1485" t="str">
        <f t="shared" si="725"/>
        <v>Complete series replacement in U-5 &amp; 6</v>
      </c>
      <c r="C4757" s="1482" t="str">
        <f t="shared" si="725"/>
        <v>MERC/CAPEX/20122013/02104</v>
      </c>
      <c r="D4757" s="1390">
        <f t="shared" si="725"/>
        <v>41281</v>
      </c>
      <c r="E4757" s="560">
        <f t="shared" si="725"/>
        <v>7.12</v>
      </c>
      <c r="F4757" s="1508">
        <f t="shared" si="716"/>
        <v>1.4079700719999999</v>
      </c>
      <c r="G4757" s="1508">
        <f t="shared" si="717"/>
        <v>1.4079700719999999</v>
      </c>
      <c r="H4757" s="1508">
        <f t="shared" si="720"/>
        <v>0</v>
      </c>
      <c r="I4757" s="1480">
        <v>0</v>
      </c>
      <c r="J4757" s="1480">
        <v>0</v>
      </c>
      <c r="K4757" s="1508"/>
      <c r="L4757" s="1508"/>
      <c r="M4757" s="1509">
        <f t="shared" si="721"/>
        <v>0</v>
      </c>
      <c r="N4757" s="1508">
        <f t="shared" si="722"/>
        <v>0</v>
      </c>
      <c r="O4757" s="1481">
        <f t="shared" si="718"/>
        <v>0</v>
      </c>
      <c r="P4757" s="1427">
        <f t="shared" si="719"/>
        <v>0</v>
      </c>
    </row>
    <row r="4758" spans="1:16" ht="15.5" outlineLevel="1" x14ac:dyDescent="0.25">
      <c r="A4758" s="1484">
        <f t="shared" si="725"/>
        <v>10.199999999999999</v>
      </c>
      <c r="B4758" s="1485" t="str">
        <f t="shared" si="725"/>
        <v>Extension of ash lines inside ash bund (9000 Rmt)</v>
      </c>
      <c r="C4758" s="1482" t="str">
        <f t="shared" si="725"/>
        <v>MERC/CAPEX/20122013/02104</v>
      </c>
      <c r="D4758" s="1390">
        <f t="shared" si="725"/>
        <v>41281</v>
      </c>
      <c r="E4758" s="560">
        <f t="shared" si="725"/>
        <v>3.03</v>
      </c>
      <c r="F4758" s="1508">
        <f t="shared" si="716"/>
        <v>2.4823816700000001</v>
      </c>
      <c r="G4758" s="1508">
        <f t="shared" si="717"/>
        <v>2.4823816700000001</v>
      </c>
      <c r="H4758" s="1508">
        <f t="shared" si="720"/>
        <v>0</v>
      </c>
      <c r="I4758" s="1480">
        <v>0</v>
      </c>
      <c r="J4758" s="1480">
        <v>0</v>
      </c>
      <c r="K4758" s="1508"/>
      <c r="L4758" s="1508"/>
      <c r="M4758" s="1509">
        <f t="shared" si="721"/>
        <v>0</v>
      </c>
      <c r="N4758" s="1508">
        <f t="shared" si="722"/>
        <v>0</v>
      </c>
      <c r="O4758" s="1481">
        <f t="shared" si="718"/>
        <v>0</v>
      </c>
      <c r="P4758" s="1427">
        <f t="shared" si="719"/>
        <v>0</v>
      </c>
    </row>
    <row r="4759" spans="1:16" ht="15.5" outlineLevel="1" x14ac:dyDescent="0.25">
      <c r="A4759" s="1484">
        <f t="shared" si="725"/>
        <v>10.3</v>
      </c>
      <c r="B4759" s="1485" t="str">
        <f t="shared" si="725"/>
        <v>Replacement ash line worn out pipes</v>
      </c>
      <c r="C4759" s="1482" t="str">
        <f t="shared" si="725"/>
        <v>MERC/CAPEX/20122013/02104</v>
      </c>
      <c r="D4759" s="1390">
        <f t="shared" si="725"/>
        <v>41281</v>
      </c>
      <c r="E4759" s="560">
        <f t="shared" si="725"/>
        <v>3.6</v>
      </c>
      <c r="F4759" s="1508">
        <f t="shared" si="716"/>
        <v>4.4210943270000005</v>
      </c>
      <c r="G4759" s="1508">
        <f t="shared" si="717"/>
        <v>4.4210943270000005</v>
      </c>
      <c r="H4759" s="1508">
        <f t="shared" si="720"/>
        <v>0</v>
      </c>
      <c r="I4759" s="1480">
        <v>0</v>
      </c>
      <c r="J4759" s="1480">
        <v>0</v>
      </c>
      <c r="K4759" s="1508"/>
      <c r="L4759" s="1508"/>
      <c r="M4759" s="1509">
        <f t="shared" si="721"/>
        <v>0</v>
      </c>
      <c r="N4759" s="1508">
        <f t="shared" si="722"/>
        <v>0</v>
      </c>
      <c r="O4759" s="1481">
        <f t="shared" si="718"/>
        <v>0</v>
      </c>
      <c r="P4759" s="1427">
        <f t="shared" si="719"/>
        <v>0</v>
      </c>
    </row>
    <row r="4760" spans="1:16" ht="15.5" outlineLevel="1" x14ac:dyDescent="0.25">
      <c r="A4760" s="1484">
        <f t="shared" si="725"/>
        <v>0</v>
      </c>
      <c r="B4760" s="1485" t="str">
        <f t="shared" si="725"/>
        <v>IDC</v>
      </c>
      <c r="C4760" s="1482" t="str">
        <f t="shared" si="725"/>
        <v>MERC/CAPEX/20122013/02104</v>
      </c>
      <c r="D4760" s="1390">
        <f t="shared" si="725"/>
        <v>41281</v>
      </c>
      <c r="E4760" s="560">
        <f t="shared" si="725"/>
        <v>1.5</v>
      </c>
      <c r="F4760" s="1508">
        <f t="shared" si="716"/>
        <v>0</v>
      </c>
      <c r="G4760" s="1508">
        <f t="shared" si="717"/>
        <v>0</v>
      </c>
      <c r="H4760" s="1508">
        <f t="shared" si="720"/>
        <v>0</v>
      </c>
      <c r="I4760" s="1480">
        <v>0</v>
      </c>
      <c r="J4760" s="1480">
        <v>0</v>
      </c>
      <c r="K4760" s="1508"/>
      <c r="L4760" s="1508"/>
      <c r="M4760" s="1509">
        <f t="shared" si="721"/>
        <v>0</v>
      </c>
      <c r="N4760" s="1508">
        <f t="shared" si="722"/>
        <v>0</v>
      </c>
      <c r="O4760" s="1481">
        <f t="shared" si="718"/>
        <v>0</v>
      </c>
      <c r="P4760" s="1427">
        <f t="shared" si="719"/>
        <v>0</v>
      </c>
    </row>
    <row r="4761" spans="1:16" ht="31" outlineLevel="1" x14ac:dyDescent="0.25">
      <c r="A4761" s="1477">
        <f t="shared" si="725"/>
        <v>11</v>
      </c>
      <c r="B4761" s="1478" t="str">
        <f t="shared" si="725"/>
        <v>Fully Integrated Security Surveillance System</v>
      </c>
      <c r="C4761" s="1477" t="str">
        <f t="shared" si="725"/>
        <v>MERC/TECH 1/CAPEX/20122013/00190</v>
      </c>
      <c r="D4761" s="1479">
        <f t="shared" si="725"/>
        <v>41382</v>
      </c>
      <c r="E4761" s="1383">
        <f t="shared" si="725"/>
        <v>54.197924999999991</v>
      </c>
      <c r="F4761" s="1480">
        <f t="shared" si="716"/>
        <v>0</v>
      </c>
      <c r="G4761" s="1480">
        <f t="shared" si="717"/>
        <v>0</v>
      </c>
      <c r="H4761" s="1480">
        <f t="shared" si="720"/>
        <v>0</v>
      </c>
      <c r="I4761" s="1480">
        <v>0</v>
      </c>
      <c r="J4761" s="1480">
        <v>0</v>
      </c>
      <c r="K4761" s="1480"/>
      <c r="L4761" s="1480"/>
      <c r="M4761" s="1480">
        <f t="shared" si="721"/>
        <v>0</v>
      </c>
      <c r="N4761" s="1480">
        <f t="shared" si="722"/>
        <v>0</v>
      </c>
      <c r="O4761" s="1481">
        <f t="shared" si="718"/>
        <v>0</v>
      </c>
      <c r="P4761" s="1427">
        <f t="shared" si="719"/>
        <v>0</v>
      </c>
    </row>
    <row r="4762" spans="1:16" ht="31" outlineLevel="1" x14ac:dyDescent="0.25">
      <c r="A4762" s="1482">
        <f t="shared" si="725"/>
        <v>11.1</v>
      </c>
      <c r="B4762" s="1483" t="str">
        <f t="shared" si="725"/>
        <v xml:space="preserve">Long range cameras </v>
      </c>
      <c r="C4762" s="1482" t="str">
        <f t="shared" si="725"/>
        <v>MERC/TECH 1/CAPEX/20122013/00190</v>
      </c>
      <c r="D4762" s="1390">
        <f t="shared" si="725"/>
        <v>41382</v>
      </c>
      <c r="E4762" s="560">
        <f t="shared" si="725"/>
        <v>12.3</v>
      </c>
      <c r="F4762" s="1508">
        <f t="shared" si="716"/>
        <v>0</v>
      </c>
      <c r="G4762" s="1508">
        <f t="shared" si="717"/>
        <v>0</v>
      </c>
      <c r="H4762" s="1508">
        <f t="shared" si="720"/>
        <v>0</v>
      </c>
      <c r="I4762" s="1480">
        <v>0</v>
      </c>
      <c r="J4762" s="1480">
        <v>0</v>
      </c>
      <c r="K4762" s="1508"/>
      <c r="L4762" s="1508"/>
      <c r="M4762" s="1509">
        <f t="shared" si="721"/>
        <v>0</v>
      </c>
      <c r="N4762" s="1508">
        <f t="shared" si="722"/>
        <v>0</v>
      </c>
      <c r="O4762" s="1481">
        <f t="shared" si="718"/>
        <v>0</v>
      </c>
      <c r="P4762" s="1427">
        <f t="shared" si="719"/>
        <v>0</v>
      </c>
    </row>
    <row r="4763" spans="1:16" ht="31" outlineLevel="1" x14ac:dyDescent="0.25">
      <c r="A4763" s="1482">
        <f t="shared" si="725"/>
        <v>11.2</v>
      </c>
      <c r="B4763" s="1483" t="str">
        <f t="shared" si="725"/>
        <v xml:space="preserve">Laser fence sensors/buried cable </v>
      </c>
      <c r="C4763" s="1482" t="str">
        <f t="shared" si="725"/>
        <v>MERC/TECH 1/CAPEX/20122013/00190</v>
      </c>
      <c r="D4763" s="1390">
        <f t="shared" si="725"/>
        <v>41382</v>
      </c>
      <c r="E4763" s="560">
        <f t="shared" si="725"/>
        <v>6.1</v>
      </c>
      <c r="F4763" s="1508">
        <f t="shared" si="716"/>
        <v>0</v>
      </c>
      <c r="G4763" s="1508">
        <f t="shared" si="717"/>
        <v>0</v>
      </c>
      <c r="H4763" s="1508">
        <f t="shared" si="720"/>
        <v>0</v>
      </c>
      <c r="I4763" s="1480">
        <v>0</v>
      </c>
      <c r="J4763" s="1480">
        <v>0</v>
      </c>
      <c r="K4763" s="1508"/>
      <c r="L4763" s="1508"/>
      <c r="M4763" s="1509">
        <f t="shared" si="721"/>
        <v>0</v>
      </c>
      <c r="N4763" s="1508">
        <f t="shared" si="722"/>
        <v>0</v>
      </c>
      <c r="O4763" s="1481">
        <f t="shared" si="718"/>
        <v>0</v>
      </c>
      <c r="P4763" s="1427">
        <f t="shared" si="719"/>
        <v>0</v>
      </c>
    </row>
    <row r="4764" spans="1:16" ht="31" outlineLevel="1" x14ac:dyDescent="0.25">
      <c r="A4764" s="1482">
        <f t="shared" ref="A4764:E4779" si="726">A4094</f>
        <v>11.3</v>
      </c>
      <c r="B4764" s="1483" t="str">
        <f t="shared" si="726"/>
        <v xml:space="preserve">PTZ/fixed cameras </v>
      </c>
      <c r="C4764" s="1482" t="str">
        <f t="shared" si="726"/>
        <v>MERC/TECH 1/CAPEX/20122013/00190</v>
      </c>
      <c r="D4764" s="1390">
        <f t="shared" si="726"/>
        <v>41382</v>
      </c>
      <c r="E4764" s="560">
        <f t="shared" si="726"/>
        <v>8.0749999999999993</v>
      </c>
      <c r="F4764" s="1508">
        <f t="shared" ref="F4764:F4827" si="727">F4094+I4094</f>
        <v>0</v>
      </c>
      <c r="G4764" s="1508">
        <f t="shared" ref="G4764:G4827" si="728">G4094+M4094</f>
        <v>0</v>
      </c>
      <c r="H4764" s="1508">
        <f t="shared" si="720"/>
        <v>0</v>
      </c>
      <c r="I4764" s="1480">
        <v>0</v>
      </c>
      <c r="J4764" s="1480">
        <v>0</v>
      </c>
      <c r="K4764" s="1508"/>
      <c r="L4764" s="1508"/>
      <c r="M4764" s="1509">
        <f t="shared" si="721"/>
        <v>0</v>
      </c>
      <c r="N4764" s="1508">
        <f t="shared" si="722"/>
        <v>0</v>
      </c>
      <c r="O4764" s="1481">
        <f t="shared" ref="O4764:O4827" si="729">MAX(0,IF(M4764=0,0,IF(G4764+M4764&lt;E4764,M4764,E4764-G4764)))</f>
        <v>0</v>
      </c>
      <c r="P4764" s="1427">
        <f t="shared" ref="P4764:P4827" si="730">M4764-O4764</f>
        <v>0</v>
      </c>
    </row>
    <row r="4765" spans="1:16" ht="31" outlineLevel="1" x14ac:dyDescent="0.25">
      <c r="A4765" s="1482">
        <f t="shared" si="726"/>
        <v>11.4</v>
      </c>
      <c r="B4765" s="1483" t="str">
        <f t="shared" si="726"/>
        <v xml:space="preserve">Command &amp; control /video wall </v>
      </c>
      <c r="C4765" s="1482" t="str">
        <f t="shared" si="726"/>
        <v>MERC/TECH 1/CAPEX/20122013/00190</v>
      </c>
      <c r="D4765" s="1390">
        <f t="shared" si="726"/>
        <v>41382</v>
      </c>
      <c r="E4765" s="560">
        <f t="shared" si="726"/>
        <v>16</v>
      </c>
      <c r="F4765" s="1508">
        <f t="shared" si="727"/>
        <v>0</v>
      </c>
      <c r="G4765" s="1508">
        <f t="shared" si="728"/>
        <v>0</v>
      </c>
      <c r="H4765" s="1508">
        <f t="shared" ref="H4765:H4828" si="731">F4765-G4765</f>
        <v>0</v>
      </c>
      <c r="I4765" s="1480">
        <v>0</v>
      </c>
      <c r="J4765" s="1480">
        <v>0</v>
      </c>
      <c r="K4765" s="1508"/>
      <c r="L4765" s="1508"/>
      <c r="M4765" s="1509">
        <f t="shared" ref="M4765:M4828" si="732">SUM(J4765:L4765)</f>
        <v>0</v>
      </c>
      <c r="N4765" s="1508">
        <f t="shared" ref="N4765:N4828" si="733">H4765+I4765-M4765</f>
        <v>0</v>
      </c>
      <c r="O4765" s="1481">
        <f t="shared" si="729"/>
        <v>0</v>
      </c>
      <c r="P4765" s="1427">
        <f t="shared" si="730"/>
        <v>0</v>
      </c>
    </row>
    <row r="4766" spans="1:16" ht="31" outlineLevel="1" x14ac:dyDescent="0.25">
      <c r="A4766" s="1482">
        <f t="shared" si="726"/>
        <v>11.5</v>
      </c>
      <c r="B4766" s="1483" t="str">
        <f t="shared" si="726"/>
        <v xml:space="preserve">Communication </v>
      </c>
      <c r="C4766" s="1482" t="str">
        <f t="shared" si="726"/>
        <v>MERC/TECH 1/CAPEX/20122013/00190</v>
      </c>
      <c r="D4766" s="1390">
        <f t="shared" si="726"/>
        <v>41382</v>
      </c>
      <c r="E4766" s="560">
        <f t="shared" si="726"/>
        <v>0.45950000000000002</v>
      </c>
      <c r="F4766" s="1508">
        <f t="shared" si="727"/>
        <v>0</v>
      </c>
      <c r="G4766" s="1508">
        <f t="shared" si="728"/>
        <v>0</v>
      </c>
      <c r="H4766" s="1508">
        <f t="shared" si="731"/>
        <v>0</v>
      </c>
      <c r="I4766" s="1480">
        <v>0</v>
      </c>
      <c r="J4766" s="1480">
        <v>0</v>
      </c>
      <c r="K4766" s="1508"/>
      <c r="L4766" s="1508"/>
      <c r="M4766" s="1509">
        <f t="shared" si="732"/>
        <v>0</v>
      </c>
      <c r="N4766" s="1508">
        <f t="shared" si="733"/>
        <v>0</v>
      </c>
      <c r="O4766" s="1481">
        <f t="shared" si="729"/>
        <v>0</v>
      </c>
      <c r="P4766" s="1427">
        <f t="shared" si="730"/>
        <v>0</v>
      </c>
    </row>
    <row r="4767" spans="1:16" ht="31" outlineLevel="1" x14ac:dyDescent="0.25">
      <c r="A4767" s="1482">
        <f t="shared" si="726"/>
        <v>11.6</v>
      </c>
      <c r="B4767" s="1483" t="str">
        <f t="shared" si="726"/>
        <v>RFID</v>
      </c>
      <c r="C4767" s="1482" t="str">
        <f t="shared" si="726"/>
        <v>MERC/TECH 1/CAPEX/20122013/00190</v>
      </c>
      <c r="D4767" s="1390">
        <f t="shared" si="726"/>
        <v>41382</v>
      </c>
      <c r="E4767" s="560">
        <f t="shared" si="726"/>
        <v>0.83</v>
      </c>
      <c r="F4767" s="1508">
        <f t="shared" si="727"/>
        <v>0</v>
      </c>
      <c r="G4767" s="1508">
        <f t="shared" si="728"/>
        <v>0</v>
      </c>
      <c r="H4767" s="1508">
        <f t="shared" si="731"/>
        <v>0</v>
      </c>
      <c r="I4767" s="1480">
        <v>0</v>
      </c>
      <c r="J4767" s="1480">
        <v>0</v>
      </c>
      <c r="K4767" s="1508"/>
      <c r="L4767" s="1508"/>
      <c r="M4767" s="1509">
        <f t="shared" si="732"/>
        <v>0</v>
      </c>
      <c r="N4767" s="1508">
        <f t="shared" si="733"/>
        <v>0</v>
      </c>
      <c r="O4767" s="1481">
        <f t="shared" si="729"/>
        <v>0</v>
      </c>
      <c r="P4767" s="1427">
        <f t="shared" si="730"/>
        <v>0</v>
      </c>
    </row>
    <row r="4768" spans="1:16" ht="31" outlineLevel="1" x14ac:dyDescent="0.25">
      <c r="A4768" s="1482">
        <f t="shared" si="726"/>
        <v>11.7</v>
      </c>
      <c r="B4768" s="1483" t="str">
        <f t="shared" si="726"/>
        <v>LPR</v>
      </c>
      <c r="C4768" s="1482" t="str">
        <f t="shared" si="726"/>
        <v>MERC/TECH 1/CAPEX/20122013/00190</v>
      </c>
      <c r="D4768" s="1390">
        <f t="shared" si="726"/>
        <v>41382</v>
      </c>
      <c r="E4768" s="560">
        <f t="shared" si="726"/>
        <v>0.6</v>
      </c>
      <c r="F4768" s="1508">
        <f t="shared" si="727"/>
        <v>0</v>
      </c>
      <c r="G4768" s="1508">
        <f t="shared" si="728"/>
        <v>0</v>
      </c>
      <c r="H4768" s="1508">
        <f t="shared" si="731"/>
        <v>0</v>
      </c>
      <c r="I4768" s="1480">
        <v>0</v>
      </c>
      <c r="J4768" s="1480">
        <v>0</v>
      </c>
      <c r="K4768" s="1508"/>
      <c r="L4768" s="1508"/>
      <c r="M4768" s="1509">
        <f t="shared" si="732"/>
        <v>0</v>
      </c>
      <c r="N4768" s="1508">
        <f t="shared" si="733"/>
        <v>0</v>
      </c>
      <c r="O4768" s="1481">
        <f t="shared" si="729"/>
        <v>0</v>
      </c>
      <c r="P4768" s="1427">
        <f t="shared" si="730"/>
        <v>0</v>
      </c>
    </row>
    <row r="4769" spans="1:16" ht="31" outlineLevel="1" x14ac:dyDescent="0.25">
      <c r="A4769" s="1482">
        <f t="shared" si="726"/>
        <v>11.8</v>
      </c>
      <c r="B4769" s="1483" t="str">
        <f t="shared" si="726"/>
        <v xml:space="preserve">Electricals/networking </v>
      </c>
      <c r="C4769" s="1482" t="str">
        <f t="shared" si="726"/>
        <v>MERC/TECH 1/CAPEX/20122013/00190</v>
      </c>
      <c r="D4769" s="1390">
        <f t="shared" si="726"/>
        <v>41382</v>
      </c>
      <c r="E4769" s="560">
        <f t="shared" si="726"/>
        <v>2.8674249999999999</v>
      </c>
      <c r="F4769" s="1508">
        <f t="shared" si="727"/>
        <v>0</v>
      </c>
      <c r="G4769" s="1508">
        <f t="shared" si="728"/>
        <v>0</v>
      </c>
      <c r="H4769" s="1508">
        <f t="shared" si="731"/>
        <v>0</v>
      </c>
      <c r="I4769" s="1480">
        <v>0</v>
      </c>
      <c r="J4769" s="1480">
        <v>0</v>
      </c>
      <c r="K4769" s="1508"/>
      <c r="L4769" s="1508"/>
      <c r="M4769" s="1509">
        <f t="shared" si="732"/>
        <v>0</v>
      </c>
      <c r="N4769" s="1508">
        <f t="shared" si="733"/>
        <v>0</v>
      </c>
      <c r="O4769" s="1481">
        <f t="shared" si="729"/>
        <v>0</v>
      </c>
      <c r="P4769" s="1427">
        <f t="shared" si="730"/>
        <v>0</v>
      </c>
    </row>
    <row r="4770" spans="1:16" ht="31" outlineLevel="1" x14ac:dyDescent="0.25">
      <c r="A4770" s="1482">
        <f t="shared" si="726"/>
        <v>11.9</v>
      </c>
      <c r="B4770" s="1483" t="str">
        <f t="shared" si="726"/>
        <v xml:space="preserve">Infrastructure </v>
      </c>
      <c r="C4770" s="1482" t="str">
        <f t="shared" si="726"/>
        <v>MERC/TECH 1/CAPEX/20122013/00190</v>
      </c>
      <c r="D4770" s="1390">
        <f t="shared" si="726"/>
        <v>41382</v>
      </c>
      <c r="E4770" s="560">
        <f t="shared" si="726"/>
        <v>3.8959999999999999</v>
      </c>
      <c r="F4770" s="1508">
        <f t="shared" si="727"/>
        <v>0</v>
      </c>
      <c r="G4770" s="1508">
        <f t="shared" si="728"/>
        <v>0</v>
      </c>
      <c r="H4770" s="1508">
        <f t="shared" si="731"/>
        <v>0</v>
      </c>
      <c r="I4770" s="1480">
        <v>0</v>
      </c>
      <c r="J4770" s="1480">
        <v>0</v>
      </c>
      <c r="K4770" s="1508"/>
      <c r="L4770" s="1508"/>
      <c r="M4770" s="1509">
        <f t="shared" si="732"/>
        <v>0</v>
      </c>
      <c r="N4770" s="1508">
        <f t="shared" si="733"/>
        <v>0</v>
      </c>
      <c r="O4770" s="1481">
        <f t="shared" si="729"/>
        <v>0</v>
      </c>
      <c r="P4770" s="1427">
        <f t="shared" si="730"/>
        <v>0</v>
      </c>
    </row>
    <row r="4771" spans="1:16" ht="31" outlineLevel="1" x14ac:dyDescent="0.25">
      <c r="A4771" s="1482">
        <f t="shared" si="726"/>
        <v>0</v>
      </c>
      <c r="B4771" s="1483" t="str">
        <f t="shared" si="726"/>
        <v>IDC</v>
      </c>
      <c r="C4771" s="1482" t="str">
        <f t="shared" si="726"/>
        <v>MERC/TECH 1/CAPEX/20122013/00190</v>
      </c>
      <c r="D4771" s="1390">
        <f t="shared" si="726"/>
        <v>41382</v>
      </c>
      <c r="E4771" s="560">
        <f t="shared" si="726"/>
        <v>3.07</v>
      </c>
      <c r="F4771" s="1508">
        <f t="shared" si="727"/>
        <v>0</v>
      </c>
      <c r="G4771" s="1508">
        <f t="shared" si="728"/>
        <v>0</v>
      </c>
      <c r="H4771" s="1508">
        <f t="shared" si="731"/>
        <v>0</v>
      </c>
      <c r="I4771" s="1480">
        <v>0</v>
      </c>
      <c r="J4771" s="1480">
        <v>0</v>
      </c>
      <c r="K4771" s="1508"/>
      <c r="L4771" s="1508"/>
      <c r="M4771" s="1509">
        <f t="shared" si="732"/>
        <v>0</v>
      </c>
      <c r="N4771" s="1508">
        <f t="shared" si="733"/>
        <v>0</v>
      </c>
      <c r="O4771" s="1481">
        <f t="shared" si="729"/>
        <v>0</v>
      </c>
      <c r="P4771" s="1427">
        <f t="shared" si="730"/>
        <v>0</v>
      </c>
    </row>
    <row r="4772" spans="1:16" ht="31" outlineLevel="1" x14ac:dyDescent="0.25">
      <c r="A4772" s="1489">
        <f t="shared" si="726"/>
        <v>12</v>
      </c>
      <c r="B4772" s="1490" t="str">
        <f t="shared" si="726"/>
        <v>Revamping of existing SWAS installed at U#1 to 4 and commissioning of new  (AFGC) System of U#5&amp;7</v>
      </c>
      <c r="C4772" s="1486" t="str">
        <f t="shared" si="726"/>
        <v>MERC/TECH 1/CAPEX/20132014/01366</v>
      </c>
      <c r="D4772" s="1487">
        <f t="shared" si="726"/>
        <v>41551</v>
      </c>
      <c r="E4772" s="1383">
        <f t="shared" si="726"/>
        <v>10.083855999999999</v>
      </c>
      <c r="F4772" s="1480">
        <f t="shared" si="727"/>
        <v>0</v>
      </c>
      <c r="G4772" s="1480">
        <f t="shared" si="728"/>
        <v>0</v>
      </c>
      <c r="H4772" s="1480">
        <f t="shared" si="731"/>
        <v>0</v>
      </c>
      <c r="I4772" s="1480">
        <v>0</v>
      </c>
      <c r="J4772" s="1480">
        <v>0</v>
      </c>
      <c r="K4772" s="1480"/>
      <c r="L4772" s="1480"/>
      <c r="M4772" s="1480">
        <f t="shared" si="732"/>
        <v>0</v>
      </c>
      <c r="N4772" s="1480">
        <f t="shared" si="733"/>
        <v>0</v>
      </c>
      <c r="O4772" s="1481">
        <f t="shared" si="729"/>
        <v>0</v>
      </c>
      <c r="P4772" s="1427">
        <f t="shared" si="730"/>
        <v>0</v>
      </c>
    </row>
    <row r="4773" spans="1:16" ht="31" outlineLevel="1" x14ac:dyDescent="0.25">
      <c r="A4773" s="1484">
        <f t="shared" si="726"/>
        <v>12.1</v>
      </c>
      <c r="B4773" s="1485" t="str">
        <f t="shared" si="726"/>
        <v>AFGC U 5,7</v>
      </c>
      <c r="C4773" s="1482" t="str">
        <f t="shared" si="726"/>
        <v>MERC/TECH 1/CAPEX/20132014/01366</v>
      </c>
      <c r="D4773" s="1390">
        <f t="shared" si="726"/>
        <v>41551</v>
      </c>
      <c r="E4773" s="560">
        <f t="shared" si="726"/>
        <v>2.08</v>
      </c>
      <c r="F4773" s="1508">
        <f t="shared" si="727"/>
        <v>2.0369565389999997</v>
      </c>
      <c r="G4773" s="1508">
        <f t="shared" si="728"/>
        <v>2.0369565389999997</v>
      </c>
      <c r="H4773" s="1508">
        <f t="shared" si="731"/>
        <v>0</v>
      </c>
      <c r="I4773" s="1480">
        <v>0</v>
      </c>
      <c r="J4773" s="1480">
        <v>0</v>
      </c>
      <c r="K4773" s="1508"/>
      <c r="L4773" s="1508"/>
      <c r="M4773" s="1509">
        <f t="shared" si="732"/>
        <v>0</v>
      </c>
      <c r="N4773" s="1508">
        <f t="shared" si="733"/>
        <v>0</v>
      </c>
      <c r="O4773" s="1481">
        <f t="shared" si="729"/>
        <v>0</v>
      </c>
      <c r="P4773" s="1427">
        <f t="shared" si="730"/>
        <v>0</v>
      </c>
    </row>
    <row r="4774" spans="1:16" ht="31" outlineLevel="1" x14ac:dyDescent="0.25">
      <c r="A4774" s="1484">
        <f t="shared" si="726"/>
        <v>12.2</v>
      </c>
      <c r="B4774" s="1485" t="str">
        <f t="shared" si="726"/>
        <v>Dismantling and revamping of Sample panels of Unit 1 to 4. (4 Nos.)</v>
      </c>
      <c r="C4774" s="1488" t="str">
        <f t="shared" si="726"/>
        <v>MERC/TECH 1/CAPEX/20132014/01366</v>
      </c>
      <c r="D4774" s="1413">
        <f t="shared" si="726"/>
        <v>41551</v>
      </c>
      <c r="E4774" s="560">
        <f t="shared" si="726"/>
        <v>7.1338559999999998</v>
      </c>
      <c r="F4774" s="1508">
        <f t="shared" si="727"/>
        <v>5</v>
      </c>
      <c r="G4774" s="1508">
        <f t="shared" si="728"/>
        <v>5</v>
      </c>
      <c r="H4774" s="1508">
        <f t="shared" si="731"/>
        <v>0</v>
      </c>
      <c r="I4774" s="1480">
        <v>0</v>
      </c>
      <c r="J4774" s="1480">
        <v>0</v>
      </c>
      <c r="K4774" s="1508"/>
      <c r="L4774" s="1508"/>
      <c r="M4774" s="1509">
        <f t="shared" si="732"/>
        <v>0</v>
      </c>
      <c r="N4774" s="1508">
        <f t="shared" si="733"/>
        <v>0</v>
      </c>
      <c r="O4774" s="1481">
        <f t="shared" si="729"/>
        <v>0</v>
      </c>
      <c r="P4774" s="1427">
        <f t="shared" si="730"/>
        <v>0</v>
      </c>
    </row>
    <row r="4775" spans="1:16" ht="31" outlineLevel="1" x14ac:dyDescent="0.25">
      <c r="A4775" s="1484">
        <f t="shared" si="726"/>
        <v>0</v>
      </c>
      <c r="B4775" s="1485" t="str">
        <f t="shared" si="726"/>
        <v>IDC</v>
      </c>
      <c r="C4775" s="1482" t="str">
        <f t="shared" si="726"/>
        <v>MERC/TECH 1/CAPEX/20132014/01366</v>
      </c>
      <c r="D4775" s="1390">
        <f t="shared" si="726"/>
        <v>41551</v>
      </c>
      <c r="E4775" s="560">
        <f t="shared" si="726"/>
        <v>0.87</v>
      </c>
      <c r="F4775" s="1508">
        <f t="shared" si="727"/>
        <v>0</v>
      </c>
      <c r="G4775" s="1508">
        <f t="shared" si="728"/>
        <v>0</v>
      </c>
      <c r="H4775" s="1508">
        <f t="shared" si="731"/>
        <v>0</v>
      </c>
      <c r="I4775" s="1480">
        <v>0</v>
      </c>
      <c r="J4775" s="1480">
        <v>0</v>
      </c>
      <c r="K4775" s="1508"/>
      <c r="L4775" s="1508"/>
      <c r="M4775" s="1509">
        <f t="shared" si="732"/>
        <v>0</v>
      </c>
      <c r="N4775" s="1508">
        <f t="shared" si="733"/>
        <v>0</v>
      </c>
      <c r="O4775" s="1481">
        <f t="shared" si="729"/>
        <v>0</v>
      </c>
      <c r="P4775" s="1427">
        <f t="shared" si="730"/>
        <v>0</v>
      </c>
    </row>
    <row r="4776" spans="1:16" ht="31" outlineLevel="1" x14ac:dyDescent="0.25">
      <c r="A4776" s="1477">
        <f t="shared" si="726"/>
        <v>13</v>
      </c>
      <c r="B4776" s="1478" t="str">
        <f t="shared" si="726"/>
        <v>Replacements Platen Super Heater &amp; Eco Additional of U-5 &amp; U-6 and Upper &amp; Lower LTSH &amp; Eco Bottom assemblies of U-7</v>
      </c>
      <c r="C4776" s="1477" t="str">
        <f t="shared" si="726"/>
        <v>MERC/TECH 1/CAPEX/20132014/01936</v>
      </c>
      <c r="D4776" s="1479">
        <f t="shared" si="726"/>
        <v>41647</v>
      </c>
      <c r="E4776" s="1383">
        <f t="shared" si="726"/>
        <v>76.570000000000007</v>
      </c>
      <c r="F4776" s="1480">
        <f t="shared" si="727"/>
        <v>0</v>
      </c>
      <c r="G4776" s="1480">
        <f t="shared" si="728"/>
        <v>0</v>
      </c>
      <c r="H4776" s="1480">
        <f t="shared" si="731"/>
        <v>0</v>
      </c>
      <c r="I4776" s="1480">
        <v>0</v>
      </c>
      <c r="J4776" s="1480">
        <v>0</v>
      </c>
      <c r="K4776" s="1480"/>
      <c r="L4776" s="1480"/>
      <c r="M4776" s="1480">
        <f t="shared" si="732"/>
        <v>0</v>
      </c>
      <c r="N4776" s="1480">
        <f t="shared" si="733"/>
        <v>0</v>
      </c>
      <c r="O4776" s="1481">
        <f t="shared" si="729"/>
        <v>0</v>
      </c>
      <c r="P4776" s="1427">
        <f t="shared" si="730"/>
        <v>0</v>
      </c>
    </row>
    <row r="4777" spans="1:16" ht="31" outlineLevel="1" x14ac:dyDescent="0.25">
      <c r="A4777" s="1482">
        <f t="shared" si="726"/>
        <v>13.1</v>
      </c>
      <c r="B4777" s="1483" t="str">
        <f t="shared" si="726"/>
        <v>Platen super heater assemblies – 24 nos each for Unit-5 &amp; 6(2 sets)</v>
      </c>
      <c r="C4777" s="1482" t="str">
        <f t="shared" si="726"/>
        <v>MERC/TECH 1/CAPEX/20132014/01936</v>
      </c>
      <c r="D4777" s="1390">
        <f t="shared" si="726"/>
        <v>41647</v>
      </c>
      <c r="E4777" s="560">
        <f t="shared" si="726"/>
        <v>32.76</v>
      </c>
      <c r="F4777" s="1508">
        <f t="shared" si="727"/>
        <v>11.660929755000002</v>
      </c>
      <c r="G4777" s="1508">
        <f t="shared" si="728"/>
        <v>11.660929755000002</v>
      </c>
      <c r="H4777" s="1508">
        <f t="shared" si="731"/>
        <v>0</v>
      </c>
      <c r="I4777" s="1480">
        <v>0</v>
      </c>
      <c r="J4777" s="1480">
        <v>0</v>
      </c>
      <c r="K4777" s="1508"/>
      <c r="L4777" s="1508"/>
      <c r="M4777" s="1509">
        <f t="shared" si="732"/>
        <v>0</v>
      </c>
      <c r="N4777" s="1508">
        <f t="shared" si="733"/>
        <v>0</v>
      </c>
      <c r="O4777" s="1481">
        <f t="shared" si="729"/>
        <v>0</v>
      </c>
      <c r="P4777" s="1427">
        <f t="shared" si="730"/>
        <v>0</v>
      </c>
    </row>
    <row r="4778" spans="1:16" ht="31" outlineLevel="1" x14ac:dyDescent="0.25">
      <c r="A4778" s="1482">
        <f t="shared" si="726"/>
        <v>13.2</v>
      </c>
      <c r="B4778" s="1483" t="str">
        <f t="shared" si="726"/>
        <v>Economizer additional  Assemblies along with cassette baffles – 65 Nos. each for unit-  5 &amp; 6  (2Set )</v>
      </c>
      <c r="C4778" s="1482" t="str">
        <f t="shared" si="726"/>
        <v>MERC/TECH 1/CAPEX/20132014/01936</v>
      </c>
      <c r="D4778" s="1390">
        <f t="shared" si="726"/>
        <v>41647</v>
      </c>
      <c r="E4778" s="560">
        <f t="shared" si="726"/>
        <v>3.88</v>
      </c>
      <c r="F4778" s="1508">
        <f t="shared" si="727"/>
        <v>3.5012203659999996</v>
      </c>
      <c r="G4778" s="1508">
        <f t="shared" si="728"/>
        <v>3.5012203659999996</v>
      </c>
      <c r="H4778" s="1508">
        <f t="shared" si="731"/>
        <v>0</v>
      </c>
      <c r="I4778" s="1480">
        <v>0</v>
      </c>
      <c r="J4778" s="1480">
        <v>0</v>
      </c>
      <c r="K4778" s="1508"/>
      <c r="L4778" s="1508"/>
      <c r="M4778" s="1509">
        <f t="shared" si="732"/>
        <v>0</v>
      </c>
      <c r="N4778" s="1508">
        <f t="shared" si="733"/>
        <v>0</v>
      </c>
      <c r="O4778" s="1481">
        <f t="shared" si="729"/>
        <v>0</v>
      </c>
      <c r="P4778" s="1427">
        <f t="shared" si="730"/>
        <v>0</v>
      </c>
    </row>
    <row r="4779" spans="1:16" ht="31" outlineLevel="1" x14ac:dyDescent="0.25">
      <c r="A4779" s="1482">
        <f t="shared" si="726"/>
        <v>13.3</v>
      </c>
      <c r="B4779" s="1483" t="str">
        <f t="shared" si="726"/>
        <v>Upper LTSH  Assemblies along with cassette baffles – 62 Nos. each for unit – 7 (1 Set)</v>
      </c>
      <c r="C4779" s="1482" t="str">
        <f t="shared" si="726"/>
        <v>MERC/TECH 1/CAPEX/20132014/01936</v>
      </c>
      <c r="D4779" s="1390">
        <f t="shared" si="726"/>
        <v>41647</v>
      </c>
      <c r="E4779" s="560">
        <f t="shared" si="726"/>
        <v>9.81</v>
      </c>
      <c r="F4779" s="1508">
        <f t="shared" si="727"/>
        <v>4.9252947999999996</v>
      </c>
      <c r="G4779" s="1508">
        <f t="shared" si="728"/>
        <v>4.9252947999999996</v>
      </c>
      <c r="H4779" s="1508">
        <f t="shared" si="731"/>
        <v>0</v>
      </c>
      <c r="I4779" s="1480">
        <v>0</v>
      </c>
      <c r="J4779" s="1480">
        <v>0</v>
      </c>
      <c r="K4779" s="1508"/>
      <c r="L4779" s="1508"/>
      <c r="M4779" s="1509">
        <f t="shared" si="732"/>
        <v>0</v>
      </c>
      <c r="N4779" s="1508">
        <f t="shared" si="733"/>
        <v>0</v>
      </c>
      <c r="O4779" s="1481">
        <f t="shared" si="729"/>
        <v>0</v>
      </c>
      <c r="P4779" s="1427">
        <f t="shared" si="730"/>
        <v>0</v>
      </c>
    </row>
    <row r="4780" spans="1:16" ht="31" outlineLevel="1" x14ac:dyDescent="0.25">
      <c r="A4780" s="1482">
        <f t="shared" ref="A4780:E4795" si="734">A4110</f>
        <v>13.4</v>
      </c>
      <c r="B4780" s="1483" t="str">
        <f t="shared" si="734"/>
        <v>Lower LTSH  Assemblies along with cassette baffles  – 62Nos. for unit – 7 (1 Set)</v>
      </c>
      <c r="C4780" s="1482" t="str">
        <f t="shared" si="734"/>
        <v>MERC/TECH 1/CAPEX/20132014/01936</v>
      </c>
      <c r="D4780" s="1390">
        <f t="shared" si="734"/>
        <v>41647</v>
      </c>
      <c r="E4780" s="560">
        <f t="shared" si="734"/>
        <v>4.76</v>
      </c>
      <c r="F4780" s="1508">
        <f t="shared" si="727"/>
        <v>2.7667891</v>
      </c>
      <c r="G4780" s="1508">
        <f t="shared" si="728"/>
        <v>2.7667891</v>
      </c>
      <c r="H4780" s="1508">
        <f t="shared" si="731"/>
        <v>0</v>
      </c>
      <c r="I4780" s="1480">
        <v>0</v>
      </c>
      <c r="J4780" s="1480">
        <v>0</v>
      </c>
      <c r="K4780" s="1508"/>
      <c r="L4780" s="1508"/>
      <c r="M4780" s="1509">
        <f t="shared" si="732"/>
        <v>0</v>
      </c>
      <c r="N4780" s="1508">
        <f t="shared" si="733"/>
        <v>0</v>
      </c>
      <c r="O4780" s="1481">
        <f t="shared" si="729"/>
        <v>0</v>
      </c>
      <c r="P4780" s="1427">
        <f t="shared" si="730"/>
        <v>0</v>
      </c>
    </row>
    <row r="4781" spans="1:16" ht="31" outlineLevel="1" x14ac:dyDescent="0.25">
      <c r="A4781" s="1482">
        <f t="shared" si="734"/>
        <v>13.5</v>
      </c>
      <c r="B4781" s="1483" t="str">
        <f t="shared" si="734"/>
        <v>Lower Eco + Eco additional along with cassette baffles  for Unit-7</v>
      </c>
      <c r="C4781" s="1482" t="str">
        <f t="shared" si="734"/>
        <v>MERC/TECH 1/CAPEX/20132014/01936</v>
      </c>
      <c r="D4781" s="1390">
        <f t="shared" si="734"/>
        <v>41647</v>
      </c>
      <c r="E4781" s="560">
        <f t="shared" si="734"/>
        <v>13.41</v>
      </c>
      <c r="F4781" s="1508">
        <f t="shared" si="727"/>
        <v>6.3205716000000001</v>
      </c>
      <c r="G4781" s="1508">
        <f t="shared" si="728"/>
        <v>6.3205716000000001</v>
      </c>
      <c r="H4781" s="1508">
        <f t="shared" si="731"/>
        <v>0</v>
      </c>
      <c r="I4781" s="1480">
        <v>0</v>
      </c>
      <c r="J4781" s="1480">
        <v>0</v>
      </c>
      <c r="K4781" s="1508"/>
      <c r="L4781" s="1508"/>
      <c r="M4781" s="1509">
        <f t="shared" si="732"/>
        <v>0</v>
      </c>
      <c r="N4781" s="1508">
        <f t="shared" si="733"/>
        <v>0</v>
      </c>
      <c r="O4781" s="1481">
        <f t="shared" si="729"/>
        <v>0</v>
      </c>
      <c r="P4781" s="1427">
        <f t="shared" si="730"/>
        <v>0</v>
      </c>
    </row>
    <row r="4782" spans="1:16" ht="31" outlineLevel="1" x14ac:dyDescent="0.25">
      <c r="A4782" s="1482">
        <f t="shared" si="734"/>
        <v>13.6</v>
      </c>
      <c r="B4782" s="1483" t="str">
        <f t="shared" si="734"/>
        <v>Work Cost for Replacement of above Assemblies.</v>
      </c>
      <c r="C4782" s="1482" t="str">
        <f t="shared" si="734"/>
        <v>MERC/TECH 1/CAPEX/20132014/01936</v>
      </c>
      <c r="D4782" s="1390">
        <f t="shared" si="734"/>
        <v>41647</v>
      </c>
      <c r="E4782" s="560">
        <f t="shared" si="734"/>
        <v>5.05</v>
      </c>
      <c r="F4782" s="1508">
        <f t="shared" si="727"/>
        <v>0</v>
      </c>
      <c r="G4782" s="1508">
        <f t="shared" si="728"/>
        <v>0</v>
      </c>
      <c r="H4782" s="1508">
        <f t="shared" si="731"/>
        <v>0</v>
      </c>
      <c r="I4782" s="1480">
        <v>0</v>
      </c>
      <c r="J4782" s="1480">
        <v>0</v>
      </c>
      <c r="K4782" s="1508"/>
      <c r="L4782" s="1508"/>
      <c r="M4782" s="1509">
        <f t="shared" si="732"/>
        <v>0</v>
      </c>
      <c r="N4782" s="1508">
        <f t="shared" si="733"/>
        <v>0</v>
      </c>
      <c r="O4782" s="1481">
        <f t="shared" si="729"/>
        <v>0</v>
      </c>
      <c r="P4782" s="1427">
        <f t="shared" si="730"/>
        <v>0</v>
      </c>
    </row>
    <row r="4783" spans="1:16" ht="31" outlineLevel="1" x14ac:dyDescent="0.25">
      <c r="A4783" s="1482">
        <f t="shared" si="734"/>
        <v>0</v>
      </c>
      <c r="B4783" s="1483" t="str">
        <f t="shared" si="734"/>
        <v>IDC</v>
      </c>
      <c r="C4783" s="1482" t="str">
        <f t="shared" si="734"/>
        <v>MERC/TECH 1/CAPEX/20132014/01936</v>
      </c>
      <c r="D4783" s="1390">
        <f t="shared" si="734"/>
        <v>41647</v>
      </c>
      <c r="E4783" s="560">
        <f t="shared" si="734"/>
        <v>6.9</v>
      </c>
      <c r="F4783" s="1508">
        <f t="shared" si="727"/>
        <v>0</v>
      </c>
      <c r="G4783" s="1508">
        <f t="shared" si="728"/>
        <v>0</v>
      </c>
      <c r="H4783" s="1508">
        <f t="shared" si="731"/>
        <v>0</v>
      </c>
      <c r="I4783" s="1480">
        <v>0</v>
      </c>
      <c r="J4783" s="1480">
        <v>0</v>
      </c>
      <c r="K4783" s="1508"/>
      <c r="L4783" s="1508"/>
      <c r="M4783" s="1509">
        <f t="shared" si="732"/>
        <v>0</v>
      </c>
      <c r="N4783" s="1508">
        <f t="shared" si="733"/>
        <v>0</v>
      </c>
      <c r="O4783" s="1481">
        <f t="shared" si="729"/>
        <v>0</v>
      </c>
      <c r="P4783" s="1427">
        <f t="shared" si="730"/>
        <v>0</v>
      </c>
    </row>
    <row r="4784" spans="1:16" ht="31" outlineLevel="1" x14ac:dyDescent="0.25">
      <c r="A4784" s="1477">
        <f t="shared" si="734"/>
        <v>14</v>
      </c>
      <c r="B4784" s="1478" t="str">
        <f t="shared" si="734"/>
        <v>Procurement of Complete IPT Module for 500MW Unit-7 and Fully Bladed Rotor for LP Turbine of 500 MW Unit-5, 6, &amp; 7</v>
      </c>
      <c r="C4784" s="1477" t="str">
        <f t="shared" si="734"/>
        <v>MERC/TECH 1/CAPEX/20132014/01334</v>
      </c>
      <c r="D4784" s="1479">
        <f t="shared" si="734"/>
        <v>41548</v>
      </c>
      <c r="E4784" s="1383">
        <f t="shared" si="734"/>
        <v>83.823654699999992</v>
      </c>
      <c r="F4784" s="1480">
        <f t="shared" si="727"/>
        <v>0</v>
      </c>
      <c r="G4784" s="1480">
        <f t="shared" si="728"/>
        <v>0</v>
      </c>
      <c r="H4784" s="1480">
        <f t="shared" si="731"/>
        <v>0</v>
      </c>
      <c r="I4784" s="1480">
        <v>0</v>
      </c>
      <c r="J4784" s="1480">
        <v>0</v>
      </c>
      <c r="K4784" s="1480"/>
      <c r="L4784" s="1480"/>
      <c r="M4784" s="1480">
        <f t="shared" si="732"/>
        <v>0</v>
      </c>
      <c r="N4784" s="1480">
        <f t="shared" si="733"/>
        <v>0</v>
      </c>
      <c r="O4784" s="1481">
        <f t="shared" si="729"/>
        <v>0</v>
      </c>
      <c r="P4784" s="1427">
        <f t="shared" si="730"/>
        <v>0</v>
      </c>
    </row>
    <row r="4785" spans="1:16" ht="46.5" outlineLevel="1" x14ac:dyDescent="0.25">
      <c r="A4785" s="1482">
        <f t="shared" si="734"/>
        <v>14.1</v>
      </c>
      <c r="B4785" s="1483" t="str">
        <f t="shared" si="734"/>
        <v>IPT Module complete Type-M30-63 with advance class blading suitable for 500 MW Chandrapur Unit-7, Khaperkheda 1x500, Bhusawal 2x500</v>
      </c>
      <c r="C4785" s="1482" t="str">
        <f t="shared" si="734"/>
        <v>MERC/TECH 1/CAPEX/20132014/01334</v>
      </c>
      <c r="D4785" s="1390">
        <f t="shared" si="734"/>
        <v>41548</v>
      </c>
      <c r="E4785" s="560">
        <f t="shared" si="734"/>
        <v>48.039384900000002</v>
      </c>
      <c r="F4785" s="1508">
        <f t="shared" si="727"/>
        <v>48.039384900000002</v>
      </c>
      <c r="G4785" s="1508">
        <f t="shared" si="728"/>
        <v>48.039384900000002</v>
      </c>
      <c r="H4785" s="1508">
        <f t="shared" si="731"/>
        <v>0</v>
      </c>
      <c r="I4785" s="1480">
        <v>0</v>
      </c>
      <c r="J4785" s="1480">
        <v>0</v>
      </c>
      <c r="K4785" s="1508"/>
      <c r="L4785" s="1508"/>
      <c r="M4785" s="1509">
        <f t="shared" si="732"/>
        <v>0</v>
      </c>
      <c r="N4785" s="1508">
        <f t="shared" si="733"/>
        <v>0</v>
      </c>
      <c r="O4785" s="1481">
        <f t="shared" si="729"/>
        <v>0</v>
      </c>
      <c r="P4785" s="1427">
        <f t="shared" si="730"/>
        <v>0</v>
      </c>
    </row>
    <row r="4786" spans="1:16" ht="31" outlineLevel="1" x14ac:dyDescent="0.25">
      <c r="A4786" s="1482">
        <f t="shared" si="734"/>
        <v>14.2</v>
      </c>
      <c r="B4786" s="1483" t="str">
        <f t="shared" si="734"/>
        <v>Fully bladed dynamically balanced LP Rotor for 500 MW Units-5,6 &amp;7 at Chandrapur STPS</v>
      </c>
      <c r="C4786" s="1482" t="str">
        <f t="shared" si="734"/>
        <v>MERC/TECH 1/CAPEX/20132014/01334</v>
      </c>
      <c r="D4786" s="1390">
        <f t="shared" si="734"/>
        <v>41548</v>
      </c>
      <c r="E4786" s="560">
        <f t="shared" si="734"/>
        <v>35.784269799999997</v>
      </c>
      <c r="F4786" s="1508">
        <f t="shared" si="727"/>
        <v>35.784269799999997</v>
      </c>
      <c r="G4786" s="1508">
        <f t="shared" si="728"/>
        <v>35.784269799999997</v>
      </c>
      <c r="H4786" s="1508">
        <f t="shared" si="731"/>
        <v>0</v>
      </c>
      <c r="I4786" s="1480">
        <v>0</v>
      </c>
      <c r="J4786" s="1480">
        <v>0</v>
      </c>
      <c r="K4786" s="1508"/>
      <c r="L4786" s="1508"/>
      <c r="M4786" s="1509">
        <f t="shared" si="732"/>
        <v>0</v>
      </c>
      <c r="N4786" s="1508">
        <f t="shared" si="733"/>
        <v>0</v>
      </c>
      <c r="O4786" s="1481">
        <f t="shared" si="729"/>
        <v>0</v>
      </c>
      <c r="P4786" s="1427">
        <f t="shared" si="730"/>
        <v>0</v>
      </c>
    </row>
    <row r="4787" spans="1:16" ht="31" outlineLevel="1" x14ac:dyDescent="0.25">
      <c r="A4787" s="1477">
        <f t="shared" si="734"/>
        <v>15</v>
      </c>
      <c r="B4787" s="1478" t="str">
        <f t="shared" si="734"/>
        <v>Performance Improvement of Air Preheater Unit 1 &amp; 2 CSTPS Chandrapur</v>
      </c>
      <c r="C4787" s="1477" t="str">
        <f t="shared" si="734"/>
        <v>MERC/TECH 1/CAPEX/20132014/01431</v>
      </c>
      <c r="D4787" s="1479">
        <f t="shared" si="734"/>
        <v>41565</v>
      </c>
      <c r="E4787" s="1383">
        <f t="shared" si="734"/>
        <v>11.1699751</v>
      </c>
      <c r="F4787" s="1480">
        <f t="shared" si="727"/>
        <v>0</v>
      </c>
      <c r="G4787" s="1480">
        <f t="shared" si="728"/>
        <v>0</v>
      </c>
      <c r="H4787" s="1480">
        <f t="shared" si="731"/>
        <v>0</v>
      </c>
      <c r="I4787" s="1480">
        <v>0</v>
      </c>
      <c r="J4787" s="1480">
        <v>0</v>
      </c>
      <c r="K4787" s="1480"/>
      <c r="L4787" s="1480"/>
      <c r="M4787" s="1480">
        <f t="shared" si="732"/>
        <v>0</v>
      </c>
      <c r="N4787" s="1480">
        <f t="shared" si="733"/>
        <v>0</v>
      </c>
      <c r="O4787" s="1481">
        <f t="shared" si="729"/>
        <v>0</v>
      </c>
      <c r="P4787" s="1427">
        <f t="shared" si="730"/>
        <v>0</v>
      </c>
    </row>
    <row r="4788" spans="1:16" ht="31" outlineLevel="1" x14ac:dyDescent="0.25">
      <c r="A4788" s="1482">
        <f t="shared" si="734"/>
        <v>15.1</v>
      </c>
      <c r="B4788" s="1483" t="str">
        <f t="shared" si="734"/>
        <v xml:space="preserve">supply of MSERW / high frequency induction welding tubes for Air pre-heater in Unit 1&amp;2 </v>
      </c>
      <c r="C4788" s="1482" t="str">
        <f t="shared" si="734"/>
        <v>MERC/TECH 1/CAPEX/20132014/01431</v>
      </c>
      <c r="D4788" s="1390">
        <f t="shared" si="734"/>
        <v>41565</v>
      </c>
      <c r="E4788" s="560">
        <f t="shared" si="734"/>
        <v>8.8553540000000002</v>
      </c>
      <c r="F4788" s="1508">
        <f t="shared" si="727"/>
        <v>0</v>
      </c>
      <c r="G4788" s="1508">
        <f t="shared" si="728"/>
        <v>0</v>
      </c>
      <c r="H4788" s="1508">
        <f t="shared" si="731"/>
        <v>0</v>
      </c>
      <c r="I4788" s="1480">
        <v>0</v>
      </c>
      <c r="J4788" s="1480">
        <v>0</v>
      </c>
      <c r="K4788" s="1508"/>
      <c r="L4788" s="1508"/>
      <c r="M4788" s="1509">
        <f t="shared" si="732"/>
        <v>0</v>
      </c>
      <c r="N4788" s="1508">
        <f t="shared" si="733"/>
        <v>0</v>
      </c>
      <c r="O4788" s="1481">
        <f t="shared" si="729"/>
        <v>0</v>
      </c>
      <c r="P4788" s="1427">
        <f t="shared" si="730"/>
        <v>0</v>
      </c>
    </row>
    <row r="4789" spans="1:16" ht="31" outlineLevel="1" x14ac:dyDescent="0.25">
      <c r="A4789" s="1482">
        <f t="shared" si="734"/>
        <v>15.2</v>
      </c>
      <c r="B4789" s="1483" t="str">
        <f t="shared" si="734"/>
        <v xml:space="preserve">Compete Replacement of the air heater tubes in top ,intermediate and bottom bank(LHS and RHS) of unit 1 &amp; 2 </v>
      </c>
      <c r="C4789" s="1482" t="str">
        <f t="shared" si="734"/>
        <v>MERC/TECH 1/CAPEX/20132014/01431</v>
      </c>
      <c r="D4789" s="1390">
        <f t="shared" si="734"/>
        <v>41565</v>
      </c>
      <c r="E4789" s="560">
        <f t="shared" si="734"/>
        <v>2.14452</v>
      </c>
      <c r="F4789" s="1508">
        <f t="shared" si="727"/>
        <v>0</v>
      </c>
      <c r="G4789" s="1508">
        <f t="shared" si="728"/>
        <v>0</v>
      </c>
      <c r="H4789" s="1508">
        <f t="shared" si="731"/>
        <v>0</v>
      </c>
      <c r="I4789" s="1480">
        <v>0</v>
      </c>
      <c r="J4789" s="1480">
        <v>0</v>
      </c>
      <c r="K4789" s="1508"/>
      <c r="L4789" s="1508"/>
      <c r="M4789" s="1509">
        <f t="shared" si="732"/>
        <v>0</v>
      </c>
      <c r="N4789" s="1508">
        <f t="shared" si="733"/>
        <v>0</v>
      </c>
      <c r="O4789" s="1481">
        <f t="shared" si="729"/>
        <v>0</v>
      </c>
      <c r="P4789" s="1427">
        <f t="shared" si="730"/>
        <v>0</v>
      </c>
    </row>
    <row r="4790" spans="1:16" ht="31" outlineLevel="1" x14ac:dyDescent="0.25">
      <c r="A4790" s="1482">
        <f t="shared" si="734"/>
        <v>0</v>
      </c>
      <c r="B4790" s="1483" t="str">
        <f t="shared" si="734"/>
        <v>IDC</v>
      </c>
      <c r="C4790" s="1482" t="str">
        <f t="shared" si="734"/>
        <v>MERC/TECH 1/CAPEX/20132014/01431</v>
      </c>
      <c r="D4790" s="1390">
        <f t="shared" si="734"/>
        <v>41565</v>
      </c>
      <c r="E4790" s="560">
        <f t="shared" si="734"/>
        <v>0.17010110000000001</v>
      </c>
      <c r="F4790" s="1508">
        <f t="shared" si="727"/>
        <v>0</v>
      </c>
      <c r="G4790" s="1508">
        <f t="shared" si="728"/>
        <v>0</v>
      </c>
      <c r="H4790" s="1508">
        <f t="shared" si="731"/>
        <v>0</v>
      </c>
      <c r="I4790" s="1480">
        <v>0</v>
      </c>
      <c r="J4790" s="1480">
        <v>0</v>
      </c>
      <c r="K4790" s="1508"/>
      <c r="L4790" s="1508"/>
      <c r="M4790" s="1509">
        <f t="shared" si="732"/>
        <v>0</v>
      </c>
      <c r="N4790" s="1508">
        <f t="shared" si="733"/>
        <v>0</v>
      </c>
      <c r="O4790" s="1481">
        <f t="shared" si="729"/>
        <v>0</v>
      </c>
      <c r="P4790" s="1427">
        <f t="shared" si="730"/>
        <v>0</v>
      </c>
    </row>
    <row r="4791" spans="1:16" ht="31" outlineLevel="1" x14ac:dyDescent="0.25">
      <c r="A4791" s="1477">
        <f t="shared" si="734"/>
        <v>16</v>
      </c>
      <c r="B4791" s="1478" t="str">
        <f t="shared" si="734"/>
        <v>Procurement &amp; Replacement of heating elements (baskets) of primary and secondary air pre-heaters of unit # 5 &amp; 6</v>
      </c>
      <c r="C4791" s="1477" t="str">
        <f t="shared" si="734"/>
        <v>MERC/TECH 1/CAPEX/20142015/00432</v>
      </c>
      <c r="D4791" s="1479">
        <f t="shared" si="734"/>
        <v>41792</v>
      </c>
      <c r="E4791" s="1383">
        <f t="shared" si="734"/>
        <v>11.7446</v>
      </c>
      <c r="F4791" s="1480">
        <f t="shared" si="727"/>
        <v>0</v>
      </c>
      <c r="G4791" s="1480">
        <f t="shared" si="728"/>
        <v>0</v>
      </c>
      <c r="H4791" s="1480">
        <f t="shared" si="731"/>
        <v>0</v>
      </c>
      <c r="I4791" s="1480">
        <v>0</v>
      </c>
      <c r="J4791" s="1480">
        <v>0</v>
      </c>
      <c r="K4791" s="1480"/>
      <c r="L4791" s="1480"/>
      <c r="M4791" s="1480">
        <f t="shared" si="732"/>
        <v>0</v>
      </c>
      <c r="N4791" s="1480">
        <f t="shared" si="733"/>
        <v>0</v>
      </c>
      <c r="O4791" s="1481">
        <f t="shared" si="729"/>
        <v>0</v>
      </c>
      <c r="P4791" s="1427">
        <f t="shared" si="730"/>
        <v>0</v>
      </c>
    </row>
    <row r="4792" spans="1:16" ht="31" outlineLevel="1" x14ac:dyDescent="0.25">
      <c r="A4792" s="1482">
        <f t="shared" si="734"/>
        <v>16.100000000000001</v>
      </c>
      <c r="B4792" s="1483" t="str">
        <f t="shared" si="734"/>
        <v>Primary  &amp;  Secondary Air Pre-heater baskets hot end, intermediate  &amp; cold end (2 sets) for U-5 (Including works cost)</v>
      </c>
      <c r="C4792" s="1482" t="str">
        <f t="shared" si="734"/>
        <v>MERC/TECH 1/CAPEX/20142015/00432</v>
      </c>
      <c r="D4792" s="1390">
        <f t="shared" si="734"/>
        <v>41792</v>
      </c>
      <c r="E4792" s="560">
        <f t="shared" si="734"/>
        <v>5.5023</v>
      </c>
      <c r="F4792" s="1508">
        <f t="shared" si="727"/>
        <v>4.2318929900000004</v>
      </c>
      <c r="G4792" s="1508">
        <f t="shared" si="728"/>
        <v>4.2318929900000004</v>
      </c>
      <c r="H4792" s="1508">
        <f t="shared" si="731"/>
        <v>0</v>
      </c>
      <c r="I4792" s="1480">
        <v>0</v>
      </c>
      <c r="J4792" s="1480">
        <v>0</v>
      </c>
      <c r="K4792" s="1508"/>
      <c r="L4792" s="1508"/>
      <c r="M4792" s="1509">
        <f t="shared" si="732"/>
        <v>0</v>
      </c>
      <c r="N4792" s="1508">
        <f t="shared" si="733"/>
        <v>0</v>
      </c>
      <c r="O4792" s="1481">
        <f t="shared" si="729"/>
        <v>0</v>
      </c>
      <c r="P4792" s="1427">
        <f t="shared" si="730"/>
        <v>0</v>
      </c>
    </row>
    <row r="4793" spans="1:16" ht="31" outlineLevel="1" x14ac:dyDescent="0.25">
      <c r="A4793" s="1482">
        <f t="shared" si="734"/>
        <v>16.2</v>
      </c>
      <c r="B4793" s="1483" t="str">
        <f t="shared" si="734"/>
        <v>Primary  &amp;  Secondary Air Pre-heater baskets hot end, intermediate  &amp; cold end (2 sets) for U-6 (Including works cost)</v>
      </c>
      <c r="C4793" s="1482" t="str">
        <f t="shared" si="734"/>
        <v>MERC/TECH 1/CAPEX/20142015/00432</v>
      </c>
      <c r="D4793" s="1390">
        <f t="shared" si="734"/>
        <v>41792</v>
      </c>
      <c r="E4793" s="560">
        <f t="shared" si="734"/>
        <v>5.5023</v>
      </c>
      <c r="F4793" s="1508">
        <f t="shared" si="727"/>
        <v>4.5024009140000008</v>
      </c>
      <c r="G4793" s="1508">
        <f t="shared" si="728"/>
        <v>4.5024009140000008</v>
      </c>
      <c r="H4793" s="1508">
        <f t="shared" si="731"/>
        <v>0</v>
      </c>
      <c r="I4793" s="1480">
        <v>0</v>
      </c>
      <c r="J4793" s="1480">
        <v>0</v>
      </c>
      <c r="K4793" s="1508"/>
      <c r="L4793" s="1508"/>
      <c r="M4793" s="1509">
        <f t="shared" si="732"/>
        <v>0</v>
      </c>
      <c r="N4793" s="1508">
        <f t="shared" si="733"/>
        <v>0</v>
      </c>
      <c r="O4793" s="1481">
        <f t="shared" si="729"/>
        <v>0</v>
      </c>
      <c r="P4793" s="1427">
        <f t="shared" si="730"/>
        <v>0</v>
      </c>
    </row>
    <row r="4794" spans="1:16" ht="31" outlineLevel="1" x14ac:dyDescent="0.25">
      <c r="A4794" s="1482">
        <f t="shared" si="734"/>
        <v>0</v>
      </c>
      <c r="B4794" s="1483" t="str">
        <f t="shared" si="734"/>
        <v>IDC</v>
      </c>
      <c r="C4794" s="1482" t="str">
        <f t="shared" si="734"/>
        <v>MERC/TECH 1/CAPEX/20142015/00432</v>
      </c>
      <c r="D4794" s="1390">
        <f t="shared" si="734"/>
        <v>41792</v>
      </c>
      <c r="E4794" s="560">
        <f t="shared" si="734"/>
        <v>0.74</v>
      </c>
      <c r="F4794" s="1508">
        <f t="shared" si="727"/>
        <v>0</v>
      </c>
      <c r="G4794" s="1508">
        <f t="shared" si="728"/>
        <v>0</v>
      </c>
      <c r="H4794" s="1508">
        <f t="shared" si="731"/>
        <v>0</v>
      </c>
      <c r="I4794" s="1480">
        <v>0</v>
      </c>
      <c r="J4794" s="1480">
        <v>0</v>
      </c>
      <c r="K4794" s="1508"/>
      <c r="L4794" s="1508"/>
      <c r="M4794" s="1509">
        <f t="shared" si="732"/>
        <v>0</v>
      </c>
      <c r="N4794" s="1508">
        <f t="shared" si="733"/>
        <v>0</v>
      </c>
      <c r="O4794" s="1481">
        <f t="shared" si="729"/>
        <v>0</v>
      </c>
      <c r="P4794" s="1427">
        <f t="shared" si="730"/>
        <v>0</v>
      </c>
    </row>
    <row r="4795" spans="1:16" ht="31" outlineLevel="1" x14ac:dyDescent="0.25">
      <c r="A4795" s="1486">
        <f t="shared" si="734"/>
        <v>17</v>
      </c>
      <c r="B4795" s="1491" t="str">
        <f t="shared" si="734"/>
        <v>Procurement of moving blades for LP Turbine, Control Fluid Pumps &amp; AOP of 500MW Unit 5,6 &amp;7</v>
      </c>
      <c r="C4795" s="1486" t="str">
        <f t="shared" si="734"/>
        <v>MERC/TECH 1/CAPEX/20142015/0010</v>
      </c>
      <c r="D4795" s="1487">
        <f t="shared" si="734"/>
        <v>41928</v>
      </c>
      <c r="E4795" s="1383">
        <f t="shared" si="734"/>
        <v>19.310244699999998</v>
      </c>
      <c r="F4795" s="1480">
        <f t="shared" si="727"/>
        <v>0</v>
      </c>
      <c r="G4795" s="1480">
        <f t="shared" si="728"/>
        <v>0</v>
      </c>
      <c r="H4795" s="1480">
        <f t="shared" si="731"/>
        <v>0</v>
      </c>
      <c r="I4795" s="1480">
        <v>0</v>
      </c>
      <c r="J4795" s="1480">
        <v>0</v>
      </c>
      <c r="K4795" s="1480"/>
      <c r="L4795" s="1480"/>
      <c r="M4795" s="1480">
        <f t="shared" si="732"/>
        <v>0</v>
      </c>
      <c r="N4795" s="1480">
        <f t="shared" si="733"/>
        <v>0</v>
      </c>
      <c r="O4795" s="1481">
        <f t="shared" si="729"/>
        <v>0</v>
      </c>
      <c r="P4795" s="1427">
        <f t="shared" si="730"/>
        <v>0</v>
      </c>
    </row>
    <row r="4796" spans="1:16" ht="62" outlineLevel="1" x14ac:dyDescent="0.25">
      <c r="A4796" s="1488">
        <f t="shared" ref="A4796:E4811" si="735">A4126</f>
        <v>17.100000000000001</v>
      </c>
      <c r="B4796" s="1492" t="str">
        <f t="shared" si="735"/>
        <v>Moving blades for LPT—2L
Moving blades for LPT—2R
Moving blades for LPT—3L
Moving blades for LPT—3R</v>
      </c>
      <c r="C4796" s="1488" t="str">
        <f t="shared" si="735"/>
        <v>MERC/TECH 1/CAPEX/20142015/0010</v>
      </c>
      <c r="D4796" s="1413">
        <f t="shared" si="735"/>
        <v>41928</v>
      </c>
      <c r="E4796" s="560">
        <f t="shared" si="735"/>
        <v>13.5092</v>
      </c>
      <c r="F4796" s="1508">
        <f t="shared" si="727"/>
        <v>5.3885199799999999</v>
      </c>
      <c r="G4796" s="1508">
        <f t="shared" si="728"/>
        <v>5.3885199799999999</v>
      </c>
      <c r="H4796" s="1508">
        <f t="shared" si="731"/>
        <v>0</v>
      </c>
      <c r="I4796" s="1480">
        <v>0</v>
      </c>
      <c r="J4796" s="1480">
        <v>0</v>
      </c>
      <c r="K4796" s="1508"/>
      <c r="L4796" s="1508"/>
      <c r="M4796" s="1509">
        <f t="shared" si="732"/>
        <v>0</v>
      </c>
      <c r="N4796" s="1508">
        <f t="shared" si="733"/>
        <v>0</v>
      </c>
      <c r="O4796" s="1481">
        <f t="shared" si="729"/>
        <v>0</v>
      </c>
      <c r="P4796" s="1427">
        <f t="shared" si="730"/>
        <v>0</v>
      </c>
    </row>
    <row r="4797" spans="1:16" ht="93" outlineLevel="1" x14ac:dyDescent="0.25">
      <c r="A4797" s="1488">
        <f t="shared" si="735"/>
        <v>17.2</v>
      </c>
      <c r="B4797" s="1492" t="str">
        <f t="shared" si="735"/>
        <v>1. Control Fluid Pump for 500 MW Unit-5&amp;6_KSB Make- Type : WKVM 100/1+4
2. Control Fluid Pump for 500 MW Unit-7_KSB Make- Type : WKVM 80/1+3
3. Aux. Oil Pump for Main Turbine of 500 MW Unit-5,6&amp; 7
KSB Make- Type : ETA 150-50VL</v>
      </c>
      <c r="C4797" s="1488" t="str">
        <f t="shared" si="735"/>
        <v>MERC/TECH 1/CAPEX/20142015/0010</v>
      </c>
      <c r="D4797" s="1413">
        <f t="shared" si="735"/>
        <v>41928</v>
      </c>
      <c r="E4797" s="560">
        <f t="shared" si="735"/>
        <v>4.5510447000000003</v>
      </c>
      <c r="F4797" s="1508">
        <f t="shared" si="727"/>
        <v>7.2470200000000009</v>
      </c>
      <c r="G4797" s="1508">
        <f t="shared" si="728"/>
        <v>7.2470200000000009</v>
      </c>
      <c r="H4797" s="1508">
        <f t="shared" si="731"/>
        <v>0</v>
      </c>
      <c r="I4797" s="1480">
        <v>0</v>
      </c>
      <c r="J4797" s="1480">
        <v>0</v>
      </c>
      <c r="K4797" s="1508"/>
      <c r="L4797" s="1508"/>
      <c r="M4797" s="1509">
        <f t="shared" si="732"/>
        <v>0</v>
      </c>
      <c r="N4797" s="1508">
        <f t="shared" si="733"/>
        <v>0</v>
      </c>
      <c r="O4797" s="1481">
        <f t="shared" si="729"/>
        <v>0</v>
      </c>
      <c r="P4797" s="1427">
        <f t="shared" si="730"/>
        <v>0</v>
      </c>
    </row>
    <row r="4798" spans="1:16" ht="31" outlineLevel="1" x14ac:dyDescent="0.25">
      <c r="A4798" s="1482">
        <f t="shared" si="735"/>
        <v>0</v>
      </c>
      <c r="B4798" s="1483" t="str">
        <f t="shared" si="735"/>
        <v>IDC</v>
      </c>
      <c r="C4798" s="1482" t="str">
        <f t="shared" si="735"/>
        <v>MERC/TECH 1/CAPEX/20142015/0010</v>
      </c>
      <c r="D4798" s="1390">
        <f t="shared" si="735"/>
        <v>41928</v>
      </c>
      <c r="E4798" s="560">
        <f t="shared" si="735"/>
        <v>1.25</v>
      </c>
      <c r="F4798" s="1508">
        <f t="shared" si="727"/>
        <v>0</v>
      </c>
      <c r="G4798" s="1508">
        <f t="shared" si="728"/>
        <v>0</v>
      </c>
      <c r="H4798" s="1508">
        <f t="shared" si="731"/>
        <v>0</v>
      </c>
      <c r="I4798" s="1480">
        <v>0</v>
      </c>
      <c r="J4798" s="1480">
        <v>0</v>
      </c>
      <c r="K4798" s="1508"/>
      <c r="L4798" s="1508"/>
      <c r="M4798" s="1509">
        <f t="shared" si="732"/>
        <v>0</v>
      </c>
      <c r="N4798" s="1508">
        <f t="shared" si="733"/>
        <v>0</v>
      </c>
      <c r="O4798" s="1481">
        <f t="shared" si="729"/>
        <v>0</v>
      </c>
      <c r="P4798" s="1427">
        <f t="shared" si="730"/>
        <v>0</v>
      </c>
    </row>
    <row r="4799" spans="1:16" ht="31" outlineLevel="1" x14ac:dyDescent="0.25">
      <c r="A4799" s="1477">
        <f t="shared" si="735"/>
        <v>18</v>
      </c>
      <c r="B4799" s="1478" t="str">
        <f t="shared" si="735"/>
        <v>Procurement of Gear Box &amp; Wear Resistance liners for coal mills of Unit#5&amp;6 &amp; Supply of Gear Box for Coal Mills of Unit#7</v>
      </c>
      <c r="C4799" s="1477" t="str">
        <f t="shared" si="735"/>
        <v>MERC/TECH 1/CAPEX/20142015/01220</v>
      </c>
      <c r="D4799" s="1479">
        <f t="shared" si="735"/>
        <v>41968</v>
      </c>
      <c r="E4799" s="1383">
        <f t="shared" si="735"/>
        <v>11.914453259999998</v>
      </c>
      <c r="F4799" s="1480">
        <f t="shared" si="727"/>
        <v>0</v>
      </c>
      <c r="G4799" s="1480">
        <f t="shared" si="728"/>
        <v>0</v>
      </c>
      <c r="H4799" s="1480">
        <f t="shared" si="731"/>
        <v>0</v>
      </c>
      <c r="I4799" s="1480">
        <v>0</v>
      </c>
      <c r="J4799" s="1480">
        <v>0</v>
      </c>
      <c r="K4799" s="1480"/>
      <c r="L4799" s="1480"/>
      <c r="M4799" s="1480">
        <f t="shared" si="732"/>
        <v>0</v>
      </c>
      <c r="N4799" s="1480">
        <f t="shared" si="733"/>
        <v>0</v>
      </c>
      <c r="O4799" s="1481">
        <f t="shared" si="729"/>
        <v>0</v>
      </c>
      <c r="P4799" s="1427">
        <f t="shared" si="730"/>
        <v>0</v>
      </c>
    </row>
    <row r="4800" spans="1:16" ht="62" outlineLevel="1" x14ac:dyDescent="0.25">
      <c r="A4800" s="1482">
        <f t="shared" si="735"/>
        <v>18.100000000000001</v>
      </c>
      <c r="B4800" s="1483" t="str">
        <f t="shared" si="735"/>
        <v>Complete bevel gear stage consisting of pinion with part nos 100, 106, 107, 109, 110, 158, 159 and gear with part nos 102, 401, 402, 12 X 403 of Flender make Bocholt KMS 850 Gear Boxes of XRP-1043 Coal Mill in Unit#5&amp;6.</v>
      </c>
      <c r="C4800" s="1482" t="str">
        <f t="shared" si="735"/>
        <v>MERC/TECH 1/CAPEX/20142015/01220</v>
      </c>
      <c r="D4800" s="1390">
        <f t="shared" si="735"/>
        <v>41968</v>
      </c>
      <c r="E4800" s="560">
        <f t="shared" si="735"/>
        <v>4.4387999999999996</v>
      </c>
      <c r="F4800" s="1508">
        <f t="shared" si="727"/>
        <v>1.621920096</v>
      </c>
      <c r="G4800" s="1508">
        <f t="shared" si="728"/>
        <v>1.621920096</v>
      </c>
      <c r="H4800" s="1508">
        <f t="shared" si="731"/>
        <v>0</v>
      </c>
      <c r="I4800" s="1480">
        <v>0</v>
      </c>
      <c r="J4800" s="1480">
        <v>0</v>
      </c>
      <c r="K4800" s="1508"/>
      <c r="L4800" s="1508"/>
      <c r="M4800" s="1509">
        <f t="shared" si="732"/>
        <v>0</v>
      </c>
      <c r="N4800" s="1508">
        <f t="shared" si="733"/>
        <v>0</v>
      </c>
      <c r="O4800" s="1481">
        <f t="shared" si="729"/>
        <v>0</v>
      </c>
      <c r="P4800" s="1427">
        <f t="shared" si="730"/>
        <v>0</v>
      </c>
    </row>
    <row r="4801" spans="1:16" ht="31" outlineLevel="1" x14ac:dyDescent="0.25">
      <c r="A4801" s="1482">
        <f t="shared" si="735"/>
        <v>18.2</v>
      </c>
      <c r="B4801" s="1483" t="str">
        <f t="shared" si="735"/>
        <v>Manufacturing, Supply and Application of Wear Resistance Liners inside the mill body of XRP 1043 Coal Mill in unit-5&amp;6</v>
      </c>
      <c r="C4801" s="1482" t="str">
        <f t="shared" si="735"/>
        <v>MERC/TECH 1/CAPEX/20142015/01220</v>
      </c>
      <c r="D4801" s="1390">
        <f t="shared" si="735"/>
        <v>41968</v>
      </c>
      <c r="E4801" s="560">
        <f t="shared" si="735"/>
        <v>2.2756532600000003</v>
      </c>
      <c r="F4801" s="1508">
        <f t="shared" si="727"/>
        <v>2.2756532600000003</v>
      </c>
      <c r="G4801" s="1508">
        <f t="shared" si="728"/>
        <v>2.2756532600000003</v>
      </c>
      <c r="H4801" s="1508">
        <f t="shared" si="731"/>
        <v>0</v>
      </c>
      <c r="I4801" s="1480">
        <v>0</v>
      </c>
      <c r="J4801" s="1480">
        <v>0</v>
      </c>
      <c r="K4801" s="1508"/>
      <c r="L4801" s="1508"/>
      <c r="M4801" s="1509">
        <f t="shared" si="732"/>
        <v>0</v>
      </c>
      <c r="N4801" s="1508">
        <f t="shared" si="733"/>
        <v>0</v>
      </c>
      <c r="O4801" s="1481">
        <f t="shared" si="729"/>
        <v>0</v>
      </c>
      <c r="P4801" s="1427">
        <f t="shared" si="730"/>
        <v>0</v>
      </c>
    </row>
    <row r="4802" spans="1:16" ht="62" outlineLevel="1" x14ac:dyDescent="0.25">
      <c r="A4802" s="1482">
        <f t="shared" si="735"/>
        <v>18.3</v>
      </c>
      <c r="B4802" s="1483" t="str">
        <f t="shared" si="735"/>
        <v>Complete Gear Box type H2C630 without coupling, without lubrication unit. As per order CMD ref: 20/0900212-GA Dwg No 524932 and as per attached list for main reducer gear box of coal mill BBD 4772 in Unit#7.</v>
      </c>
      <c r="C4802" s="1482" t="str">
        <f t="shared" si="735"/>
        <v>MERC/TECH 1/CAPEX/20142015/01220</v>
      </c>
      <c r="D4802" s="1390">
        <f t="shared" si="735"/>
        <v>41968</v>
      </c>
      <c r="E4802" s="560">
        <f t="shared" si="735"/>
        <v>4.4664999999999999</v>
      </c>
      <c r="F4802" s="1508">
        <f t="shared" si="727"/>
        <v>2.2257651389999999</v>
      </c>
      <c r="G4802" s="1508">
        <f t="shared" si="728"/>
        <v>2.2257651389999999</v>
      </c>
      <c r="H4802" s="1508">
        <f t="shared" si="731"/>
        <v>0</v>
      </c>
      <c r="I4802" s="1480">
        <v>0</v>
      </c>
      <c r="J4802" s="1480">
        <v>0</v>
      </c>
      <c r="K4802" s="1508"/>
      <c r="L4802" s="1508"/>
      <c r="M4802" s="1509">
        <f t="shared" si="732"/>
        <v>0</v>
      </c>
      <c r="N4802" s="1508">
        <f t="shared" si="733"/>
        <v>0</v>
      </c>
      <c r="O4802" s="1481">
        <f t="shared" si="729"/>
        <v>0</v>
      </c>
      <c r="P4802" s="1427">
        <f t="shared" si="730"/>
        <v>0</v>
      </c>
    </row>
    <row r="4803" spans="1:16" ht="31" outlineLevel="1" x14ac:dyDescent="0.25">
      <c r="A4803" s="1482">
        <f t="shared" si="735"/>
        <v>0</v>
      </c>
      <c r="B4803" s="1483" t="str">
        <f t="shared" si="735"/>
        <v>IDC</v>
      </c>
      <c r="C4803" s="1482" t="str">
        <f t="shared" si="735"/>
        <v>MERC/TECH 1/CAPEX/20142015/01220</v>
      </c>
      <c r="D4803" s="1390">
        <f t="shared" si="735"/>
        <v>41968</v>
      </c>
      <c r="E4803" s="560">
        <f t="shared" si="735"/>
        <v>0.73350000000000004</v>
      </c>
      <c r="F4803" s="1508">
        <f t="shared" si="727"/>
        <v>0</v>
      </c>
      <c r="G4803" s="1508">
        <f t="shared" si="728"/>
        <v>0</v>
      </c>
      <c r="H4803" s="1508">
        <f t="shared" si="731"/>
        <v>0</v>
      </c>
      <c r="I4803" s="1480">
        <v>0</v>
      </c>
      <c r="J4803" s="1480">
        <v>0</v>
      </c>
      <c r="K4803" s="1508"/>
      <c r="L4803" s="1508"/>
      <c r="M4803" s="1509">
        <f t="shared" si="732"/>
        <v>0</v>
      </c>
      <c r="N4803" s="1508">
        <f t="shared" si="733"/>
        <v>0</v>
      </c>
      <c r="O4803" s="1481">
        <f t="shared" si="729"/>
        <v>0</v>
      </c>
      <c r="P4803" s="1427">
        <f t="shared" si="730"/>
        <v>0</v>
      </c>
    </row>
    <row r="4804" spans="1:16" ht="31" outlineLevel="1" x14ac:dyDescent="0.25">
      <c r="A4804" s="1477">
        <f t="shared" si="735"/>
        <v>19</v>
      </c>
      <c r="B4804" s="1478" t="str">
        <f t="shared" si="735"/>
        <v>Procurement &amp; Replacement of Condenser tubes for 500MW Unit-6 &amp; BFP cartridge for Unit 5, 6 &amp; 7</v>
      </c>
      <c r="C4804" s="1477" t="str">
        <f t="shared" si="735"/>
        <v>MERC/TECH 1/CAPEX/20142015/00950</v>
      </c>
      <c r="D4804" s="1479">
        <f t="shared" si="735"/>
        <v>41893</v>
      </c>
      <c r="E4804" s="1383">
        <f t="shared" si="735"/>
        <v>13.163734</v>
      </c>
      <c r="F4804" s="1480">
        <f t="shared" si="727"/>
        <v>0</v>
      </c>
      <c r="G4804" s="1480">
        <f t="shared" si="728"/>
        <v>0</v>
      </c>
      <c r="H4804" s="1480">
        <f t="shared" si="731"/>
        <v>0</v>
      </c>
      <c r="I4804" s="1480">
        <v>0</v>
      </c>
      <c r="J4804" s="1480">
        <v>0</v>
      </c>
      <c r="K4804" s="1480"/>
      <c r="L4804" s="1480"/>
      <c r="M4804" s="1480">
        <f t="shared" si="732"/>
        <v>0</v>
      </c>
      <c r="N4804" s="1480">
        <f t="shared" si="733"/>
        <v>0</v>
      </c>
      <c r="O4804" s="1481">
        <f t="shared" si="729"/>
        <v>0</v>
      </c>
      <c r="P4804" s="1427">
        <f t="shared" si="730"/>
        <v>0</v>
      </c>
    </row>
    <row r="4805" spans="1:16" ht="31" outlineLevel="1" x14ac:dyDescent="0.25">
      <c r="A4805" s="1482">
        <f t="shared" si="735"/>
        <v>19.100000000000001</v>
      </c>
      <c r="B4805" s="1483" t="str">
        <f t="shared" si="735"/>
        <v>Procurement of Cartridge Assembly for Boiler Feed Pump type FK 4E 36</v>
      </c>
      <c r="C4805" s="1482" t="str">
        <f t="shared" si="735"/>
        <v>MERC/TECH 1/CAPEX/20142015/00950</v>
      </c>
      <c r="D4805" s="1390">
        <f t="shared" si="735"/>
        <v>41893</v>
      </c>
      <c r="E4805" s="560">
        <f t="shared" si="735"/>
        <v>4.87</v>
      </c>
      <c r="F4805" s="1508">
        <f t="shared" si="727"/>
        <v>2.8937499999999998</v>
      </c>
      <c r="G4805" s="1508">
        <f t="shared" si="728"/>
        <v>2.8937499999999998</v>
      </c>
      <c r="H4805" s="1508">
        <f t="shared" si="731"/>
        <v>0</v>
      </c>
      <c r="I4805" s="1480">
        <v>0</v>
      </c>
      <c r="J4805" s="1480">
        <v>0</v>
      </c>
      <c r="K4805" s="1508"/>
      <c r="L4805" s="1508"/>
      <c r="M4805" s="1509">
        <f t="shared" si="732"/>
        <v>0</v>
      </c>
      <c r="N4805" s="1508">
        <f t="shared" si="733"/>
        <v>0</v>
      </c>
      <c r="O4805" s="1481">
        <f t="shared" si="729"/>
        <v>0</v>
      </c>
      <c r="P4805" s="1427">
        <f t="shared" si="730"/>
        <v>0</v>
      </c>
    </row>
    <row r="4806" spans="1:16" ht="31" outlineLevel="1" x14ac:dyDescent="0.25">
      <c r="A4806" s="1482">
        <f t="shared" si="735"/>
        <v>19.2</v>
      </c>
      <c r="B4806" s="1483" t="str">
        <f t="shared" si="735"/>
        <v>Procurement &amp; Replacement of Condenser tubes for 500MW Unit-6</v>
      </c>
      <c r="C4806" s="1482" t="str">
        <f t="shared" si="735"/>
        <v>MERC/TECH 1/CAPEX/20142015/00950</v>
      </c>
      <c r="D4806" s="1390">
        <f t="shared" si="735"/>
        <v>41893</v>
      </c>
      <c r="E4806" s="560">
        <f t="shared" si="735"/>
        <v>7.0937340000000004</v>
      </c>
      <c r="F4806" s="1508">
        <f t="shared" si="727"/>
        <v>6.1698368290000003</v>
      </c>
      <c r="G4806" s="1508">
        <f t="shared" si="728"/>
        <v>6.1698368290000003</v>
      </c>
      <c r="H4806" s="1508">
        <f t="shared" si="731"/>
        <v>0</v>
      </c>
      <c r="I4806" s="1480">
        <v>0</v>
      </c>
      <c r="J4806" s="1480">
        <v>0</v>
      </c>
      <c r="K4806" s="1508"/>
      <c r="L4806" s="1508"/>
      <c r="M4806" s="1509">
        <f t="shared" si="732"/>
        <v>0</v>
      </c>
      <c r="N4806" s="1508">
        <f t="shared" si="733"/>
        <v>0</v>
      </c>
      <c r="O4806" s="1481">
        <f t="shared" si="729"/>
        <v>0</v>
      </c>
      <c r="P4806" s="1427">
        <f t="shared" si="730"/>
        <v>0</v>
      </c>
    </row>
    <row r="4807" spans="1:16" ht="31" outlineLevel="1" x14ac:dyDescent="0.25">
      <c r="A4807" s="1482">
        <f t="shared" si="735"/>
        <v>0</v>
      </c>
      <c r="B4807" s="1483" t="str">
        <f t="shared" si="735"/>
        <v>IDC</v>
      </c>
      <c r="C4807" s="1482" t="str">
        <f t="shared" si="735"/>
        <v>MERC/TECH 1/CAPEX/20142015/00950</v>
      </c>
      <c r="D4807" s="1390">
        <f t="shared" si="735"/>
        <v>41893</v>
      </c>
      <c r="E4807" s="560">
        <f t="shared" si="735"/>
        <v>1.2</v>
      </c>
      <c r="F4807" s="1508">
        <f t="shared" si="727"/>
        <v>0</v>
      </c>
      <c r="G4807" s="1508">
        <f t="shared" si="728"/>
        <v>0</v>
      </c>
      <c r="H4807" s="1508">
        <f t="shared" si="731"/>
        <v>0</v>
      </c>
      <c r="I4807" s="1480">
        <v>0</v>
      </c>
      <c r="J4807" s="1480">
        <v>0</v>
      </c>
      <c r="K4807" s="1508"/>
      <c r="L4807" s="1508"/>
      <c r="M4807" s="1509">
        <f t="shared" si="732"/>
        <v>0</v>
      </c>
      <c r="N4807" s="1508">
        <f t="shared" si="733"/>
        <v>0</v>
      </c>
      <c r="O4807" s="1481">
        <f t="shared" si="729"/>
        <v>0</v>
      </c>
      <c r="P4807" s="1427">
        <f t="shared" si="730"/>
        <v>0</v>
      </c>
    </row>
    <row r="4808" spans="1:16" ht="31" outlineLevel="1" x14ac:dyDescent="0.25">
      <c r="A4808" s="1477">
        <f t="shared" si="735"/>
        <v>20</v>
      </c>
      <c r="B4808" s="1478" t="str">
        <f t="shared" si="735"/>
        <v>210/500 MW CHP performance improvement</v>
      </c>
      <c r="C4808" s="1477" t="str">
        <f t="shared" si="735"/>
        <v>MERC/Cell No. 1/CAPEX/ 20152016/00634</v>
      </c>
      <c r="D4808" s="1479">
        <f t="shared" si="735"/>
        <v>42256</v>
      </c>
      <c r="E4808" s="1383">
        <f t="shared" si="735"/>
        <v>16.303000000000001</v>
      </c>
      <c r="F4808" s="1480">
        <f t="shared" si="727"/>
        <v>0</v>
      </c>
      <c r="G4808" s="1480">
        <f t="shared" si="728"/>
        <v>0</v>
      </c>
      <c r="H4808" s="1480">
        <f t="shared" si="731"/>
        <v>0</v>
      </c>
      <c r="I4808" s="1480">
        <v>0</v>
      </c>
      <c r="J4808" s="1480">
        <v>0</v>
      </c>
      <c r="K4808" s="1480"/>
      <c r="L4808" s="1480"/>
      <c r="M4808" s="1480">
        <f t="shared" si="732"/>
        <v>0</v>
      </c>
      <c r="N4808" s="1480">
        <f t="shared" si="733"/>
        <v>0</v>
      </c>
      <c r="O4808" s="1481">
        <f t="shared" si="729"/>
        <v>0</v>
      </c>
      <c r="P4808" s="1427">
        <f t="shared" si="730"/>
        <v>0</v>
      </c>
    </row>
    <row r="4809" spans="1:16" ht="31" outlineLevel="1" x14ac:dyDescent="0.25">
      <c r="A4809" s="1482">
        <f t="shared" si="735"/>
        <v>20.100000000000001</v>
      </c>
      <c r="B4809" s="1483" t="str">
        <f t="shared" si="735"/>
        <v>Provision of over band suspended magnets for CHP-C.</v>
      </c>
      <c r="C4809" s="1482" t="str">
        <f t="shared" si="735"/>
        <v>MERC/Cell No. 1/CAPEX/ 20152016/00634</v>
      </c>
      <c r="D4809" s="1390">
        <f t="shared" si="735"/>
        <v>42256</v>
      </c>
      <c r="E4809" s="560">
        <f t="shared" si="735"/>
        <v>1.077</v>
      </c>
      <c r="F4809" s="1508">
        <f t="shared" si="727"/>
        <v>0.90834481999999994</v>
      </c>
      <c r="G4809" s="1508">
        <f t="shared" si="728"/>
        <v>0.90834481999999994</v>
      </c>
      <c r="H4809" s="1508">
        <f t="shared" si="731"/>
        <v>0</v>
      </c>
      <c r="I4809" s="1480">
        <v>0</v>
      </c>
      <c r="J4809" s="1480">
        <v>0</v>
      </c>
      <c r="K4809" s="1508"/>
      <c r="L4809" s="1508"/>
      <c r="M4809" s="1509">
        <f t="shared" si="732"/>
        <v>0</v>
      </c>
      <c r="N4809" s="1508">
        <f t="shared" si="733"/>
        <v>0</v>
      </c>
      <c r="O4809" s="1481">
        <f t="shared" si="729"/>
        <v>0</v>
      </c>
      <c r="P4809" s="1427">
        <f t="shared" si="730"/>
        <v>0</v>
      </c>
    </row>
    <row r="4810" spans="1:16" ht="62" outlineLevel="1" x14ac:dyDescent="0.25">
      <c r="A4810" s="1482">
        <f t="shared" si="735"/>
        <v>20.2</v>
      </c>
      <c r="B4810" s="1483" t="str">
        <f t="shared" si="735"/>
        <v>1. Procurement of HT contactor for bunkering side auxiliary at CHP B
2. Procurement of HT contactor for unloading side Critical Auxiliary at CHP-B</v>
      </c>
      <c r="C4810" s="1482" t="str">
        <f t="shared" si="735"/>
        <v>MERC/Cell No. 1/CAPEX/ 20152016/00634</v>
      </c>
      <c r="D4810" s="1390">
        <f t="shared" si="735"/>
        <v>42256</v>
      </c>
      <c r="E4810" s="560">
        <f t="shared" si="735"/>
        <v>5.7590000000000003</v>
      </c>
      <c r="F4810" s="1508">
        <f t="shared" si="727"/>
        <v>2.894304</v>
      </c>
      <c r="G4810" s="1508">
        <f t="shared" si="728"/>
        <v>2.894304</v>
      </c>
      <c r="H4810" s="1508">
        <f t="shared" si="731"/>
        <v>0</v>
      </c>
      <c r="I4810" s="1480">
        <v>0</v>
      </c>
      <c r="J4810" s="1480">
        <v>0</v>
      </c>
      <c r="K4810" s="1508"/>
      <c r="L4810" s="1508"/>
      <c r="M4810" s="1509">
        <f t="shared" si="732"/>
        <v>0</v>
      </c>
      <c r="N4810" s="1508">
        <f t="shared" si="733"/>
        <v>0</v>
      </c>
      <c r="O4810" s="1481">
        <f t="shared" si="729"/>
        <v>0</v>
      </c>
      <c r="P4810" s="1427">
        <f t="shared" si="730"/>
        <v>0</v>
      </c>
    </row>
    <row r="4811" spans="1:16" ht="31" outlineLevel="1" x14ac:dyDescent="0.25">
      <c r="A4811" s="1482">
        <f t="shared" si="735"/>
        <v>20.3</v>
      </c>
      <c r="B4811" s="1483" t="str">
        <f t="shared" si="735"/>
        <v>Bulldozer BD-155</v>
      </c>
      <c r="C4811" s="1482" t="str">
        <f t="shared" si="735"/>
        <v>MERC/Cell No. 1/CAPEX/ 20152016/00634</v>
      </c>
      <c r="D4811" s="1390">
        <f t="shared" si="735"/>
        <v>42256</v>
      </c>
      <c r="E4811" s="560">
        <f t="shared" si="735"/>
        <v>5.12</v>
      </c>
      <c r="F4811" s="1508">
        <f t="shared" si="727"/>
        <v>7.9707386820000004</v>
      </c>
      <c r="G4811" s="1508">
        <f t="shared" si="728"/>
        <v>7.9707386820000004</v>
      </c>
      <c r="H4811" s="1508">
        <f t="shared" si="731"/>
        <v>0</v>
      </c>
      <c r="I4811" s="1480">
        <v>0</v>
      </c>
      <c r="J4811" s="1480">
        <v>0</v>
      </c>
      <c r="K4811" s="1508"/>
      <c r="L4811" s="1508"/>
      <c r="M4811" s="1509">
        <f t="shared" si="732"/>
        <v>0</v>
      </c>
      <c r="N4811" s="1508">
        <f t="shared" si="733"/>
        <v>0</v>
      </c>
      <c r="O4811" s="1481">
        <f t="shared" si="729"/>
        <v>0</v>
      </c>
      <c r="P4811" s="1427">
        <f t="shared" si="730"/>
        <v>0</v>
      </c>
    </row>
    <row r="4812" spans="1:16" ht="31" outlineLevel="1" x14ac:dyDescent="0.25">
      <c r="A4812" s="1482">
        <f t="shared" ref="A4812:E4827" si="736">A4142</f>
        <v>20.399999999999999</v>
      </c>
      <c r="B4812" s="1483" t="str">
        <f t="shared" si="736"/>
        <v>Modification of wagon tippler CHP-A</v>
      </c>
      <c r="C4812" s="1482" t="str">
        <f t="shared" si="736"/>
        <v>MERC/Cell No. 1/CAPEX/ 20152016/00634</v>
      </c>
      <c r="D4812" s="1390">
        <f t="shared" si="736"/>
        <v>42256</v>
      </c>
      <c r="E4812" s="560">
        <f t="shared" si="736"/>
        <v>3.8969999999999998</v>
      </c>
      <c r="F4812" s="1508">
        <f t="shared" si="727"/>
        <v>4.488435977</v>
      </c>
      <c r="G4812" s="1508">
        <f t="shared" si="728"/>
        <v>4.488435977</v>
      </c>
      <c r="H4812" s="1508">
        <f t="shared" si="731"/>
        <v>0</v>
      </c>
      <c r="I4812" s="1480">
        <v>0</v>
      </c>
      <c r="J4812" s="1480">
        <v>0</v>
      </c>
      <c r="K4812" s="1508"/>
      <c r="L4812" s="1508"/>
      <c r="M4812" s="1509">
        <f t="shared" si="732"/>
        <v>0</v>
      </c>
      <c r="N4812" s="1508">
        <f t="shared" si="733"/>
        <v>0</v>
      </c>
      <c r="O4812" s="1481">
        <f t="shared" si="729"/>
        <v>0</v>
      </c>
      <c r="P4812" s="1427">
        <f t="shared" si="730"/>
        <v>0</v>
      </c>
    </row>
    <row r="4813" spans="1:16" ht="31" outlineLevel="1" x14ac:dyDescent="0.25">
      <c r="A4813" s="1482">
        <f t="shared" si="736"/>
        <v>0</v>
      </c>
      <c r="B4813" s="1483" t="str">
        <f t="shared" si="736"/>
        <v>IDC</v>
      </c>
      <c r="C4813" s="1482" t="str">
        <f t="shared" si="736"/>
        <v>MERC/Cell No. 1/CAPEX/ 20152016/00634</v>
      </c>
      <c r="D4813" s="1390">
        <f t="shared" si="736"/>
        <v>42256</v>
      </c>
      <c r="E4813" s="560">
        <f t="shared" si="736"/>
        <v>0.45</v>
      </c>
      <c r="F4813" s="1508">
        <f t="shared" si="727"/>
        <v>0</v>
      </c>
      <c r="G4813" s="1508">
        <f t="shared" si="728"/>
        <v>0</v>
      </c>
      <c r="H4813" s="1508">
        <f t="shared" si="731"/>
        <v>0</v>
      </c>
      <c r="I4813" s="1480">
        <v>0</v>
      </c>
      <c r="J4813" s="1480">
        <v>0</v>
      </c>
      <c r="K4813" s="1508"/>
      <c r="L4813" s="1508"/>
      <c r="M4813" s="1509">
        <f t="shared" si="732"/>
        <v>0</v>
      </c>
      <c r="N4813" s="1508">
        <f t="shared" si="733"/>
        <v>0</v>
      </c>
      <c r="O4813" s="1481">
        <f t="shared" si="729"/>
        <v>0</v>
      </c>
      <c r="P4813" s="1427">
        <f t="shared" si="730"/>
        <v>0</v>
      </c>
    </row>
    <row r="4814" spans="1:16" ht="15.5" outlineLevel="1" x14ac:dyDescent="0.25">
      <c r="A4814" s="1489">
        <f t="shared" si="736"/>
        <v>21</v>
      </c>
      <c r="B4814" s="1490" t="str">
        <f t="shared" si="736"/>
        <v>Improvement in Electrical Systems</v>
      </c>
      <c r="C4814" s="1477" t="str">
        <f t="shared" si="736"/>
        <v>MERC/CAPEX/20162017/00192</v>
      </c>
      <c r="D4814" s="1479">
        <f t="shared" si="736"/>
        <v>42500</v>
      </c>
      <c r="E4814" s="1383">
        <f t="shared" si="736"/>
        <v>10.499999999999998</v>
      </c>
      <c r="F4814" s="1480">
        <f t="shared" si="727"/>
        <v>0</v>
      </c>
      <c r="G4814" s="1480">
        <f t="shared" si="728"/>
        <v>0</v>
      </c>
      <c r="H4814" s="1480">
        <f t="shared" si="731"/>
        <v>0</v>
      </c>
      <c r="I4814" s="1480">
        <v>0</v>
      </c>
      <c r="J4814" s="1480">
        <v>0</v>
      </c>
      <c r="K4814" s="1480"/>
      <c r="L4814" s="1480"/>
      <c r="M4814" s="1480">
        <f t="shared" si="732"/>
        <v>0</v>
      </c>
      <c r="N4814" s="1480">
        <f t="shared" si="733"/>
        <v>0</v>
      </c>
      <c r="O4814" s="1481">
        <f t="shared" si="729"/>
        <v>0</v>
      </c>
      <c r="P4814" s="1427">
        <f t="shared" si="730"/>
        <v>0</v>
      </c>
    </row>
    <row r="4815" spans="1:16" ht="31" outlineLevel="1" x14ac:dyDescent="0.25">
      <c r="A4815" s="1484">
        <f t="shared" si="736"/>
        <v>21.1</v>
      </c>
      <c r="B4815" s="1485" t="str">
        <f t="shared" si="736"/>
        <v>Station Battery set 1 &amp; 2 of 220V, 2190  AH Capacity (2V X 110 Cells) New type Make- Exide</v>
      </c>
      <c r="C4815" s="1482" t="str">
        <f t="shared" si="736"/>
        <v>MERC/CAPEX/20162017/00192</v>
      </c>
      <c r="D4815" s="1390">
        <f t="shared" si="736"/>
        <v>42500</v>
      </c>
      <c r="E4815" s="560">
        <f t="shared" si="736"/>
        <v>2.71</v>
      </c>
      <c r="F4815" s="1508">
        <f t="shared" si="727"/>
        <v>3.7130741999999999</v>
      </c>
      <c r="G4815" s="1508">
        <f t="shared" si="728"/>
        <v>3.7130741</v>
      </c>
      <c r="H4815" s="1508">
        <f t="shared" si="731"/>
        <v>9.9999999836342113E-8</v>
      </c>
      <c r="I4815" s="1480">
        <v>0</v>
      </c>
      <c r="J4815" s="1480">
        <v>0</v>
      </c>
      <c r="K4815" s="1508"/>
      <c r="L4815" s="1508"/>
      <c r="M4815" s="1509">
        <f t="shared" si="732"/>
        <v>0</v>
      </c>
      <c r="N4815" s="1508">
        <f t="shared" si="733"/>
        <v>9.9999999836342113E-8</v>
      </c>
      <c r="O4815" s="1481">
        <f t="shared" si="729"/>
        <v>0</v>
      </c>
      <c r="P4815" s="1427">
        <f t="shared" si="730"/>
        <v>0</v>
      </c>
    </row>
    <row r="4816" spans="1:16" ht="31" outlineLevel="1" x14ac:dyDescent="0.25">
      <c r="A4816" s="1484">
        <f t="shared" si="736"/>
        <v>21.2</v>
      </c>
      <c r="B4816" s="1485" t="str">
        <f t="shared" si="736"/>
        <v>The G1 &amp; G2 Battery sets of 24V, 1825AH Capacity (13 Nos. cells X 2= 26 Nos. cells) plantetype Make- Exide</v>
      </c>
      <c r="C4816" s="1482" t="str">
        <f t="shared" si="736"/>
        <v>MERC/CAPEX/20162017/00192</v>
      </c>
      <c r="D4816" s="1390">
        <f t="shared" si="736"/>
        <v>42500</v>
      </c>
      <c r="E4816" s="560">
        <f t="shared" si="736"/>
        <v>0.55000000000000004</v>
      </c>
      <c r="F4816" s="1508">
        <f t="shared" si="727"/>
        <v>0.53016459999999999</v>
      </c>
      <c r="G4816" s="1508">
        <f t="shared" si="728"/>
        <v>0.53016459999999999</v>
      </c>
      <c r="H4816" s="1508">
        <f t="shared" si="731"/>
        <v>0</v>
      </c>
      <c r="I4816" s="1480">
        <v>0</v>
      </c>
      <c r="J4816" s="1480">
        <v>0</v>
      </c>
      <c r="K4816" s="1508"/>
      <c r="L4816" s="1508"/>
      <c r="M4816" s="1509">
        <f t="shared" si="732"/>
        <v>0</v>
      </c>
      <c r="N4816" s="1508">
        <f t="shared" si="733"/>
        <v>0</v>
      </c>
      <c r="O4816" s="1481">
        <f t="shared" si="729"/>
        <v>0</v>
      </c>
      <c r="P4816" s="1427">
        <f t="shared" si="730"/>
        <v>0</v>
      </c>
    </row>
    <row r="4817" spans="1:16" ht="31" outlineLevel="1" x14ac:dyDescent="0.25">
      <c r="A4817" s="1484">
        <f t="shared" si="736"/>
        <v>21.3</v>
      </c>
      <c r="B4817" s="1485" t="str">
        <f t="shared" si="736"/>
        <v>Replacement of 6.6 KV HT breakers at Ash Handling Plant by 6.6 KV SF6 contactors  suitable for frequent ON/OFFs.</v>
      </c>
      <c r="C4817" s="1482" t="str">
        <f t="shared" si="736"/>
        <v>MERC/CAPEX/20162017/00192</v>
      </c>
      <c r="D4817" s="1390">
        <f t="shared" si="736"/>
        <v>42500</v>
      </c>
      <c r="E4817" s="560">
        <f t="shared" si="736"/>
        <v>3.12</v>
      </c>
      <c r="F4817" s="1508">
        <f t="shared" si="727"/>
        <v>3.5539240080000001</v>
      </c>
      <c r="G4817" s="1508">
        <f t="shared" si="728"/>
        <v>3.5539240080000001</v>
      </c>
      <c r="H4817" s="1508">
        <f t="shared" si="731"/>
        <v>0</v>
      </c>
      <c r="I4817" s="1480">
        <v>0</v>
      </c>
      <c r="J4817" s="1480">
        <v>0</v>
      </c>
      <c r="K4817" s="1508"/>
      <c r="L4817" s="1508"/>
      <c r="M4817" s="1509">
        <f t="shared" si="732"/>
        <v>0</v>
      </c>
      <c r="N4817" s="1508">
        <f t="shared" si="733"/>
        <v>0</v>
      </c>
      <c r="O4817" s="1481">
        <f t="shared" si="729"/>
        <v>0</v>
      </c>
      <c r="P4817" s="1427">
        <f t="shared" si="730"/>
        <v>0</v>
      </c>
    </row>
    <row r="4818" spans="1:16" ht="15.5" outlineLevel="1" x14ac:dyDescent="0.25">
      <c r="A4818" s="1484">
        <f t="shared" si="736"/>
        <v>21.4</v>
      </c>
      <c r="B4818" s="1485" t="str">
        <f t="shared" si="736"/>
        <v>Micro-processor based flame scanners at Unit#3&amp;4 (210 MW)</v>
      </c>
      <c r="C4818" s="1482" t="str">
        <f t="shared" si="736"/>
        <v>MERC/CAPEX/20162017/00192</v>
      </c>
      <c r="D4818" s="1390">
        <f t="shared" si="736"/>
        <v>42500</v>
      </c>
      <c r="E4818" s="560">
        <f t="shared" si="736"/>
        <v>2.34</v>
      </c>
      <c r="F4818" s="1508">
        <f t="shared" si="727"/>
        <v>3.3241367359999998</v>
      </c>
      <c r="G4818" s="1508">
        <f t="shared" si="728"/>
        <v>3.3241367359999998</v>
      </c>
      <c r="H4818" s="1508">
        <f t="shared" si="731"/>
        <v>0</v>
      </c>
      <c r="I4818" s="1480">
        <v>0</v>
      </c>
      <c r="J4818" s="1480">
        <v>0</v>
      </c>
      <c r="K4818" s="1508"/>
      <c r="L4818" s="1508"/>
      <c r="M4818" s="1509">
        <f t="shared" si="732"/>
        <v>0</v>
      </c>
      <c r="N4818" s="1508">
        <f t="shared" si="733"/>
        <v>0</v>
      </c>
      <c r="O4818" s="1481">
        <f t="shared" si="729"/>
        <v>0</v>
      </c>
      <c r="P4818" s="1427">
        <f t="shared" si="730"/>
        <v>0</v>
      </c>
    </row>
    <row r="4819" spans="1:16" ht="46.5" outlineLevel="1" x14ac:dyDescent="0.25">
      <c r="A4819" s="1484">
        <f t="shared" si="736"/>
        <v>21.5</v>
      </c>
      <c r="B4819" s="1485" t="str">
        <f t="shared" si="736"/>
        <v>Supply, erection and commissioning of Generator Protection scheme as per enclosed material schedule and scope of work for Unit-6</v>
      </c>
      <c r="C4819" s="1482" t="str">
        <f t="shared" si="736"/>
        <v>MERC/CAPEX/20162017/00192</v>
      </c>
      <c r="D4819" s="1390">
        <f t="shared" si="736"/>
        <v>42500</v>
      </c>
      <c r="E4819" s="560">
        <f t="shared" si="736"/>
        <v>1.03</v>
      </c>
      <c r="F4819" s="1508">
        <f t="shared" si="727"/>
        <v>1.1915800000000001</v>
      </c>
      <c r="G4819" s="1508">
        <f t="shared" si="728"/>
        <v>1.1915800000000001</v>
      </c>
      <c r="H4819" s="1508">
        <f t="shared" si="731"/>
        <v>0</v>
      </c>
      <c r="I4819" s="1480">
        <v>0</v>
      </c>
      <c r="J4819" s="1480">
        <v>0</v>
      </c>
      <c r="K4819" s="1508"/>
      <c r="L4819" s="1508"/>
      <c r="M4819" s="1509">
        <f t="shared" si="732"/>
        <v>0</v>
      </c>
      <c r="N4819" s="1508">
        <f t="shared" si="733"/>
        <v>0</v>
      </c>
      <c r="O4819" s="1481">
        <f t="shared" si="729"/>
        <v>0</v>
      </c>
      <c r="P4819" s="1427">
        <f t="shared" si="730"/>
        <v>0</v>
      </c>
    </row>
    <row r="4820" spans="1:16" ht="15.5" outlineLevel="1" x14ac:dyDescent="0.25">
      <c r="A4820" s="1484">
        <f t="shared" si="736"/>
        <v>0</v>
      </c>
      <c r="B4820" s="1485" t="str">
        <f t="shared" si="736"/>
        <v>IDC</v>
      </c>
      <c r="C4820" s="1482" t="str">
        <f t="shared" si="736"/>
        <v>MERC/CAPEX/20162017/00192</v>
      </c>
      <c r="D4820" s="1390">
        <f t="shared" si="736"/>
        <v>42500</v>
      </c>
      <c r="E4820" s="560">
        <f t="shared" si="736"/>
        <v>0.75</v>
      </c>
      <c r="F4820" s="1508">
        <f t="shared" si="727"/>
        <v>0</v>
      </c>
      <c r="G4820" s="1508">
        <f t="shared" si="728"/>
        <v>0</v>
      </c>
      <c r="H4820" s="1508">
        <f t="shared" si="731"/>
        <v>0</v>
      </c>
      <c r="I4820" s="1480">
        <v>0</v>
      </c>
      <c r="J4820" s="1480">
        <v>0</v>
      </c>
      <c r="K4820" s="1508"/>
      <c r="L4820" s="1508"/>
      <c r="M4820" s="1509">
        <f t="shared" si="732"/>
        <v>0</v>
      </c>
      <c r="N4820" s="1508">
        <f t="shared" si="733"/>
        <v>0</v>
      </c>
      <c r="O4820" s="1481">
        <f t="shared" si="729"/>
        <v>0</v>
      </c>
      <c r="P4820" s="1427">
        <f t="shared" si="730"/>
        <v>0</v>
      </c>
    </row>
    <row r="4821" spans="1:16" ht="31" outlineLevel="1" x14ac:dyDescent="0.25">
      <c r="A4821" s="1489">
        <f t="shared" si="736"/>
        <v>22</v>
      </c>
      <c r="B4821" s="1490" t="str">
        <f t="shared" si="736"/>
        <v>Implementation of MPCB related ESP performance Improvement schemes at Chandrapur STPS Unit 3 to 7</v>
      </c>
      <c r="C4821" s="1486" t="str">
        <f t="shared" si="736"/>
        <v>MERC/CAPEX/20152016/00420</v>
      </c>
      <c r="D4821" s="1487">
        <f t="shared" si="736"/>
        <v>42584</v>
      </c>
      <c r="E4821" s="1383">
        <f t="shared" si="736"/>
        <v>18.170000000000002</v>
      </c>
      <c r="F4821" s="1480">
        <f t="shared" si="727"/>
        <v>0</v>
      </c>
      <c r="G4821" s="1480">
        <f t="shared" si="728"/>
        <v>0</v>
      </c>
      <c r="H4821" s="1480">
        <f t="shared" si="731"/>
        <v>0</v>
      </c>
      <c r="I4821" s="1480">
        <v>0</v>
      </c>
      <c r="J4821" s="1480">
        <v>0</v>
      </c>
      <c r="K4821" s="1480"/>
      <c r="L4821" s="1480"/>
      <c r="M4821" s="1480">
        <f t="shared" si="732"/>
        <v>0</v>
      </c>
      <c r="N4821" s="1480">
        <f t="shared" si="733"/>
        <v>0</v>
      </c>
      <c r="O4821" s="1481">
        <f t="shared" si="729"/>
        <v>0</v>
      </c>
      <c r="P4821" s="1427">
        <f t="shared" si="730"/>
        <v>0</v>
      </c>
    </row>
    <row r="4822" spans="1:16" ht="31" outlineLevel="1" x14ac:dyDescent="0.25">
      <c r="A4822" s="1484">
        <f t="shared" si="736"/>
        <v>22.1</v>
      </c>
      <c r="B4822" s="1485" t="str">
        <f t="shared" si="736"/>
        <v>Supply of internals of ESP. ( model-2FAA-5 X 32-13290-2) 1st &amp; 2nd fields in Unit #3 &amp; Works</v>
      </c>
      <c r="C4822" s="1488" t="str">
        <f t="shared" si="736"/>
        <v>MERC/CAPEX/20152016/00420</v>
      </c>
      <c r="D4822" s="1413">
        <f t="shared" si="736"/>
        <v>42584</v>
      </c>
      <c r="E4822" s="560">
        <f t="shared" si="736"/>
        <v>4.6100000000000003</v>
      </c>
      <c r="F4822" s="1508">
        <f t="shared" si="727"/>
        <v>3.9121787139999999</v>
      </c>
      <c r="G4822" s="1508">
        <f t="shared" si="728"/>
        <v>3.9121787139999999</v>
      </c>
      <c r="H4822" s="1508">
        <f t="shared" si="731"/>
        <v>0</v>
      </c>
      <c r="I4822" s="1480">
        <v>0</v>
      </c>
      <c r="J4822" s="1480">
        <v>0</v>
      </c>
      <c r="K4822" s="1508"/>
      <c r="L4822" s="1508"/>
      <c r="M4822" s="1509">
        <f t="shared" si="732"/>
        <v>0</v>
      </c>
      <c r="N4822" s="1508">
        <f t="shared" si="733"/>
        <v>0</v>
      </c>
      <c r="O4822" s="1481">
        <f t="shared" si="729"/>
        <v>0</v>
      </c>
      <c r="P4822" s="1427">
        <f t="shared" si="730"/>
        <v>0</v>
      </c>
    </row>
    <row r="4823" spans="1:16" ht="31" outlineLevel="1" x14ac:dyDescent="0.25">
      <c r="A4823" s="1484">
        <f t="shared" si="736"/>
        <v>22.2</v>
      </c>
      <c r="B4823" s="1485" t="str">
        <f t="shared" si="736"/>
        <v>Supply of internals of ESP. ( model-2FAA-5 X 32-13290-2) 1st &amp; 2nd fields in Unit #4 &amp; Works</v>
      </c>
      <c r="C4823" s="1488" t="str">
        <f t="shared" si="736"/>
        <v>MERC/CAPEX/20152016/00420</v>
      </c>
      <c r="D4823" s="1413">
        <f t="shared" si="736"/>
        <v>42584</v>
      </c>
      <c r="E4823" s="560">
        <f t="shared" si="736"/>
        <v>4.6100000000000003</v>
      </c>
      <c r="F4823" s="1508">
        <f t="shared" si="727"/>
        <v>4.6100000000000003</v>
      </c>
      <c r="G4823" s="1508">
        <f t="shared" si="728"/>
        <v>4.6100000000000003</v>
      </c>
      <c r="H4823" s="1508">
        <f t="shared" si="731"/>
        <v>0</v>
      </c>
      <c r="I4823" s="1480">
        <v>0</v>
      </c>
      <c r="J4823" s="1480">
        <v>0</v>
      </c>
      <c r="K4823" s="1508"/>
      <c r="L4823" s="1508"/>
      <c r="M4823" s="1509">
        <f t="shared" si="732"/>
        <v>0</v>
      </c>
      <c r="N4823" s="1508">
        <f t="shared" si="733"/>
        <v>0</v>
      </c>
      <c r="O4823" s="1481">
        <f t="shared" si="729"/>
        <v>0</v>
      </c>
      <c r="P4823" s="1427">
        <f t="shared" si="730"/>
        <v>0</v>
      </c>
    </row>
    <row r="4824" spans="1:16" ht="31" outlineLevel="1" x14ac:dyDescent="0.25">
      <c r="A4824" s="1484">
        <f t="shared" si="736"/>
        <v>22.3</v>
      </c>
      <c r="B4824" s="1485" t="str">
        <f t="shared" si="736"/>
        <v>Installation of SOx/ NOx analyzers for unit-3 to 7 along with all required hardware and software (Statutory requirement).</v>
      </c>
      <c r="C4824" s="1482" t="str">
        <f t="shared" si="736"/>
        <v>MERC/CAPEX/20152016/00420</v>
      </c>
      <c r="D4824" s="1390">
        <f t="shared" si="736"/>
        <v>42584</v>
      </c>
      <c r="E4824" s="560">
        <f t="shared" si="736"/>
        <v>2.98</v>
      </c>
      <c r="F4824" s="1508">
        <f t="shared" si="727"/>
        <v>1.37732225</v>
      </c>
      <c r="G4824" s="1508">
        <f t="shared" si="728"/>
        <v>1.37732225</v>
      </c>
      <c r="H4824" s="1508">
        <f t="shared" si="731"/>
        <v>0</v>
      </c>
      <c r="I4824" s="1480">
        <v>0</v>
      </c>
      <c r="J4824" s="1480">
        <v>0</v>
      </c>
      <c r="K4824" s="1508"/>
      <c r="L4824" s="1508"/>
      <c r="M4824" s="1509">
        <f t="shared" si="732"/>
        <v>0</v>
      </c>
      <c r="N4824" s="1508">
        <f t="shared" si="733"/>
        <v>0</v>
      </c>
      <c r="O4824" s="1481">
        <f t="shared" si="729"/>
        <v>0</v>
      </c>
      <c r="P4824" s="1427">
        <f t="shared" si="730"/>
        <v>0</v>
      </c>
    </row>
    <row r="4825" spans="1:16" ht="62" outlineLevel="1" x14ac:dyDescent="0.25">
      <c r="A4825" s="1484">
        <f t="shared" si="736"/>
        <v>22.4</v>
      </c>
      <c r="B4825" s="1485" t="str">
        <f t="shared" si="736"/>
        <v>Design, Engineering, Supply, Erection and Commissioning of High pressure MIST/FOG Generating System at Track hopper, WT 1 &amp; 2 of 500MW, Crusher House, Transfer Points &amp; Bunker house of 500MW</v>
      </c>
      <c r="C4825" s="1488" t="str">
        <f t="shared" si="736"/>
        <v>MERC/CAPEX/20152016/00420</v>
      </c>
      <c r="D4825" s="1413">
        <f t="shared" si="736"/>
        <v>42584</v>
      </c>
      <c r="E4825" s="560">
        <f t="shared" si="736"/>
        <v>5.37</v>
      </c>
      <c r="F4825" s="1508">
        <f t="shared" si="727"/>
        <v>4.5728099999999996</v>
      </c>
      <c r="G4825" s="1508">
        <f t="shared" si="728"/>
        <v>4.5728099999999996</v>
      </c>
      <c r="H4825" s="1508">
        <f t="shared" si="731"/>
        <v>0</v>
      </c>
      <c r="I4825" s="1480">
        <v>0</v>
      </c>
      <c r="J4825" s="1480">
        <v>0</v>
      </c>
      <c r="K4825" s="1508"/>
      <c r="L4825" s="1508"/>
      <c r="M4825" s="1509">
        <f t="shared" si="732"/>
        <v>0</v>
      </c>
      <c r="N4825" s="1508">
        <f t="shared" si="733"/>
        <v>0</v>
      </c>
      <c r="O4825" s="1481">
        <f t="shared" si="729"/>
        <v>0</v>
      </c>
      <c r="P4825" s="1427">
        <f t="shared" si="730"/>
        <v>0</v>
      </c>
    </row>
    <row r="4826" spans="1:16" ht="15.5" outlineLevel="1" x14ac:dyDescent="0.25">
      <c r="A4826" s="1484">
        <f t="shared" si="736"/>
        <v>0</v>
      </c>
      <c r="B4826" s="1485" t="str">
        <f t="shared" si="736"/>
        <v>IDC</v>
      </c>
      <c r="C4826" s="1482" t="str">
        <f t="shared" si="736"/>
        <v>MERC/CAPEX/20152016/00420</v>
      </c>
      <c r="D4826" s="1390">
        <f t="shared" si="736"/>
        <v>42584</v>
      </c>
      <c r="E4826" s="560">
        <f t="shared" si="736"/>
        <v>0.6</v>
      </c>
      <c r="F4826" s="1508">
        <f t="shared" si="727"/>
        <v>0</v>
      </c>
      <c r="G4826" s="1508">
        <f t="shared" si="728"/>
        <v>0</v>
      </c>
      <c r="H4826" s="1508">
        <f t="shared" si="731"/>
        <v>0</v>
      </c>
      <c r="I4826" s="1480">
        <v>0</v>
      </c>
      <c r="J4826" s="1480">
        <v>0</v>
      </c>
      <c r="K4826" s="1508"/>
      <c r="L4826" s="1508"/>
      <c r="M4826" s="1509">
        <f t="shared" si="732"/>
        <v>0</v>
      </c>
      <c r="N4826" s="1508">
        <f t="shared" si="733"/>
        <v>0</v>
      </c>
      <c r="O4826" s="1481">
        <f t="shared" si="729"/>
        <v>0</v>
      </c>
      <c r="P4826" s="1427">
        <f t="shared" si="730"/>
        <v>0</v>
      </c>
    </row>
    <row r="4827" spans="1:16" ht="15.5" outlineLevel="1" x14ac:dyDescent="0.25">
      <c r="A4827" s="1477">
        <f t="shared" si="736"/>
        <v>23</v>
      </c>
      <c r="B4827" s="1478" t="str">
        <f t="shared" si="736"/>
        <v>Performance Improvement &amp; Life enhancement of 500MW CHP-B</v>
      </c>
      <c r="C4827" s="1477" t="str">
        <f t="shared" si="736"/>
        <v>MERC/CAPEX/20162017/01067</v>
      </c>
      <c r="D4827" s="1479">
        <f t="shared" si="736"/>
        <v>42702</v>
      </c>
      <c r="E4827" s="1383">
        <f t="shared" si="736"/>
        <v>18.78</v>
      </c>
      <c r="F4827" s="1480">
        <f t="shared" si="727"/>
        <v>0</v>
      </c>
      <c r="G4827" s="1480">
        <f t="shared" si="728"/>
        <v>0</v>
      </c>
      <c r="H4827" s="1480">
        <f t="shared" si="731"/>
        <v>0</v>
      </c>
      <c r="I4827" s="1480">
        <v>0</v>
      </c>
      <c r="J4827" s="1480">
        <v>0</v>
      </c>
      <c r="K4827" s="1480"/>
      <c r="L4827" s="1480"/>
      <c r="M4827" s="1480">
        <f t="shared" si="732"/>
        <v>0</v>
      </c>
      <c r="N4827" s="1480">
        <f t="shared" si="733"/>
        <v>0</v>
      </c>
      <c r="O4827" s="1481">
        <f t="shared" si="729"/>
        <v>0</v>
      </c>
      <c r="P4827" s="1427">
        <f t="shared" si="730"/>
        <v>0</v>
      </c>
    </row>
    <row r="4828" spans="1:16" ht="15.5" outlineLevel="1" x14ac:dyDescent="0.25">
      <c r="A4828" s="1482">
        <f t="shared" ref="A4828:E4843" si="737">A4158</f>
        <v>23.1</v>
      </c>
      <c r="B4828" s="1483" t="str">
        <f t="shared" si="737"/>
        <v>Life Enhancement of Stacker reclaimer of CHP-B.</v>
      </c>
      <c r="C4828" s="1482" t="str">
        <f t="shared" si="737"/>
        <v>MERC/CAPEX/20162017/01067</v>
      </c>
      <c r="D4828" s="1390">
        <f t="shared" si="737"/>
        <v>42702</v>
      </c>
      <c r="E4828" s="560">
        <f t="shared" si="737"/>
        <v>5.76</v>
      </c>
      <c r="F4828" s="1508">
        <f t="shared" ref="F4828:F4891" si="738">F4158+I4158</f>
        <v>5.2949505139999999</v>
      </c>
      <c r="G4828" s="1508">
        <f t="shared" ref="G4828:G4891" si="739">G4158+M4158</f>
        <v>5.2949505139999999</v>
      </c>
      <c r="H4828" s="1508">
        <f t="shared" si="731"/>
        <v>0</v>
      </c>
      <c r="I4828" s="1480">
        <v>0</v>
      </c>
      <c r="J4828" s="1480">
        <v>0</v>
      </c>
      <c r="K4828" s="1508"/>
      <c r="L4828" s="1508"/>
      <c r="M4828" s="1509">
        <f t="shared" si="732"/>
        <v>0</v>
      </c>
      <c r="N4828" s="1508">
        <f t="shared" si="733"/>
        <v>0</v>
      </c>
      <c r="O4828" s="1481">
        <f t="shared" ref="O4828:O4891" si="740">MAX(0,IF(M4828=0,0,IF(G4828+M4828&lt;E4828,M4828,E4828-G4828)))</f>
        <v>0</v>
      </c>
      <c r="P4828" s="1427">
        <f t="shared" ref="P4828:P4891" si="741">M4828-O4828</f>
        <v>0</v>
      </c>
    </row>
    <row r="4829" spans="1:16" ht="31" outlineLevel="1" x14ac:dyDescent="0.25">
      <c r="A4829" s="1482">
        <f t="shared" si="737"/>
        <v>23.2</v>
      </c>
      <c r="B4829" s="1483" t="str">
        <f t="shared" si="737"/>
        <v>Renovation including replacement of hydraulic system of paddle feeder with up gradations at CHPB.</v>
      </c>
      <c r="C4829" s="1482" t="str">
        <f t="shared" si="737"/>
        <v>MERC/CAPEX/20162017/01067</v>
      </c>
      <c r="D4829" s="1390">
        <f t="shared" si="737"/>
        <v>42702</v>
      </c>
      <c r="E4829" s="560">
        <f t="shared" si="737"/>
        <v>2.19</v>
      </c>
      <c r="F4829" s="1508">
        <f t="shared" si="738"/>
        <v>2.3147547999999998</v>
      </c>
      <c r="G4829" s="1508">
        <f t="shared" si="739"/>
        <v>2.3147547999999998</v>
      </c>
      <c r="H4829" s="1508">
        <f t="shared" ref="H4829:H4884" si="742">F4829-G4829</f>
        <v>0</v>
      </c>
      <c r="I4829" s="1480">
        <v>0</v>
      </c>
      <c r="J4829" s="1480">
        <v>0</v>
      </c>
      <c r="K4829" s="1508"/>
      <c r="L4829" s="1508"/>
      <c r="M4829" s="1509">
        <f t="shared" ref="M4829:M4884" si="743">SUM(J4829:L4829)</f>
        <v>0</v>
      </c>
      <c r="N4829" s="1508">
        <f t="shared" ref="N4829:N4884" si="744">H4829+I4829-M4829</f>
        <v>0</v>
      </c>
      <c r="O4829" s="1481">
        <f t="shared" si="740"/>
        <v>0</v>
      </c>
      <c r="P4829" s="1427">
        <f t="shared" si="741"/>
        <v>0</v>
      </c>
    </row>
    <row r="4830" spans="1:16" ht="31" outlineLevel="1" x14ac:dyDescent="0.25">
      <c r="A4830" s="1482">
        <f t="shared" si="737"/>
        <v>23.3</v>
      </c>
      <c r="B4830" s="1483" t="str">
        <f t="shared" si="737"/>
        <v>Renovation of hydraulic system of wagon tippler and side arm charger with procurement of its essential spares at CHPB.</v>
      </c>
      <c r="C4830" s="1482" t="str">
        <f t="shared" si="737"/>
        <v>MERC/CAPEX/20162017/01067</v>
      </c>
      <c r="D4830" s="1390">
        <f t="shared" si="737"/>
        <v>42702</v>
      </c>
      <c r="E4830" s="560">
        <f t="shared" si="737"/>
        <v>10.33</v>
      </c>
      <c r="F4830" s="1508">
        <f t="shared" si="738"/>
        <v>11.7941</v>
      </c>
      <c r="G4830" s="1508">
        <f t="shared" si="739"/>
        <v>11.7941</v>
      </c>
      <c r="H4830" s="1508">
        <f t="shared" si="742"/>
        <v>0</v>
      </c>
      <c r="I4830" s="1480">
        <v>0</v>
      </c>
      <c r="J4830" s="1480">
        <v>0</v>
      </c>
      <c r="K4830" s="1508"/>
      <c r="L4830" s="1508"/>
      <c r="M4830" s="1509">
        <f t="shared" si="743"/>
        <v>0</v>
      </c>
      <c r="N4830" s="1508">
        <f t="shared" si="744"/>
        <v>0</v>
      </c>
      <c r="O4830" s="1481">
        <f t="shared" si="740"/>
        <v>0</v>
      </c>
      <c r="P4830" s="1427">
        <f t="shared" si="741"/>
        <v>0</v>
      </c>
    </row>
    <row r="4831" spans="1:16" ht="15.5" outlineLevel="1" x14ac:dyDescent="0.25">
      <c r="A4831" s="1482">
        <f t="shared" si="737"/>
        <v>0</v>
      </c>
      <c r="B4831" s="1483" t="str">
        <f t="shared" si="737"/>
        <v>IDC</v>
      </c>
      <c r="C4831" s="1482" t="str">
        <f t="shared" si="737"/>
        <v>MERC/CAPEX/20162017/01067</v>
      </c>
      <c r="D4831" s="1390">
        <f t="shared" si="737"/>
        <v>42702</v>
      </c>
      <c r="E4831" s="560">
        <f t="shared" si="737"/>
        <v>0.5</v>
      </c>
      <c r="F4831" s="1508">
        <f t="shared" si="738"/>
        <v>0</v>
      </c>
      <c r="G4831" s="1508">
        <f t="shared" si="739"/>
        <v>0</v>
      </c>
      <c r="H4831" s="1508">
        <f t="shared" si="742"/>
        <v>0</v>
      </c>
      <c r="I4831" s="1480">
        <v>0</v>
      </c>
      <c r="J4831" s="1480">
        <v>0</v>
      </c>
      <c r="K4831" s="1508"/>
      <c r="L4831" s="1508"/>
      <c r="M4831" s="1509">
        <f t="shared" si="743"/>
        <v>0</v>
      </c>
      <c r="N4831" s="1508">
        <f t="shared" si="744"/>
        <v>0</v>
      </c>
      <c r="O4831" s="1481">
        <f t="shared" si="740"/>
        <v>0</v>
      </c>
      <c r="P4831" s="1427">
        <f t="shared" si="741"/>
        <v>0</v>
      </c>
    </row>
    <row r="4832" spans="1:16" ht="31" outlineLevel="1" x14ac:dyDescent="0.25">
      <c r="A4832" s="1477">
        <f t="shared" si="737"/>
        <v>24</v>
      </c>
      <c r="B4832" s="1478" t="str">
        <f t="shared" si="737"/>
        <v>Retrofitting of existing circuit breakers at Chandrapur STPS Unit-3, 4, 5, 6 and ODP-II</v>
      </c>
      <c r="C4832" s="1477" t="str">
        <f t="shared" si="737"/>
        <v>MERC/CAPEX/20162017/01475</v>
      </c>
      <c r="D4832" s="1479">
        <f t="shared" si="737"/>
        <v>42772</v>
      </c>
      <c r="E4832" s="1383">
        <f t="shared" si="737"/>
        <v>13.700000000000001</v>
      </c>
      <c r="F4832" s="1480">
        <f t="shared" si="738"/>
        <v>0</v>
      </c>
      <c r="G4832" s="1480">
        <f t="shared" si="739"/>
        <v>0</v>
      </c>
      <c r="H4832" s="1480">
        <f t="shared" si="742"/>
        <v>0</v>
      </c>
      <c r="I4832" s="1480">
        <v>0</v>
      </c>
      <c r="J4832" s="1480">
        <v>0</v>
      </c>
      <c r="K4832" s="1480"/>
      <c r="L4832" s="1480"/>
      <c r="M4832" s="1480">
        <f t="shared" si="743"/>
        <v>0</v>
      </c>
      <c r="N4832" s="1480">
        <f t="shared" si="744"/>
        <v>0</v>
      </c>
      <c r="O4832" s="1481">
        <f t="shared" si="740"/>
        <v>0</v>
      </c>
      <c r="P4832" s="1427">
        <f t="shared" si="741"/>
        <v>0</v>
      </c>
    </row>
    <row r="4833" spans="1:16" ht="31" outlineLevel="1" x14ac:dyDescent="0.25">
      <c r="A4833" s="1482">
        <f t="shared" si="737"/>
        <v>24.1</v>
      </c>
      <c r="B4833" s="1483" t="str">
        <f t="shared" si="737"/>
        <v>Retrofitting of existing Circuit breakers of AHP motor feeders at Unit # 5 &amp; 6</v>
      </c>
      <c r="C4833" s="1482" t="str">
        <f t="shared" si="737"/>
        <v>MERC/CAPEX/20162017/01475</v>
      </c>
      <c r="D4833" s="1390">
        <f t="shared" si="737"/>
        <v>42772</v>
      </c>
      <c r="E4833" s="560">
        <f t="shared" si="737"/>
        <v>3.25</v>
      </c>
      <c r="F4833" s="1508">
        <f t="shared" si="738"/>
        <v>3.8744195499999998</v>
      </c>
      <c r="G4833" s="1508">
        <f t="shared" si="739"/>
        <v>3.8744195500000003</v>
      </c>
      <c r="H4833" s="1508">
        <f t="shared" si="742"/>
        <v>0</v>
      </c>
      <c r="I4833" s="1480">
        <v>0</v>
      </c>
      <c r="J4833" s="1480">
        <v>0</v>
      </c>
      <c r="K4833" s="1508"/>
      <c r="L4833" s="1508"/>
      <c r="M4833" s="1509">
        <f t="shared" si="743"/>
        <v>0</v>
      </c>
      <c r="N4833" s="1508">
        <f t="shared" si="744"/>
        <v>0</v>
      </c>
      <c r="O4833" s="1481">
        <f t="shared" si="740"/>
        <v>0</v>
      </c>
      <c r="P4833" s="1427">
        <f t="shared" si="741"/>
        <v>0</v>
      </c>
    </row>
    <row r="4834" spans="1:16" ht="31" outlineLevel="1" x14ac:dyDescent="0.25">
      <c r="A4834" s="1482">
        <f t="shared" si="737"/>
        <v>24.2</v>
      </c>
      <c r="B4834" s="1483" t="str">
        <f t="shared" si="737"/>
        <v>Retrofitting of existing Circuit breakers installed at Unit Boards at Unit –5  &amp; Aundha Pump House (ODP-II)</v>
      </c>
      <c r="C4834" s="1482" t="str">
        <f t="shared" si="737"/>
        <v>MERC/CAPEX/20162017/01475</v>
      </c>
      <c r="D4834" s="1390">
        <f t="shared" si="737"/>
        <v>42772</v>
      </c>
      <c r="E4834" s="560">
        <f t="shared" si="737"/>
        <v>3.46</v>
      </c>
      <c r="F4834" s="1508">
        <f t="shared" si="738"/>
        <v>3.5522795499999997</v>
      </c>
      <c r="G4834" s="1508">
        <f t="shared" si="739"/>
        <v>3.5522795500000002</v>
      </c>
      <c r="H4834" s="1508">
        <f t="shared" si="742"/>
        <v>0</v>
      </c>
      <c r="I4834" s="1480">
        <v>0</v>
      </c>
      <c r="J4834" s="1480">
        <v>0</v>
      </c>
      <c r="K4834" s="1508"/>
      <c r="L4834" s="1508"/>
      <c r="M4834" s="1509">
        <f t="shared" si="743"/>
        <v>0</v>
      </c>
      <c r="N4834" s="1508">
        <f t="shared" si="744"/>
        <v>0</v>
      </c>
      <c r="O4834" s="1481">
        <f t="shared" si="740"/>
        <v>0</v>
      </c>
      <c r="P4834" s="1427">
        <f t="shared" si="741"/>
        <v>0</v>
      </c>
    </row>
    <row r="4835" spans="1:16" ht="31" outlineLevel="1" x14ac:dyDescent="0.25">
      <c r="A4835" s="1482">
        <f t="shared" si="737"/>
        <v>24.3</v>
      </c>
      <c r="B4835" s="1483" t="str">
        <f t="shared" si="737"/>
        <v xml:space="preserve">Retrofitting of existing Circuit breakers installed at Unit Boards at Unit –3&amp;4 </v>
      </c>
      <c r="C4835" s="1482" t="str">
        <f t="shared" si="737"/>
        <v>MERC/CAPEX/20162017/01475</v>
      </c>
      <c r="D4835" s="1390">
        <f t="shared" si="737"/>
        <v>42772</v>
      </c>
      <c r="E4835" s="560">
        <f t="shared" si="737"/>
        <v>6.19</v>
      </c>
      <c r="F4835" s="1508">
        <f t="shared" si="738"/>
        <v>4.5767479</v>
      </c>
      <c r="G4835" s="1508">
        <f t="shared" si="739"/>
        <v>4.5767479</v>
      </c>
      <c r="H4835" s="1508">
        <f t="shared" si="742"/>
        <v>0</v>
      </c>
      <c r="I4835" s="1480">
        <v>0</v>
      </c>
      <c r="J4835" s="1480">
        <v>0</v>
      </c>
      <c r="K4835" s="1508"/>
      <c r="L4835" s="1508"/>
      <c r="M4835" s="1509">
        <f t="shared" si="743"/>
        <v>0</v>
      </c>
      <c r="N4835" s="1508">
        <f t="shared" si="744"/>
        <v>0</v>
      </c>
      <c r="O4835" s="1481">
        <f t="shared" si="740"/>
        <v>0</v>
      </c>
      <c r="P4835" s="1427">
        <f t="shared" si="741"/>
        <v>0</v>
      </c>
    </row>
    <row r="4836" spans="1:16" ht="15.5" outlineLevel="1" x14ac:dyDescent="0.25">
      <c r="A4836" s="1482">
        <f t="shared" si="737"/>
        <v>0</v>
      </c>
      <c r="B4836" s="1483" t="str">
        <f t="shared" si="737"/>
        <v>IDC</v>
      </c>
      <c r="C4836" s="1482" t="str">
        <f t="shared" si="737"/>
        <v>MERC/CAPEX/20162017/01475</v>
      </c>
      <c r="D4836" s="1390">
        <f t="shared" si="737"/>
        <v>42772</v>
      </c>
      <c r="E4836" s="560">
        <f t="shared" si="737"/>
        <v>0.8</v>
      </c>
      <c r="F4836" s="1508">
        <f t="shared" si="738"/>
        <v>0</v>
      </c>
      <c r="G4836" s="1508">
        <f t="shared" si="739"/>
        <v>0</v>
      </c>
      <c r="H4836" s="1508">
        <f t="shared" si="742"/>
        <v>0</v>
      </c>
      <c r="I4836" s="1480">
        <v>0</v>
      </c>
      <c r="J4836" s="1480">
        <v>0</v>
      </c>
      <c r="K4836" s="1508"/>
      <c r="L4836" s="1508"/>
      <c r="M4836" s="1509">
        <f t="shared" si="743"/>
        <v>0</v>
      </c>
      <c r="N4836" s="1508">
        <f t="shared" si="744"/>
        <v>0</v>
      </c>
      <c r="O4836" s="1481">
        <f t="shared" si="740"/>
        <v>0</v>
      </c>
      <c r="P4836" s="1427">
        <f t="shared" si="741"/>
        <v>0</v>
      </c>
    </row>
    <row r="4837" spans="1:16" ht="31" outlineLevel="1" x14ac:dyDescent="0.25">
      <c r="A4837" s="1489">
        <f t="shared" si="737"/>
        <v>25</v>
      </c>
      <c r="B4837" s="1490" t="str">
        <f t="shared" si="737"/>
        <v>Construction of Quarter Guard, Bachelor Accomodation &amp; Allied Structures in Phase I &amp; II for Induction of CISF Security</v>
      </c>
      <c r="C4837" s="1477" t="str">
        <f t="shared" si="737"/>
        <v>MERC/CAPEX/20162017/01269</v>
      </c>
      <c r="D4837" s="1479">
        <f t="shared" si="737"/>
        <v>42737</v>
      </c>
      <c r="E4837" s="1383">
        <f t="shared" si="737"/>
        <v>14.686</v>
      </c>
      <c r="F4837" s="1480">
        <f t="shared" si="738"/>
        <v>0</v>
      </c>
      <c r="G4837" s="1480">
        <f t="shared" si="739"/>
        <v>0</v>
      </c>
      <c r="H4837" s="1480">
        <f t="shared" si="742"/>
        <v>0</v>
      </c>
      <c r="I4837" s="1480">
        <v>0</v>
      </c>
      <c r="J4837" s="1480">
        <v>0</v>
      </c>
      <c r="K4837" s="1480"/>
      <c r="L4837" s="1480"/>
      <c r="M4837" s="1480">
        <f t="shared" si="743"/>
        <v>0</v>
      </c>
      <c r="N4837" s="1480">
        <f t="shared" si="744"/>
        <v>0</v>
      </c>
      <c r="O4837" s="1481">
        <f t="shared" si="740"/>
        <v>0</v>
      </c>
      <c r="P4837" s="1427">
        <f t="shared" si="741"/>
        <v>0</v>
      </c>
    </row>
    <row r="4838" spans="1:16" ht="31" outlineLevel="1" x14ac:dyDescent="0.25">
      <c r="A4838" s="1484">
        <f t="shared" si="737"/>
        <v>25.1</v>
      </c>
      <c r="B4838" s="1485" t="str">
        <f t="shared" si="737"/>
        <v>Construction of Quarter Guard, Bachelor Accomodation &amp; Allied Structures in Phase I &amp; II for Induction of CISF Security</v>
      </c>
      <c r="C4838" s="1482" t="str">
        <f t="shared" si="737"/>
        <v>MERC/CAPEX/20162017/01269</v>
      </c>
      <c r="D4838" s="1390">
        <f t="shared" si="737"/>
        <v>42737</v>
      </c>
      <c r="E4838" s="560">
        <f t="shared" si="737"/>
        <v>14.686</v>
      </c>
      <c r="F4838" s="1508">
        <f t="shared" si="738"/>
        <v>14.690374417000001</v>
      </c>
      <c r="G4838" s="1508">
        <f t="shared" si="739"/>
        <v>14.690374417000001</v>
      </c>
      <c r="H4838" s="1508">
        <f t="shared" si="742"/>
        <v>0</v>
      </c>
      <c r="I4838" s="1480">
        <v>0</v>
      </c>
      <c r="J4838" s="1480">
        <v>0</v>
      </c>
      <c r="K4838" s="1508"/>
      <c r="L4838" s="1508"/>
      <c r="M4838" s="1509">
        <f t="shared" si="743"/>
        <v>0</v>
      </c>
      <c r="N4838" s="1508">
        <f t="shared" si="744"/>
        <v>0</v>
      </c>
      <c r="O4838" s="1481">
        <f t="shared" si="740"/>
        <v>0</v>
      </c>
      <c r="P4838" s="1427">
        <f t="shared" si="741"/>
        <v>0</v>
      </c>
    </row>
    <row r="4839" spans="1:16" ht="31" outlineLevel="1" x14ac:dyDescent="0.25">
      <c r="A4839" s="1489">
        <f t="shared" si="737"/>
        <v>26</v>
      </c>
      <c r="B4839" s="1490" t="str">
        <f t="shared" si="737"/>
        <v>Pipe Conveyor System for Transporting Coal from Bhatadi Coal Mine to Chandrapur STPS.</v>
      </c>
      <c r="C4839" s="1477" t="str">
        <f t="shared" si="737"/>
        <v>MERC/CAPEX/20172018/4171</v>
      </c>
      <c r="D4839" s="1479">
        <f t="shared" si="737"/>
        <v>42986</v>
      </c>
      <c r="E4839" s="1383">
        <f t="shared" si="737"/>
        <v>196.26</v>
      </c>
      <c r="F4839" s="1480">
        <f t="shared" si="738"/>
        <v>0</v>
      </c>
      <c r="G4839" s="1480">
        <f t="shared" si="739"/>
        <v>0</v>
      </c>
      <c r="H4839" s="1480">
        <f t="shared" si="742"/>
        <v>0</v>
      </c>
      <c r="I4839" s="1480">
        <v>0</v>
      </c>
      <c r="J4839" s="1480">
        <v>0</v>
      </c>
      <c r="K4839" s="1480"/>
      <c r="L4839" s="1480"/>
      <c r="M4839" s="1480">
        <f t="shared" si="743"/>
        <v>0</v>
      </c>
      <c r="N4839" s="1480">
        <f t="shared" si="744"/>
        <v>0</v>
      </c>
      <c r="O4839" s="1481">
        <f t="shared" si="740"/>
        <v>0</v>
      </c>
      <c r="P4839" s="1427">
        <f t="shared" si="741"/>
        <v>0</v>
      </c>
    </row>
    <row r="4840" spans="1:16" ht="31" outlineLevel="1" x14ac:dyDescent="0.25">
      <c r="A4840" s="1484">
        <f t="shared" si="737"/>
        <v>26.1</v>
      </c>
      <c r="B4840" s="1485" t="str">
        <f t="shared" si="737"/>
        <v>Pipe Conveyor System for Transporting Coal from Bhatadi Coal Mine to Chandrapur STPS.</v>
      </c>
      <c r="C4840" s="1482" t="str">
        <f t="shared" si="737"/>
        <v>MERC/CAPEX/20172018/4171</v>
      </c>
      <c r="D4840" s="1390">
        <f t="shared" si="737"/>
        <v>42986</v>
      </c>
      <c r="E4840" s="560">
        <f t="shared" si="737"/>
        <v>196.26</v>
      </c>
      <c r="F4840" s="1508">
        <f t="shared" si="738"/>
        <v>256.81526693500001</v>
      </c>
      <c r="G4840" s="1508">
        <f t="shared" si="739"/>
        <v>256.81526693500001</v>
      </c>
      <c r="H4840" s="1508">
        <f t="shared" si="742"/>
        <v>0</v>
      </c>
      <c r="I4840" s="1480">
        <v>0</v>
      </c>
      <c r="J4840" s="1480">
        <v>0</v>
      </c>
      <c r="K4840" s="1508"/>
      <c r="L4840" s="1508"/>
      <c r="M4840" s="1509">
        <f t="shared" si="743"/>
        <v>0</v>
      </c>
      <c r="N4840" s="1508">
        <f t="shared" si="744"/>
        <v>0</v>
      </c>
      <c r="O4840" s="1481">
        <f t="shared" si="740"/>
        <v>0</v>
      </c>
      <c r="P4840" s="1427">
        <f t="shared" si="741"/>
        <v>0</v>
      </c>
    </row>
    <row r="4841" spans="1:16" ht="31" outlineLevel="1" x14ac:dyDescent="0.25">
      <c r="A4841" s="1477">
        <f t="shared" si="737"/>
        <v>27</v>
      </c>
      <c r="B4841" s="1478" t="str">
        <f t="shared" si="737"/>
        <v>Procurement &amp; replacement of Economizer upper assemblies of Unit-5,6 &amp; hot Reheater coil complete set of Unit-3 of CSTPS</v>
      </c>
      <c r="C4841" s="1477" t="str">
        <f t="shared" si="737"/>
        <v>MERC/CAPEX/20172018/4071</v>
      </c>
      <c r="D4841" s="1479">
        <f t="shared" si="737"/>
        <v>42965</v>
      </c>
      <c r="E4841" s="1403">
        <f t="shared" si="737"/>
        <v>25.27</v>
      </c>
      <c r="F4841" s="1510">
        <f t="shared" si="738"/>
        <v>0</v>
      </c>
      <c r="G4841" s="1510">
        <f t="shared" si="739"/>
        <v>0</v>
      </c>
      <c r="H4841" s="1510">
        <f t="shared" si="742"/>
        <v>0</v>
      </c>
      <c r="I4841" s="1480">
        <v>0</v>
      </c>
      <c r="J4841" s="1480">
        <v>0</v>
      </c>
      <c r="K4841" s="1510"/>
      <c r="L4841" s="1510"/>
      <c r="M4841" s="1510">
        <f t="shared" si="743"/>
        <v>0</v>
      </c>
      <c r="N4841" s="1510">
        <f t="shared" si="744"/>
        <v>0</v>
      </c>
      <c r="O4841" s="1481">
        <f t="shared" si="740"/>
        <v>0</v>
      </c>
      <c r="P4841" s="1427">
        <f t="shared" si="741"/>
        <v>0</v>
      </c>
    </row>
    <row r="4842" spans="1:16" ht="31" outlineLevel="1" x14ac:dyDescent="0.25">
      <c r="A4842" s="1482">
        <f t="shared" si="737"/>
        <v>27.1</v>
      </c>
      <c r="B4842" s="1483" t="str">
        <f t="shared" si="737"/>
        <v>supply &amp; replacement of Economizer Upper Assemblies of unit no.5 &amp; 6</v>
      </c>
      <c r="C4842" s="1482" t="str">
        <f t="shared" si="737"/>
        <v>MERC/CAPEX/20172018/4071</v>
      </c>
      <c r="D4842" s="1390">
        <f t="shared" si="737"/>
        <v>42965</v>
      </c>
      <c r="E4842" s="560">
        <f t="shared" si="737"/>
        <v>18.25</v>
      </c>
      <c r="F4842" s="1508">
        <f t="shared" si="738"/>
        <v>8.2829930689999998</v>
      </c>
      <c r="G4842" s="1508">
        <f t="shared" si="739"/>
        <v>8.2829930689999998</v>
      </c>
      <c r="H4842" s="1508">
        <f t="shared" si="742"/>
        <v>0</v>
      </c>
      <c r="I4842" s="1480">
        <v>0</v>
      </c>
      <c r="J4842" s="1480">
        <v>0</v>
      </c>
      <c r="K4842" s="1508"/>
      <c r="L4842" s="1508"/>
      <c r="M4842" s="1509">
        <f t="shared" si="743"/>
        <v>0</v>
      </c>
      <c r="N4842" s="1508">
        <f t="shared" si="744"/>
        <v>0</v>
      </c>
      <c r="O4842" s="1481">
        <f t="shared" si="740"/>
        <v>0</v>
      </c>
      <c r="P4842" s="1427">
        <f t="shared" si="741"/>
        <v>0</v>
      </c>
    </row>
    <row r="4843" spans="1:16" ht="31" outlineLevel="1" x14ac:dyDescent="0.25">
      <c r="A4843" s="1482">
        <f t="shared" si="737"/>
        <v>27.2</v>
      </c>
      <c r="B4843" s="1483" t="str">
        <f t="shared" si="737"/>
        <v>Supply &amp; replacement of hot reheater coil complete set of Unit-3.</v>
      </c>
      <c r="C4843" s="1482" t="str">
        <f t="shared" si="737"/>
        <v>MERC/CAPEX/20172018/4071</v>
      </c>
      <c r="D4843" s="1390">
        <f t="shared" si="737"/>
        <v>42965</v>
      </c>
      <c r="E4843" s="560">
        <f t="shared" si="737"/>
        <v>6.72</v>
      </c>
      <c r="F4843" s="1508">
        <f t="shared" si="738"/>
        <v>6.0757019999999997</v>
      </c>
      <c r="G4843" s="1508">
        <f t="shared" si="739"/>
        <v>6.0757019999999997</v>
      </c>
      <c r="H4843" s="1508">
        <f t="shared" si="742"/>
        <v>0</v>
      </c>
      <c r="I4843" s="1480">
        <v>0</v>
      </c>
      <c r="J4843" s="1480">
        <v>0</v>
      </c>
      <c r="K4843" s="1508"/>
      <c r="L4843" s="1508"/>
      <c r="M4843" s="1509">
        <f t="shared" si="743"/>
        <v>0</v>
      </c>
      <c r="N4843" s="1508">
        <f t="shared" si="744"/>
        <v>0</v>
      </c>
      <c r="O4843" s="1481">
        <f t="shared" si="740"/>
        <v>0</v>
      </c>
      <c r="P4843" s="1427">
        <f t="shared" si="741"/>
        <v>0</v>
      </c>
    </row>
    <row r="4844" spans="1:16" ht="15.5" outlineLevel="1" x14ac:dyDescent="0.25">
      <c r="A4844" s="1482">
        <f t="shared" ref="A4844:E4859" si="745">A4174</f>
        <v>0</v>
      </c>
      <c r="B4844" s="1483" t="str">
        <f t="shared" si="745"/>
        <v>IDC</v>
      </c>
      <c r="C4844" s="1482" t="str">
        <f t="shared" si="745"/>
        <v>MERC/CAPEX/20172018/4071</v>
      </c>
      <c r="D4844" s="1390">
        <f t="shared" si="745"/>
        <v>42965</v>
      </c>
      <c r="E4844" s="560">
        <f t="shared" si="745"/>
        <v>0.3</v>
      </c>
      <c r="F4844" s="1508">
        <f t="shared" si="738"/>
        <v>0</v>
      </c>
      <c r="G4844" s="1508">
        <f t="shared" si="739"/>
        <v>0</v>
      </c>
      <c r="H4844" s="1508">
        <f t="shared" si="742"/>
        <v>0</v>
      </c>
      <c r="I4844" s="1480">
        <v>0</v>
      </c>
      <c r="J4844" s="1480">
        <v>0</v>
      </c>
      <c r="K4844" s="1508"/>
      <c r="L4844" s="1508"/>
      <c r="M4844" s="1509">
        <f t="shared" si="743"/>
        <v>0</v>
      </c>
      <c r="N4844" s="1508">
        <f t="shared" si="744"/>
        <v>0</v>
      </c>
      <c r="O4844" s="1481">
        <f t="shared" si="740"/>
        <v>0</v>
      </c>
      <c r="P4844" s="1427">
        <f t="shared" si="741"/>
        <v>0</v>
      </c>
    </row>
    <row r="4845" spans="1:16" ht="46.5" outlineLevel="1" x14ac:dyDescent="0.25">
      <c r="A4845" s="1477">
        <f t="shared" si="745"/>
        <v>28</v>
      </c>
      <c r="B4845" s="1478" t="str">
        <f t="shared" si="745"/>
        <v xml:space="preserve">Replacement of H2 Generator with new Hydrogen Generator (Non Asbestos Design), procurement of 3-phase TR sets for stage II &amp; other electrical items for ORC at Chandrapur STPS.” </v>
      </c>
      <c r="C4845" s="1486" t="str">
        <f t="shared" si="745"/>
        <v>MERC/CAPEX/20172018/4686</v>
      </c>
      <c r="D4845" s="1487">
        <f t="shared" si="745"/>
        <v>43054</v>
      </c>
      <c r="E4845" s="1383">
        <f t="shared" si="745"/>
        <v>12.456</v>
      </c>
      <c r="F4845" s="1480">
        <f t="shared" si="738"/>
        <v>0</v>
      </c>
      <c r="G4845" s="1480">
        <f t="shared" si="739"/>
        <v>0</v>
      </c>
      <c r="H4845" s="1480">
        <f t="shared" si="742"/>
        <v>0</v>
      </c>
      <c r="I4845" s="1480">
        <v>0</v>
      </c>
      <c r="J4845" s="1480">
        <v>0</v>
      </c>
      <c r="K4845" s="1480"/>
      <c r="L4845" s="1480"/>
      <c r="M4845" s="1480">
        <f t="shared" si="743"/>
        <v>0</v>
      </c>
      <c r="N4845" s="1480">
        <f t="shared" si="744"/>
        <v>0</v>
      </c>
      <c r="O4845" s="1481">
        <f t="shared" si="740"/>
        <v>0</v>
      </c>
      <c r="P4845" s="1427">
        <f t="shared" si="741"/>
        <v>0</v>
      </c>
    </row>
    <row r="4846" spans="1:16" ht="31" outlineLevel="1" x14ac:dyDescent="0.25">
      <c r="A4846" s="1482">
        <f t="shared" si="745"/>
        <v>28.1</v>
      </c>
      <c r="B4846" s="1483" t="str">
        <f t="shared" si="745"/>
        <v>Supply, Installation &amp; Commissioning of   Hydrogen Generator Model : HMXT 200 (Non Asbestos Design)</v>
      </c>
      <c r="C4846" s="1482" t="str">
        <f t="shared" si="745"/>
        <v>MERC/CAPEX/20172018/4686</v>
      </c>
      <c r="D4846" s="1390">
        <f t="shared" si="745"/>
        <v>43054</v>
      </c>
      <c r="E4846" s="560">
        <f t="shared" si="745"/>
        <v>10.36</v>
      </c>
      <c r="F4846" s="1508">
        <f t="shared" si="738"/>
        <v>11.5757999</v>
      </c>
      <c r="G4846" s="1508">
        <f t="shared" si="739"/>
        <v>11.5757999</v>
      </c>
      <c r="H4846" s="1508">
        <f t="shared" si="742"/>
        <v>0</v>
      </c>
      <c r="I4846" s="1480">
        <v>0</v>
      </c>
      <c r="J4846" s="1480">
        <v>0</v>
      </c>
      <c r="K4846" s="1508"/>
      <c r="L4846" s="1508"/>
      <c r="M4846" s="1509">
        <f t="shared" si="743"/>
        <v>0</v>
      </c>
      <c r="N4846" s="1508">
        <f t="shared" si="744"/>
        <v>0</v>
      </c>
      <c r="O4846" s="1481">
        <f t="shared" si="740"/>
        <v>0</v>
      </c>
      <c r="P4846" s="1427">
        <f t="shared" si="741"/>
        <v>0</v>
      </c>
    </row>
    <row r="4847" spans="1:16" ht="31" outlineLevel="1" x14ac:dyDescent="0.25">
      <c r="A4847" s="1482">
        <f t="shared" si="745"/>
        <v>28.2</v>
      </c>
      <c r="B4847" s="1483" t="str">
        <f t="shared" si="745"/>
        <v>Supply of 3 phase high frequency T-R sets for replacement of T-R sets of ESP Stg-II</v>
      </c>
      <c r="C4847" s="1488" t="str">
        <f t="shared" si="745"/>
        <v>MERC/CAPEX/20172018/4686</v>
      </c>
      <c r="D4847" s="1413">
        <f t="shared" si="745"/>
        <v>43054</v>
      </c>
      <c r="E4847" s="560">
        <f t="shared" si="745"/>
        <v>0.63</v>
      </c>
      <c r="F4847" s="1508">
        <f t="shared" si="738"/>
        <v>0</v>
      </c>
      <c r="G4847" s="1508">
        <f t="shared" si="739"/>
        <v>0</v>
      </c>
      <c r="H4847" s="1508">
        <f t="shared" si="742"/>
        <v>0</v>
      </c>
      <c r="I4847" s="1480">
        <v>0</v>
      </c>
      <c r="J4847" s="1480">
        <v>0</v>
      </c>
      <c r="K4847" s="1508"/>
      <c r="L4847" s="1508"/>
      <c r="M4847" s="1509">
        <f t="shared" si="743"/>
        <v>0</v>
      </c>
      <c r="N4847" s="1508">
        <f t="shared" si="744"/>
        <v>0</v>
      </c>
      <c r="O4847" s="1481">
        <f t="shared" si="740"/>
        <v>0</v>
      </c>
      <c r="P4847" s="1427">
        <f t="shared" si="741"/>
        <v>0</v>
      </c>
    </row>
    <row r="4848" spans="1:16" ht="31" outlineLevel="1" x14ac:dyDescent="0.25">
      <c r="A4848" s="1482">
        <f t="shared" si="745"/>
        <v>28.3</v>
      </c>
      <c r="B4848" s="1483" t="str">
        <f t="shared" si="745"/>
        <v>Replacement of HPSV High Mast Towers by Stadium LED  High Mast at ORC ground CSTPS Chandrapur</v>
      </c>
      <c r="C4848" s="1482" t="str">
        <f t="shared" si="745"/>
        <v>MERC/CAPEX/20172018/4686</v>
      </c>
      <c r="D4848" s="1390">
        <f t="shared" si="745"/>
        <v>43054</v>
      </c>
      <c r="E4848" s="560">
        <f t="shared" si="745"/>
        <v>0.53600000000000003</v>
      </c>
      <c r="F4848" s="1508">
        <f t="shared" si="738"/>
        <v>0.51656219999999997</v>
      </c>
      <c r="G4848" s="1508">
        <f t="shared" si="739"/>
        <v>0.51656219999999997</v>
      </c>
      <c r="H4848" s="1508">
        <f t="shared" si="742"/>
        <v>0</v>
      </c>
      <c r="I4848" s="1480">
        <v>0</v>
      </c>
      <c r="J4848" s="1480">
        <v>0</v>
      </c>
      <c r="K4848" s="1508"/>
      <c r="L4848" s="1508"/>
      <c r="M4848" s="1509">
        <f t="shared" si="743"/>
        <v>0</v>
      </c>
      <c r="N4848" s="1508">
        <f t="shared" si="744"/>
        <v>0</v>
      </c>
      <c r="O4848" s="1481">
        <f t="shared" si="740"/>
        <v>0</v>
      </c>
      <c r="P4848" s="1427">
        <f t="shared" si="741"/>
        <v>0</v>
      </c>
    </row>
    <row r="4849" spans="1:16" ht="15.5" outlineLevel="1" x14ac:dyDescent="0.25">
      <c r="A4849" s="1482">
        <f t="shared" si="745"/>
        <v>0</v>
      </c>
      <c r="B4849" s="1483" t="str">
        <f t="shared" si="745"/>
        <v>IDC</v>
      </c>
      <c r="C4849" s="1482" t="str">
        <f t="shared" si="745"/>
        <v>MERC/CAPEX/20172018/4686</v>
      </c>
      <c r="D4849" s="1390">
        <f t="shared" si="745"/>
        <v>43054</v>
      </c>
      <c r="E4849" s="560">
        <f t="shared" si="745"/>
        <v>0.93</v>
      </c>
      <c r="F4849" s="1508">
        <f t="shared" si="738"/>
        <v>0</v>
      </c>
      <c r="G4849" s="1508">
        <f t="shared" si="739"/>
        <v>0</v>
      </c>
      <c r="H4849" s="1508">
        <f t="shared" si="742"/>
        <v>0</v>
      </c>
      <c r="I4849" s="1480">
        <v>0</v>
      </c>
      <c r="J4849" s="1480">
        <v>0</v>
      </c>
      <c r="K4849" s="1508"/>
      <c r="L4849" s="1508"/>
      <c r="M4849" s="1509">
        <f t="shared" si="743"/>
        <v>0</v>
      </c>
      <c r="N4849" s="1508">
        <f t="shared" si="744"/>
        <v>0</v>
      </c>
      <c r="O4849" s="1481">
        <f t="shared" si="740"/>
        <v>0</v>
      </c>
      <c r="P4849" s="1427">
        <f t="shared" si="741"/>
        <v>0</v>
      </c>
    </row>
    <row r="4850" spans="1:16" ht="46.5" outlineLevel="1" x14ac:dyDescent="0.25">
      <c r="A4850" s="1477">
        <f t="shared" si="745"/>
        <v>29</v>
      </c>
      <c r="B4850" s="1478" t="str">
        <f t="shared" si="745"/>
        <v>Procurement of Boiler Feed Booster Pumps to improve availability &amp; performance of feed system, moving blades for LPT &amp; Condenser Tubes of (3 x 500 MW) Units at Chandrapur STPS</v>
      </c>
      <c r="C4850" s="1477" t="str">
        <f t="shared" si="745"/>
        <v>MERC/CAPEX/20172018/0272</v>
      </c>
      <c r="D4850" s="1479">
        <f t="shared" si="745"/>
        <v>43154</v>
      </c>
      <c r="E4850" s="1383">
        <f t="shared" si="745"/>
        <v>15.489999999999998</v>
      </c>
      <c r="F4850" s="1480">
        <f t="shared" si="738"/>
        <v>0</v>
      </c>
      <c r="G4850" s="1480">
        <f t="shared" si="739"/>
        <v>0</v>
      </c>
      <c r="H4850" s="1480">
        <f t="shared" si="742"/>
        <v>0</v>
      </c>
      <c r="I4850" s="1480">
        <v>0</v>
      </c>
      <c r="J4850" s="1480">
        <v>0</v>
      </c>
      <c r="K4850" s="1480"/>
      <c r="L4850" s="1480"/>
      <c r="M4850" s="1480">
        <f t="shared" si="743"/>
        <v>0</v>
      </c>
      <c r="N4850" s="1480">
        <f t="shared" si="744"/>
        <v>0</v>
      </c>
      <c r="O4850" s="1481">
        <f t="shared" si="740"/>
        <v>0</v>
      </c>
      <c r="P4850" s="1427">
        <f t="shared" si="741"/>
        <v>0</v>
      </c>
    </row>
    <row r="4851" spans="1:16" ht="46.5" outlineLevel="1" x14ac:dyDescent="0.25">
      <c r="A4851" s="1482">
        <f t="shared" si="745"/>
        <v>29.1</v>
      </c>
      <c r="B4851" s="1483" t="str">
        <f t="shared" si="745"/>
        <v>Procurement of Boiler Feed Booster pumps to improve availability and performance of Feed system of 500 MW Unit-5, 6 &amp; 7 at CSTPS, Chandrapur</v>
      </c>
      <c r="C4851" s="1482" t="str">
        <f t="shared" si="745"/>
        <v>MERC/CAPEX/20172018/0272</v>
      </c>
      <c r="D4851" s="1390">
        <f t="shared" si="745"/>
        <v>43154</v>
      </c>
      <c r="E4851" s="560">
        <f t="shared" si="745"/>
        <v>2.0099999999999998</v>
      </c>
      <c r="F4851" s="1508">
        <f t="shared" si="738"/>
        <v>2.1150194</v>
      </c>
      <c r="G4851" s="1508">
        <f t="shared" si="739"/>
        <v>2.1150194</v>
      </c>
      <c r="H4851" s="1508">
        <f t="shared" si="742"/>
        <v>0</v>
      </c>
      <c r="I4851" s="1480">
        <v>0</v>
      </c>
      <c r="J4851" s="1480">
        <v>0</v>
      </c>
      <c r="K4851" s="1508"/>
      <c r="L4851" s="1508"/>
      <c r="M4851" s="1509">
        <f t="shared" si="743"/>
        <v>0</v>
      </c>
      <c r="N4851" s="1508">
        <f t="shared" si="744"/>
        <v>0</v>
      </c>
      <c r="O4851" s="1481">
        <f t="shared" si="740"/>
        <v>0</v>
      </c>
      <c r="P4851" s="1427">
        <f t="shared" si="741"/>
        <v>0</v>
      </c>
    </row>
    <row r="4852" spans="1:16" ht="31" outlineLevel="1" x14ac:dyDescent="0.25">
      <c r="A4852" s="1482">
        <f t="shared" si="745"/>
        <v>29.2</v>
      </c>
      <c r="B4852" s="1483" t="str">
        <f t="shared" si="745"/>
        <v>Procurement of moving blades for 500 MW Unit-5, 6 &amp; 7 LPT at CSTPS, Chandrapur</v>
      </c>
      <c r="C4852" s="1482" t="str">
        <f t="shared" si="745"/>
        <v>MERC/CAPEX/20172018/0272</v>
      </c>
      <c r="D4852" s="1390">
        <f t="shared" si="745"/>
        <v>43154</v>
      </c>
      <c r="E4852" s="560">
        <f t="shared" si="745"/>
        <v>3.34</v>
      </c>
      <c r="F4852" s="1508">
        <f t="shared" si="738"/>
        <v>1.9274450000000001</v>
      </c>
      <c r="G4852" s="1508">
        <f t="shared" si="739"/>
        <v>1.9274450000000001</v>
      </c>
      <c r="H4852" s="1508">
        <f t="shared" si="742"/>
        <v>0</v>
      </c>
      <c r="I4852" s="1480">
        <v>0</v>
      </c>
      <c r="J4852" s="1480">
        <v>0</v>
      </c>
      <c r="K4852" s="1508"/>
      <c r="L4852" s="1508"/>
      <c r="M4852" s="1509">
        <f t="shared" si="743"/>
        <v>0</v>
      </c>
      <c r="N4852" s="1508">
        <f t="shared" si="744"/>
        <v>0</v>
      </c>
      <c r="O4852" s="1481">
        <f t="shared" si="740"/>
        <v>0</v>
      </c>
      <c r="P4852" s="1427">
        <f t="shared" si="741"/>
        <v>0</v>
      </c>
    </row>
    <row r="4853" spans="1:16" ht="31" outlineLevel="1" x14ac:dyDescent="0.25">
      <c r="A4853" s="1482">
        <f t="shared" si="745"/>
        <v>29.3</v>
      </c>
      <c r="B4853" s="1483" t="str">
        <f t="shared" si="745"/>
        <v>Procurement &amp; Replacement of Condenser Tubes in 500MW, Unit-7 at CSTPS, Chandrapur</v>
      </c>
      <c r="C4853" s="1482" t="str">
        <f t="shared" si="745"/>
        <v>MERC/CAPEX/20172018/0272</v>
      </c>
      <c r="D4853" s="1390">
        <f t="shared" si="745"/>
        <v>43154</v>
      </c>
      <c r="E4853" s="560">
        <f t="shared" si="745"/>
        <v>9.02</v>
      </c>
      <c r="F4853" s="1508">
        <f t="shared" si="738"/>
        <v>8.8301990999999997</v>
      </c>
      <c r="G4853" s="1508">
        <f t="shared" si="739"/>
        <v>8.8301990999999997</v>
      </c>
      <c r="H4853" s="1508">
        <f t="shared" si="742"/>
        <v>0</v>
      </c>
      <c r="I4853" s="1480">
        <v>0</v>
      </c>
      <c r="J4853" s="1480">
        <v>0</v>
      </c>
      <c r="K4853" s="1508"/>
      <c r="L4853" s="1508"/>
      <c r="M4853" s="1509">
        <f t="shared" si="743"/>
        <v>0</v>
      </c>
      <c r="N4853" s="1508">
        <f t="shared" si="744"/>
        <v>0</v>
      </c>
      <c r="O4853" s="1481">
        <f t="shared" si="740"/>
        <v>0</v>
      </c>
      <c r="P4853" s="1427">
        <f t="shared" si="741"/>
        <v>0</v>
      </c>
    </row>
    <row r="4854" spans="1:16" ht="15.5" outlineLevel="1" x14ac:dyDescent="0.25">
      <c r="A4854" s="1482">
        <f t="shared" si="745"/>
        <v>0</v>
      </c>
      <c r="B4854" s="1483" t="str">
        <f t="shared" si="745"/>
        <v>IDC</v>
      </c>
      <c r="C4854" s="1482" t="str">
        <f t="shared" si="745"/>
        <v>MERC/CAPEX/20172018/0272</v>
      </c>
      <c r="D4854" s="1390">
        <f t="shared" si="745"/>
        <v>43154</v>
      </c>
      <c r="E4854" s="560">
        <f t="shared" si="745"/>
        <v>1.1200000000000001</v>
      </c>
      <c r="F4854" s="1508">
        <f t="shared" si="738"/>
        <v>0</v>
      </c>
      <c r="G4854" s="1508">
        <f t="shared" si="739"/>
        <v>0</v>
      </c>
      <c r="H4854" s="1508">
        <f t="shared" si="742"/>
        <v>0</v>
      </c>
      <c r="I4854" s="1480">
        <v>0</v>
      </c>
      <c r="J4854" s="1480">
        <v>0</v>
      </c>
      <c r="K4854" s="1508"/>
      <c r="L4854" s="1508"/>
      <c r="M4854" s="1509">
        <f t="shared" si="743"/>
        <v>0</v>
      </c>
      <c r="N4854" s="1508">
        <f t="shared" si="744"/>
        <v>0</v>
      </c>
      <c r="O4854" s="1481">
        <f t="shared" si="740"/>
        <v>0</v>
      </c>
      <c r="P4854" s="1427">
        <f t="shared" si="741"/>
        <v>0</v>
      </c>
    </row>
    <row r="4855" spans="1:16" ht="15.5" outlineLevel="1" x14ac:dyDescent="0.25">
      <c r="A4855" s="1489">
        <f t="shared" si="745"/>
        <v>30</v>
      </c>
      <c r="B4855" s="1490" t="str">
        <f t="shared" si="745"/>
        <v>Renovation &amp; Beautification of Colony at Chandrapur STPS</v>
      </c>
      <c r="C4855" s="1486" t="str">
        <f t="shared" si="745"/>
        <v>MERC/CAPEX/20182019/0644</v>
      </c>
      <c r="D4855" s="1487">
        <f t="shared" si="745"/>
        <v>43238</v>
      </c>
      <c r="E4855" s="1383">
        <f t="shared" si="745"/>
        <v>117.57</v>
      </c>
      <c r="F4855" s="1480">
        <f t="shared" si="738"/>
        <v>0</v>
      </c>
      <c r="G4855" s="1480">
        <f t="shared" si="739"/>
        <v>0</v>
      </c>
      <c r="H4855" s="1480">
        <f t="shared" si="742"/>
        <v>0</v>
      </c>
      <c r="I4855" s="1480">
        <v>0</v>
      </c>
      <c r="J4855" s="1480">
        <v>0</v>
      </c>
      <c r="K4855" s="1480"/>
      <c r="L4855" s="1480"/>
      <c r="M4855" s="1480">
        <f t="shared" si="743"/>
        <v>0</v>
      </c>
      <c r="N4855" s="1480">
        <f t="shared" si="744"/>
        <v>0</v>
      </c>
      <c r="O4855" s="1481">
        <f t="shared" si="740"/>
        <v>0</v>
      </c>
      <c r="P4855" s="1427">
        <f t="shared" si="741"/>
        <v>0</v>
      </c>
    </row>
    <row r="4856" spans="1:16" ht="31" outlineLevel="1" x14ac:dyDescent="0.25">
      <c r="A4856" s="1484">
        <f t="shared" si="745"/>
        <v>30.1</v>
      </c>
      <c r="B4856" s="1485" t="str">
        <f t="shared" si="745"/>
        <v>Face- lifting and Renovation of staff quarters &amp; related work at CSTPS, Chandrapur</v>
      </c>
      <c r="C4856" s="1482" t="str">
        <f t="shared" si="745"/>
        <v>MERC/CAPEX/20182019/0644</v>
      </c>
      <c r="D4856" s="1390">
        <f t="shared" si="745"/>
        <v>43238</v>
      </c>
      <c r="E4856" s="560">
        <f t="shared" si="745"/>
        <v>82.6</v>
      </c>
      <c r="F4856" s="1508">
        <f t="shared" si="738"/>
        <v>82.6</v>
      </c>
      <c r="G4856" s="1508">
        <f t="shared" si="739"/>
        <v>82.6</v>
      </c>
      <c r="H4856" s="1508">
        <f t="shared" si="742"/>
        <v>0</v>
      </c>
      <c r="I4856" s="1480">
        <v>0</v>
      </c>
      <c r="J4856" s="1480">
        <v>0</v>
      </c>
      <c r="K4856" s="1508"/>
      <c r="L4856" s="1508"/>
      <c r="M4856" s="1509">
        <f t="shared" si="743"/>
        <v>0</v>
      </c>
      <c r="N4856" s="1508">
        <f t="shared" si="744"/>
        <v>0</v>
      </c>
      <c r="O4856" s="1481">
        <f t="shared" si="740"/>
        <v>0</v>
      </c>
      <c r="P4856" s="1427">
        <f t="shared" si="741"/>
        <v>0</v>
      </c>
    </row>
    <row r="4857" spans="1:16" ht="15.5" outlineLevel="1" x14ac:dyDescent="0.25">
      <c r="A4857" s="1484">
        <f t="shared" si="745"/>
        <v>30.2</v>
      </c>
      <c r="B4857" s="1485" t="str">
        <f t="shared" si="745"/>
        <v>Colony Internal Roads at CSTPS, Chandrapur</v>
      </c>
      <c r="C4857" s="1482" t="str">
        <f t="shared" si="745"/>
        <v>MERC/CAPEX/20182019/0644</v>
      </c>
      <c r="D4857" s="1390">
        <f t="shared" si="745"/>
        <v>43238</v>
      </c>
      <c r="E4857" s="560">
        <f t="shared" si="745"/>
        <v>7.08</v>
      </c>
      <c r="F4857" s="1508">
        <f t="shared" si="738"/>
        <v>7.08</v>
      </c>
      <c r="G4857" s="1508">
        <f t="shared" si="739"/>
        <v>7.08</v>
      </c>
      <c r="H4857" s="1508">
        <f t="shared" si="742"/>
        <v>0</v>
      </c>
      <c r="I4857" s="1480">
        <v>0</v>
      </c>
      <c r="J4857" s="1480">
        <v>0</v>
      </c>
      <c r="K4857" s="1508"/>
      <c r="L4857" s="1508"/>
      <c r="M4857" s="1509">
        <f t="shared" si="743"/>
        <v>0</v>
      </c>
      <c r="N4857" s="1508">
        <f t="shared" si="744"/>
        <v>0</v>
      </c>
      <c r="O4857" s="1481">
        <f t="shared" si="740"/>
        <v>0</v>
      </c>
      <c r="P4857" s="1427">
        <f t="shared" si="741"/>
        <v>0</v>
      </c>
    </row>
    <row r="4858" spans="1:16" ht="31" outlineLevel="1" x14ac:dyDescent="0.25">
      <c r="A4858" s="1484">
        <f t="shared" si="745"/>
        <v>30.3</v>
      </c>
      <c r="B4858" s="1485" t="str">
        <f t="shared" si="745"/>
        <v>Development of existing open spaces and Garden at CSTPS, Chandrapur</v>
      </c>
      <c r="C4858" s="1488" t="str">
        <f t="shared" si="745"/>
        <v>MERC/CAPEX/20182019/0644</v>
      </c>
      <c r="D4858" s="1413">
        <f t="shared" si="745"/>
        <v>43238</v>
      </c>
      <c r="E4858" s="560">
        <f t="shared" si="745"/>
        <v>4.72</v>
      </c>
      <c r="F4858" s="1508">
        <f t="shared" si="738"/>
        <v>4.72</v>
      </c>
      <c r="G4858" s="1508">
        <f t="shared" si="739"/>
        <v>4.72</v>
      </c>
      <c r="H4858" s="1508">
        <f t="shared" si="742"/>
        <v>0</v>
      </c>
      <c r="I4858" s="1480">
        <v>0</v>
      </c>
      <c r="J4858" s="1480">
        <v>0</v>
      </c>
      <c r="K4858" s="1508"/>
      <c r="L4858" s="1508"/>
      <c r="M4858" s="1509">
        <f t="shared" si="743"/>
        <v>0</v>
      </c>
      <c r="N4858" s="1508">
        <f t="shared" si="744"/>
        <v>0</v>
      </c>
      <c r="O4858" s="1481">
        <f t="shared" si="740"/>
        <v>0</v>
      </c>
      <c r="P4858" s="1427">
        <f t="shared" si="741"/>
        <v>0</v>
      </c>
    </row>
    <row r="4859" spans="1:16" ht="46.5" outlineLevel="1" x14ac:dyDescent="0.25">
      <c r="A4859" s="1484">
        <f t="shared" si="745"/>
        <v>30.4</v>
      </c>
      <c r="B4859" s="1485" t="str">
        <f t="shared" si="745"/>
        <v>Renovation of club building /community building and providing new swimming pool and other misc works including Architectural and Consultancy Charges at CSTPS, Chandrapur</v>
      </c>
      <c r="C4859" s="1488" t="str">
        <f t="shared" si="745"/>
        <v>MERC/CAPEX/20182019/0644</v>
      </c>
      <c r="D4859" s="1413">
        <f t="shared" si="745"/>
        <v>43238</v>
      </c>
      <c r="E4859" s="560">
        <f t="shared" si="745"/>
        <v>15.34</v>
      </c>
      <c r="F4859" s="1508">
        <f t="shared" si="738"/>
        <v>15.34</v>
      </c>
      <c r="G4859" s="1508">
        <f t="shared" si="739"/>
        <v>15.34</v>
      </c>
      <c r="H4859" s="1508">
        <f t="shared" si="742"/>
        <v>0</v>
      </c>
      <c r="I4859" s="1480">
        <v>0</v>
      </c>
      <c r="J4859" s="1480">
        <v>0</v>
      </c>
      <c r="K4859" s="1508"/>
      <c r="L4859" s="1508"/>
      <c r="M4859" s="1509">
        <f t="shared" si="743"/>
        <v>0</v>
      </c>
      <c r="N4859" s="1508">
        <f t="shared" si="744"/>
        <v>0</v>
      </c>
      <c r="O4859" s="1481">
        <f t="shared" si="740"/>
        <v>0</v>
      </c>
      <c r="P4859" s="1427">
        <f t="shared" si="741"/>
        <v>0</v>
      </c>
    </row>
    <row r="4860" spans="1:16" ht="15.5" outlineLevel="1" x14ac:dyDescent="0.25">
      <c r="A4860" s="1484">
        <f t="shared" ref="A4860:E4875" si="746">A4190</f>
        <v>0</v>
      </c>
      <c r="B4860" s="1485" t="str">
        <f t="shared" si="746"/>
        <v>IDC</v>
      </c>
      <c r="C4860" s="1482" t="str">
        <f t="shared" si="746"/>
        <v>MERC/CAPEX/20182019/0644</v>
      </c>
      <c r="D4860" s="1390">
        <f t="shared" si="746"/>
        <v>43238</v>
      </c>
      <c r="E4860" s="560">
        <f t="shared" si="746"/>
        <v>7.83</v>
      </c>
      <c r="F4860" s="1508">
        <f t="shared" si="738"/>
        <v>10.9403115</v>
      </c>
      <c r="G4860" s="1508">
        <f t="shared" si="739"/>
        <v>10.9403115</v>
      </c>
      <c r="H4860" s="1508">
        <f t="shared" si="742"/>
        <v>0</v>
      </c>
      <c r="I4860" s="1480">
        <v>0</v>
      </c>
      <c r="J4860" s="1480">
        <v>0</v>
      </c>
      <c r="K4860" s="1508"/>
      <c r="L4860" s="1508"/>
      <c r="M4860" s="1509">
        <f t="shared" si="743"/>
        <v>0</v>
      </c>
      <c r="N4860" s="1508">
        <f t="shared" si="744"/>
        <v>0</v>
      </c>
      <c r="O4860" s="1481">
        <f t="shared" si="740"/>
        <v>0</v>
      </c>
      <c r="P4860" s="1427">
        <f t="shared" si="741"/>
        <v>0</v>
      </c>
    </row>
    <row r="4861" spans="1:16" ht="15.5" outlineLevel="1" x14ac:dyDescent="0.25">
      <c r="A4861" s="1486">
        <f t="shared" si="746"/>
        <v>31</v>
      </c>
      <c r="B4861" s="1491" t="str">
        <f t="shared" si="746"/>
        <v>Fully Integrated Security Surveillance System</v>
      </c>
      <c r="C4861" s="1486" t="str">
        <f t="shared" si="746"/>
        <v>MERC/CAPEX/2018-19/066</v>
      </c>
      <c r="D4861" s="1487">
        <f t="shared" si="746"/>
        <v>43529</v>
      </c>
      <c r="E4861" s="1383">
        <f t="shared" si="746"/>
        <v>76.410000000000025</v>
      </c>
      <c r="F4861" s="1480">
        <f t="shared" si="738"/>
        <v>0</v>
      </c>
      <c r="G4861" s="1480">
        <f t="shared" si="739"/>
        <v>0</v>
      </c>
      <c r="H4861" s="1480">
        <f t="shared" si="742"/>
        <v>0</v>
      </c>
      <c r="I4861" s="1480">
        <v>0</v>
      </c>
      <c r="J4861" s="1480">
        <v>0</v>
      </c>
      <c r="K4861" s="1480"/>
      <c r="L4861" s="1480"/>
      <c r="M4861" s="1480">
        <f t="shared" si="743"/>
        <v>0</v>
      </c>
      <c r="N4861" s="1480">
        <f t="shared" si="744"/>
        <v>0</v>
      </c>
      <c r="O4861" s="1481">
        <f t="shared" si="740"/>
        <v>0</v>
      </c>
      <c r="P4861" s="1427">
        <f t="shared" si="741"/>
        <v>0</v>
      </c>
    </row>
    <row r="4862" spans="1:16" ht="15.5" outlineLevel="1" x14ac:dyDescent="0.25">
      <c r="A4862" s="1488">
        <f t="shared" si="746"/>
        <v>31.1</v>
      </c>
      <c r="B4862" s="1492" t="str">
        <f t="shared" si="746"/>
        <v>CLOSE CIRCUIT TELEVISION SYSTEM (CCTV), MOBILE DVR</v>
      </c>
      <c r="C4862" s="1488" t="str">
        <f t="shared" si="746"/>
        <v>MERC/CAPEX/2018-19/066</v>
      </c>
      <c r="D4862" s="1413">
        <f t="shared" si="746"/>
        <v>43529</v>
      </c>
      <c r="E4862" s="560">
        <f t="shared" si="746"/>
        <v>24.03</v>
      </c>
      <c r="F4862" s="1508">
        <f t="shared" si="738"/>
        <v>24.03</v>
      </c>
      <c r="G4862" s="1508">
        <f t="shared" si="739"/>
        <v>24.03</v>
      </c>
      <c r="H4862" s="1508">
        <f t="shared" si="742"/>
        <v>0</v>
      </c>
      <c r="I4862" s="1480">
        <v>0</v>
      </c>
      <c r="J4862" s="1480">
        <v>0</v>
      </c>
      <c r="K4862" s="1508"/>
      <c r="L4862" s="1508"/>
      <c r="M4862" s="1509">
        <f t="shared" si="743"/>
        <v>0</v>
      </c>
      <c r="N4862" s="1508">
        <f t="shared" si="744"/>
        <v>0</v>
      </c>
      <c r="O4862" s="1481">
        <f t="shared" si="740"/>
        <v>0</v>
      </c>
      <c r="P4862" s="1427">
        <f t="shared" si="741"/>
        <v>0</v>
      </c>
    </row>
    <row r="4863" spans="1:16" ht="15.5" outlineLevel="1" x14ac:dyDescent="0.25">
      <c r="A4863" s="1488">
        <f t="shared" si="746"/>
        <v>31.2</v>
      </c>
      <c r="B4863" s="1492" t="str">
        <f t="shared" si="746"/>
        <v>FIRE ALARM SYSTEM</v>
      </c>
      <c r="C4863" s="1488" t="str">
        <f t="shared" si="746"/>
        <v>MERC/CAPEX/2018-19/066</v>
      </c>
      <c r="D4863" s="1413">
        <f t="shared" si="746"/>
        <v>43529</v>
      </c>
      <c r="E4863" s="560">
        <f t="shared" si="746"/>
        <v>4.33</v>
      </c>
      <c r="F4863" s="1508">
        <f t="shared" si="738"/>
        <v>4.33</v>
      </c>
      <c r="G4863" s="1508">
        <f t="shared" si="739"/>
        <v>4.33</v>
      </c>
      <c r="H4863" s="1508">
        <f t="shared" si="742"/>
        <v>0</v>
      </c>
      <c r="I4863" s="1480">
        <v>0</v>
      </c>
      <c r="J4863" s="1480">
        <v>0</v>
      </c>
      <c r="K4863" s="1508"/>
      <c r="L4863" s="1508"/>
      <c r="M4863" s="1509">
        <f t="shared" si="743"/>
        <v>0</v>
      </c>
      <c r="N4863" s="1508">
        <f t="shared" si="744"/>
        <v>0</v>
      </c>
      <c r="O4863" s="1481">
        <f t="shared" si="740"/>
        <v>0</v>
      </c>
      <c r="P4863" s="1427">
        <f t="shared" si="741"/>
        <v>0</v>
      </c>
    </row>
    <row r="4864" spans="1:16" ht="15.5" outlineLevel="1" x14ac:dyDescent="0.25">
      <c r="A4864" s="1488">
        <f t="shared" si="746"/>
        <v>31.3</v>
      </c>
      <c r="B4864" s="1492" t="str">
        <f t="shared" si="746"/>
        <v>ACCESS CONTROL SYSTEM</v>
      </c>
      <c r="C4864" s="1488" t="str">
        <f t="shared" si="746"/>
        <v>MERC/CAPEX/2018-19/066</v>
      </c>
      <c r="D4864" s="1413">
        <f t="shared" si="746"/>
        <v>43529</v>
      </c>
      <c r="E4864" s="560">
        <f t="shared" si="746"/>
        <v>0.48</v>
      </c>
      <c r="F4864" s="1508">
        <f t="shared" si="738"/>
        <v>0.48</v>
      </c>
      <c r="G4864" s="1508">
        <f t="shared" si="739"/>
        <v>0.48</v>
      </c>
      <c r="H4864" s="1508">
        <f t="shared" si="742"/>
        <v>0</v>
      </c>
      <c r="I4864" s="1480">
        <v>0</v>
      </c>
      <c r="J4864" s="1480">
        <v>0</v>
      </c>
      <c r="K4864" s="1508"/>
      <c r="L4864" s="1508"/>
      <c r="M4864" s="1509">
        <f t="shared" si="743"/>
        <v>0</v>
      </c>
      <c r="N4864" s="1508">
        <f t="shared" si="744"/>
        <v>0</v>
      </c>
      <c r="O4864" s="1481">
        <f t="shared" si="740"/>
        <v>0</v>
      </c>
      <c r="P4864" s="1427">
        <f t="shared" si="741"/>
        <v>0</v>
      </c>
    </row>
    <row r="4865" spans="1:16" ht="15.5" outlineLevel="1" x14ac:dyDescent="0.25">
      <c r="A4865" s="1488">
        <f t="shared" si="746"/>
        <v>31.4</v>
      </c>
      <c r="B4865" s="1492" t="str">
        <f t="shared" si="746"/>
        <v>EPABX</v>
      </c>
      <c r="C4865" s="1488" t="str">
        <f t="shared" si="746"/>
        <v>MERC/CAPEX/2018-19/066</v>
      </c>
      <c r="D4865" s="1413">
        <f t="shared" si="746"/>
        <v>43529</v>
      </c>
      <c r="E4865" s="560">
        <f t="shared" si="746"/>
        <v>1.93</v>
      </c>
      <c r="F4865" s="1508">
        <f t="shared" si="738"/>
        <v>1.93</v>
      </c>
      <c r="G4865" s="1508">
        <f t="shared" si="739"/>
        <v>1.93</v>
      </c>
      <c r="H4865" s="1508">
        <f t="shared" si="742"/>
        <v>0</v>
      </c>
      <c r="I4865" s="1480">
        <v>0</v>
      </c>
      <c r="J4865" s="1480">
        <v>0</v>
      </c>
      <c r="K4865" s="1508"/>
      <c r="L4865" s="1508"/>
      <c r="M4865" s="1509">
        <f t="shared" si="743"/>
        <v>0</v>
      </c>
      <c r="N4865" s="1508">
        <f t="shared" si="744"/>
        <v>0</v>
      </c>
      <c r="O4865" s="1481">
        <f t="shared" si="740"/>
        <v>0</v>
      </c>
      <c r="P4865" s="1427">
        <f t="shared" si="741"/>
        <v>0</v>
      </c>
    </row>
    <row r="4866" spans="1:16" ht="15.5" outlineLevel="1" x14ac:dyDescent="0.25">
      <c r="A4866" s="1488">
        <f t="shared" si="746"/>
        <v>31.5</v>
      </c>
      <c r="B4866" s="1492" t="str">
        <f t="shared" si="746"/>
        <v>RADIO COMMUNICATION AND CONNECTIVITY (Wireless)</v>
      </c>
      <c r="C4866" s="1488" t="str">
        <f t="shared" si="746"/>
        <v>MERC/CAPEX/2018-19/066</v>
      </c>
      <c r="D4866" s="1413">
        <f t="shared" si="746"/>
        <v>43529</v>
      </c>
      <c r="E4866" s="560">
        <f t="shared" si="746"/>
        <v>1.76</v>
      </c>
      <c r="F4866" s="1508">
        <f t="shared" si="738"/>
        <v>1.76</v>
      </c>
      <c r="G4866" s="1508">
        <f t="shared" si="739"/>
        <v>1.76</v>
      </c>
      <c r="H4866" s="1508">
        <f t="shared" si="742"/>
        <v>0</v>
      </c>
      <c r="I4866" s="1480">
        <v>0</v>
      </c>
      <c r="J4866" s="1480">
        <v>0</v>
      </c>
      <c r="K4866" s="1508"/>
      <c r="L4866" s="1508"/>
      <c r="M4866" s="1509">
        <f t="shared" si="743"/>
        <v>0</v>
      </c>
      <c r="N4866" s="1508">
        <f t="shared" si="744"/>
        <v>0</v>
      </c>
      <c r="O4866" s="1481">
        <f t="shared" si="740"/>
        <v>0</v>
      </c>
      <c r="P4866" s="1427">
        <f t="shared" si="741"/>
        <v>0</v>
      </c>
    </row>
    <row r="4867" spans="1:16" ht="15.5" outlineLevel="1" x14ac:dyDescent="0.25">
      <c r="A4867" s="1488">
        <f t="shared" si="746"/>
        <v>31.6</v>
      </c>
      <c r="B4867" s="1492" t="str">
        <f t="shared" si="746"/>
        <v>ENTRY MANAGEMENT SYSTEM, TRUCK TRACKING SYSTEM</v>
      </c>
      <c r="C4867" s="1488" t="str">
        <f t="shared" si="746"/>
        <v>MERC/CAPEX/2018-19/066</v>
      </c>
      <c r="D4867" s="1413">
        <f t="shared" si="746"/>
        <v>43529</v>
      </c>
      <c r="E4867" s="560">
        <f t="shared" si="746"/>
        <v>1.25</v>
      </c>
      <c r="F4867" s="1508">
        <f t="shared" si="738"/>
        <v>1.25</v>
      </c>
      <c r="G4867" s="1508">
        <f t="shared" si="739"/>
        <v>1.25</v>
      </c>
      <c r="H4867" s="1508">
        <f t="shared" si="742"/>
        <v>0</v>
      </c>
      <c r="I4867" s="1480">
        <v>0</v>
      </c>
      <c r="J4867" s="1480">
        <v>0</v>
      </c>
      <c r="K4867" s="1508"/>
      <c r="L4867" s="1508"/>
      <c r="M4867" s="1509">
        <f t="shared" si="743"/>
        <v>0</v>
      </c>
      <c r="N4867" s="1508">
        <f t="shared" si="744"/>
        <v>0</v>
      </c>
      <c r="O4867" s="1481">
        <f t="shared" si="740"/>
        <v>0</v>
      </c>
      <c r="P4867" s="1427">
        <f t="shared" si="741"/>
        <v>0</v>
      </c>
    </row>
    <row r="4868" spans="1:16" ht="15.5" outlineLevel="1" x14ac:dyDescent="0.25">
      <c r="A4868" s="1488">
        <f t="shared" si="746"/>
        <v>31.7</v>
      </c>
      <c r="B4868" s="1492" t="str">
        <f t="shared" si="746"/>
        <v>NETWORKING</v>
      </c>
      <c r="C4868" s="1488" t="str">
        <f t="shared" si="746"/>
        <v>MERC/CAPEX/2018-19/066</v>
      </c>
      <c r="D4868" s="1413">
        <f t="shared" si="746"/>
        <v>43529</v>
      </c>
      <c r="E4868" s="560">
        <f t="shared" si="746"/>
        <v>9.35</v>
      </c>
      <c r="F4868" s="1508">
        <f t="shared" si="738"/>
        <v>9.35</v>
      </c>
      <c r="G4868" s="1508">
        <f t="shared" si="739"/>
        <v>9.35</v>
      </c>
      <c r="H4868" s="1508">
        <f t="shared" si="742"/>
        <v>0</v>
      </c>
      <c r="I4868" s="1480">
        <v>0</v>
      </c>
      <c r="J4868" s="1480">
        <v>0</v>
      </c>
      <c r="K4868" s="1508"/>
      <c r="L4868" s="1508"/>
      <c r="M4868" s="1509">
        <f t="shared" si="743"/>
        <v>0</v>
      </c>
      <c r="N4868" s="1508">
        <f t="shared" si="744"/>
        <v>0</v>
      </c>
      <c r="O4868" s="1481">
        <f t="shared" si="740"/>
        <v>0</v>
      </c>
      <c r="P4868" s="1427">
        <f t="shared" si="741"/>
        <v>0</v>
      </c>
    </row>
    <row r="4869" spans="1:16" ht="15.5" outlineLevel="1" x14ac:dyDescent="0.25">
      <c r="A4869" s="1488">
        <f t="shared" si="746"/>
        <v>31.8</v>
      </c>
      <c r="B4869" s="1492" t="str">
        <f t="shared" si="746"/>
        <v>MESSAGE DISPLAY SYSTEM</v>
      </c>
      <c r="C4869" s="1488" t="str">
        <f t="shared" si="746"/>
        <v>MERC/CAPEX/2018-19/066</v>
      </c>
      <c r="D4869" s="1413">
        <f t="shared" si="746"/>
        <v>43529</v>
      </c>
      <c r="E4869" s="560">
        <f t="shared" si="746"/>
        <v>0.31</v>
      </c>
      <c r="F4869" s="1508">
        <f t="shared" si="738"/>
        <v>0.31</v>
      </c>
      <c r="G4869" s="1508">
        <f t="shared" si="739"/>
        <v>0.31</v>
      </c>
      <c r="H4869" s="1508">
        <f t="shared" si="742"/>
        <v>0</v>
      </c>
      <c r="I4869" s="1480">
        <v>0</v>
      </c>
      <c r="J4869" s="1480">
        <v>0</v>
      </c>
      <c r="K4869" s="1508"/>
      <c r="L4869" s="1508"/>
      <c r="M4869" s="1509">
        <f t="shared" si="743"/>
        <v>0</v>
      </c>
      <c r="N4869" s="1508">
        <f t="shared" si="744"/>
        <v>0</v>
      </c>
      <c r="O4869" s="1481">
        <f t="shared" si="740"/>
        <v>0</v>
      </c>
      <c r="P4869" s="1427">
        <f t="shared" si="741"/>
        <v>0</v>
      </c>
    </row>
    <row r="4870" spans="1:16" ht="15.5" outlineLevel="1" x14ac:dyDescent="0.25">
      <c r="A4870" s="1488">
        <f t="shared" si="746"/>
        <v>31.9</v>
      </c>
      <c r="B4870" s="1492" t="str">
        <f t="shared" si="746"/>
        <v>IP PA SYSTEM</v>
      </c>
      <c r="C4870" s="1488" t="str">
        <f t="shared" si="746"/>
        <v>MERC/CAPEX/2018-19/066</v>
      </c>
      <c r="D4870" s="1413">
        <f t="shared" si="746"/>
        <v>43529</v>
      </c>
      <c r="E4870" s="560">
        <f t="shared" si="746"/>
        <v>2.74</v>
      </c>
      <c r="F4870" s="1508">
        <f t="shared" si="738"/>
        <v>2.74</v>
      </c>
      <c r="G4870" s="1508">
        <f t="shared" si="739"/>
        <v>2.74</v>
      </c>
      <c r="H4870" s="1508">
        <f t="shared" si="742"/>
        <v>0</v>
      </c>
      <c r="I4870" s="1480">
        <v>0</v>
      </c>
      <c r="J4870" s="1480">
        <v>0</v>
      </c>
      <c r="K4870" s="1508"/>
      <c r="L4870" s="1508"/>
      <c r="M4870" s="1509">
        <f t="shared" si="743"/>
        <v>0</v>
      </c>
      <c r="N4870" s="1508">
        <f t="shared" si="744"/>
        <v>0</v>
      </c>
      <c r="O4870" s="1481">
        <f t="shared" si="740"/>
        <v>0</v>
      </c>
      <c r="P4870" s="1427">
        <f t="shared" si="741"/>
        <v>0</v>
      </c>
    </row>
    <row r="4871" spans="1:16" ht="15.5" outlineLevel="1" x14ac:dyDescent="0.25">
      <c r="A4871" s="1488" t="str">
        <f t="shared" si="746"/>
        <v>31.10</v>
      </c>
      <c r="B4871" s="1492" t="str">
        <f t="shared" si="746"/>
        <v>TOWERS, EARTHING /POLES, CONDUITING, DIGGING</v>
      </c>
      <c r="C4871" s="1488" t="str">
        <f t="shared" si="746"/>
        <v>MERC/CAPEX/2018-19/066</v>
      </c>
      <c r="D4871" s="1413">
        <f t="shared" si="746"/>
        <v>43529</v>
      </c>
      <c r="E4871" s="560">
        <f t="shared" si="746"/>
        <v>7.63</v>
      </c>
      <c r="F4871" s="1508">
        <f t="shared" si="738"/>
        <v>7.63</v>
      </c>
      <c r="G4871" s="1508">
        <f t="shared" si="739"/>
        <v>7.63</v>
      </c>
      <c r="H4871" s="1508">
        <f t="shared" si="742"/>
        <v>0</v>
      </c>
      <c r="I4871" s="1480">
        <v>0</v>
      </c>
      <c r="J4871" s="1480">
        <v>0</v>
      </c>
      <c r="K4871" s="1508"/>
      <c r="L4871" s="1508"/>
      <c r="M4871" s="1509">
        <f t="shared" si="743"/>
        <v>0</v>
      </c>
      <c r="N4871" s="1508">
        <f t="shared" si="744"/>
        <v>0</v>
      </c>
      <c r="O4871" s="1481">
        <f t="shared" si="740"/>
        <v>0</v>
      </c>
      <c r="P4871" s="1427">
        <f t="shared" si="741"/>
        <v>0</v>
      </c>
    </row>
    <row r="4872" spans="1:16" ht="46.5" outlineLevel="1" x14ac:dyDescent="0.25">
      <c r="A4872" s="1488">
        <f t="shared" si="746"/>
        <v>31.11</v>
      </c>
      <c r="B4872" s="1492" t="str">
        <f t="shared" si="746"/>
        <v>RDBMS, SERVER, WORKSTATIONS, IN CON. ROOM WITH FURINITURE DOCUMENTATION, CAMERA &amp; ANALYTICS LICENSES</v>
      </c>
      <c r="C4872" s="1488" t="str">
        <f t="shared" si="746"/>
        <v>MERC/CAPEX/2018-19/066</v>
      </c>
      <c r="D4872" s="1413">
        <f t="shared" si="746"/>
        <v>43529</v>
      </c>
      <c r="E4872" s="560">
        <f t="shared" si="746"/>
        <v>18.670000000000002</v>
      </c>
      <c r="F4872" s="1508">
        <f t="shared" si="738"/>
        <v>18.670000000000002</v>
      </c>
      <c r="G4872" s="1508">
        <f t="shared" si="739"/>
        <v>18.670000000000002</v>
      </c>
      <c r="H4872" s="1508">
        <f t="shared" si="742"/>
        <v>0</v>
      </c>
      <c r="I4872" s="1480">
        <v>0</v>
      </c>
      <c r="J4872" s="1480">
        <v>0</v>
      </c>
      <c r="K4872" s="1508"/>
      <c r="L4872" s="1508"/>
      <c r="M4872" s="1509">
        <f t="shared" si="743"/>
        <v>0</v>
      </c>
      <c r="N4872" s="1508">
        <f t="shared" si="744"/>
        <v>0</v>
      </c>
      <c r="O4872" s="1481">
        <f t="shared" si="740"/>
        <v>0</v>
      </c>
      <c r="P4872" s="1427">
        <f t="shared" si="741"/>
        <v>0</v>
      </c>
    </row>
    <row r="4873" spans="1:16" ht="15.5" outlineLevel="1" x14ac:dyDescent="0.25">
      <c r="A4873" s="1488">
        <f t="shared" si="746"/>
        <v>31.12</v>
      </c>
      <c r="B4873" s="1492" t="str">
        <f t="shared" si="746"/>
        <v>ADDITIONAL CIVIL WORK</v>
      </c>
      <c r="C4873" s="1488" t="str">
        <f t="shared" si="746"/>
        <v>MERC/CAPEX/2018-19/066</v>
      </c>
      <c r="D4873" s="1413">
        <f t="shared" si="746"/>
        <v>43529</v>
      </c>
      <c r="E4873" s="560">
        <f t="shared" si="746"/>
        <v>3.93</v>
      </c>
      <c r="F4873" s="1508">
        <f t="shared" si="738"/>
        <v>3.93</v>
      </c>
      <c r="G4873" s="1508">
        <f t="shared" si="739"/>
        <v>3.93</v>
      </c>
      <c r="H4873" s="1508">
        <f t="shared" si="742"/>
        <v>0</v>
      </c>
      <c r="I4873" s="1480">
        <v>0</v>
      </c>
      <c r="J4873" s="1480">
        <v>0</v>
      </c>
      <c r="K4873" s="1508"/>
      <c r="L4873" s="1508"/>
      <c r="M4873" s="1509">
        <f t="shared" si="743"/>
        <v>0</v>
      </c>
      <c r="N4873" s="1508">
        <f t="shared" si="744"/>
        <v>0</v>
      </c>
      <c r="O4873" s="1481">
        <f t="shared" si="740"/>
        <v>0</v>
      </c>
      <c r="P4873" s="1427">
        <f t="shared" si="741"/>
        <v>0</v>
      </c>
    </row>
    <row r="4874" spans="1:16" ht="46.5" outlineLevel="1" x14ac:dyDescent="0.25">
      <c r="A4874" s="1486">
        <f t="shared" si="746"/>
        <v>32</v>
      </c>
      <c r="B4874" s="1491" t="str">
        <f t="shared" si="746"/>
        <v>Provision of VFD panel along with bypasses arrangement for HT/LT conveyors &amp; automation of control room at Coal Handling Plant-B</v>
      </c>
      <c r="C4874" s="1486" t="str">
        <f t="shared" si="746"/>
        <v>MERC/CAPEX/20182019/1240</v>
      </c>
      <c r="D4874" s="1487">
        <f t="shared" si="746"/>
        <v>43363</v>
      </c>
      <c r="E4874" s="1383">
        <f t="shared" si="746"/>
        <v>38.629999999999995</v>
      </c>
      <c r="F4874" s="1480">
        <f t="shared" si="738"/>
        <v>0</v>
      </c>
      <c r="G4874" s="1480">
        <f t="shared" si="739"/>
        <v>0</v>
      </c>
      <c r="H4874" s="1480">
        <f t="shared" si="742"/>
        <v>0</v>
      </c>
      <c r="I4874" s="1480">
        <v>0</v>
      </c>
      <c r="J4874" s="1480">
        <v>0</v>
      </c>
      <c r="K4874" s="1480"/>
      <c r="L4874" s="1480"/>
      <c r="M4874" s="1480">
        <f t="shared" si="743"/>
        <v>0</v>
      </c>
      <c r="N4874" s="1480">
        <f t="shared" si="744"/>
        <v>0</v>
      </c>
      <c r="O4874" s="1481">
        <f t="shared" si="740"/>
        <v>0</v>
      </c>
      <c r="P4874" s="1427">
        <f t="shared" si="741"/>
        <v>0</v>
      </c>
    </row>
    <row r="4875" spans="1:16" ht="46.5" outlineLevel="1" x14ac:dyDescent="0.25">
      <c r="A4875" s="1488">
        <f t="shared" si="746"/>
        <v>32.1</v>
      </c>
      <c r="B4875" s="1492" t="str">
        <f t="shared" si="746"/>
        <v>Procurement, Installation and commissioning of MV/LT VFD panel along with bypass arrangement for HT/LT Conveyors of CHP-B</v>
      </c>
      <c r="C4875" s="1488" t="str">
        <f t="shared" si="746"/>
        <v>MERC/CAPEX/20182019/1240</v>
      </c>
      <c r="D4875" s="1413">
        <f t="shared" si="746"/>
        <v>43363</v>
      </c>
      <c r="E4875" s="560">
        <f t="shared" si="746"/>
        <v>32.56</v>
      </c>
      <c r="F4875" s="1508">
        <f t="shared" si="738"/>
        <v>32.56</v>
      </c>
      <c r="G4875" s="1508">
        <f t="shared" si="739"/>
        <v>32.56</v>
      </c>
      <c r="H4875" s="1508">
        <f t="shared" si="742"/>
        <v>0</v>
      </c>
      <c r="I4875" s="1480">
        <v>0</v>
      </c>
      <c r="J4875" s="1480">
        <v>0</v>
      </c>
      <c r="K4875" s="1508"/>
      <c r="L4875" s="1508"/>
      <c r="M4875" s="1509">
        <f t="shared" si="743"/>
        <v>0</v>
      </c>
      <c r="N4875" s="1508">
        <f t="shared" si="744"/>
        <v>0</v>
      </c>
      <c r="O4875" s="1481">
        <f t="shared" si="740"/>
        <v>0</v>
      </c>
      <c r="P4875" s="1427">
        <f t="shared" si="741"/>
        <v>0</v>
      </c>
    </row>
    <row r="4876" spans="1:16" ht="15.5" outlineLevel="1" x14ac:dyDescent="0.25">
      <c r="A4876" s="1488">
        <f t="shared" ref="A4876:E4891" si="747">A4206</f>
        <v>32.200000000000003</v>
      </c>
      <c r="B4876" s="1492" t="str">
        <f t="shared" si="747"/>
        <v>Automation of Control Room of CHP-B Using PLC System</v>
      </c>
      <c r="C4876" s="1488" t="str">
        <f t="shared" si="747"/>
        <v>MERC/CAPEX/20182019/1240</v>
      </c>
      <c r="D4876" s="1413">
        <f t="shared" si="747"/>
        <v>43363</v>
      </c>
      <c r="E4876" s="560">
        <f t="shared" si="747"/>
        <v>4.91</v>
      </c>
      <c r="F4876" s="1508">
        <f t="shared" si="738"/>
        <v>8</v>
      </c>
      <c r="G4876" s="1508">
        <f t="shared" si="739"/>
        <v>8</v>
      </c>
      <c r="H4876" s="1508">
        <f t="shared" si="742"/>
        <v>0</v>
      </c>
      <c r="I4876" s="1480">
        <v>0</v>
      </c>
      <c r="J4876" s="1480">
        <v>0</v>
      </c>
      <c r="K4876" s="1508"/>
      <c r="L4876" s="1508"/>
      <c r="M4876" s="1509">
        <f t="shared" si="743"/>
        <v>0</v>
      </c>
      <c r="N4876" s="1508">
        <f t="shared" si="744"/>
        <v>0</v>
      </c>
      <c r="O4876" s="1481">
        <f t="shared" si="740"/>
        <v>0</v>
      </c>
      <c r="P4876" s="1427">
        <f t="shared" si="741"/>
        <v>0</v>
      </c>
    </row>
    <row r="4877" spans="1:16" ht="15.5" outlineLevel="1" x14ac:dyDescent="0.25">
      <c r="A4877" s="1482">
        <f t="shared" si="747"/>
        <v>0</v>
      </c>
      <c r="B4877" s="1483" t="str">
        <f t="shared" si="747"/>
        <v>IDC</v>
      </c>
      <c r="C4877" s="1482" t="str">
        <f t="shared" si="747"/>
        <v>MERC/CAPEX/20182019/1240</v>
      </c>
      <c r="D4877" s="1390">
        <f t="shared" si="747"/>
        <v>43363</v>
      </c>
      <c r="E4877" s="560">
        <f t="shared" si="747"/>
        <v>1.1599999999999999</v>
      </c>
      <c r="F4877" s="1508">
        <f t="shared" si="738"/>
        <v>0</v>
      </c>
      <c r="G4877" s="1508">
        <f t="shared" si="739"/>
        <v>0</v>
      </c>
      <c r="H4877" s="1508">
        <f t="shared" si="742"/>
        <v>0</v>
      </c>
      <c r="I4877" s="1480">
        <v>0</v>
      </c>
      <c r="J4877" s="1480">
        <v>0</v>
      </c>
      <c r="K4877" s="1508"/>
      <c r="L4877" s="1508"/>
      <c r="M4877" s="1509">
        <f t="shared" si="743"/>
        <v>0</v>
      </c>
      <c r="N4877" s="1508">
        <f t="shared" si="744"/>
        <v>0</v>
      </c>
      <c r="O4877" s="1481">
        <f t="shared" si="740"/>
        <v>0</v>
      </c>
      <c r="P4877" s="1427">
        <f t="shared" si="741"/>
        <v>0</v>
      </c>
    </row>
    <row r="4878" spans="1:16" ht="31" outlineLevel="1" x14ac:dyDescent="0.25">
      <c r="A4878" s="1486">
        <f t="shared" si="747"/>
        <v>33</v>
      </c>
      <c r="B4878" s="1491" t="str">
        <f t="shared" si="747"/>
        <v>Complete Track Renewal (CTR)/Renovation of existing Broad Gauge Railway Siding of 500MW Yard in CSTPS</v>
      </c>
      <c r="C4878" s="1486" t="str">
        <f t="shared" si="747"/>
        <v>MERC/CAPEX/2019-2020/362</v>
      </c>
      <c r="D4878" s="1487">
        <f t="shared" si="747"/>
        <v>43657</v>
      </c>
      <c r="E4878" s="1383">
        <f t="shared" si="747"/>
        <v>15.22025</v>
      </c>
      <c r="F4878" s="1480">
        <f t="shared" si="738"/>
        <v>0</v>
      </c>
      <c r="G4878" s="1480">
        <f t="shared" si="739"/>
        <v>0</v>
      </c>
      <c r="H4878" s="1480">
        <f t="shared" si="742"/>
        <v>0</v>
      </c>
      <c r="I4878" s="1480">
        <v>0</v>
      </c>
      <c r="J4878" s="1480">
        <v>0</v>
      </c>
      <c r="K4878" s="1480"/>
      <c r="L4878" s="1480"/>
      <c r="M4878" s="1480">
        <f t="shared" si="743"/>
        <v>0</v>
      </c>
      <c r="N4878" s="1480">
        <f t="shared" si="744"/>
        <v>0</v>
      </c>
      <c r="O4878" s="1481">
        <f t="shared" si="740"/>
        <v>0</v>
      </c>
      <c r="P4878" s="1427">
        <f t="shared" si="741"/>
        <v>0</v>
      </c>
    </row>
    <row r="4879" spans="1:16" ht="31" outlineLevel="1" x14ac:dyDescent="0.25">
      <c r="A4879" s="1488">
        <f t="shared" si="747"/>
        <v>33.1</v>
      </c>
      <c r="B4879" s="1492" t="str">
        <f t="shared" si="747"/>
        <v>Complete Track Renewal (CTR)/Renovation of existing Broad Gauge Railway Siding of 500MW Yard in CSTPS</v>
      </c>
      <c r="C4879" s="1488" t="str">
        <f t="shared" si="747"/>
        <v>MERC/CAPEX/2019-2020/362</v>
      </c>
      <c r="D4879" s="1413">
        <f t="shared" si="747"/>
        <v>43657</v>
      </c>
      <c r="E4879" s="560">
        <f t="shared" si="747"/>
        <v>14.20025</v>
      </c>
      <c r="F4879" s="1508">
        <f t="shared" si="738"/>
        <v>16.899999999999999</v>
      </c>
      <c r="G4879" s="1508">
        <f t="shared" si="739"/>
        <v>16.899999999999999</v>
      </c>
      <c r="H4879" s="1508">
        <f t="shared" si="742"/>
        <v>0</v>
      </c>
      <c r="I4879" s="1480">
        <v>0</v>
      </c>
      <c r="J4879" s="1480">
        <v>0</v>
      </c>
      <c r="K4879" s="1508"/>
      <c r="L4879" s="1508"/>
      <c r="M4879" s="1509">
        <f t="shared" si="743"/>
        <v>0</v>
      </c>
      <c r="N4879" s="1508">
        <f t="shared" si="744"/>
        <v>0</v>
      </c>
      <c r="O4879" s="1481">
        <f t="shared" si="740"/>
        <v>0</v>
      </c>
      <c r="P4879" s="1427">
        <f t="shared" si="741"/>
        <v>0</v>
      </c>
    </row>
    <row r="4880" spans="1:16" ht="15.5" outlineLevel="1" x14ac:dyDescent="0.25">
      <c r="A4880" s="1482">
        <f t="shared" si="747"/>
        <v>0</v>
      </c>
      <c r="B4880" s="1483" t="str">
        <f t="shared" si="747"/>
        <v>IDC</v>
      </c>
      <c r="C4880" s="1482" t="str">
        <f t="shared" si="747"/>
        <v>MERC/CAPEX/2019-2020/362</v>
      </c>
      <c r="D4880" s="1390">
        <f t="shared" si="747"/>
        <v>43657</v>
      </c>
      <c r="E4880" s="560">
        <f t="shared" si="747"/>
        <v>1.02</v>
      </c>
      <c r="F4880" s="1508">
        <f t="shared" si="738"/>
        <v>0</v>
      </c>
      <c r="G4880" s="1508">
        <f t="shared" si="739"/>
        <v>0</v>
      </c>
      <c r="H4880" s="1508">
        <f t="shared" si="742"/>
        <v>0</v>
      </c>
      <c r="I4880" s="1480">
        <v>0</v>
      </c>
      <c r="J4880" s="1480">
        <v>0</v>
      </c>
      <c r="K4880" s="1508"/>
      <c r="L4880" s="1508"/>
      <c r="M4880" s="1509">
        <f t="shared" si="743"/>
        <v>0</v>
      </c>
      <c r="N4880" s="1508">
        <f t="shared" si="744"/>
        <v>0</v>
      </c>
      <c r="O4880" s="1481">
        <f t="shared" si="740"/>
        <v>0</v>
      </c>
      <c r="P4880" s="1427">
        <f t="shared" si="741"/>
        <v>0</v>
      </c>
    </row>
    <row r="4881" spans="1:16" ht="31" outlineLevel="1" x14ac:dyDescent="0.25">
      <c r="A4881" s="1486">
        <f t="shared" si="747"/>
        <v>34</v>
      </c>
      <c r="B4881" s="1491" t="str">
        <f t="shared" si="747"/>
        <v>Procurement of Spare Generator Rotor along with one set of Bearings for Unit # 5, 6 &amp; 7 CSTPS, Chandrapur</v>
      </c>
      <c r="C4881" s="1486" t="str">
        <f t="shared" si="747"/>
        <v>MERC/CAPEX/2019-2020/129</v>
      </c>
      <c r="D4881" s="1487">
        <f t="shared" si="747"/>
        <v>43588</v>
      </c>
      <c r="E4881" s="1383">
        <f t="shared" si="747"/>
        <v>41.469115199999997</v>
      </c>
      <c r="F4881" s="1480">
        <f t="shared" si="738"/>
        <v>0</v>
      </c>
      <c r="G4881" s="1480">
        <f t="shared" si="739"/>
        <v>0</v>
      </c>
      <c r="H4881" s="1480">
        <f t="shared" si="742"/>
        <v>0</v>
      </c>
      <c r="I4881" s="1480">
        <v>0</v>
      </c>
      <c r="J4881" s="1480">
        <v>0</v>
      </c>
      <c r="K4881" s="1480"/>
      <c r="L4881" s="1480"/>
      <c r="M4881" s="1480">
        <f t="shared" si="743"/>
        <v>0</v>
      </c>
      <c r="N4881" s="1480">
        <f t="shared" si="744"/>
        <v>0</v>
      </c>
      <c r="O4881" s="1481">
        <f t="shared" si="740"/>
        <v>0</v>
      </c>
      <c r="P4881" s="1427">
        <f t="shared" si="741"/>
        <v>0</v>
      </c>
    </row>
    <row r="4882" spans="1:16" ht="46.5" outlineLevel="1" x14ac:dyDescent="0.25">
      <c r="A4882" s="1488">
        <f t="shared" si="747"/>
        <v>34.1</v>
      </c>
      <c r="B4882" s="1492" t="str">
        <f t="shared" si="747"/>
        <v xml:space="preserve">Generator Rotor suitable for THDF 115/59
One Set of Bearings (Comprising of 2 nos. of bearings)
</v>
      </c>
      <c r="C4882" s="1488" t="str">
        <f t="shared" si="747"/>
        <v>MERC/CAPEX/2019-2020/129</v>
      </c>
      <c r="D4882" s="1413">
        <f t="shared" si="747"/>
        <v>43588</v>
      </c>
      <c r="E4882" s="560">
        <f t="shared" si="747"/>
        <v>40.359115199999998</v>
      </c>
      <c r="F4882" s="1508">
        <f t="shared" si="738"/>
        <v>42.189589900000001</v>
      </c>
      <c r="G4882" s="1508">
        <f t="shared" si="739"/>
        <v>42.189589900000001</v>
      </c>
      <c r="H4882" s="1508">
        <f t="shared" si="742"/>
        <v>0</v>
      </c>
      <c r="I4882" s="1480">
        <v>0</v>
      </c>
      <c r="J4882" s="1480">
        <v>0</v>
      </c>
      <c r="K4882" s="1508"/>
      <c r="L4882" s="1508"/>
      <c r="M4882" s="1509">
        <f t="shared" si="743"/>
        <v>0</v>
      </c>
      <c r="N4882" s="1508">
        <f t="shared" si="744"/>
        <v>0</v>
      </c>
      <c r="O4882" s="1481">
        <f t="shared" si="740"/>
        <v>0</v>
      </c>
      <c r="P4882" s="1427">
        <f t="shared" si="741"/>
        <v>0</v>
      </c>
    </row>
    <row r="4883" spans="1:16" ht="15.5" outlineLevel="1" x14ac:dyDescent="0.25">
      <c r="A4883" s="1482">
        <f t="shared" si="747"/>
        <v>0</v>
      </c>
      <c r="B4883" s="1483" t="str">
        <f t="shared" si="747"/>
        <v>IDC</v>
      </c>
      <c r="C4883" s="1482" t="str">
        <f t="shared" si="747"/>
        <v>MERC/CAPEX/2019-2020/129</v>
      </c>
      <c r="D4883" s="1390">
        <f t="shared" si="747"/>
        <v>43588</v>
      </c>
      <c r="E4883" s="560">
        <f t="shared" si="747"/>
        <v>1.1100000000000001</v>
      </c>
      <c r="F4883" s="1508">
        <f t="shared" si="738"/>
        <v>0</v>
      </c>
      <c r="G4883" s="1508">
        <f t="shared" si="739"/>
        <v>0</v>
      </c>
      <c r="H4883" s="1508">
        <f t="shared" si="742"/>
        <v>0</v>
      </c>
      <c r="I4883" s="1480">
        <v>0</v>
      </c>
      <c r="J4883" s="1480">
        <v>0</v>
      </c>
      <c r="K4883" s="1508"/>
      <c r="L4883" s="1508"/>
      <c r="M4883" s="1509">
        <f t="shared" si="743"/>
        <v>0</v>
      </c>
      <c r="N4883" s="1508">
        <f t="shared" si="744"/>
        <v>0</v>
      </c>
      <c r="O4883" s="1481">
        <f t="shared" si="740"/>
        <v>0</v>
      </c>
      <c r="P4883" s="1427">
        <f t="shared" si="741"/>
        <v>0</v>
      </c>
    </row>
    <row r="4884" spans="1:16" ht="31" outlineLevel="1" x14ac:dyDescent="0.25">
      <c r="A4884" s="1477">
        <f t="shared" si="747"/>
        <v>35</v>
      </c>
      <c r="B4884" s="1478" t="str">
        <f t="shared" si="747"/>
        <v>Procurement of 2 NOS. OF 3100 HP, WDG-3A Locomotives for CSTPS, Chandrapur</v>
      </c>
      <c r="C4884" s="1486" t="str">
        <f t="shared" si="747"/>
        <v>MERC/CAPEX/2019-2020/1214</v>
      </c>
      <c r="D4884" s="1487">
        <f t="shared" si="747"/>
        <v>43822</v>
      </c>
      <c r="E4884" s="1383">
        <f t="shared" si="747"/>
        <v>22.05</v>
      </c>
      <c r="F4884" s="1480">
        <f t="shared" si="738"/>
        <v>0</v>
      </c>
      <c r="G4884" s="1480">
        <f t="shared" si="739"/>
        <v>0</v>
      </c>
      <c r="H4884" s="1480">
        <f t="shared" si="742"/>
        <v>0</v>
      </c>
      <c r="I4884" s="1480">
        <v>0</v>
      </c>
      <c r="J4884" s="1480">
        <v>0</v>
      </c>
      <c r="K4884" s="1480"/>
      <c r="L4884" s="1480"/>
      <c r="M4884" s="1480">
        <f t="shared" si="743"/>
        <v>0</v>
      </c>
      <c r="N4884" s="1480">
        <f t="shared" si="744"/>
        <v>0</v>
      </c>
      <c r="O4884" s="1481">
        <f t="shared" si="740"/>
        <v>0</v>
      </c>
      <c r="P4884" s="1427">
        <f t="shared" si="741"/>
        <v>0</v>
      </c>
    </row>
    <row r="4885" spans="1:16" ht="31" outlineLevel="1" x14ac:dyDescent="0.25">
      <c r="A4885" s="1482">
        <f t="shared" si="747"/>
        <v>35.1</v>
      </c>
      <c r="B4885" s="1483" t="str">
        <f t="shared" si="747"/>
        <v>Procurement of 2 NOS. OF 3100 HP, WDG-3A Locomotives for CSTPS, Chandrapur</v>
      </c>
      <c r="C4885" s="1488" t="str">
        <f t="shared" si="747"/>
        <v>MERC/CAPEX/2019-2020/1214</v>
      </c>
      <c r="D4885" s="1413">
        <f t="shared" si="747"/>
        <v>43822</v>
      </c>
      <c r="E4885" s="1383">
        <f t="shared" si="747"/>
        <v>21.66</v>
      </c>
      <c r="F4885" s="1480">
        <f t="shared" si="738"/>
        <v>22.854784800000001</v>
      </c>
      <c r="G4885" s="1480">
        <f t="shared" si="739"/>
        <v>22.854784800000001</v>
      </c>
      <c r="H4885" s="1480">
        <f>F4885-G4885</f>
        <v>0</v>
      </c>
      <c r="I4885" s="1480">
        <v>0</v>
      </c>
      <c r="J4885" s="1480">
        <v>0</v>
      </c>
      <c r="K4885" s="1480"/>
      <c r="L4885" s="1480"/>
      <c r="M4885" s="1480">
        <f>SUM(J4885:L4885)</f>
        <v>0</v>
      </c>
      <c r="N4885" s="1480">
        <f>H4885+I4885-M4885</f>
        <v>0</v>
      </c>
      <c r="O4885" s="1481">
        <f t="shared" si="740"/>
        <v>0</v>
      </c>
      <c r="P4885" s="1427">
        <f t="shared" si="741"/>
        <v>0</v>
      </c>
    </row>
    <row r="4886" spans="1:16" ht="15.5" outlineLevel="1" x14ac:dyDescent="0.25">
      <c r="A4886" s="1482">
        <f t="shared" si="747"/>
        <v>0</v>
      </c>
      <c r="B4886" s="1483" t="str">
        <f t="shared" si="747"/>
        <v>IDC</v>
      </c>
      <c r="C4886" s="1482" t="str">
        <f t="shared" si="747"/>
        <v>MERC/CAPEX/2019-2020/1214</v>
      </c>
      <c r="D4886" s="1390">
        <f t="shared" si="747"/>
        <v>43822</v>
      </c>
      <c r="E4886" s="560">
        <f t="shared" si="747"/>
        <v>0.39</v>
      </c>
      <c r="F4886" s="1508">
        <f t="shared" si="738"/>
        <v>0</v>
      </c>
      <c r="G4886" s="1508">
        <f t="shared" si="739"/>
        <v>0</v>
      </c>
      <c r="H4886" s="1508">
        <f t="shared" ref="H4886:H4949" si="748">F4886-G4886</f>
        <v>0</v>
      </c>
      <c r="I4886" s="1480">
        <v>0</v>
      </c>
      <c r="J4886" s="1480">
        <v>0</v>
      </c>
      <c r="K4886" s="1508"/>
      <c r="L4886" s="1508"/>
      <c r="M4886" s="1509">
        <f t="shared" ref="M4886:M4942" si="749">SUM(J4886:L4886)</f>
        <v>0</v>
      </c>
      <c r="N4886" s="1508">
        <f t="shared" ref="N4886:N4949" si="750">H4886+I4886-M4886</f>
        <v>0</v>
      </c>
      <c r="O4886" s="1481">
        <f t="shared" si="740"/>
        <v>0</v>
      </c>
      <c r="P4886" s="1427">
        <f t="shared" si="741"/>
        <v>0</v>
      </c>
    </row>
    <row r="4887" spans="1:16" ht="46.5" outlineLevel="1" x14ac:dyDescent="0.25">
      <c r="A4887" s="1486">
        <f t="shared" si="747"/>
        <v>36</v>
      </c>
      <c r="B4887" s="1491" t="str">
        <f t="shared" si="747"/>
        <v>Replacement of 220 V Station Battery Sets &amp; UPS Battery Sets of Unit# 5 &amp; 6 and 24 V G1 G2 Battery sets of Unit# 5, 6 &amp; 7 for 500MW Stage-III CSTPS.</v>
      </c>
      <c r="C4887" s="1486" t="str">
        <f t="shared" si="747"/>
        <v>MERC/CAPEX/2020-2021/WFH/SBR/32</v>
      </c>
      <c r="D4887" s="1487">
        <f t="shared" si="747"/>
        <v>44104</v>
      </c>
      <c r="E4887" s="1383">
        <f t="shared" si="747"/>
        <v>18.559999999999999</v>
      </c>
      <c r="F4887" s="1480">
        <f t="shared" si="738"/>
        <v>0</v>
      </c>
      <c r="G4887" s="1480">
        <f t="shared" si="739"/>
        <v>0</v>
      </c>
      <c r="H4887" s="1480">
        <f t="shared" si="748"/>
        <v>0</v>
      </c>
      <c r="I4887" s="1480">
        <v>0</v>
      </c>
      <c r="J4887" s="1480">
        <v>0</v>
      </c>
      <c r="K4887" s="1480"/>
      <c r="L4887" s="1480"/>
      <c r="M4887" s="1480">
        <f t="shared" si="749"/>
        <v>0</v>
      </c>
      <c r="N4887" s="1480">
        <f t="shared" si="750"/>
        <v>0</v>
      </c>
      <c r="O4887" s="1481">
        <f t="shared" si="740"/>
        <v>0</v>
      </c>
      <c r="P4887" s="1427">
        <f t="shared" si="741"/>
        <v>0</v>
      </c>
    </row>
    <row r="4888" spans="1:16" ht="46.5" outlineLevel="1" x14ac:dyDescent="0.25">
      <c r="A4888" s="1488">
        <f t="shared" si="747"/>
        <v>36.1</v>
      </c>
      <c r="B4888" s="1492" t="str">
        <f t="shared" si="747"/>
        <v>Replacement of 220 V Station Battery Sets &amp; UPS Battery Sets of Unit# 5 &amp; 6 and 24 V G1 G2 Battery sets of Unit# 5, 6 &amp; 7 for 500MW Stage-III, CSTPS.</v>
      </c>
      <c r="C4888" s="1488" t="str">
        <f t="shared" si="747"/>
        <v>MERC/CAPEX/2020-2021/WFH/SBR/32</v>
      </c>
      <c r="D4888" s="1413">
        <f t="shared" si="747"/>
        <v>44104</v>
      </c>
      <c r="E4888" s="560">
        <f t="shared" si="747"/>
        <v>18.32</v>
      </c>
      <c r="F4888" s="1508">
        <f t="shared" si="738"/>
        <v>18.32</v>
      </c>
      <c r="G4888" s="1508">
        <f t="shared" si="739"/>
        <v>18.32</v>
      </c>
      <c r="H4888" s="1508">
        <f t="shared" si="748"/>
        <v>0</v>
      </c>
      <c r="I4888" s="1480">
        <v>0</v>
      </c>
      <c r="J4888" s="1480">
        <v>0</v>
      </c>
      <c r="K4888" s="1508"/>
      <c r="L4888" s="1508"/>
      <c r="M4888" s="1509">
        <f t="shared" si="749"/>
        <v>0</v>
      </c>
      <c r="N4888" s="1508">
        <f t="shared" si="750"/>
        <v>0</v>
      </c>
      <c r="O4888" s="1481">
        <f t="shared" si="740"/>
        <v>0</v>
      </c>
      <c r="P4888" s="1427">
        <f t="shared" si="741"/>
        <v>0</v>
      </c>
    </row>
    <row r="4889" spans="1:16" ht="31" outlineLevel="1" x14ac:dyDescent="0.25">
      <c r="A4889" s="1482">
        <f t="shared" si="747"/>
        <v>0</v>
      </c>
      <c r="B4889" s="1483" t="str">
        <f t="shared" si="747"/>
        <v>IDC</v>
      </c>
      <c r="C4889" s="1482" t="str">
        <f t="shared" si="747"/>
        <v>MERC/CAPEX/2020-2021/WFH/SBR/32</v>
      </c>
      <c r="D4889" s="1390">
        <f t="shared" si="747"/>
        <v>44104</v>
      </c>
      <c r="E4889" s="560">
        <f t="shared" si="747"/>
        <v>0.24</v>
      </c>
      <c r="F4889" s="1508">
        <f t="shared" si="738"/>
        <v>0</v>
      </c>
      <c r="G4889" s="1508">
        <f t="shared" si="739"/>
        <v>0</v>
      </c>
      <c r="H4889" s="1508">
        <f t="shared" si="748"/>
        <v>0</v>
      </c>
      <c r="I4889" s="1480">
        <v>0</v>
      </c>
      <c r="J4889" s="1480">
        <v>0</v>
      </c>
      <c r="K4889" s="1508"/>
      <c r="L4889" s="1508"/>
      <c r="M4889" s="1509">
        <f t="shared" si="749"/>
        <v>0</v>
      </c>
      <c r="N4889" s="1508">
        <f t="shared" si="750"/>
        <v>0</v>
      </c>
      <c r="O4889" s="1481">
        <f t="shared" si="740"/>
        <v>0</v>
      </c>
      <c r="P4889" s="1427">
        <f t="shared" si="741"/>
        <v>0</v>
      </c>
    </row>
    <row r="4890" spans="1:16" ht="46.5" outlineLevel="1" x14ac:dyDescent="0.25">
      <c r="A4890" s="1486">
        <f t="shared" si="747"/>
        <v>37</v>
      </c>
      <c r="B4890" s="1491" t="str">
        <f t="shared" si="747"/>
        <v>Flue Gas Desulphurization (FGD) System for 500 MW UnitS (Total 8 Nos) of MSPGCL
(Chandrapur Unit # 5-7)</v>
      </c>
      <c r="C4890" s="1486" t="str">
        <f t="shared" si="747"/>
        <v>MERC/CAPEX/2020-2021/WFH/SBR/43</v>
      </c>
      <c r="D4890" s="1487">
        <f t="shared" si="747"/>
        <v>44179</v>
      </c>
      <c r="E4890" s="1383">
        <f t="shared" si="747"/>
        <v>656.25</v>
      </c>
      <c r="F4890" s="1480">
        <f t="shared" si="738"/>
        <v>0</v>
      </c>
      <c r="G4890" s="1480">
        <f t="shared" si="739"/>
        <v>0</v>
      </c>
      <c r="H4890" s="1480">
        <f t="shared" si="748"/>
        <v>0</v>
      </c>
      <c r="I4890" s="1480">
        <v>0</v>
      </c>
      <c r="J4890" s="1480">
        <v>0</v>
      </c>
      <c r="K4890" s="1480"/>
      <c r="L4890" s="1480"/>
      <c r="M4890" s="1480">
        <f t="shared" si="749"/>
        <v>0</v>
      </c>
      <c r="N4890" s="1480">
        <f t="shared" si="750"/>
        <v>0</v>
      </c>
      <c r="O4890" s="1481">
        <f t="shared" si="740"/>
        <v>0</v>
      </c>
      <c r="P4890" s="1427">
        <f t="shared" si="741"/>
        <v>0</v>
      </c>
    </row>
    <row r="4891" spans="1:16" ht="46.5" outlineLevel="1" x14ac:dyDescent="0.25">
      <c r="A4891" s="1488">
        <f t="shared" si="747"/>
        <v>37.1</v>
      </c>
      <c r="B4891" s="1492" t="str">
        <f t="shared" si="747"/>
        <v>Flue Gas Desulphurization (FGD) System for 500 MW UnitS (Total 8 Nos) of MSPGCL
(Chandrapur Unit # 5-7)</v>
      </c>
      <c r="C4891" s="1488" t="str">
        <f t="shared" si="747"/>
        <v>MERC/CAPEX/2020-2021/WFH/SBR/43</v>
      </c>
      <c r="D4891" s="1413">
        <f t="shared" si="747"/>
        <v>44179</v>
      </c>
      <c r="E4891" s="560">
        <f t="shared" si="747"/>
        <v>602.58000000000004</v>
      </c>
      <c r="F4891" s="1508">
        <f t="shared" si="738"/>
        <v>1196.5700000000002</v>
      </c>
      <c r="G4891" s="1508">
        <f t="shared" si="739"/>
        <v>1196.57</v>
      </c>
      <c r="H4891" s="1508">
        <f t="shared" si="748"/>
        <v>0</v>
      </c>
      <c r="I4891" s="1480">
        <v>0</v>
      </c>
      <c r="J4891" s="1480">
        <v>0</v>
      </c>
      <c r="K4891" s="1508"/>
      <c r="L4891" s="1508"/>
      <c r="M4891" s="1509">
        <f t="shared" si="749"/>
        <v>0</v>
      </c>
      <c r="N4891" s="1508">
        <f t="shared" si="750"/>
        <v>0</v>
      </c>
      <c r="O4891" s="1481">
        <f t="shared" si="740"/>
        <v>0</v>
      </c>
      <c r="P4891" s="1427">
        <f t="shared" si="741"/>
        <v>0</v>
      </c>
    </row>
    <row r="4892" spans="1:16" ht="31" outlineLevel="1" x14ac:dyDescent="0.25">
      <c r="A4892" s="1488">
        <f t="shared" ref="A4892:E4907" si="751">A4222</f>
        <v>0</v>
      </c>
      <c r="B4892" s="1492" t="str">
        <f t="shared" si="751"/>
        <v>IDC</v>
      </c>
      <c r="C4892" s="1488" t="str">
        <f t="shared" si="751"/>
        <v>MERC/CAPEX/2020-2021/WFH/SBR/43</v>
      </c>
      <c r="D4892" s="1413">
        <f t="shared" si="751"/>
        <v>44179</v>
      </c>
      <c r="E4892" s="560">
        <f t="shared" si="751"/>
        <v>53.67</v>
      </c>
      <c r="F4892" s="1508">
        <f t="shared" ref="F4892:F4955" si="752">F4222+I4222</f>
        <v>0</v>
      </c>
      <c r="G4892" s="1508">
        <f t="shared" ref="G4892:G4955" si="753">G4222+M4222</f>
        <v>0</v>
      </c>
      <c r="H4892" s="1508">
        <f t="shared" si="748"/>
        <v>0</v>
      </c>
      <c r="I4892" s="1480">
        <v>0</v>
      </c>
      <c r="J4892" s="1480">
        <v>0</v>
      </c>
      <c r="K4892" s="1508"/>
      <c r="L4892" s="1508"/>
      <c r="M4892" s="1509">
        <f t="shared" si="749"/>
        <v>0</v>
      </c>
      <c r="N4892" s="1508">
        <f t="shared" si="750"/>
        <v>0</v>
      </c>
      <c r="O4892" s="1481">
        <f t="shared" ref="O4892:O4942" si="754">MAX(0,IF(M4892=0,0,IF(G4892+M4892&lt;E4892,M4892,E4892-G4892)))</f>
        <v>0</v>
      </c>
      <c r="P4892" s="1427">
        <f t="shared" ref="P4892:P4942" si="755">M4892-O4892</f>
        <v>0</v>
      </c>
    </row>
    <row r="4893" spans="1:16" ht="31" outlineLevel="1" x14ac:dyDescent="0.25">
      <c r="A4893" s="1486">
        <f t="shared" si="751"/>
        <v>38</v>
      </c>
      <c r="B4893" s="1491" t="str">
        <f t="shared" si="751"/>
        <v>Replacement of ECO and LTSH coils to Unit-4 Chandrapur (Parli DPR)</v>
      </c>
      <c r="C4893" s="1486" t="str">
        <f t="shared" si="751"/>
        <v xml:space="preserve">MERC/TECH1/CAPEX/20142015/01526 </v>
      </c>
      <c r="D4893" s="1487">
        <f t="shared" si="751"/>
        <v>42033</v>
      </c>
      <c r="E4893" s="1383">
        <f t="shared" si="751"/>
        <v>10</v>
      </c>
      <c r="F4893" s="1480">
        <f t="shared" si="752"/>
        <v>0</v>
      </c>
      <c r="G4893" s="1480">
        <f t="shared" si="753"/>
        <v>0</v>
      </c>
      <c r="H4893" s="1480">
        <f t="shared" si="748"/>
        <v>0</v>
      </c>
      <c r="I4893" s="1480">
        <v>0</v>
      </c>
      <c r="J4893" s="1480">
        <v>0</v>
      </c>
      <c r="K4893" s="1480"/>
      <c r="L4893" s="1480"/>
      <c r="M4893" s="1480">
        <f t="shared" si="749"/>
        <v>0</v>
      </c>
      <c r="N4893" s="1480">
        <f t="shared" si="750"/>
        <v>0</v>
      </c>
      <c r="O4893" s="1481">
        <f t="shared" si="754"/>
        <v>0</v>
      </c>
      <c r="P4893" s="1427">
        <f t="shared" si="755"/>
        <v>0</v>
      </c>
    </row>
    <row r="4894" spans="1:16" ht="31" outlineLevel="1" x14ac:dyDescent="0.25">
      <c r="A4894" s="1488">
        <f t="shared" si="751"/>
        <v>0</v>
      </c>
      <c r="B4894" s="1492" t="str">
        <f t="shared" si="751"/>
        <v>Replacement of ECO and LTSH coils to Unit-4 Chandrapur</v>
      </c>
      <c r="C4894" s="1493" t="str">
        <f t="shared" si="751"/>
        <v xml:space="preserve">MERC/TECH1/CAPEX/20142015/01526 </v>
      </c>
      <c r="D4894" s="1494">
        <f t="shared" si="751"/>
        <v>42033</v>
      </c>
      <c r="E4894" s="560">
        <f t="shared" si="751"/>
        <v>9.4</v>
      </c>
      <c r="F4894" s="1508">
        <f t="shared" si="752"/>
        <v>9.3998608000000008</v>
      </c>
      <c r="G4894" s="1508">
        <f t="shared" si="753"/>
        <v>9.3998608000000008</v>
      </c>
      <c r="H4894" s="1508">
        <f t="shared" si="748"/>
        <v>0</v>
      </c>
      <c r="I4894" s="1480">
        <v>0</v>
      </c>
      <c r="J4894" s="1480">
        <v>0</v>
      </c>
      <c r="K4894" s="1508"/>
      <c r="L4894" s="1508"/>
      <c r="M4894" s="1509">
        <f t="shared" si="749"/>
        <v>0</v>
      </c>
      <c r="N4894" s="1508">
        <f t="shared" si="750"/>
        <v>0</v>
      </c>
      <c r="O4894" s="1481">
        <f t="shared" si="754"/>
        <v>0</v>
      </c>
      <c r="P4894" s="1427">
        <f t="shared" si="755"/>
        <v>0</v>
      </c>
    </row>
    <row r="4895" spans="1:16" ht="31" outlineLevel="1" x14ac:dyDescent="0.25">
      <c r="A4895" s="1488">
        <f t="shared" si="751"/>
        <v>0</v>
      </c>
      <c r="B4895" s="1492" t="str">
        <f t="shared" si="751"/>
        <v>IDC</v>
      </c>
      <c r="C4895" s="1493" t="str">
        <f t="shared" si="751"/>
        <v xml:space="preserve">MERC/TECH1/CAPEX/20142015/01526 </v>
      </c>
      <c r="D4895" s="1494">
        <f t="shared" si="751"/>
        <v>42033</v>
      </c>
      <c r="E4895" s="560">
        <f t="shared" si="751"/>
        <v>0.6</v>
      </c>
      <c r="F4895" s="1508">
        <f t="shared" si="752"/>
        <v>0</v>
      </c>
      <c r="G4895" s="1508">
        <f t="shared" si="753"/>
        <v>0</v>
      </c>
      <c r="H4895" s="1508">
        <f t="shared" si="748"/>
        <v>0</v>
      </c>
      <c r="I4895" s="1480">
        <v>0</v>
      </c>
      <c r="J4895" s="1480">
        <v>0</v>
      </c>
      <c r="K4895" s="1508"/>
      <c r="L4895" s="1508"/>
      <c r="M4895" s="1509">
        <f t="shared" si="749"/>
        <v>0</v>
      </c>
      <c r="N4895" s="1508">
        <f t="shared" si="750"/>
        <v>0</v>
      </c>
      <c r="O4895" s="1481">
        <f t="shared" si="754"/>
        <v>0</v>
      </c>
      <c r="P4895" s="1427">
        <f t="shared" si="755"/>
        <v>0</v>
      </c>
    </row>
    <row r="4896" spans="1:16" ht="31" outlineLevel="1" x14ac:dyDescent="0.25">
      <c r="A4896" s="1486">
        <f t="shared" si="751"/>
        <v>39</v>
      </c>
      <c r="B4896" s="1491" t="str">
        <f t="shared" si="751"/>
        <v>Supply of complete gear box assembly for XRP-1043 coal mill at U-5 &amp;  U-6 for FY 2019-20 &amp; FY 20-21 at CSTPS, Chandrapur</v>
      </c>
      <c r="C4896" s="1486" t="str">
        <f t="shared" si="751"/>
        <v>MERC/CAPEX/2020-2021/WFH/SBR/05</v>
      </c>
      <c r="D4896" s="1487">
        <f t="shared" si="751"/>
        <v>44335</v>
      </c>
      <c r="E4896" s="1383">
        <f t="shared" si="751"/>
        <v>21.53</v>
      </c>
      <c r="F4896" s="1480">
        <f t="shared" si="752"/>
        <v>0</v>
      </c>
      <c r="G4896" s="1480">
        <f t="shared" si="753"/>
        <v>0</v>
      </c>
      <c r="H4896" s="1480">
        <f t="shared" si="748"/>
        <v>0</v>
      </c>
      <c r="I4896" s="1480">
        <v>0</v>
      </c>
      <c r="J4896" s="1480">
        <v>0</v>
      </c>
      <c r="K4896" s="1480"/>
      <c r="L4896" s="1480"/>
      <c r="M4896" s="1480">
        <f t="shared" si="749"/>
        <v>0</v>
      </c>
      <c r="N4896" s="1480">
        <f t="shared" si="750"/>
        <v>0</v>
      </c>
      <c r="O4896" s="1481">
        <f t="shared" si="754"/>
        <v>0</v>
      </c>
      <c r="P4896" s="1427">
        <f t="shared" si="755"/>
        <v>0</v>
      </c>
    </row>
    <row r="4897" spans="1:16" ht="77.5" outlineLevel="1" x14ac:dyDescent="0.25">
      <c r="A4897" s="1488">
        <f t="shared" si="751"/>
        <v>39.1</v>
      </c>
      <c r="B4897" s="1492" t="str">
        <f t="shared" si="751"/>
        <v>Supply of complete gear box assembly for XRP-1043coal mill unit
5&amp;6and complete lub oil system of XRP-1043Coal Mill in Unit-5&amp;6.
(Qty. 02 nos. one for each unit)</v>
      </c>
      <c r="C4897" s="1488" t="str">
        <f t="shared" si="751"/>
        <v>MERC/CAPEX/2020-2021/WFH/SBR/05</v>
      </c>
      <c r="D4897" s="1413">
        <f t="shared" si="751"/>
        <v>44335</v>
      </c>
      <c r="E4897" s="560">
        <f t="shared" si="751"/>
        <v>21.02</v>
      </c>
      <c r="F4897" s="1508">
        <f t="shared" si="752"/>
        <v>9.9520900000000001</v>
      </c>
      <c r="G4897" s="1508">
        <f t="shared" si="753"/>
        <v>9.9520900000000001</v>
      </c>
      <c r="H4897" s="1508">
        <f t="shared" si="748"/>
        <v>0</v>
      </c>
      <c r="I4897" s="1480">
        <v>0</v>
      </c>
      <c r="J4897" s="1480">
        <v>0</v>
      </c>
      <c r="K4897" s="1508"/>
      <c r="L4897" s="1508"/>
      <c r="M4897" s="1509">
        <f t="shared" si="749"/>
        <v>0</v>
      </c>
      <c r="N4897" s="1508">
        <f t="shared" si="750"/>
        <v>0</v>
      </c>
      <c r="O4897" s="1481">
        <f t="shared" si="754"/>
        <v>0</v>
      </c>
      <c r="P4897" s="1427">
        <f t="shared" si="755"/>
        <v>0</v>
      </c>
    </row>
    <row r="4898" spans="1:16" ht="31" outlineLevel="1" x14ac:dyDescent="0.25">
      <c r="A4898" s="1488">
        <f t="shared" si="751"/>
        <v>0</v>
      </c>
      <c r="B4898" s="1492" t="str">
        <f t="shared" si="751"/>
        <v>IDC</v>
      </c>
      <c r="C4898" s="1488" t="str">
        <f t="shared" si="751"/>
        <v>MERC/CAPEX/2020-2021/WFH/SBR/05</v>
      </c>
      <c r="D4898" s="1413">
        <f t="shared" si="751"/>
        <v>44335</v>
      </c>
      <c r="E4898" s="560">
        <f t="shared" si="751"/>
        <v>0.51</v>
      </c>
      <c r="F4898" s="1508">
        <f t="shared" si="752"/>
        <v>0</v>
      </c>
      <c r="G4898" s="1508">
        <f t="shared" si="753"/>
        <v>0</v>
      </c>
      <c r="H4898" s="1508">
        <f t="shared" si="748"/>
        <v>0</v>
      </c>
      <c r="I4898" s="1480">
        <v>0</v>
      </c>
      <c r="J4898" s="1480">
        <v>0</v>
      </c>
      <c r="K4898" s="1508"/>
      <c r="L4898" s="1508"/>
      <c r="M4898" s="1509">
        <f t="shared" si="749"/>
        <v>0</v>
      </c>
      <c r="N4898" s="1508">
        <f t="shared" si="750"/>
        <v>0</v>
      </c>
      <c r="O4898" s="1481">
        <f t="shared" si="754"/>
        <v>0</v>
      </c>
      <c r="P4898" s="1427">
        <f t="shared" si="755"/>
        <v>0</v>
      </c>
    </row>
    <row r="4899" spans="1:16" ht="31" outlineLevel="1" x14ac:dyDescent="0.25">
      <c r="A4899" s="1477" t="str">
        <f t="shared" si="751"/>
        <v>HO
DPR 1</v>
      </c>
      <c r="B4899" s="1478" t="str">
        <f t="shared" si="751"/>
        <v>AFGC/DFGC SYSTEM 210MW</v>
      </c>
      <c r="C4899" s="1477" t="str">
        <f t="shared" si="751"/>
        <v>MERC/CAP/DPR/10/07/1149</v>
      </c>
      <c r="D4899" s="1479">
        <f t="shared" si="751"/>
        <v>39232</v>
      </c>
      <c r="E4899" s="1383">
        <f t="shared" si="751"/>
        <v>9.6</v>
      </c>
      <c r="F4899" s="1480">
        <f t="shared" si="752"/>
        <v>0</v>
      </c>
      <c r="G4899" s="1480">
        <f t="shared" si="753"/>
        <v>0</v>
      </c>
      <c r="H4899" s="1480">
        <f t="shared" si="748"/>
        <v>0</v>
      </c>
      <c r="I4899" s="1480">
        <v>0</v>
      </c>
      <c r="J4899" s="1480">
        <v>0</v>
      </c>
      <c r="K4899" s="1480"/>
      <c r="L4899" s="1480"/>
      <c r="M4899" s="1480">
        <f t="shared" si="749"/>
        <v>0</v>
      </c>
      <c r="N4899" s="1480">
        <f t="shared" si="750"/>
        <v>0</v>
      </c>
      <c r="O4899" s="1481">
        <f t="shared" si="754"/>
        <v>0</v>
      </c>
      <c r="P4899" s="1427">
        <f t="shared" si="755"/>
        <v>0</v>
      </c>
    </row>
    <row r="4900" spans="1:16" ht="31" outlineLevel="1" x14ac:dyDescent="0.25">
      <c r="A4900" s="1482" t="str">
        <f t="shared" si="751"/>
        <v>HO
DPR 1.1</v>
      </c>
      <c r="B4900" s="1483" t="str">
        <f t="shared" si="751"/>
        <v>CSTPS U-1,2&amp;4</v>
      </c>
      <c r="C4900" s="1482" t="str">
        <f t="shared" si="751"/>
        <v>MERC/CAP/DPR/10/07/1149</v>
      </c>
      <c r="D4900" s="1390">
        <f t="shared" si="751"/>
        <v>39232</v>
      </c>
      <c r="E4900" s="560">
        <f t="shared" si="751"/>
        <v>9.6</v>
      </c>
      <c r="F4900" s="1508">
        <f t="shared" si="752"/>
        <v>4.9831317769999997</v>
      </c>
      <c r="G4900" s="1508">
        <f t="shared" si="753"/>
        <v>4.9831317769999997</v>
      </c>
      <c r="H4900" s="1508">
        <f t="shared" si="748"/>
        <v>0</v>
      </c>
      <c r="I4900" s="1480">
        <v>0</v>
      </c>
      <c r="J4900" s="1480">
        <v>0</v>
      </c>
      <c r="K4900" s="1508"/>
      <c r="L4900" s="1508"/>
      <c r="M4900" s="1509">
        <f t="shared" si="749"/>
        <v>0</v>
      </c>
      <c r="N4900" s="1508">
        <f t="shared" si="750"/>
        <v>0</v>
      </c>
      <c r="O4900" s="1481">
        <f t="shared" si="754"/>
        <v>0</v>
      </c>
      <c r="P4900" s="1427">
        <f t="shared" si="755"/>
        <v>0</v>
      </c>
    </row>
    <row r="4901" spans="1:16" ht="31" outlineLevel="1" x14ac:dyDescent="0.25">
      <c r="A4901" s="1477" t="str">
        <f t="shared" si="751"/>
        <v>HO
DPR 4</v>
      </c>
      <c r="B4901" s="1478" t="str">
        <f t="shared" si="751"/>
        <v>Construction of coal platform for Chandrapur TPS, Khaperkheda TPS &amp; Parli TPS</v>
      </c>
      <c r="C4901" s="1477" t="str">
        <f t="shared" si="751"/>
        <v>MERC/TECH 1/CAPEX/20132014/00827</v>
      </c>
      <c r="D4901" s="1479">
        <f t="shared" si="751"/>
        <v>41464</v>
      </c>
      <c r="E4901" s="1383">
        <f t="shared" si="751"/>
        <v>10.36</v>
      </c>
      <c r="F4901" s="1480">
        <f t="shared" si="752"/>
        <v>0</v>
      </c>
      <c r="G4901" s="1480">
        <f t="shared" si="753"/>
        <v>0</v>
      </c>
      <c r="H4901" s="1480">
        <f t="shared" si="748"/>
        <v>0</v>
      </c>
      <c r="I4901" s="1480">
        <v>0</v>
      </c>
      <c r="J4901" s="1480">
        <v>0</v>
      </c>
      <c r="K4901" s="1480"/>
      <c r="L4901" s="1480"/>
      <c r="M4901" s="1480">
        <f t="shared" si="749"/>
        <v>0</v>
      </c>
      <c r="N4901" s="1480">
        <f t="shared" si="750"/>
        <v>0</v>
      </c>
      <c r="O4901" s="1481">
        <f t="shared" si="754"/>
        <v>0</v>
      </c>
      <c r="P4901" s="1427">
        <f t="shared" si="755"/>
        <v>0</v>
      </c>
    </row>
    <row r="4902" spans="1:16" ht="31" outlineLevel="1" x14ac:dyDescent="0.25">
      <c r="A4902" s="1482" t="str">
        <f t="shared" si="751"/>
        <v>HO
DPR 4.1</v>
      </c>
      <c r="B4902" s="1483" t="str">
        <f t="shared" si="751"/>
        <v>Chandrapur TPS</v>
      </c>
      <c r="C4902" s="1482" t="str">
        <f t="shared" si="751"/>
        <v>MERC/TECH 1/CAPEX/20132014/00827</v>
      </c>
      <c r="D4902" s="1390">
        <f t="shared" si="751"/>
        <v>41464</v>
      </c>
      <c r="E4902" s="560">
        <f t="shared" si="751"/>
        <v>10.36</v>
      </c>
      <c r="F4902" s="1508">
        <f t="shared" si="752"/>
        <v>0</v>
      </c>
      <c r="G4902" s="1508">
        <f t="shared" si="753"/>
        <v>0</v>
      </c>
      <c r="H4902" s="1508">
        <f t="shared" si="748"/>
        <v>0</v>
      </c>
      <c r="I4902" s="1480">
        <v>0</v>
      </c>
      <c r="J4902" s="1480">
        <v>0</v>
      </c>
      <c r="K4902" s="1508"/>
      <c r="L4902" s="1508"/>
      <c r="M4902" s="1509">
        <f t="shared" si="749"/>
        <v>0</v>
      </c>
      <c r="N4902" s="1508">
        <f t="shared" si="750"/>
        <v>0</v>
      </c>
      <c r="O4902" s="1481">
        <f t="shared" si="754"/>
        <v>0</v>
      </c>
      <c r="P4902" s="1427">
        <f t="shared" si="755"/>
        <v>0</v>
      </c>
    </row>
    <row r="4903" spans="1:16" ht="31" outlineLevel="1" x14ac:dyDescent="0.25">
      <c r="A4903" s="1482">
        <f t="shared" si="751"/>
        <v>0</v>
      </c>
      <c r="B4903" s="1483" t="str">
        <f t="shared" si="751"/>
        <v>IDC</v>
      </c>
      <c r="C4903" s="1482" t="str">
        <f t="shared" si="751"/>
        <v>MERC/TECH 1/CAPEX/20132014/00827</v>
      </c>
      <c r="D4903" s="1390">
        <f t="shared" si="751"/>
        <v>41464</v>
      </c>
      <c r="E4903" s="560">
        <f t="shared" si="751"/>
        <v>0</v>
      </c>
      <c r="F4903" s="1508">
        <f t="shared" si="752"/>
        <v>0</v>
      </c>
      <c r="G4903" s="1508">
        <f t="shared" si="753"/>
        <v>0</v>
      </c>
      <c r="H4903" s="1508">
        <f t="shared" si="748"/>
        <v>0</v>
      </c>
      <c r="I4903" s="1480">
        <v>0</v>
      </c>
      <c r="J4903" s="1480">
        <v>0</v>
      </c>
      <c r="K4903" s="1508"/>
      <c r="L4903" s="1508"/>
      <c r="M4903" s="1509">
        <f t="shared" si="749"/>
        <v>0</v>
      </c>
      <c r="N4903" s="1508">
        <f t="shared" si="750"/>
        <v>0</v>
      </c>
      <c r="O4903" s="1481">
        <f t="shared" si="754"/>
        <v>0</v>
      </c>
      <c r="P4903" s="1427">
        <f t="shared" si="755"/>
        <v>0</v>
      </c>
    </row>
    <row r="4904" spans="1:16" ht="46.5" outlineLevel="1" x14ac:dyDescent="0.25">
      <c r="A4904" s="1477" t="str">
        <f t="shared" si="751"/>
        <v>HO
DPR 5</v>
      </c>
      <c r="B4904" s="1478" t="str">
        <f t="shared" si="751"/>
        <v>Procurement of energy efficient HT motors at Bhusawal TPS, Koradi TPS, Chandrapur TPS, khaperkheda TPS, Parli TPS &amp; Paras TPS as insurance spares</v>
      </c>
      <c r="C4904" s="1477" t="str">
        <f t="shared" si="751"/>
        <v>MERC/TECH 1/CAPEX/20142015/01218</v>
      </c>
      <c r="D4904" s="1479">
        <f t="shared" si="751"/>
        <v>41968</v>
      </c>
      <c r="E4904" s="1383">
        <f t="shared" si="751"/>
        <v>16.956</v>
      </c>
      <c r="F4904" s="1480">
        <f t="shared" si="752"/>
        <v>0</v>
      </c>
      <c r="G4904" s="1480">
        <f t="shared" si="753"/>
        <v>0</v>
      </c>
      <c r="H4904" s="1480">
        <f t="shared" si="748"/>
        <v>0</v>
      </c>
      <c r="I4904" s="1480">
        <v>0</v>
      </c>
      <c r="J4904" s="1480">
        <v>0</v>
      </c>
      <c r="K4904" s="1480"/>
      <c r="L4904" s="1480"/>
      <c r="M4904" s="1480">
        <f t="shared" si="749"/>
        <v>0</v>
      </c>
      <c r="N4904" s="1480">
        <f t="shared" si="750"/>
        <v>0</v>
      </c>
      <c r="O4904" s="1481">
        <f t="shared" si="754"/>
        <v>0</v>
      </c>
      <c r="P4904" s="1427">
        <f t="shared" si="755"/>
        <v>0</v>
      </c>
    </row>
    <row r="4905" spans="1:16" ht="46.5" outlineLevel="1" x14ac:dyDescent="0.25">
      <c r="A4905" s="1482" t="str">
        <f t="shared" si="751"/>
        <v>HO
DPR 5.3a</v>
      </c>
      <c r="B4905" s="1483" t="str">
        <f t="shared" si="751"/>
        <v>CSTPS (U-3/4, 210 MW, 7Nos)</v>
      </c>
      <c r="C4905" s="1482" t="str">
        <f t="shared" si="751"/>
        <v>MERC/TECH 1/CAPEX/20142015/01218</v>
      </c>
      <c r="D4905" s="1390">
        <f t="shared" si="751"/>
        <v>41968</v>
      </c>
      <c r="E4905" s="560">
        <f t="shared" si="751"/>
        <v>5.7060000000000004</v>
      </c>
      <c r="F4905" s="1508">
        <f t="shared" si="752"/>
        <v>0.90661499000000001</v>
      </c>
      <c r="G4905" s="1508">
        <f t="shared" si="753"/>
        <v>0.90661499000000001</v>
      </c>
      <c r="H4905" s="1508">
        <f t="shared" si="748"/>
        <v>0</v>
      </c>
      <c r="I4905" s="1480">
        <v>0</v>
      </c>
      <c r="J4905" s="1480">
        <v>0</v>
      </c>
      <c r="K4905" s="1508"/>
      <c r="L4905" s="1508"/>
      <c r="M4905" s="1509">
        <f t="shared" si="749"/>
        <v>0</v>
      </c>
      <c r="N4905" s="1508">
        <f t="shared" si="750"/>
        <v>0</v>
      </c>
      <c r="O4905" s="1481">
        <f t="shared" si="754"/>
        <v>0</v>
      </c>
      <c r="P4905" s="1427">
        <f t="shared" si="755"/>
        <v>0</v>
      </c>
    </row>
    <row r="4906" spans="1:16" ht="46.5" outlineLevel="1" x14ac:dyDescent="0.25">
      <c r="A4906" s="1482" t="str">
        <f t="shared" si="751"/>
        <v>HO
DPR 5.3b</v>
      </c>
      <c r="B4906" s="1483" t="str">
        <f t="shared" si="751"/>
        <v>CSTPS (U-5/6/7, 500 MW, 11Nos)</v>
      </c>
      <c r="C4906" s="1482" t="str">
        <f t="shared" si="751"/>
        <v>MERC/TECH 1/CAPEX/20142015/01218</v>
      </c>
      <c r="D4906" s="1390">
        <f t="shared" si="751"/>
        <v>41968</v>
      </c>
      <c r="E4906" s="560">
        <f t="shared" si="751"/>
        <v>11.25</v>
      </c>
      <c r="F4906" s="1508">
        <f t="shared" si="752"/>
        <v>5.7542039999999997</v>
      </c>
      <c r="G4906" s="1508">
        <f t="shared" si="753"/>
        <v>5.7542039999999997</v>
      </c>
      <c r="H4906" s="1508">
        <f t="shared" si="748"/>
        <v>0</v>
      </c>
      <c r="I4906" s="1480">
        <v>0</v>
      </c>
      <c r="J4906" s="1480">
        <v>0</v>
      </c>
      <c r="K4906" s="1508"/>
      <c r="L4906" s="1508"/>
      <c r="M4906" s="1509">
        <f t="shared" si="749"/>
        <v>0</v>
      </c>
      <c r="N4906" s="1508">
        <f t="shared" si="750"/>
        <v>0</v>
      </c>
      <c r="O4906" s="1481">
        <f t="shared" si="754"/>
        <v>0</v>
      </c>
      <c r="P4906" s="1427">
        <f t="shared" si="755"/>
        <v>0</v>
      </c>
    </row>
    <row r="4907" spans="1:16" ht="46.5" outlineLevel="1" x14ac:dyDescent="0.25">
      <c r="A4907" s="1477" t="str">
        <f t="shared" si="751"/>
        <v>HO
DPR 6</v>
      </c>
      <c r="B4907" s="1478" t="str">
        <f t="shared" si="751"/>
        <v>Supply, Installation, Commissioning and Operation &amp; Maintenance Services of Continuous Ambient Air Quality Monitoring Stations (CAAQMS) at various TPS</v>
      </c>
      <c r="C4907" s="1477" t="str">
        <f t="shared" si="751"/>
        <v>MERC/CAPEX/20162017/00423</v>
      </c>
      <c r="D4907" s="1479">
        <f t="shared" si="751"/>
        <v>42585</v>
      </c>
      <c r="E4907" s="1383">
        <f t="shared" si="751"/>
        <v>1.3257526714285714</v>
      </c>
      <c r="F4907" s="1480">
        <f t="shared" si="752"/>
        <v>0</v>
      </c>
      <c r="G4907" s="1480">
        <f t="shared" si="753"/>
        <v>0</v>
      </c>
      <c r="H4907" s="1480">
        <f t="shared" si="748"/>
        <v>0</v>
      </c>
      <c r="I4907" s="1480">
        <v>0</v>
      </c>
      <c r="J4907" s="1480">
        <v>0</v>
      </c>
      <c r="K4907" s="1480"/>
      <c r="L4907" s="1480"/>
      <c r="M4907" s="1480">
        <f t="shared" si="749"/>
        <v>0</v>
      </c>
      <c r="N4907" s="1480">
        <f t="shared" si="750"/>
        <v>0</v>
      </c>
      <c r="O4907" s="1481">
        <f t="shared" si="754"/>
        <v>0</v>
      </c>
      <c r="P4907" s="1427">
        <f t="shared" si="755"/>
        <v>0</v>
      </c>
    </row>
    <row r="4908" spans="1:16" ht="31" outlineLevel="1" x14ac:dyDescent="0.25">
      <c r="A4908" s="1482" t="str">
        <f t="shared" ref="A4908:E4923" si="756">A4238</f>
        <v>HO
DPR 6.1</v>
      </c>
      <c r="B4908" s="1483" t="str">
        <f t="shared" si="756"/>
        <v>CSTPS (U-1 to 7) ( 1 Nos.)</v>
      </c>
      <c r="C4908" s="1482" t="str">
        <f t="shared" si="756"/>
        <v>MERC/CAPEX/20162017/00423</v>
      </c>
      <c r="D4908" s="1390">
        <f t="shared" si="756"/>
        <v>42585</v>
      </c>
      <c r="E4908" s="560">
        <f t="shared" si="756"/>
        <v>1.3257526714285714</v>
      </c>
      <c r="F4908" s="1508">
        <f t="shared" si="752"/>
        <v>0</v>
      </c>
      <c r="G4908" s="1508">
        <f t="shared" si="753"/>
        <v>0</v>
      </c>
      <c r="H4908" s="1508">
        <f t="shared" si="748"/>
        <v>0</v>
      </c>
      <c r="I4908" s="1480">
        <v>0</v>
      </c>
      <c r="J4908" s="1480">
        <v>0</v>
      </c>
      <c r="K4908" s="1508"/>
      <c r="L4908" s="1508"/>
      <c r="M4908" s="1509">
        <f t="shared" si="749"/>
        <v>0</v>
      </c>
      <c r="N4908" s="1508">
        <f t="shared" si="750"/>
        <v>0</v>
      </c>
      <c r="O4908" s="1481">
        <f t="shared" si="754"/>
        <v>0</v>
      </c>
      <c r="P4908" s="1427">
        <f t="shared" si="755"/>
        <v>0</v>
      </c>
    </row>
    <row r="4909" spans="1:16" ht="31" outlineLevel="1" x14ac:dyDescent="0.25">
      <c r="A4909" s="1486" t="str">
        <f t="shared" si="756"/>
        <v>HO
DPR 7</v>
      </c>
      <c r="B4909" s="1491" t="str">
        <f t="shared" si="756"/>
        <v>Installation of Real Time Online Coal-Ash Analyzer at various TPS</v>
      </c>
      <c r="C4909" s="1477" t="str">
        <f t="shared" si="756"/>
        <v>MERC/CAPEX/20162017/00774</v>
      </c>
      <c r="D4909" s="1479">
        <f t="shared" si="756"/>
        <v>42643</v>
      </c>
      <c r="E4909" s="1383">
        <f t="shared" si="756"/>
        <v>7.0965999999999996</v>
      </c>
      <c r="F4909" s="1480">
        <f t="shared" si="752"/>
        <v>0</v>
      </c>
      <c r="G4909" s="1480">
        <f t="shared" si="753"/>
        <v>0</v>
      </c>
      <c r="H4909" s="1480">
        <f t="shared" si="748"/>
        <v>0</v>
      </c>
      <c r="I4909" s="1480">
        <v>0</v>
      </c>
      <c r="J4909" s="1480">
        <v>0</v>
      </c>
      <c r="K4909" s="1480"/>
      <c r="L4909" s="1480"/>
      <c r="M4909" s="1480">
        <f t="shared" si="749"/>
        <v>0</v>
      </c>
      <c r="N4909" s="1480">
        <f t="shared" si="750"/>
        <v>0</v>
      </c>
      <c r="O4909" s="1481">
        <f t="shared" si="754"/>
        <v>0</v>
      </c>
      <c r="P4909" s="1427">
        <f t="shared" si="755"/>
        <v>0</v>
      </c>
    </row>
    <row r="4910" spans="1:16" ht="31" outlineLevel="1" x14ac:dyDescent="0.25">
      <c r="A4910" s="1488" t="str">
        <f t="shared" si="756"/>
        <v>HO
DPR 7.1</v>
      </c>
      <c r="B4910" s="1492" t="str">
        <f t="shared" si="756"/>
        <v>Chandrapur STPS</v>
      </c>
      <c r="C4910" s="1482" t="str">
        <f t="shared" si="756"/>
        <v>MERC/CAPEX/20162017/00774</v>
      </c>
      <c r="D4910" s="1390">
        <f t="shared" si="756"/>
        <v>42643</v>
      </c>
      <c r="E4910" s="560">
        <f t="shared" si="756"/>
        <v>7.0965999999999996</v>
      </c>
      <c r="F4910" s="1508">
        <f t="shared" si="752"/>
        <v>7.0965999999999996</v>
      </c>
      <c r="G4910" s="1508">
        <f t="shared" si="753"/>
        <v>7.0965999999999996</v>
      </c>
      <c r="H4910" s="1508">
        <f t="shared" si="748"/>
        <v>0</v>
      </c>
      <c r="I4910" s="1480">
        <v>0</v>
      </c>
      <c r="J4910" s="1480">
        <v>0</v>
      </c>
      <c r="K4910" s="1508"/>
      <c r="L4910" s="1508"/>
      <c r="M4910" s="1509">
        <f t="shared" si="749"/>
        <v>0</v>
      </c>
      <c r="N4910" s="1508">
        <f t="shared" si="750"/>
        <v>0</v>
      </c>
      <c r="O4910" s="1481">
        <f t="shared" si="754"/>
        <v>0</v>
      </c>
      <c r="P4910" s="1427">
        <f t="shared" si="755"/>
        <v>0</v>
      </c>
    </row>
    <row r="4911" spans="1:16" ht="31" outlineLevel="1" x14ac:dyDescent="0.25">
      <c r="A4911" s="1489" t="str">
        <f t="shared" si="756"/>
        <v>HO
DPR 8</v>
      </c>
      <c r="B4911" s="1490" t="str">
        <f t="shared" si="756"/>
        <v>Replacement of Fire Tenders at Various Power Stations of Mahagenco</v>
      </c>
      <c r="C4911" s="1477" t="str">
        <f t="shared" si="756"/>
        <v>MERC/CAPEX/20172018/4653</v>
      </c>
      <c r="D4911" s="1479">
        <f t="shared" si="756"/>
        <v>43052</v>
      </c>
      <c r="E4911" s="1383">
        <f t="shared" si="756"/>
        <v>4.1500000000000004</v>
      </c>
      <c r="F4911" s="1480">
        <f t="shared" si="752"/>
        <v>0</v>
      </c>
      <c r="G4911" s="1480">
        <f t="shared" si="753"/>
        <v>0</v>
      </c>
      <c r="H4911" s="1480">
        <f t="shared" si="748"/>
        <v>0</v>
      </c>
      <c r="I4911" s="1480">
        <v>0</v>
      </c>
      <c r="J4911" s="1480">
        <v>0</v>
      </c>
      <c r="K4911" s="1480"/>
      <c r="L4911" s="1480"/>
      <c r="M4911" s="1480">
        <f t="shared" si="749"/>
        <v>0</v>
      </c>
      <c r="N4911" s="1480">
        <f t="shared" si="750"/>
        <v>0</v>
      </c>
      <c r="O4911" s="1481">
        <f t="shared" si="754"/>
        <v>0</v>
      </c>
      <c r="P4911" s="1427">
        <f t="shared" si="755"/>
        <v>0</v>
      </c>
    </row>
    <row r="4912" spans="1:16" ht="31" outlineLevel="1" x14ac:dyDescent="0.25">
      <c r="A4912" s="1484" t="str">
        <f t="shared" si="756"/>
        <v>HO
DPR 8.1</v>
      </c>
      <c r="B4912" s="1485" t="str">
        <f t="shared" si="756"/>
        <v>Advance Multipurpose Fire Tender for CSTPS</v>
      </c>
      <c r="C4912" s="1482" t="str">
        <f t="shared" si="756"/>
        <v>MERC/CAPEX/20172018/4653</v>
      </c>
      <c r="D4912" s="1390">
        <f t="shared" si="756"/>
        <v>43052</v>
      </c>
      <c r="E4912" s="560">
        <f t="shared" si="756"/>
        <v>2.9</v>
      </c>
      <c r="F4912" s="1508">
        <f t="shared" si="752"/>
        <v>0.26772339999999994</v>
      </c>
      <c r="G4912" s="1508">
        <f t="shared" si="753"/>
        <v>0.2677234</v>
      </c>
      <c r="H4912" s="1508">
        <f t="shared" si="748"/>
        <v>0</v>
      </c>
      <c r="I4912" s="1480">
        <v>0</v>
      </c>
      <c r="J4912" s="1480">
        <v>0</v>
      </c>
      <c r="K4912" s="1508"/>
      <c r="L4912" s="1508"/>
      <c r="M4912" s="1509">
        <f t="shared" si="749"/>
        <v>0</v>
      </c>
      <c r="N4912" s="1508">
        <f t="shared" si="750"/>
        <v>0</v>
      </c>
      <c r="O4912" s="1481">
        <f t="shared" si="754"/>
        <v>0</v>
      </c>
      <c r="P4912" s="1427">
        <f t="shared" si="755"/>
        <v>0</v>
      </c>
    </row>
    <row r="4913" spans="1:16" ht="31" outlineLevel="1" x14ac:dyDescent="0.25">
      <c r="A4913" s="1484" t="str">
        <f t="shared" si="756"/>
        <v>HO
DPR 8.2</v>
      </c>
      <c r="B4913" s="1485" t="str">
        <f t="shared" si="756"/>
        <v>Normal Multipurpose Fire Tender for CSTPS</v>
      </c>
      <c r="C4913" s="1482" t="str">
        <f t="shared" si="756"/>
        <v>MERC/CAPEX/20172018/4653</v>
      </c>
      <c r="D4913" s="1390">
        <f t="shared" si="756"/>
        <v>43052</v>
      </c>
      <c r="E4913" s="560">
        <f t="shared" si="756"/>
        <v>1.25</v>
      </c>
      <c r="F4913" s="1508">
        <f t="shared" si="752"/>
        <v>2.1846524010000001</v>
      </c>
      <c r="G4913" s="1508">
        <f t="shared" si="753"/>
        <v>2.1846524010000001</v>
      </c>
      <c r="H4913" s="1508">
        <f t="shared" si="748"/>
        <v>0</v>
      </c>
      <c r="I4913" s="1480">
        <v>0</v>
      </c>
      <c r="J4913" s="1480">
        <v>0</v>
      </c>
      <c r="K4913" s="1508"/>
      <c r="L4913" s="1508"/>
      <c r="M4913" s="1509">
        <f t="shared" si="749"/>
        <v>0</v>
      </c>
      <c r="N4913" s="1508">
        <f t="shared" si="750"/>
        <v>0</v>
      </c>
      <c r="O4913" s="1481">
        <f t="shared" si="754"/>
        <v>0</v>
      </c>
      <c r="P4913" s="1427">
        <f t="shared" si="755"/>
        <v>0</v>
      </c>
    </row>
    <row r="4914" spans="1:16" ht="15.5" outlineLevel="1" x14ac:dyDescent="0.25">
      <c r="A4914" s="1484">
        <f t="shared" si="756"/>
        <v>0</v>
      </c>
      <c r="B4914" s="1485" t="str">
        <f t="shared" si="756"/>
        <v>IDC</v>
      </c>
      <c r="C4914" s="1482" t="str">
        <f t="shared" si="756"/>
        <v>MERC/CAPEX/20172018/4653</v>
      </c>
      <c r="D4914" s="1390">
        <f t="shared" si="756"/>
        <v>43052</v>
      </c>
      <c r="E4914" s="560">
        <f t="shared" si="756"/>
        <v>0</v>
      </c>
      <c r="F4914" s="1508">
        <f t="shared" si="752"/>
        <v>0</v>
      </c>
      <c r="G4914" s="1508">
        <f t="shared" si="753"/>
        <v>0</v>
      </c>
      <c r="H4914" s="1508">
        <f t="shared" si="748"/>
        <v>0</v>
      </c>
      <c r="I4914" s="1480">
        <v>0</v>
      </c>
      <c r="J4914" s="1480">
        <v>0</v>
      </c>
      <c r="K4914" s="1508"/>
      <c r="L4914" s="1508"/>
      <c r="M4914" s="1509">
        <f t="shared" si="749"/>
        <v>0</v>
      </c>
      <c r="N4914" s="1508">
        <f t="shared" si="750"/>
        <v>0</v>
      </c>
      <c r="O4914" s="1481">
        <f t="shared" si="754"/>
        <v>0</v>
      </c>
      <c r="P4914" s="1427">
        <f t="shared" si="755"/>
        <v>0</v>
      </c>
    </row>
    <row r="4915" spans="1:16" ht="31" outlineLevel="1" x14ac:dyDescent="0.25">
      <c r="A4915" s="1489" t="str">
        <f t="shared" si="756"/>
        <v>HO
DPR 10</v>
      </c>
      <c r="B4915" s="1490" t="str">
        <f t="shared" si="756"/>
        <v>Implementation of IB recommendations- Civil works at various TPS of Mahagenco</v>
      </c>
      <c r="C4915" s="1486" t="str">
        <f t="shared" si="756"/>
        <v>MERC/CAPEX/20172018/0177</v>
      </c>
      <c r="D4915" s="1487">
        <f t="shared" si="756"/>
        <v>43137</v>
      </c>
      <c r="E4915" s="1383">
        <f t="shared" si="756"/>
        <v>9.0741999999999994</v>
      </c>
      <c r="F4915" s="1480">
        <f t="shared" si="752"/>
        <v>0</v>
      </c>
      <c r="G4915" s="1480">
        <f t="shared" si="753"/>
        <v>0</v>
      </c>
      <c r="H4915" s="1480">
        <f t="shared" si="748"/>
        <v>0</v>
      </c>
      <c r="I4915" s="1480">
        <v>0</v>
      </c>
      <c r="J4915" s="1480">
        <v>0</v>
      </c>
      <c r="K4915" s="1480"/>
      <c r="L4915" s="1480"/>
      <c r="M4915" s="1480">
        <f t="shared" si="749"/>
        <v>0</v>
      </c>
      <c r="N4915" s="1480">
        <f t="shared" si="750"/>
        <v>0</v>
      </c>
      <c r="O4915" s="1481">
        <f t="shared" si="754"/>
        <v>0</v>
      </c>
      <c r="P4915" s="1427">
        <f t="shared" si="755"/>
        <v>0</v>
      </c>
    </row>
    <row r="4916" spans="1:16" ht="46.5" outlineLevel="1" x14ac:dyDescent="0.25">
      <c r="A4916" s="1484" t="str">
        <f t="shared" si="756"/>
        <v>HO
DPR 10.1</v>
      </c>
      <c r="B4916" s="1485" t="str">
        <f t="shared" si="756"/>
        <v>CSTPS Chandrapur</v>
      </c>
      <c r="C4916" s="1488" t="str">
        <f t="shared" si="756"/>
        <v>MERC/CAPEX/20172018/0177</v>
      </c>
      <c r="D4916" s="1413">
        <f t="shared" si="756"/>
        <v>43137</v>
      </c>
      <c r="E4916" s="560">
        <f t="shared" si="756"/>
        <v>9.0741999999999994</v>
      </c>
      <c r="F4916" s="1508">
        <f t="shared" si="752"/>
        <v>9.6122519690000008</v>
      </c>
      <c r="G4916" s="1508">
        <f t="shared" si="753"/>
        <v>9.6122519690000008</v>
      </c>
      <c r="H4916" s="1508">
        <f t="shared" si="748"/>
        <v>0</v>
      </c>
      <c r="I4916" s="1480">
        <v>0</v>
      </c>
      <c r="J4916" s="1480">
        <v>0</v>
      </c>
      <c r="K4916" s="1508"/>
      <c r="L4916" s="1508"/>
      <c r="M4916" s="1509">
        <f t="shared" si="749"/>
        <v>0</v>
      </c>
      <c r="N4916" s="1508">
        <f t="shared" si="750"/>
        <v>0</v>
      </c>
      <c r="O4916" s="1481">
        <f t="shared" si="754"/>
        <v>0</v>
      </c>
      <c r="P4916" s="1427">
        <f t="shared" si="755"/>
        <v>0</v>
      </c>
    </row>
    <row r="4917" spans="1:16" ht="31" outlineLevel="1" x14ac:dyDescent="0.25">
      <c r="A4917" s="1489" t="str">
        <f t="shared" si="756"/>
        <v>HO
DPR 15</v>
      </c>
      <c r="B4917" s="1490" t="str">
        <f t="shared" si="756"/>
        <v>Procurement &amp; Replacement of Complete Sets of Air Pre-heater Baskets at Nashik, Parli &amp; Chandrapur TPS of Mahagenco</v>
      </c>
      <c r="C4917" s="1477" t="str">
        <f t="shared" si="756"/>
        <v>MERC/CAPEX/2019-2020/643</v>
      </c>
      <c r="D4917" s="1479">
        <f t="shared" si="756"/>
        <v>43703</v>
      </c>
      <c r="E4917" s="1383">
        <f t="shared" si="756"/>
        <v>11.13</v>
      </c>
      <c r="F4917" s="1480">
        <f t="shared" si="752"/>
        <v>0</v>
      </c>
      <c r="G4917" s="1480">
        <f t="shared" si="753"/>
        <v>0</v>
      </c>
      <c r="H4917" s="1480">
        <f t="shared" si="748"/>
        <v>0</v>
      </c>
      <c r="I4917" s="1480">
        <v>0</v>
      </c>
      <c r="J4917" s="1480">
        <v>0</v>
      </c>
      <c r="K4917" s="1480"/>
      <c r="L4917" s="1480"/>
      <c r="M4917" s="1480">
        <f t="shared" si="749"/>
        <v>0</v>
      </c>
      <c r="N4917" s="1480">
        <f t="shared" si="750"/>
        <v>0</v>
      </c>
      <c r="O4917" s="1481">
        <f t="shared" si="754"/>
        <v>0</v>
      </c>
      <c r="P4917" s="1427">
        <f t="shared" si="755"/>
        <v>0</v>
      </c>
    </row>
    <row r="4918" spans="1:16" ht="46.5" outlineLevel="1" x14ac:dyDescent="0.25">
      <c r="A4918" s="1484" t="str">
        <f t="shared" si="756"/>
        <v>HO
DPR 15.2</v>
      </c>
      <c r="B4918" s="1485" t="str">
        <f t="shared" si="756"/>
        <v>Procurement of Complete set of assembly of baskets for air preheater of type tri-sector APH in27 VI(T) 80”CSTPS unit No-4 (210MW). (2 Sets Per Unit)</v>
      </c>
      <c r="C4918" s="1482" t="str">
        <f t="shared" si="756"/>
        <v>MERC/CAPEX/2019-2020/643</v>
      </c>
      <c r="D4918" s="1390">
        <f t="shared" si="756"/>
        <v>43703</v>
      </c>
      <c r="E4918" s="560">
        <f t="shared" si="756"/>
        <v>1.73</v>
      </c>
      <c r="F4918" s="1508">
        <f t="shared" si="752"/>
        <v>1.6959658</v>
      </c>
      <c r="G4918" s="1508">
        <f t="shared" si="753"/>
        <v>1.6959658</v>
      </c>
      <c r="H4918" s="1508">
        <f t="shared" si="748"/>
        <v>0</v>
      </c>
      <c r="I4918" s="1480">
        <v>0</v>
      </c>
      <c r="J4918" s="1480">
        <v>0</v>
      </c>
      <c r="K4918" s="1508"/>
      <c r="L4918" s="1508"/>
      <c r="M4918" s="1509">
        <f t="shared" si="749"/>
        <v>0</v>
      </c>
      <c r="N4918" s="1508">
        <f t="shared" si="750"/>
        <v>0</v>
      </c>
      <c r="O4918" s="1481">
        <f t="shared" si="754"/>
        <v>0</v>
      </c>
      <c r="P4918" s="1427">
        <f t="shared" si="755"/>
        <v>0</v>
      </c>
    </row>
    <row r="4919" spans="1:16" ht="46.5" outlineLevel="1" x14ac:dyDescent="0.25">
      <c r="A4919" s="1484" t="str">
        <f t="shared" si="756"/>
        <v>HO
DPR 15.4</v>
      </c>
      <c r="B4919" s="1485" t="str">
        <f t="shared" si="756"/>
        <v>Procurement of Complete set of assembly of baskets for air preheater of type bi-sector APH “BI-SECTOR 27VI 1250(1400)”in CSTPS unit no. 5 &amp; 6 (500MW). (4 Sets Per Unit)</v>
      </c>
      <c r="C4919" s="1482" t="str">
        <f t="shared" si="756"/>
        <v>MERC/CAPEX/2019-2020/643</v>
      </c>
      <c r="D4919" s="1390">
        <f t="shared" si="756"/>
        <v>43703</v>
      </c>
      <c r="E4919" s="560">
        <f t="shared" si="756"/>
        <v>9.4</v>
      </c>
      <c r="F4919" s="1508">
        <f t="shared" si="752"/>
        <v>8.9105042999999995</v>
      </c>
      <c r="G4919" s="1508">
        <f t="shared" si="753"/>
        <v>8.9105042999999995</v>
      </c>
      <c r="H4919" s="1508">
        <f t="shared" si="748"/>
        <v>0</v>
      </c>
      <c r="I4919" s="1480">
        <v>0</v>
      </c>
      <c r="J4919" s="1480">
        <v>0</v>
      </c>
      <c r="K4919" s="1508"/>
      <c r="L4919" s="1508"/>
      <c r="M4919" s="1509">
        <f t="shared" si="749"/>
        <v>0</v>
      </c>
      <c r="N4919" s="1508">
        <f t="shared" si="750"/>
        <v>0</v>
      </c>
      <c r="O4919" s="1481">
        <f t="shared" si="754"/>
        <v>0</v>
      </c>
      <c r="P4919" s="1427">
        <f t="shared" si="755"/>
        <v>0</v>
      </c>
    </row>
    <row r="4920" spans="1:16" ht="15.5" outlineLevel="1" x14ac:dyDescent="0.25">
      <c r="A4920" s="1484">
        <f t="shared" si="756"/>
        <v>0</v>
      </c>
      <c r="B4920" s="1485" t="str">
        <f t="shared" si="756"/>
        <v>IDC</v>
      </c>
      <c r="C4920" s="1482" t="str">
        <f t="shared" si="756"/>
        <v>MERC/CAPEX/2019-2020/643</v>
      </c>
      <c r="D4920" s="1390">
        <f t="shared" si="756"/>
        <v>43703</v>
      </c>
      <c r="E4920" s="560">
        <f t="shared" si="756"/>
        <v>0</v>
      </c>
      <c r="F4920" s="1508">
        <f t="shared" si="752"/>
        <v>0</v>
      </c>
      <c r="G4920" s="1508">
        <f t="shared" si="753"/>
        <v>0</v>
      </c>
      <c r="H4920" s="1508">
        <f t="shared" si="748"/>
        <v>0</v>
      </c>
      <c r="I4920" s="1480">
        <v>0</v>
      </c>
      <c r="J4920" s="1480">
        <v>0</v>
      </c>
      <c r="K4920" s="1508"/>
      <c r="L4920" s="1508"/>
      <c r="M4920" s="1509">
        <f t="shared" si="749"/>
        <v>0</v>
      </c>
      <c r="N4920" s="1508">
        <f t="shared" si="750"/>
        <v>0</v>
      </c>
      <c r="O4920" s="1481">
        <f t="shared" si="754"/>
        <v>0</v>
      </c>
      <c r="P4920" s="1427">
        <f t="shared" si="755"/>
        <v>0</v>
      </c>
    </row>
    <row r="4921" spans="1:16" ht="31" outlineLevel="1" x14ac:dyDescent="0.25">
      <c r="A4921" s="1489" t="str">
        <f t="shared" si="756"/>
        <v>HO
DPR 16</v>
      </c>
      <c r="B4921" s="1490" t="str">
        <f t="shared" si="756"/>
        <v>Implementation of Water Flow Monitoring system at Chandrapur STPS &amp; Khaperkheda TPS</v>
      </c>
      <c r="C4921" s="1486" t="str">
        <f t="shared" si="756"/>
        <v>MERC/CAPEX/2020-2021/WFH/SBR/37</v>
      </c>
      <c r="D4921" s="1487">
        <f t="shared" si="756"/>
        <v>44131</v>
      </c>
      <c r="E4921" s="1383">
        <f t="shared" si="756"/>
        <v>3.7552319999999999</v>
      </c>
      <c r="F4921" s="1480">
        <f t="shared" si="752"/>
        <v>0</v>
      </c>
      <c r="G4921" s="1480">
        <f t="shared" si="753"/>
        <v>0</v>
      </c>
      <c r="H4921" s="1480">
        <f t="shared" si="748"/>
        <v>0</v>
      </c>
      <c r="I4921" s="1480">
        <v>0</v>
      </c>
      <c r="J4921" s="1480">
        <v>0</v>
      </c>
      <c r="K4921" s="1480"/>
      <c r="L4921" s="1480"/>
      <c r="M4921" s="1480">
        <f t="shared" si="749"/>
        <v>0</v>
      </c>
      <c r="N4921" s="1480">
        <f t="shared" si="750"/>
        <v>0</v>
      </c>
      <c r="O4921" s="1481">
        <f t="shared" si="754"/>
        <v>0</v>
      </c>
      <c r="P4921" s="1427">
        <f t="shared" si="755"/>
        <v>0</v>
      </c>
    </row>
    <row r="4922" spans="1:16" ht="46.5" outlineLevel="1" x14ac:dyDescent="0.25">
      <c r="A4922" s="1484" t="str">
        <f t="shared" si="756"/>
        <v>HO
DPR 16.1</v>
      </c>
      <c r="B4922" s="1485" t="str">
        <f t="shared" si="756"/>
        <v>Electromagnetic Flow meters at various lines &amp; Locations of CSTPS unit-3 to 7</v>
      </c>
      <c r="C4922" s="1488" t="str">
        <f t="shared" si="756"/>
        <v>MERC/CAPEX/2020-2021/WFH/SBR/37</v>
      </c>
      <c r="D4922" s="1413">
        <f t="shared" si="756"/>
        <v>44131</v>
      </c>
      <c r="E4922" s="560">
        <f t="shared" si="756"/>
        <v>2.912712</v>
      </c>
      <c r="F4922" s="1508">
        <f t="shared" si="752"/>
        <v>2.8883319000000003</v>
      </c>
      <c r="G4922" s="1508">
        <f t="shared" si="753"/>
        <v>2.8883319000000003</v>
      </c>
      <c r="H4922" s="1508">
        <f t="shared" si="748"/>
        <v>0</v>
      </c>
      <c r="I4922" s="1480">
        <v>0</v>
      </c>
      <c r="J4922" s="1480">
        <v>0</v>
      </c>
      <c r="K4922" s="1508"/>
      <c r="L4922" s="1508"/>
      <c r="M4922" s="1509">
        <f t="shared" si="749"/>
        <v>0</v>
      </c>
      <c r="N4922" s="1508">
        <f t="shared" si="750"/>
        <v>0</v>
      </c>
      <c r="O4922" s="1481">
        <f t="shared" si="754"/>
        <v>0</v>
      </c>
      <c r="P4922" s="1427">
        <f t="shared" si="755"/>
        <v>0</v>
      </c>
    </row>
    <row r="4923" spans="1:16" ht="62" outlineLevel="1" x14ac:dyDescent="0.25">
      <c r="A4923" s="1484" t="str">
        <f t="shared" si="756"/>
        <v>HO
DPR 16.2</v>
      </c>
      <c r="B4923" s="1485" t="str">
        <f t="shared" si="756"/>
        <v xml:space="preserve">Automation: Centralized SCADA, RTU, MODBUS Cable, Power cable &amp; Operation &amp; Maintenance for 1 Year &amp; mandatory spares
</v>
      </c>
      <c r="C4923" s="1488" t="str">
        <f t="shared" si="756"/>
        <v>MERC/CAPEX/2020-2021/WFH/SBR/37</v>
      </c>
      <c r="D4923" s="1413">
        <f t="shared" si="756"/>
        <v>44131</v>
      </c>
      <c r="E4923" s="560">
        <f t="shared" si="756"/>
        <v>0.84251999999999994</v>
      </c>
      <c r="F4923" s="1508">
        <f t="shared" si="752"/>
        <v>0.84251999999999994</v>
      </c>
      <c r="G4923" s="1508">
        <f t="shared" si="753"/>
        <v>0.84251999999999994</v>
      </c>
      <c r="H4923" s="1508">
        <f t="shared" si="748"/>
        <v>0</v>
      </c>
      <c r="I4923" s="1480">
        <v>0</v>
      </c>
      <c r="J4923" s="1480">
        <v>0</v>
      </c>
      <c r="K4923" s="1508"/>
      <c r="L4923" s="1508"/>
      <c r="M4923" s="1509">
        <f t="shared" si="749"/>
        <v>0</v>
      </c>
      <c r="N4923" s="1508">
        <f t="shared" si="750"/>
        <v>0</v>
      </c>
      <c r="O4923" s="1481">
        <f t="shared" si="754"/>
        <v>0</v>
      </c>
      <c r="P4923" s="1427">
        <f t="shared" si="755"/>
        <v>0</v>
      </c>
    </row>
    <row r="4924" spans="1:16" ht="31" outlineLevel="1" x14ac:dyDescent="0.25">
      <c r="A4924" s="1484">
        <f t="shared" ref="A4924:E4939" si="757">A4254</f>
        <v>0</v>
      </c>
      <c r="B4924" s="1485" t="str">
        <f t="shared" si="757"/>
        <v>IDC</v>
      </c>
      <c r="C4924" s="1482" t="str">
        <f t="shared" si="757"/>
        <v>MERC/CAPEX/2020-2021/WFH/SBR/37</v>
      </c>
      <c r="D4924" s="1390">
        <f t="shared" si="757"/>
        <v>44131</v>
      </c>
      <c r="E4924" s="560">
        <f t="shared" si="757"/>
        <v>0</v>
      </c>
      <c r="F4924" s="1508">
        <f t="shared" si="752"/>
        <v>0</v>
      </c>
      <c r="G4924" s="1508">
        <f t="shared" si="753"/>
        <v>0</v>
      </c>
      <c r="H4924" s="1508">
        <f t="shared" si="748"/>
        <v>0</v>
      </c>
      <c r="I4924" s="1480">
        <v>0</v>
      </c>
      <c r="J4924" s="1480">
        <v>0</v>
      </c>
      <c r="K4924" s="1508"/>
      <c r="L4924" s="1508"/>
      <c r="M4924" s="1509">
        <f t="shared" si="749"/>
        <v>0</v>
      </c>
      <c r="N4924" s="1508">
        <f t="shared" si="750"/>
        <v>0</v>
      </c>
      <c r="O4924" s="1481">
        <f t="shared" si="754"/>
        <v>0</v>
      </c>
      <c r="P4924" s="1427">
        <f t="shared" si="755"/>
        <v>0</v>
      </c>
    </row>
    <row r="4925" spans="1:16" ht="46.5" outlineLevel="1" x14ac:dyDescent="0.25">
      <c r="A4925" s="1489">
        <f t="shared" si="757"/>
        <v>40</v>
      </c>
      <c r="B4925" s="1490" t="str">
        <f t="shared" si="757"/>
        <v>Procurement of Condensate Extraction Pump for 500MW Unit-5, 6 &amp; 7 And Supply &amp; Replacement of complete PVC Fills of cell of cooling tower of Unit-7 in ODP-II at CSTPS, Chandrapur</v>
      </c>
      <c r="C4925" s="1486" t="str">
        <f t="shared" si="757"/>
        <v>MERC/CAPEX/2021-2022/ WFH/SBR/ 10</v>
      </c>
      <c r="D4925" s="1487">
        <f t="shared" si="757"/>
        <v>44357</v>
      </c>
      <c r="E4925" s="1383">
        <f t="shared" si="757"/>
        <v>10.89</v>
      </c>
      <c r="F4925" s="1480">
        <f t="shared" si="752"/>
        <v>0</v>
      </c>
      <c r="G4925" s="1480">
        <f t="shared" si="753"/>
        <v>0</v>
      </c>
      <c r="H4925" s="1480">
        <f t="shared" si="748"/>
        <v>0</v>
      </c>
      <c r="I4925" s="1480">
        <v>0</v>
      </c>
      <c r="J4925" s="1480">
        <v>0</v>
      </c>
      <c r="K4925" s="1480"/>
      <c r="L4925" s="1480"/>
      <c r="M4925" s="1480">
        <f t="shared" si="749"/>
        <v>0</v>
      </c>
      <c r="N4925" s="1480">
        <f t="shared" si="750"/>
        <v>0</v>
      </c>
      <c r="O4925" s="1481">
        <f t="shared" si="754"/>
        <v>0</v>
      </c>
      <c r="P4925" s="1427">
        <f t="shared" si="755"/>
        <v>0</v>
      </c>
    </row>
    <row r="4926" spans="1:16" ht="46.5" outlineLevel="1" x14ac:dyDescent="0.25">
      <c r="A4926" s="1484">
        <f t="shared" si="757"/>
        <v>40.1</v>
      </c>
      <c r="B4926" s="1485" t="str">
        <f t="shared" si="757"/>
        <v>Procurement of Condensate Extraction
Pump for 500MW Unit-5, 6 &amp; 7, CSTPS,
Chandrapur as insurance spare</v>
      </c>
      <c r="C4926" s="1488" t="str">
        <f t="shared" si="757"/>
        <v>MERC/CAPEX/2021-2022/ WFH/SBR/ 10</v>
      </c>
      <c r="D4926" s="1413">
        <f t="shared" si="757"/>
        <v>44357</v>
      </c>
      <c r="E4926" s="560">
        <f t="shared" si="757"/>
        <v>6.2</v>
      </c>
      <c r="F4926" s="1508">
        <f t="shared" si="752"/>
        <v>6.0121000000000002</v>
      </c>
      <c r="G4926" s="1508">
        <f t="shared" si="753"/>
        <v>6.0121000000000002</v>
      </c>
      <c r="H4926" s="1508">
        <f t="shared" si="748"/>
        <v>0</v>
      </c>
      <c r="I4926" s="1480">
        <v>0</v>
      </c>
      <c r="J4926" s="1480">
        <v>0</v>
      </c>
      <c r="K4926" s="1508"/>
      <c r="L4926" s="1508"/>
      <c r="M4926" s="1509">
        <f t="shared" si="749"/>
        <v>0</v>
      </c>
      <c r="N4926" s="1508">
        <f t="shared" si="750"/>
        <v>0</v>
      </c>
      <c r="O4926" s="1481">
        <f t="shared" si="754"/>
        <v>0</v>
      </c>
      <c r="P4926" s="1427">
        <f t="shared" si="755"/>
        <v>0</v>
      </c>
    </row>
    <row r="4927" spans="1:16" ht="46.5" outlineLevel="1" x14ac:dyDescent="0.25">
      <c r="A4927" s="1484">
        <f t="shared" si="757"/>
        <v>40.200000000000003</v>
      </c>
      <c r="B4927" s="1485" t="str">
        <f t="shared" si="757"/>
        <v>Supply and replacement of complete
PVC Fills of cell of cooling tower in Unit-
7</v>
      </c>
      <c r="C4927" s="1488" t="str">
        <f t="shared" si="757"/>
        <v>MERC/CAPEX/2021-2022/ WFH/SBR/ 10</v>
      </c>
      <c r="D4927" s="1413">
        <f t="shared" si="757"/>
        <v>44357</v>
      </c>
      <c r="E4927" s="560">
        <f t="shared" si="757"/>
        <v>4.3899999999999997</v>
      </c>
      <c r="F4927" s="1508">
        <f t="shared" si="752"/>
        <v>4.3293638999999997</v>
      </c>
      <c r="G4927" s="1508">
        <f t="shared" si="753"/>
        <v>4.3293638999999997</v>
      </c>
      <c r="H4927" s="1508">
        <f t="shared" si="748"/>
        <v>0</v>
      </c>
      <c r="I4927" s="1480">
        <v>0</v>
      </c>
      <c r="J4927" s="1480">
        <v>0</v>
      </c>
      <c r="K4927" s="1508"/>
      <c r="L4927" s="1508"/>
      <c r="M4927" s="1509">
        <f t="shared" si="749"/>
        <v>0</v>
      </c>
      <c r="N4927" s="1508">
        <f t="shared" si="750"/>
        <v>0</v>
      </c>
      <c r="O4927" s="1481">
        <f t="shared" si="754"/>
        <v>0</v>
      </c>
      <c r="P4927" s="1427">
        <f t="shared" si="755"/>
        <v>0</v>
      </c>
    </row>
    <row r="4928" spans="1:16" ht="31" outlineLevel="1" x14ac:dyDescent="0.25">
      <c r="A4928" s="1484">
        <f t="shared" si="757"/>
        <v>0</v>
      </c>
      <c r="B4928" s="1485" t="str">
        <f t="shared" si="757"/>
        <v>IDC</v>
      </c>
      <c r="C4928" s="1482" t="str">
        <f t="shared" si="757"/>
        <v>MERC/CAPEX/2021-2022/ WFH/SBR/ 10</v>
      </c>
      <c r="D4928" s="1390">
        <f t="shared" si="757"/>
        <v>44357</v>
      </c>
      <c r="E4928" s="560">
        <f t="shared" si="757"/>
        <v>0.3</v>
      </c>
      <c r="F4928" s="1508">
        <f t="shared" si="752"/>
        <v>0</v>
      </c>
      <c r="G4928" s="1508">
        <f t="shared" si="753"/>
        <v>0</v>
      </c>
      <c r="H4928" s="1508">
        <f t="shared" si="748"/>
        <v>0</v>
      </c>
      <c r="I4928" s="1480">
        <v>0</v>
      </c>
      <c r="J4928" s="1480">
        <v>0</v>
      </c>
      <c r="K4928" s="1508"/>
      <c r="L4928" s="1508"/>
      <c r="M4928" s="1509">
        <f t="shared" si="749"/>
        <v>0</v>
      </c>
      <c r="N4928" s="1508">
        <f t="shared" si="750"/>
        <v>0</v>
      </c>
      <c r="O4928" s="1481">
        <f t="shared" si="754"/>
        <v>0</v>
      </c>
      <c r="P4928" s="1427">
        <f t="shared" si="755"/>
        <v>0</v>
      </c>
    </row>
    <row r="4929" spans="1:16" ht="77.5" outlineLevel="1" x14ac:dyDescent="0.25">
      <c r="A4929" s="1489">
        <f t="shared" si="757"/>
        <v>41</v>
      </c>
      <c r="B4929" s="1490" t="str">
        <f t="shared" si="757"/>
        <v>Supply &amp; Commissioning of Advanced Microprocessor based Fast Bus Transfer panels; Up-gradation of Thyristor based 24V &amp; 220V DC battery chargers by SMPS Microprocessor based Battery Chargers at U-5,6 &amp;7
and Generator Protection scheme at U-7, at CSTPS, Chandrapur</v>
      </c>
      <c r="C4929" s="1486" t="str">
        <f t="shared" si="757"/>
        <v>MERC/CAPEX/2022-2023/0321</v>
      </c>
      <c r="D4929" s="1487">
        <f t="shared" si="757"/>
        <v>44760</v>
      </c>
      <c r="E4929" s="1383">
        <f t="shared" si="757"/>
        <v>14.06</v>
      </c>
      <c r="F4929" s="1480">
        <f t="shared" si="752"/>
        <v>0</v>
      </c>
      <c r="G4929" s="1480">
        <f t="shared" si="753"/>
        <v>0</v>
      </c>
      <c r="H4929" s="1480">
        <f t="shared" si="748"/>
        <v>0</v>
      </c>
      <c r="I4929" s="1480">
        <v>0</v>
      </c>
      <c r="J4929" s="1480">
        <v>0</v>
      </c>
      <c r="K4929" s="1480"/>
      <c r="L4929" s="1480"/>
      <c r="M4929" s="1480">
        <f t="shared" si="749"/>
        <v>0</v>
      </c>
      <c r="N4929" s="1480">
        <f t="shared" si="750"/>
        <v>0</v>
      </c>
      <c r="O4929" s="1481">
        <f t="shared" si="754"/>
        <v>0</v>
      </c>
      <c r="P4929" s="1427">
        <f t="shared" si="755"/>
        <v>0</v>
      </c>
    </row>
    <row r="4930" spans="1:16" ht="46.5" outlineLevel="1" x14ac:dyDescent="0.25">
      <c r="A4930" s="1484">
        <f t="shared" si="757"/>
        <v>41.1</v>
      </c>
      <c r="B4930" s="1485" t="str">
        <f t="shared" si="757"/>
        <v>Supply &amp; commissioning of Advanced Microprocessor based Fast Bus Transfer Panels for Unit#5,6,7, Stage-III, CSTPS, Chandrapur.</v>
      </c>
      <c r="C4930" s="1488" t="str">
        <f t="shared" si="757"/>
        <v>MERC/CAPEX/2022-2023/0321</v>
      </c>
      <c r="D4930" s="1413">
        <f t="shared" si="757"/>
        <v>44760</v>
      </c>
      <c r="E4930" s="560">
        <f t="shared" si="757"/>
        <v>6.08</v>
      </c>
      <c r="F4930" s="1508">
        <f t="shared" si="752"/>
        <v>6.0770239999999998</v>
      </c>
      <c r="G4930" s="1508">
        <f t="shared" si="753"/>
        <v>6.0770239999999998</v>
      </c>
      <c r="H4930" s="1508">
        <f t="shared" si="748"/>
        <v>0</v>
      </c>
      <c r="I4930" s="1480">
        <v>0</v>
      </c>
      <c r="J4930" s="1480">
        <v>0</v>
      </c>
      <c r="K4930" s="1508"/>
      <c r="L4930" s="1508"/>
      <c r="M4930" s="1509">
        <f t="shared" si="749"/>
        <v>0</v>
      </c>
      <c r="N4930" s="1508">
        <f t="shared" si="750"/>
        <v>0</v>
      </c>
      <c r="O4930" s="1481">
        <f t="shared" si="754"/>
        <v>0</v>
      </c>
      <c r="P4930" s="1427">
        <f t="shared" si="755"/>
        <v>0</v>
      </c>
    </row>
    <row r="4931" spans="1:16" ht="46.5" outlineLevel="1" x14ac:dyDescent="0.25">
      <c r="A4931" s="1484">
        <f t="shared" si="757"/>
        <v>41.2</v>
      </c>
      <c r="B4931" s="1485" t="str">
        <f t="shared" si="757"/>
        <v>Up-gradation of thyristor based 24V &amp; 220V DC Battery Chargers by SMPS Microprocessor based Battery Chargers at Stage-III, CSTPS, Chandrapur.</v>
      </c>
      <c r="C4931" s="1488" t="str">
        <f t="shared" si="757"/>
        <v>MERC/CAPEX/2022-2023/0321</v>
      </c>
      <c r="D4931" s="1413">
        <f t="shared" si="757"/>
        <v>44760</v>
      </c>
      <c r="E4931" s="560">
        <f t="shared" si="757"/>
        <v>5.28</v>
      </c>
      <c r="F4931" s="1508">
        <f t="shared" si="752"/>
        <v>5.28</v>
      </c>
      <c r="G4931" s="1508">
        <f t="shared" si="753"/>
        <v>5.28</v>
      </c>
      <c r="H4931" s="1508">
        <f t="shared" si="748"/>
        <v>0</v>
      </c>
      <c r="I4931" s="1480">
        <v>0</v>
      </c>
      <c r="J4931" s="1480">
        <v>0</v>
      </c>
      <c r="K4931" s="1508"/>
      <c r="L4931" s="1508"/>
      <c r="M4931" s="1509">
        <f t="shared" si="749"/>
        <v>0</v>
      </c>
      <c r="N4931" s="1508">
        <f t="shared" si="750"/>
        <v>0</v>
      </c>
      <c r="O4931" s="1481">
        <f t="shared" si="754"/>
        <v>0</v>
      </c>
      <c r="P4931" s="1427">
        <f t="shared" si="755"/>
        <v>0</v>
      </c>
    </row>
    <row r="4932" spans="1:16" ht="15.5" outlineLevel="1" x14ac:dyDescent="0.25">
      <c r="A4932" s="1484">
        <f t="shared" si="757"/>
        <v>41.3</v>
      </c>
      <c r="B4932" s="1485" t="str">
        <f t="shared" si="757"/>
        <v>Generator Protection Scheme U-7</v>
      </c>
      <c r="C4932" s="1488" t="str">
        <f t="shared" si="757"/>
        <v>MERC/CAPEX/2022-2023/0321</v>
      </c>
      <c r="D4932" s="1413">
        <f t="shared" si="757"/>
        <v>44760</v>
      </c>
      <c r="E4932" s="560">
        <f t="shared" si="757"/>
        <v>1.98</v>
      </c>
      <c r="F4932" s="1508">
        <f t="shared" si="752"/>
        <v>1.98</v>
      </c>
      <c r="G4932" s="1508">
        <f t="shared" si="753"/>
        <v>1.98</v>
      </c>
      <c r="H4932" s="1508">
        <f t="shared" si="748"/>
        <v>0</v>
      </c>
      <c r="I4932" s="1480">
        <v>0</v>
      </c>
      <c r="J4932" s="1480">
        <v>0</v>
      </c>
      <c r="K4932" s="1508"/>
      <c r="L4932" s="1508"/>
      <c r="M4932" s="1509">
        <f t="shared" si="749"/>
        <v>0</v>
      </c>
      <c r="N4932" s="1508">
        <f t="shared" si="750"/>
        <v>0</v>
      </c>
      <c r="O4932" s="1481">
        <f t="shared" si="754"/>
        <v>0</v>
      </c>
      <c r="P4932" s="1427">
        <f t="shared" si="755"/>
        <v>0</v>
      </c>
    </row>
    <row r="4933" spans="1:16" ht="15.5" outlineLevel="1" x14ac:dyDescent="0.25">
      <c r="A4933" s="1484">
        <f t="shared" si="757"/>
        <v>0</v>
      </c>
      <c r="B4933" s="1485" t="str">
        <f t="shared" si="757"/>
        <v>IDC</v>
      </c>
      <c r="C4933" s="1482" t="str">
        <f t="shared" si="757"/>
        <v>MERC/CAPEX/2022-2023/0321</v>
      </c>
      <c r="D4933" s="1390">
        <f t="shared" si="757"/>
        <v>44760</v>
      </c>
      <c r="E4933" s="560">
        <f t="shared" si="757"/>
        <v>0.72</v>
      </c>
      <c r="F4933" s="1508">
        <f t="shared" si="752"/>
        <v>0</v>
      </c>
      <c r="G4933" s="1508">
        <f t="shared" si="753"/>
        <v>0</v>
      </c>
      <c r="H4933" s="1508">
        <f t="shared" si="748"/>
        <v>0</v>
      </c>
      <c r="I4933" s="1480">
        <v>0</v>
      </c>
      <c r="J4933" s="1480">
        <v>0</v>
      </c>
      <c r="K4933" s="1508"/>
      <c r="L4933" s="1508"/>
      <c r="M4933" s="1509">
        <f t="shared" si="749"/>
        <v>0</v>
      </c>
      <c r="N4933" s="1508">
        <f t="shared" si="750"/>
        <v>0</v>
      </c>
      <c r="O4933" s="1481">
        <f t="shared" si="754"/>
        <v>0</v>
      </c>
      <c r="P4933" s="1427">
        <f t="shared" si="755"/>
        <v>0</v>
      </c>
    </row>
    <row r="4934" spans="1:16" ht="31" outlineLevel="1" x14ac:dyDescent="0.25">
      <c r="A4934" s="1489">
        <f t="shared" si="757"/>
        <v>42</v>
      </c>
      <c r="B4934" s="1490" t="str">
        <f t="shared" si="757"/>
        <v>ESP Upgradation of 5 Nos. of 210/500MW Units at Khaperkheda, Koradi &amp; Chandrapur TPS</v>
      </c>
      <c r="C4934" s="1486" t="str">
        <f t="shared" si="757"/>
        <v>MERC/CAPEX/2022-2023/MSPGCL/0453</v>
      </c>
      <c r="D4934" s="1487">
        <f t="shared" si="757"/>
        <v>44833</v>
      </c>
      <c r="E4934" s="1383">
        <f t="shared" si="757"/>
        <v>219.44</v>
      </c>
      <c r="F4934" s="1480">
        <f t="shared" si="752"/>
        <v>0</v>
      </c>
      <c r="G4934" s="1480">
        <f t="shared" si="753"/>
        <v>0</v>
      </c>
      <c r="H4934" s="1480">
        <f t="shared" si="748"/>
        <v>0</v>
      </c>
      <c r="I4934" s="1480">
        <v>0</v>
      </c>
      <c r="J4934" s="1480">
        <v>0</v>
      </c>
      <c r="K4934" s="1480"/>
      <c r="L4934" s="1480"/>
      <c r="M4934" s="1480">
        <f t="shared" si="749"/>
        <v>0</v>
      </c>
      <c r="N4934" s="1480">
        <f t="shared" si="750"/>
        <v>0</v>
      </c>
      <c r="O4934" s="1481">
        <f t="shared" si="754"/>
        <v>0</v>
      </c>
      <c r="P4934" s="1427">
        <f t="shared" si="755"/>
        <v>0</v>
      </c>
    </row>
    <row r="4935" spans="1:16" ht="31" outlineLevel="1" x14ac:dyDescent="0.25">
      <c r="A4935" s="1484">
        <f t="shared" si="757"/>
        <v>42.1</v>
      </c>
      <c r="B4935" s="1485" t="str">
        <f t="shared" si="757"/>
        <v>ESP Upgradation at Unit # 5 &amp; 6, Chandrapur TPS</v>
      </c>
      <c r="C4935" s="1488" t="str">
        <f t="shared" si="757"/>
        <v>MERC/CAPEX/2022-2023/MSPGCL/0453</v>
      </c>
      <c r="D4935" s="1413">
        <f t="shared" si="757"/>
        <v>44833</v>
      </c>
      <c r="E4935" s="560">
        <f t="shared" si="757"/>
        <v>207.46</v>
      </c>
      <c r="F4935" s="1508">
        <f t="shared" si="752"/>
        <v>232.76</v>
      </c>
      <c r="G4935" s="1508">
        <f t="shared" si="753"/>
        <v>232.76</v>
      </c>
      <c r="H4935" s="1508">
        <f t="shared" si="748"/>
        <v>0</v>
      </c>
      <c r="I4935" s="1480">
        <v>0</v>
      </c>
      <c r="J4935" s="1480">
        <v>0</v>
      </c>
      <c r="K4935" s="1508"/>
      <c r="L4935" s="1508"/>
      <c r="M4935" s="1509">
        <f t="shared" si="749"/>
        <v>0</v>
      </c>
      <c r="N4935" s="1508">
        <f t="shared" si="750"/>
        <v>0</v>
      </c>
      <c r="O4935" s="1481">
        <f t="shared" si="754"/>
        <v>0</v>
      </c>
      <c r="P4935" s="1427">
        <f t="shared" si="755"/>
        <v>0</v>
      </c>
    </row>
    <row r="4936" spans="1:16" ht="31" outlineLevel="1" x14ac:dyDescent="0.25">
      <c r="A4936" s="1484">
        <f t="shared" si="757"/>
        <v>0</v>
      </c>
      <c r="B4936" s="1485" t="str">
        <f t="shared" si="757"/>
        <v>IDC</v>
      </c>
      <c r="C4936" s="1482" t="str">
        <f t="shared" si="757"/>
        <v>MERC/CAPEX/2022-2023/MSPGCL/0453</v>
      </c>
      <c r="D4936" s="1390">
        <f t="shared" si="757"/>
        <v>44833</v>
      </c>
      <c r="E4936" s="560">
        <f t="shared" si="757"/>
        <v>11.98</v>
      </c>
      <c r="F4936" s="1508">
        <f t="shared" si="752"/>
        <v>0</v>
      </c>
      <c r="G4936" s="1508">
        <f t="shared" si="753"/>
        <v>0</v>
      </c>
      <c r="H4936" s="1508">
        <f t="shared" si="748"/>
        <v>0</v>
      </c>
      <c r="I4936" s="1480">
        <v>0</v>
      </c>
      <c r="J4936" s="1480">
        <v>0</v>
      </c>
      <c r="K4936" s="1508"/>
      <c r="L4936" s="1508"/>
      <c r="M4936" s="1509">
        <f t="shared" si="749"/>
        <v>0</v>
      </c>
      <c r="N4936" s="1508">
        <f t="shared" si="750"/>
        <v>0</v>
      </c>
      <c r="O4936" s="1481">
        <f t="shared" si="754"/>
        <v>0</v>
      </c>
      <c r="P4936" s="1427">
        <f t="shared" si="755"/>
        <v>0</v>
      </c>
    </row>
    <row r="4937" spans="1:16" ht="31" outlineLevel="1" x14ac:dyDescent="0.25">
      <c r="A4937" s="1489">
        <f t="shared" si="757"/>
        <v>43</v>
      </c>
      <c r="B4937" s="1490" t="str">
        <f t="shared" si="757"/>
        <v>Flue Gas Desulphurization (FGD) System at 10 Nos. of 210 MW Units at Chandrapur, Koradi, Khaperkheda &amp; Nasik TPS</v>
      </c>
      <c r="C4937" s="1486" t="str">
        <f t="shared" si="757"/>
        <v>MERC/CAPEX/MSPGCL/2023-2024/0459</v>
      </c>
      <c r="D4937" s="1487">
        <f t="shared" si="757"/>
        <v>45174</v>
      </c>
      <c r="E4937" s="1383">
        <f t="shared" si="757"/>
        <v>115.34</v>
      </c>
      <c r="F4937" s="1480">
        <f t="shared" si="752"/>
        <v>0</v>
      </c>
      <c r="G4937" s="1480">
        <f t="shared" si="753"/>
        <v>0</v>
      </c>
      <c r="H4937" s="1480">
        <f t="shared" si="748"/>
        <v>0</v>
      </c>
      <c r="I4937" s="1480">
        <v>0</v>
      </c>
      <c r="J4937" s="1480">
        <v>0</v>
      </c>
      <c r="K4937" s="1480"/>
      <c r="L4937" s="1480"/>
      <c r="M4937" s="1480">
        <f t="shared" si="749"/>
        <v>0</v>
      </c>
      <c r="N4937" s="1480">
        <f t="shared" si="750"/>
        <v>0</v>
      </c>
      <c r="O4937" s="1481">
        <f t="shared" si="754"/>
        <v>0</v>
      </c>
      <c r="P4937" s="1427">
        <f t="shared" si="755"/>
        <v>0</v>
      </c>
    </row>
    <row r="4938" spans="1:16" ht="31" outlineLevel="1" x14ac:dyDescent="0.25">
      <c r="A4938" s="1484">
        <f t="shared" si="757"/>
        <v>43.1</v>
      </c>
      <c r="B4938" s="1485" t="str">
        <f t="shared" si="757"/>
        <v>Flue Gas Desulphurization (FGD) System at Unit 3 &amp; 4, Chandrapur</v>
      </c>
      <c r="C4938" s="1488" t="str">
        <f t="shared" si="757"/>
        <v>MERC/CAPEX/MSPGCL/2023-2024/0459</v>
      </c>
      <c r="D4938" s="1413">
        <f t="shared" si="757"/>
        <v>45174</v>
      </c>
      <c r="E4938" s="560">
        <f t="shared" si="757"/>
        <v>109.4</v>
      </c>
      <c r="F4938" s="1508">
        <f t="shared" si="752"/>
        <v>147.38</v>
      </c>
      <c r="G4938" s="1508">
        <f t="shared" si="753"/>
        <v>256.32</v>
      </c>
      <c r="H4938" s="1508">
        <f t="shared" si="748"/>
        <v>-108.94</v>
      </c>
      <c r="I4938" s="1480">
        <v>0</v>
      </c>
      <c r="J4938" s="1480">
        <v>0</v>
      </c>
      <c r="K4938" s="1508"/>
      <c r="L4938" s="1508"/>
      <c r="M4938" s="1509">
        <f t="shared" si="749"/>
        <v>0</v>
      </c>
      <c r="N4938" s="1508">
        <f t="shared" si="750"/>
        <v>-108.94</v>
      </c>
      <c r="O4938" s="1481">
        <f t="shared" si="754"/>
        <v>0</v>
      </c>
      <c r="P4938" s="1427">
        <f t="shared" si="755"/>
        <v>0</v>
      </c>
    </row>
    <row r="4939" spans="1:16" ht="31" outlineLevel="1" x14ac:dyDescent="0.25">
      <c r="A4939" s="1484">
        <f t="shared" si="757"/>
        <v>0</v>
      </c>
      <c r="B4939" s="1485" t="str">
        <f t="shared" si="757"/>
        <v>IDC</v>
      </c>
      <c r="C4939" s="1488" t="str">
        <f t="shared" si="757"/>
        <v>MERC/CAPEX/MSPGCL/2023-2024/0459</v>
      </c>
      <c r="D4939" s="1413">
        <f t="shared" si="757"/>
        <v>45174</v>
      </c>
      <c r="E4939" s="560">
        <f t="shared" si="757"/>
        <v>5.94</v>
      </c>
      <c r="F4939" s="1508">
        <f t="shared" si="752"/>
        <v>0</v>
      </c>
      <c r="G4939" s="1508">
        <f t="shared" si="753"/>
        <v>0</v>
      </c>
      <c r="H4939" s="1508">
        <f t="shared" si="748"/>
        <v>0</v>
      </c>
      <c r="I4939" s="1480">
        <v>0</v>
      </c>
      <c r="J4939" s="1480">
        <v>0</v>
      </c>
      <c r="K4939" s="1508"/>
      <c r="L4939" s="1508"/>
      <c r="M4939" s="1509">
        <f t="shared" si="749"/>
        <v>0</v>
      </c>
      <c r="N4939" s="1508">
        <f t="shared" si="750"/>
        <v>0</v>
      </c>
      <c r="O4939" s="1481">
        <f t="shared" si="754"/>
        <v>0</v>
      </c>
      <c r="P4939" s="1427">
        <f t="shared" si="755"/>
        <v>0</v>
      </c>
    </row>
    <row r="4940" spans="1:16" ht="77.5" outlineLevel="1" x14ac:dyDescent="0.25">
      <c r="A4940" s="1489">
        <f t="shared" ref="A4940:E4955" si="758">A4270</f>
        <v>44</v>
      </c>
      <c r="B4940" s="1490" t="str">
        <f t="shared" si="758"/>
        <v>Design, Engineering, Manufacturing, Transportation to CSTPS site, unloading, Erection, Testing &amp; Commissioning of 3 nos. of new 200MVA. 21/400/√3KV, Single phase Generator Transformers, BHEL make for 3 X 500 MW Unit#5,6&amp;7 500MW Stage-III CSTPS, Chandrapur</v>
      </c>
      <c r="C4940" s="1486" t="str">
        <f t="shared" si="758"/>
        <v>MERC/CAPEX/2022-2023/0409</v>
      </c>
      <c r="D4940" s="1487">
        <f t="shared" si="758"/>
        <v>44806</v>
      </c>
      <c r="E4940" s="1383">
        <f t="shared" si="758"/>
        <v>33.268000000000001</v>
      </c>
      <c r="F4940" s="1480">
        <f t="shared" si="752"/>
        <v>0</v>
      </c>
      <c r="G4940" s="1480">
        <f t="shared" si="753"/>
        <v>0</v>
      </c>
      <c r="H4940" s="1480">
        <f t="shared" si="748"/>
        <v>0</v>
      </c>
      <c r="I4940" s="1480">
        <v>0</v>
      </c>
      <c r="J4940" s="1480">
        <v>0</v>
      </c>
      <c r="K4940" s="1480"/>
      <c r="L4940" s="1480"/>
      <c r="M4940" s="1480">
        <f t="shared" si="749"/>
        <v>0</v>
      </c>
      <c r="N4940" s="1480">
        <f t="shared" si="750"/>
        <v>0</v>
      </c>
      <c r="O4940" s="1481">
        <f t="shared" si="754"/>
        <v>0</v>
      </c>
      <c r="P4940" s="1427">
        <f t="shared" si="755"/>
        <v>0</v>
      </c>
    </row>
    <row r="4941" spans="1:16" ht="93" outlineLevel="1" x14ac:dyDescent="0.25">
      <c r="A4941" s="1484">
        <f t="shared" si="758"/>
        <v>44.1</v>
      </c>
      <c r="B4941" s="1485" t="str">
        <f t="shared" si="758"/>
        <v>Design, Engineering, Manufacturing, Transportation to CSTPS site, unloading, Erection, Testing &amp; Commissioning of new 200MVA, 21/400/√3KV, Single phase Generator Transformers, BHEL make for 3 X 500 MW Unit#5,6&amp;7 500MW Stage-III CSTPS Chandrapur including Erection &amp; Commissioning of GTs and Freight &amp; Transit Insurance charges</v>
      </c>
      <c r="C4941" s="1488" t="str">
        <f t="shared" si="758"/>
        <v>MERC/CAPEX/2022-2023/0409</v>
      </c>
      <c r="D4941" s="1413">
        <f t="shared" si="758"/>
        <v>44806</v>
      </c>
      <c r="E4941" s="560">
        <f t="shared" si="758"/>
        <v>32.567999999999998</v>
      </c>
      <c r="F4941" s="1508">
        <f t="shared" si="752"/>
        <v>39</v>
      </c>
      <c r="G4941" s="1508">
        <f t="shared" si="753"/>
        <v>39</v>
      </c>
      <c r="H4941" s="1508">
        <f t="shared" si="748"/>
        <v>0</v>
      </c>
      <c r="I4941" s="1480">
        <v>0</v>
      </c>
      <c r="J4941" s="1480">
        <v>0</v>
      </c>
      <c r="K4941" s="1508"/>
      <c r="L4941" s="1508"/>
      <c r="M4941" s="1509">
        <f t="shared" si="749"/>
        <v>0</v>
      </c>
      <c r="N4941" s="1508">
        <f t="shared" si="750"/>
        <v>0</v>
      </c>
      <c r="O4941" s="1481">
        <f t="shared" si="754"/>
        <v>0</v>
      </c>
      <c r="P4941" s="1427">
        <f t="shared" si="755"/>
        <v>0</v>
      </c>
    </row>
    <row r="4942" spans="1:16" ht="15.5" outlineLevel="1" x14ac:dyDescent="0.25">
      <c r="A4942" s="1484">
        <f t="shared" si="758"/>
        <v>0</v>
      </c>
      <c r="B4942" s="1485" t="str">
        <f t="shared" si="758"/>
        <v>IDC</v>
      </c>
      <c r="C4942" s="1482" t="str">
        <f t="shared" si="758"/>
        <v>MERC/CAPEX/2022-2023/0409</v>
      </c>
      <c r="D4942" s="1390">
        <f t="shared" si="758"/>
        <v>44806</v>
      </c>
      <c r="E4942" s="560">
        <f t="shared" si="758"/>
        <v>0.7</v>
      </c>
      <c r="F4942" s="1508">
        <f t="shared" si="752"/>
        <v>0</v>
      </c>
      <c r="G4942" s="1508">
        <f t="shared" si="753"/>
        <v>0</v>
      </c>
      <c r="H4942" s="1508">
        <f t="shared" si="748"/>
        <v>0</v>
      </c>
      <c r="I4942" s="1480">
        <v>0</v>
      </c>
      <c r="J4942" s="1480">
        <v>0</v>
      </c>
      <c r="K4942" s="1508"/>
      <c r="L4942" s="1508"/>
      <c r="M4942" s="1509">
        <f t="shared" si="749"/>
        <v>0</v>
      </c>
      <c r="N4942" s="1508">
        <f t="shared" si="750"/>
        <v>0</v>
      </c>
      <c r="O4942" s="1481">
        <f t="shared" si="754"/>
        <v>0</v>
      </c>
      <c r="P4942" s="1427">
        <f t="shared" si="755"/>
        <v>0</v>
      </c>
    </row>
    <row r="4943" spans="1:16" ht="93" outlineLevel="1" x14ac:dyDescent="0.25">
      <c r="A4943" s="1489">
        <f t="shared" si="758"/>
        <v>45</v>
      </c>
      <c r="B4943" s="1490" t="str">
        <f t="shared" si="758"/>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4943" s="1486" t="str">
        <f t="shared" si="758"/>
        <v>MERC/CAPEX/2022-2023/MSPGCL/0458</v>
      </c>
      <c r="D4943" s="1487">
        <f t="shared" si="758"/>
        <v>45174</v>
      </c>
      <c r="E4943" s="560">
        <f t="shared" si="758"/>
        <v>145.05495436368</v>
      </c>
      <c r="F4943" s="1508">
        <f t="shared" si="752"/>
        <v>0</v>
      </c>
      <c r="G4943" s="1508">
        <f t="shared" si="753"/>
        <v>0</v>
      </c>
      <c r="H4943" s="1508">
        <f t="shared" si="748"/>
        <v>0</v>
      </c>
      <c r="I4943" s="1480">
        <v>0</v>
      </c>
      <c r="J4943" s="1480">
        <v>0</v>
      </c>
      <c r="K4943" s="1508"/>
      <c r="L4943" s="1508"/>
      <c r="M4943" s="1509">
        <f t="shared" ref="M4943:M4971" si="759">SUM(J4943:L4943)</f>
        <v>0</v>
      </c>
      <c r="N4943" s="1508">
        <f t="shared" si="750"/>
        <v>0</v>
      </c>
      <c r="O4943" s="1481"/>
      <c r="P4943" s="1427"/>
    </row>
    <row r="4944" spans="1:16" ht="31" outlineLevel="1" x14ac:dyDescent="0.25">
      <c r="A4944" s="1484">
        <f t="shared" si="758"/>
        <v>45.1</v>
      </c>
      <c r="B4944" s="1485" t="str">
        <f t="shared" si="758"/>
        <v>Construction of 4th raising of existing Ash Bund from T.B.L. 198.00 M to T.B.L 201.00 M</v>
      </c>
      <c r="C4944" s="1488" t="str">
        <f t="shared" si="758"/>
        <v>MERC/CAPEX/2022-2023/MSPGCL/0458</v>
      </c>
      <c r="D4944" s="1413">
        <f t="shared" si="758"/>
        <v>45174</v>
      </c>
      <c r="E4944" s="560">
        <f t="shared" si="758"/>
        <v>101.81018586775998</v>
      </c>
      <c r="F4944" s="1508">
        <f t="shared" si="752"/>
        <v>66.943683858253138</v>
      </c>
      <c r="G4944" s="1508">
        <f t="shared" si="753"/>
        <v>66.943683858253138</v>
      </c>
      <c r="H4944" s="1508">
        <f t="shared" si="748"/>
        <v>0</v>
      </c>
      <c r="I4944" s="1480">
        <v>0</v>
      </c>
      <c r="J4944" s="1480">
        <v>0</v>
      </c>
      <c r="K4944" s="1508"/>
      <c r="L4944" s="1508"/>
      <c r="M4944" s="1509">
        <f t="shared" si="759"/>
        <v>0</v>
      </c>
      <c r="N4944" s="1508">
        <f t="shared" si="750"/>
        <v>0</v>
      </c>
      <c r="O4944" s="1481"/>
      <c r="P4944" s="1427"/>
    </row>
    <row r="4945" spans="1:16" ht="31" outlineLevel="1" x14ac:dyDescent="0.25">
      <c r="A4945" s="1484">
        <f t="shared" si="758"/>
        <v>45.2</v>
      </c>
      <c r="B4945" s="1485" t="str">
        <f t="shared" si="758"/>
        <v>Construction of New Drain Wells (12 Nos.) along with necessary connection to existing drain wells at CSTPS</v>
      </c>
      <c r="C4945" s="1488" t="str">
        <f t="shared" si="758"/>
        <v>MERC/CAPEX/2022-2023/MSPGCL/0458</v>
      </c>
      <c r="D4945" s="1413">
        <f t="shared" si="758"/>
        <v>45174</v>
      </c>
      <c r="E4945" s="560">
        <f t="shared" si="758"/>
        <v>1.7079926814999997</v>
      </c>
      <c r="F4945" s="1508">
        <f t="shared" si="752"/>
        <v>1.1230636809863013</v>
      </c>
      <c r="G4945" s="1508">
        <f t="shared" si="753"/>
        <v>1.1230636809863013</v>
      </c>
      <c r="H4945" s="1508">
        <f t="shared" si="748"/>
        <v>0</v>
      </c>
      <c r="I4945" s="1480">
        <v>0</v>
      </c>
      <c r="J4945" s="1480">
        <v>0</v>
      </c>
      <c r="K4945" s="1508"/>
      <c r="L4945" s="1508"/>
      <c r="M4945" s="1509">
        <f t="shared" si="759"/>
        <v>0</v>
      </c>
      <c r="N4945" s="1508">
        <f t="shared" si="750"/>
        <v>0</v>
      </c>
      <c r="O4945" s="1481"/>
      <c r="P4945" s="1427"/>
    </row>
    <row r="4946" spans="1:16" ht="31" outlineLevel="1" x14ac:dyDescent="0.25">
      <c r="A4946" s="1484">
        <f t="shared" si="758"/>
        <v>45.3</v>
      </c>
      <c r="B4946" s="1485" t="str">
        <f t="shared" si="758"/>
        <v xml:space="preserve"> Construction of waste weir for raising of ash bund (Waste Weir &amp; Non overflow structure)</v>
      </c>
      <c r="C4946" s="1488" t="str">
        <f t="shared" si="758"/>
        <v>MERC/CAPEX/2022-2023/MSPGCL/0458</v>
      </c>
      <c r="D4946" s="1413">
        <f t="shared" si="758"/>
        <v>45174</v>
      </c>
      <c r="E4946" s="560">
        <f t="shared" si="758"/>
        <v>4.2692499462199995</v>
      </c>
      <c r="F4946" s="1508">
        <f t="shared" si="752"/>
        <v>2.8071780468295886</v>
      </c>
      <c r="G4946" s="1508">
        <f t="shared" si="753"/>
        <v>2.8071780468295886</v>
      </c>
      <c r="H4946" s="1508">
        <f t="shared" si="748"/>
        <v>0</v>
      </c>
      <c r="I4946" s="1480">
        <v>0</v>
      </c>
      <c r="J4946" s="1480">
        <v>0</v>
      </c>
      <c r="K4946" s="1508"/>
      <c r="L4946" s="1508"/>
      <c r="M4946" s="1509">
        <f t="shared" si="759"/>
        <v>0</v>
      </c>
      <c r="N4946" s="1508">
        <f t="shared" si="750"/>
        <v>0</v>
      </c>
      <c r="O4946" s="1481"/>
      <c r="P4946" s="1427"/>
    </row>
    <row r="4947" spans="1:16" ht="31" outlineLevel="1" x14ac:dyDescent="0.25">
      <c r="A4947" s="1484">
        <f t="shared" si="758"/>
        <v>45.4</v>
      </c>
      <c r="B4947" s="1485" t="str">
        <f t="shared" si="758"/>
        <v>Raising of Ash Compartment i.e. Lagoon in Ash Bund</v>
      </c>
      <c r="C4947" s="1488" t="str">
        <f t="shared" si="758"/>
        <v>MERC/CAPEX/2022-2023/MSPGCL/0458</v>
      </c>
      <c r="D4947" s="1413">
        <f t="shared" si="758"/>
        <v>45174</v>
      </c>
      <c r="E4947" s="560">
        <f t="shared" si="758"/>
        <v>25.657525868199997</v>
      </c>
      <c r="F4947" s="1508">
        <f t="shared" si="752"/>
        <v>16.870701940734246</v>
      </c>
      <c r="G4947" s="1508">
        <f t="shared" si="753"/>
        <v>16.870701940734246</v>
      </c>
      <c r="H4947" s="1508">
        <f t="shared" si="748"/>
        <v>0</v>
      </c>
      <c r="I4947" s="1480">
        <v>0</v>
      </c>
      <c r="J4947" s="1480">
        <v>0</v>
      </c>
      <c r="K4947" s="1508"/>
      <c r="L4947" s="1508"/>
      <c r="M4947" s="1509">
        <f t="shared" si="759"/>
        <v>0</v>
      </c>
      <c r="N4947" s="1508">
        <f t="shared" si="750"/>
        <v>0</v>
      </c>
      <c r="O4947" s="1481"/>
      <c r="P4947" s="1427"/>
    </row>
    <row r="4948" spans="1:16" ht="31" outlineLevel="1" x14ac:dyDescent="0.25">
      <c r="A4948" s="1484">
        <f t="shared" si="758"/>
        <v>0</v>
      </c>
      <c r="B4948" s="1485" t="str">
        <f t="shared" si="758"/>
        <v>IDC</v>
      </c>
      <c r="C4948" s="1482" t="str">
        <f t="shared" si="758"/>
        <v>MERC/CAPEX/2022-2023/MSPGCL/0458</v>
      </c>
      <c r="D4948" s="1390">
        <f t="shared" si="758"/>
        <v>45174</v>
      </c>
      <c r="E4948" s="560">
        <f t="shared" si="758"/>
        <v>11.61</v>
      </c>
      <c r="F4948" s="1508">
        <f t="shared" si="752"/>
        <v>0</v>
      </c>
      <c r="G4948" s="1508">
        <f t="shared" si="753"/>
        <v>0</v>
      </c>
      <c r="H4948" s="1508">
        <f t="shared" si="748"/>
        <v>0</v>
      </c>
      <c r="I4948" s="1480">
        <v>0</v>
      </c>
      <c r="J4948" s="1480">
        <v>0</v>
      </c>
      <c r="K4948" s="1508"/>
      <c r="L4948" s="1508"/>
      <c r="M4948" s="1509">
        <f t="shared" si="759"/>
        <v>0</v>
      </c>
      <c r="N4948" s="1508">
        <f t="shared" si="750"/>
        <v>0</v>
      </c>
      <c r="O4948" s="1481"/>
      <c r="P4948" s="1427"/>
    </row>
    <row r="4949" spans="1:16" ht="46.5" outlineLevel="1" x14ac:dyDescent="0.25">
      <c r="A4949" s="1489">
        <f t="shared" si="758"/>
        <v>46</v>
      </c>
      <c r="B4949" s="1490" t="str">
        <f t="shared" si="758"/>
        <v>Procurement of 03 Nos. of complete assembly of 3.3 KV, 300 KW Boiler Circulation Water Pump - Motors along with Impeller for Unit#5&amp;6, 500MW Stage-III CSTPS Chandrapur</v>
      </c>
      <c r="C4949" s="1486" t="str">
        <f t="shared" si="758"/>
        <v>MERC/CAPEX/2024-2025/MSPGCL/0308</v>
      </c>
      <c r="D4949" s="1487">
        <f t="shared" si="758"/>
        <v>45429</v>
      </c>
      <c r="E4949" s="560">
        <f t="shared" si="758"/>
        <v>37.32</v>
      </c>
      <c r="F4949" s="1508">
        <f t="shared" si="752"/>
        <v>0</v>
      </c>
      <c r="G4949" s="1508">
        <f t="shared" si="753"/>
        <v>0</v>
      </c>
      <c r="H4949" s="1508">
        <f t="shared" si="748"/>
        <v>0</v>
      </c>
      <c r="I4949" s="1480">
        <v>0</v>
      </c>
      <c r="J4949" s="1480">
        <v>0</v>
      </c>
      <c r="K4949" s="1508"/>
      <c r="L4949" s="1508"/>
      <c r="M4949" s="1509">
        <f t="shared" si="759"/>
        <v>0</v>
      </c>
      <c r="N4949" s="1508">
        <f t="shared" si="750"/>
        <v>0</v>
      </c>
      <c r="O4949" s="1481"/>
      <c r="P4949" s="1427"/>
    </row>
    <row r="4950" spans="1:16" ht="46.5" outlineLevel="1" x14ac:dyDescent="0.25">
      <c r="A4950" s="1484">
        <f t="shared" si="758"/>
        <v>46.1</v>
      </c>
      <c r="B4950" s="1485" t="str">
        <f t="shared" si="758"/>
        <v>Procurement of 03 Nos. of complete assembly of 3.3 KV, 300 KW Boiler Circulation Water Pump - Motors along with Impeller for Unit#5&amp;6, 500MW Stage-III CSTPS Chandrapur</v>
      </c>
      <c r="C4950" s="1488" t="str">
        <f t="shared" si="758"/>
        <v>MERC/CAPEX/2024-2025/MSPGCL/0308</v>
      </c>
      <c r="D4950" s="1495">
        <f t="shared" si="758"/>
        <v>45429</v>
      </c>
      <c r="E4950" s="560">
        <f t="shared" si="758"/>
        <v>0</v>
      </c>
      <c r="F4950" s="1508">
        <f t="shared" si="752"/>
        <v>35.944000000000003</v>
      </c>
      <c r="G4950" s="1508">
        <f t="shared" si="753"/>
        <v>35.944000000000003</v>
      </c>
      <c r="H4950" s="1508">
        <f t="shared" ref="H4950:H5013" si="760">F4950-G4950</f>
        <v>0</v>
      </c>
      <c r="I4950" s="1480">
        <v>0</v>
      </c>
      <c r="J4950" s="1480">
        <v>0</v>
      </c>
      <c r="K4950" s="1508"/>
      <c r="L4950" s="1508"/>
      <c r="M4950" s="1509">
        <f t="shared" si="759"/>
        <v>0</v>
      </c>
      <c r="N4950" s="1508">
        <f t="shared" ref="N4950:N5013" si="761">H4950+I4950-M4950</f>
        <v>0</v>
      </c>
      <c r="O4950" s="1481"/>
      <c r="P4950" s="1427"/>
    </row>
    <row r="4951" spans="1:16" ht="31" outlineLevel="1" x14ac:dyDescent="0.25">
      <c r="A4951" s="1484">
        <f t="shared" si="758"/>
        <v>0</v>
      </c>
      <c r="B4951" s="1485" t="str">
        <f t="shared" si="758"/>
        <v>IDC</v>
      </c>
      <c r="C4951" s="1488" t="str">
        <f t="shared" si="758"/>
        <v>MERC/CAPEX/2024-2025/MSPGCL/0308</v>
      </c>
      <c r="D4951" s="1495">
        <f t="shared" si="758"/>
        <v>45429</v>
      </c>
      <c r="E4951" s="560">
        <f t="shared" si="758"/>
        <v>0</v>
      </c>
      <c r="F4951" s="1508">
        <f t="shared" si="752"/>
        <v>0</v>
      </c>
      <c r="G4951" s="1508">
        <f t="shared" si="753"/>
        <v>0</v>
      </c>
      <c r="H4951" s="1508">
        <f t="shared" si="760"/>
        <v>0</v>
      </c>
      <c r="I4951" s="1480">
        <v>0</v>
      </c>
      <c r="J4951" s="1480">
        <v>0</v>
      </c>
      <c r="K4951" s="1508"/>
      <c r="L4951" s="1508"/>
      <c r="M4951" s="1509">
        <f t="shared" si="759"/>
        <v>0</v>
      </c>
      <c r="N4951" s="1508">
        <f t="shared" si="761"/>
        <v>0</v>
      </c>
      <c r="O4951" s="1481"/>
      <c r="P4951" s="1427"/>
    </row>
    <row r="4952" spans="1:16" ht="31" outlineLevel="1" x14ac:dyDescent="0.25">
      <c r="A4952" s="1489">
        <f t="shared" si="758"/>
        <v>47</v>
      </c>
      <c r="B4952" s="1490" t="str">
        <f t="shared" si="758"/>
        <v>Performance Improvement &amp; Life Extension Schemes for CHP of Unit 3 to 7 of CSTPS, Chandrapur</v>
      </c>
      <c r="C4952" s="1486" t="str">
        <f t="shared" si="758"/>
        <v>MERC/CAPEX/MSPGCL/2023-24/0560</v>
      </c>
      <c r="D4952" s="1413">
        <f t="shared" si="758"/>
        <v>45230</v>
      </c>
      <c r="E4952" s="560">
        <f t="shared" si="758"/>
        <v>43.01</v>
      </c>
      <c r="F4952" s="1508">
        <f t="shared" si="752"/>
        <v>0</v>
      </c>
      <c r="G4952" s="1508">
        <f t="shared" si="753"/>
        <v>0</v>
      </c>
      <c r="H4952" s="1508">
        <f t="shared" si="760"/>
        <v>0</v>
      </c>
      <c r="I4952" s="1480">
        <v>0</v>
      </c>
      <c r="J4952" s="1480">
        <v>0</v>
      </c>
      <c r="K4952" s="1508"/>
      <c r="L4952" s="1508"/>
      <c r="M4952" s="1509">
        <f t="shared" si="759"/>
        <v>0</v>
      </c>
      <c r="N4952" s="1508">
        <f t="shared" si="761"/>
        <v>0</v>
      </c>
      <c r="O4952" s="1481"/>
      <c r="P4952" s="1427"/>
    </row>
    <row r="4953" spans="1:16" ht="31" outlineLevel="1" x14ac:dyDescent="0.25">
      <c r="A4953" s="1484">
        <f t="shared" si="758"/>
        <v>47.1</v>
      </c>
      <c r="B4953" s="1485" t="str">
        <f t="shared" si="758"/>
        <v>Work of Renovation/Upgradation/Modification of Crusher House of CHPA of Unit 3&amp;4 of CSTPS Chandrapur.</v>
      </c>
      <c r="C4953" s="1488" t="str">
        <f t="shared" si="758"/>
        <v>MERC/CAPEX/MSPGCL/2023-24/0560</v>
      </c>
      <c r="D4953" s="1413">
        <f t="shared" si="758"/>
        <v>45230</v>
      </c>
      <c r="E4953" s="560">
        <f t="shared" si="758"/>
        <v>5.66</v>
      </c>
      <c r="F4953" s="1508">
        <f t="shared" si="752"/>
        <v>5.66</v>
      </c>
      <c r="G4953" s="1508">
        <f t="shared" si="753"/>
        <v>5.66</v>
      </c>
      <c r="H4953" s="1508">
        <f t="shared" si="760"/>
        <v>0</v>
      </c>
      <c r="I4953" s="1480">
        <v>0</v>
      </c>
      <c r="J4953" s="1480">
        <v>0</v>
      </c>
      <c r="K4953" s="1508"/>
      <c r="L4953" s="1508"/>
      <c r="M4953" s="1509">
        <f t="shared" si="759"/>
        <v>0</v>
      </c>
      <c r="N4953" s="1508">
        <f t="shared" si="761"/>
        <v>0</v>
      </c>
      <c r="O4953" s="1481"/>
      <c r="P4953" s="1427"/>
    </row>
    <row r="4954" spans="1:16" ht="31" outlineLevel="1" x14ac:dyDescent="0.25">
      <c r="A4954" s="1484">
        <f t="shared" si="758"/>
        <v>47.2</v>
      </c>
      <c r="B4954" s="1485" t="str">
        <f t="shared" si="758"/>
        <v>Work of Renovation/Upgradation/Modification of Belt Conveyor 10A/B/C of CHPA of Unit 3&amp;4 of CSTPS Chandrapur.</v>
      </c>
      <c r="C4954" s="1488" t="str">
        <f t="shared" si="758"/>
        <v>MERC/CAPEX/MSPGCL/2023-24/0560</v>
      </c>
      <c r="D4954" s="1413">
        <f t="shared" si="758"/>
        <v>45230</v>
      </c>
      <c r="E4954" s="560">
        <f t="shared" si="758"/>
        <v>8.17</v>
      </c>
      <c r="F4954" s="1508">
        <f t="shared" si="752"/>
        <v>8.17</v>
      </c>
      <c r="G4954" s="1508">
        <f t="shared" si="753"/>
        <v>8.17</v>
      </c>
      <c r="H4954" s="1508">
        <f t="shared" si="760"/>
        <v>0</v>
      </c>
      <c r="I4954" s="1480">
        <v>0</v>
      </c>
      <c r="J4954" s="1480">
        <v>0</v>
      </c>
      <c r="K4954" s="1508"/>
      <c r="L4954" s="1508"/>
      <c r="M4954" s="1509">
        <f t="shared" si="759"/>
        <v>0</v>
      </c>
      <c r="N4954" s="1508">
        <f t="shared" si="761"/>
        <v>0</v>
      </c>
      <c r="O4954" s="1481"/>
      <c r="P4954" s="1427"/>
    </row>
    <row r="4955" spans="1:16" ht="31" outlineLevel="1" x14ac:dyDescent="0.25">
      <c r="A4955" s="1484">
        <f t="shared" si="758"/>
        <v>47.3</v>
      </c>
      <c r="B4955" s="1485" t="str">
        <f t="shared" si="758"/>
        <v xml:space="preserve">Work of Modification/Modernization of conveyor cable of 10 A/B/C of CHPA of Unit 3&amp;4 of CSTPS Chandrapur. </v>
      </c>
      <c r="C4955" s="1488" t="str">
        <f t="shared" si="758"/>
        <v>MERC/CAPEX/MSPGCL/2023-24/0560</v>
      </c>
      <c r="D4955" s="1413">
        <f t="shared" si="758"/>
        <v>45230</v>
      </c>
      <c r="E4955" s="560">
        <f t="shared" si="758"/>
        <v>4.12</v>
      </c>
      <c r="F4955" s="1508">
        <f t="shared" si="752"/>
        <v>4.12</v>
      </c>
      <c r="G4955" s="1508">
        <f t="shared" si="753"/>
        <v>4.12</v>
      </c>
      <c r="H4955" s="1508">
        <f t="shared" si="760"/>
        <v>0</v>
      </c>
      <c r="I4955" s="1480">
        <v>0</v>
      </c>
      <c r="J4955" s="1480">
        <v>0</v>
      </c>
      <c r="K4955" s="1508"/>
      <c r="L4955" s="1508"/>
      <c r="M4955" s="1509">
        <f t="shared" si="759"/>
        <v>0</v>
      </c>
      <c r="N4955" s="1508">
        <f t="shared" si="761"/>
        <v>0</v>
      </c>
      <c r="O4955" s="1481"/>
      <c r="P4955" s="1427"/>
    </row>
    <row r="4956" spans="1:16" ht="46.5" outlineLevel="1" x14ac:dyDescent="0.25">
      <c r="A4956" s="1484">
        <f t="shared" ref="A4956:E4971" si="762">A4286</f>
        <v>47.4</v>
      </c>
      <c r="B4956" s="1485" t="str">
        <f t="shared" si="762"/>
        <v xml:space="preserve">Design, Engineering, Supply, Erection and commissioning of bypass chute with hydraulic cylinder &amp; modification/renovation at JT-06 of CHPA of Unit 3&amp;4 of CSTPS Chandrapur. </v>
      </c>
      <c r="C4956" s="1488" t="str">
        <f t="shared" si="762"/>
        <v>MERC/CAPEX/MSPGCL/2023-24/0560</v>
      </c>
      <c r="D4956" s="1413">
        <f t="shared" si="762"/>
        <v>45230</v>
      </c>
      <c r="E4956" s="560">
        <f t="shared" si="762"/>
        <v>3.72</v>
      </c>
      <c r="F4956" s="1508">
        <f t="shared" ref="F4956:F5019" si="763">F4286+I4286</f>
        <v>3.72</v>
      </c>
      <c r="G4956" s="1508">
        <f t="shared" ref="G4956:G5019" si="764">G4286+M4286</f>
        <v>3.72</v>
      </c>
      <c r="H4956" s="1508">
        <f t="shared" si="760"/>
        <v>0</v>
      </c>
      <c r="I4956" s="1480">
        <v>0</v>
      </c>
      <c r="J4956" s="1480">
        <v>0</v>
      </c>
      <c r="K4956" s="1508"/>
      <c r="L4956" s="1508"/>
      <c r="M4956" s="1509">
        <f t="shared" si="759"/>
        <v>0</v>
      </c>
      <c r="N4956" s="1508">
        <f t="shared" si="761"/>
        <v>0</v>
      </c>
      <c r="O4956" s="1481"/>
      <c r="P4956" s="1427"/>
    </row>
    <row r="4957" spans="1:16" ht="46.5" outlineLevel="1" x14ac:dyDescent="0.25">
      <c r="A4957" s="1484">
        <f t="shared" si="762"/>
        <v>47.5</v>
      </c>
      <c r="B4957" s="1485" t="str">
        <f t="shared" si="762"/>
        <v xml:space="preserve">Design, Engineering, Supply, Erection and Installation of Wear Resistance Chutes for Belt Conveyor System at CHPA/B of Unit 3to9 of CSTPS Chandrapur. </v>
      </c>
      <c r="C4957" s="1488" t="str">
        <f t="shared" si="762"/>
        <v>MERC/CAPEX/MSPGCL/2023-24/0560</v>
      </c>
      <c r="D4957" s="1413">
        <f t="shared" si="762"/>
        <v>45230</v>
      </c>
      <c r="E4957" s="560">
        <f t="shared" si="762"/>
        <v>3.45</v>
      </c>
      <c r="F4957" s="1508">
        <f t="shared" si="763"/>
        <v>3.45</v>
      </c>
      <c r="G4957" s="1508">
        <f t="shared" si="764"/>
        <v>3.45</v>
      </c>
      <c r="H4957" s="1508">
        <f t="shared" si="760"/>
        <v>0</v>
      </c>
      <c r="I4957" s="1480">
        <v>0</v>
      </c>
      <c r="J4957" s="1480">
        <v>0</v>
      </c>
      <c r="K4957" s="1508"/>
      <c r="L4957" s="1508"/>
      <c r="M4957" s="1509">
        <f t="shared" si="759"/>
        <v>0</v>
      </c>
      <c r="N4957" s="1508">
        <f t="shared" si="761"/>
        <v>0</v>
      </c>
      <c r="O4957" s="1481"/>
      <c r="P4957" s="1427"/>
    </row>
    <row r="4958" spans="1:16" ht="46.5" outlineLevel="1" x14ac:dyDescent="0.25">
      <c r="A4958" s="1484">
        <f t="shared" si="762"/>
        <v>47.6</v>
      </c>
      <c r="B4958" s="1485" t="str">
        <f t="shared" si="762"/>
        <v xml:space="preserve">Work of Modification/Renovation/Upgradation of Ventilation System of Track Hopper of CHPB of Unit 5,6&amp;7 of CSTPS Chandrapur. </v>
      </c>
      <c r="C4958" s="1488" t="str">
        <f t="shared" si="762"/>
        <v>MERC/CAPEX/MSPGCL/2023-24/0560</v>
      </c>
      <c r="D4958" s="1413">
        <f t="shared" si="762"/>
        <v>45230</v>
      </c>
      <c r="E4958" s="560">
        <f t="shared" si="762"/>
        <v>4.5999999999999996</v>
      </c>
      <c r="F4958" s="1508">
        <f t="shared" si="763"/>
        <v>4.5999999999999996</v>
      </c>
      <c r="G4958" s="1508">
        <f t="shared" si="764"/>
        <v>4.5999999999999996</v>
      </c>
      <c r="H4958" s="1508">
        <f t="shared" si="760"/>
        <v>0</v>
      </c>
      <c r="I4958" s="1480">
        <v>0</v>
      </c>
      <c r="J4958" s="1480">
        <v>0</v>
      </c>
      <c r="K4958" s="1508"/>
      <c r="L4958" s="1508"/>
      <c r="M4958" s="1509">
        <f t="shared" si="759"/>
        <v>0</v>
      </c>
      <c r="N4958" s="1508">
        <f t="shared" si="761"/>
        <v>0</v>
      </c>
      <c r="O4958" s="1481"/>
      <c r="P4958" s="1427"/>
    </row>
    <row r="4959" spans="1:16" ht="31" outlineLevel="1" x14ac:dyDescent="0.25">
      <c r="A4959" s="1484">
        <f t="shared" si="762"/>
        <v>47.7</v>
      </c>
      <c r="B4959" s="1485" t="str">
        <f t="shared" si="762"/>
        <v xml:space="preserve">Work of Renovation /Upgradation of Hydraulic System of Paddle Feeder at CHPB of Unit 5,6&amp;7 of CSTPS Chandrapur.  </v>
      </c>
      <c r="C4959" s="1488" t="str">
        <f t="shared" si="762"/>
        <v>MERC/CAPEX/MSPGCL/2023-24/0560</v>
      </c>
      <c r="D4959" s="1413">
        <f t="shared" si="762"/>
        <v>45230</v>
      </c>
      <c r="E4959" s="560">
        <f t="shared" si="762"/>
        <v>8.14</v>
      </c>
      <c r="F4959" s="1508">
        <f t="shared" si="763"/>
        <v>8.14</v>
      </c>
      <c r="G4959" s="1508">
        <f t="shared" si="764"/>
        <v>8.14</v>
      </c>
      <c r="H4959" s="1508">
        <f t="shared" si="760"/>
        <v>0</v>
      </c>
      <c r="I4959" s="1480">
        <v>0</v>
      </c>
      <c r="J4959" s="1480">
        <v>0</v>
      </c>
      <c r="K4959" s="1508"/>
      <c r="L4959" s="1508"/>
      <c r="M4959" s="1509">
        <f t="shared" si="759"/>
        <v>0</v>
      </c>
      <c r="N4959" s="1508">
        <f t="shared" si="761"/>
        <v>0</v>
      </c>
      <c r="O4959" s="1481"/>
      <c r="P4959" s="1427"/>
    </row>
    <row r="4960" spans="1:16" ht="46.5" outlineLevel="1" x14ac:dyDescent="0.25">
      <c r="A4960" s="1484">
        <f t="shared" si="762"/>
        <v>47.8</v>
      </c>
      <c r="B4960" s="1485" t="str">
        <f t="shared" si="762"/>
        <v xml:space="preserve">Design, Engineering, Manufacturing, Fabrication, Erection and commissioning of Modified Wobbler Feeder at CHPB of Unit 5,6&amp;7 of CSTPS Chandrapur. </v>
      </c>
      <c r="C4960" s="1488" t="str">
        <f t="shared" si="762"/>
        <v>MERC/CAPEX/MSPGCL/2023-24/0560</v>
      </c>
      <c r="D4960" s="1413">
        <f t="shared" si="762"/>
        <v>45230</v>
      </c>
      <c r="E4960" s="560">
        <f t="shared" si="762"/>
        <v>4.18</v>
      </c>
      <c r="F4960" s="1508">
        <f t="shared" si="763"/>
        <v>4.18</v>
      </c>
      <c r="G4960" s="1508">
        <f t="shared" si="764"/>
        <v>4.18</v>
      </c>
      <c r="H4960" s="1508">
        <f t="shared" si="760"/>
        <v>0</v>
      </c>
      <c r="I4960" s="1480">
        <v>0</v>
      </c>
      <c r="J4960" s="1480">
        <v>0</v>
      </c>
      <c r="K4960" s="1508"/>
      <c r="L4960" s="1508"/>
      <c r="M4960" s="1509">
        <f t="shared" si="759"/>
        <v>0</v>
      </c>
      <c r="N4960" s="1508">
        <f t="shared" si="761"/>
        <v>0</v>
      </c>
      <c r="O4960" s="1481"/>
      <c r="P4960" s="1427"/>
    </row>
    <row r="4961" spans="1:16" ht="31" outlineLevel="1" x14ac:dyDescent="0.25">
      <c r="A4961" s="1484">
        <f t="shared" si="762"/>
        <v>0</v>
      </c>
      <c r="B4961" s="1485" t="str">
        <f t="shared" si="762"/>
        <v>IDC</v>
      </c>
      <c r="C4961" s="1488" t="str">
        <f t="shared" si="762"/>
        <v>MERC/CAPEX/MSPGCL/2023-24/0560</v>
      </c>
      <c r="D4961" s="1413">
        <f t="shared" si="762"/>
        <v>45230</v>
      </c>
      <c r="E4961" s="560">
        <f t="shared" si="762"/>
        <v>0.97</v>
      </c>
      <c r="F4961" s="1508">
        <f t="shared" si="763"/>
        <v>0</v>
      </c>
      <c r="G4961" s="1508">
        <f t="shared" si="764"/>
        <v>0</v>
      </c>
      <c r="H4961" s="1508">
        <f t="shared" si="760"/>
        <v>0</v>
      </c>
      <c r="I4961" s="1480">
        <v>0</v>
      </c>
      <c r="J4961" s="1480">
        <v>0</v>
      </c>
      <c r="K4961" s="1508"/>
      <c r="L4961" s="1508"/>
      <c r="M4961" s="1509">
        <f t="shared" si="759"/>
        <v>0</v>
      </c>
      <c r="N4961" s="1508">
        <f t="shared" si="761"/>
        <v>0</v>
      </c>
      <c r="O4961" s="1481"/>
      <c r="P4961" s="1427"/>
    </row>
    <row r="4962" spans="1:16" ht="31" outlineLevel="1" x14ac:dyDescent="0.25">
      <c r="A4962" s="1489" t="str">
        <f t="shared" si="762"/>
        <v>HO
DPR 17</v>
      </c>
      <c r="B4962" s="1490" t="str">
        <f t="shared" si="762"/>
        <v>Construction of new Administrative Building for Mahagenco at Vidyut Bhawan, Katol Road, Nagpur</v>
      </c>
      <c r="C4962" s="1486" t="str">
        <f t="shared" si="762"/>
        <v>MERC/CAPEX/2021-2022/MSPGCL/063</v>
      </c>
      <c r="D4962" s="1487">
        <f t="shared" si="762"/>
        <v>44604</v>
      </c>
      <c r="E4962" s="560">
        <f t="shared" si="762"/>
        <v>57</v>
      </c>
      <c r="F4962" s="1508">
        <f t="shared" si="763"/>
        <v>0</v>
      </c>
      <c r="G4962" s="1508">
        <f t="shared" si="764"/>
        <v>0</v>
      </c>
      <c r="H4962" s="1508">
        <f t="shared" si="760"/>
        <v>0</v>
      </c>
      <c r="I4962" s="1480">
        <v>0</v>
      </c>
      <c r="J4962" s="1480">
        <v>0</v>
      </c>
      <c r="K4962" s="1508"/>
      <c r="L4962" s="1508"/>
      <c r="M4962" s="1509">
        <f t="shared" si="759"/>
        <v>0</v>
      </c>
      <c r="N4962" s="1508">
        <f t="shared" si="761"/>
        <v>0</v>
      </c>
      <c r="O4962" s="1481"/>
      <c r="P4962" s="1427"/>
    </row>
    <row r="4963" spans="1:16" ht="46.5" outlineLevel="1" x14ac:dyDescent="0.25">
      <c r="A4963" s="1484" t="str">
        <f t="shared" si="762"/>
        <v>HO
DPR 17.1</v>
      </c>
      <c r="B4963" s="1485" t="str">
        <f t="shared" si="762"/>
        <v>Construction of new Administrative Building for Mahagenco at Vidyut Bhawan, Katol Road, Nagpur</v>
      </c>
      <c r="C4963" s="1493" t="str">
        <f t="shared" si="762"/>
        <v>MERC/CAPEX/2021-2022/MSPGCL/063</v>
      </c>
      <c r="D4963" s="1494">
        <f t="shared" si="762"/>
        <v>44604</v>
      </c>
      <c r="E4963" s="560">
        <f t="shared" si="762"/>
        <v>54.24</v>
      </c>
      <c r="F4963" s="1508">
        <f t="shared" si="763"/>
        <v>27.12</v>
      </c>
      <c r="G4963" s="1508">
        <f t="shared" si="764"/>
        <v>27.12</v>
      </c>
      <c r="H4963" s="1508">
        <f t="shared" si="760"/>
        <v>0</v>
      </c>
      <c r="I4963" s="1480">
        <v>0</v>
      </c>
      <c r="J4963" s="1480">
        <v>0</v>
      </c>
      <c r="K4963" s="1508"/>
      <c r="L4963" s="1508"/>
      <c r="M4963" s="1509">
        <f t="shared" si="759"/>
        <v>0</v>
      </c>
      <c r="N4963" s="1508">
        <f t="shared" si="761"/>
        <v>0</v>
      </c>
      <c r="O4963" s="1481"/>
      <c r="P4963" s="1427"/>
    </row>
    <row r="4964" spans="1:16" ht="31" outlineLevel="1" x14ac:dyDescent="0.25">
      <c r="A4964" s="1496">
        <f t="shared" si="762"/>
        <v>0</v>
      </c>
      <c r="B4964" s="1485" t="str">
        <f t="shared" si="762"/>
        <v>IDC</v>
      </c>
      <c r="C4964" s="1493" t="str">
        <f t="shared" si="762"/>
        <v>MERC/CAPEX/2021-2022/MSPGCL/063</v>
      </c>
      <c r="D4964" s="1494">
        <f t="shared" si="762"/>
        <v>44604</v>
      </c>
      <c r="E4964" s="560">
        <f t="shared" si="762"/>
        <v>2.76</v>
      </c>
      <c r="F4964" s="1508">
        <f t="shared" si="763"/>
        <v>0</v>
      </c>
      <c r="G4964" s="1508">
        <f t="shared" si="764"/>
        <v>0</v>
      </c>
      <c r="H4964" s="1508">
        <f t="shared" si="760"/>
        <v>0</v>
      </c>
      <c r="I4964" s="1480">
        <v>0</v>
      </c>
      <c r="J4964" s="1480">
        <v>0</v>
      </c>
      <c r="K4964" s="1508"/>
      <c r="L4964" s="1508"/>
      <c r="M4964" s="1509">
        <f t="shared" si="759"/>
        <v>0</v>
      </c>
      <c r="N4964" s="1508">
        <f t="shared" si="761"/>
        <v>0</v>
      </c>
      <c r="O4964" s="1481"/>
      <c r="P4964" s="1427"/>
    </row>
    <row r="4965" spans="1:16" ht="31" outlineLevel="1" x14ac:dyDescent="0.25">
      <c r="A4965" s="1489" t="str">
        <f t="shared" si="762"/>
        <v>HO
DPR 18</v>
      </c>
      <c r="B4965" s="1490" t="str">
        <f t="shared" si="762"/>
        <v>Centralized Monitoring Solution</v>
      </c>
      <c r="C4965" s="1486" t="str">
        <f t="shared" si="762"/>
        <v>MERC/CAPEX/MSPGCL/2023-24/0576</v>
      </c>
      <c r="D4965" s="1487">
        <f t="shared" si="762"/>
        <v>45232</v>
      </c>
      <c r="E4965" s="560">
        <f t="shared" si="762"/>
        <v>69.308999999999997</v>
      </c>
      <c r="F4965" s="1508">
        <f t="shared" si="763"/>
        <v>0</v>
      </c>
      <c r="G4965" s="1508">
        <f t="shared" si="764"/>
        <v>0</v>
      </c>
      <c r="H4965" s="1508">
        <f t="shared" si="760"/>
        <v>0</v>
      </c>
      <c r="I4965" s="1480">
        <v>0</v>
      </c>
      <c r="J4965" s="1480">
        <v>0</v>
      </c>
      <c r="K4965" s="1508"/>
      <c r="L4965" s="1508"/>
      <c r="M4965" s="1509">
        <f t="shared" si="759"/>
        <v>0</v>
      </c>
      <c r="N4965" s="1508">
        <f t="shared" si="761"/>
        <v>0</v>
      </c>
      <c r="O4965" s="1481"/>
      <c r="P4965" s="1427"/>
    </row>
    <row r="4966" spans="1:16" ht="46.5" outlineLevel="1" x14ac:dyDescent="0.25">
      <c r="A4966" s="1484" t="str">
        <f t="shared" si="762"/>
        <v>HO
DPR 18.1</v>
      </c>
      <c r="B4966" s="1485" t="str">
        <f t="shared" si="762"/>
        <v>Centralized Monitoring Solution</v>
      </c>
      <c r="C4966" s="1493" t="str">
        <f t="shared" si="762"/>
        <v>MERC/CAPEX/MSPGCL/2023-24/0576</v>
      </c>
      <c r="D4966" s="1494">
        <f t="shared" si="762"/>
        <v>45232</v>
      </c>
      <c r="E4966" s="560">
        <f t="shared" si="762"/>
        <v>66.009</v>
      </c>
      <c r="F4966" s="1508">
        <f t="shared" si="763"/>
        <v>66.009</v>
      </c>
      <c r="G4966" s="1508">
        <f t="shared" si="764"/>
        <v>66.009</v>
      </c>
      <c r="H4966" s="1508">
        <f t="shared" si="760"/>
        <v>0</v>
      </c>
      <c r="I4966" s="1480">
        <v>0</v>
      </c>
      <c r="J4966" s="1480">
        <v>0</v>
      </c>
      <c r="K4966" s="1508"/>
      <c r="L4966" s="1508"/>
      <c r="M4966" s="1509">
        <f t="shared" si="759"/>
        <v>0</v>
      </c>
      <c r="N4966" s="1508">
        <f t="shared" si="761"/>
        <v>0</v>
      </c>
      <c r="O4966" s="1481"/>
      <c r="P4966" s="1427"/>
    </row>
    <row r="4967" spans="1:16" ht="31" outlineLevel="1" x14ac:dyDescent="0.25">
      <c r="A4967" s="1496">
        <f t="shared" si="762"/>
        <v>0</v>
      </c>
      <c r="B4967" s="1485" t="str">
        <f t="shared" si="762"/>
        <v>IDC</v>
      </c>
      <c r="C4967" s="1493" t="str">
        <f t="shared" si="762"/>
        <v>MERC/CAPEX/MSPGCL/2023-24/0576</v>
      </c>
      <c r="D4967" s="1494">
        <f t="shared" si="762"/>
        <v>45232</v>
      </c>
      <c r="E4967" s="560">
        <f t="shared" si="762"/>
        <v>3.3</v>
      </c>
      <c r="F4967" s="1508">
        <f t="shared" si="763"/>
        <v>0</v>
      </c>
      <c r="G4967" s="1508">
        <f t="shared" si="764"/>
        <v>0</v>
      </c>
      <c r="H4967" s="1508">
        <f t="shared" si="760"/>
        <v>0</v>
      </c>
      <c r="I4967" s="1480">
        <v>0</v>
      </c>
      <c r="J4967" s="1480">
        <v>0</v>
      </c>
      <c r="K4967" s="1508"/>
      <c r="L4967" s="1508"/>
      <c r="M4967" s="1509">
        <f t="shared" si="759"/>
        <v>0</v>
      </c>
      <c r="N4967" s="1508">
        <f t="shared" si="761"/>
        <v>0</v>
      </c>
      <c r="O4967" s="1481"/>
      <c r="P4967" s="1427"/>
    </row>
    <row r="4968" spans="1:16" ht="62" outlineLevel="1" x14ac:dyDescent="0.25">
      <c r="A4968" s="1486" t="str">
        <f t="shared" si="762"/>
        <v>Y2</v>
      </c>
      <c r="B4968" s="1491" t="str">
        <f t="shared" si="762"/>
        <v>Procurement &amp; replacement of 400 NB Cast Basalt Pipelines with the existing MSERW pipe of ash disposal system of Unit #5,6 &amp; 7 at CSTPS, Chandrapur” under capital expenditure during the FY 2023-24.</v>
      </c>
      <c r="C4968" s="1486" t="str">
        <f t="shared" si="762"/>
        <v>MERC/CAPEX/2024-2025/MSPGCL/0475 Dt 06.08.2024</v>
      </c>
      <c r="D4968" s="1487">
        <f t="shared" si="762"/>
        <v>45510</v>
      </c>
      <c r="E4968" s="560">
        <f t="shared" si="762"/>
        <v>81.350000000000009</v>
      </c>
      <c r="F4968" s="1508">
        <f t="shared" si="763"/>
        <v>0</v>
      </c>
      <c r="G4968" s="1508">
        <f t="shared" si="764"/>
        <v>0</v>
      </c>
      <c r="H4968" s="1508">
        <f t="shared" si="760"/>
        <v>0</v>
      </c>
      <c r="I4968" s="1480">
        <v>0</v>
      </c>
      <c r="J4968" s="1480">
        <v>0</v>
      </c>
      <c r="K4968" s="1508"/>
      <c r="L4968" s="1508"/>
      <c r="M4968" s="1509">
        <f t="shared" si="759"/>
        <v>0</v>
      </c>
      <c r="N4968" s="1508">
        <f t="shared" si="761"/>
        <v>0</v>
      </c>
      <c r="O4968" s="1481"/>
      <c r="P4968" s="1427"/>
    </row>
    <row r="4969" spans="1:16" ht="62" outlineLevel="1" x14ac:dyDescent="0.25">
      <c r="A4969" s="1488">
        <f t="shared" si="762"/>
        <v>2.1</v>
      </c>
      <c r="B4969" s="1492" t="str">
        <f t="shared" si="762"/>
        <v>Procurement &amp; replacement of 400 NB Cast Basalt Pipelines with the existing MSERW pipe of ash disposal system of Unit #5,6 &amp; 7 at CSTPS, Chandrapur” under capital expenditure during the FY 2023-24.</v>
      </c>
      <c r="C4969" s="1488" t="str">
        <f t="shared" si="762"/>
        <v>MERC/CAPEX/2024-2025/MSPGCL/0475 Dt 06.08.2024</v>
      </c>
      <c r="D4969" s="1413">
        <f t="shared" si="762"/>
        <v>45510</v>
      </c>
      <c r="E4969" s="560">
        <f t="shared" si="762"/>
        <v>80.150000000000006</v>
      </c>
      <c r="F4969" s="1508">
        <f t="shared" si="763"/>
        <v>80.150000000000006</v>
      </c>
      <c r="G4969" s="1508">
        <f t="shared" si="764"/>
        <v>80.150000000000006</v>
      </c>
      <c r="H4969" s="1508">
        <f t="shared" si="760"/>
        <v>0</v>
      </c>
      <c r="I4969" s="1480">
        <v>0</v>
      </c>
      <c r="J4969" s="1480">
        <v>0</v>
      </c>
      <c r="K4969" s="1508"/>
      <c r="L4969" s="1508"/>
      <c r="M4969" s="1509">
        <f t="shared" si="759"/>
        <v>0</v>
      </c>
      <c r="N4969" s="1508">
        <f t="shared" si="761"/>
        <v>0</v>
      </c>
      <c r="O4969" s="1481"/>
      <c r="P4969" s="1427"/>
    </row>
    <row r="4970" spans="1:16" ht="31" outlineLevel="1" x14ac:dyDescent="0.25">
      <c r="A4970" s="1488">
        <f t="shared" si="762"/>
        <v>0</v>
      </c>
      <c r="B4970" s="1492" t="str">
        <f t="shared" si="762"/>
        <v>IDC</v>
      </c>
      <c r="C4970" s="1488" t="str">
        <f t="shared" si="762"/>
        <v>MERC/CAPEX/2024-2025/MSPGCL/0475 Dt 06.08.2024</v>
      </c>
      <c r="D4970" s="1413">
        <f t="shared" si="762"/>
        <v>45510</v>
      </c>
      <c r="E4970" s="560">
        <f t="shared" si="762"/>
        <v>1.2</v>
      </c>
      <c r="F4970" s="1508">
        <f t="shared" si="763"/>
        <v>0</v>
      </c>
      <c r="G4970" s="1508">
        <f t="shared" si="764"/>
        <v>0</v>
      </c>
      <c r="H4970" s="1508">
        <f t="shared" si="760"/>
        <v>0</v>
      </c>
      <c r="I4970" s="1480">
        <v>0</v>
      </c>
      <c r="J4970" s="1480">
        <v>0</v>
      </c>
      <c r="K4970" s="1508"/>
      <c r="L4970" s="1508"/>
      <c r="M4970" s="1509">
        <f t="shared" si="759"/>
        <v>0</v>
      </c>
      <c r="N4970" s="1508">
        <f t="shared" si="761"/>
        <v>0</v>
      </c>
      <c r="O4970" s="1481"/>
      <c r="P4970" s="1427"/>
    </row>
    <row r="4971" spans="1:16" ht="77.5" outlineLevel="1" x14ac:dyDescent="0.25">
      <c r="A4971" s="1486" t="str">
        <f t="shared" si="762"/>
        <v>Y3</v>
      </c>
      <c r="B4971" s="1491" t="str">
        <f t="shared" si="762"/>
        <v>4 Nos. of Capex Schemes at Urjanagar Colony &amp; Provision of  11kV Supply to Urjanagar Colony from station board of Stage-III; Design, Supply, Erection, Installation, Testing and Commissioning of new lifts in place of existing lifts installed at Unit # 5, 6 &amp;7 of CSTPS, Chandrapur</v>
      </c>
      <c r="C4971" s="1486" t="str">
        <f t="shared" si="762"/>
        <v>MERC/CAPEX/2024-25/MSPGCL/0473 Dt 06.08.2024</v>
      </c>
      <c r="D4971" s="1487">
        <f t="shared" si="762"/>
        <v>45510</v>
      </c>
      <c r="E4971" s="560">
        <f t="shared" si="762"/>
        <v>25.78</v>
      </c>
      <c r="F4971" s="1508">
        <f t="shared" si="763"/>
        <v>0</v>
      </c>
      <c r="G4971" s="1508">
        <f t="shared" si="764"/>
        <v>0</v>
      </c>
      <c r="H4971" s="1508">
        <f t="shared" si="760"/>
        <v>0</v>
      </c>
      <c r="I4971" s="1480">
        <v>0</v>
      </c>
      <c r="J4971" s="1480">
        <v>0</v>
      </c>
      <c r="K4971" s="1508"/>
      <c r="L4971" s="1508"/>
      <c r="M4971" s="1509">
        <f t="shared" si="759"/>
        <v>0</v>
      </c>
      <c r="N4971" s="1508">
        <f t="shared" si="761"/>
        <v>0</v>
      </c>
      <c r="O4971" s="1481"/>
      <c r="P4971" s="1427"/>
    </row>
    <row r="4972" spans="1:16" ht="31" outlineLevel="1" x14ac:dyDescent="0.25">
      <c r="A4972" s="1488">
        <f t="shared" ref="A4972:E4987" si="765">A4302</f>
        <v>3.1</v>
      </c>
      <c r="B4972" s="1497" t="str">
        <f t="shared" si="765"/>
        <v>Scheme-1: Upgradation of 11KV Sub-stations of Urjanagar colony, CSTPS, Chandrapur.</v>
      </c>
      <c r="C4972" s="1488" t="str">
        <f t="shared" si="765"/>
        <v>MERC/CAPEX/2024-25/MSPGCL/0473 Dt 06.08.2024</v>
      </c>
      <c r="D4972" s="1413">
        <f t="shared" si="765"/>
        <v>45510</v>
      </c>
      <c r="E4972" s="1383">
        <f t="shared" si="765"/>
        <v>7.19</v>
      </c>
      <c r="F4972" s="1480">
        <f t="shared" si="763"/>
        <v>7.19</v>
      </c>
      <c r="G4972" s="1480">
        <f t="shared" si="764"/>
        <v>7.19</v>
      </c>
      <c r="H4972" s="1480">
        <f t="shared" si="760"/>
        <v>0</v>
      </c>
      <c r="I4972" s="1480">
        <v>0</v>
      </c>
      <c r="J4972" s="1480">
        <v>0</v>
      </c>
      <c r="K4972" s="1480"/>
      <c r="L4972" s="1480"/>
      <c r="M4972" s="1480">
        <f t="shared" ref="M4972:M5030" si="766">SUM(J4972:L4972)</f>
        <v>0</v>
      </c>
      <c r="N4972" s="1480">
        <f t="shared" si="761"/>
        <v>0</v>
      </c>
      <c r="O4972" s="1481">
        <f t="shared" ref="O4972:O4994" si="767">MAX(0,IF(M4972=0,0,IF(G4972+M4972&lt;E4972,M4972,E4972-G4972)))</f>
        <v>0</v>
      </c>
      <c r="P4972" s="1427">
        <f t="shared" ref="P4972:P4994" si="768">M4972-O4972</f>
        <v>0</v>
      </c>
    </row>
    <row r="4973" spans="1:16" ht="31" outlineLevel="1" x14ac:dyDescent="0.25">
      <c r="A4973" s="1488">
        <f t="shared" si="765"/>
        <v>3.1</v>
      </c>
      <c r="B4973" s="1497" t="str">
        <f t="shared" si="765"/>
        <v>Scheme-3: Replacement of old energy meters by electronics energy meters at Urjanagar colony, CSTPS, Chandrapur.</v>
      </c>
      <c r="C4973" s="1488" t="str">
        <f t="shared" si="765"/>
        <v>MERC/CAPEX/2024-25/MSPGCL/0473 Dt 06.08.2024</v>
      </c>
      <c r="D4973" s="1413">
        <f t="shared" si="765"/>
        <v>45510</v>
      </c>
      <c r="E4973" s="560">
        <f t="shared" si="765"/>
        <v>0.8</v>
      </c>
      <c r="F4973" s="1508">
        <f t="shared" si="763"/>
        <v>0.8</v>
      </c>
      <c r="G4973" s="1508">
        <f t="shared" si="764"/>
        <v>0.8</v>
      </c>
      <c r="H4973" s="1508">
        <f t="shared" si="760"/>
        <v>0</v>
      </c>
      <c r="I4973" s="1480">
        <v>0</v>
      </c>
      <c r="J4973" s="1480">
        <v>0</v>
      </c>
      <c r="K4973" s="1508"/>
      <c r="L4973" s="1508"/>
      <c r="M4973" s="1509">
        <f t="shared" si="766"/>
        <v>0</v>
      </c>
      <c r="N4973" s="1508">
        <f t="shared" si="761"/>
        <v>0</v>
      </c>
      <c r="O4973" s="1481">
        <f t="shared" si="767"/>
        <v>0</v>
      </c>
      <c r="P4973" s="1427">
        <f t="shared" si="768"/>
        <v>0</v>
      </c>
    </row>
    <row r="4974" spans="1:16" ht="31" outlineLevel="1" x14ac:dyDescent="0.25">
      <c r="A4974" s="1488">
        <f t="shared" si="765"/>
        <v>3.1</v>
      </c>
      <c r="B4974" s="1497" t="str">
        <f t="shared" si="765"/>
        <v>Scheme-5 : Provision of 11KV  supply to Urjanagar colony from station board of Stage-III, CSTPS Chandrapur.</v>
      </c>
      <c r="C4974" s="1488" t="str">
        <f t="shared" si="765"/>
        <v>MERC/CAPEX/2024-25/MSPGCL/0473 Dt 06.08.2024</v>
      </c>
      <c r="D4974" s="1413">
        <f t="shared" si="765"/>
        <v>45510</v>
      </c>
      <c r="E4974" s="560">
        <f t="shared" si="765"/>
        <v>2.97</v>
      </c>
      <c r="F4974" s="1508">
        <f t="shared" si="763"/>
        <v>2.9193972000000001</v>
      </c>
      <c r="G4974" s="1508">
        <f t="shared" si="764"/>
        <v>2.9193972000000001</v>
      </c>
      <c r="H4974" s="1508">
        <f t="shared" si="760"/>
        <v>0</v>
      </c>
      <c r="I4974" s="1480">
        <v>0</v>
      </c>
      <c r="J4974" s="1480">
        <v>0</v>
      </c>
      <c r="K4974" s="1508"/>
      <c r="L4974" s="1508"/>
      <c r="M4974" s="1509">
        <f t="shared" si="766"/>
        <v>0</v>
      </c>
      <c r="N4974" s="1508">
        <f t="shared" si="761"/>
        <v>0</v>
      </c>
      <c r="O4974" s="1481">
        <f t="shared" si="767"/>
        <v>0</v>
      </c>
      <c r="P4974" s="1427">
        <f t="shared" si="768"/>
        <v>0</v>
      </c>
    </row>
    <row r="4975" spans="1:16" ht="77.5" outlineLevel="1" x14ac:dyDescent="0.25">
      <c r="A4975" s="1488">
        <f t="shared" si="765"/>
        <v>3.1</v>
      </c>
      <c r="B4975" s="1497" t="str">
        <f t="shared" si="765"/>
        <v>Scheme-6: Design, Supply, Erection, Installation, Testing and Commissioning of new lifts in place of existing lifts installed at Unit#5,6&amp;7 3X500MW CSTPS Chandrapur (500MW Service Bldg Front &amp; Rear, Turbine House Lift Unit#6 &amp;7, Boiler Passenger lifts Unit#5&amp;7 &amp; Boiler Goods lifts Unit#5)</v>
      </c>
      <c r="C4975" s="1488" t="str">
        <f t="shared" si="765"/>
        <v>MERC/CAPEX/2024-25/MSPGCL/0473 Dt 06.08.2024</v>
      </c>
      <c r="D4975" s="1413">
        <f t="shared" si="765"/>
        <v>45510</v>
      </c>
      <c r="E4975" s="560">
        <f t="shared" si="765"/>
        <v>10.48</v>
      </c>
      <c r="F4975" s="1508">
        <f t="shared" si="763"/>
        <v>10.48</v>
      </c>
      <c r="G4975" s="1508">
        <f t="shared" si="764"/>
        <v>10.48</v>
      </c>
      <c r="H4975" s="1508">
        <f t="shared" si="760"/>
        <v>0</v>
      </c>
      <c r="I4975" s="1480">
        <v>0</v>
      </c>
      <c r="J4975" s="1480">
        <v>0</v>
      </c>
      <c r="K4975" s="1508"/>
      <c r="L4975" s="1508"/>
      <c r="M4975" s="1509">
        <f t="shared" si="766"/>
        <v>0</v>
      </c>
      <c r="N4975" s="1508">
        <f t="shared" si="761"/>
        <v>0</v>
      </c>
      <c r="O4975" s="1481">
        <f t="shared" si="767"/>
        <v>0</v>
      </c>
      <c r="P4975" s="1427">
        <f t="shared" si="768"/>
        <v>0</v>
      </c>
    </row>
    <row r="4976" spans="1:16" ht="62" outlineLevel="1" x14ac:dyDescent="0.25">
      <c r="A4976" s="1488">
        <f t="shared" si="765"/>
        <v>3.1</v>
      </c>
      <c r="B4976" s="1497" t="str">
        <f t="shared" si="765"/>
        <v>Scheme-7: Design, supply, erection, installation, testing and commissioning of the boiler goods lifts in place of the existing old lifts installed at Unit#6&amp;7 500MW Stage-III CSTPS Chandrapur</v>
      </c>
      <c r="C4976" s="1488" t="str">
        <f t="shared" si="765"/>
        <v>MERC/CAPEX/2024-25/MSPGCL/0473 Dt 06.08.2024</v>
      </c>
      <c r="D4976" s="1413">
        <f t="shared" si="765"/>
        <v>45510</v>
      </c>
      <c r="E4976" s="560">
        <f t="shared" si="765"/>
        <v>3.66</v>
      </c>
      <c r="F4976" s="1508">
        <f t="shared" si="763"/>
        <v>3.66</v>
      </c>
      <c r="G4976" s="1508">
        <f t="shared" si="764"/>
        <v>3.66</v>
      </c>
      <c r="H4976" s="1508">
        <f t="shared" si="760"/>
        <v>0</v>
      </c>
      <c r="I4976" s="1480">
        <v>0</v>
      </c>
      <c r="J4976" s="1480">
        <v>0</v>
      </c>
      <c r="K4976" s="1508"/>
      <c r="L4976" s="1508"/>
      <c r="M4976" s="1509">
        <f t="shared" si="766"/>
        <v>0</v>
      </c>
      <c r="N4976" s="1508">
        <f t="shared" si="761"/>
        <v>0</v>
      </c>
      <c r="O4976" s="1481">
        <f t="shared" si="767"/>
        <v>0</v>
      </c>
      <c r="P4976" s="1427">
        <f t="shared" si="768"/>
        <v>0</v>
      </c>
    </row>
    <row r="4977" spans="1:16" ht="31" outlineLevel="1" x14ac:dyDescent="0.25">
      <c r="A4977" s="1488">
        <f t="shared" si="765"/>
        <v>0</v>
      </c>
      <c r="B4977" s="1497" t="str">
        <f t="shared" si="765"/>
        <v>IDC</v>
      </c>
      <c r="C4977" s="1488" t="str">
        <f t="shared" si="765"/>
        <v>MERC/CAPEX/2024-25/MSPGCL/0473 Dt 06.08.2024</v>
      </c>
      <c r="D4977" s="1413">
        <f t="shared" si="765"/>
        <v>45510</v>
      </c>
      <c r="E4977" s="560">
        <f t="shared" si="765"/>
        <v>0.68</v>
      </c>
      <c r="F4977" s="1508">
        <f t="shared" si="763"/>
        <v>0</v>
      </c>
      <c r="G4977" s="1508">
        <f t="shared" si="764"/>
        <v>0</v>
      </c>
      <c r="H4977" s="1508">
        <f t="shared" si="760"/>
        <v>0</v>
      </c>
      <c r="I4977" s="1480">
        <v>0</v>
      </c>
      <c r="J4977" s="1480">
        <v>0</v>
      </c>
      <c r="K4977" s="1508"/>
      <c r="L4977" s="1508"/>
      <c r="M4977" s="1509">
        <f t="shared" si="766"/>
        <v>0</v>
      </c>
      <c r="N4977" s="1508">
        <f t="shared" si="761"/>
        <v>0</v>
      </c>
      <c r="O4977" s="1481">
        <f t="shared" si="767"/>
        <v>0</v>
      </c>
      <c r="P4977" s="1427">
        <f t="shared" si="768"/>
        <v>0</v>
      </c>
    </row>
    <row r="4978" spans="1:16" ht="31" outlineLevel="1" x14ac:dyDescent="0.25">
      <c r="A4978" s="1486" t="str">
        <f t="shared" si="765"/>
        <v>Y4</v>
      </c>
      <c r="B4978" s="1491" t="str">
        <f t="shared" si="765"/>
        <v>Providing 1600 mm pipeline from Erdai Dam to CSTPS, Chandrapur</v>
      </c>
      <c r="C4978" s="1486" t="str">
        <f t="shared" si="765"/>
        <v>MERC/CAPEX/2024-2025/MSPGCL/0476 Dt 06.08.2024</v>
      </c>
      <c r="D4978" s="1487">
        <f t="shared" si="765"/>
        <v>45510</v>
      </c>
      <c r="E4978" s="1383">
        <f t="shared" si="765"/>
        <v>0</v>
      </c>
      <c r="F4978" s="1480">
        <f t="shared" si="763"/>
        <v>0</v>
      </c>
      <c r="G4978" s="1480">
        <f t="shared" si="764"/>
        <v>0</v>
      </c>
      <c r="H4978" s="1480">
        <f t="shared" si="760"/>
        <v>0</v>
      </c>
      <c r="I4978" s="1480">
        <v>0</v>
      </c>
      <c r="J4978" s="1480">
        <v>0</v>
      </c>
      <c r="K4978" s="1480"/>
      <c r="L4978" s="1480"/>
      <c r="M4978" s="1480">
        <f t="shared" si="766"/>
        <v>0</v>
      </c>
      <c r="N4978" s="1480">
        <f t="shared" si="761"/>
        <v>0</v>
      </c>
      <c r="O4978" s="1481">
        <f t="shared" si="767"/>
        <v>0</v>
      </c>
      <c r="P4978" s="1427">
        <f t="shared" si="768"/>
        <v>0</v>
      </c>
    </row>
    <row r="4979" spans="1:16" ht="31" outlineLevel="1" x14ac:dyDescent="0.25">
      <c r="A4979" s="1488">
        <f t="shared" si="765"/>
        <v>4.0999999999999996</v>
      </c>
      <c r="B4979" s="1492" t="str">
        <f t="shared" si="765"/>
        <v>Providing 1600 mm pipeline from Erdai Dam to CSTPS, Chandrapur</v>
      </c>
      <c r="C4979" s="1488" t="str">
        <f t="shared" si="765"/>
        <v>MERC/CAPEX/2024-2025/MSPGCL/0476 Dt 06.08.2024</v>
      </c>
      <c r="D4979" s="1413">
        <f t="shared" si="765"/>
        <v>45510</v>
      </c>
      <c r="E4979" s="560">
        <f t="shared" si="765"/>
        <v>0</v>
      </c>
      <c r="F4979" s="1508">
        <f t="shared" si="763"/>
        <v>78.325479452054807</v>
      </c>
      <c r="G4979" s="1508">
        <f t="shared" si="764"/>
        <v>78.325479452054807</v>
      </c>
      <c r="H4979" s="1508">
        <f t="shared" si="760"/>
        <v>0</v>
      </c>
      <c r="I4979" s="1480">
        <v>0</v>
      </c>
      <c r="J4979" s="1480">
        <v>0</v>
      </c>
      <c r="K4979" s="1508"/>
      <c r="L4979" s="1508"/>
      <c r="M4979" s="1509">
        <f t="shared" si="766"/>
        <v>0</v>
      </c>
      <c r="N4979" s="1508">
        <f t="shared" si="761"/>
        <v>0</v>
      </c>
      <c r="O4979" s="1481">
        <f t="shared" si="767"/>
        <v>0</v>
      </c>
      <c r="P4979" s="1427">
        <f t="shared" si="768"/>
        <v>0</v>
      </c>
    </row>
    <row r="4980" spans="1:16" ht="31" outlineLevel="1" x14ac:dyDescent="0.25">
      <c r="A4980" s="1488">
        <f t="shared" si="765"/>
        <v>0</v>
      </c>
      <c r="B4980" s="1492" t="str">
        <f t="shared" si="765"/>
        <v>IDC</v>
      </c>
      <c r="C4980" s="1488" t="str">
        <f t="shared" si="765"/>
        <v>MERC/CAPEX/2024-2025/MSPGCL/0476 Dt 06.08.2024</v>
      </c>
      <c r="D4980" s="1413">
        <f t="shared" si="765"/>
        <v>45510</v>
      </c>
      <c r="E4980" s="560">
        <f t="shared" si="765"/>
        <v>0</v>
      </c>
      <c r="F4980" s="1508">
        <f t="shared" si="763"/>
        <v>0</v>
      </c>
      <c r="G4980" s="1508">
        <f t="shared" si="764"/>
        <v>0</v>
      </c>
      <c r="H4980" s="1508">
        <f t="shared" si="760"/>
        <v>0</v>
      </c>
      <c r="I4980" s="1480">
        <v>0</v>
      </c>
      <c r="J4980" s="1480">
        <v>0</v>
      </c>
      <c r="K4980" s="1508"/>
      <c r="L4980" s="1508"/>
      <c r="M4980" s="1509">
        <f t="shared" si="766"/>
        <v>0</v>
      </c>
      <c r="N4980" s="1508">
        <f t="shared" si="761"/>
        <v>0</v>
      </c>
      <c r="O4980" s="1481">
        <f t="shared" si="767"/>
        <v>0</v>
      </c>
      <c r="P4980" s="1427">
        <f t="shared" si="768"/>
        <v>0</v>
      </c>
    </row>
    <row r="4981" spans="1:16" ht="31" outlineLevel="1" x14ac:dyDescent="0.25">
      <c r="A4981" s="1486" t="str">
        <f t="shared" si="765"/>
        <v>Y5</v>
      </c>
      <c r="B4981" s="1491" t="str">
        <f t="shared" si="765"/>
        <v>Performance Improvement &amp; Life Extension Schemes for CHP of Unit 5 to 7 of CSTPS, Chandrapur. -Part-2</v>
      </c>
      <c r="C4981" s="1486" t="str">
        <f t="shared" si="765"/>
        <v>MERC/CAPEX/MSPGCL/2023-2024/0466 Dt 02.08.2024</v>
      </c>
      <c r="D4981" s="1487">
        <f t="shared" si="765"/>
        <v>45506</v>
      </c>
      <c r="E4981" s="560">
        <f t="shared" si="765"/>
        <v>0</v>
      </c>
      <c r="F4981" s="1508">
        <f t="shared" si="763"/>
        <v>0</v>
      </c>
      <c r="G4981" s="1508">
        <f t="shared" si="764"/>
        <v>0</v>
      </c>
      <c r="H4981" s="1508">
        <f t="shared" si="760"/>
        <v>0</v>
      </c>
      <c r="I4981" s="1480">
        <v>0</v>
      </c>
      <c r="J4981" s="1480">
        <v>0</v>
      </c>
      <c r="K4981" s="1508"/>
      <c r="L4981" s="1508"/>
      <c r="M4981" s="1509">
        <f t="shared" si="766"/>
        <v>0</v>
      </c>
      <c r="N4981" s="1508">
        <f t="shared" si="761"/>
        <v>0</v>
      </c>
      <c r="O4981" s="1481">
        <f t="shared" si="767"/>
        <v>0</v>
      </c>
      <c r="P4981" s="1427">
        <f t="shared" si="768"/>
        <v>0</v>
      </c>
    </row>
    <row r="4982" spans="1:16" ht="31" outlineLevel="1" x14ac:dyDescent="0.25">
      <c r="A4982" s="1488">
        <f t="shared" si="765"/>
        <v>5.0999999999999996</v>
      </c>
      <c r="B4982" s="1492" t="str">
        <f t="shared" si="765"/>
        <v>Scheme-1: Upgradation/Renovation of Deck Module of Under Ground Conveyor stream of CHPB of Unit-5,6&amp;7 Chandrapur.</v>
      </c>
      <c r="C4982" s="1488" t="str">
        <f t="shared" si="765"/>
        <v>MERC/CAPEX/MSPGCL/2023-2024/0466 Dt 02.08.2024</v>
      </c>
      <c r="D4982" s="1413">
        <f t="shared" si="765"/>
        <v>45506</v>
      </c>
      <c r="E4982" s="1383">
        <f t="shared" si="765"/>
        <v>0</v>
      </c>
      <c r="F4982" s="1480">
        <f t="shared" si="763"/>
        <v>4.43</v>
      </c>
      <c r="G4982" s="1480">
        <f t="shared" si="764"/>
        <v>4.43</v>
      </c>
      <c r="H4982" s="1480">
        <f t="shared" si="760"/>
        <v>0</v>
      </c>
      <c r="I4982" s="1480">
        <v>0</v>
      </c>
      <c r="J4982" s="1480">
        <v>0</v>
      </c>
      <c r="K4982" s="1480"/>
      <c r="L4982" s="1480"/>
      <c r="M4982" s="1480">
        <f t="shared" si="766"/>
        <v>0</v>
      </c>
      <c r="N4982" s="1480">
        <f t="shared" si="761"/>
        <v>0</v>
      </c>
      <c r="O4982" s="1481">
        <f t="shared" si="767"/>
        <v>0</v>
      </c>
      <c r="P4982" s="1427">
        <f t="shared" si="768"/>
        <v>0</v>
      </c>
    </row>
    <row r="4983" spans="1:16" ht="31" outlineLevel="1" x14ac:dyDescent="0.25">
      <c r="A4983" s="1488">
        <f t="shared" si="765"/>
        <v>5.2</v>
      </c>
      <c r="B4983" s="1492" t="str">
        <f t="shared" si="765"/>
        <v>Scheme-2: Renovation &amp; Upgradation of Transfer Point of CHPB of Unit 5 to 7 of CSTPS Chandrapur.</v>
      </c>
      <c r="C4983" s="1488" t="str">
        <f t="shared" si="765"/>
        <v>MERC/CAPEX/MSPGCL/2023-2024/0466 Dt 02.08.2024</v>
      </c>
      <c r="D4983" s="1413">
        <f t="shared" si="765"/>
        <v>45506</v>
      </c>
      <c r="E4983" s="560">
        <f t="shared" si="765"/>
        <v>0</v>
      </c>
      <c r="F4983" s="1508">
        <f t="shared" si="763"/>
        <v>4.54</v>
      </c>
      <c r="G4983" s="1508">
        <f t="shared" si="764"/>
        <v>4.54</v>
      </c>
      <c r="H4983" s="1508">
        <f t="shared" si="760"/>
        <v>0</v>
      </c>
      <c r="I4983" s="1480">
        <v>0</v>
      </c>
      <c r="J4983" s="1480">
        <v>0</v>
      </c>
      <c r="K4983" s="1508"/>
      <c r="L4983" s="1508"/>
      <c r="M4983" s="1509">
        <f t="shared" si="766"/>
        <v>0</v>
      </c>
      <c r="N4983" s="1508">
        <f t="shared" si="761"/>
        <v>0</v>
      </c>
      <c r="O4983" s="1481">
        <f t="shared" si="767"/>
        <v>0</v>
      </c>
      <c r="P4983" s="1427">
        <f t="shared" si="768"/>
        <v>0</v>
      </c>
    </row>
    <row r="4984" spans="1:16" ht="31" outlineLevel="1" x14ac:dyDescent="0.25">
      <c r="A4984" s="1488">
        <f t="shared" si="765"/>
        <v>5.3</v>
      </c>
      <c r="B4984" s="1492" t="str">
        <f t="shared" si="765"/>
        <v>Scheme-3: Renovation &amp; Upgradation of Walkway Platform of CHPB of Unit 5 to 7 of CSTPS Chandrapur.</v>
      </c>
      <c r="C4984" s="1488" t="str">
        <f t="shared" si="765"/>
        <v>MERC/CAPEX/MSPGCL/2023-2024/0466 Dt 02.08.2024</v>
      </c>
      <c r="D4984" s="1413">
        <f t="shared" si="765"/>
        <v>45506</v>
      </c>
      <c r="E4984" s="560">
        <f t="shared" si="765"/>
        <v>0</v>
      </c>
      <c r="F4984" s="1508">
        <f t="shared" si="763"/>
        <v>5.25</v>
      </c>
      <c r="G4984" s="1508">
        <f t="shared" si="764"/>
        <v>5.25</v>
      </c>
      <c r="H4984" s="1508">
        <f t="shared" si="760"/>
        <v>0</v>
      </c>
      <c r="I4984" s="1480">
        <v>0</v>
      </c>
      <c r="J4984" s="1480">
        <v>0</v>
      </c>
      <c r="K4984" s="1508"/>
      <c r="L4984" s="1508"/>
      <c r="M4984" s="1509">
        <f t="shared" si="766"/>
        <v>0</v>
      </c>
      <c r="N4984" s="1508">
        <f t="shared" si="761"/>
        <v>0</v>
      </c>
      <c r="O4984" s="1481">
        <f t="shared" si="767"/>
        <v>0</v>
      </c>
      <c r="P4984" s="1427">
        <f t="shared" si="768"/>
        <v>0</v>
      </c>
    </row>
    <row r="4985" spans="1:16" ht="31" outlineLevel="1" x14ac:dyDescent="0.25">
      <c r="A4985" s="1488">
        <f t="shared" si="765"/>
        <v>5.4</v>
      </c>
      <c r="B4985" s="1492" t="str">
        <f t="shared" si="765"/>
        <v>Scheme-4: Work of Renovation &amp; Modernization of Bunker Shuttle Conveyor of CHPB of Unit 5, 6 &amp; 7 in CSTPS Chandrapur.</v>
      </c>
      <c r="C4985" s="1488" t="str">
        <f t="shared" si="765"/>
        <v>MERC/CAPEX/MSPGCL/2023-2024/0466 Dt 02.08.2024</v>
      </c>
      <c r="D4985" s="1413">
        <f t="shared" si="765"/>
        <v>45506</v>
      </c>
      <c r="E4985" s="560">
        <f t="shared" si="765"/>
        <v>0</v>
      </c>
      <c r="F4985" s="1508">
        <f t="shared" si="763"/>
        <v>4.6100000000000003</v>
      </c>
      <c r="G4985" s="1508">
        <f t="shared" si="764"/>
        <v>4.6100000000000003</v>
      </c>
      <c r="H4985" s="1508">
        <f t="shared" si="760"/>
        <v>0</v>
      </c>
      <c r="I4985" s="1480">
        <v>0</v>
      </c>
      <c r="J4985" s="1480">
        <v>0</v>
      </c>
      <c r="K4985" s="1508"/>
      <c r="L4985" s="1508"/>
      <c r="M4985" s="1509">
        <f t="shared" si="766"/>
        <v>0</v>
      </c>
      <c r="N4985" s="1508">
        <f t="shared" si="761"/>
        <v>0</v>
      </c>
      <c r="O4985" s="1481">
        <f t="shared" si="767"/>
        <v>0</v>
      </c>
      <c r="P4985" s="1427">
        <f t="shared" si="768"/>
        <v>0</v>
      </c>
    </row>
    <row r="4986" spans="1:16" ht="46.5" outlineLevel="1" x14ac:dyDescent="0.25">
      <c r="A4986" s="1488">
        <f t="shared" si="765"/>
        <v>5.5</v>
      </c>
      <c r="B4986" s="1492" t="str">
        <f t="shared" si="765"/>
        <v>Scheme-5: Renovation &amp; Modernization of Wagon Tippler Concrete Hopper of Coal Handling Plant-B of Unit 5,6&amp;7 at CSTPS Chandrapur.</v>
      </c>
      <c r="C4986" s="1488" t="str">
        <f t="shared" si="765"/>
        <v>MERC/CAPEX/MSPGCL/2023-2024/0466 Dt 02.08.2024</v>
      </c>
      <c r="D4986" s="1413">
        <f t="shared" si="765"/>
        <v>45506</v>
      </c>
      <c r="E4986" s="560">
        <f t="shared" si="765"/>
        <v>0</v>
      </c>
      <c r="F4986" s="1508">
        <f t="shared" si="763"/>
        <v>3.83</v>
      </c>
      <c r="G4986" s="1508">
        <f t="shared" si="764"/>
        <v>3.83</v>
      </c>
      <c r="H4986" s="1508">
        <f t="shared" si="760"/>
        <v>0</v>
      </c>
      <c r="I4986" s="1480">
        <v>0</v>
      </c>
      <c r="J4986" s="1480">
        <v>0</v>
      </c>
      <c r="K4986" s="1508"/>
      <c r="L4986" s="1508"/>
      <c r="M4986" s="1509">
        <f t="shared" si="766"/>
        <v>0</v>
      </c>
      <c r="N4986" s="1508">
        <f t="shared" si="761"/>
        <v>0</v>
      </c>
      <c r="O4986" s="1481">
        <f t="shared" si="767"/>
        <v>0</v>
      </c>
      <c r="P4986" s="1427">
        <f t="shared" si="768"/>
        <v>0</v>
      </c>
    </row>
    <row r="4987" spans="1:16" ht="46.5" outlineLevel="1" x14ac:dyDescent="0.25">
      <c r="A4987" s="1488">
        <f t="shared" si="765"/>
        <v>5.6</v>
      </c>
      <c r="B4987" s="1492" t="str">
        <f t="shared" si="765"/>
        <v>Scheme-6: Renovation &amp; Modernization of Wagon Tippler Concrete Hopper of Coal Handling Plant-D of Unit 8&amp;9 at CSTPS Chandrapur.</v>
      </c>
      <c r="C4987" s="1488" t="str">
        <f t="shared" si="765"/>
        <v>MERC/CAPEX/MSPGCL/2023-2024/0466 Dt 02.08.2024</v>
      </c>
      <c r="D4987" s="1413">
        <f t="shared" si="765"/>
        <v>45506</v>
      </c>
      <c r="E4987" s="1383">
        <f t="shared" si="765"/>
        <v>0</v>
      </c>
      <c r="F4987" s="1480">
        <f t="shared" si="763"/>
        <v>3.83</v>
      </c>
      <c r="G4987" s="1480">
        <f t="shared" si="764"/>
        <v>3.83</v>
      </c>
      <c r="H4987" s="1480">
        <f t="shared" si="760"/>
        <v>0</v>
      </c>
      <c r="I4987" s="1480">
        <v>0</v>
      </c>
      <c r="J4987" s="1480">
        <v>0</v>
      </c>
      <c r="K4987" s="1480"/>
      <c r="L4987" s="1480"/>
      <c r="M4987" s="1480">
        <f t="shared" si="766"/>
        <v>0</v>
      </c>
      <c r="N4987" s="1480">
        <f t="shared" si="761"/>
        <v>0</v>
      </c>
      <c r="O4987" s="1481">
        <f t="shared" si="767"/>
        <v>0</v>
      </c>
      <c r="P4987" s="1427">
        <f t="shared" si="768"/>
        <v>0</v>
      </c>
    </row>
    <row r="4988" spans="1:16" ht="46.5" outlineLevel="1" x14ac:dyDescent="0.25">
      <c r="A4988" s="1488">
        <f t="shared" ref="A4988:E5003" si="769">A4318</f>
        <v>5.7</v>
      </c>
      <c r="B4988" s="1492" t="str">
        <f t="shared" si="769"/>
        <v xml:space="preserve">Scheme-7: Design, supply, installation &amp; commissioning of LED based energy efficient illumination system at CHP-A, B &amp; C, C.S.T.P.S., Chandrapur.  </v>
      </c>
      <c r="C4988" s="1488" t="str">
        <f t="shared" si="769"/>
        <v>MERC/CAPEX/MSPGCL/2023-2024/0466 Dt 02.08.2024</v>
      </c>
      <c r="D4988" s="1413">
        <f t="shared" si="769"/>
        <v>45506</v>
      </c>
      <c r="E4988" s="560">
        <f t="shared" si="769"/>
        <v>0</v>
      </c>
      <c r="F4988" s="1508">
        <f t="shared" si="763"/>
        <v>5.31</v>
      </c>
      <c r="G4988" s="1508">
        <f t="shared" si="764"/>
        <v>5.31</v>
      </c>
      <c r="H4988" s="1508">
        <f t="shared" si="760"/>
        <v>0</v>
      </c>
      <c r="I4988" s="1480">
        <v>0</v>
      </c>
      <c r="J4988" s="1480">
        <v>0</v>
      </c>
      <c r="K4988" s="1508"/>
      <c r="L4988" s="1508"/>
      <c r="M4988" s="1509">
        <f t="shared" si="766"/>
        <v>0</v>
      </c>
      <c r="N4988" s="1508">
        <f t="shared" si="761"/>
        <v>0</v>
      </c>
      <c r="O4988" s="1481">
        <f t="shared" si="767"/>
        <v>0</v>
      </c>
      <c r="P4988" s="1427">
        <f t="shared" si="768"/>
        <v>0</v>
      </c>
    </row>
    <row r="4989" spans="1:16" ht="31" outlineLevel="1" x14ac:dyDescent="0.25">
      <c r="A4989" s="1488">
        <f t="shared" si="769"/>
        <v>0</v>
      </c>
      <c r="B4989" s="1492" t="str">
        <f t="shared" si="769"/>
        <v>IDC</v>
      </c>
      <c r="C4989" s="1488" t="str">
        <f t="shared" si="769"/>
        <v>MERC/CAPEX/MSPGCL/2023-2024/0466 Dt 02.08.2024</v>
      </c>
      <c r="D4989" s="1413">
        <f t="shared" si="769"/>
        <v>45506</v>
      </c>
      <c r="E4989" s="1383">
        <f t="shared" si="769"/>
        <v>0</v>
      </c>
      <c r="F4989" s="1480">
        <f t="shared" si="763"/>
        <v>0</v>
      </c>
      <c r="G4989" s="1480">
        <f t="shared" si="764"/>
        <v>0</v>
      </c>
      <c r="H4989" s="1480">
        <f t="shared" si="760"/>
        <v>0</v>
      </c>
      <c r="I4989" s="1480">
        <v>0</v>
      </c>
      <c r="J4989" s="1480">
        <v>0</v>
      </c>
      <c r="K4989" s="1480"/>
      <c r="L4989" s="1480"/>
      <c r="M4989" s="1480">
        <f t="shared" si="766"/>
        <v>0</v>
      </c>
      <c r="N4989" s="1480">
        <f t="shared" si="761"/>
        <v>0</v>
      </c>
      <c r="O4989" s="1481">
        <f t="shared" si="767"/>
        <v>0</v>
      </c>
      <c r="P4989" s="1427">
        <f t="shared" si="768"/>
        <v>0</v>
      </c>
    </row>
    <row r="4990" spans="1:16" ht="62" outlineLevel="1" x14ac:dyDescent="0.25">
      <c r="A4990" s="1486">
        <f t="shared" si="769"/>
        <v>63</v>
      </c>
      <c r="B4990" s="1491" t="str">
        <f t="shared" si="769"/>
        <v>Procurement of Equipment’s for Stack yard management at Coal Handling Plant &amp; Upgradation of existing ash disposal pump system by installing higher efficiency pump system in Ash Handling Plant of Unit- 5 &amp; 6 at CSTPS, Chandrapur.</v>
      </c>
      <c r="C4990" s="1486" t="str">
        <f t="shared" si="769"/>
        <v>MERC/CAPEX/MSPGCL/2023-24/496 Dt 08.08.2024</v>
      </c>
      <c r="D4990" s="1413">
        <f t="shared" si="769"/>
        <v>45512</v>
      </c>
      <c r="E4990" s="560">
        <f t="shared" si="769"/>
        <v>38.4</v>
      </c>
      <c r="F4990" s="1508">
        <f t="shared" si="763"/>
        <v>0</v>
      </c>
      <c r="G4990" s="1508">
        <f t="shared" si="764"/>
        <v>0</v>
      </c>
      <c r="H4990" s="1508">
        <f t="shared" si="760"/>
        <v>0</v>
      </c>
      <c r="I4990" s="1480">
        <v>0</v>
      </c>
      <c r="J4990" s="1480">
        <v>0</v>
      </c>
      <c r="K4990" s="1508"/>
      <c r="L4990" s="1508"/>
      <c r="M4990" s="1509">
        <f t="shared" si="766"/>
        <v>0</v>
      </c>
      <c r="N4990" s="1508">
        <f t="shared" si="761"/>
        <v>0</v>
      </c>
      <c r="O4990" s="1481">
        <f t="shared" si="767"/>
        <v>0</v>
      </c>
      <c r="P4990" s="1427">
        <f t="shared" si="768"/>
        <v>0</v>
      </c>
    </row>
    <row r="4991" spans="1:16" ht="31" outlineLevel="1" x14ac:dyDescent="0.25">
      <c r="A4991" s="1488">
        <f t="shared" si="769"/>
        <v>6.1</v>
      </c>
      <c r="B4991" s="1492" t="str">
        <f t="shared" si="769"/>
        <v>Scheme-1: Procurement of 04 Nos Bulldozers.</v>
      </c>
      <c r="C4991" s="1488" t="str">
        <f t="shared" si="769"/>
        <v>MERC/CAPEX/MSPGCL/2023-24/496 Dt 08.08.2024</v>
      </c>
      <c r="D4991" s="1413">
        <f t="shared" si="769"/>
        <v>45512</v>
      </c>
      <c r="E4991" s="560">
        <f t="shared" si="769"/>
        <v>9.58</v>
      </c>
      <c r="F4991" s="1508">
        <f t="shared" si="763"/>
        <v>9.58</v>
      </c>
      <c r="G4991" s="1508">
        <f t="shared" si="764"/>
        <v>9.58</v>
      </c>
      <c r="H4991" s="1508">
        <f t="shared" si="760"/>
        <v>0</v>
      </c>
      <c r="I4991" s="1480">
        <v>0</v>
      </c>
      <c r="J4991" s="1480">
        <v>0</v>
      </c>
      <c r="K4991" s="1508"/>
      <c r="L4991" s="1508"/>
      <c r="M4991" s="1509">
        <f t="shared" si="766"/>
        <v>0</v>
      </c>
      <c r="N4991" s="1508">
        <f t="shared" si="761"/>
        <v>0</v>
      </c>
      <c r="O4991" s="1481">
        <f t="shared" si="767"/>
        <v>0</v>
      </c>
      <c r="P4991" s="1427">
        <f t="shared" si="768"/>
        <v>0</v>
      </c>
    </row>
    <row r="4992" spans="1:16" ht="31" outlineLevel="1" x14ac:dyDescent="0.25">
      <c r="A4992" s="1488">
        <f t="shared" si="769"/>
        <v>6.2</v>
      </c>
      <c r="B4992" s="1492" t="str">
        <f t="shared" si="769"/>
        <v>Scheme-2:  Procurement of 01 No Wheel Dozer</v>
      </c>
      <c r="C4992" s="1488" t="str">
        <f t="shared" si="769"/>
        <v>MERC/CAPEX/MSPGCL/2023-24/496 Dt 08.08.2024</v>
      </c>
      <c r="D4992" s="1413">
        <f t="shared" si="769"/>
        <v>45512</v>
      </c>
      <c r="E4992" s="1383">
        <f t="shared" si="769"/>
        <v>2.95</v>
      </c>
      <c r="F4992" s="1480">
        <f t="shared" si="763"/>
        <v>2.95</v>
      </c>
      <c r="G4992" s="1480">
        <f t="shared" si="764"/>
        <v>2.95</v>
      </c>
      <c r="H4992" s="1480">
        <f t="shared" si="760"/>
        <v>0</v>
      </c>
      <c r="I4992" s="1480">
        <v>0</v>
      </c>
      <c r="J4992" s="1480">
        <v>0</v>
      </c>
      <c r="K4992" s="1480"/>
      <c r="L4992" s="1480"/>
      <c r="M4992" s="1480">
        <f t="shared" si="766"/>
        <v>0</v>
      </c>
      <c r="N4992" s="1480">
        <f t="shared" si="761"/>
        <v>0</v>
      </c>
      <c r="O4992" s="1481">
        <f t="shared" si="767"/>
        <v>0</v>
      </c>
      <c r="P4992" s="1427">
        <f t="shared" si="768"/>
        <v>0</v>
      </c>
    </row>
    <row r="4993" spans="1:16" ht="31" outlineLevel="1" x14ac:dyDescent="0.25">
      <c r="A4993" s="1488">
        <f t="shared" si="769"/>
        <v>6.3</v>
      </c>
      <c r="B4993" s="1492" t="str">
        <f t="shared" si="769"/>
        <v>Scheme-3: Procurement 02 Nos. 800 HP Diesel Hydraulic Locomotives.</v>
      </c>
      <c r="C4993" s="1488" t="str">
        <f t="shared" si="769"/>
        <v>MERC/CAPEX/MSPGCL/2023-24/496 Dt 08.08.2024</v>
      </c>
      <c r="D4993" s="1413">
        <f t="shared" si="769"/>
        <v>45512</v>
      </c>
      <c r="E4993" s="560">
        <f t="shared" si="769"/>
        <v>7.95</v>
      </c>
      <c r="F4993" s="1508">
        <f t="shared" si="763"/>
        <v>7.95</v>
      </c>
      <c r="G4993" s="1508">
        <f t="shared" si="764"/>
        <v>7.95</v>
      </c>
      <c r="H4993" s="1508">
        <f t="shared" si="760"/>
        <v>0</v>
      </c>
      <c r="I4993" s="1480">
        <v>0</v>
      </c>
      <c r="J4993" s="1480">
        <v>0</v>
      </c>
      <c r="K4993" s="1508"/>
      <c r="L4993" s="1508"/>
      <c r="M4993" s="1509">
        <f t="shared" si="766"/>
        <v>0</v>
      </c>
      <c r="N4993" s="1508">
        <f t="shared" si="761"/>
        <v>0</v>
      </c>
      <c r="O4993" s="1481">
        <f t="shared" si="767"/>
        <v>0</v>
      </c>
      <c r="P4993" s="1427">
        <f t="shared" si="768"/>
        <v>0</v>
      </c>
    </row>
    <row r="4994" spans="1:16" ht="31" outlineLevel="1" x14ac:dyDescent="0.25">
      <c r="A4994" s="1488">
        <f t="shared" si="769"/>
        <v>6.4</v>
      </c>
      <c r="B4994" s="1492" t="str">
        <f t="shared" si="769"/>
        <v>Scheme-4: Upgradation of existing ash disposal pump assembly by higher efficiency pump assembly in ash handling plant.</v>
      </c>
      <c r="C4994" s="1488" t="str">
        <f t="shared" si="769"/>
        <v>MERC/CAPEX/MSPGCL/2023-24/496 Dt 08.08.2024</v>
      </c>
      <c r="D4994" s="1413">
        <f t="shared" si="769"/>
        <v>45512</v>
      </c>
      <c r="E4994" s="560">
        <f t="shared" si="769"/>
        <v>17.46</v>
      </c>
      <c r="F4994" s="1508">
        <f t="shared" si="763"/>
        <v>17.46</v>
      </c>
      <c r="G4994" s="1508">
        <f t="shared" si="764"/>
        <v>17.46</v>
      </c>
      <c r="H4994" s="1508">
        <f t="shared" si="760"/>
        <v>0</v>
      </c>
      <c r="I4994" s="1480">
        <v>0</v>
      </c>
      <c r="J4994" s="1480">
        <v>0</v>
      </c>
      <c r="K4994" s="1508"/>
      <c r="L4994" s="1508"/>
      <c r="M4994" s="1509">
        <f t="shared" si="766"/>
        <v>0</v>
      </c>
      <c r="N4994" s="1508">
        <f t="shared" si="761"/>
        <v>0</v>
      </c>
      <c r="O4994" s="1481">
        <f t="shared" si="767"/>
        <v>0</v>
      </c>
      <c r="P4994" s="1427">
        <f t="shared" si="768"/>
        <v>0</v>
      </c>
    </row>
    <row r="4995" spans="1:16" ht="31" outlineLevel="1" x14ac:dyDescent="0.25">
      <c r="A4995" s="1488">
        <f t="shared" si="769"/>
        <v>0</v>
      </c>
      <c r="B4995" s="1492" t="str">
        <f t="shared" si="769"/>
        <v>IDC</v>
      </c>
      <c r="C4995" s="1488" t="str">
        <f t="shared" si="769"/>
        <v>MERC/CAPEX/MSPGCL/2023-24/496 Dt 08.08.2024</v>
      </c>
      <c r="D4995" s="1413">
        <f t="shared" si="769"/>
        <v>45512</v>
      </c>
      <c r="E4995" s="560">
        <f t="shared" si="769"/>
        <v>0.46</v>
      </c>
      <c r="F4995" s="1508">
        <f t="shared" si="763"/>
        <v>0</v>
      </c>
      <c r="G4995" s="1508">
        <f t="shared" si="764"/>
        <v>0</v>
      </c>
      <c r="H4995" s="1508">
        <f t="shared" si="760"/>
        <v>0</v>
      </c>
      <c r="I4995" s="1480">
        <v>0</v>
      </c>
      <c r="J4995" s="1480">
        <v>0</v>
      </c>
      <c r="K4995" s="1508"/>
      <c r="L4995" s="1508"/>
      <c r="M4995" s="1509">
        <f t="shared" si="766"/>
        <v>0</v>
      </c>
      <c r="N4995" s="1508">
        <f t="shared" si="761"/>
        <v>0</v>
      </c>
    </row>
    <row r="4996" spans="1:16" ht="46.5" outlineLevel="1" x14ac:dyDescent="0.25">
      <c r="A4996" s="1486">
        <f t="shared" si="769"/>
        <v>64</v>
      </c>
      <c r="B4996" s="1491" t="str">
        <f t="shared" si="769"/>
        <v>Stacker Reclaimer, Impact Crusher and Conveyor Drive reliability &amp; availability improvement scheme for CHP of Unit 5,6&amp;7 CSTPS Chandrapur.- Elecon</v>
      </c>
      <c r="C4996" s="1488" t="str">
        <f t="shared" si="769"/>
        <v>MERC approved MERC/CAPEX/MSPGCL/2023-24/566  Dt 09.09.2024</v>
      </c>
      <c r="D4996" s="1413">
        <f t="shared" si="769"/>
        <v>45544</v>
      </c>
      <c r="E4996" s="1383">
        <f t="shared" si="769"/>
        <v>32.549999999999997</v>
      </c>
      <c r="F4996" s="1480">
        <f t="shared" si="763"/>
        <v>0</v>
      </c>
      <c r="G4996" s="1480">
        <f t="shared" si="764"/>
        <v>0</v>
      </c>
      <c r="H4996" s="1480">
        <f t="shared" si="760"/>
        <v>0</v>
      </c>
      <c r="I4996" s="1480">
        <v>0</v>
      </c>
      <c r="J4996" s="1480">
        <v>0</v>
      </c>
      <c r="K4996" s="1480"/>
      <c r="L4996" s="1480"/>
      <c r="M4996" s="1480">
        <f t="shared" si="766"/>
        <v>0</v>
      </c>
      <c r="N4996" s="1480">
        <f t="shared" si="761"/>
        <v>0</v>
      </c>
    </row>
    <row r="4997" spans="1:16" ht="46.5" outlineLevel="1" x14ac:dyDescent="0.25">
      <c r="A4997" s="1488">
        <f t="shared" si="769"/>
        <v>0</v>
      </c>
      <c r="B4997" s="1497" t="str">
        <f t="shared" si="769"/>
        <v xml:space="preserve">Scheme-1: Reliability &amp; availability improvement for Stacker Reclaimer by supply &amp; commissioning of essential equipment at CHPB of Unit 5,6&amp;7 CSTPS  Chandrapur. </v>
      </c>
      <c r="C4997" s="1488" t="str">
        <f t="shared" si="769"/>
        <v>MERC approved MERC/CAPEX/MSPGCL/2023-24/566  Dt 09.09.2024</v>
      </c>
      <c r="D4997" s="1413">
        <f t="shared" si="769"/>
        <v>45544</v>
      </c>
      <c r="E4997" s="560">
        <f t="shared" si="769"/>
        <v>17.61</v>
      </c>
      <c r="F4997" s="1508">
        <f t="shared" si="763"/>
        <v>17.61</v>
      </c>
      <c r="G4997" s="1508">
        <f t="shared" si="764"/>
        <v>17.61</v>
      </c>
      <c r="H4997" s="1508">
        <f t="shared" si="760"/>
        <v>0</v>
      </c>
      <c r="I4997" s="1480">
        <v>0</v>
      </c>
      <c r="J4997" s="1480">
        <v>0</v>
      </c>
      <c r="K4997" s="1508"/>
      <c r="L4997" s="1508"/>
      <c r="M4997" s="1509">
        <f t="shared" si="766"/>
        <v>0</v>
      </c>
      <c r="N4997" s="1508">
        <f t="shared" si="761"/>
        <v>0</v>
      </c>
    </row>
    <row r="4998" spans="1:16" ht="46.5" outlineLevel="1" x14ac:dyDescent="0.25">
      <c r="A4998" s="1488">
        <f t="shared" si="769"/>
        <v>0</v>
      </c>
      <c r="B4998" s="1497" t="str">
        <f t="shared" si="769"/>
        <v xml:space="preserve">Scheme-2: Reliability &amp; availability improvement for Conveyor Drive by supply &amp; commissioning of essential equipment at CHPB of Unit 5,6&amp;7 CSTPS </v>
      </c>
      <c r="C4998" s="1488" t="str">
        <f t="shared" si="769"/>
        <v>MERC approved MERC/CAPEX/MSPGCL/2023-24/566  Dt 09.09.2024</v>
      </c>
      <c r="D4998" s="1413">
        <f t="shared" si="769"/>
        <v>45544</v>
      </c>
      <c r="E4998" s="560">
        <f t="shared" si="769"/>
        <v>14.65</v>
      </c>
      <c r="F4998" s="1508">
        <f t="shared" si="763"/>
        <v>14.65</v>
      </c>
      <c r="G4998" s="1508">
        <f t="shared" si="764"/>
        <v>14.65</v>
      </c>
      <c r="H4998" s="1508">
        <f t="shared" si="760"/>
        <v>0</v>
      </c>
      <c r="I4998" s="1480">
        <v>0</v>
      </c>
      <c r="J4998" s="1480">
        <v>0</v>
      </c>
      <c r="K4998" s="1508"/>
      <c r="L4998" s="1508"/>
      <c r="M4998" s="1509">
        <f t="shared" si="766"/>
        <v>0</v>
      </c>
      <c r="N4998" s="1508">
        <f t="shared" si="761"/>
        <v>0</v>
      </c>
    </row>
    <row r="4999" spans="1:16" ht="46.5" outlineLevel="1" x14ac:dyDescent="0.25">
      <c r="A4999" s="1488">
        <f t="shared" si="769"/>
        <v>0</v>
      </c>
      <c r="B4999" s="1497" t="str">
        <f t="shared" si="769"/>
        <v>IDC</v>
      </c>
      <c r="C4999" s="1488" t="str">
        <f t="shared" si="769"/>
        <v>MERC approved MERC/CAPEX/MSPGCL/2023-24/566  Dt 09.09.2024</v>
      </c>
      <c r="D4999" s="1413">
        <f t="shared" si="769"/>
        <v>45544</v>
      </c>
      <c r="E4999" s="560">
        <f t="shared" si="769"/>
        <v>0.28999999999999998</v>
      </c>
      <c r="F4999" s="1508">
        <f t="shared" si="763"/>
        <v>0.28999999999999998</v>
      </c>
      <c r="G4999" s="1508">
        <f t="shared" si="764"/>
        <v>0.28999999999999998</v>
      </c>
      <c r="H4999" s="1508">
        <f t="shared" si="760"/>
        <v>0</v>
      </c>
      <c r="I4999" s="1480">
        <v>0</v>
      </c>
      <c r="J4999" s="1480">
        <v>0</v>
      </c>
      <c r="K4999" s="1508"/>
      <c r="L4999" s="1508"/>
      <c r="M4999" s="1509">
        <f t="shared" si="766"/>
        <v>0</v>
      </c>
      <c r="N4999" s="1508">
        <f t="shared" si="761"/>
        <v>0</v>
      </c>
    </row>
    <row r="5000" spans="1:16" ht="15.5" outlineLevel="1" x14ac:dyDescent="0.25">
      <c r="A5000" s="1498">
        <f t="shared" si="769"/>
        <v>0</v>
      </c>
      <c r="B5000" s="1492">
        <f t="shared" si="769"/>
        <v>0</v>
      </c>
      <c r="C5000" s="1498">
        <f t="shared" si="769"/>
        <v>0</v>
      </c>
      <c r="D5000" s="1499" t="str">
        <f t="shared" si="769"/>
        <v>-</v>
      </c>
      <c r="E5000" s="560">
        <f t="shared" si="769"/>
        <v>0</v>
      </c>
      <c r="F5000" s="1508">
        <f t="shared" si="763"/>
        <v>0</v>
      </c>
      <c r="G5000" s="1508">
        <f t="shared" si="764"/>
        <v>0</v>
      </c>
      <c r="H5000" s="1508">
        <f t="shared" si="760"/>
        <v>0</v>
      </c>
      <c r="I5000" s="1480">
        <v>0</v>
      </c>
      <c r="J5000" s="1480">
        <v>0</v>
      </c>
      <c r="K5000" s="1508"/>
      <c r="L5000" s="1508"/>
      <c r="M5000" s="1509">
        <f t="shared" si="766"/>
        <v>0</v>
      </c>
      <c r="N5000" s="1508">
        <f t="shared" si="761"/>
        <v>0</v>
      </c>
    </row>
    <row r="5001" spans="1:16" ht="15.5" outlineLevel="1" x14ac:dyDescent="0.25">
      <c r="A5001" s="1498">
        <f t="shared" si="769"/>
        <v>0</v>
      </c>
      <c r="B5001" s="1492">
        <f t="shared" si="769"/>
        <v>0</v>
      </c>
      <c r="C5001" s="1498">
        <f t="shared" si="769"/>
        <v>0</v>
      </c>
      <c r="D5001" s="1499" t="str">
        <f t="shared" si="769"/>
        <v>-</v>
      </c>
      <c r="E5001" s="560">
        <f t="shared" si="769"/>
        <v>0</v>
      </c>
      <c r="F5001" s="1508">
        <f t="shared" si="763"/>
        <v>0</v>
      </c>
      <c r="G5001" s="1508">
        <f t="shared" si="764"/>
        <v>0</v>
      </c>
      <c r="H5001" s="1508">
        <f t="shared" si="760"/>
        <v>0</v>
      </c>
      <c r="I5001" s="1480">
        <v>0</v>
      </c>
      <c r="J5001" s="1480">
        <v>0</v>
      </c>
      <c r="K5001" s="1508"/>
      <c r="L5001" s="1508"/>
      <c r="M5001" s="1509">
        <f t="shared" si="766"/>
        <v>0</v>
      </c>
      <c r="N5001" s="1508">
        <f t="shared" si="761"/>
        <v>0</v>
      </c>
    </row>
    <row r="5002" spans="1:16" ht="15.5" outlineLevel="1" x14ac:dyDescent="0.25">
      <c r="A5002" s="1500">
        <f t="shared" si="769"/>
        <v>0</v>
      </c>
      <c r="B5002" s="1483">
        <f t="shared" si="769"/>
        <v>0</v>
      </c>
      <c r="C5002" s="1500">
        <f t="shared" si="769"/>
        <v>0</v>
      </c>
      <c r="D5002" s="1501" t="str">
        <f t="shared" si="769"/>
        <v>-</v>
      </c>
      <c r="E5002" s="560">
        <f t="shared" si="769"/>
        <v>0</v>
      </c>
      <c r="F5002" s="1508">
        <f t="shared" si="763"/>
        <v>0</v>
      </c>
      <c r="G5002" s="1508">
        <f t="shared" si="764"/>
        <v>0</v>
      </c>
      <c r="H5002" s="1508">
        <f t="shared" si="760"/>
        <v>0</v>
      </c>
      <c r="I5002" s="1480">
        <v>0</v>
      </c>
      <c r="J5002" s="1480">
        <v>0</v>
      </c>
      <c r="K5002" s="1508"/>
      <c r="L5002" s="1508"/>
      <c r="M5002" s="1509">
        <f t="shared" si="766"/>
        <v>0</v>
      </c>
      <c r="N5002" s="1508">
        <f t="shared" si="761"/>
        <v>0</v>
      </c>
    </row>
    <row r="5003" spans="1:16" ht="15.5" outlineLevel="1" x14ac:dyDescent="0.25">
      <c r="A5003" s="131">
        <f t="shared" si="769"/>
        <v>0</v>
      </c>
      <c r="B5003" s="1476" t="str">
        <f t="shared" si="769"/>
        <v>(ii) Submitted to MERC, Yet To Receive Approval</v>
      </c>
      <c r="C5003" s="166">
        <f t="shared" si="769"/>
        <v>0</v>
      </c>
      <c r="D5003" s="1413" t="str">
        <f t="shared" si="769"/>
        <v>-</v>
      </c>
      <c r="E5003" s="1383">
        <f t="shared" si="769"/>
        <v>0</v>
      </c>
      <c r="F5003" s="1480">
        <f t="shared" si="763"/>
        <v>0</v>
      </c>
      <c r="G5003" s="1480">
        <f t="shared" si="764"/>
        <v>0</v>
      </c>
      <c r="H5003" s="1480">
        <f t="shared" si="760"/>
        <v>0</v>
      </c>
      <c r="I5003" s="1480">
        <v>0</v>
      </c>
      <c r="J5003" s="1480">
        <v>0</v>
      </c>
      <c r="K5003" s="1480"/>
      <c r="L5003" s="1480"/>
      <c r="M5003" s="1480">
        <f t="shared" si="766"/>
        <v>0</v>
      </c>
      <c r="N5003" s="1480">
        <f t="shared" si="761"/>
        <v>0</v>
      </c>
    </row>
    <row r="5004" spans="1:16" ht="93" outlineLevel="1" x14ac:dyDescent="0.25">
      <c r="A5004" s="1486" t="str">
        <f t="shared" ref="A5004:E5019" si="770">A4334</f>
        <v>Y8, Y9</v>
      </c>
      <c r="B5004" s="1491" t="str">
        <f t="shared" si="770"/>
        <v>Procurement of BOXN-HL Wagons for C.S.T.P.S., Chandrapur. &amp; Supply of Combine Fire fighting &amp; Rescue vehicle, quick response vehicle and High capacity machine for providing services of debris, dust, coal partials etc cleaning, lifting and transporting by mechanized way along with dedicated manpower for operation and maintenance for three years.</v>
      </c>
      <c r="C5004" s="1486" t="str">
        <f t="shared" si="770"/>
        <v>Yet To Receive Approval</v>
      </c>
      <c r="D5004" s="1487" t="str">
        <f t="shared" si="770"/>
        <v>-</v>
      </c>
      <c r="E5004" s="560">
        <f t="shared" si="770"/>
        <v>0</v>
      </c>
      <c r="F5004" s="1508">
        <f t="shared" si="763"/>
        <v>0</v>
      </c>
      <c r="G5004" s="1508">
        <f t="shared" si="764"/>
        <v>0</v>
      </c>
      <c r="H5004" s="1508">
        <f t="shared" si="760"/>
        <v>0</v>
      </c>
      <c r="I5004" s="1480">
        <v>0</v>
      </c>
      <c r="J5004" s="1480">
        <v>0</v>
      </c>
      <c r="K5004" s="1508"/>
      <c r="L5004" s="1508"/>
      <c r="M5004" s="1509">
        <f t="shared" si="766"/>
        <v>0</v>
      </c>
      <c r="N5004" s="1508">
        <f t="shared" si="761"/>
        <v>0</v>
      </c>
    </row>
    <row r="5005" spans="1:16" ht="15.5" outlineLevel="1" x14ac:dyDescent="0.25">
      <c r="A5005" s="1488">
        <f t="shared" si="770"/>
        <v>0</v>
      </c>
      <c r="B5005" s="1497" t="str">
        <f t="shared" si="770"/>
        <v>Procurement of BOXN-HL Wagons for C.S.T.P.S., Chandrapur.</v>
      </c>
      <c r="C5005" s="1488" t="str">
        <f t="shared" si="770"/>
        <v>Yet To Receive Approval</v>
      </c>
      <c r="D5005" s="1413" t="str">
        <f t="shared" si="770"/>
        <v>-</v>
      </c>
      <c r="E5005" s="560">
        <f t="shared" si="770"/>
        <v>0</v>
      </c>
      <c r="F5005" s="1508">
        <f t="shared" si="763"/>
        <v>13.8</v>
      </c>
      <c r="G5005" s="1508">
        <f t="shared" si="764"/>
        <v>13.8</v>
      </c>
      <c r="H5005" s="1508">
        <f t="shared" si="760"/>
        <v>0</v>
      </c>
      <c r="I5005" s="1480">
        <v>0</v>
      </c>
      <c r="J5005" s="1480">
        <v>0</v>
      </c>
      <c r="K5005" s="1508"/>
      <c r="L5005" s="1508"/>
      <c r="M5005" s="1509">
        <f t="shared" si="766"/>
        <v>0</v>
      </c>
      <c r="N5005" s="1508">
        <f t="shared" si="761"/>
        <v>0</v>
      </c>
    </row>
    <row r="5006" spans="1:16" ht="31" outlineLevel="1" x14ac:dyDescent="0.25">
      <c r="A5006" s="1488">
        <f t="shared" si="770"/>
        <v>0</v>
      </c>
      <c r="B5006" s="1497" t="str">
        <f t="shared" si="770"/>
        <v>Combined Fire and Rescue vehicle with Hydraulic Platform (Multipurpose Fire Tender)</v>
      </c>
      <c r="C5006" s="1488" t="str">
        <f t="shared" si="770"/>
        <v>Yet To Receive Approval</v>
      </c>
      <c r="D5006" s="1413" t="str">
        <f t="shared" si="770"/>
        <v>-</v>
      </c>
      <c r="E5006" s="1383">
        <f t="shared" si="770"/>
        <v>0</v>
      </c>
      <c r="F5006" s="1480">
        <f t="shared" si="763"/>
        <v>10.19</v>
      </c>
      <c r="G5006" s="1480">
        <f t="shared" si="764"/>
        <v>10.19</v>
      </c>
      <c r="H5006" s="1480">
        <f t="shared" si="760"/>
        <v>0</v>
      </c>
      <c r="I5006" s="1480">
        <v>0</v>
      </c>
      <c r="J5006" s="1480">
        <v>0</v>
      </c>
      <c r="K5006" s="1480"/>
      <c r="L5006" s="1480"/>
      <c r="M5006" s="1480">
        <f t="shared" si="766"/>
        <v>0</v>
      </c>
      <c r="N5006" s="1480">
        <f t="shared" si="761"/>
        <v>0</v>
      </c>
    </row>
    <row r="5007" spans="1:16" ht="15.5" outlineLevel="1" x14ac:dyDescent="0.25">
      <c r="A5007" s="1488">
        <f t="shared" si="770"/>
        <v>0</v>
      </c>
      <c r="B5007" s="1497" t="str">
        <f t="shared" si="770"/>
        <v>Quick Response Vehicle (Multipurpose Fire Tender)</v>
      </c>
      <c r="C5007" s="1488" t="str">
        <f t="shared" si="770"/>
        <v>Yet To Receive Approval</v>
      </c>
      <c r="D5007" s="1413" t="str">
        <f t="shared" si="770"/>
        <v>-</v>
      </c>
      <c r="E5007" s="560">
        <f t="shared" si="770"/>
        <v>0</v>
      </c>
      <c r="F5007" s="1508">
        <f t="shared" si="763"/>
        <v>2.5499999999999998</v>
      </c>
      <c r="G5007" s="1508">
        <f t="shared" si="764"/>
        <v>2.5499999999999998</v>
      </c>
      <c r="H5007" s="1508">
        <f t="shared" si="760"/>
        <v>0</v>
      </c>
      <c r="I5007" s="1480">
        <v>0</v>
      </c>
      <c r="J5007" s="1480">
        <v>0</v>
      </c>
      <c r="K5007" s="1508"/>
      <c r="L5007" s="1508"/>
      <c r="M5007" s="1509">
        <f t="shared" si="766"/>
        <v>0</v>
      </c>
      <c r="N5007" s="1508">
        <f t="shared" si="761"/>
        <v>0</v>
      </c>
    </row>
    <row r="5008" spans="1:16" ht="31" outlineLevel="1" x14ac:dyDescent="0.25">
      <c r="A5008" s="1488">
        <f t="shared" si="770"/>
        <v>0</v>
      </c>
      <c r="B5008" s="1497" t="str">
        <f t="shared" si="770"/>
        <v xml:space="preserve">High capacity Machine for debris transporting by Mechanized way (Vehicle) along with jetting machine </v>
      </c>
      <c r="C5008" s="1488" t="str">
        <f t="shared" si="770"/>
        <v>Yet To Receive Approval</v>
      </c>
      <c r="D5008" s="1413" t="str">
        <f t="shared" si="770"/>
        <v>-</v>
      </c>
      <c r="E5008" s="560">
        <f t="shared" si="770"/>
        <v>0</v>
      </c>
      <c r="F5008" s="1508">
        <f t="shared" si="763"/>
        <v>8.35</v>
      </c>
      <c r="G5008" s="1508">
        <f t="shared" si="764"/>
        <v>8.35</v>
      </c>
      <c r="H5008" s="1508">
        <f t="shared" si="760"/>
        <v>0</v>
      </c>
      <c r="I5008" s="1480">
        <v>0</v>
      </c>
      <c r="J5008" s="1480">
        <v>0</v>
      </c>
      <c r="K5008" s="1508"/>
      <c r="L5008" s="1508"/>
      <c r="M5008" s="1509">
        <f t="shared" si="766"/>
        <v>0</v>
      </c>
      <c r="N5008" s="1508">
        <f t="shared" si="761"/>
        <v>0</v>
      </c>
    </row>
    <row r="5009" spans="1:14" ht="15.5" outlineLevel="1" x14ac:dyDescent="0.25">
      <c r="A5009" s="1488">
        <f t="shared" si="770"/>
        <v>0</v>
      </c>
      <c r="B5009" s="1497" t="str">
        <f t="shared" si="770"/>
        <v>IDC</v>
      </c>
      <c r="C5009" s="1488" t="str">
        <f t="shared" si="770"/>
        <v>Yet To Receive Approval</v>
      </c>
      <c r="D5009" s="1413" t="str">
        <f t="shared" si="770"/>
        <v>-</v>
      </c>
      <c r="E5009" s="1383">
        <f t="shared" si="770"/>
        <v>0</v>
      </c>
      <c r="F5009" s="1480">
        <f t="shared" si="763"/>
        <v>0</v>
      </c>
      <c r="G5009" s="1480">
        <f t="shared" si="764"/>
        <v>0</v>
      </c>
      <c r="H5009" s="1480">
        <f t="shared" si="760"/>
        <v>0</v>
      </c>
      <c r="I5009" s="1480">
        <v>0</v>
      </c>
      <c r="J5009" s="1480">
        <v>0</v>
      </c>
      <c r="K5009" s="1480"/>
      <c r="L5009" s="1480"/>
      <c r="M5009" s="1480">
        <f t="shared" si="766"/>
        <v>0</v>
      </c>
      <c r="N5009" s="1480">
        <f t="shared" si="761"/>
        <v>0</v>
      </c>
    </row>
    <row r="5010" spans="1:14" ht="62" outlineLevel="1" x14ac:dyDescent="0.25">
      <c r="A5010" s="1486" t="str">
        <f t="shared" si="770"/>
        <v>Y10</v>
      </c>
      <c r="B5010" s="1491" t="str">
        <f t="shared" si="770"/>
        <v>Retrofitting of existing SF6 HT Circuit Breakers installed at Unit # 7 &amp; EM-II (Outdoor plant) of 3X500MW CSTPS Chandrapur by latest technology HT Contactor/ Vacuum Circuit breakers along with Supply, Installation &amp; Commissioning</v>
      </c>
      <c r="C5010" s="1486" t="str">
        <f t="shared" si="770"/>
        <v>Yet To Receive Approval</v>
      </c>
      <c r="D5010" s="1413" t="str">
        <f t="shared" si="770"/>
        <v>-</v>
      </c>
      <c r="E5010" s="1383">
        <f t="shared" si="770"/>
        <v>0</v>
      </c>
      <c r="F5010" s="1480">
        <f t="shared" si="763"/>
        <v>0</v>
      </c>
      <c r="G5010" s="1480">
        <f t="shared" si="764"/>
        <v>0</v>
      </c>
      <c r="H5010" s="1480">
        <f t="shared" si="760"/>
        <v>0</v>
      </c>
      <c r="I5010" s="1480">
        <v>0</v>
      </c>
      <c r="J5010" s="1480">
        <v>0</v>
      </c>
      <c r="K5010" s="1480"/>
      <c r="L5010" s="1480"/>
      <c r="M5010" s="1480">
        <f t="shared" si="766"/>
        <v>0</v>
      </c>
      <c r="N5010" s="1480">
        <f t="shared" si="761"/>
        <v>0</v>
      </c>
    </row>
    <row r="5011" spans="1:14" ht="46.5" outlineLevel="1" x14ac:dyDescent="0.25">
      <c r="A5011" s="1488">
        <f t="shared" si="770"/>
        <v>0</v>
      </c>
      <c r="B5011" s="1497" t="str">
        <f t="shared" si="770"/>
        <v>Retrofitting of existing ABB make SF6 Circuit Breakers installed at AHP Unit#7 by latest technology SF6 HT Contactor/ Vacuum Circuit Breaker</v>
      </c>
      <c r="C5011" s="1488" t="str">
        <f t="shared" si="770"/>
        <v>Yet To Receive Approval</v>
      </c>
      <c r="D5011" s="1413" t="str">
        <f t="shared" si="770"/>
        <v>-</v>
      </c>
      <c r="E5011" s="1383">
        <f t="shared" si="770"/>
        <v>0</v>
      </c>
      <c r="F5011" s="1480">
        <f t="shared" si="763"/>
        <v>7</v>
      </c>
      <c r="G5011" s="1480">
        <f t="shared" si="764"/>
        <v>7</v>
      </c>
      <c r="H5011" s="1480">
        <f t="shared" si="760"/>
        <v>0</v>
      </c>
      <c r="I5011" s="1480">
        <v>0</v>
      </c>
      <c r="J5011" s="1480">
        <v>0</v>
      </c>
      <c r="K5011" s="1480"/>
      <c r="L5011" s="1480"/>
      <c r="M5011" s="1480">
        <f t="shared" si="766"/>
        <v>0</v>
      </c>
      <c r="N5011" s="1480">
        <f t="shared" si="761"/>
        <v>0</v>
      </c>
    </row>
    <row r="5012" spans="1:14" ht="62" outlineLevel="1" x14ac:dyDescent="0.25">
      <c r="A5012" s="1488">
        <f t="shared" si="770"/>
        <v>0</v>
      </c>
      <c r="B5012" s="1497" t="str">
        <f t="shared" si="770"/>
        <v>Retrofitting of existing ABB/Voltas make SF6 Circuit Breakers installed at CCW Board of Unit#5,6&amp;7 ODP-II, WTP- II Board of ODP-II, Raw water RWS Board of ODP-II by latest technology Vacuum Circuit Breaker:</v>
      </c>
      <c r="C5012" s="1488" t="str">
        <f t="shared" si="770"/>
        <v>Yet To Receive Approval</v>
      </c>
      <c r="D5012" s="1413" t="str">
        <f t="shared" si="770"/>
        <v>-</v>
      </c>
      <c r="E5012" s="560">
        <f t="shared" si="770"/>
        <v>0</v>
      </c>
      <c r="F5012" s="1508">
        <f t="shared" si="763"/>
        <v>17</v>
      </c>
      <c r="G5012" s="1508">
        <f t="shared" si="764"/>
        <v>17</v>
      </c>
      <c r="H5012" s="1508">
        <f t="shared" si="760"/>
        <v>0</v>
      </c>
      <c r="I5012" s="1480">
        <v>0</v>
      </c>
      <c r="J5012" s="1480">
        <v>0</v>
      </c>
      <c r="K5012" s="1508"/>
      <c r="L5012" s="1508"/>
      <c r="M5012" s="1509">
        <f t="shared" si="766"/>
        <v>0</v>
      </c>
      <c r="N5012" s="1508">
        <f t="shared" si="761"/>
        <v>0</v>
      </c>
    </row>
    <row r="5013" spans="1:14" ht="15.5" outlineLevel="1" x14ac:dyDescent="0.25">
      <c r="A5013" s="1488">
        <f t="shared" si="770"/>
        <v>0</v>
      </c>
      <c r="B5013" s="1497" t="str">
        <f t="shared" si="770"/>
        <v>IDC</v>
      </c>
      <c r="C5013" s="1488" t="str">
        <f t="shared" si="770"/>
        <v>Yet To Receive Approval</v>
      </c>
      <c r="D5013" s="1413" t="str">
        <f t="shared" si="770"/>
        <v>-</v>
      </c>
      <c r="E5013" s="560">
        <f t="shared" si="770"/>
        <v>0</v>
      </c>
      <c r="F5013" s="1508">
        <f t="shared" si="763"/>
        <v>0</v>
      </c>
      <c r="G5013" s="1508">
        <f t="shared" si="764"/>
        <v>0</v>
      </c>
      <c r="H5013" s="1508">
        <f t="shared" si="760"/>
        <v>0</v>
      </c>
      <c r="I5013" s="1480">
        <v>0</v>
      </c>
      <c r="J5013" s="1480">
        <v>0</v>
      </c>
      <c r="K5013" s="1508"/>
      <c r="L5013" s="1508"/>
      <c r="M5013" s="1509">
        <f t="shared" si="766"/>
        <v>0</v>
      </c>
      <c r="N5013" s="1508">
        <f t="shared" si="761"/>
        <v>0</v>
      </c>
    </row>
    <row r="5014" spans="1:14" ht="62" outlineLevel="1" x14ac:dyDescent="0.25">
      <c r="A5014" s="1486" t="str">
        <f t="shared" si="770"/>
        <v>Y11</v>
      </c>
      <c r="B5014" s="1491" t="str">
        <f t="shared" si="770"/>
        <v>Design, Engineering, Manufacturing, Supply, Erection, Commissioning and testing of Wagon Locking System for wagon Tippler &amp; Portable Reclaim Feeder for CHP of Unit 5 to 9 of CSTPS, Chandrapur</v>
      </c>
      <c r="C5014" s="1486" t="str">
        <f t="shared" si="770"/>
        <v>Yet To Receive Approval</v>
      </c>
      <c r="D5014" s="1413" t="str">
        <f t="shared" si="770"/>
        <v>-</v>
      </c>
      <c r="E5014" s="560">
        <f t="shared" si="770"/>
        <v>0</v>
      </c>
      <c r="F5014" s="1508">
        <f t="shared" si="763"/>
        <v>0</v>
      </c>
      <c r="G5014" s="1508">
        <f t="shared" si="764"/>
        <v>0</v>
      </c>
      <c r="H5014" s="1508">
        <f t="shared" ref="H5014:H5030" si="771">F5014-G5014</f>
        <v>0</v>
      </c>
      <c r="I5014" s="1480">
        <v>0</v>
      </c>
      <c r="J5014" s="1480">
        <v>0</v>
      </c>
      <c r="K5014" s="1508"/>
      <c r="L5014" s="1508"/>
      <c r="M5014" s="1509">
        <f t="shared" si="766"/>
        <v>0</v>
      </c>
      <c r="N5014" s="1508">
        <f t="shared" ref="N5014:N5030" si="772">H5014+I5014-M5014</f>
        <v>0</v>
      </c>
    </row>
    <row r="5015" spans="1:14" ht="46.5" outlineLevel="1" x14ac:dyDescent="0.25">
      <c r="A5015" s="1488">
        <f t="shared" si="770"/>
        <v>0</v>
      </c>
      <c r="B5015" s="1497" t="str">
        <f t="shared" si="770"/>
        <v>Scheme-1: Design, Engineering, Manufacturing, Supply, Erection, Commissioning and testing of Wagon Locking System for Wagon Tippler of CHP of Unit 5 to 9 of CSTPS Chandrapur.</v>
      </c>
      <c r="C5015" s="1488" t="str">
        <f t="shared" si="770"/>
        <v>Yet To Receive Approval</v>
      </c>
      <c r="D5015" s="1413" t="str">
        <f t="shared" si="770"/>
        <v>-</v>
      </c>
      <c r="E5015" s="560">
        <f t="shared" si="770"/>
        <v>0</v>
      </c>
      <c r="F5015" s="1508">
        <f t="shared" si="763"/>
        <v>11.9</v>
      </c>
      <c r="G5015" s="1508">
        <f t="shared" si="764"/>
        <v>11.9</v>
      </c>
      <c r="H5015" s="1508">
        <f t="shared" si="771"/>
        <v>0</v>
      </c>
      <c r="I5015" s="1480">
        <v>0</v>
      </c>
      <c r="J5015" s="1480">
        <v>0</v>
      </c>
      <c r="K5015" s="1508"/>
      <c r="L5015" s="1508"/>
      <c r="M5015" s="1509">
        <f t="shared" si="766"/>
        <v>0</v>
      </c>
      <c r="N5015" s="1508">
        <f t="shared" si="772"/>
        <v>0</v>
      </c>
    </row>
    <row r="5016" spans="1:14" ht="46.5" outlineLevel="1" x14ac:dyDescent="0.25">
      <c r="A5016" s="1488">
        <f t="shared" si="770"/>
        <v>0</v>
      </c>
      <c r="B5016" s="1497" t="str">
        <f t="shared" si="770"/>
        <v>Scheme-2: Design, Engineering, Manufacturing, Supply, Erection, Commissioning, and testing of Portable Reclaim Feeder for CHP of Unit 5 to 9 in CSTPS Chandrapur.</v>
      </c>
      <c r="C5016" s="1488" t="str">
        <f t="shared" si="770"/>
        <v>Yet To Receive Approval</v>
      </c>
      <c r="D5016" s="1413" t="str">
        <f t="shared" si="770"/>
        <v>-</v>
      </c>
      <c r="E5016" s="560">
        <f t="shared" si="770"/>
        <v>0</v>
      </c>
      <c r="F5016" s="1508">
        <f t="shared" si="763"/>
        <v>18.489999999999998</v>
      </c>
      <c r="G5016" s="1508">
        <f t="shared" si="764"/>
        <v>18.489999999999998</v>
      </c>
      <c r="H5016" s="1508">
        <f t="shared" si="771"/>
        <v>0</v>
      </c>
      <c r="I5016" s="1480">
        <v>0</v>
      </c>
      <c r="J5016" s="1480">
        <v>0</v>
      </c>
      <c r="K5016" s="1508"/>
      <c r="L5016" s="1508"/>
      <c r="M5016" s="1509">
        <f t="shared" si="766"/>
        <v>0</v>
      </c>
      <c r="N5016" s="1508">
        <f t="shared" si="772"/>
        <v>0</v>
      </c>
    </row>
    <row r="5017" spans="1:14" ht="15.5" outlineLevel="1" x14ac:dyDescent="0.25">
      <c r="A5017" s="1488">
        <f t="shared" si="770"/>
        <v>0</v>
      </c>
      <c r="B5017" s="1497" t="str">
        <f t="shared" si="770"/>
        <v>IDC</v>
      </c>
      <c r="C5017" s="1488" t="str">
        <f t="shared" si="770"/>
        <v>Yet To Receive Approval</v>
      </c>
      <c r="D5017" s="1413" t="str">
        <f t="shared" si="770"/>
        <v>-</v>
      </c>
      <c r="E5017" s="560">
        <f t="shared" si="770"/>
        <v>0</v>
      </c>
      <c r="F5017" s="1508">
        <f t="shared" si="763"/>
        <v>0</v>
      </c>
      <c r="G5017" s="1508">
        <f t="shared" si="764"/>
        <v>0</v>
      </c>
      <c r="H5017" s="1508">
        <f t="shared" si="771"/>
        <v>0</v>
      </c>
      <c r="I5017" s="1480">
        <v>0</v>
      </c>
      <c r="J5017" s="1480">
        <v>0</v>
      </c>
      <c r="K5017" s="1508"/>
      <c r="L5017" s="1508"/>
      <c r="M5017" s="1509">
        <f t="shared" si="766"/>
        <v>0</v>
      </c>
      <c r="N5017" s="1508">
        <f t="shared" si="772"/>
        <v>0</v>
      </c>
    </row>
    <row r="5018" spans="1:14" ht="46.5" outlineLevel="1" x14ac:dyDescent="0.25">
      <c r="A5018" s="1486" t="str">
        <f t="shared" si="770"/>
        <v>Y12</v>
      </c>
      <c r="B5018" s="1491" t="str">
        <f t="shared" si="770"/>
        <v>Efficiency and Reliability improvement of PRDS, HP Heaters &amp;
Boiler pressure part system by rejuvenation of control valves, CSTPS Chandrapur</v>
      </c>
      <c r="C5018" s="1486" t="str">
        <f t="shared" si="770"/>
        <v>Yet To Receive Approval</v>
      </c>
      <c r="D5018" s="1413" t="str">
        <f t="shared" si="770"/>
        <v>-</v>
      </c>
      <c r="E5018" s="560">
        <f t="shared" si="770"/>
        <v>0</v>
      </c>
      <c r="F5018" s="1508">
        <f t="shared" si="763"/>
        <v>0</v>
      </c>
      <c r="G5018" s="1508">
        <f t="shared" si="764"/>
        <v>0</v>
      </c>
      <c r="H5018" s="1508">
        <f t="shared" si="771"/>
        <v>0</v>
      </c>
      <c r="I5018" s="1480">
        <v>0</v>
      </c>
      <c r="J5018" s="1480">
        <v>0</v>
      </c>
      <c r="K5018" s="1508"/>
      <c r="L5018" s="1508"/>
      <c r="M5018" s="1509">
        <f t="shared" si="766"/>
        <v>0</v>
      </c>
      <c r="N5018" s="1508">
        <f t="shared" si="772"/>
        <v>0</v>
      </c>
    </row>
    <row r="5019" spans="1:14" ht="31" outlineLevel="1" x14ac:dyDescent="0.25">
      <c r="A5019" s="1488">
        <f t="shared" si="770"/>
        <v>0</v>
      </c>
      <c r="B5019" s="1497" t="str">
        <f t="shared" si="770"/>
        <v>Scheme-1: Procurement of Sub body assembly &amp; Actuator for control &amp; motorized valves for U#3 &amp; U#4 (210MW).</v>
      </c>
      <c r="C5019" s="1488" t="str">
        <f t="shared" si="770"/>
        <v>Yet To Receive Approval</v>
      </c>
      <c r="D5019" s="1413" t="str">
        <f t="shared" si="770"/>
        <v>-</v>
      </c>
      <c r="E5019" s="560">
        <f t="shared" si="770"/>
        <v>0</v>
      </c>
      <c r="F5019" s="1508">
        <f t="shared" si="763"/>
        <v>16.5</v>
      </c>
      <c r="G5019" s="1508">
        <f t="shared" si="764"/>
        <v>16.5</v>
      </c>
      <c r="H5019" s="1508">
        <f t="shared" si="771"/>
        <v>0</v>
      </c>
      <c r="I5019" s="1480">
        <v>0</v>
      </c>
      <c r="J5019" s="1480">
        <v>0</v>
      </c>
      <c r="K5019" s="1508"/>
      <c r="L5019" s="1508"/>
      <c r="M5019" s="1509">
        <f t="shared" si="766"/>
        <v>0</v>
      </c>
      <c r="N5019" s="1508">
        <f t="shared" si="772"/>
        <v>0</v>
      </c>
    </row>
    <row r="5020" spans="1:14" ht="46.5" outlineLevel="1" x14ac:dyDescent="0.25">
      <c r="A5020" s="1488">
        <f t="shared" ref="A5020:E5035" si="773">A4350</f>
        <v>0</v>
      </c>
      <c r="B5020" s="1497" t="str">
        <f t="shared" si="773"/>
        <v>Scheme-2: Procurement of HC &amp; LC Feed and Soot Blower Drain Control sub body assembly for control valves for boiler Unit- 5, 6 &amp; 7 (500MW).</v>
      </c>
      <c r="C5020" s="1488" t="str">
        <f t="shared" si="773"/>
        <v>Yet To Receive Approval</v>
      </c>
      <c r="D5020" s="1413" t="str">
        <f t="shared" si="773"/>
        <v>-</v>
      </c>
      <c r="E5020" s="560">
        <f t="shared" si="773"/>
        <v>0</v>
      </c>
      <c r="F5020" s="1508">
        <f t="shared" ref="F5020:F5083" si="774">F4350+I4350</f>
        <v>3.05</v>
      </c>
      <c r="G5020" s="1508">
        <f t="shared" ref="G5020:G5083" si="775">G4350+M4350</f>
        <v>3.05</v>
      </c>
      <c r="H5020" s="1508">
        <f t="shared" si="771"/>
        <v>0</v>
      </c>
      <c r="I5020" s="1480">
        <v>0</v>
      </c>
      <c r="J5020" s="1480">
        <v>0</v>
      </c>
      <c r="K5020" s="1508"/>
      <c r="L5020" s="1508"/>
      <c r="M5020" s="1509">
        <f t="shared" si="766"/>
        <v>0</v>
      </c>
      <c r="N5020" s="1508">
        <f t="shared" si="772"/>
        <v>0</v>
      </c>
    </row>
    <row r="5021" spans="1:14" ht="31" outlineLevel="1" x14ac:dyDescent="0.25">
      <c r="A5021" s="1488">
        <f t="shared" si="773"/>
        <v>0</v>
      </c>
      <c r="B5021" s="1497" t="str">
        <f t="shared" si="773"/>
        <v>Scheme-3: Procurement of actuator assembly for control valves for boiler Unit- 5, 6 &amp; 7 (500MW).</v>
      </c>
      <c r="C5021" s="1488" t="str">
        <f t="shared" si="773"/>
        <v>Yet To Receive Approval</v>
      </c>
      <c r="D5021" s="1413" t="str">
        <f t="shared" si="773"/>
        <v>-</v>
      </c>
      <c r="E5021" s="560">
        <f t="shared" si="773"/>
        <v>0</v>
      </c>
      <c r="F5021" s="1508">
        <f t="shared" si="774"/>
        <v>2.21</v>
      </c>
      <c r="G5021" s="1508">
        <f t="shared" si="775"/>
        <v>2.21</v>
      </c>
      <c r="H5021" s="1508">
        <f t="shared" si="771"/>
        <v>0</v>
      </c>
      <c r="I5021" s="1480">
        <v>0</v>
      </c>
      <c r="J5021" s="1480">
        <v>0</v>
      </c>
      <c r="K5021" s="1508"/>
      <c r="L5021" s="1508"/>
      <c r="M5021" s="1509">
        <f t="shared" si="766"/>
        <v>0</v>
      </c>
      <c r="N5021" s="1508">
        <f t="shared" si="772"/>
        <v>0</v>
      </c>
    </row>
    <row r="5022" spans="1:14" ht="31" outlineLevel="1" x14ac:dyDescent="0.25">
      <c r="A5022" s="1488">
        <f t="shared" si="773"/>
        <v>0</v>
      </c>
      <c r="B5022" s="1497" t="str">
        <f t="shared" si="773"/>
        <v>Scheme-4: Procurement of HP heaters drip sub body assembly for control valve of 500MW Unit-5,6&amp;7.</v>
      </c>
      <c r="C5022" s="1488" t="str">
        <f t="shared" si="773"/>
        <v>Yet To Receive Approval</v>
      </c>
      <c r="D5022" s="1413" t="str">
        <f t="shared" si="773"/>
        <v>-</v>
      </c>
      <c r="E5022" s="560">
        <f t="shared" si="773"/>
        <v>0</v>
      </c>
      <c r="F5022" s="1508">
        <f t="shared" si="774"/>
        <v>1.39</v>
      </c>
      <c r="G5022" s="1508">
        <f t="shared" si="775"/>
        <v>1.39</v>
      </c>
      <c r="H5022" s="1508">
        <f t="shared" si="771"/>
        <v>0</v>
      </c>
      <c r="I5022" s="1480">
        <v>0</v>
      </c>
      <c r="J5022" s="1480">
        <v>0</v>
      </c>
      <c r="K5022" s="1508"/>
      <c r="L5022" s="1508"/>
      <c r="M5022" s="1509">
        <f t="shared" si="766"/>
        <v>0</v>
      </c>
      <c r="N5022" s="1508">
        <f t="shared" si="772"/>
        <v>0</v>
      </c>
    </row>
    <row r="5023" spans="1:14" ht="31" outlineLevel="1" x14ac:dyDescent="0.25">
      <c r="A5023" s="1488">
        <f t="shared" si="773"/>
        <v>0</v>
      </c>
      <c r="B5023" s="1497" t="str">
        <f t="shared" si="773"/>
        <v>Scheme-5: Procurement of actuator assembly for control valve of 500MW Unit-5,6&amp;7.</v>
      </c>
      <c r="C5023" s="1488" t="str">
        <f t="shared" si="773"/>
        <v>Yet To Receive Approval</v>
      </c>
      <c r="D5023" s="1413" t="str">
        <f t="shared" si="773"/>
        <v>-</v>
      </c>
      <c r="E5023" s="560">
        <f t="shared" si="773"/>
        <v>0</v>
      </c>
      <c r="F5023" s="1508">
        <f t="shared" si="774"/>
        <v>1.95</v>
      </c>
      <c r="G5023" s="1508">
        <f t="shared" si="775"/>
        <v>1.95</v>
      </c>
      <c r="H5023" s="1508">
        <f t="shared" si="771"/>
        <v>0</v>
      </c>
      <c r="I5023" s="1480">
        <v>0</v>
      </c>
      <c r="J5023" s="1480">
        <v>0</v>
      </c>
      <c r="K5023" s="1508"/>
      <c r="L5023" s="1508"/>
      <c r="M5023" s="1509">
        <f t="shared" si="766"/>
        <v>0</v>
      </c>
      <c r="N5023" s="1508">
        <f t="shared" si="772"/>
        <v>0</v>
      </c>
    </row>
    <row r="5024" spans="1:14" ht="15.5" outlineLevel="1" x14ac:dyDescent="0.25">
      <c r="A5024" s="1488">
        <f t="shared" si="773"/>
        <v>0</v>
      </c>
      <c r="B5024" s="1497" t="str">
        <f t="shared" si="773"/>
        <v>IDC</v>
      </c>
      <c r="C5024" s="1488" t="str">
        <f t="shared" si="773"/>
        <v>Yet To Receive Approval</v>
      </c>
      <c r="D5024" s="1413" t="str">
        <f t="shared" si="773"/>
        <v>-</v>
      </c>
      <c r="E5024" s="560">
        <f t="shared" si="773"/>
        <v>0</v>
      </c>
      <c r="F5024" s="1508">
        <f t="shared" si="774"/>
        <v>0</v>
      </c>
      <c r="G5024" s="1508">
        <f t="shared" si="775"/>
        <v>0</v>
      </c>
      <c r="H5024" s="1508">
        <f t="shared" si="771"/>
        <v>0</v>
      </c>
      <c r="I5024" s="1480">
        <v>0</v>
      </c>
      <c r="J5024" s="1480">
        <v>0</v>
      </c>
      <c r="K5024" s="1508"/>
      <c r="L5024" s="1508"/>
      <c r="M5024" s="1509">
        <f t="shared" si="766"/>
        <v>0</v>
      </c>
      <c r="N5024" s="1508">
        <f t="shared" si="772"/>
        <v>0</v>
      </c>
    </row>
    <row r="5025" spans="1:14" ht="46.5" outlineLevel="1" x14ac:dyDescent="0.25">
      <c r="A5025" s="1486" t="str">
        <f t="shared" si="773"/>
        <v>Y13</v>
      </c>
      <c r="B5025" s="1491" t="str">
        <f t="shared" si="773"/>
        <v>Supply &amp; installation of Advanced ESP Controller &amp; Numerical relay at U-7 and DAVR &amp; Up-gradation of Servo valves (ST) for HP-Bypass system at U-5,6,7, CSTPS</v>
      </c>
      <c r="C5025" s="1486" t="str">
        <f t="shared" si="773"/>
        <v>Yet To Receive Approval</v>
      </c>
      <c r="D5025" s="1413" t="str">
        <f t="shared" si="773"/>
        <v>-</v>
      </c>
      <c r="E5025" s="560">
        <f t="shared" si="773"/>
        <v>0</v>
      </c>
      <c r="F5025" s="1508">
        <f t="shared" si="774"/>
        <v>0</v>
      </c>
      <c r="G5025" s="1508">
        <f t="shared" si="775"/>
        <v>0</v>
      </c>
      <c r="H5025" s="1508">
        <f t="shared" si="771"/>
        <v>0</v>
      </c>
      <c r="I5025" s="1480">
        <v>0</v>
      </c>
      <c r="J5025" s="1480">
        <v>0</v>
      </c>
      <c r="K5025" s="1508"/>
      <c r="L5025" s="1508"/>
      <c r="M5025" s="1509">
        <f t="shared" si="766"/>
        <v>0</v>
      </c>
      <c r="N5025" s="1508">
        <f t="shared" si="772"/>
        <v>0</v>
      </c>
    </row>
    <row r="5026" spans="1:14" ht="46.5" outlineLevel="1" x14ac:dyDescent="0.25">
      <c r="A5026" s="1488">
        <f t="shared" si="773"/>
        <v>0</v>
      </c>
      <c r="B5026" s="1497" t="str">
        <f t="shared" si="773"/>
        <v xml:space="preserve">Scheme1: Supply and installation of advanced ESP Controllers for retrofitting in place of existing Alstom make EPIC-II controllers at ESP U-7 </v>
      </c>
      <c r="C5026" s="1488" t="str">
        <f t="shared" si="773"/>
        <v>Yet To Receive Approval</v>
      </c>
      <c r="D5026" s="1413" t="str">
        <f t="shared" si="773"/>
        <v>-</v>
      </c>
      <c r="E5026" s="560">
        <f t="shared" si="773"/>
        <v>0</v>
      </c>
      <c r="F5026" s="1508">
        <f t="shared" si="774"/>
        <v>4.1500000000000004</v>
      </c>
      <c r="G5026" s="1508">
        <f t="shared" si="775"/>
        <v>4.1500000000000004</v>
      </c>
      <c r="H5026" s="1508">
        <f t="shared" si="771"/>
        <v>0</v>
      </c>
      <c r="I5026" s="1480">
        <v>0</v>
      </c>
      <c r="J5026" s="1480">
        <v>0</v>
      </c>
      <c r="K5026" s="1508"/>
      <c r="L5026" s="1508"/>
      <c r="M5026" s="1509">
        <f t="shared" si="766"/>
        <v>0</v>
      </c>
      <c r="N5026" s="1508">
        <f t="shared" si="772"/>
        <v>0</v>
      </c>
    </row>
    <row r="5027" spans="1:14" ht="15.5" outlineLevel="1" x14ac:dyDescent="0.25">
      <c r="A5027" s="1488">
        <f t="shared" si="773"/>
        <v>0</v>
      </c>
      <c r="B5027" s="1497" t="str">
        <f t="shared" si="773"/>
        <v>Scheme-2: Supply and installation of DAVR at U-5,6,7</v>
      </c>
      <c r="C5027" s="1488" t="str">
        <f t="shared" si="773"/>
        <v>Yet To Receive Approval</v>
      </c>
      <c r="D5027" s="1413" t="str">
        <f t="shared" si="773"/>
        <v>-</v>
      </c>
      <c r="E5027" s="560">
        <f t="shared" si="773"/>
        <v>0</v>
      </c>
      <c r="F5027" s="1508">
        <f t="shared" si="774"/>
        <v>6.07</v>
      </c>
      <c r="G5027" s="1508">
        <f t="shared" si="775"/>
        <v>6.07</v>
      </c>
      <c r="H5027" s="1508">
        <f t="shared" si="771"/>
        <v>0</v>
      </c>
      <c r="I5027" s="1480">
        <v>0</v>
      </c>
      <c r="J5027" s="1480">
        <v>0</v>
      </c>
      <c r="K5027" s="1508"/>
      <c r="L5027" s="1508"/>
      <c r="M5027" s="1509">
        <f t="shared" si="766"/>
        <v>0</v>
      </c>
      <c r="N5027" s="1508">
        <f t="shared" si="772"/>
        <v>0</v>
      </c>
    </row>
    <row r="5028" spans="1:14" ht="46.5" outlineLevel="1" x14ac:dyDescent="0.25">
      <c r="A5028" s="1488">
        <f t="shared" si="773"/>
        <v>0</v>
      </c>
      <c r="B5028" s="1497" t="str">
        <f t="shared" si="773"/>
        <v>Scheme 3: Supply, installation and commissioning of numerical protection relays with set of auxiliary relays for HT switchgear, Unit-7</v>
      </c>
      <c r="C5028" s="1488" t="str">
        <f t="shared" si="773"/>
        <v>Yet To Receive Approval</v>
      </c>
      <c r="D5028" s="1413" t="str">
        <f t="shared" si="773"/>
        <v>-</v>
      </c>
      <c r="E5028" s="560">
        <f t="shared" si="773"/>
        <v>0</v>
      </c>
      <c r="F5028" s="1508">
        <f t="shared" si="774"/>
        <v>9.01</v>
      </c>
      <c r="G5028" s="1508">
        <f t="shared" si="775"/>
        <v>9.01</v>
      </c>
      <c r="H5028" s="1508">
        <f t="shared" si="771"/>
        <v>0</v>
      </c>
      <c r="I5028" s="1480">
        <v>0</v>
      </c>
      <c r="J5028" s="1480">
        <v>0</v>
      </c>
      <c r="K5028" s="1508"/>
      <c r="L5028" s="1508"/>
      <c r="M5028" s="1509">
        <f t="shared" si="766"/>
        <v>0</v>
      </c>
      <c r="N5028" s="1508">
        <f t="shared" si="772"/>
        <v>0</v>
      </c>
    </row>
    <row r="5029" spans="1:14" ht="31" outlineLevel="1" x14ac:dyDescent="0.25">
      <c r="A5029" s="1488">
        <f t="shared" si="773"/>
        <v>0</v>
      </c>
      <c r="B5029" s="1497" t="str">
        <f t="shared" si="773"/>
        <v>Scheme 4: Up-gradation of Servo valves (ST) by Proportional valves (PV) &amp; oil unitOV to HV for HP- Bypass system in U-5,6,7</v>
      </c>
      <c r="C5029" s="1488" t="str">
        <f t="shared" si="773"/>
        <v>Yet To Receive Approval</v>
      </c>
      <c r="D5029" s="1413" t="str">
        <f t="shared" si="773"/>
        <v>-</v>
      </c>
      <c r="E5029" s="560">
        <f t="shared" si="773"/>
        <v>0</v>
      </c>
      <c r="F5029" s="1508">
        <f t="shared" si="774"/>
        <v>9.86</v>
      </c>
      <c r="G5029" s="1508">
        <f t="shared" si="775"/>
        <v>9.86</v>
      </c>
      <c r="H5029" s="1508">
        <f t="shared" si="771"/>
        <v>0</v>
      </c>
      <c r="I5029" s="1480">
        <v>0</v>
      </c>
      <c r="J5029" s="1480">
        <v>0</v>
      </c>
      <c r="K5029" s="1508"/>
      <c r="L5029" s="1508"/>
      <c r="M5029" s="1509">
        <f t="shared" si="766"/>
        <v>0</v>
      </c>
      <c r="N5029" s="1508">
        <f t="shared" si="772"/>
        <v>0</v>
      </c>
    </row>
    <row r="5030" spans="1:14" ht="15.5" outlineLevel="1" x14ac:dyDescent="0.25">
      <c r="A5030" s="1488">
        <f t="shared" si="773"/>
        <v>0</v>
      </c>
      <c r="B5030" s="1497" t="str">
        <f t="shared" si="773"/>
        <v>IDC</v>
      </c>
      <c r="C5030" s="1488" t="str">
        <f t="shared" si="773"/>
        <v>Yet To Receive Approval</v>
      </c>
      <c r="D5030" s="1413" t="str">
        <f t="shared" si="773"/>
        <v>-</v>
      </c>
      <c r="E5030" s="560">
        <f t="shared" si="773"/>
        <v>0</v>
      </c>
      <c r="F5030" s="1508">
        <f t="shared" si="774"/>
        <v>0</v>
      </c>
      <c r="G5030" s="1508">
        <f t="shared" si="775"/>
        <v>0</v>
      </c>
      <c r="H5030" s="1508">
        <f t="shared" si="771"/>
        <v>0</v>
      </c>
      <c r="I5030" s="1480">
        <v>0</v>
      </c>
      <c r="J5030" s="1480">
        <v>0</v>
      </c>
      <c r="K5030" s="1508"/>
      <c r="L5030" s="1508"/>
      <c r="M5030" s="1509">
        <f t="shared" si="766"/>
        <v>0</v>
      </c>
      <c r="N5030" s="1508">
        <f t="shared" si="772"/>
        <v>0</v>
      </c>
    </row>
    <row r="5031" spans="1:14" ht="46.5" outlineLevel="1" x14ac:dyDescent="0.25">
      <c r="A5031" s="1486" t="str">
        <f t="shared" si="773"/>
        <v>Y14</v>
      </c>
      <c r="B5031" s="1491" t="str">
        <f t="shared" si="773"/>
        <v>Improvement in Reliability and Life Enhancement of Coal Mill by Refurbishment of Flender make KMS 850 Gear Box of XRP-1043 Coal Mill Unit 5 &amp; 6 at CSTPS, Chandrapur</v>
      </c>
      <c r="C5031" s="1486" t="str">
        <f t="shared" si="773"/>
        <v>Yet To Receive Approval</v>
      </c>
      <c r="D5031" s="1413" t="str">
        <f t="shared" si="773"/>
        <v>-</v>
      </c>
      <c r="E5031" s="560">
        <f t="shared" si="773"/>
        <v>0</v>
      </c>
      <c r="F5031" s="1508">
        <f t="shared" si="774"/>
        <v>0</v>
      </c>
      <c r="G5031" s="1508">
        <f t="shared" si="775"/>
        <v>0</v>
      </c>
      <c r="H5031" s="1508">
        <f>F5031-G5031</f>
        <v>0</v>
      </c>
      <c r="I5031" s="1480">
        <v>0</v>
      </c>
      <c r="J5031" s="1480">
        <v>0</v>
      </c>
      <c r="K5031" s="1508"/>
      <c r="L5031" s="1508"/>
      <c r="M5031" s="1509">
        <f>SUM(J5031:L5031)</f>
        <v>0</v>
      </c>
      <c r="N5031" s="1508">
        <f>H5031+I5031-M5031</f>
        <v>0</v>
      </c>
    </row>
    <row r="5032" spans="1:14" ht="31" outlineLevel="1" x14ac:dyDescent="0.25">
      <c r="A5032" s="1488">
        <f t="shared" si="773"/>
        <v>0</v>
      </c>
      <c r="B5032" s="1497" t="str">
        <f t="shared" si="773"/>
        <v>Coal Mill Life Enhancement by Refurbishment of Flender make KMS 850 gear box of XRP-1043 coal mill in Unit-5&amp;6</v>
      </c>
      <c r="C5032" s="1488" t="str">
        <f t="shared" si="773"/>
        <v>Yet To Receive Approval</v>
      </c>
      <c r="D5032" s="1413" t="str">
        <f t="shared" si="773"/>
        <v>-</v>
      </c>
      <c r="E5032" s="560">
        <f t="shared" si="773"/>
        <v>0</v>
      </c>
      <c r="F5032" s="1508">
        <f t="shared" si="774"/>
        <v>24.96</v>
      </c>
      <c r="G5032" s="1508">
        <f t="shared" si="775"/>
        <v>24.96</v>
      </c>
      <c r="H5032" s="1508">
        <f>F5032-G5032</f>
        <v>0</v>
      </c>
      <c r="I5032" s="1480">
        <v>0</v>
      </c>
      <c r="J5032" s="1480">
        <v>0</v>
      </c>
      <c r="K5032" s="1508"/>
      <c r="L5032" s="1508"/>
      <c r="M5032" s="1509">
        <f>SUM(J5032:L5032)</f>
        <v>0</v>
      </c>
      <c r="N5032" s="1508">
        <f>H5032+I5032-M5032</f>
        <v>0</v>
      </c>
    </row>
    <row r="5033" spans="1:14" ht="15.5" outlineLevel="1" x14ac:dyDescent="0.25">
      <c r="A5033" s="1488">
        <f t="shared" si="773"/>
        <v>0</v>
      </c>
      <c r="B5033" s="1497" t="str">
        <f t="shared" si="773"/>
        <v>IDC</v>
      </c>
      <c r="C5033" s="1488" t="str">
        <f t="shared" si="773"/>
        <v>Yet To Receive Approval</v>
      </c>
      <c r="D5033" s="1413" t="str">
        <f t="shared" si="773"/>
        <v>-</v>
      </c>
      <c r="E5033" s="560">
        <f t="shared" si="773"/>
        <v>0</v>
      </c>
      <c r="F5033" s="1508">
        <f t="shared" si="774"/>
        <v>0</v>
      </c>
      <c r="G5033" s="1508">
        <f t="shared" si="775"/>
        <v>0</v>
      </c>
      <c r="H5033" s="1508">
        <f>F5033-G5033</f>
        <v>0</v>
      </c>
      <c r="I5033" s="1480">
        <v>0</v>
      </c>
      <c r="J5033" s="1480">
        <v>0</v>
      </c>
      <c r="K5033" s="1508"/>
      <c r="L5033" s="1508"/>
      <c r="M5033" s="1509">
        <f>SUM(J5033:L5033)</f>
        <v>0</v>
      </c>
      <c r="N5033" s="1508">
        <f>H5033+I5033-M5033</f>
        <v>0</v>
      </c>
    </row>
    <row r="5034" spans="1:14" ht="15.5" outlineLevel="1" x14ac:dyDescent="0.25">
      <c r="A5034" s="1488">
        <f t="shared" si="773"/>
        <v>0</v>
      </c>
      <c r="B5034" s="1497">
        <f t="shared" si="773"/>
        <v>0</v>
      </c>
      <c r="C5034" s="1488">
        <f t="shared" si="773"/>
        <v>0</v>
      </c>
      <c r="D5034" s="1413" t="str">
        <f t="shared" si="773"/>
        <v>-</v>
      </c>
      <c r="E5034" s="560">
        <f t="shared" si="773"/>
        <v>0</v>
      </c>
      <c r="F5034" s="1508">
        <f t="shared" si="774"/>
        <v>0</v>
      </c>
      <c r="G5034" s="1508">
        <f t="shared" si="775"/>
        <v>0</v>
      </c>
      <c r="H5034" s="1508">
        <f t="shared" ref="H5034:H5097" si="776">F5034-G5034</f>
        <v>0</v>
      </c>
      <c r="I5034" s="1480">
        <v>0</v>
      </c>
      <c r="J5034" s="1480">
        <v>0</v>
      </c>
      <c r="K5034" s="1508"/>
      <c r="L5034" s="1508"/>
      <c r="M5034" s="1509">
        <f t="shared" ref="M5034:M5097" si="777">SUM(J5034:L5034)</f>
        <v>0</v>
      </c>
      <c r="N5034" s="1508">
        <f t="shared" ref="N5034:N5097" si="778">H5034+I5034-M5034</f>
        <v>0</v>
      </c>
    </row>
    <row r="5035" spans="1:14" ht="15.5" outlineLevel="1" x14ac:dyDescent="0.25">
      <c r="A5035" s="1488">
        <f t="shared" si="773"/>
        <v>0</v>
      </c>
      <c r="B5035" s="1497">
        <f t="shared" si="773"/>
        <v>0</v>
      </c>
      <c r="C5035" s="1488">
        <f t="shared" si="773"/>
        <v>0</v>
      </c>
      <c r="D5035" s="1413" t="str">
        <f t="shared" si="773"/>
        <v>-</v>
      </c>
      <c r="E5035" s="560">
        <f t="shared" si="773"/>
        <v>0</v>
      </c>
      <c r="F5035" s="1508">
        <f t="shared" si="774"/>
        <v>0</v>
      </c>
      <c r="G5035" s="1508">
        <f t="shared" si="775"/>
        <v>0</v>
      </c>
      <c r="H5035" s="1508">
        <f t="shared" si="776"/>
        <v>0</v>
      </c>
      <c r="I5035" s="1480">
        <v>0</v>
      </c>
      <c r="J5035" s="1480">
        <v>0</v>
      </c>
      <c r="K5035" s="1508"/>
      <c r="L5035" s="1508"/>
      <c r="M5035" s="1509">
        <f t="shared" si="777"/>
        <v>0</v>
      </c>
      <c r="N5035" s="1508">
        <f t="shared" si="778"/>
        <v>0</v>
      </c>
    </row>
    <row r="5036" spans="1:14" ht="15.5" outlineLevel="1" x14ac:dyDescent="0.25">
      <c r="A5036" s="1500">
        <f t="shared" ref="A5036:E5051" si="779">A4366</f>
        <v>0</v>
      </c>
      <c r="B5036" s="1502">
        <f t="shared" si="779"/>
        <v>0</v>
      </c>
      <c r="C5036" s="1500">
        <f t="shared" si="779"/>
        <v>0</v>
      </c>
      <c r="D5036" s="1501" t="str">
        <f t="shared" si="779"/>
        <v>-</v>
      </c>
      <c r="E5036" s="560">
        <f t="shared" si="779"/>
        <v>0</v>
      </c>
      <c r="F5036" s="1508">
        <f t="shared" si="774"/>
        <v>0</v>
      </c>
      <c r="G5036" s="1508">
        <f t="shared" si="775"/>
        <v>0</v>
      </c>
      <c r="H5036" s="1508">
        <f t="shared" si="776"/>
        <v>0</v>
      </c>
      <c r="I5036" s="1480">
        <v>0</v>
      </c>
      <c r="J5036" s="1480">
        <v>0</v>
      </c>
      <c r="K5036" s="1508"/>
      <c r="L5036" s="1508"/>
      <c r="M5036" s="1509">
        <f t="shared" si="777"/>
        <v>0</v>
      </c>
      <c r="N5036" s="1508">
        <f t="shared" si="778"/>
        <v>0</v>
      </c>
    </row>
    <row r="5037" spans="1:14" ht="15.5" outlineLevel="1" x14ac:dyDescent="0.25">
      <c r="A5037" s="1453">
        <f t="shared" si="779"/>
        <v>0</v>
      </c>
      <c r="B5037" s="1476" t="str">
        <f t="shared" si="779"/>
        <v>(ii) Yet to be submitted to MERC</v>
      </c>
      <c r="C5037" s="1453">
        <f t="shared" si="779"/>
        <v>0</v>
      </c>
      <c r="D5037" s="1503" t="str">
        <f t="shared" si="779"/>
        <v>-</v>
      </c>
      <c r="E5037" s="560">
        <f t="shared" si="779"/>
        <v>0</v>
      </c>
      <c r="F5037" s="1508">
        <f t="shared" si="774"/>
        <v>0</v>
      </c>
      <c r="G5037" s="1508">
        <f t="shared" si="775"/>
        <v>0</v>
      </c>
      <c r="H5037" s="1508">
        <f t="shared" si="776"/>
        <v>0</v>
      </c>
      <c r="I5037" s="1480">
        <v>0</v>
      </c>
      <c r="J5037" s="1480">
        <v>0</v>
      </c>
      <c r="K5037" s="1508"/>
      <c r="L5037" s="1508"/>
      <c r="M5037" s="1509">
        <f t="shared" si="777"/>
        <v>0</v>
      </c>
      <c r="N5037" s="1508">
        <f t="shared" si="778"/>
        <v>0</v>
      </c>
    </row>
    <row r="5038" spans="1:14" ht="15.5" outlineLevel="1" x14ac:dyDescent="0.25">
      <c r="A5038" s="1453">
        <f t="shared" si="779"/>
        <v>0</v>
      </c>
      <c r="B5038" s="1476">
        <f t="shared" si="779"/>
        <v>0</v>
      </c>
      <c r="C5038" s="1453">
        <f t="shared" si="779"/>
        <v>0</v>
      </c>
      <c r="D5038" s="1503" t="str">
        <f t="shared" si="779"/>
        <v>-</v>
      </c>
      <c r="E5038" s="560">
        <f t="shared" si="779"/>
        <v>0</v>
      </c>
      <c r="F5038" s="1508">
        <f t="shared" si="774"/>
        <v>0</v>
      </c>
      <c r="G5038" s="1508">
        <f t="shared" si="775"/>
        <v>0</v>
      </c>
      <c r="H5038" s="1508">
        <f t="shared" si="776"/>
        <v>0</v>
      </c>
      <c r="I5038" s="1480">
        <v>0</v>
      </c>
      <c r="J5038" s="1480">
        <v>0</v>
      </c>
      <c r="K5038" s="1508"/>
      <c r="L5038" s="1508"/>
      <c r="M5038" s="1509">
        <f t="shared" si="777"/>
        <v>0</v>
      </c>
      <c r="N5038" s="1508">
        <f t="shared" si="778"/>
        <v>0</v>
      </c>
    </row>
    <row r="5039" spans="1:14" ht="77.5" outlineLevel="1" x14ac:dyDescent="0.25">
      <c r="A5039" s="1486">
        <f t="shared" si="779"/>
        <v>2</v>
      </c>
      <c r="B5039" s="1491" t="str">
        <f t="shared" si="779"/>
        <v>‘Supply, installation, restoration, up-gradation and revamping of Fire Protection Systems viz Fire Hydrant System, Passive Fire Protection System, DV House Construction &amp; Fire Water Spray System at plant &amp; ODP area of Unit-3to9 and CHPs (CHP-A,B,C,&amp;D) of CSTPS, Chandrapur’</v>
      </c>
      <c r="C5039" s="166">
        <f t="shared" si="779"/>
        <v>0</v>
      </c>
      <c r="D5039" s="1413" t="str">
        <f t="shared" si="779"/>
        <v>-</v>
      </c>
      <c r="E5039" s="560">
        <f t="shared" si="779"/>
        <v>118.75</v>
      </c>
      <c r="F5039" s="1508">
        <f t="shared" si="774"/>
        <v>0</v>
      </c>
      <c r="G5039" s="1508">
        <f t="shared" si="775"/>
        <v>0</v>
      </c>
      <c r="H5039" s="1508">
        <f t="shared" si="776"/>
        <v>0</v>
      </c>
      <c r="I5039" s="1480">
        <v>0</v>
      </c>
      <c r="J5039" s="1480">
        <v>0</v>
      </c>
      <c r="K5039" s="1508"/>
      <c r="L5039" s="1508"/>
      <c r="M5039" s="1509">
        <f t="shared" si="777"/>
        <v>0</v>
      </c>
      <c r="N5039" s="1508">
        <f t="shared" si="778"/>
        <v>0</v>
      </c>
    </row>
    <row r="5040" spans="1:14" ht="77.5" outlineLevel="1" x14ac:dyDescent="0.25">
      <c r="A5040" s="1492">
        <f t="shared" si="779"/>
        <v>0</v>
      </c>
      <c r="B5040" s="1492" t="str">
        <f t="shared" si="779"/>
        <v>‘Supply, installation, restoration, up-gradation and revamping of Fire Protection Systems viz Fire Hydrant System, Passive Fire Protection System, DV House Construction &amp; Fire Water Spray System at plant &amp; ODP area of Unit-3to9 and CHPs (CHP-A,B,C,&amp;D) of CSTPS, Chandrapur’</v>
      </c>
      <c r="C5040" s="166">
        <f t="shared" si="779"/>
        <v>0</v>
      </c>
      <c r="D5040" s="1413" t="str">
        <f t="shared" si="779"/>
        <v>-</v>
      </c>
      <c r="E5040" s="560">
        <f t="shared" si="779"/>
        <v>118.75</v>
      </c>
      <c r="F5040" s="1508">
        <f t="shared" si="774"/>
        <v>118.75</v>
      </c>
      <c r="G5040" s="1508">
        <f t="shared" si="775"/>
        <v>118.75</v>
      </c>
      <c r="H5040" s="1508">
        <f t="shared" si="776"/>
        <v>0</v>
      </c>
      <c r="I5040" s="1480">
        <v>0</v>
      </c>
      <c r="J5040" s="1480">
        <v>0</v>
      </c>
      <c r="K5040" s="1508"/>
      <c r="L5040" s="1508"/>
      <c r="M5040" s="1509">
        <f t="shared" si="777"/>
        <v>0</v>
      </c>
      <c r="N5040" s="1508">
        <f t="shared" si="778"/>
        <v>0</v>
      </c>
    </row>
    <row r="5041" spans="1:14" ht="62" outlineLevel="1" x14ac:dyDescent="0.25">
      <c r="A5041" s="1486">
        <f t="shared" si="779"/>
        <v>3</v>
      </c>
      <c r="B5041" s="1491" t="str">
        <f t="shared" si="779"/>
        <v>DPR for Fire Detection &amp; Alarm and Protection System from Fire and Providing Rapid Extinguishing Clean Agent (CA) System at Unit -7, Outdoor Plants, CHPs, Service building &amp; Admin Building at CSTPS</v>
      </c>
      <c r="C5041" s="166">
        <f t="shared" si="779"/>
        <v>0</v>
      </c>
      <c r="D5041" s="1413" t="str">
        <f t="shared" si="779"/>
        <v>-</v>
      </c>
      <c r="E5041" s="560">
        <f t="shared" si="779"/>
        <v>31.56</v>
      </c>
      <c r="F5041" s="1508">
        <f t="shared" si="774"/>
        <v>0</v>
      </c>
      <c r="G5041" s="1508">
        <f t="shared" si="775"/>
        <v>0</v>
      </c>
      <c r="H5041" s="1508">
        <f t="shared" si="776"/>
        <v>0</v>
      </c>
      <c r="I5041" s="1480">
        <v>0</v>
      </c>
      <c r="J5041" s="1480">
        <v>0</v>
      </c>
      <c r="K5041" s="1508"/>
      <c r="L5041" s="1508"/>
      <c r="M5041" s="1509">
        <f t="shared" si="777"/>
        <v>0</v>
      </c>
      <c r="N5041" s="1508">
        <f t="shared" si="778"/>
        <v>0</v>
      </c>
    </row>
    <row r="5042" spans="1:14" ht="62" outlineLevel="1" x14ac:dyDescent="0.25">
      <c r="A5042" s="1492">
        <f t="shared" si="779"/>
        <v>0</v>
      </c>
      <c r="B5042" s="1492" t="str">
        <f t="shared" si="779"/>
        <v>DPR for Fire Detection &amp; Alarm and Protection System from Fire and Providing Rapid Extinguishing Clean Agent (CA) System at Unit -7, Outdoor Plants, CHPs, Service building &amp; Admin Building at CSTPS</v>
      </c>
      <c r="C5042" s="166">
        <f t="shared" si="779"/>
        <v>0</v>
      </c>
      <c r="D5042" s="1413" t="str">
        <f t="shared" si="779"/>
        <v>-</v>
      </c>
      <c r="E5042" s="560">
        <f t="shared" si="779"/>
        <v>31.56</v>
      </c>
      <c r="F5042" s="1508">
        <f t="shared" si="774"/>
        <v>31.56</v>
      </c>
      <c r="G5042" s="1508">
        <f t="shared" si="775"/>
        <v>31.56</v>
      </c>
      <c r="H5042" s="1508">
        <f t="shared" si="776"/>
        <v>0</v>
      </c>
      <c r="I5042" s="1480">
        <v>0</v>
      </c>
      <c r="J5042" s="1480">
        <v>0</v>
      </c>
      <c r="K5042" s="1508"/>
      <c r="L5042" s="1508"/>
      <c r="M5042" s="1509">
        <f t="shared" si="777"/>
        <v>0</v>
      </c>
      <c r="N5042" s="1508">
        <f t="shared" si="778"/>
        <v>0</v>
      </c>
    </row>
    <row r="5043" spans="1:14" ht="46.5" outlineLevel="1" x14ac:dyDescent="0.25">
      <c r="A5043" s="1486">
        <f t="shared" si="779"/>
        <v>4</v>
      </c>
      <c r="B5043" s="1491" t="str">
        <f t="shared" si="779"/>
        <v>Renovation of various component of bottom opening bogie frame at CSTPS Chandrapur &amp; Provision of Wagon Tippler Safety System in Coal Handling Plant at CSTPS</v>
      </c>
      <c r="C5043" s="166">
        <f t="shared" si="779"/>
        <v>0</v>
      </c>
      <c r="D5043" s="1413" t="str">
        <f t="shared" si="779"/>
        <v>-</v>
      </c>
      <c r="E5043" s="560">
        <f t="shared" si="779"/>
        <v>35</v>
      </c>
      <c r="F5043" s="1508">
        <f t="shared" si="774"/>
        <v>0</v>
      </c>
      <c r="G5043" s="1508">
        <f t="shared" si="775"/>
        <v>0</v>
      </c>
      <c r="H5043" s="1508">
        <f t="shared" si="776"/>
        <v>0</v>
      </c>
      <c r="I5043" s="1480">
        <v>0</v>
      </c>
      <c r="J5043" s="1480">
        <v>0</v>
      </c>
      <c r="K5043" s="1508"/>
      <c r="L5043" s="1508"/>
      <c r="M5043" s="1509">
        <f t="shared" si="777"/>
        <v>0</v>
      </c>
      <c r="N5043" s="1508">
        <f t="shared" si="778"/>
        <v>0</v>
      </c>
    </row>
    <row r="5044" spans="1:14" ht="46.5" outlineLevel="1" x14ac:dyDescent="0.25">
      <c r="A5044" s="1492">
        <f t="shared" si="779"/>
        <v>0</v>
      </c>
      <c r="B5044" s="1492" t="str">
        <f t="shared" si="779"/>
        <v>Renovation of various component of bottom opening bogie frame at CSTPS Chandrapur &amp; Provision of Wagon Tippler Safety System in Coal Handling Plant at CSTPS</v>
      </c>
      <c r="C5044" s="166">
        <f t="shared" si="779"/>
        <v>0</v>
      </c>
      <c r="D5044" s="1413" t="str">
        <f t="shared" si="779"/>
        <v>-</v>
      </c>
      <c r="E5044" s="560">
        <f t="shared" si="779"/>
        <v>35</v>
      </c>
      <c r="F5044" s="1508">
        <f t="shared" si="774"/>
        <v>35</v>
      </c>
      <c r="G5044" s="1508">
        <f t="shared" si="775"/>
        <v>35</v>
      </c>
      <c r="H5044" s="1508">
        <f t="shared" si="776"/>
        <v>0</v>
      </c>
      <c r="I5044" s="1480">
        <v>0</v>
      </c>
      <c r="J5044" s="1480">
        <v>0</v>
      </c>
      <c r="K5044" s="1508"/>
      <c r="L5044" s="1508"/>
      <c r="M5044" s="1509">
        <f t="shared" si="777"/>
        <v>0</v>
      </c>
      <c r="N5044" s="1508">
        <f t="shared" si="778"/>
        <v>0</v>
      </c>
    </row>
    <row r="5045" spans="1:14" ht="31" outlineLevel="1" x14ac:dyDescent="0.25">
      <c r="A5045" s="1486">
        <f t="shared" si="779"/>
        <v>5</v>
      </c>
      <c r="B5045" s="1491" t="str">
        <f t="shared" si="779"/>
        <v>Construction of road from CHP Weighbridge to Railway Crossing &amp; provision of Road Under Bridge (RUB) at CSTPS, Chandrapur</v>
      </c>
      <c r="C5045" s="166">
        <f t="shared" si="779"/>
        <v>0</v>
      </c>
      <c r="D5045" s="1413" t="str">
        <f t="shared" si="779"/>
        <v>-</v>
      </c>
      <c r="E5045" s="560">
        <f t="shared" si="779"/>
        <v>41.24</v>
      </c>
      <c r="F5045" s="1508">
        <f t="shared" si="774"/>
        <v>0</v>
      </c>
      <c r="G5045" s="1508">
        <f t="shared" si="775"/>
        <v>0</v>
      </c>
      <c r="H5045" s="1508">
        <f t="shared" si="776"/>
        <v>0</v>
      </c>
      <c r="I5045" s="1480">
        <v>0</v>
      </c>
      <c r="J5045" s="1480">
        <v>0</v>
      </c>
      <c r="K5045" s="1508"/>
      <c r="L5045" s="1508"/>
      <c r="M5045" s="1509">
        <f t="shared" si="777"/>
        <v>0</v>
      </c>
      <c r="N5045" s="1508">
        <f t="shared" si="778"/>
        <v>0</v>
      </c>
    </row>
    <row r="5046" spans="1:14" ht="31" outlineLevel="1" x14ac:dyDescent="0.25">
      <c r="A5046" s="1492">
        <f t="shared" si="779"/>
        <v>0</v>
      </c>
      <c r="B5046" s="1492" t="str">
        <f t="shared" si="779"/>
        <v>Construction of concrete pavement road connecting to CHP weighbridge to Railway crossing at CSTPS, Chandrapur.</v>
      </c>
      <c r="C5046" s="166">
        <f t="shared" si="779"/>
        <v>0</v>
      </c>
      <c r="D5046" s="1413" t="str">
        <f t="shared" si="779"/>
        <v>-</v>
      </c>
      <c r="E5046" s="560">
        <f t="shared" si="779"/>
        <v>5.42</v>
      </c>
      <c r="F5046" s="1508">
        <f t="shared" si="774"/>
        <v>5.42</v>
      </c>
      <c r="G5046" s="1508">
        <f t="shared" si="775"/>
        <v>5.42</v>
      </c>
      <c r="H5046" s="1508">
        <f t="shared" si="776"/>
        <v>0</v>
      </c>
      <c r="I5046" s="1480">
        <v>0</v>
      </c>
      <c r="J5046" s="1480">
        <v>0</v>
      </c>
      <c r="K5046" s="1508"/>
      <c r="L5046" s="1508"/>
      <c r="M5046" s="1509">
        <f t="shared" si="777"/>
        <v>0</v>
      </c>
      <c r="N5046" s="1508">
        <f t="shared" si="778"/>
        <v>0</v>
      </c>
    </row>
    <row r="5047" spans="1:14" ht="31" outlineLevel="1" x14ac:dyDescent="0.25">
      <c r="A5047" s="1492">
        <f t="shared" si="779"/>
        <v>0</v>
      </c>
      <c r="B5047" s="1492" t="str">
        <f t="shared" si="779"/>
        <v>Provision of Road Under Bridge at Vivekanand Nagar Tukum At CSTPS, Chandrapur.</v>
      </c>
      <c r="C5047" s="166">
        <f t="shared" si="779"/>
        <v>0</v>
      </c>
      <c r="D5047" s="1413" t="str">
        <f t="shared" si="779"/>
        <v>-</v>
      </c>
      <c r="E5047" s="560">
        <f t="shared" si="779"/>
        <v>35.82</v>
      </c>
      <c r="F5047" s="1508">
        <f t="shared" si="774"/>
        <v>35.82</v>
      </c>
      <c r="G5047" s="1508">
        <f t="shared" si="775"/>
        <v>35.82</v>
      </c>
      <c r="H5047" s="1508">
        <f t="shared" si="776"/>
        <v>0</v>
      </c>
      <c r="I5047" s="1480">
        <v>0</v>
      </c>
      <c r="J5047" s="1480">
        <v>0</v>
      </c>
      <c r="K5047" s="1508"/>
      <c r="L5047" s="1508"/>
      <c r="M5047" s="1509">
        <f t="shared" si="777"/>
        <v>0</v>
      </c>
      <c r="N5047" s="1508">
        <f t="shared" si="778"/>
        <v>0</v>
      </c>
    </row>
    <row r="5048" spans="1:14" ht="31" outlineLevel="1" x14ac:dyDescent="0.25">
      <c r="A5048" s="1486">
        <f t="shared" si="779"/>
        <v>6</v>
      </c>
      <c r="B5048" s="1491" t="str">
        <f t="shared" si="779"/>
        <v>Construction of UCR wall and bed of Neri Nallah at CSTPS, Chandrapur.</v>
      </c>
      <c r="C5048" s="166">
        <f t="shared" si="779"/>
        <v>0</v>
      </c>
      <c r="D5048" s="1413" t="str">
        <f t="shared" si="779"/>
        <v>-</v>
      </c>
      <c r="E5048" s="560">
        <f t="shared" si="779"/>
        <v>33.47</v>
      </c>
      <c r="F5048" s="1508">
        <f t="shared" si="774"/>
        <v>0</v>
      </c>
      <c r="G5048" s="1508">
        <f t="shared" si="775"/>
        <v>0</v>
      </c>
      <c r="H5048" s="1508">
        <f t="shared" si="776"/>
        <v>0</v>
      </c>
      <c r="I5048" s="1480">
        <v>0</v>
      </c>
      <c r="J5048" s="1480">
        <v>0</v>
      </c>
      <c r="K5048" s="1508"/>
      <c r="L5048" s="1508"/>
      <c r="M5048" s="1509">
        <f t="shared" si="777"/>
        <v>0</v>
      </c>
      <c r="N5048" s="1508">
        <f t="shared" si="778"/>
        <v>0</v>
      </c>
    </row>
    <row r="5049" spans="1:14" ht="31" outlineLevel="1" x14ac:dyDescent="0.25">
      <c r="A5049" s="1492">
        <f t="shared" si="779"/>
        <v>0</v>
      </c>
      <c r="B5049" s="1492" t="str">
        <f t="shared" si="779"/>
        <v>Construction of UCR wall and bed of Neri Nallah at CSTPS, Chandrapur.</v>
      </c>
      <c r="C5049" s="166">
        <f t="shared" si="779"/>
        <v>0</v>
      </c>
      <c r="D5049" s="1413" t="str">
        <f t="shared" si="779"/>
        <v>-</v>
      </c>
      <c r="E5049" s="560">
        <f t="shared" si="779"/>
        <v>33.47</v>
      </c>
      <c r="F5049" s="1508">
        <f t="shared" si="774"/>
        <v>33.47</v>
      </c>
      <c r="G5049" s="1508">
        <f t="shared" si="775"/>
        <v>33.47</v>
      </c>
      <c r="H5049" s="1508">
        <f t="shared" si="776"/>
        <v>0</v>
      </c>
      <c r="I5049" s="1480">
        <v>0</v>
      </c>
      <c r="J5049" s="1480">
        <v>0</v>
      </c>
      <c r="K5049" s="1508"/>
      <c r="L5049" s="1508"/>
      <c r="M5049" s="1509">
        <f t="shared" si="777"/>
        <v>0</v>
      </c>
      <c r="N5049" s="1508">
        <f t="shared" si="778"/>
        <v>0</v>
      </c>
    </row>
    <row r="5050" spans="1:14" ht="46.5" outlineLevel="1" x14ac:dyDescent="0.25">
      <c r="A5050" s="1486">
        <f t="shared" si="779"/>
        <v>7</v>
      </c>
      <c r="B5050" s="1491" t="str">
        <f t="shared" si="779"/>
        <v>Construction of  Concrete Pavement  Road  Connecting to Reject Coal Gate &amp; F point upto  Ash water recovery pump house &amp; F point to CP No- 635 at CSTPS Chandrapur</v>
      </c>
      <c r="C5050" s="166">
        <f t="shared" si="779"/>
        <v>0</v>
      </c>
      <c r="D5050" s="1413" t="str">
        <f t="shared" si="779"/>
        <v>-</v>
      </c>
      <c r="E5050" s="560">
        <f t="shared" si="779"/>
        <v>71.5</v>
      </c>
      <c r="F5050" s="1508">
        <f t="shared" si="774"/>
        <v>0</v>
      </c>
      <c r="G5050" s="1508">
        <f t="shared" si="775"/>
        <v>0</v>
      </c>
      <c r="H5050" s="1508">
        <f t="shared" si="776"/>
        <v>0</v>
      </c>
      <c r="I5050" s="1480">
        <v>0</v>
      </c>
      <c r="J5050" s="1480">
        <v>0</v>
      </c>
      <c r="K5050" s="1508"/>
      <c r="L5050" s="1508"/>
      <c r="M5050" s="1509">
        <f t="shared" si="777"/>
        <v>0</v>
      </c>
      <c r="N5050" s="1508">
        <f t="shared" si="778"/>
        <v>0</v>
      </c>
    </row>
    <row r="5051" spans="1:14" ht="46.5" outlineLevel="1" x14ac:dyDescent="0.25">
      <c r="A5051" s="1492">
        <f t="shared" si="779"/>
        <v>0</v>
      </c>
      <c r="B5051" s="1492" t="str">
        <f t="shared" si="779"/>
        <v>Construction of  Concrete Pavement  Road  Connecting to Reject Coal Gate &amp; F point upto  Ash water recovery pump house &amp; F point to CP No- 635 at CSTPS Chandrapur</v>
      </c>
      <c r="C5051" s="166">
        <f t="shared" si="779"/>
        <v>0</v>
      </c>
      <c r="D5051" s="1413" t="str">
        <f t="shared" si="779"/>
        <v>-</v>
      </c>
      <c r="E5051" s="560">
        <f t="shared" si="779"/>
        <v>71.5</v>
      </c>
      <c r="F5051" s="1508">
        <f t="shared" si="774"/>
        <v>71.5</v>
      </c>
      <c r="G5051" s="1508">
        <f t="shared" si="775"/>
        <v>71.5</v>
      </c>
      <c r="H5051" s="1508">
        <f t="shared" si="776"/>
        <v>0</v>
      </c>
      <c r="I5051" s="1480">
        <v>0</v>
      </c>
      <c r="J5051" s="1480">
        <v>0</v>
      </c>
      <c r="K5051" s="1508"/>
      <c r="L5051" s="1508"/>
      <c r="M5051" s="1509">
        <f t="shared" si="777"/>
        <v>0</v>
      </c>
      <c r="N5051" s="1508">
        <f t="shared" si="778"/>
        <v>0</v>
      </c>
    </row>
    <row r="5052" spans="1:14" ht="15.5" outlineLevel="1" x14ac:dyDescent="0.25">
      <c r="A5052" s="1504">
        <f t="shared" ref="A5052:E5067" si="780">A4382</f>
        <v>0</v>
      </c>
      <c r="B5052" s="1504" t="str">
        <f t="shared" si="780"/>
        <v>Boiler Maintenance-I</v>
      </c>
      <c r="C5052" s="166">
        <f t="shared" si="780"/>
        <v>0</v>
      </c>
      <c r="D5052" s="1413" t="str">
        <f t="shared" si="780"/>
        <v>-</v>
      </c>
      <c r="E5052" s="560">
        <f t="shared" si="780"/>
        <v>0</v>
      </c>
      <c r="F5052" s="1508">
        <f t="shared" si="774"/>
        <v>0</v>
      </c>
      <c r="G5052" s="1508">
        <f t="shared" si="775"/>
        <v>0</v>
      </c>
      <c r="H5052" s="1508">
        <f t="shared" si="776"/>
        <v>0</v>
      </c>
      <c r="I5052" s="1480">
        <v>0</v>
      </c>
      <c r="J5052" s="1480">
        <v>0</v>
      </c>
      <c r="K5052" s="1508"/>
      <c r="L5052" s="1508"/>
      <c r="M5052" s="1509">
        <f t="shared" si="777"/>
        <v>0</v>
      </c>
      <c r="N5052" s="1508">
        <f t="shared" si="778"/>
        <v>0</v>
      </c>
    </row>
    <row r="5053" spans="1:14" ht="15.5" outlineLevel="1" x14ac:dyDescent="0.25">
      <c r="A5053" s="1486">
        <f t="shared" si="780"/>
        <v>1</v>
      </c>
      <c r="B5053" s="1491" t="str">
        <f t="shared" si="780"/>
        <v>DPR for Coal mill improvement</v>
      </c>
      <c r="C5053" s="166">
        <f t="shared" si="780"/>
        <v>0</v>
      </c>
      <c r="D5053" s="1413" t="str">
        <f t="shared" si="780"/>
        <v>-</v>
      </c>
      <c r="E5053" s="560">
        <f t="shared" si="780"/>
        <v>54.74</v>
      </c>
      <c r="F5053" s="1508">
        <f t="shared" si="774"/>
        <v>0</v>
      </c>
      <c r="G5053" s="1508">
        <f t="shared" si="775"/>
        <v>0</v>
      </c>
      <c r="H5053" s="1508">
        <f t="shared" si="776"/>
        <v>0</v>
      </c>
      <c r="I5053" s="1480">
        <v>0</v>
      </c>
      <c r="J5053" s="1480">
        <v>0</v>
      </c>
      <c r="K5053" s="1508"/>
      <c r="L5053" s="1508"/>
      <c r="M5053" s="1509">
        <f t="shared" si="777"/>
        <v>0</v>
      </c>
      <c r="N5053" s="1508">
        <f t="shared" si="778"/>
        <v>0</v>
      </c>
    </row>
    <row r="5054" spans="1:14" ht="31" outlineLevel="1" x14ac:dyDescent="0.25">
      <c r="A5054" s="1492">
        <f t="shared" si="780"/>
        <v>0</v>
      </c>
      <c r="B5054" s="1492" t="str">
        <f t="shared" si="780"/>
        <v>The performance improvement &amp; availability enhancement of coal millsXRP-803 at U#3&amp;4(210MW)CSTPS, Chandrapur</v>
      </c>
      <c r="C5054" s="166">
        <f t="shared" si="780"/>
        <v>0</v>
      </c>
      <c r="D5054" s="1413" t="str">
        <f t="shared" si="780"/>
        <v>-</v>
      </c>
      <c r="E5054" s="560">
        <f t="shared" si="780"/>
        <v>18.739999999999998</v>
      </c>
      <c r="F5054" s="1508">
        <f t="shared" si="774"/>
        <v>18.739999999999998</v>
      </c>
      <c r="G5054" s="1508">
        <f t="shared" si="775"/>
        <v>18.739999999999998</v>
      </c>
      <c r="H5054" s="1508">
        <f t="shared" si="776"/>
        <v>0</v>
      </c>
      <c r="I5054" s="1480">
        <v>0</v>
      </c>
      <c r="J5054" s="1480">
        <v>0</v>
      </c>
      <c r="K5054" s="1508"/>
      <c r="L5054" s="1508"/>
      <c r="M5054" s="1509">
        <f t="shared" si="777"/>
        <v>0</v>
      </c>
      <c r="N5054" s="1508">
        <f t="shared" si="778"/>
        <v>0</v>
      </c>
    </row>
    <row r="5055" spans="1:14" ht="31" outlineLevel="1" x14ac:dyDescent="0.25">
      <c r="A5055" s="1492">
        <f t="shared" si="780"/>
        <v>0</v>
      </c>
      <c r="B5055" s="1492" t="str">
        <f t="shared" si="780"/>
        <v>Replacement of Existing Volumetric coal feeders by Rotary Gravimetric coal feeders</v>
      </c>
      <c r="C5055" s="166">
        <f t="shared" si="780"/>
        <v>0</v>
      </c>
      <c r="D5055" s="1413" t="str">
        <f t="shared" si="780"/>
        <v>-</v>
      </c>
      <c r="E5055" s="560">
        <f t="shared" si="780"/>
        <v>36</v>
      </c>
      <c r="F5055" s="1508">
        <f t="shared" si="774"/>
        <v>36</v>
      </c>
      <c r="G5055" s="1508">
        <f t="shared" si="775"/>
        <v>36</v>
      </c>
      <c r="H5055" s="1508">
        <f t="shared" si="776"/>
        <v>0</v>
      </c>
      <c r="I5055" s="1480">
        <v>0</v>
      </c>
      <c r="J5055" s="1480">
        <v>0</v>
      </c>
      <c r="K5055" s="1508"/>
      <c r="L5055" s="1508"/>
      <c r="M5055" s="1509">
        <f t="shared" si="777"/>
        <v>0</v>
      </c>
      <c r="N5055" s="1508">
        <f t="shared" si="778"/>
        <v>0</v>
      </c>
    </row>
    <row r="5056" spans="1:14" ht="15.5" outlineLevel="1" x14ac:dyDescent="0.25">
      <c r="A5056" s="1486">
        <f t="shared" si="780"/>
        <v>2</v>
      </c>
      <c r="B5056" s="1491" t="str">
        <f t="shared" si="780"/>
        <v>DPR for APH basket, HRH coil and Valves</v>
      </c>
      <c r="C5056" s="1488">
        <f t="shared" si="780"/>
        <v>0</v>
      </c>
      <c r="D5056" s="1413" t="str">
        <f t="shared" si="780"/>
        <v>-</v>
      </c>
      <c r="E5056" s="560">
        <f t="shared" si="780"/>
        <v>28.94</v>
      </c>
      <c r="F5056" s="1508">
        <f t="shared" si="774"/>
        <v>0</v>
      </c>
      <c r="G5056" s="1508">
        <f t="shared" si="775"/>
        <v>0</v>
      </c>
      <c r="H5056" s="1508">
        <f t="shared" si="776"/>
        <v>0</v>
      </c>
      <c r="I5056" s="1480">
        <v>0</v>
      </c>
      <c r="J5056" s="1480">
        <v>0</v>
      </c>
      <c r="K5056" s="1508"/>
      <c r="L5056" s="1508"/>
      <c r="M5056" s="1509">
        <f t="shared" si="777"/>
        <v>0</v>
      </c>
      <c r="N5056" s="1508">
        <f t="shared" si="778"/>
        <v>0</v>
      </c>
    </row>
    <row r="5057" spans="1:14" ht="31" outlineLevel="1" x14ac:dyDescent="0.25">
      <c r="A5057" s="1492">
        <f t="shared" si="780"/>
        <v>0</v>
      </c>
      <c r="B5057" s="1492" t="str">
        <f t="shared" si="780"/>
        <v>Procurement &amp; replacement of APH Basket assemblies at U#3&amp;4,CSTPS, Chandrapur</v>
      </c>
      <c r="C5057" s="1488">
        <f t="shared" si="780"/>
        <v>0</v>
      </c>
      <c r="D5057" s="1413" t="str">
        <f t="shared" si="780"/>
        <v>-</v>
      </c>
      <c r="E5057" s="560">
        <f t="shared" si="780"/>
        <v>4.9400000000000004</v>
      </c>
      <c r="F5057" s="1508">
        <f t="shared" si="774"/>
        <v>4.9400000000000004</v>
      </c>
      <c r="G5057" s="1508">
        <f t="shared" si="775"/>
        <v>4.9400000000000004</v>
      </c>
      <c r="H5057" s="1508">
        <f t="shared" si="776"/>
        <v>0</v>
      </c>
      <c r="I5057" s="1480">
        <v>0</v>
      </c>
      <c r="J5057" s="1480">
        <v>0</v>
      </c>
      <c r="K5057" s="1508"/>
      <c r="L5057" s="1508"/>
      <c r="M5057" s="1509">
        <f t="shared" si="777"/>
        <v>0</v>
      </c>
      <c r="N5057" s="1508">
        <f t="shared" si="778"/>
        <v>0</v>
      </c>
    </row>
    <row r="5058" spans="1:14" ht="31" outlineLevel="1" x14ac:dyDescent="0.25">
      <c r="A5058" s="1492">
        <f t="shared" si="780"/>
        <v>0</v>
      </c>
      <c r="B5058" s="1492" t="str">
        <f t="shared" si="780"/>
        <v>Procurement &amp; replacement of complete HRH coils assembly in U#4</v>
      </c>
      <c r="C5058" s="1488">
        <f t="shared" si="780"/>
        <v>0</v>
      </c>
      <c r="D5058" s="1413" t="str">
        <f t="shared" si="780"/>
        <v>-</v>
      </c>
      <c r="E5058" s="560">
        <f t="shared" si="780"/>
        <v>24</v>
      </c>
      <c r="F5058" s="1508">
        <f t="shared" si="774"/>
        <v>24</v>
      </c>
      <c r="G5058" s="1508">
        <f t="shared" si="775"/>
        <v>24</v>
      </c>
      <c r="H5058" s="1508">
        <f t="shared" si="776"/>
        <v>0</v>
      </c>
      <c r="I5058" s="1480">
        <v>0</v>
      </c>
      <c r="J5058" s="1480">
        <v>0</v>
      </c>
      <c r="K5058" s="1508"/>
      <c r="L5058" s="1508"/>
      <c r="M5058" s="1509">
        <f t="shared" si="777"/>
        <v>0</v>
      </c>
      <c r="N5058" s="1508">
        <f t="shared" si="778"/>
        <v>0</v>
      </c>
    </row>
    <row r="5059" spans="1:14" ht="15.5" outlineLevel="1" x14ac:dyDescent="0.25">
      <c r="A5059" s="1486">
        <f t="shared" si="780"/>
        <v>3</v>
      </c>
      <c r="B5059" s="1491" t="str">
        <f t="shared" si="780"/>
        <v>DPR for ESP internal and CRH coil</v>
      </c>
      <c r="C5059" s="1488">
        <f t="shared" si="780"/>
        <v>0</v>
      </c>
      <c r="D5059" s="1413" t="str">
        <f t="shared" si="780"/>
        <v>-</v>
      </c>
      <c r="E5059" s="560">
        <f t="shared" si="780"/>
        <v>45</v>
      </c>
      <c r="F5059" s="1508">
        <f t="shared" si="774"/>
        <v>0</v>
      </c>
      <c r="G5059" s="1508">
        <f t="shared" si="775"/>
        <v>0</v>
      </c>
      <c r="H5059" s="1508">
        <f t="shared" si="776"/>
        <v>0</v>
      </c>
      <c r="I5059" s="1480">
        <v>0</v>
      </c>
      <c r="J5059" s="1480">
        <v>0</v>
      </c>
      <c r="K5059" s="1508"/>
      <c r="L5059" s="1508"/>
      <c r="M5059" s="1509">
        <f t="shared" si="777"/>
        <v>0</v>
      </c>
      <c r="N5059" s="1508">
        <f t="shared" si="778"/>
        <v>0</v>
      </c>
    </row>
    <row r="5060" spans="1:14" ht="15.5" outlineLevel="1" x14ac:dyDescent="0.25">
      <c r="A5060" s="1492">
        <f t="shared" si="780"/>
        <v>0</v>
      </c>
      <c r="B5060" s="1492" t="str">
        <f t="shared" si="780"/>
        <v>Replacement of complete internals of ESP U#3&amp;4</v>
      </c>
      <c r="C5060" s="1488">
        <f t="shared" si="780"/>
        <v>0</v>
      </c>
      <c r="D5060" s="1413" t="str">
        <f t="shared" si="780"/>
        <v>-</v>
      </c>
      <c r="E5060" s="560">
        <f t="shared" si="780"/>
        <v>20</v>
      </c>
      <c r="F5060" s="1508">
        <f t="shared" si="774"/>
        <v>20</v>
      </c>
      <c r="G5060" s="1508">
        <f t="shared" si="775"/>
        <v>20</v>
      </c>
      <c r="H5060" s="1508">
        <f t="shared" si="776"/>
        <v>0</v>
      </c>
      <c r="I5060" s="1480">
        <v>0</v>
      </c>
      <c r="J5060" s="1480">
        <v>0</v>
      </c>
      <c r="K5060" s="1508"/>
      <c r="L5060" s="1508"/>
      <c r="M5060" s="1509">
        <f t="shared" si="777"/>
        <v>0</v>
      </c>
      <c r="N5060" s="1508">
        <f t="shared" si="778"/>
        <v>0</v>
      </c>
    </row>
    <row r="5061" spans="1:14" ht="15.5" outlineLevel="1" x14ac:dyDescent="0.25">
      <c r="A5061" s="1492">
        <f t="shared" si="780"/>
        <v>0</v>
      </c>
      <c r="B5061" s="1492" t="str">
        <f t="shared" si="780"/>
        <v xml:space="preserve">Procurement &amp; replacement of CRH coil assemblies in U#3 </v>
      </c>
      <c r="C5061" s="1488">
        <f t="shared" si="780"/>
        <v>0</v>
      </c>
      <c r="D5061" s="1413" t="str">
        <f t="shared" si="780"/>
        <v>-</v>
      </c>
      <c r="E5061" s="560">
        <f t="shared" si="780"/>
        <v>25</v>
      </c>
      <c r="F5061" s="1508">
        <f t="shared" si="774"/>
        <v>25</v>
      </c>
      <c r="G5061" s="1508">
        <f t="shared" si="775"/>
        <v>25</v>
      </c>
      <c r="H5061" s="1508">
        <f t="shared" si="776"/>
        <v>0</v>
      </c>
      <c r="I5061" s="1480">
        <v>0</v>
      </c>
      <c r="J5061" s="1480">
        <v>0</v>
      </c>
      <c r="K5061" s="1508"/>
      <c r="L5061" s="1508"/>
      <c r="M5061" s="1509">
        <f t="shared" si="777"/>
        <v>0</v>
      </c>
      <c r="N5061" s="1508">
        <f t="shared" si="778"/>
        <v>0</v>
      </c>
    </row>
    <row r="5062" spans="1:14" ht="31" outlineLevel="1" x14ac:dyDescent="0.25">
      <c r="A5062" s="1486">
        <f t="shared" si="780"/>
        <v>4</v>
      </c>
      <c r="B5062" s="1491" t="str">
        <f t="shared" si="780"/>
        <v>Procurement &amp; replacement of LTSH &amp; Economiser coil assemblies in U#3</v>
      </c>
      <c r="C5062" s="1488">
        <f t="shared" si="780"/>
        <v>0</v>
      </c>
      <c r="D5062" s="1413" t="str">
        <f t="shared" si="780"/>
        <v>-</v>
      </c>
      <c r="E5062" s="560">
        <f t="shared" si="780"/>
        <v>30</v>
      </c>
      <c r="F5062" s="1508">
        <f t="shared" si="774"/>
        <v>0</v>
      </c>
      <c r="G5062" s="1508">
        <f t="shared" si="775"/>
        <v>0</v>
      </c>
      <c r="H5062" s="1508">
        <f t="shared" si="776"/>
        <v>0</v>
      </c>
      <c r="I5062" s="1480">
        <v>0</v>
      </c>
      <c r="J5062" s="1480">
        <v>0</v>
      </c>
      <c r="K5062" s="1508"/>
      <c r="L5062" s="1508"/>
      <c r="M5062" s="1509">
        <f t="shared" si="777"/>
        <v>0</v>
      </c>
      <c r="N5062" s="1508">
        <f t="shared" si="778"/>
        <v>0</v>
      </c>
    </row>
    <row r="5063" spans="1:14" ht="31" outlineLevel="1" x14ac:dyDescent="0.25">
      <c r="A5063" s="1492">
        <f t="shared" si="780"/>
        <v>0</v>
      </c>
      <c r="B5063" s="1492" t="str">
        <f t="shared" si="780"/>
        <v>Procurement &amp; replacement of LTSH &amp; Economiser coil assemblies in U#3</v>
      </c>
      <c r="C5063" s="1488">
        <f t="shared" si="780"/>
        <v>0</v>
      </c>
      <c r="D5063" s="1413" t="str">
        <f t="shared" si="780"/>
        <v>-</v>
      </c>
      <c r="E5063" s="560">
        <f t="shared" si="780"/>
        <v>30</v>
      </c>
      <c r="F5063" s="1508">
        <f t="shared" si="774"/>
        <v>30</v>
      </c>
      <c r="G5063" s="1508">
        <f t="shared" si="775"/>
        <v>30</v>
      </c>
      <c r="H5063" s="1508">
        <f t="shared" si="776"/>
        <v>0</v>
      </c>
      <c r="I5063" s="1480">
        <v>0</v>
      </c>
      <c r="J5063" s="1480">
        <v>0</v>
      </c>
      <c r="K5063" s="1508"/>
      <c r="L5063" s="1508"/>
      <c r="M5063" s="1509">
        <f t="shared" si="777"/>
        <v>0</v>
      </c>
      <c r="N5063" s="1508">
        <f t="shared" si="778"/>
        <v>0</v>
      </c>
    </row>
    <row r="5064" spans="1:14" ht="15.5" outlineLevel="1" x14ac:dyDescent="0.25">
      <c r="A5064" s="1504">
        <f t="shared" si="780"/>
        <v>0</v>
      </c>
      <c r="B5064" s="1504" t="str">
        <f t="shared" si="780"/>
        <v>Turbine Maintenance-I</v>
      </c>
      <c r="C5064" s="1488">
        <f t="shared" si="780"/>
        <v>0</v>
      </c>
      <c r="D5064" s="1413" t="str">
        <f t="shared" si="780"/>
        <v>-</v>
      </c>
      <c r="E5064" s="560">
        <f t="shared" si="780"/>
        <v>0</v>
      </c>
      <c r="F5064" s="1508">
        <f t="shared" si="774"/>
        <v>0</v>
      </c>
      <c r="G5064" s="1508">
        <f t="shared" si="775"/>
        <v>0</v>
      </c>
      <c r="H5064" s="1508">
        <f t="shared" si="776"/>
        <v>0</v>
      </c>
      <c r="I5064" s="1480">
        <v>0</v>
      </c>
      <c r="J5064" s="1480">
        <v>0</v>
      </c>
      <c r="K5064" s="1508"/>
      <c r="L5064" s="1508"/>
      <c r="M5064" s="1509">
        <f t="shared" si="777"/>
        <v>0</v>
      </c>
      <c r="N5064" s="1508">
        <f t="shared" si="778"/>
        <v>0</v>
      </c>
    </row>
    <row r="5065" spans="1:14" ht="31" outlineLevel="1" x14ac:dyDescent="0.25">
      <c r="A5065" s="1486">
        <f t="shared" si="780"/>
        <v>1</v>
      </c>
      <c r="B5065" s="1491" t="str">
        <f t="shared" si="780"/>
        <v>DPR for Vaccuum system improvement and procurment of BFP cartridge</v>
      </c>
      <c r="C5065" s="1488">
        <f t="shared" si="780"/>
        <v>0</v>
      </c>
      <c r="D5065" s="1413" t="str">
        <f t="shared" si="780"/>
        <v>-</v>
      </c>
      <c r="E5065" s="560">
        <f t="shared" si="780"/>
        <v>35</v>
      </c>
      <c r="F5065" s="1508">
        <f t="shared" si="774"/>
        <v>0</v>
      </c>
      <c r="G5065" s="1508">
        <f t="shared" si="775"/>
        <v>0</v>
      </c>
      <c r="H5065" s="1508">
        <f t="shared" si="776"/>
        <v>0</v>
      </c>
      <c r="I5065" s="1480">
        <v>0</v>
      </c>
      <c r="J5065" s="1480">
        <v>0</v>
      </c>
      <c r="K5065" s="1508"/>
      <c r="L5065" s="1508"/>
      <c r="M5065" s="1509">
        <f t="shared" si="777"/>
        <v>0</v>
      </c>
      <c r="N5065" s="1508">
        <f t="shared" si="778"/>
        <v>0</v>
      </c>
    </row>
    <row r="5066" spans="1:14" ht="15.5" outlineLevel="1" x14ac:dyDescent="0.25">
      <c r="A5066" s="1492">
        <f t="shared" si="780"/>
        <v>0</v>
      </c>
      <c r="B5066" s="1492" t="str">
        <f t="shared" si="780"/>
        <v>Condenser vaccuum system improvement</v>
      </c>
      <c r="C5066" s="1488">
        <f t="shared" si="780"/>
        <v>0</v>
      </c>
      <c r="D5066" s="1413" t="str">
        <f t="shared" si="780"/>
        <v>-</v>
      </c>
      <c r="E5066" s="560">
        <f t="shared" si="780"/>
        <v>16</v>
      </c>
      <c r="F5066" s="1508">
        <f t="shared" si="774"/>
        <v>16</v>
      </c>
      <c r="G5066" s="1508">
        <f t="shared" si="775"/>
        <v>16</v>
      </c>
      <c r="H5066" s="1508">
        <f t="shared" si="776"/>
        <v>0</v>
      </c>
      <c r="I5066" s="1480">
        <v>0</v>
      </c>
      <c r="J5066" s="1480">
        <v>0</v>
      </c>
      <c r="K5066" s="1508"/>
      <c r="L5066" s="1508"/>
      <c r="M5066" s="1509">
        <f t="shared" si="777"/>
        <v>0</v>
      </c>
      <c r="N5066" s="1508">
        <f t="shared" si="778"/>
        <v>0</v>
      </c>
    </row>
    <row r="5067" spans="1:14" ht="31" outlineLevel="1" x14ac:dyDescent="0.25">
      <c r="A5067" s="1492">
        <f t="shared" si="780"/>
        <v>0</v>
      </c>
      <c r="B5067" s="1492" t="str">
        <f t="shared" si="780"/>
        <v>Procurement of BFP main pump cartridges for 200 KHI/s BHEL pump &amp; Procurment of Voith Hydraulic Coupling R17K for BFP</v>
      </c>
      <c r="C5067" s="1488">
        <f t="shared" si="780"/>
        <v>0</v>
      </c>
      <c r="D5067" s="1413" t="str">
        <f t="shared" si="780"/>
        <v>-</v>
      </c>
      <c r="E5067" s="560">
        <f t="shared" si="780"/>
        <v>19</v>
      </c>
      <c r="F5067" s="1508">
        <f t="shared" si="774"/>
        <v>19</v>
      </c>
      <c r="G5067" s="1508">
        <f t="shared" si="775"/>
        <v>19</v>
      </c>
      <c r="H5067" s="1508">
        <f t="shared" si="776"/>
        <v>0</v>
      </c>
      <c r="I5067" s="1480">
        <v>0</v>
      </c>
      <c r="J5067" s="1480">
        <v>0</v>
      </c>
      <c r="K5067" s="1508"/>
      <c r="L5067" s="1508"/>
      <c r="M5067" s="1509">
        <f t="shared" si="777"/>
        <v>0</v>
      </c>
      <c r="N5067" s="1508">
        <f t="shared" si="778"/>
        <v>0</v>
      </c>
    </row>
    <row r="5068" spans="1:14" ht="15.5" outlineLevel="1" x14ac:dyDescent="0.25">
      <c r="A5068" s="1486">
        <f t="shared" ref="A5068:E5083" si="781">A4398</f>
        <v>2</v>
      </c>
      <c r="B5068" s="1491" t="str">
        <f t="shared" si="781"/>
        <v>WTP-I improvement schemes</v>
      </c>
      <c r="C5068" s="1488">
        <f t="shared" si="781"/>
        <v>0</v>
      </c>
      <c r="D5068" s="1413" t="str">
        <f t="shared" si="781"/>
        <v>-</v>
      </c>
      <c r="E5068" s="560">
        <f t="shared" si="781"/>
        <v>26</v>
      </c>
      <c r="F5068" s="1508">
        <f t="shared" si="774"/>
        <v>0</v>
      </c>
      <c r="G5068" s="1508">
        <f t="shared" si="775"/>
        <v>0</v>
      </c>
      <c r="H5068" s="1508">
        <f t="shared" si="776"/>
        <v>0</v>
      </c>
      <c r="I5068" s="1480">
        <v>0</v>
      </c>
      <c r="J5068" s="1480">
        <v>0</v>
      </c>
      <c r="K5068" s="1508"/>
      <c r="L5068" s="1508"/>
      <c r="M5068" s="1509">
        <f t="shared" si="777"/>
        <v>0</v>
      </c>
      <c r="N5068" s="1508">
        <f t="shared" si="778"/>
        <v>0</v>
      </c>
    </row>
    <row r="5069" spans="1:14" ht="46.5" outlineLevel="1" x14ac:dyDescent="0.25">
      <c r="A5069" s="1492">
        <f t="shared" si="781"/>
        <v>0</v>
      </c>
      <c r="B5069" s="1492" t="str">
        <f t="shared" si="781"/>
        <v>Replacement of instrument air an service air compressors in Unit 3 &amp; 4, WTP-I with screw type compressors including refrigerant type air dryer system</v>
      </c>
      <c r="C5069" s="1488">
        <f t="shared" si="781"/>
        <v>0</v>
      </c>
      <c r="D5069" s="1413" t="str">
        <f t="shared" si="781"/>
        <v>-</v>
      </c>
      <c r="E5069" s="560">
        <f t="shared" si="781"/>
        <v>6</v>
      </c>
      <c r="F5069" s="1508">
        <f t="shared" si="774"/>
        <v>6</v>
      </c>
      <c r="G5069" s="1508">
        <f t="shared" si="775"/>
        <v>6</v>
      </c>
      <c r="H5069" s="1508">
        <f t="shared" si="776"/>
        <v>0</v>
      </c>
      <c r="I5069" s="1480">
        <v>0</v>
      </c>
      <c r="J5069" s="1480">
        <v>0</v>
      </c>
      <c r="K5069" s="1508"/>
      <c r="L5069" s="1508"/>
      <c r="M5069" s="1509">
        <f t="shared" si="777"/>
        <v>0</v>
      </c>
      <c r="N5069" s="1508">
        <f t="shared" si="778"/>
        <v>0</v>
      </c>
    </row>
    <row r="5070" spans="1:14" ht="31" outlineLevel="1" x14ac:dyDescent="0.25">
      <c r="A5070" s="1492">
        <f t="shared" si="781"/>
        <v>0</v>
      </c>
      <c r="B5070" s="1492" t="str">
        <f t="shared" si="781"/>
        <v>Refurbishment of hydrogen compressors at Hydrogen plant WTP-I</v>
      </c>
      <c r="C5070" s="1488">
        <f t="shared" si="781"/>
        <v>0</v>
      </c>
      <c r="D5070" s="1413" t="str">
        <f t="shared" si="781"/>
        <v>-</v>
      </c>
      <c r="E5070" s="560">
        <f t="shared" si="781"/>
        <v>10</v>
      </c>
      <c r="F5070" s="1508">
        <f t="shared" si="774"/>
        <v>10</v>
      </c>
      <c r="G5070" s="1508">
        <f t="shared" si="775"/>
        <v>10</v>
      </c>
      <c r="H5070" s="1508">
        <f t="shared" si="776"/>
        <v>0</v>
      </c>
      <c r="I5070" s="1480">
        <v>0</v>
      </c>
      <c r="J5070" s="1480">
        <v>0</v>
      </c>
      <c r="K5070" s="1508"/>
      <c r="L5070" s="1508"/>
      <c r="M5070" s="1509">
        <f t="shared" si="777"/>
        <v>0</v>
      </c>
      <c r="N5070" s="1508">
        <f t="shared" si="778"/>
        <v>0</v>
      </c>
    </row>
    <row r="5071" spans="1:14" ht="15.5" outlineLevel="1" x14ac:dyDescent="0.25">
      <c r="A5071" s="1492">
        <f t="shared" si="781"/>
        <v>0</v>
      </c>
      <c r="B5071" s="1492" t="str">
        <f t="shared" si="781"/>
        <v>Replacement of Circulating water pumps in Unit 3 &amp; 4</v>
      </c>
      <c r="C5071" s="1488">
        <f t="shared" si="781"/>
        <v>0</v>
      </c>
      <c r="D5071" s="1413" t="str">
        <f t="shared" si="781"/>
        <v>-</v>
      </c>
      <c r="E5071" s="560">
        <f t="shared" si="781"/>
        <v>10</v>
      </c>
      <c r="F5071" s="1508">
        <f t="shared" si="774"/>
        <v>10</v>
      </c>
      <c r="G5071" s="1508">
        <f t="shared" si="775"/>
        <v>10</v>
      </c>
      <c r="H5071" s="1508">
        <f t="shared" si="776"/>
        <v>0</v>
      </c>
      <c r="I5071" s="1480">
        <v>0</v>
      </c>
      <c r="J5071" s="1480">
        <v>0</v>
      </c>
      <c r="K5071" s="1508"/>
      <c r="L5071" s="1508"/>
      <c r="M5071" s="1509">
        <f t="shared" si="777"/>
        <v>0</v>
      </c>
      <c r="N5071" s="1508">
        <f t="shared" si="778"/>
        <v>0</v>
      </c>
    </row>
    <row r="5072" spans="1:14" ht="15.5" outlineLevel="1" x14ac:dyDescent="0.25">
      <c r="A5072" s="1486">
        <f t="shared" si="781"/>
        <v>3</v>
      </c>
      <c r="B5072" s="1491" t="str">
        <f t="shared" si="781"/>
        <v>Procurment of HP valves, CEP Cartridge, GS pump</v>
      </c>
      <c r="C5072" s="1488">
        <f t="shared" si="781"/>
        <v>0</v>
      </c>
      <c r="D5072" s="1413" t="str">
        <f t="shared" si="781"/>
        <v>-</v>
      </c>
      <c r="E5072" s="560">
        <f t="shared" si="781"/>
        <v>25</v>
      </c>
      <c r="F5072" s="1508">
        <f t="shared" si="774"/>
        <v>0</v>
      </c>
      <c r="G5072" s="1508">
        <f t="shared" si="775"/>
        <v>0</v>
      </c>
      <c r="H5072" s="1508">
        <f t="shared" si="776"/>
        <v>0</v>
      </c>
      <c r="I5072" s="1480">
        <v>0</v>
      </c>
      <c r="J5072" s="1480">
        <v>0</v>
      </c>
      <c r="K5072" s="1508"/>
      <c r="L5072" s="1508"/>
      <c r="M5072" s="1509">
        <f t="shared" si="777"/>
        <v>0</v>
      </c>
      <c r="N5072" s="1508">
        <f t="shared" si="778"/>
        <v>0</v>
      </c>
    </row>
    <row r="5073" spans="1:14" ht="15.5" outlineLevel="1" x14ac:dyDescent="0.25">
      <c r="A5073" s="1492">
        <f t="shared" si="781"/>
        <v>0</v>
      </c>
      <c r="B5073" s="1492" t="str">
        <f t="shared" si="781"/>
        <v>Procurement of HP valves for Unit 3 &amp; 4</v>
      </c>
      <c r="C5073" s="1488">
        <f t="shared" si="781"/>
        <v>0</v>
      </c>
      <c r="D5073" s="1413" t="str">
        <f t="shared" si="781"/>
        <v>-</v>
      </c>
      <c r="E5073" s="560">
        <f t="shared" si="781"/>
        <v>15</v>
      </c>
      <c r="F5073" s="1508">
        <f t="shared" si="774"/>
        <v>15</v>
      </c>
      <c r="G5073" s="1508">
        <f t="shared" si="775"/>
        <v>15</v>
      </c>
      <c r="H5073" s="1508">
        <f t="shared" si="776"/>
        <v>0</v>
      </c>
      <c r="I5073" s="1480">
        <v>0</v>
      </c>
      <c r="J5073" s="1480">
        <v>0</v>
      </c>
      <c r="K5073" s="1508"/>
      <c r="L5073" s="1508"/>
      <c r="M5073" s="1509">
        <f t="shared" si="777"/>
        <v>0</v>
      </c>
      <c r="N5073" s="1508">
        <f t="shared" si="778"/>
        <v>0</v>
      </c>
    </row>
    <row r="5074" spans="1:14" ht="31" outlineLevel="1" x14ac:dyDescent="0.25">
      <c r="A5074" s="1492">
        <f t="shared" si="781"/>
        <v>0</v>
      </c>
      <c r="B5074" s="1492" t="str">
        <f t="shared" si="781"/>
        <v>Procurement cartridges for Condensate extraction pump ( Make KSB WKT 150/7)</v>
      </c>
      <c r="C5074" s="1488">
        <f t="shared" si="781"/>
        <v>0</v>
      </c>
      <c r="D5074" s="1413" t="str">
        <f t="shared" si="781"/>
        <v>-</v>
      </c>
      <c r="E5074" s="560">
        <f t="shared" si="781"/>
        <v>5</v>
      </c>
      <c r="F5074" s="1508">
        <f t="shared" si="774"/>
        <v>5</v>
      </c>
      <c r="G5074" s="1508">
        <f t="shared" si="775"/>
        <v>5</v>
      </c>
      <c r="H5074" s="1508">
        <f t="shared" si="776"/>
        <v>0</v>
      </c>
      <c r="I5074" s="1480">
        <v>0</v>
      </c>
      <c r="J5074" s="1480">
        <v>0</v>
      </c>
      <c r="K5074" s="1508"/>
      <c r="L5074" s="1508"/>
      <c r="M5074" s="1509">
        <f t="shared" si="777"/>
        <v>0</v>
      </c>
      <c r="N5074" s="1508">
        <f t="shared" si="778"/>
        <v>0</v>
      </c>
    </row>
    <row r="5075" spans="1:14" ht="31" outlineLevel="1" x14ac:dyDescent="0.25">
      <c r="A5075" s="1492">
        <f t="shared" si="781"/>
        <v>0</v>
      </c>
      <c r="B5075" s="1492" t="str">
        <f t="shared" si="781"/>
        <v>Procurement of WPIL make GS pump JTC 24E with pipelines and valves for Unit 3 &amp; 4</v>
      </c>
      <c r="C5075" s="1488">
        <f t="shared" si="781"/>
        <v>0</v>
      </c>
      <c r="D5075" s="1413" t="str">
        <f t="shared" si="781"/>
        <v>-</v>
      </c>
      <c r="E5075" s="560">
        <f t="shared" si="781"/>
        <v>5</v>
      </c>
      <c r="F5075" s="1508">
        <f t="shared" si="774"/>
        <v>5</v>
      </c>
      <c r="G5075" s="1508">
        <f t="shared" si="775"/>
        <v>5</v>
      </c>
      <c r="H5075" s="1508">
        <f t="shared" si="776"/>
        <v>0</v>
      </c>
      <c r="I5075" s="1480">
        <v>0</v>
      </c>
      <c r="J5075" s="1480">
        <v>0</v>
      </c>
      <c r="K5075" s="1508"/>
      <c r="L5075" s="1508"/>
      <c r="M5075" s="1509">
        <f t="shared" si="777"/>
        <v>0</v>
      </c>
      <c r="N5075" s="1508">
        <f t="shared" si="778"/>
        <v>0</v>
      </c>
    </row>
    <row r="5076" spans="1:14" ht="15.5" outlineLevel="1" x14ac:dyDescent="0.25">
      <c r="A5076" s="1504">
        <f t="shared" si="781"/>
        <v>0</v>
      </c>
      <c r="B5076" s="1504" t="str">
        <f t="shared" si="781"/>
        <v>Electrical maintenance -I</v>
      </c>
      <c r="C5076" s="1488">
        <f t="shared" si="781"/>
        <v>0</v>
      </c>
      <c r="D5076" s="1413" t="str">
        <f t="shared" si="781"/>
        <v>-</v>
      </c>
      <c r="E5076" s="560">
        <f t="shared" si="781"/>
        <v>0</v>
      </c>
      <c r="F5076" s="1508">
        <f t="shared" si="774"/>
        <v>0</v>
      </c>
      <c r="G5076" s="1508">
        <f t="shared" si="775"/>
        <v>0</v>
      </c>
      <c r="H5076" s="1508">
        <f t="shared" si="776"/>
        <v>0</v>
      </c>
      <c r="I5076" s="1480">
        <v>0</v>
      </c>
      <c r="J5076" s="1480">
        <v>0</v>
      </c>
      <c r="K5076" s="1508"/>
      <c r="L5076" s="1508"/>
      <c r="M5076" s="1509">
        <f t="shared" si="777"/>
        <v>0</v>
      </c>
      <c r="N5076" s="1508">
        <f t="shared" si="778"/>
        <v>0</v>
      </c>
    </row>
    <row r="5077" spans="1:14" ht="31" outlineLevel="1" x14ac:dyDescent="0.25">
      <c r="A5077" s="1486">
        <f t="shared" si="781"/>
        <v>1</v>
      </c>
      <c r="B5077" s="1491" t="str">
        <f t="shared" si="781"/>
        <v>DPR  for colony electrical renovation, switchgear, Energy meter, breaker</v>
      </c>
      <c r="C5077" s="1488">
        <f t="shared" si="781"/>
        <v>0</v>
      </c>
      <c r="D5077" s="1413" t="str">
        <f t="shared" si="781"/>
        <v>-</v>
      </c>
      <c r="E5077" s="560">
        <f t="shared" si="781"/>
        <v>47.3</v>
      </c>
      <c r="F5077" s="1508">
        <f t="shared" si="774"/>
        <v>0</v>
      </c>
      <c r="G5077" s="1508">
        <f t="shared" si="775"/>
        <v>0</v>
      </c>
      <c r="H5077" s="1508">
        <f t="shared" si="776"/>
        <v>0</v>
      </c>
      <c r="I5077" s="1480">
        <v>0</v>
      </c>
      <c r="J5077" s="1480">
        <v>0</v>
      </c>
      <c r="K5077" s="1508"/>
      <c r="L5077" s="1508"/>
      <c r="M5077" s="1509">
        <f t="shared" si="777"/>
        <v>0</v>
      </c>
      <c r="N5077" s="1508">
        <f t="shared" si="778"/>
        <v>0</v>
      </c>
    </row>
    <row r="5078" spans="1:14" ht="15.5" outlineLevel="1" x14ac:dyDescent="0.25">
      <c r="A5078" s="1492">
        <f t="shared" si="781"/>
        <v>0</v>
      </c>
      <c r="B5078" s="1492" t="str">
        <f t="shared" si="781"/>
        <v>Colony electrical renovation</v>
      </c>
      <c r="C5078" s="1488">
        <f t="shared" si="781"/>
        <v>0</v>
      </c>
      <c r="D5078" s="1413" t="str">
        <f t="shared" si="781"/>
        <v>-</v>
      </c>
      <c r="E5078" s="560">
        <f t="shared" si="781"/>
        <v>47.3</v>
      </c>
      <c r="F5078" s="1508">
        <f t="shared" si="774"/>
        <v>37.299999999999997</v>
      </c>
      <c r="G5078" s="1508">
        <f t="shared" si="775"/>
        <v>37.299999999999997</v>
      </c>
      <c r="H5078" s="1508">
        <f t="shared" si="776"/>
        <v>0</v>
      </c>
      <c r="I5078" s="1480">
        <v>10</v>
      </c>
      <c r="J5078" s="1480">
        <v>10</v>
      </c>
      <c r="K5078" s="1508"/>
      <c r="L5078" s="1508"/>
      <c r="M5078" s="1509">
        <f t="shared" si="777"/>
        <v>10</v>
      </c>
      <c r="N5078" s="1508">
        <f t="shared" si="778"/>
        <v>0</v>
      </c>
    </row>
    <row r="5079" spans="1:14" ht="31" outlineLevel="1" x14ac:dyDescent="0.25">
      <c r="A5079" s="1486">
        <f t="shared" si="781"/>
        <v>2</v>
      </c>
      <c r="B5079" s="1491" t="str">
        <f t="shared" si="781"/>
        <v>Electrification and illumination of perimeter wall CSTPS, Chandapur as per IB recomm</v>
      </c>
      <c r="C5079" s="1488">
        <f t="shared" si="781"/>
        <v>0</v>
      </c>
      <c r="D5079" s="1413" t="str">
        <f t="shared" si="781"/>
        <v>-</v>
      </c>
      <c r="E5079" s="560">
        <f t="shared" si="781"/>
        <v>25.679999999999996</v>
      </c>
      <c r="F5079" s="1508">
        <f t="shared" si="774"/>
        <v>0</v>
      </c>
      <c r="G5079" s="1508">
        <f t="shared" si="775"/>
        <v>0</v>
      </c>
      <c r="H5079" s="1508">
        <f t="shared" si="776"/>
        <v>0</v>
      </c>
      <c r="I5079" s="1480">
        <v>0</v>
      </c>
      <c r="J5079" s="1480">
        <v>0</v>
      </c>
      <c r="K5079" s="1508"/>
      <c r="L5079" s="1508"/>
      <c r="M5079" s="1509">
        <f t="shared" si="777"/>
        <v>0</v>
      </c>
      <c r="N5079" s="1508">
        <f t="shared" si="778"/>
        <v>0</v>
      </c>
    </row>
    <row r="5080" spans="1:14" ht="31" outlineLevel="1" x14ac:dyDescent="0.25">
      <c r="A5080" s="1492">
        <f t="shared" si="781"/>
        <v>0</v>
      </c>
      <c r="B5080" s="1492" t="str">
        <f t="shared" si="781"/>
        <v>Electrification and illumination of perimeter wall CSTPS, Chandapur</v>
      </c>
      <c r="C5080" s="1488">
        <f t="shared" si="781"/>
        <v>0</v>
      </c>
      <c r="D5080" s="1413" t="str">
        <f t="shared" si="781"/>
        <v>-</v>
      </c>
      <c r="E5080" s="560">
        <f t="shared" si="781"/>
        <v>12.52</v>
      </c>
      <c r="F5080" s="1508">
        <f t="shared" si="774"/>
        <v>12.52</v>
      </c>
      <c r="G5080" s="1508">
        <f t="shared" si="775"/>
        <v>12.52</v>
      </c>
      <c r="H5080" s="1508">
        <f t="shared" si="776"/>
        <v>0</v>
      </c>
      <c r="I5080" s="1480">
        <v>0</v>
      </c>
      <c r="J5080" s="1480">
        <v>0</v>
      </c>
      <c r="K5080" s="1508"/>
      <c r="L5080" s="1508"/>
      <c r="M5080" s="1509">
        <f t="shared" si="777"/>
        <v>0</v>
      </c>
      <c r="N5080" s="1508">
        <f t="shared" si="778"/>
        <v>0</v>
      </c>
    </row>
    <row r="5081" spans="1:14" ht="31" outlineLevel="1" x14ac:dyDescent="0.25">
      <c r="A5081" s="1492">
        <f t="shared" si="781"/>
        <v>0</v>
      </c>
      <c r="B5081" s="1492" t="str">
        <f t="shared" si="781"/>
        <v>Replacement of Distibution board, and switchgear at different areas of plant, colony, Dam</v>
      </c>
      <c r="C5081" s="1488">
        <f t="shared" si="781"/>
        <v>0</v>
      </c>
      <c r="D5081" s="1413" t="str">
        <f t="shared" si="781"/>
        <v>-</v>
      </c>
      <c r="E5081" s="560">
        <f t="shared" si="781"/>
        <v>12.35</v>
      </c>
      <c r="F5081" s="1508">
        <f t="shared" si="774"/>
        <v>12.35</v>
      </c>
      <c r="G5081" s="1508">
        <f t="shared" si="775"/>
        <v>12.35</v>
      </c>
      <c r="H5081" s="1508">
        <f t="shared" si="776"/>
        <v>0</v>
      </c>
      <c r="I5081" s="1480">
        <v>0</v>
      </c>
      <c r="J5081" s="1480">
        <v>0</v>
      </c>
      <c r="K5081" s="1508"/>
      <c r="L5081" s="1508"/>
      <c r="M5081" s="1509">
        <f t="shared" si="777"/>
        <v>0</v>
      </c>
      <c r="N5081" s="1508">
        <f t="shared" si="778"/>
        <v>0</v>
      </c>
    </row>
    <row r="5082" spans="1:14" ht="15.5" outlineLevel="1" x14ac:dyDescent="0.25">
      <c r="A5082" s="1492">
        <f t="shared" si="781"/>
        <v>0</v>
      </c>
      <c r="B5082" s="1492" t="str">
        <f t="shared" si="781"/>
        <v>Replacement of Energy meter</v>
      </c>
      <c r="C5082" s="1488">
        <f t="shared" si="781"/>
        <v>0</v>
      </c>
      <c r="D5082" s="1413" t="str">
        <f t="shared" si="781"/>
        <v>-</v>
      </c>
      <c r="E5082" s="560">
        <f t="shared" si="781"/>
        <v>0.81</v>
      </c>
      <c r="F5082" s="1508">
        <f t="shared" si="774"/>
        <v>0.81</v>
      </c>
      <c r="G5082" s="1508">
        <f t="shared" si="775"/>
        <v>0.81</v>
      </c>
      <c r="H5082" s="1508">
        <f t="shared" si="776"/>
        <v>0</v>
      </c>
      <c r="I5082" s="1480">
        <v>0</v>
      </c>
      <c r="J5082" s="1480">
        <v>0</v>
      </c>
      <c r="K5082" s="1508"/>
      <c r="L5082" s="1508"/>
      <c r="M5082" s="1509">
        <f t="shared" si="777"/>
        <v>0</v>
      </c>
      <c r="N5082" s="1508">
        <f t="shared" si="778"/>
        <v>0</v>
      </c>
    </row>
    <row r="5083" spans="1:14" ht="31" outlineLevel="1" x14ac:dyDescent="0.25">
      <c r="A5083" s="1486">
        <f t="shared" si="781"/>
        <v>3</v>
      </c>
      <c r="B5083" s="1491" t="str">
        <f t="shared" si="781"/>
        <v>Replacement of 400V, 220V, 50V, 26V batteries and its battery chargers at 210MW, Breakers, VFDs at compressor, Watch Tower</v>
      </c>
      <c r="C5083" s="1488">
        <f t="shared" si="781"/>
        <v>0</v>
      </c>
      <c r="D5083" s="1413" t="str">
        <f t="shared" si="781"/>
        <v>-</v>
      </c>
      <c r="E5083" s="560">
        <f t="shared" si="781"/>
        <v>29</v>
      </c>
      <c r="F5083" s="1508">
        <f t="shared" si="774"/>
        <v>0</v>
      </c>
      <c r="G5083" s="1508">
        <f t="shared" si="775"/>
        <v>0</v>
      </c>
      <c r="H5083" s="1508">
        <f t="shared" si="776"/>
        <v>0</v>
      </c>
      <c r="I5083" s="1480">
        <v>0</v>
      </c>
      <c r="J5083" s="1480">
        <v>0</v>
      </c>
      <c r="K5083" s="1508"/>
      <c r="L5083" s="1508"/>
      <c r="M5083" s="1509">
        <f t="shared" si="777"/>
        <v>0</v>
      </c>
      <c r="N5083" s="1508">
        <f t="shared" si="778"/>
        <v>0</v>
      </c>
    </row>
    <row r="5084" spans="1:14" ht="31" outlineLevel="1" x14ac:dyDescent="0.25">
      <c r="A5084" s="1492">
        <f t="shared" ref="A5084:E5099" si="782">A4414</f>
        <v>0</v>
      </c>
      <c r="B5084" s="1492" t="str">
        <f t="shared" si="782"/>
        <v>Replacement of 400V, 220V, 50V, 26V batteries and its battery chargers at 210MW, CSTPS.</v>
      </c>
      <c r="C5084" s="1488">
        <f t="shared" si="782"/>
        <v>0</v>
      </c>
      <c r="D5084" s="1413" t="str">
        <f t="shared" si="782"/>
        <v>-</v>
      </c>
      <c r="E5084" s="560">
        <f t="shared" si="782"/>
        <v>14</v>
      </c>
      <c r="F5084" s="1508">
        <f t="shared" ref="F5084:F5147" si="783">F4414+I4414</f>
        <v>14</v>
      </c>
      <c r="G5084" s="1508">
        <f t="shared" ref="G5084:G5147" si="784">G4414+M4414</f>
        <v>14</v>
      </c>
      <c r="H5084" s="1508">
        <f t="shared" si="776"/>
        <v>0</v>
      </c>
      <c r="I5084" s="1480">
        <v>0</v>
      </c>
      <c r="J5084" s="1480">
        <v>0</v>
      </c>
      <c r="K5084" s="1508"/>
      <c r="L5084" s="1508"/>
      <c r="M5084" s="1509">
        <f t="shared" si="777"/>
        <v>0</v>
      </c>
      <c r="N5084" s="1508">
        <f t="shared" si="778"/>
        <v>0</v>
      </c>
    </row>
    <row r="5085" spans="1:14" ht="15.5" outlineLevel="1" x14ac:dyDescent="0.25">
      <c r="A5085" s="1492">
        <f t="shared" si="782"/>
        <v>0</v>
      </c>
      <c r="B5085" s="1492" t="str">
        <f t="shared" si="782"/>
        <v>Retrofitting of Breakers</v>
      </c>
      <c r="C5085" s="1488">
        <f t="shared" si="782"/>
        <v>0</v>
      </c>
      <c r="D5085" s="1413" t="str">
        <f t="shared" si="782"/>
        <v>-</v>
      </c>
      <c r="E5085" s="560">
        <f t="shared" si="782"/>
        <v>6.8000000000000007</v>
      </c>
      <c r="F5085" s="1508">
        <f t="shared" si="783"/>
        <v>6.8000000000000007</v>
      </c>
      <c r="G5085" s="1508">
        <f t="shared" si="784"/>
        <v>6.8000000000000007</v>
      </c>
      <c r="H5085" s="1508">
        <f t="shared" si="776"/>
        <v>0</v>
      </c>
      <c r="I5085" s="1480">
        <v>0</v>
      </c>
      <c r="J5085" s="1480">
        <v>0</v>
      </c>
      <c r="K5085" s="1508"/>
      <c r="L5085" s="1508"/>
      <c r="M5085" s="1509">
        <f t="shared" si="777"/>
        <v>0</v>
      </c>
      <c r="N5085" s="1508">
        <f t="shared" si="778"/>
        <v>0</v>
      </c>
    </row>
    <row r="5086" spans="1:14" ht="31" outlineLevel="1" x14ac:dyDescent="0.25">
      <c r="A5086" s="1492">
        <f t="shared" si="782"/>
        <v>0</v>
      </c>
      <c r="B5086" s="1492" t="str">
        <f t="shared" si="782"/>
        <v>supply, installation and commissioning of VFDs at compressor and of soft starters  for clear water pump  at 210MW, CSTPS.</v>
      </c>
      <c r="C5086" s="1488">
        <f t="shared" si="782"/>
        <v>0</v>
      </c>
      <c r="D5086" s="1413" t="str">
        <f t="shared" si="782"/>
        <v>-</v>
      </c>
      <c r="E5086" s="560">
        <f t="shared" si="782"/>
        <v>1.8</v>
      </c>
      <c r="F5086" s="1508">
        <f t="shared" si="783"/>
        <v>1.8</v>
      </c>
      <c r="G5086" s="1508">
        <f t="shared" si="784"/>
        <v>1.8</v>
      </c>
      <c r="H5086" s="1508">
        <f t="shared" si="776"/>
        <v>0</v>
      </c>
      <c r="I5086" s="1480">
        <v>0</v>
      </c>
      <c r="J5086" s="1480">
        <v>0</v>
      </c>
      <c r="K5086" s="1508"/>
      <c r="L5086" s="1508"/>
      <c r="M5086" s="1509">
        <f t="shared" si="777"/>
        <v>0</v>
      </c>
      <c r="N5086" s="1508">
        <f t="shared" si="778"/>
        <v>0</v>
      </c>
    </row>
    <row r="5087" spans="1:14" ht="31" outlineLevel="1" x14ac:dyDescent="0.25">
      <c r="A5087" s="1492">
        <f t="shared" si="782"/>
        <v>0</v>
      </c>
      <c r="B5087" s="1492" t="str">
        <f t="shared" si="782"/>
        <v>Construction of Watch Tower along periphery compound wall as per IB recommendation at CSTPS, Chandrapur</v>
      </c>
      <c r="C5087" s="166">
        <f t="shared" si="782"/>
        <v>0</v>
      </c>
      <c r="D5087" s="1413" t="str">
        <f t="shared" si="782"/>
        <v>-</v>
      </c>
      <c r="E5087" s="560">
        <f t="shared" si="782"/>
        <v>6.4</v>
      </c>
      <c r="F5087" s="1508">
        <f t="shared" si="783"/>
        <v>6.4</v>
      </c>
      <c r="G5087" s="1508">
        <f t="shared" si="784"/>
        <v>6.4</v>
      </c>
      <c r="H5087" s="1508">
        <f t="shared" si="776"/>
        <v>0</v>
      </c>
      <c r="I5087" s="1480">
        <v>0</v>
      </c>
      <c r="J5087" s="1480">
        <v>0</v>
      </c>
      <c r="K5087" s="1508"/>
      <c r="L5087" s="1508"/>
      <c r="M5087" s="1509">
        <f t="shared" si="777"/>
        <v>0</v>
      </c>
      <c r="N5087" s="1508">
        <f t="shared" si="778"/>
        <v>0</v>
      </c>
    </row>
    <row r="5088" spans="1:14" ht="15.5" outlineLevel="1" x14ac:dyDescent="0.25">
      <c r="A5088" s="1504">
        <f t="shared" si="782"/>
        <v>0</v>
      </c>
      <c r="B5088" s="1504" t="str">
        <f t="shared" si="782"/>
        <v>TIC</v>
      </c>
      <c r="C5088" s="1488">
        <f t="shared" si="782"/>
        <v>0</v>
      </c>
      <c r="D5088" s="1413" t="str">
        <f t="shared" si="782"/>
        <v>-</v>
      </c>
      <c r="E5088" s="560">
        <f t="shared" si="782"/>
        <v>0</v>
      </c>
      <c r="F5088" s="1508">
        <f t="shared" si="783"/>
        <v>0</v>
      </c>
      <c r="G5088" s="1508">
        <f t="shared" si="784"/>
        <v>0</v>
      </c>
      <c r="H5088" s="1508">
        <f t="shared" si="776"/>
        <v>0</v>
      </c>
      <c r="I5088" s="1480">
        <v>0</v>
      </c>
      <c r="J5088" s="1480">
        <v>0</v>
      </c>
      <c r="K5088" s="1508"/>
      <c r="L5088" s="1508"/>
      <c r="M5088" s="1509">
        <f t="shared" si="777"/>
        <v>0</v>
      </c>
      <c r="N5088" s="1508">
        <f t="shared" si="778"/>
        <v>0</v>
      </c>
    </row>
    <row r="5089" spans="1:14" ht="62" outlineLevel="1" x14ac:dyDescent="0.25">
      <c r="A5089" s="1486">
        <f t="shared" si="782"/>
        <v>1</v>
      </c>
      <c r="B5089" s="1491" t="str">
        <f t="shared" si="782"/>
        <v xml:space="preserve">Up-gradation of complete Instrumentation System including  FSSS System , Soot Blower System, Station C &amp;I System ,Turbine protection system, Turbovisory, HP/LP and PRDS at CSTPS Unit # 3&amp;4 (210 MW) </v>
      </c>
      <c r="C5089" s="1488">
        <f t="shared" si="782"/>
        <v>0</v>
      </c>
      <c r="D5089" s="1413" t="str">
        <f t="shared" si="782"/>
        <v>-</v>
      </c>
      <c r="E5089" s="560">
        <f t="shared" si="782"/>
        <v>48.607999999999997</v>
      </c>
      <c r="F5089" s="1508">
        <f t="shared" si="783"/>
        <v>0</v>
      </c>
      <c r="G5089" s="1508">
        <f t="shared" si="784"/>
        <v>0</v>
      </c>
      <c r="H5089" s="1508">
        <f t="shared" si="776"/>
        <v>0</v>
      </c>
      <c r="I5089" s="1480">
        <v>0</v>
      </c>
      <c r="J5089" s="1480">
        <v>0</v>
      </c>
      <c r="K5089" s="1508"/>
      <c r="L5089" s="1508"/>
      <c r="M5089" s="1509">
        <f t="shared" si="777"/>
        <v>0</v>
      </c>
      <c r="N5089" s="1508">
        <f t="shared" si="778"/>
        <v>0</v>
      </c>
    </row>
    <row r="5090" spans="1:14" ht="62" outlineLevel="1" x14ac:dyDescent="0.25">
      <c r="A5090" s="1492">
        <f t="shared" si="782"/>
        <v>0</v>
      </c>
      <c r="B5090" s="1492" t="str">
        <f t="shared" si="782"/>
        <v>Up-gradation of complete Instrumentation System including  FSSS System , Soot Blower System, Station C &amp;I System ,Turbine protection system, Turbovisory, HP/LP and PRDS at CSTPS Unit # 3&amp;4 (210 MW)</v>
      </c>
      <c r="C5090" s="1488">
        <f t="shared" si="782"/>
        <v>0</v>
      </c>
      <c r="D5090" s="1413" t="str">
        <f t="shared" si="782"/>
        <v>-</v>
      </c>
      <c r="E5090" s="560">
        <f t="shared" si="782"/>
        <v>48.607999999999997</v>
      </c>
      <c r="F5090" s="1508">
        <f t="shared" si="783"/>
        <v>48.607999999999997</v>
      </c>
      <c r="G5090" s="1508">
        <f t="shared" si="784"/>
        <v>48.607999999999997</v>
      </c>
      <c r="H5090" s="1508">
        <f t="shared" si="776"/>
        <v>0</v>
      </c>
      <c r="I5090" s="1480">
        <v>0</v>
      </c>
      <c r="J5090" s="1480">
        <v>0</v>
      </c>
      <c r="K5090" s="1508"/>
      <c r="L5090" s="1508"/>
      <c r="M5090" s="1509">
        <f t="shared" si="777"/>
        <v>0</v>
      </c>
      <c r="N5090" s="1508">
        <f t="shared" si="778"/>
        <v>0</v>
      </c>
    </row>
    <row r="5091" spans="1:14" ht="62" outlineLevel="1" x14ac:dyDescent="0.25">
      <c r="A5091" s="1486">
        <f t="shared" si="782"/>
        <v>2</v>
      </c>
      <c r="B5091" s="1491" t="str">
        <f t="shared" si="782"/>
        <v>Retrofitting/Upgradation of critical control loops by multiloop programmable controllers at Unit #3 &amp; 4, Upgradation of old ACS, PLC, SCADA WTP, FBTS, WTP measuring and instrumentation &amp; other WTP improvement schemes</v>
      </c>
      <c r="C5091" s="1488">
        <f t="shared" si="782"/>
        <v>0</v>
      </c>
      <c r="D5091" s="1413" t="str">
        <f t="shared" si="782"/>
        <v>-</v>
      </c>
      <c r="E5091" s="560">
        <f t="shared" si="782"/>
        <v>25.39</v>
      </c>
      <c r="F5091" s="1508">
        <f t="shared" si="783"/>
        <v>0</v>
      </c>
      <c r="G5091" s="1508">
        <f t="shared" si="784"/>
        <v>0</v>
      </c>
      <c r="H5091" s="1508">
        <f t="shared" si="776"/>
        <v>0</v>
      </c>
      <c r="I5091" s="1480">
        <v>0</v>
      </c>
      <c r="J5091" s="1480">
        <v>0</v>
      </c>
      <c r="K5091" s="1508"/>
      <c r="L5091" s="1508"/>
      <c r="M5091" s="1509">
        <f t="shared" si="777"/>
        <v>0</v>
      </c>
      <c r="N5091" s="1508">
        <f t="shared" si="778"/>
        <v>0</v>
      </c>
    </row>
    <row r="5092" spans="1:14" ht="31" outlineLevel="1" x14ac:dyDescent="0.25">
      <c r="A5092" s="1492">
        <f t="shared" si="782"/>
        <v>0</v>
      </c>
      <c r="B5092" s="1492" t="str">
        <f t="shared" si="782"/>
        <v>Retrofitting/Upgradation of critical control loops by multiloop programmable controllers at Unit #3 &amp; 4 CSTPS,Chandrapur.</v>
      </c>
      <c r="C5092" s="1488">
        <f t="shared" si="782"/>
        <v>0</v>
      </c>
      <c r="D5092" s="1413" t="str">
        <f t="shared" si="782"/>
        <v>-</v>
      </c>
      <c r="E5092" s="560">
        <f t="shared" si="782"/>
        <v>6</v>
      </c>
      <c r="F5092" s="1508">
        <f t="shared" si="783"/>
        <v>3</v>
      </c>
      <c r="G5092" s="1508">
        <f t="shared" si="784"/>
        <v>3</v>
      </c>
      <c r="H5092" s="1508">
        <f t="shared" si="776"/>
        <v>0</v>
      </c>
      <c r="I5092" s="1480">
        <v>3</v>
      </c>
      <c r="J5092" s="1480">
        <v>3</v>
      </c>
      <c r="K5092" s="1508"/>
      <c r="L5092" s="1508"/>
      <c r="M5092" s="1509">
        <f t="shared" si="777"/>
        <v>3</v>
      </c>
      <c r="N5092" s="1508">
        <f t="shared" si="778"/>
        <v>0</v>
      </c>
    </row>
    <row r="5093" spans="1:14" ht="31" outlineLevel="1" x14ac:dyDescent="0.25">
      <c r="A5093" s="1492">
        <f t="shared" si="782"/>
        <v>0</v>
      </c>
      <c r="B5093" s="1492" t="str">
        <f t="shared" si="782"/>
        <v>Upgradation of Old control system with PLC and SCADA at WTP  Stg-I of U# 3,4, 8 and 9, CSTPS, Chandrapur.</v>
      </c>
      <c r="C5093" s="1488">
        <f t="shared" si="782"/>
        <v>0</v>
      </c>
      <c r="D5093" s="1413" t="str">
        <f t="shared" si="782"/>
        <v>-</v>
      </c>
      <c r="E5093" s="560">
        <f t="shared" si="782"/>
        <v>3.89</v>
      </c>
      <c r="F5093" s="1508">
        <f t="shared" si="783"/>
        <v>3.89</v>
      </c>
      <c r="G5093" s="1508">
        <f t="shared" si="784"/>
        <v>3.89</v>
      </c>
      <c r="H5093" s="1508">
        <f t="shared" si="776"/>
        <v>0</v>
      </c>
      <c r="I5093" s="1480">
        <v>0</v>
      </c>
      <c r="J5093" s="1480">
        <v>0</v>
      </c>
      <c r="K5093" s="1508"/>
      <c r="L5093" s="1508"/>
      <c r="M5093" s="1509">
        <f t="shared" si="777"/>
        <v>0</v>
      </c>
      <c r="N5093" s="1508">
        <f t="shared" si="778"/>
        <v>0</v>
      </c>
    </row>
    <row r="5094" spans="1:14" ht="46.5" outlineLevel="1" x14ac:dyDescent="0.25">
      <c r="A5094" s="1492">
        <f t="shared" si="782"/>
        <v>0</v>
      </c>
      <c r="B5094" s="1492" t="str">
        <f t="shared" si="782"/>
        <v xml:space="preserve">Supply &amp; commissioning of advanced Microprocessor based Fast Bus Transfer Scheme for Stage-II Unit 3&amp;4, CSTPS, Chandrapur. </v>
      </c>
      <c r="C5094" s="1488">
        <f t="shared" si="782"/>
        <v>0</v>
      </c>
      <c r="D5094" s="1413" t="str">
        <f t="shared" si="782"/>
        <v>-</v>
      </c>
      <c r="E5094" s="560">
        <f t="shared" si="782"/>
        <v>3</v>
      </c>
      <c r="F5094" s="1508">
        <f t="shared" si="783"/>
        <v>3</v>
      </c>
      <c r="G5094" s="1508">
        <f t="shared" si="784"/>
        <v>3</v>
      </c>
      <c r="H5094" s="1508">
        <f t="shared" si="776"/>
        <v>0</v>
      </c>
      <c r="I5094" s="1480">
        <v>0</v>
      </c>
      <c r="J5094" s="1480">
        <v>0</v>
      </c>
      <c r="K5094" s="1508"/>
      <c r="L5094" s="1508"/>
      <c r="M5094" s="1509">
        <f t="shared" si="777"/>
        <v>0</v>
      </c>
      <c r="N5094" s="1508">
        <f t="shared" si="778"/>
        <v>0</v>
      </c>
    </row>
    <row r="5095" spans="1:14" ht="31" outlineLevel="1" x14ac:dyDescent="0.25">
      <c r="A5095" s="1492">
        <f t="shared" si="782"/>
        <v>0</v>
      </c>
      <c r="B5095" s="1492" t="str">
        <f t="shared" si="782"/>
        <v>Upgradation of Measuring &amp; Instrumentation of  WTP  Stg-I of U# 3,4, 8 and 9, CSTPS, Chandrapur.</v>
      </c>
      <c r="C5095" s="1488">
        <f t="shared" si="782"/>
        <v>0</v>
      </c>
      <c r="D5095" s="1413" t="str">
        <f t="shared" si="782"/>
        <v>-</v>
      </c>
      <c r="E5095" s="560">
        <f t="shared" si="782"/>
        <v>3.5</v>
      </c>
      <c r="F5095" s="1508">
        <f t="shared" si="783"/>
        <v>3.5</v>
      </c>
      <c r="G5095" s="1508">
        <f t="shared" si="784"/>
        <v>3.5</v>
      </c>
      <c r="H5095" s="1508">
        <f t="shared" si="776"/>
        <v>0</v>
      </c>
      <c r="I5095" s="1480">
        <v>0</v>
      </c>
      <c r="J5095" s="1480">
        <v>0</v>
      </c>
      <c r="K5095" s="1508"/>
      <c r="L5095" s="1508"/>
      <c r="M5095" s="1509">
        <f t="shared" si="777"/>
        <v>0</v>
      </c>
      <c r="N5095" s="1508">
        <f t="shared" si="778"/>
        <v>0</v>
      </c>
    </row>
    <row r="5096" spans="1:14" ht="31" outlineLevel="1" x14ac:dyDescent="0.25">
      <c r="A5096" s="1492">
        <f t="shared" si="782"/>
        <v>0</v>
      </c>
      <c r="B5096" s="1492" t="str">
        <f t="shared" si="782"/>
        <v>Upgradation of Ash Level Monitoring System at ESP/Eco / AHP Ash Hoppers at U# 3,4 CSTPS, Chandrapur.</v>
      </c>
      <c r="C5096" s="1488">
        <f t="shared" si="782"/>
        <v>0</v>
      </c>
      <c r="D5096" s="1413" t="str">
        <f t="shared" si="782"/>
        <v>-</v>
      </c>
      <c r="E5096" s="560">
        <f t="shared" si="782"/>
        <v>3</v>
      </c>
      <c r="F5096" s="1508">
        <f t="shared" si="783"/>
        <v>3</v>
      </c>
      <c r="G5096" s="1508">
        <f t="shared" si="784"/>
        <v>3</v>
      </c>
      <c r="H5096" s="1508">
        <f t="shared" si="776"/>
        <v>0</v>
      </c>
      <c r="I5096" s="1480">
        <v>0</v>
      </c>
      <c r="J5096" s="1480">
        <v>0</v>
      </c>
      <c r="K5096" s="1508"/>
      <c r="L5096" s="1508"/>
      <c r="M5096" s="1509">
        <f t="shared" si="777"/>
        <v>0</v>
      </c>
      <c r="N5096" s="1508">
        <f t="shared" si="778"/>
        <v>0</v>
      </c>
    </row>
    <row r="5097" spans="1:14" ht="31" outlineLevel="1" x14ac:dyDescent="0.25">
      <c r="A5097" s="1492">
        <f t="shared" si="782"/>
        <v>0</v>
      </c>
      <c r="B5097" s="1492" t="str">
        <f t="shared" si="782"/>
        <v>Upgradation of Obsolete Electromechanical Protection Relays to advanced Numeric Relays Installed at WTP - I</v>
      </c>
      <c r="C5097" s="1488">
        <f t="shared" si="782"/>
        <v>0</v>
      </c>
      <c r="D5097" s="1413" t="str">
        <f t="shared" si="782"/>
        <v>-</v>
      </c>
      <c r="E5097" s="560">
        <f t="shared" si="782"/>
        <v>3</v>
      </c>
      <c r="F5097" s="1508">
        <f t="shared" si="783"/>
        <v>3</v>
      </c>
      <c r="G5097" s="1508">
        <f t="shared" si="784"/>
        <v>3</v>
      </c>
      <c r="H5097" s="1508">
        <f t="shared" si="776"/>
        <v>0</v>
      </c>
      <c r="I5097" s="1480">
        <v>0</v>
      </c>
      <c r="J5097" s="1480">
        <v>0</v>
      </c>
      <c r="K5097" s="1508"/>
      <c r="L5097" s="1508"/>
      <c r="M5097" s="1509">
        <f t="shared" si="777"/>
        <v>0</v>
      </c>
      <c r="N5097" s="1508">
        <f t="shared" si="778"/>
        <v>0</v>
      </c>
    </row>
    <row r="5098" spans="1:14" ht="31" outlineLevel="1" x14ac:dyDescent="0.25">
      <c r="A5098" s="1492">
        <f t="shared" si="782"/>
        <v>0</v>
      </c>
      <c r="B5098" s="1492" t="str">
        <f t="shared" si="782"/>
        <v>Upgardation of BPF Scoop with electrical actuators at U#3 &amp; 4 CSTPS, Chandrapur.</v>
      </c>
      <c r="C5098" s="1488">
        <f t="shared" si="782"/>
        <v>0</v>
      </c>
      <c r="D5098" s="1413" t="str">
        <f t="shared" si="782"/>
        <v>-</v>
      </c>
      <c r="E5098" s="560">
        <f t="shared" si="782"/>
        <v>3</v>
      </c>
      <c r="F5098" s="1508">
        <f t="shared" si="783"/>
        <v>3</v>
      </c>
      <c r="G5098" s="1508">
        <f t="shared" si="784"/>
        <v>3</v>
      </c>
      <c r="H5098" s="1508">
        <f t="shared" ref="H5098:H5161" si="785">F5098-G5098</f>
        <v>0</v>
      </c>
      <c r="I5098" s="1480">
        <v>0</v>
      </c>
      <c r="J5098" s="1480">
        <v>0</v>
      </c>
      <c r="K5098" s="1508"/>
      <c r="L5098" s="1508"/>
      <c r="M5098" s="1509">
        <f t="shared" ref="M5098:M5161" si="786">SUM(J5098:L5098)</f>
        <v>0</v>
      </c>
      <c r="N5098" s="1508">
        <f t="shared" ref="N5098:N5161" si="787">H5098+I5098-M5098</f>
        <v>0</v>
      </c>
    </row>
    <row r="5099" spans="1:14" ht="31" outlineLevel="1" x14ac:dyDescent="0.25">
      <c r="A5099" s="1486">
        <f t="shared" si="782"/>
        <v>3</v>
      </c>
      <c r="B5099" s="1491" t="str">
        <f t="shared" si="782"/>
        <v xml:space="preserve">Upgradation of Measuring Instruments, Final Control Elements and Control System for Unit #3/4, WTP, AHP CSTPS Chandrapur </v>
      </c>
      <c r="C5099" s="1488">
        <f t="shared" si="782"/>
        <v>0</v>
      </c>
      <c r="D5099" s="1413" t="str">
        <f t="shared" si="782"/>
        <v>-</v>
      </c>
      <c r="E5099" s="560">
        <f t="shared" si="782"/>
        <v>30</v>
      </c>
      <c r="F5099" s="1508">
        <f t="shared" si="783"/>
        <v>0</v>
      </c>
      <c r="G5099" s="1508">
        <f t="shared" si="784"/>
        <v>0</v>
      </c>
      <c r="H5099" s="1508">
        <f t="shared" si="785"/>
        <v>0</v>
      </c>
      <c r="I5099" s="1480">
        <v>0</v>
      </c>
      <c r="J5099" s="1480">
        <v>0</v>
      </c>
      <c r="K5099" s="1508"/>
      <c r="L5099" s="1508"/>
      <c r="M5099" s="1509">
        <f t="shared" si="786"/>
        <v>0</v>
      </c>
      <c r="N5099" s="1508">
        <f t="shared" si="787"/>
        <v>0</v>
      </c>
    </row>
    <row r="5100" spans="1:14" ht="31" outlineLevel="1" x14ac:dyDescent="0.25">
      <c r="A5100" s="1492">
        <f t="shared" ref="A5100:E5115" si="788">A4430</f>
        <v>0</v>
      </c>
      <c r="B5100" s="1492" t="str">
        <f t="shared" si="788"/>
        <v xml:space="preserve">Upgradation of Measuring Instruments, Final Control Elements and Control System for Unit #3/4, WTP, AHP CSTPS Chandrapur </v>
      </c>
      <c r="C5100" s="1488">
        <f t="shared" si="788"/>
        <v>0</v>
      </c>
      <c r="D5100" s="1413" t="str">
        <f t="shared" si="788"/>
        <v>-</v>
      </c>
      <c r="E5100" s="560">
        <f t="shared" si="788"/>
        <v>30</v>
      </c>
      <c r="F5100" s="1508">
        <f t="shared" si="783"/>
        <v>30</v>
      </c>
      <c r="G5100" s="1508">
        <f t="shared" si="784"/>
        <v>30</v>
      </c>
      <c r="H5100" s="1508">
        <f t="shared" si="785"/>
        <v>0</v>
      </c>
      <c r="I5100" s="1480">
        <v>0</v>
      </c>
      <c r="J5100" s="1480">
        <v>0</v>
      </c>
      <c r="K5100" s="1508"/>
      <c r="L5100" s="1508"/>
      <c r="M5100" s="1509">
        <f t="shared" si="786"/>
        <v>0</v>
      </c>
      <c r="N5100" s="1508">
        <f t="shared" si="787"/>
        <v>0</v>
      </c>
    </row>
    <row r="5101" spans="1:14" ht="31" outlineLevel="1" x14ac:dyDescent="0.25">
      <c r="A5101" s="1486">
        <f t="shared" si="788"/>
        <v>4</v>
      </c>
      <c r="B5101" s="1491" t="str">
        <f t="shared" si="788"/>
        <v>Installation Errection and commissioning of Solar System for Electrical Suppy to CSTPS Colony.</v>
      </c>
      <c r="C5101" s="1488">
        <f t="shared" si="788"/>
        <v>0</v>
      </c>
      <c r="D5101" s="1413" t="str">
        <f t="shared" si="788"/>
        <v>-</v>
      </c>
      <c r="E5101" s="560">
        <f t="shared" si="788"/>
        <v>60</v>
      </c>
      <c r="F5101" s="1508">
        <f t="shared" si="783"/>
        <v>0</v>
      </c>
      <c r="G5101" s="1508">
        <f t="shared" si="784"/>
        <v>0</v>
      </c>
      <c r="H5101" s="1508">
        <f t="shared" si="785"/>
        <v>0</v>
      </c>
      <c r="I5101" s="1480">
        <v>0</v>
      </c>
      <c r="J5101" s="1480">
        <v>0</v>
      </c>
      <c r="K5101" s="1508"/>
      <c r="L5101" s="1508"/>
      <c r="M5101" s="1509">
        <f t="shared" si="786"/>
        <v>0</v>
      </c>
      <c r="N5101" s="1508">
        <f t="shared" si="787"/>
        <v>0</v>
      </c>
    </row>
    <row r="5102" spans="1:14" ht="31" outlineLevel="1" x14ac:dyDescent="0.25">
      <c r="A5102" s="1492">
        <f t="shared" si="788"/>
        <v>0</v>
      </c>
      <c r="B5102" s="1492" t="str">
        <f t="shared" si="788"/>
        <v>Installation Errection and commissioning of Solar System for Electrical Suppy to CSTPS Colony.</v>
      </c>
      <c r="C5102" s="1488">
        <f t="shared" si="788"/>
        <v>0</v>
      </c>
      <c r="D5102" s="1413" t="str">
        <f t="shared" si="788"/>
        <v>-</v>
      </c>
      <c r="E5102" s="560">
        <f t="shared" si="788"/>
        <v>60</v>
      </c>
      <c r="F5102" s="1508">
        <f t="shared" si="783"/>
        <v>0</v>
      </c>
      <c r="G5102" s="1508">
        <f t="shared" si="784"/>
        <v>0</v>
      </c>
      <c r="H5102" s="1508">
        <f t="shared" si="785"/>
        <v>0</v>
      </c>
      <c r="I5102" s="1480">
        <v>60</v>
      </c>
      <c r="J5102" s="1480">
        <v>60</v>
      </c>
      <c r="K5102" s="1508"/>
      <c r="L5102" s="1508"/>
      <c r="M5102" s="1509">
        <f t="shared" si="786"/>
        <v>60</v>
      </c>
      <c r="N5102" s="1508">
        <f t="shared" si="787"/>
        <v>0</v>
      </c>
    </row>
    <row r="5103" spans="1:14" ht="15.5" outlineLevel="1" x14ac:dyDescent="0.25">
      <c r="A5103" s="1486">
        <f t="shared" si="788"/>
        <v>5</v>
      </c>
      <c r="B5103" s="1491" t="str">
        <f t="shared" si="788"/>
        <v>Rejuvenation of WTP-I</v>
      </c>
      <c r="C5103" s="1488">
        <f t="shared" si="788"/>
        <v>0</v>
      </c>
      <c r="D5103" s="1413" t="str">
        <f t="shared" si="788"/>
        <v>-</v>
      </c>
      <c r="E5103" s="560">
        <f t="shared" si="788"/>
        <v>26.4</v>
      </c>
      <c r="F5103" s="1508">
        <f t="shared" si="783"/>
        <v>0</v>
      </c>
      <c r="G5103" s="1508">
        <f t="shared" si="784"/>
        <v>0</v>
      </c>
      <c r="H5103" s="1508">
        <f t="shared" si="785"/>
        <v>0</v>
      </c>
      <c r="I5103" s="1480">
        <v>0</v>
      </c>
      <c r="J5103" s="1480">
        <v>0</v>
      </c>
      <c r="K5103" s="1508"/>
      <c r="L5103" s="1508"/>
      <c r="M5103" s="1509">
        <f t="shared" si="786"/>
        <v>0</v>
      </c>
      <c r="N5103" s="1508">
        <f t="shared" si="787"/>
        <v>0</v>
      </c>
    </row>
    <row r="5104" spans="1:14" ht="31" outlineLevel="1" x14ac:dyDescent="0.25">
      <c r="A5104" s="1492">
        <f t="shared" si="788"/>
        <v>0</v>
      </c>
      <c r="B5104" s="1492" t="str">
        <f t="shared" si="788"/>
        <v>Repairing rejuvenation with upgradation of rapid gravity sand filters under drain system.</v>
      </c>
      <c r="C5104" s="1488">
        <f t="shared" si="788"/>
        <v>0</v>
      </c>
      <c r="D5104" s="1413" t="str">
        <f t="shared" si="788"/>
        <v>-</v>
      </c>
      <c r="E5104" s="560">
        <f t="shared" si="788"/>
        <v>8.1999999999999993</v>
      </c>
      <c r="F5104" s="1508">
        <f t="shared" si="783"/>
        <v>8.1999999999999993</v>
      </c>
      <c r="G5104" s="1508">
        <f t="shared" si="784"/>
        <v>8.1999999999999993</v>
      </c>
      <c r="H5104" s="1508">
        <f t="shared" si="785"/>
        <v>0</v>
      </c>
      <c r="I5104" s="1480">
        <v>0</v>
      </c>
      <c r="J5104" s="1480">
        <v>0</v>
      </c>
      <c r="K5104" s="1508"/>
      <c r="L5104" s="1508"/>
      <c r="M5104" s="1509">
        <f t="shared" si="786"/>
        <v>0</v>
      </c>
      <c r="N5104" s="1508">
        <f t="shared" si="787"/>
        <v>0</v>
      </c>
    </row>
    <row r="5105" spans="1:14" ht="31" outlineLevel="1" x14ac:dyDescent="0.25">
      <c r="A5105" s="1492">
        <f t="shared" si="788"/>
        <v>0</v>
      </c>
      <c r="B5105" s="1492" t="str">
        <f t="shared" si="788"/>
        <v>Repairing &amp; reconditioning of NDM clarifier of 27 Mtr dia &amp; DM clarifier of 15 mtr dia.</v>
      </c>
      <c r="C5105" s="1488">
        <f t="shared" si="788"/>
        <v>0</v>
      </c>
      <c r="D5105" s="1413" t="str">
        <f t="shared" si="788"/>
        <v>-</v>
      </c>
      <c r="E5105" s="560">
        <f t="shared" si="788"/>
        <v>2.4500000000000002</v>
      </c>
      <c r="F5105" s="1508">
        <f t="shared" si="783"/>
        <v>2.4500000000000002</v>
      </c>
      <c r="G5105" s="1508">
        <f t="shared" si="784"/>
        <v>2.4500000000000002</v>
      </c>
      <c r="H5105" s="1508">
        <f t="shared" si="785"/>
        <v>0</v>
      </c>
      <c r="I5105" s="1480">
        <v>0</v>
      </c>
      <c r="J5105" s="1480">
        <v>0</v>
      </c>
      <c r="K5105" s="1508"/>
      <c r="L5105" s="1508"/>
      <c r="M5105" s="1509">
        <f t="shared" si="786"/>
        <v>0</v>
      </c>
      <c r="N5105" s="1508">
        <f t="shared" si="787"/>
        <v>0</v>
      </c>
    </row>
    <row r="5106" spans="1:14" ht="31" outlineLevel="1" x14ac:dyDescent="0.25">
      <c r="A5106" s="1492">
        <f t="shared" si="788"/>
        <v>0</v>
      </c>
      <c r="B5106" s="1492" t="str">
        <f t="shared" si="788"/>
        <v>Repairing &amp; reconditioning of ion exchanger vessels of DM plant stream (PF,ACF,SAC,WBA,SBA,MB &amp;Degassor)</v>
      </c>
      <c r="C5106" s="1488">
        <f t="shared" si="788"/>
        <v>0</v>
      </c>
      <c r="D5106" s="1413" t="str">
        <f t="shared" si="788"/>
        <v>-</v>
      </c>
      <c r="E5106" s="560">
        <f t="shared" si="788"/>
        <v>15.75</v>
      </c>
      <c r="F5106" s="1508">
        <f t="shared" si="783"/>
        <v>15.75</v>
      </c>
      <c r="G5106" s="1508">
        <f t="shared" si="784"/>
        <v>15.75</v>
      </c>
      <c r="H5106" s="1508">
        <f t="shared" si="785"/>
        <v>0</v>
      </c>
      <c r="I5106" s="1480">
        <v>0</v>
      </c>
      <c r="J5106" s="1480">
        <v>0</v>
      </c>
      <c r="K5106" s="1508"/>
      <c r="L5106" s="1508"/>
      <c r="M5106" s="1509">
        <f t="shared" si="786"/>
        <v>0</v>
      </c>
      <c r="N5106" s="1508">
        <f t="shared" si="787"/>
        <v>0</v>
      </c>
    </row>
    <row r="5107" spans="1:14" ht="15.5" outlineLevel="1" x14ac:dyDescent="0.25">
      <c r="A5107" s="1504">
        <f t="shared" si="788"/>
        <v>0</v>
      </c>
      <c r="B5107" s="1504" t="str">
        <f t="shared" si="788"/>
        <v>CHP-A</v>
      </c>
      <c r="C5107" s="1488">
        <f t="shared" si="788"/>
        <v>0</v>
      </c>
      <c r="D5107" s="1413" t="str">
        <f t="shared" si="788"/>
        <v>-</v>
      </c>
      <c r="E5107" s="560">
        <f t="shared" si="788"/>
        <v>0</v>
      </c>
      <c r="F5107" s="1508">
        <f t="shared" si="783"/>
        <v>0</v>
      </c>
      <c r="G5107" s="1508">
        <f t="shared" si="784"/>
        <v>0</v>
      </c>
      <c r="H5107" s="1508">
        <f t="shared" si="785"/>
        <v>0</v>
      </c>
      <c r="I5107" s="1480">
        <v>0</v>
      </c>
      <c r="J5107" s="1480">
        <v>0</v>
      </c>
      <c r="K5107" s="1508"/>
      <c r="L5107" s="1508"/>
      <c r="M5107" s="1509">
        <f t="shared" si="786"/>
        <v>0</v>
      </c>
      <c r="N5107" s="1508">
        <f t="shared" si="787"/>
        <v>0</v>
      </c>
    </row>
    <row r="5108" spans="1:14" ht="31" outlineLevel="1" x14ac:dyDescent="0.25">
      <c r="A5108" s="1486">
        <f t="shared" si="788"/>
        <v>1</v>
      </c>
      <c r="B5108" s="1491" t="str">
        <f t="shared" si="788"/>
        <v>Proc of Loco, Bulldozer, &amp; upgradation of Wagon Tippler, Stacker, Wing Tripper &amp; installation of  Dust Extraction system</v>
      </c>
      <c r="C5108" s="1488">
        <f t="shared" si="788"/>
        <v>0</v>
      </c>
      <c r="D5108" s="1413" t="str">
        <f t="shared" si="788"/>
        <v>-</v>
      </c>
      <c r="E5108" s="560">
        <f t="shared" si="788"/>
        <v>58</v>
      </c>
      <c r="F5108" s="1508">
        <f t="shared" si="783"/>
        <v>0</v>
      </c>
      <c r="G5108" s="1508">
        <f t="shared" si="784"/>
        <v>0</v>
      </c>
      <c r="H5108" s="1508">
        <f t="shared" si="785"/>
        <v>0</v>
      </c>
      <c r="I5108" s="1480">
        <v>0</v>
      </c>
      <c r="J5108" s="1480">
        <v>0</v>
      </c>
      <c r="K5108" s="1508"/>
      <c r="L5108" s="1508"/>
      <c r="M5108" s="1509">
        <f t="shared" si="786"/>
        <v>0</v>
      </c>
      <c r="N5108" s="1508">
        <f t="shared" si="787"/>
        <v>0</v>
      </c>
    </row>
    <row r="5109" spans="1:14" ht="31" outlineLevel="1" x14ac:dyDescent="0.25">
      <c r="A5109" s="1492">
        <f t="shared" si="788"/>
        <v>0</v>
      </c>
      <c r="B5109" s="1492" t="str">
        <f t="shared" si="788"/>
        <v>Procurement of 2 numbers WDG-3A Locomotives and 4 numbers Bulldozers</v>
      </c>
      <c r="C5109" s="1488">
        <f t="shared" si="788"/>
        <v>0</v>
      </c>
      <c r="D5109" s="1413" t="str">
        <f t="shared" si="788"/>
        <v>-</v>
      </c>
      <c r="E5109" s="560">
        <f t="shared" si="788"/>
        <v>38</v>
      </c>
      <c r="F5109" s="1508">
        <f t="shared" si="783"/>
        <v>38</v>
      </c>
      <c r="G5109" s="1508">
        <f t="shared" si="784"/>
        <v>38</v>
      </c>
      <c r="H5109" s="1508">
        <f t="shared" si="785"/>
        <v>0</v>
      </c>
      <c r="I5109" s="1480">
        <v>0</v>
      </c>
      <c r="J5109" s="1480">
        <v>0</v>
      </c>
      <c r="K5109" s="1508"/>
      <c r="L5109" s="1508"/>
      <c r="M5109" s="1509">
        <f t="shared" si="786"/>
        <v>0</v>
      </c>
      <c r="N5109" s="1508">
        <f t="shared" si="787"/>
        <v>0</v>
      </c>
    </row>
    <row r="5110" spans="1:14" ht="31" outlineLevel="1" x14ac:dyDescent="0.25">
      <c r="A5110" s="1492">
        <f t="shared" si="788"/>
        <v>0</v>
      </c>
      <c r="B5110" s="1492" t="str">
        <f t="shared" si="788"/>
        <v>Upgradation of Wagon Tipplers, Stacker Reclaimer Machine and Wing Tripper at CHP-A</v>
      </c>
      <c r="C5110" s="1488">
        <f t="shared" si="788"/>
        <v>0</v>
      </c>
      <c r="D5110" s="1413" t="str">
        <f t="shared" si="788"/>
        <v>-</v>
      </c>
      <c r="E5110" s="560">
        <f t="shared" si="788"/>
        <v>15</v>
      </c>
      <c r="F5110" s="1508">
        <f t="shared" si="783"/>
        <v>15</v>
      </c>
      <c r="G5110" s="1508">
        <f t="shared" si="784"/>
        <v>15</v>
      </c>
      <c r="H5110" s="1508">
        <f t="shared" si="785"/>
        <v>0</v>
      </c>
      <c r="I5110" s="1480">
        <v>0</v>
      </c>
      <c r="J5110" s="1480">
        <v>0</v>
      </c>
      <c r="K5110" s="1508"/>
      <c r="L5110" s="1508"/>
      <c r="M5110" s="1509">
        <f t="shared" si="786"/>
        <v>0</v>
      </c>
      <c r="N5110" s="1508">
        <f t="shared" si="787"/>
        <v>0</v>
      </c>
    </row>
    <row r="5111" spans="1:14" ht="31" outlineLevel="1" x14ac:dyDescent="0.25">
      <c r="A5111" s="1492">
        <f t="shared" si="788"/>
        <v>0</v>
      </c>
      <c r="B5111" s="1492" t="str">
        <f t="shared" si="788"/>
        <v>Installation of Dust Extraction system at Bunker and SCR buildings</v>
      </c>
      <c r="C5111" s="1488">
        <f t="shared" si="788"/>
        <v>0</v>
      </c>
      <c r="D5111" s="1413" t="str">
        <f t="shared" si="788"/>
        <v>-</v>
      </c>
      <c r="E5111" s="560">
        <f t="shared" si="788"/>
        <v>5</v>
      </c>
      <c r="F5111" s="1508">
        <f t="shared" si="783"/>
        <v>5</v>
      </c>
      <c r="G5111" s="1508">
        <f t="shared" si="784"/>
        <v>5</v>
      </c>
      <c r="H5111" s="1508">
        <f t="shared" si="785"/>
        <v>0</v>
      </c>
      <c r="I5111" s="1480">
        <v>0</v>
      </c>
      <c r="J5111" s="1480">
        <v>0</v>
      </c>
      <c r="K5111" s="1508"/>
      <c r="L5111" s="1508"/>
      <c r="M5111" s="1509">
        <f t="shared" si="786"/>
        <v>0</v>
      </c>
      <c r="N5111" s="1508">
        <f t="shared" si="787"/>
        <v>0</v>
      </c>
    </row>
    <row r="5112" spans="1:14" ht="77.5" outlineLevel="1" x14ac:dyDescent="0.25">
      <c r="A5112" s="1486">
        <f t="shared" si="788"/>
        <v>2</v>
      </c>
      <c r="B5112" s="1491" t="str">
        <f t="shared" si="788"/>
        <v>Upgradation of BC-9A &amp; BC-9C, Aerial Ropeway System 1 &amp; 2 &amp; BC-L1,L2 &amp; L3, Upgradation of Junction Tower-1 Hopper and Bunkering Trippers, Providing and Installation of Hopper Grills of Wagon Tippler-169 &amp; 170, Road Hopper, DT Ho[pper and DRCC Grills</v>
      </c>
      <c r="C5112" s="1488">
        <f t="shared" si="788"/>
        <v>0</v>
      </c>
      <c r="D5112" s="1413" t="str">
        <f t="shared" si="788"/>
        <v>-</v>
      </c>
      <c r="E5112" s="560">
        <f t="shared" si="788"/>
        <v>33</v>
      </c>
      <c r="F5112" s="1508">
        <f t="shared" si="783"/>
        <v>0</v>
      </c>
      <c r="G5112" s="1508">
        <f t="shared" si="784"/>
        <v>0</v>
      </c>
      <c r="H5112" s="1508">
        <f t="shared" si="785"/>
        <v>0</v>
      </c>
      <c r="I5112" s="1480">
        <v>0</v>
      </c>
      <c r="J5112" s="1480">
        <v>0</v>
      </c>
      <c r="K5112" s="1508"/>
      <c r="L5112" s="1508"/>
      <c r="M5112" s="1509">
        <f t="shared" si="786"/>
        <v>0</v>
      </c>
      <c r="N5112" s="1508">
        <f t="shared" si="787"/>
        <v>0</v>
      </c>
    </row>
    <row r="5113" spans="1:14" ht="31" outlineLevel="1" x14ac:dyDescent="0.25">
      <c r="A5113" s="1492">
        <f t="shared" si="788"/>
        <v>0</v>
      </c>
      <c r="B5113" s="1492" t="str">
        <f t="shared" si="788"/>
        <v>Upgradation of BC-9A &amp; BC-9C for converting 1000 mm to 1200 mm along with Gantry structure replacement</v>
      </c>
      <c r="C5113" s="1488">
        <f t="shared" si="788"/>
        <v>0</v>
      </c>
      <c r="D5113" s="1413" t="str">
        <f t="shared" si="788"/>
        <v>-</v>
      </c>
      <c r="E5113" s="560">
        <f t="shared" si="788"/>
        <v>12</v>
      </c>
      <c r="F5113" s="1508">
        <f t="shared" si="783"/>
        <v>12</v>
      </c>
      <c r="G5113" s="1508">
        <f t="shared" si="784"/>
        <v>12</v>
      </c>
      <c r="H5113" s="1508">
        <f t="shared" si="785"/>
        <v>0</v>
      </c>
      <c r="I5113" s="1480">
        <v>0</v>
      </c>
      <c r="J5113" s="1480">
        <v>0</v>
      </c>
      <c r="K5113" s="1508"/>
      <c r="L5113" s="1508"/>
      <c r="M5113" s="1509">
        <f t="shared" si="786"/>
        <v>0</v>
      </c>
      <c r="N5113" s="1508">
        <f t="shared" si="787"/>
        <v>0</v>
      </c>
    </row>
    <row r="5114" spans="1:14" ht="15.5" outlineLevel="1" x14ac:dyDescent="0.25">
      <c r="A5114" s="1492">
        <f t="shared" si="788"/>
        <v>0</v>
      </c>
      <c r="B5114" s="1492" t="str">
        <f t="shared" si="788"/>
        <v>Upgradation of Aerial Ropeway System 1 &amp; 2 &amp; BC-L1,L2 &amp; L3</v>
      </c>
      <c r="C5114" s="1488">
        <f t="shared" si="788"/>
        <v>0</v>
      </c>
      <c r="D5114" s="1413" t="str">
        <f t="shared" si="788"/>
        <v>-</v>
      </c>
      <c r="E5114" s="560">
        <f t="shared" si="788"/>
        <v>10</v>
      </c>
      <c r="F5114" s="1508">
        <f t="shared" si="783"/>
        <v>10</v>
      </c>
      <c r="G5114" s="1508">
        <f t="shared" si="784"/>
        <v>10</v>
      </c>
      <c r="H5114" s="1508">
        <f t="shared" si="785"/>
        <v>0</v>
      </c>
      <c r="I5114" s="1480">
        <v>0</v>
      </c>
      <c r="J5114" s="1480">
        <v>0</v>
      </c>
      <c r="K5114" s="1508"/>
      <c r="L5114" s="1508"/>
      <c r="M5114" s="1509">
        <f t="shared" si="786"/>
        <v>0</v>
      </c>
      <c r="N5114" s="1508">
        <f t="shared" si="787"/>
        <v>0</v>
      </c>
    </row>
    <row r="5115" spans="1:14" ht="31" outlineLevel="1" x14ac:dyDescent="0.25">
      <c r="A5115" s="1492">
        <f t="shared" si="788"/>
        <v>0</v>
      </c>
      <c r="B5115" s="1492" t="str">
        <f t="shared" si="788"/>
        <v>Upgradation of Junction Tower-1 Hopper and Bunkering Trippers</v>
      </c>
      <c r="C5115" s="1488">
        <f t="shared" si="788"/>
        <v>0</v>
      </c>
      <c r="D5115" s="1413" t="str">
        <f t="shared" si="788"/>
        <v>-</v>
      </c>
      <c r="E5115" s="560">
        <f t="shared" si="788"/>
        <v>5.5</v>
      </c>
      <c r="F5115" s="1508">
        <f t="shared" si="783"/>
        <v>5.5</v>
      </c>
      <c r="G5115" s="1508">
        <f t="shared" si="784"/>
        <v>5.5</v>
      </c>
      <c r="H5115" s="1508">
        <f t="shared" si="785"/>
        <v>0</v>
      </c>
      <c r="I5115" s="1480">
        <v>0</v>
      </c>
      <c r="J5115" s="1480">
        <v>0</v>
      </c>
      <c r="K5115" s="1508"/>
      <c r="L5115" s="1508"/>
      <c r="M5115" s="1509">
        <f t="shared" si="786"/>
        <v>0</v>
      </c>
      <c r="N5115" s="1508">
        <f t="shared" si="787"/>
        <v>0</v>
      </c>
    </row>
    <row r="5116" spans="1:14" ht="31" outlineLevel="1" x14ac:dyDescent="0.25">
      <c r="A5116" s="1492">
        <f t="shared" ref="A5116:E5131" si="789">A4446</f>
        <v>0</v>
      </c>
      <c r="B5116" s="1492" t="str">
        <f t="shared" si="789"/>
        <v>Providing and Installation of Hopper Grills of Wagon Tippler-169 &amp; 170, Road Hopper, DT Ho[pper and DRCC Grills</v>
      </c>
      <c r="C5116" s="1488">
        <f t="shared" si="789"/>
        <v>0</v>
      </c>
      <c r="D5116" s="1413" t="str">
        <f t="shared" si="789"/>
        <v>-</v>
      </c>
      <c r="E5116" s="560">
        <f t="shared" si="789"/>
        <v>5.5</v>
      </c>
      <c r="F5116" s="1508">
        <f t="shared" si="783"/>
        <v>5.5</v>
      </c>
      <c r="G5116" s="1508">
        <f t="shared" si="784"/>
        <v>5.5</v>
      </c>
      <c r="H5116" s="1508">
        <f t="shared" si="785"/>
        <v>0</v>
      </c>
      <c r="I5116" s="1480">
        <v>0</v>
      </c>
      <c r="J5116" s="1480">
        <v>0</v>
      </c>
      <c r="K5116" s="1508"/>
      <c r="L5116" s="1508"/>
      <c r="M5116" s="1509">
        <f t="shared" si="786"/>
        <v>0</v>
      </c>
      <c r="N5116" s="1508">
        <f t="shared" si="787"/>
        <v>0</v>
      </c>
    </row>
    <row r="5117" spans="1:14" ht="31" outlineLevel="1" x14ac:dyDescent="0.25">
      <c r="A5117" s="1486">
        <f t="shared" si="789"/>
        <v>3</v>
      </c>
      <c r="B5117" s="1491" t="str">
        <f t="shared" si="789"/>
        <v>DPR for Bulldozer, Locomotives, Tunnel conveyors, Augur machines</v>
      </c>
      <c r="C5117" s="1488">
        <f t="shared" si="789"/>
        <v>0</v>
      </c>
      <c r="D5117" s="1413" t="str">
        <f t="shared" si="789"/>
        <v>-</v>
      </c>
      <c r="E5117" s="560">
        <f t="shared" si="789"/>
        <v>32</v>
      </c>
      <c r="F5117" s="1508">
        <f t="shared" si="783"/>
        <v>0</v>
      </c>
      <c r="G5117" s="1508">
        <f t="shared" si="784"/>
        <v>0</v>
      </c>
      <c r="H5117" s="1508">
        <f t="shared" si="785"/>
        <v>0</v>
      </c>
      <c r="I5117" s="1480">
        <v>0</v>
      </c>
      <c r="J5117" s="1480">
        <v>0</v>
      </c>
      <c r="K5117" s="1508"/>
      <c r="L5117" s="1508"/>
      <c r="M5117" s="1509">
        <f t="shared" si="786"/>
        <v>0</v>
      </c>
      <c r="N5117" s="1508">
        <f t="shared" si="787"/>
        <v>0</v>
      </c>
    </row>
    <row r="5118" spans="1:14" ht="15.5" outlineLevel="1" x14ac:dyDescent="0.25">
      <c r="A5118" s="1492">
        <f t="shared" si="789"/>
        <v>0</v>
      </c>
      <c r="B5118" s="1492" t="str">
        <f t="shared" si="789"/>
        <v>Procurement of 4 Numbers Bulldozers</v>
      </c>
      <c r="C5118" s="1488">
        <f t="shared" si="789"/>
        <v>0</v>
      </c>
      <c r="D5118" s="1413" t="str">
        <f t="shared" si="789"/>
        <v>-</v>
      </c>
      <c r="E5118" s="560">
        <f t="shared" si="789"/>
        <v>12</v>
      </c>
      <c r="F5118" s="1508">
        <f t="shared" si="783"/>
        <v>12</v>
      </c>
      <c r="G5118" s="1508">
        <f t="shared" si="784"/>
        <v>12</v>
      </c>
      <c r="H5118" s="1508">
        <f t="shared" si="785"/>
        <v>0</v>
      </c>
      <c r="I5118" s="1480">
        <v>0</v>
      </c>
      <c r="J5118" s="1480">
        <v>0</v>
      </c>
      <c r="K5118" s="1508"/>
      <c r="L5118" s="1508"/>
      <c r="M5118" s="1509">
        <f t="shared" si="786"/>
        <v>0</v>
      </c>
      <c r="N5118" s="1508">
        <f t="shared" si="787"/>
        <v>0</v>
      </c>
    </row>
    <row r="5119" spans="1:14" ht="15.5" outlineLevel="1" x14ac:dyDescent="0.25">
      <c r="A5119" s="1492">
        <f t="shared" si="789"/>
        <v>0</v>
      </c>
      <c r="B5119" s="1492" t="str">
        <f t="shared" si="789"/>
        <v>Procurement of 2 Numbers 800 HP Locomotives</v>
      </c>
      <c r="C5119" s="1488">
        <f t="shared" si="789"/>
        <v>0</v>
      </c>
      <c r="D5119" s="1413" t="str">
        <f t="shared" si="789"/>
        <v>-</v>
      </c>
      <c r="E5119" s="560">
        <f t="shared" si="789"/>
        <v>9</v>
      </c>
      <c r="F5119" s="1508">
        <f t="shared" si="783"/>
        <v>9</v>
      </c>
      <c r="G5119" s="1508">
        <f t="shared" si="784"/>
        <v>9</v>
      </c>
      <c r="H5119" s="1508">
        <f t="shared" si="785"/>
        <v>0</v>
      </c>
      <c r="I5119" s="1480">
        <v>0</v>
      </c>
      <c r="J5119" s="1480">
        <v>0</v>
      </c>
      <c r="K5119" s="1508"/>
      <c r="L5119" s="1508"/>
      <c r="M5119" s="1509">
        <f t="shared" si="786"/>
        <v>0</v>
      </c>
      <c r="N5119" s="1508">
        <f t="shared" si="787"/>
        <v>0</v>
      </c>
    </row>
    <row r="5120" spans="1:14" ht="31" outlineLevel="1" x14ac:dyDescent="0.25">
      <c r="A5120" s="1492">
        <f t="shared" si="789"/>
        <v>0</v>
      </c>
      <c r="B5120" s="1492" t="str">
        <f t="shared" si="789"/>
        <v>Upgradation of Tunnel conveyors BC-1AB, BC-4AB, BC-3, BC-5AB &amp; BC-21B</v>
      </c>
      <c r="C5120" s="1488">
        <f t="shared" si="789"/>
        <v>0</v>
      </c>
      <c r="D5120" s="1413" t="str">
        <f t="shared" si="789"/>
        <v>-</v>
      </c>
      <c r="E5120" s="560">
        <f t="shared" si="789"/>
        <v>5</v>
      </c>
      <c r="F5120" s="1508">
        <f t="shared" si="783"/>
        <v>5</v>
      </c>
      <c r="G5120" s="1508">
        <f t="shared" si="784"/>
        <v>5</v>
      </c>
      <c r="H5120" s="1508">
        <f t="shared" si="785"/>
        <v>0</v>
      </c>
      <c r="I5120" s="1480">
        <v>0</v>
      </c>
      <c r="J5120" s="1480">
        <v>0</v>
      </c>
      <c r="K5120" s="1508"/>
      <c r="L5120" s="1508"/>
      <c r="M5120" s="1509">
        <f t="shared" si="786"/>
        <v>0</v>
      </c>
      <c r="N5120" s="1508">
        <f t="shared" si="787"/>
        <v>0</v>
      </c>
    </row>
    <row r="5121" spans="1:14" ht="31" outlineLevel="1" x14ac:dyDescent="0.25">
      <c r="A5121" s="1492">
        <f t="shared" si="789"/>
        <v>0</v>
      </c>
      <c r="B5121" s="1492" t="str">
        <f t="shared" si="789"/>
        <v>Procurement of 4 Numbers Mobile Coal sampling Equipments (Augur Machines)</v>
      </c>
      <c r="C5121" s="1488">
        <f t="shared" si="789"/>
        <v>0</v>
      </c>
      <c r="D5121" s="1413" t="str">
        <f t="shared" si="789"/>
        <v>-</v>
      </c>
      <c r="E5121" s="560">
        <f t="shared" si="789"/>
        <v>6</v>
      </c>
      <c r="F5121" s="1508">
        <f t="shared" si="783"/>
        <v>6</v>
      </c>
      <c r="G5121" s="1508">
        <f t="shared" si="784"/>
        <v>6</v>
      </c>
      <c r="H5121" s="1508">
        <f t="shared" si="785"/>
        <v>0</v>
      </c>
      <c r="I5121" s="1480">
        <v>0</v>
      </c>
      <c r="J5121" s="1480">
        <v>0</v>
      </c>
      <c r="K5121" s="1508"/>
      <c r="L5121" s="1508"/>
      <c r="M5121" s="1509">
        <f t="shared" si="786"/>
        <v>0</v>
      </c>
      <c r="N5121" s="1508">
        <f t="shared" si="787"/>
        <v>0</v>
      </c>
    </row>
    <row r="5122" spans="1:14" ht="15.5" outlineLevel="1" x14ac:dyDescent="0.25">
      <c r="A5122" s="1504">
        <f t="shared" si="789"/>
        <v>0</v>
      </c>
      <c r="B5122" s="1504" t="str">
        <f t="shared" si="789"/>
        <v>Boiler Maintenance -II</v>
      </c>
      <c r="C5122" s="1488">
        <f t="shared" si="789"/>
        <v>0</v>
      </c>
      <c r="D5122" s="1413" t="str">
        <f t="shared" si="789"/>
        <v>-</v>
      </c>
      <c r="E5122" s="560">
        <f t="shared" si="789"/>
        <v>0</v>
      </c>
      <c r="F5122" s="1508">
        <f t="shared" si="783"/>
        <v>0</v>
      </c>
      <c r="G5122" s="1508">
        <f t="shared" si="784"/>
        <v>0</v>
      </c>
      <c r="H5122" s="1508">
        <f t="shared" si="785"/>
        <v>0</v>
      </c>
      <c r="I5122" s="1480">
        <v>0</v>
      </c>
      <c r="J5122" s="1480">
        <v>0</v>
      </c>
      <c r="K5122" s="1508"/>
      <c r="L5122" s="1508"/>
      <c r="M5122" s="1509">
        <f t="shared" si="786"/>
        <v>0</v>
      </c>
      <c r="N5122" s="1508">
        <f t="shared" si="787"/>
        <v>0</v>
      </c>
    </row>
    <row r="5123" spans="1:14" ht="31" outlineLevel="1" x14ac:dyDescent="0.25">
      <c r="A5123" s="1486">
        <f t="shared" si="789"/>
        <v>1</v>
      </c>
      <c r="B5123" s="1491" t="str">
        <f t="shared" si="789"/>
        <v xml:space="preserve">Up  Gradation of existing volumetric belt type coal feeders to gravimetric rotary weigh coal feeder of U-5 &amp; 6 at CSTPS </v>
      </c>
      <c r="C5123" s="1488">
        <f t="shared" si="789"/>
        <v>0</v>
      </c>
      <c r="D5123" s="1413" t="str">
        <f t="shared" si="789"/>
        <v>-</v>
      </c>
      <c r="E5123" s="560">
        <f t="shared" si="789"/>
        <v>85.69</v>
      </c>
      <c r="F5123" s="1508">
        <f t="shared" si="783"/>
        <v>0</v>
      </c>
      <c r="G5123" s="1508">
        <f t="shared" si="784"/>
        <v>0</v>
      </c>
      <c r="H5123" s="1508">
        <f t="shared" si="785"/>
        <v>0</v>
      </c>
      <c r="I5123" s="1480">
        <v>0</v>
      </c>
      <c r="J5123" s="1480">
        <v>0</v>
      </c>
      <c r="K5123" s="1508"/>
      <c r="L5123" s="1508"/>
      <c r="M5123" s="1509">
        <f t="shared" si="786"/>
        <v>0</v>
      </c>
      <c r="N5123" s="1508">
        <f t="shared" si="787"/>
        <v>0</v>
      </c>
    </row>
    <row r="5124" spans="1:14" ht="31" outlineLevel="1" x14ac:dyDescent="0.25">
      <c r="A5124" s="1492">
        <f t="shared" si="789"/>
        <v>0</v>
      </c>
      <c r="B5124" s="1492" t="str">
        <f t="shared" si="789"/>
        <v xml:space="preserve">Up  Gradation of existing volumetric belt type coal feeders to gravimetric rotary weigh coal feeder of U-5 &amp; 6 at CSTPS </v>
      </c>
      <c r="C5124" s="1488">
        <f t="shared" si="789"/>
        <v>0</v>
      </c>
      <c r="D5124" s="1413" t="str">
        <f t="shared" si="789"/>
        <v>-</v>
      </c>
      <c r="E5124" s="560">
        <f t="shared" si="789"/>
        <v>85.679999999999993</v>
      </c>
      <c r="F5124" s="1508">
        <f t="shared" si="783"/>
        <v>85.679999999999993</v>
      </c>
      <c r="G5124" s="1508">
        <f t="shared" si="784"/>
        <v>85.679999999999993</v>
      </c>
      <c r="H5124" s="1508">
        <f t="shared" si="785"/>
        <v>0</v>
      </c>
      <c r="I5124" s="1480">
        <v>0</v>
      </c>
      <c r="J5124" s="1480">
        <v>0</v>
      </c>
      <c r="K5124" s="1508"/>
      <c r="L5124" s="1508"/>
      <c r="M5124" s="1509">
        <f t="shared" si="786"/>
        <v>0</v>
      </c>
      <c r="N5124" s="1508">
        <f t="shared" si="787"/>
        <v>0</v>
      </c>
    </row>
    <row r="5125" spans="1:14" ht="62" outlineLevel="1" x14ac:dyDescent="0.25">
      <c r="A5125" s="1486">
        <f t="shared" si="789"/>
        <v>2</v>
      </c>
      <c r="B5125" s="1491" t="str">
        <f t="shared" si="789"/>
        <v>DPR for the Work of Modification of existing coal bunker and commissioning of bunker chute assembly with vibrating motor to avoid bunker mouth coal choke up for Unit 5 &amp;6 at CSTPS, Chandrapur.</v>
      </c>
      <c r="C5125" s="1488">
        <f t="shared" si="789"/>
        <v>0</v>
      </c>
      <c r="D5125" s="1413" t="str">
        <f t="shared" si="789"/>
        <v>-</v>
      </c>
      <c r="E5125" s="560">
        <f t="shared" si="789"/>
        <v>32.28</v>
      </c>
      <c r="F5125" s="1508">
        <f t="shared" si="783"/>
        <v>0</v>
      </c>
      <c r="G5125" s="1508">
        <f t="shared" si="784"/>
        <v>0</v>
      </c>
      <c r="H5125" s="1508">
        <f t="shared" si="785"/>
        <v>0</v>
      </c>
      <c r="I5125" s="1480">
        <v>0</v>
      </c>
      <c r="J5125" s="1480">
        <v>0</v>
      </c>
      <c r="K5125" s="1508"/>
      <c r="L5125" s="1508"/>
      <c r="M5125" s="1509">
        <f t="shared" si="786"/>
        <v>0</v>
      </c>
      <c r="N5125" s="1508">
        <f t="shared" si="787"/>
        <v>0</v>
      </c>
    </row>
    <row r="5126" spans="1:14" ht="62" outlineLevel="1" x14ac:dyDescent="0.25">
      <c r="A5126" s="1492">
        <f t="shared" si="789"/>
        <v>0</v>
      </c>
      <c r="B5126" s="1492" t="str">
        <f t="shared" si="789"/>
        <v>DPR for the Work of Modification of existing coal bunker and commissioning of bunker chute assembly with vibrating motor to avoid bunker mouth coal choke up for Unit 5 &amp;6 at CSTPS, Chandrapur.</v>
      </c>
      <c r="C5126" s="1488">
        <f t="shared" si="789"/>
        <v>0</v>
      </c>
      <c r="D5126" s="1413" t="str">
        <f t="shared" si="789"/>
        <v>-</v>
      </c>
      <c r="E5126" s="560">
        <f t="shared" si="789"/>
        <v>32.28</v>
      </c>
      <c r="F5126" s="1508">
        <f t="shared" si="783"/>
        <v>32.28</v>
      </c>
      <c r="G5126" s="1508">
        <f t="shared" si="784"/>
        <v>32.28</v>
      </c>
      <c r="H5126" s="1508">
        <f t="shared" si="785"/>
        <v>0</v>
      </c>
      <c r="I5126" s="1480">
        <v>0</v>
      </c>
      <c r="J5126" s="1480">
        <v>0</v>
      </c>
      <c r="K5126" s="1508"/>
      <c r="L5126" s="1508"/>
      <c r="M5126" s="1509">
        <f t="shared" si="786"/>
        <v>0</v>
      </c>
      <c r="N5126" s="1508">
        <f t="shared" si="787"/>
        <v>0</v>
      </c>
    </row>
    <row r="5127" spans="1:14" ht="31" outlineLevel="1" x14ac:dyDescent="0.25">
      <c r="A5127" s="1486">
        <f t="shared" si="789"/>
        <v>3</v>
      </c>
      <c r="B5127" s="1491" t="str">
        <f t="shared" si="789"/>
        <v>DPR for  Supply &amp; Replacment of Boiler Thermal Insulation Unit 5 &amp;6, 7 at CSTPS, Chandrapur.</v>
      </c>
      <c r="C5127" s="1488">
        <f t="shared" si="789"/>
        <v>0</v>
      </c>
      <c r="D5127" s="1413" t="str">
        <f t="shared" si="789"/>
        <v>-</v>
      </c>
      <c r="E5127" s="560">
        <f t="shared" si="789"/>
        <v>30</v>
      </c>
      <c r="F5127" s="1508">
        <f t="shared" si="783"/>
        <v>0</v>
      </c>
      <c r="G5127" s="1508">
        <f t="shared" si="784"/>
        <v>0</v>
      </c>
      <c r="H5127" s="1508">
        <f t="shared" si="785"/>
        <v>0</v>
      </c>
      <c r="I5127" s="1480">
        <v>0</v>
      </c>
      <c r="J5127" s="1480">
        <v>0</v>
      </c>
      <c r="K5127" s="1508"/>
      <c r="L5127" s="1508"/>
      <c r="M5127" s="1509">
        <f t="shared" si="786"/>
        <v>0</v>
      </c>
      <c r="N5127" s="1508">
        <f t="shared" si="787"/>
        <v>0</v>
      </c>
    </row>
    <row r="5128" spans="1:14" ht="31" outlineLevel="1" x14ac:dyDescent="0.25">
      <c r="A5128" s="1492">
        <f t="shared" si="789"/>
        <v>0</v>
      </c>
      <c r="B5128" s="1492" t="str">
        <f t="shared" si="789"/>
        <v>DPR for  Supply &amp; Replacment of Boiler Thermal Insulation Unit 5 &amp;6, 7 at CSTPS, Chandrapur.</v>
      </c>
      <c r="C5128" s="1488">
        <f t="shared" si="789"/>
        <v>0</v>
      </c>
      <c r="D5128" s="1413" t="str">
        <f t="shared" si="789"/>
        <v>-</v>
      </c>
      <c r="E5128" s="560">
        <f t="shared" si="789"/>
        <v>30</v>
      </c>
      <c r="F5128" s="1508">
        <f t="shared" si="783"/>
        <v>30</v>
      </c>
      <c r="G5128" s="1508">
        <f t="shared" si="784"/>
        <v>30</v>
      </c>
      <c r="H5128" s="1508">
        <f t="shared" si="785"/>
        <v>0</v>
      </c>
      <c r="I5128" s="1480">
        <v>0</v>
      </c>
      <c r="J5128" s="1480">
        <v>0</v>
      </c>
      <c r="K5128" s="1508"/>
      <c r="L5128" s="1508"/>
      <c r="M5128" s="1509">
        <f t="shared" si="786"/>
        <v>0</v>
      </c>
      <c r="N5128" s="1508">
        <f t="shared" si="787"/>
        <v>0</v>
      </c>
    </row>
    <row r="5129" spans="1:14" ht="62" outlineLevel="1" x14ac:dyDescent="0.25">
      <c r="A5129" s="1486">
        <f t="shared" si="789"/>
        <v>4</v>
      </c>
      <c r="B5129" s="1491" t="str">
        <f t="shared" si="789"/>
        <v>Detailed Project Report for Manufacturing, supply and application of wear resistance liners for Coal Mill XRP-1043 and Procurement of Complete Gear box for Coal Mill XRP-1043, ID Fan impeller and sub assembly for Unit 5 &amp; 6 At CSTPS, Chandrapur.</v>
      </c>
      <c r="C5129" s="1488">
        <f t="shared" si="789"/>
        <v>0</v>
      </c>
      <c r="D5129" s="1413" t="str">
        <f t="shared" si="789"/>
        <v>-</v>
      </c>
      <c r="E5129" s="560">
        <f t="shared" si="789"/>
        <v>25</v>
      </c>
      <c r="F5129" s="1508">
        <f t="shared" si="783"/>
        <v>0</v>
      </c>
      <c r="G5129" s="1508">
        <f t="shared" si="784"/>
        <v>0</v>
      </c>
      <c r="H5129" s="1508">
        <f t="shared" si="785"/>
        <v>0</v>
      </c>
      <c r="I5129" s="1480">
        <v>0</v>
      </c>
      <c r="J5129" s="1480">
        <v>0</v>
      </c>
      <c r="K5129" s="1508"/>
      <c r="L5129" s="1508"/>
      <c r="M5129" s="1509">
        <f t="shared" si="786"/>
        <v>0</v>
      </c>
      <c r="N5129" s="1508">
        <f t="shared" si="787"/>
        <v>0</v>
      </c>
    </row>
    <row r="5130" spans="1:14" ht="77.5" outlineLevel="1" x14ac:dyDescent="0.25">
      <c r="A5130" s="1492">
        <f t="shared" si="789"/>
        <v>0</v>
      </c>
      <c r="B5130" s="1492" t="str">
        <f t="shared" si="789"/>
        <v>Detailed Project Report for Manufacturing, supply and application of wear resistance liners for Coal Mill XRP-1043 and Procurement of Complete Gear box for Coal Mill XRP-1043, ID Fan impeller and sub assembly for Unit 5 &amp; 6 At CSTPS, Chandrapur.</v>
      </c>
      <c r="C5130" s="1488">
        <f t="shared" si="789"/>
        <v>0</v>
      </c>
      <c r="D5130" s="1413" t="str">
        <f t="shared" si="789"/>
        <v>-</v>
      </c>
      <c r="E5130" s="560">
        <f t="shared" si="789"/>
        <v>25</v>
      </c>
      <c r="F5130" s="1508">
        <f t="shared" si="783"/>
        <v>25</v>
      </c>
      <c r="G5130" s="1508">
        <f t="shared" si="784"/>
        <v>25</v>
      </c>
      <c r="H5130" s="1508">
        <f t="shared" si="785"/>
        <v>0</v>
      </c>
      <c r="I5130" s="1480">
        <v>0</v>
      </c>
      <c r="J5130" s="1480">
        <v>0</v>
      </c>
      <c r="K5130" s="1508"/>
      <c r="L5130" s="1508"/>
      <c r="M5130" s="1509">
        <f t="shared" si="786"/>
        <v>0</v>
      </c>
      <c r="N5130" s="1508">
        <f t="shared" si="787"/>
        <v>0</v>
      </c>
    </row>
    <row r="5131" spans="1:14" ht="31" outlineLevel="1" x14ac:dyDescent="0.25">
      <c r="A5131" s="1486">
        <f t="shared" si="789"/>
        <v>5</v>
      </c>
      <c r="B5131" s="1491" t="str">
        <f t="shared" si="789"/>
        <v>DPR for Modification and Restoration of Eco. outlet to ESP inlet duct of Unit -6 (500MW) CSTPS, Chandrapur .</v>
      </c>
      <c r="C5131" s="1488">
        <f t="shared" si="789"/>
        <v>0</v>
      </c>
      <c r="D5131" s="1413" t="str">
        <f t="shared" si="789"/>
        <v>-</v>
      </c>
      <c r="E5131" s="560">
        <f t="shared" si="789"/>
        <v>25</v>
      </c>
      <c r="F5131" s="1508">
        <f t="shared" si="783"/>
        <v>0</v>
      </c>
      <c r="G5131" s="1508">
        <f t="shared" si="784"/>
        <v>0</v>
      </c>
      <c r="H5131" s="1508">
        <f t="shared" si="785"/>
        <v>0</v>
      </c>
      <c r="I5131" s="1480">
        <v>0</v>
      </c>
      <c r="J5131" s="1480">
        <v>0</v>
      </c>
      <c r="K5131" s="1508"/>
      <c r="L5131" s="1508"/>
      <c r="M5131" s="1509">
        <f t="shared" si="786"/>
        <v>0</v>
      </c>
      <c r="N5131" s="1508">
        <f t="shared" si="787"/>
        <v>0</v>
      </c>
    </row>
    <row r="5132" spans="1:14" ht="31" outlineLevel="1" x14ac:dyDescent="0.25">
      <c r="A5132" s="1492">
        <f t="shared" ref="A5132:E5147" si="790">A4462</f>
        <v>0</v>
      </c>
      <c r="B5132" s="1492" t="str">
        <f t="shared" si="790"/>
        <v>DPR for Modification and Restoration of Eco. outlet to ESP inlet duct of Unit -6 (500MW) CSTPS, Chandrapur .</v>
      </c>
      <c r="C5132" s="1488">
        <f t="shared" si="790"/>
        <v>0</v>
      </c>
      <c r="D5132" s="1413" t="str">
        <f t="shared" si="790"/>
        <v>-</v>
      </c>
      <c r="E5132" s="560">
        <f t="shared" si="790"/>
        <v>25</v>
      </c>
      <c r="F5132" s="1508">
        <f t="shared" si="783"/>
        <v>25</v>
      </c>
      <c r="G5132" s="1508">
        <f t="shared" si="784"/>
        <v>25</v>
      </c>
      <c r="H5132" s="1508">
        <f t="shared" si="785"/>
        <v>0</v>
      </c>
      <c r="I5132" s="1480">
        <v>0</v>
      </c>
      <c r="J5132" s="1480">
        <v>0</v>
      </c>
      <c r="K5132" s="1508"/>
      <c r="L5132" s="1508"/>
      <c r="M5132" s="1509">
        <f t="shared" si="786"/>
        <v>0</v>
      </c>
      <c r="N5132" s="1508">
        <f t="shared" si="787"/>
        <v>0</v>
      </c>
    </row>
    <row r="5133" spans="1:14" ht="108.5" outlineLevel="1" x14ac:dyDescent="0.25">
      <c r="A5133" s="1486">
        <f t="shared" si="790"/>
        <v>6</v>
      </c>
      <c r="B5133" s="1491" t="str">
        <f t="shared" si="790"/>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5133" s="1488">
        <f t="shared" si="790"/>
        <v>0</v>
      </c>
      <c r="D5133" s="1413" t="str">
        <f t="shared" si="790"/>
        <v>-</v>
      </c>
      <c r="E5133" s="560">
        <f t="shared" si="790"/>
        <v>40</v>
      </c>
      <c r="F5133" s="1508">
        <f t="shared" si="783"/>
        <v>0</v>
      </c>
      <c r="G5133" s="1508">
        <f t="shared" si="784"/>
        <v>0</v>
      </c>
      <c r="H5133" s="1508">
        <f t="shared" si="785"/>
        <v>0</v>
      </c>
      <c r="I5133" s="1480">
        <v>0</v>
      </c>
      <c r="J5133" s="1480">
        <v>0</v>
      </c>
      <c r="K5133" s="1508"/>
      <c r="L5133" s="1508"/>
      <c r="M5133" s="1509">
        <f t="shared" si="786"/>
        <v>0</v>
      </c>
      <c r="N5133" s="1508">
        <f t="shared" si="787"/>
        <v>0</v>
      </c>
    </row>
    <row r="5134" spans="1:14" ht="108.5" outlineLevel="1" x14ac:dyDescent="0.25">
      <c r="A5134" s="1492">
        <f t="shared" si="790"/>
        <v>0</v>
      </c>
      <c r="B5134" s="1492" t="str">
        <f t="shared" si="790"/>
        <v>Detailed Project Report for the “Schemes for the Reliability Improvement of coal mill performance by replacing of Conveyor Body, Complete Classifier assembly, Outlet Connecting Duct, Refusal Duct, Girth Gear and Drive Shaft Assembly with Bearing housing and Mill Shell Body and Foundation Deck Spring, Main Speed Reducer Gear box for BBD 4772 coal mill unit-7 for 2024-25 at CSTPS, Chandrapur.</v>
      </c>
      <c r="C5134" s="1488">
        <f t="shared" si="790"/>
        <v>0</v>
      </c>
      <c r="D5134" s="1413" t="str">
        <f t="shared" si="790"/>
        <v>-</v>
      </c>
      <c r="E5134" s="560">
        <f t="shared" si="790"/>
        <v>40</v>
      </c>
      <c r="F5134" s="1508">
        <f t="shared" si="783"/>
        <v>40</v>
      </c>
      <c r="G5134" s="1508">
        <f t="shared" si="784"/>
        <v>40</v>
      </c>
      <c r="H5134" s="1508">
        <f t="shared" si="785"/>
        <v>0</v>
      </c>
      <c r="I5134" s="1480">
        <v>0</v>
      </c>
      <c r="J5134" s="1480">
        <v>0</v>
      </c>
      <c r="K5134" s="1508"/>
      <c r="L5134" s="1508"/>
      <c r="M5134" s="1509">
        <f t="shared" si="786"/>
        <v>0</v>
      </c>
      <c r="N5134" s="1508">
        <f t="shared" si="787"/>
        <v>0</v>
      </c>
    </row>
    <row r="5135" spans="1:14" ht="46.5" outlineLevel="1" x14ac:dyDescent="0.25">
      <c r="A5135" s="1486">
        <f t="shared" si="790"/>
        <v>7</v>
      </c>
      <c r="B5135" s="1491" t="str">
        <f t="shared" si="790"/>
        <v>DPR for Supply &amp; Replacement of Divisional Panels in Boiler Unit 5,6 &amp; 7 and Economizer upper coil assembly in Unit 5 &amp; 6 CSTPS, Chandrapur.</v>
      </c>
      <c r="C5135" s="1488">
        <f t="shared" si="790"/>
        <v>0</v>
      </c>
      <c r="D5135" s="1413" t="str">
        <f t="shared" si="790"/>
        <v>-</v>
      </c>
      <c r="E5135" s="560">
        <f t="shared" si="790"/>
        <v>40</v>
      </c>
      <c r="F5135" s="1508">
        <f t="shared" si="783"/>
        <v>0</v>
      </c>
      <c r="G5135" s="1508">
        <f t="shared" si="784"/>
        <v>0</v>
      </c>
      <c r="H5135" s="1508">
        <f t="shared" si="785"/>
        <v>0</v>
      </c>
      <c r="I5135" s="1480">
        <v>0</v>
      </c>
      <c r="J5135" s="1480">
        <v>0</v>
      </c>
      <c r="K5135" s="1508"/>
      <c r="L5135" s="1508"/>
      <c r="M5135" s="1509">
        <f t="shared" si="786"/>
        <v>0</v>
      </c>
      <c r="N5135" s="1508">
        <f t="shared" si="787"/>
        <v>0</v>
      </c>
    </row>
    <row r="5136" spans="1:14" ht="46.5" outlineLevel="1" x14ac:dyDescent="0.25">
      <c r="A5136" s="1492">
        <f t="shared" si="790"/>
        <v>0</v>
      </c>
      <c r="B5136" s="1492" t="str">
        <f t="shared" si="790"/>
        <v>DPR for Supply &amp; Replacement of Divisional Panels in Boiler Unit 5,6 &amp; 7 and Economizer upper coil assembly in Unit 5 &amp; 6 CSTPS, Chandrapur.</v>
      </c>
      <c r="C5136" s="1488">
        <f t="shared" si="790"/>
        <v>0</v>
      </c>
      <c r="D5136" s="1413" t="str">
        <f t="shared" si="790"/>
        <v>-</v>
      </c>
      <c r="E5136" s="560">
        <f t="shared" si="790"/>
        <v>40</v>
      </c>
      <c r="F5136" s="1508">
        <f t="shared" si="783"/>
        <v>40</v>
      </c>
      <c r="G5136" s="1508">
        <f t="shared" si="784"/>
        <v>40</v>
      </c>
      <c r="H5136" s="1508">
        <f t="shared" si="785"/>
        <v>0</v>
      </c>
      <c r="I5136" s="1480">
        <v>0</v>
      </c>
      <c r="J5136" s="1480">
        <v>0</v>
      </c>
      <c r="K5136" s="1508"/>
      <c r="L5136" s="1508"/>
      <c r="M5136" s="1509">
        <f t="shared" si="786"/>
        <v>0</v>
      </c>
      <c r="N5136" s="1508">
        <f t="shared" si="787"/>
        <v>0</v>
      </c>
    </row>
    <row r="5137" spans="1:14" ht="46.5" outlineLevel="1" x14ac:dyDescent="0.25">
      <c r="A5137" s="1486">
        <f t="shared" si="790"/>
        <v>8</v>
      </c>
      <c r="B5137" s="1491" t="str">
        <f t="shared" si="790"/>
        <v>DPR for the Supply &amp; Replacement of Platen Superheater, Front Reheater in Unit-7 and Economizer middle &amp; Economizer lower coil assembly in Unit 5 &amp; 6 CSTPS, Chandrapur.</v>
      </c>
      <c r="C5137" s="1488">
        <f t="shared" si="790"/>
        <v>0</v>
      </c>
      <c r="D5137" s="1413" t="str">
        <f t="shared" si="790"/>
        <v>-</v>
      </c>
      <c r="E5137" s="560">
        <f t="shared" si="790"/>
        <v>52</v>
      </c>
      <c r="F5137" s="1508">
        <f t="shared" si="783"/>
        <v>0</v>
      </c>
      <c r="G5137" s="1508">
        <f t="shared" si="784"/>
        <v>0</v>
      </c>
      <c r="H5137" s="1508">
        <f t="shared" si="785"/>
        <v>0</v>
      </c>
      <c r="I5137" s="1480">
        <v>0</v>
      </c>
      <c r="J5137" s="1480">
        <v>0</v>
      </c>
      <c r="K5137" s="1508"/>
      <c r="L5137" s="1508"/>
      <c r="M5137" s="1509">
        <f t="shared" si="786"/>
        <v>0</v>
      </c>
      <c r="N5137" s="1508">
        <f t="shared" si="787"/>
        <v>0</v>
      </c>
    </row>
    <row r="5138" spans="1:14" ht="46.5" outlineLevel="1" x14ac:dyDescent="0.25">
      <c r="A5138" s="1492">
        <f t="shared" si="790"/>
        <v>0</v>
      </c>
      <c r="B5138" s="1492" t="str">
        <f t="shared" si="790"/>
        <v>DPR for the Supply &amp; Replacement of Platen Superheater, Front Reheater in Unit-7 and Economizer middle &amp; Economizer lower coil assembly in Unit 5 &amp; 6 CSTPS, Chandrapur.</v>
      </c>
      <c r="C5138" s="1488">
        <f t="shared" si="790"/>
        <v>0</v>
      </c>
      <c r="D5138" s="1413" t="str">
        <f t="shared" si="790"/>
        <v>-</v>
      </c>
      <c r="E5138" s="560">
        <f t="shared" si="790"/>
        <v>52</v>
      </c>
      <c r="F5138" s="1508">
        <f t="shared" si="783"/>
        <v>52</v>
      </c>
      <c r="G5138" s="1508">
        <f t="shared" si="784"/>
        <v>52</v>
      </c>
      <c r="H5138" s="1508">
        <f t="shared" si="785"/>
        <v>0</v>
      </c>
      <c r="I5138" s="1480">
        <v>0</v>
      </c>
      <c r="J5138" s="1480">
        <v>0</v>
      </c>
      <c r="K5138" s="1508"/>
      <c r="L5138" s="1508"/>
      <c r="M5138" s="1509">
        <f t="shared" si="786"/>
        <v>0</v>
      </c>
      <c r="N5138" s="1508">
        <f t="shared" si="787"/>
        <v>0</v>
      </c>
    </row>
    <row r="5139" spans="1:14" ht="31" outlineLevel="1" x14ac:dyDescent="0.25">
      <c r="A5139" s="1486">
        <f t="shared" si="790"/>
        <v>9</v>
      </c>
      <c r="B5139" s="1491" t="str">
        <f t="shared" si="790"/>
        <v>DPR for the Supply &amp; Replacement of Front &amp; Rear Reheater coil assemblies and LTSH terminal tube assembly in Boiler Unit 5 &amp; 6</v>
      </c>
      <c r="C5139" s="1488">
        <f t="shared" si="790"/>
        <v>0</v>
      </c>
      <c r="D5139" s="1413" t="str">
        <f t="shared" si="790"/>
        <v>-</v>
      </c>
      <c r="E5139" s="560">
        <f t="shared" si="790"/>
        <v>30</v>
      </c>
      <c r="F5139" s="1508">
        <f t="shared" si="783"/>
        <v>0</v>
      </c>
      <c r="G5139" s="1508">
        <f t="shared" si="784"/>
        <v>0</v>
      </c>
      <c r="H5139" s="1508">
        <f t="shared" si="785"/>
        <v>0</v>
      </c>
      <c r="I5139" s="1480">
        <v>0</v>
      </c>
      <c r="J5139" s="1480">
        <v>0</v>
      </c>
      <c r="K5139" s="1508"/>
      <c r="L5139" s="1508"/>
      <c r="M5139" s="1509">
        <f t="shared" si="786"/>
        <v>0</v>
      </c>
      <c r="N5139" s="1508">
        <f t="shared" si="787"/>
        <v>0</v>
      </c>
    </row>
    <row r="5140" spans="1:14" ht="46.5" outlineLevel="1" x14ac:dyDescent="0.25">
      <c r="A5140" s="1492">
        <f t="shared" si="790"/>
        <v>0</v>
      </c>
      <c r="B5140" s="1492" t="str">
        <f t="shared" si="790"/>
        <v xml:space="preserve">DPR for the Supply &amp; Replacement of Front &amp; Rear Reheater coil assemblies and LTSH terminal tube assembly in Boiler Unit 5 &amp; 6 . </v>
      </c>
      <c r="C5140" s="1488">
        <f t="shared" si="790"/>
        <v>0</v>
      </c>
      <c r="D5140" s="1413" t="str">
        <f t="shared" si="790"/>
        <v>-</v>
      </c>
      <c r="E5140" s="560">
        <f t="shared" si="790"/>
        <v>30</v>
      </c>
      <c r="F5140" s="1508">
        <f t="shared" si="783"/>
        <v>30</v>
      </c>
      <c r="G5140" s="1508">
        <f t="shared" si="784"/>
        <v>30</v>
      </c>
      <c r="H5140" s="1508">
        <f t="shared" si="785"/>
        <v>0</v>
      </c>
      <c r="I5140" s="1480">
        <v>0</v>
      </c>
      <c r="J5140" s="1480">
        <v>0</v>
      </c>
      <c r="K5140" s="1508"/>
      <c r="L5140" s="1508"/>
      <c r="M5140" s="1509">
        <f t="shared" si="786"/>
        <v>0</v>
      </c>
      <c r="N5140" s="1508">
        <f t="shared" si="787"/>
        <v>0</v>
      </c>
    </row>
    <row r="5141" spans="1:14" ht="46.5" outlineLevel="1" x14ac:dyDescent="0.25">
      <c r="A5141" s="1486">
        <f t="shared" si="790"/>
        <v>10</v>
      </c>
      <c r="B5141" s="1491" t="str">
        <f t="shared" si="790"/>
        <v>DPR For Coal Mill Performance Improvement and Life Enhancement of BHEL Make XRP-1043 Coal Mills in Unit 5 &amp; 6 At CSTPS, Chandrapur.</v>
      </c>
      <c r="C5141" s="1488">
        <f t="shared" si="790"/>
        <v>0</v>
      </c>
      <c r="D5141" s="1413" t="str">
        <f t="shared" si="790"/>
        <v>-</v>
      </c>
      <c r="E5141" s="560">
        <f t="shared" si="790"/>
        <v>52.62</v>
      </c>
      <c r="F5141" s="1508">
        <f t="shared" si="783"/>
        <v>0</v>
      </c>
      <c r="G5141" s="1508">
        <f t="shared" si="784"/>
        <v>0</v>
      </c>
      <c r="H5141" s="1508">
        <f t="shared" si="785"/>
        <v>0</v>
      </c>
      <c r="I5141" s="1480">
        <v>0</v>
      </c>
      <c r="J5141" s="1480">
        <v>0</v>
      </c>
      <c r="K5141" s="1508"/>
      <c r="L5141" s="1508"/>
      <c r="M5141" s="1509">
        <f t="shared" si="786"/>
        <v>0</v>
      </c>
      <c r="N5141" s="1508">
        <f t="shared" si="787"/>
        <v>0</v>
      </c>
    </row>
    <row r="5142" spans="1:14" ht="46.5" outlineLevel="1" x14ac:dyDescent="0.25">
      <c r="A5142" s="1492">
        <f t="shared" si="790"/>
        <v>0</v>
      </c>
      <c r="B5142" s="1492" t="str">
        <f t="shared" si="790"/>
        <v>DPR For Coal Mill Performance Improvement and Life Enhancement of BHEL Make XRP-1043 Coal Mills in Unit 5 &amp; 6 At CSTPS, Chandrapur.</v>
      </c>
      <c r="C5142" s="1488">
        <f t="shared" si="790"/>
        <v>0</v>
      </c>
      <c r="D5142" s="1413" t="str">
        <f t="shared" si="790"/>
        <v>-</v>
      </c>
      <c r="E5142" s="560">
        <f t="shared" si="790"/>
        <v>52.62</v>
      </c>
      <c r="F5142" s="1508">
        <f t="shared" si="783"/>
        <v>52.62</v>
      </c>
      <c r="G5142" s="1508">
        <f t="shared" si="784"/>
        <v>52.62</v>
      </c>
      <c r="H5142" s="1508">
        <f t="shared" si="785"/>
        <v>0</v>
      </c>
      <c r="I5142" s="1480">
        <v>0</v>
      </c>
      <c r="J5142" s="1480">
        <v>0</v>
      </c>
      <c r="K5142" s="1508"/>
      <c r="L5142" s="1508"/>
      <c r="M5142" s="1509">
        <f t="shared" si="786"/>
        <v>0</v>
      </c>
      <c r="N5142" s="1508">
        <f t="shared" si="787"/>
        <v>0</v>
      </c>
    </row>
    <row r="5143" spans="1:14" ht="15.5" outlineLevel="1" x14ac:dyDescent="0.25">
      <c r="A5143" s="1504">
        <f t="shared" si="790"/>
        <v>0</v>
      </c>
      <c r="B5143" s="1504" t="str">
        <f t="shared" si="790"/>
        <v>Turbine Maintenance-II</v>
      </c>
      <c r="C5143" s="1488">
        <f t="shared" si="790"/>
        <v>0</v>
      </c>
      <c r="D5143" s="1413" t="str">
        <f t="shared" si="790"/>
        <v>-</v>
      </c>
      <c r="E5143" s="560">
        <f t="shared" si="790"/>
        <v>0</v>
      </c>
      <c r="F5143" s="1508">
        <f t="shared" si="783"/>
        <v>0</v>
      </c>
      <c r="G5143" s="1508">
        <f t="shared" si="784"/>
        <v>0</v>
      </c>
      <c r="H5143" s="1508">
        <f t="shared" si="785"/>
        <v>0</v>
      </c>
      <c r="I5143" s="1480">
        <v>0</v>
      </c>
      <c r="J5143" s="1480">
        <v>0</v>
      </c>
      <c r="K5143" s="1508"/>
      <c r="L5143" s="1508"/>
      <c r="M5143" s="1509">
        <f t="shared" si="786"/>
        <v>0</v>
      </c>
      <c r="N5143" s="1508">
        <f t="shared" si="787"/>
        <v>0</v>
      </c>
    </row>
    <row r="5144" spans="1:14" ht="46.5" outlineLevel="1" x14ac:dyDescent="0.25">
      <c r="A5144" s="1486">
        <f t="shared" si="790"/>
        <v>1</v>
      </c>
      <c r="B5144" s="1491" t="str">
        <f t="shared" si="790"/>
        <v>Post facto DPR for "Urgent restoration and Life Enhancement of Unit#5 500 MW BHEL make Turbo Generator for prolonged efficient operation at Stage-III CSTPS Chandrapur"</v>
      </c>
      <c r="C5144" s="166">
        <f t="shared" si="790"/>
        <v>0</v>
      </c>
      <c r="D5144" s="1413" t="str">
        <f t="shared" si="790"/>
        <v>-</v>
      </c>
      <c r="E5144" s="560">
        <f t="shared" si="790"/>
        <v>25.42</v>
      </c>
      <c r="F5144" s="1508">
        <f t="shared" si="783"/>
        <v>0</v>
      </c>
      <c r="G5144" s="1508">
        <f t="shared" si="784"/>
        <v>0</v>
      </c>
      <c r="H5144" s="1508">
        <f t="shared" si="785"/>
        <v>0</v>
      </c>
      <c r="I5144" s="1480">
        <v>0</v>
      </c>
      <c r="J5144" s="1480">
        <v>0</v>
      </c>
      <c r="K5144" s="1508"/>
      <c r="L5144" s="1508"/>
      <c r="M5144" s="1509">
        <f t="shared" si="786"/>
        <v>0</v>
      </c>
      <c r="N5144" s="1508">
        <f t="shared" si="787"/>
        <v>0</v>
      </c>
    </row>
    <row r="5145" spans="1:14" ht="46.5" outlineLevel="1" x14ac:dyDescent="0.25">
      <c r="A5145" s="1492">
        <f t="shared" si="790"/>
        <v>0</v>
      </c>
      <c r="B5145" s="1492" t="str">
        <f t="shared" si="790"/>
        <v>Post facto DPR for "Urgent restoration and Life Enhancement of Unit#5 500 MW BHEL make Turbo Generator for prolonged efficient operation at Stage-III CSTPS Chandrapur"</v>
      </c>
      <c r="C5145" s="166">
        <f t="shared" si="790"/>
        <v>0</v>
      </c>
      <c r="D5145" s="1413" t="str">
        <f t="shared" si="790"/>
        <v>-</v>
      </c>
      <c r="E5145" s="560">
        <f t="shared" si="790"/>
        <v>25.42</v>
      </c>
      <c r="F5145" s="1508">
        <f t="shared" si="783"/>
        <v>25.42</v>
      </c>
      <c r="G5145" s="1508">
        <f t="shared" si="784"/>
        <v>25.42</v>
      </c>
      <c r="H5145" s="1508">
        <f t="shared" si="785"/>
        <v>0</v>
      </c>
      <c r="I5145" s="1480">
        <v>0</v>
      </c>
      <c r="J5145" s="1480">
        <v>0</v>
      </c>
      <c r="K5145" s="1508"/>
      <c r="L5145" s="1508"/>
      <c r="M5145" s="1509">
        <f t="shared" si="786"/>
        <v>0</v>
      </c>
      <c r="N5145" s="1508">
        <f t="shared" si="787"/>
        <v>0</v>
      </c>
    </row>
    <row r="5146" spans="1:14" ht="31" outlineLevel="1" x14ac:dyDescent="0.25">
      <c r="A5146" s="1486">
        <f t="shared" si="790"/>
        <v>2</v>
      </c>
      <c r="B5146" s="1491" t="str">
        <f t="shared" si="790"/>
        <v>Upgradation and modernization scheme for Air Washer system installed in U-5 &amp; 6, CSTPS, Chandrapur</v>
      </c>
      <c r="C5146" s="1488">
        <f t="shared" si="790"/>
        <v>0</v>
      </c>
      <c r="D5146" s="1413" t="str">
        <f t="shared" si="790"/>
        <v>-</v>
      </c>
      <c r="E5146" s="560">
        <f t="shared" si="790"/>
        <v>25</v>
      </c>
      <c r="F5146" s="1508">
        <f t="shared" si="783"/>
        <v>0</v>
      </c>
      <c r="G5146" s="1508">
        <f t="shared" si="784"/>
        <v>0</v>
      </c>
      <c r="H5146" s="1508">
        <f t="shared" si="785"/>
        <v>0</v>
      </c>
      <c r="I5146" s="1480">
        <v>0</v>
      </c>
      <c r="J5146" s="1480">
        <v>0</v>
      </c>
      <c r="K5146" s="1508"/>
      <c r="L5146" s="1508"/>
      <c r="M5146" s="1509">
        <f t="shared" si="786"/>
        <v>0</v>
      </c>
      <c r="N5146" s="1508">
        <f t="shared" si="787"/>
        <v>0</v>
      </c>
    </row>
    <row r="5147" spans="1:14" ht="46.5" outlineLevel="1" x14ac:dyDescent="0.25">
      <c r="A5147" s="1492">
        <f t="shared" si="790"/>
        <v>0</v>
      </c>
      <c r="B5147" s="1492" t="str">
        <f t="shared" si="790"/>
        <v>Design, Supply, Installation, Testing &amp; commissioning of Energy Efficient Air Washer System for Unit -5 &amp; 6, 500MW, CSTPS, Chandrapur</v>
      </c>
      <c r="C5147" s="1488">
        <f t="shared" si="790"/>
        <v>0</v>
      </c>
      <c r="D5147" s="1413" t="str">
        <f t="shared" si="790"/>
        <v>-</v>
      </c>
      <c r="E5147" s="560">
        <f t="shared" si="790"/>
        <v>25</v>
      </c>
      <c r="F5147" s="1508">
        <f t="shared" si="783"/>
        <v>18.75</v>
      </c>
      <c r="G5147" s="1508">
        <f t="shared" si="784"/>
        <v>18.75</v>
      </c>
      <c r="H5147" s="1508">
        <f t="shared" si="785"/>
        <v>0</v>
      </c>
      <c r="I5147" s="1480">
        <v>6.25</v>
      </c>
      <c r="J5147" s="1480">
        <v>6.25</v>
      </c>
      <c r="K5147" s="1508"/>
      <c r="L5147" s="1508"/>
      <c r="M5147" s="1509">
        <f t="shared" si="786"/>
        <v>6.25</v>
      </c>
      <c r="N5147" s="1508">
        <f t="shared" si="787"/>
        <v>0</v>
      </c>
    </row>
    <row r="5148" spans="1:14" ht="31" outlineLevel="1" x14ac:dyDescent="0.25">
      <c r="A5148" s="1486">
        <f t="shared" ref="A5148:E5163" si="791">A4478</f>
        <v>3</v>
      </c>
      <c r="B5148" s="1491" t="str">
        <f t="shared" si="791"/>
        <v>Schemes for Improvement in availability &amp; performance of feed system for U-5, 6 &amp; 7, CSTPS, Chandrapur</v>
      </c>
      <c r="C5148" s="1488">
        <f t="shared" si="791"/>
        <v>0</v>
      </c>
      <c r="D5148" s="1413" t="str">
        <f t="shared" si="791"/>
        <v>-</v>
      </c>
      <c r="E5148" s="560">
        <f t="shared" si="791"/>
        <v>44.25</v>
      </c>
      <c r="F5148" s="1508">
        <f t="shared" ref="F5148:F5211" si="792">F4478+I4478</f>
        <v>0</v>
      </c>
      <c r="G5148" s="1508">
        <f t="shared" ref="G5148:G5211" si="793">G4478+M4478</f>
        <v>0</v>
      </c>
      <c r="H5148" s="1508">
        <f t="shared" si="785"/>
        <v>0</v>
      </c>
      <c r="I5148" s="1480">
        <v>0</v>
      </c>
      <c r="J5148" s="1480">
        <v>0</v>
      </c>
      <c r="K5148" s="1508"/>
      <c r="L5148" s="1508"/>
      <c r="M5148" s="1509">
        <f t="shared" si="786"/>
        <v>0</v>
      </c>
      <c r="N5148" s="1508">
        <f t="shared" si="787"/>
        <v>0</v>
      </c>
    </row>
    <row r="5149" spans="1:14" ht="31" outlineLevel="1" x14ac:dyDescent="0.25">
      <c r="A5149" s="1492">
        <f t="shared" si="791"/>
        <v>0</v>
      </c>
      <c r="B5149" s="1492" t="str">
        <f t="shared" si="791"/>
        <v>Procurement of BFP Booster Pump assembly for Unit-5, 6 &amp; 7 CSTPS Chandrapur</v>
      </c>
      <c r="C5149" s="1488">
        <f t="shared" si="791"/>
        <v>0</v>
      </c>
      <c r="D5149" s="1413" t="str">
        <f t="shared" si="791"/>
        <v>-</v>
      </c>
      <c r="E5149" s="560">
        <f t="shared" si="791"/>
        <v>7.2</v>
      </c>
      <c r="F5149" s="1508">
        <f t="shared" si="792"/>
        <v>3.2</v>
      </c>
      <c r="G5149" s="1508">
        <f t="shared" si="793"/>
        <v>3.2</v>
      </c>
      <c r="H5149" s="1508">
        <f t="shared" si="785"/>
        <v>0</v>
      </c>
      <c r="I5149" s="1480">
        <v>4</v>
      </c>
      <c r="J5149" s="1480">
        <v>4</v>
      </c>
      <c r="K5149" s="1508"/>
      <c r="L5149" s="1508"/>
      <c r="M5149" s="1509">
        <f t="shared" si="786"/>
        <v>4</v>
      </c>
      <c r="N5149" s="1508">
        <f t="shared" si="787"/>
        <v>0</v>
      </c>
    </row>
    <row r="5150" spans="1:14" ht="31" outlineLevel="1" x14ac:dyDescent="0.25">
      <c r="A5150" s="1492">
        <f t="shared" si="791"/>
        <v>0</v>
      </c>
      <c r="B5150" s="1492" t="str">
        <f t="shared" si="791"/>
        <v>Procurement of Boiler Feed Pump catridge with CI sealing for Unit- 5 &amp; 6 CSTPS Chandrapur</v>
      </c>
      <c r="C5150" s="1488">
        <f t="shared" si="791"/>
        <v>0</v>
      </c>
      <c r="D5150" s="1413" t="str">
        <f t="shared" si="791"/>
        <v>-</v>
      </c>
      <c r="E5150" s="560">
        <f t="shared" si="791"/>
        <v>11.2</v>
      </c>
      <c r="F5150" s="1508">
        <f t="shared" si="792"/>
        <v>5.2</v>
      </c>
      <c r="G5150" s="1508">
        <f t="shared" si="793"/>
        <v>5.2</v>
      </c>
      <c r="H5150" s="1508">
        <f t="shared" si="785"/>
        <v>0</v>
      </c>
      <c r="I5150" s="1480">
        <v>6</v>
      </c>
      <c r="J5150" s="1480">
        <v>6</v>
      </c>
      <c r="K5150" s="1508"/>
      <c r="L5150" s="1508"/>
      <c r="M5150" s="1509">
        <f t="shared" si="786"/>
        <v>6</v>
      </c>
      <c r="N5150" s="1508">
        <f t="shared" si="787"/>
        <v>0</v>
      </c>
    </row>
    <row r="5151" spans="1:14" ht="31" outlineLevel="1" x14ac:dyDescent="0.25">
      <c r="A5151" s="1492">
        <f t="shared" si="791"/>
        <v>0</v>
      </c>
      <c r="B5151" s="1492" t="str">
        <f t="shared" si="791"/>
        <v>Procurement of Modulating type Boiler Feed Pump Recirculation valve  assembly for 500 MW, U-5, 6 &amp; 7</v>
      </c>
      <c r="C5151" s="1488">
        <f t="shared" si="791"/>
        <v>0</v>
      </c>
      <c r="D5151" s="1413" t="str">
        <f t="shared" si="791"/>
        <v>-</v>
      </c>
      <c r="E5151" s="560">
        <f t="shared" si="791"/>
        <v>15.85</v>
      </c>
      <c r="F5151" s="1508">
        <f t="shared" si="792"/>
        <v>15.85</v>
      </c>
      <c r="G5151" s="1508">
        <f t="shared" si="793"/>
        <v>15.85</v>
      </c>
      <c r="H5151" s="1508">
        <f t="shared" si="785"/>
        <v>0</v>
      </c>
      <c r="I5151" s="1480">
        <v>0</v>
      </c>
      <c r="J5151" s="1480">
        <v>0</v>
      </c>
      <c r="K5151" s="1508"/>
      <c r="L5151" s="1508"/>
      <c r="M5151" s="1509">
        <f t="shared" si="786"/>
        <v>0</v>
      </c>
      <c r="N5151" s="1508">
        <f t="shared" si="787"/>
        <v>0</v>
      </c>
    </row>
    <row r="5152" spans="1:14" ht="31" outlineLevel="1" x14ac:dyDescent="0.25">
      <c r="A5152" s="1492">
        <f t="shared" si="791"/>
        <v>0</v>
      </c>
      <c r="B5152" s="1492" t="str">
        <f t="shared" si="791"/>
        <v>Procurement of Fully bladed dynamically balanced Rotor (along with both side coupling hub) for TDBFP Turbine</v>
      </c>
      <c r="C5152" s="1488">
        <f t="shared" si="791"/>
        <v>0</v>
      </c>
      <c r="D5152" s="1413" t="str">
        <f t="shared" si="791"/>
        <v>-</v>
      </c>
      <c r="E5152" s="560">
        <f t="shared" si="791"/>
        <v>8.5</v>
      </c>
      <c r="F5152" s="1508">
        <f t="shared" si="792"/>
        <v>8.5</v>
      </c>
      <c r="G5152" s="1508">
        <f t="shared" si="793"/>
        <v>8.5</v>
      </c>
      <c r="H5152" s="1508">
        <f t="shared" si="785"/>
        <v>0</v>
      </c>
      <c r="I5152" s="1480">
        <v>0</v>
      </c>
      <c r="J5152" s="1480">
        <v>0</v>
      </c>
      <c r="K5152" s="1508"/>
      <c r="L5152" s="1508"/>
      <c r="M5152" s="1509">
        <f t="shared" si="786"/>
        <v>0</v>
      </c>
      <c r="N5152" s="1508">
        <f t="shared" si="787"/>
        <v>0</v>
      </c>
    </row>
    <row r="5153" spans="1:14" ht="31" outlineLevel="1" x14ac:dyDescent="0.25">
      <c r="A5153" s="1492">
        <f t="shared" si="791"/>
        <v>0</v>
      </c>
      <c r="B5153" s="1492" t="str">
        <f t="shared" si="791"/>
        <v>Life enhancement and efficiency improvement of 500MW U-5 &amp; 6 TDBFP Lub System</v>
      </c>
      <c r="C5153" s="1488">
        <f t="shared" si="791"/>
        <v>0</v>
      </c>
      <c r="D5153" s="1413" t="str">
        <f t="shared" si="791"/>
        <v>-</v>
      </c>
      <c r="E5153" s="560">
        <f t="shared" si="791"/>
        <v>1.5</v>
      </c>
      <c r="F5153" s="1508">
        <f t="shared" si="792"/>
        <v>1.5</v>
      </c>
      <c r="G5153" s="1508">
        <f t="shared" si="793"/>
        <v>1.5</v>
      </c>
      <c r="H5153" s="1508">
        <f t="shared" si="785"/>
        <v>0</v>
      </c>
      <c r="I5153" s="1480">
        <v>0</v>
      </c>
      <c r="J5153" s="1480">
        <v>0</v>
      </c>
      <c r="K5153" s="1508"/>
      <c r="L5153" s="1508"/>
      <c r="M5153" s="1509">
        <f t="shared" si="786"/>
        <v>0</v>
      </c>
      <c r="N5153" s="1508">
        <f t="shared" si="787"/>
        <v>0</v>
      </c>
    </row>
    <row r="5154" spans="1:14" ht="31" outlineLevel="1" x14ac:dyDescent="0.25">
      <c r="A5154" s="1486">
        <f t="shared" si="791"/>
        <v>4</v>
      </c>
      <c r="B5154" s="1491" t="str">
        <f t="shared" si="791"/>
        <v xml:space="preserve">Life enhancement and Reliability improvement schemes of 500MW Main Turbine Assests </v>
      </c>
      <c r="C5154" s="1488">
        <f t="shared" si="791"/>
        <v>0</v>
      </c>
      <c r="D5154" s="1413" t="str">
        <f t="shared" si="791"/>
        <v>-</v>
      </c>
      <c r="E5154" s="560">
        <f t="shared" si="791"/>
        <v>36.81</v>
      </c>
      <c r="F5154" s="1508">
        <f t="shared" si="792"/>
        <v>0</v>
      </c>
      <c r="G5154" s="1508">
        <f t="shared" si="793"/>
        <v>0</v>
      </c>
      <c r="H5154" s="1508">
        <f t="shared" si="785"/>
        <v>0</v>
      </c>
      <c r="I5154" s="1480">
        <v>0</v>
      </c>
      <c r="J5154" s="1480">
        <v>0</v>
      </c>
      <c r="K5154" s="1508"/>
      <c r="L5154" s="1508"/>
      <c r="M5154" s="1509">
        <f t="shared" si="786"/>
        <v>0</v>
      </c>
      <c r="N5154" s="1508">
        <f t="shared" si="787"/>
        <v>0</v>
      </c>
    </row>
    <row r="5155" spans="1:14" ht="46.5" outlineLevel="1" x14ac:dyDescent="0.25">
      <c r="A5155" s="1492">
        <f t="shared" si="791"/>
        <v>0</v>
      </c>
      <c r="B5155" s="1492" t="str">
        <f t="shared" si="791"/>
        <v>Reliability improvement of Low pressure Turbine by maintaining one set of LP free standing blades as insurance spare</v>
      </c>
      <c r="C5155" s="1488">
        <f t="shared" si="791"/>
        <v>0</v>
      </c>
      <c r="D5155" s="1413" t="str">
        <f t="shared" si="791"/>
        <v>-</v>
      </c>
      <c r="E5155" s="560">
        <f t="shared" si="791"/>
        <v>24</v>
      </c>
      <c r="F5155" s="1508">
        <f t="shared" si="792"/>
        <v>24</v>
      </c>
      <c r="G5155" s="1508">
        <f t="shared" si="793"/>
        <v>24</v>
      </c>
      <c r="H5155" s="1508">
        <f t="shared" si="785"/>
        <v>0</v>
      </c>
      <c r="I5155" s="1480">
        <v>0</v>
      </c>
      <c r="J5155" s="1480">
        <v>0</v>
      </c>
      <c r="K5155" s="1508"/>
      <c r="L5155" s="1508"/>
      <c r="M5155" s="1509">
        <f t="shared" si="786"/>
        <v>0</v>
      </c>
      <c r="N5155" s="1508">
        <f t="shared" si="787"/>
        <v>0</v>
      </c>
    </row>
    <row r="5156" spans="1:14" ht="31" outlineLevel="1" x14ac:dyDescent="0.25">
      <c r="A5156" s="1492">
        <f t="shared" si="791"/>
        <v>0</v>
      </c>
      <c r="B5156" s="1492" t="str">
        <f t="shared" si="791"/>
        <v>Performance and efficiency improvement of 500MW U-5 &amp; 6 High Pressure Turbine module</v>
      </c>
      <c r="C5156" s="1488">
        <f t="shared" si="791"/>
        <v>0</v>
      </c>
      <c r="D5156" s="1413" t="str">
        <f t="shared" si="791"/>
        <v>-</v>
      </c>
      <c r="E5156" s="560">
        <f t="shared" si="791"/>
        <v>9.81</v>
      </c>
      <c r="F5156" s="1508">
        <f t="shared" si="792"/>
        <v>9.81</v>
      </c>
      <c r="G5156" s="1508">
        <f t="shared" si="793"/>
        <v>9.81</v>
      </c>
      <c r="H5156" s="1508">
        <f t="shared" si="785"/>
        <v>0</v>
      </c>
      <c r="I5156" s="1480">
        <v>0</v>
      </c>
      <c r="J5156" s="1480">
        <v>0</v>
      </c>
      <c r="K5156" s="1508"/>
      <c r="L5156" s="1508"/>
      <c r="M5156" s="1509">
        <f t="shared" si="786"/>
        <v>0</v>
      </c>
      <c r="N5156" s="1508">
        <f t="shared" si="787"/>
        <v>0</v>
      </c>
    </row>
    <row r="5157" spans="1:14" ht="31" outlineLevel="1" x14ac:dyDescent="0.25">
      <c r="A5157" s="1492">
        <f t="shared" si="791"/>
        <v>0</v>
      </c>
      <c r="B5157" s="1492" t="str">
        <f t="shared" si="791"/>
        <v xml:space="preserve"> Life enhancement and efficiency improvement of 500MW U-5 &amp; 6 Main TG Lub System</v>
      </c>
      <c r="C5157" s="1488">
        <f t="shared" si="791"/>
        <v>0</v>
      </c>
      <c r="D5157" s="1413" t="str">
        <f t="shared" si="791"/>
        <v>-</v>
      </c>
      <c r="E5157" s="560">
        <f t="shared" si="791"/>
        <v>3</v>
      </c>
      <c r="F5157" s="1508">
        <f t="shared" si="792"/>
        <v>3</v>
      </c>
      <c r="G5157" s="1508">
        <f t="shared" si="793"/>
        <v>3</v>
      </c>
      <c r="H5157" s="1508">
        <f t="shared" si="785"/>
        <v>0</v>
      </c>
      <c r="I5157" s="1480">
        <v>0</v>
      </c>
      <c r="J5157" s="1480">
        <v>0</v>
      </c>
      <c r="K5157" s="1508"/>
      <c r="L5157" s="1508"/>
      <c r="M5157" s="1509">
        <f t="shared" si="786"/>
        <v>0</v>
      </c>
      <c r="N5157" s="1508">
        <f t="shared" si="787"/>
        <v>0</v>
      </c>
    </row>
    <row r="5158" spans="1:14" ht="15.5" outlineLevel="1" x14ac:dyDescent="0.25">
      <c r="A5158" s="1486">
        <f t="shared" si="791"/>
        <v>5</v>
      </c>
      <c r="B5158" s="1491" t="str">
        <f t="shared" si="791"/>
        <v xml:space="preserve"> Reliability improvement of Main Turbine </v>
      </c>
      <c r="C5158" s="1488">
        <f t="shared" si="791"/>
        <v>0</v>
      </c>
      <c r="D5158" s="1413" t="str">
        <f t="shared" si="791"/>
        <v>-</v>
      </c>
      <c r="E5158" s="560">
        <f t="shared" si="791"/>
        <v>45</v>
      </c>
      <c r="F5158" s="1508">
        <f t="shared" si="792"/>
        <v>0</v>
      </c>
      <c r="G5158" s="1508">
        <f t="shared" si="793"/>
        <v>0</v>
      </c>
      <c r="H5158" s="1508">
        <f t="shared" si="785"/>
        <v>0</v>
      </c>
      <c r="I5158" s="1480">
        <v>0</v>
      </c>
      <c r="J5158" s="1480">
        <v>0</v>
      </c>
      <c r="K5158" s="1508"/>
      <c r="L5158" s="1508"/>
      <c r="M5158" s="1509">
        <f t="shared" si="786"/>
        <v>0</v>
      </c>
      <c r="N5158" s="1508">
        <f t="shared" si="787"/>
        <v>0</v>
      </c>
    </row>
    <row r="5159" spans="1:14" ht="31" outlineLevel="1" x14ac:dyDescent="0.25">
      <c r="A5159" s="1492">
        <f t="shared" si="791"/>
        <v>0</v>
      </c>
      <c r="B5159" s="1492" t="str">
        <f t="shared" si="791"/>
        <v>Brief Scope of Work; Procurement of critical spares for Main TG U-5, 6 &amp; 7</v>
      </c>
      <c r="C5159" s="1488">
        <f t="shared" si="791"/>
        <v>0</v>
      </c>
      <c r="D5159" s="1413" t="str">
        <f t="shared" si="791"/>
        <v>-</v>
      </c>
      <c r="E5159" s="560">
        <f t="shared" si="791"/>
        <v>10</v>
      </c>
      <c r="F5159" s="1508">
        <f t="shared" si="792"/>
        <v>10</v>
      </c>
      <c r="G5159" s="1508">
        <f t="shared" si="793"/>
        <v>10</v>
      </c>
      <c r="H5159" s="1508">
        <f t="shared" si="785"/>
        <v>0</v>
      </c>
      <c r="I5159" s="1480">
        <v>0</v>
      </c>
      <c r="J5159" s="1480">
        <v>0</v>
      </c>
      <c r="K5159" s="1508"/>
      <c r="L5159" s="1508"/>
      <c r="M5159" s="1509">
        <f t="shared" si="786"/>
        <v>0</v>
      </c>
      <c r="N5159" s="1508">
        <f t="shared" si="787"/>
        <v>0</v>
      </c>
    </row>
    <row r="5160" spans="1:14" ht="46.5" outlineLevel="1" x14ac:dyDescent="0.25">
      <c r="A5160" s="1492">
        <f t="shared" si="791"/>
        <v>0</v>
      </c>
      <c r="B5160" s="1492" t="str">
        <f t="shared" si="791"/>
        <v xml:space="preserve">Procurement of HP turbine Module along with breach nuts and pipe spool pieces (Type:H30-100-2) for Unit-7, CSTPS, Chandrapur </v>
      </c>
      <c r="C5160" s="1488">
        <f t="shared" si="791"/>
        <v>0</v>
      </c>
      <c r="D5160" s="1413" t="str">
        <f t="shared" si="791"/>
        <v>-</v>
      </c>
      <c r="E5160" s="560">
        <f t="shared" si="791"/>
        <v>35</v>
      </c>
      <c r="F5160" s="1508">
        <f t="shared" si="792"/>
        <v>35</v>
      </c>
      <c r="G5160" s="1508">
        <f t="shared" si="793"/>
        <v>35</v>
      </c>
      <c r="H5160" s="1508">
        <f t="shared" si="785"/>
        <v>0</v>
      </c>
      <c r="I5160" s="1480">
        <v>0</v>
      </c>
      <c r="J5160" s="1480">
        <v>0</v>
      </c>
      <c r="K5160" s="1508"/>
      <c r="L5160" s="1508"/>
      <c r="M5160" s="1509">
        <f t="shared" si="786"/>
        <v>0</v>
      </c>
      <c r="N5160" s="1508">
        <f t="shared" si="787"/>
        <v>0</v>
      </c>
    </row>
    <row r="5161" spans="1:14" ht="31" outlineLevel="1" x14ac:dyDescent="0.25">
      <c r="A5161" s="1486">
        <f t="shared" si="791"/>
        <v>6</v>
      </c>
      <c r="B5161" s="1491" t="str">
        <f t="shared" si="791"/>
        <v xml:space="preserve">Reliability improvement of IP Turbine for 500 MW Main TG U-5 &amp; 6 </v>
      </c>
      <c r="C5161" s="1488">
        <f t="shared" si="791"/>
        <v>0</v>
      </c>
      <c r="D5161" s="1413" t="str">
        <f t="shared" si="791"/>
        <v>-</v>
      </c>
      <c r="E5161" s="560">
        <f t="shared" si="791"/>
        <v>35</v>
      </c>
      <c r="F5161" s="1508">
        <f t="shared" si="792"/>
        <v>0</v>
      </c>
      <c r="G5161" s="1508">
        <f t="shared" si="793"/>
        <v>0</v>
      </c>
      <c r="H5161" s="1508">
        <f t="shared" si="785"/>
        <v>0</v>
      </c>
      <c r="I5161" s="1480">
        <v>0</v>
      </c>
      <c r="J5161" s="1480">
        <v>0</v>
      </c>
      <c r="K5161" s="1508"/>
      <c r="L5161" s="1508"/>
      <c r="M5161" s="1509">
        <f t="shared" si="786"/>
        <v>0</v>
      </c>
      <c r="N5161" s="1508">
        <f t="shared" si="787"/>
        <v>0</v>
      </c>
    </row>
    <row r="5162" spans="1:14" ht="46.5" outlineLevel="1" x14ac:dyDescent="0.25">
      <c r="A5162" s="1492">
        <f t="shared" si="791"/>
        <v>0</v>
      </c>
      <c r="B5162" s="1492" t="str">
        <f t="shared" si="791"/>
        <v>Procurement of Fully Bladed &amp; Dynamically Balanced IP Rotor (M 30-50) for 500MW Unit-5 &amp; 6, CSTPS, Chandrapur under Capital Nature items.</v>
      </c>
      <c r="C5162" s="1488">
        <f t="shared" si="791"/>
        <v>0</v>
      </c>
      <c r="D5162" s="1413" t="str">
        <f t="shared" si="791"/>
        <v>-</v>
      </c>
      <c r="E5162" s="560">
        <f t="shared" si="791"/>
        <v>35</v>
      </c>
      <c r="F5162" s="1508">
        <f t="shared" si="792"/>
        <v>35</v>
      </c>
      <c r="G5162" s="1508">
        <f t="shared" si="793"/>
        <v>35</v>
      </c>
      <c r="H5162" s="1508">
        <f t="shared" ref="H5162:H5225" si="794">F5162-G5162</f>
        <v>0</v>
      </c>
      <c r="I5162" s="1480">
        <v>0</v>
      </c>
      <c r="J5162" s="1480">
        <v>0</v>
      </c>
      <c r="K5162" s="1508"/>
      <c r="L5162" s="1508"/>
      <c r="M5162" s="1509">
        <f t="shared" ref="M5162:M5225" si="795">SUM(J5162:L5162)</f>
        <v>0</v>
      </c>
      <c r="N5162" s="1508">
        <f t="shared" ref="N5162:N5225" si="796">H5162+I5162-M5162</f>
        <v>0</v>
      </c>
    </row>
    <row r="5163" spans="1:14" ht="15.5" outlineLevel="1" x14ac:dyDescent="0.25">
      <c r="A5163" s="1486">
        <f t="shared" si="791"/>
        <v>7</v>
      </c>
      <c r="B5163" s="1491" t="str">
        <f t="shared" si="791"/>
        <v>Energy saving in Air compressors</v>
      </c>
      <c r="C5163" s="1488">
        <f t="shared" si="791"/>
        <v>0</v>
      </c>
      <c r="D5163" s="1413" t="str">
        <f t="shared" si="791"/>
        <v>-</v>
      </c>
      <c r="E5163" s="560">
        <f t="shared" si="791"/>
        <v>30</v>
      </c>
      <c r="F5163" s="1508">
        <f t="shared" si="792"/>
        <v>0</v>
      </c>
      <c r="G5163" s="1508">
        <f t="shared" si="793"/>
        <v>0</v>
      </c>
      <c r="H5163" s="1508">
        <f t="shared" si="794"/>
        <v>0</v>
      </c>
      <c r="I5163" s="1480">
        <v>0</v>
      </c>
      <c r="J5163" s="1480">
        <v>0</v>
      </c>
      <c r="K5163" s="1508"/>
      <c r="L5163" s="1508"/>
      <c r="M5163" s="1509">
        <f t="shared" si="795"/>
        <v>0</v>
      </c>
      <c r="N5163" s="1508">
        <f t="shared" si="796"/>
        <v>0</v>
      </c>
    </row>
    <row r="5164" spans="1:14" ht="31" outlineLevel="1" x14ac:dyDescent="0.25">
      <c r="A5164" s="1492">
        <f t="shared" ref="A5164:E5179" si="797">A4494</f>
        <v>0</v>
      </c>
      <c r="B5164" s="1492" t="str">
        <f t="shared" si="797"/>
        <v>Air Compressor Unit-7 to be replaced in a phased manner with energy efficient compressor</v>
      </c>
      <c r="C5164" s="1488">
        <f t="shared" si="797"/>
        <v>0</v>
      </c>
      <c r="D5164" s="1413" t="str">
        <f t="shared" si="797"/>
        <v>-</v>
      </c>
      <c r="E5164" s="560">
        <f t="shared" si="797"/>
        <v>30</v>
      </c>
      <c r="F5164" s="1508">
        <f t="shared" si="792"/>
        <v>0</v>
      </c>
      <c r="G5164" s="1508">
        <f t="shared" si="793"/>
        <v>0</v>
      </c>
      <c r="H5164" s="1508">
        <f t="shared" si="794"/>
        <v>0</v>
      </c>
      <c r="I5164" s="1480">
        <v>30</v>
      </c>
      <c r="J5164" s="1480">
        <v>30</v>
      </c>
      <c r="K5164" s="1508"/>
      <c r="L5164" s="1508"/>
      <c r="M5164" s="1509">
        <f t="shared" si="795"/>
        <v>30</v>
      </c>
      <c r="N5164" s="1508">
        <f t="shared" si="796"/>
        <v>0</v>
      </c>
    </row>
    <row r="5165" spans="1:14" ht="15.5" outlineLevel="1" x14ac:dyDescent="0.25">
      <c r="A5165" s="1486">
        <f t="shared" si="797"/>
        <v>8</v>
      </c>
      <c r="B5165" s="1491" t="str">
        <f t="shared" si="797"/>
        <v>Efficiency Upgrade of AC Plant of Unit-5 &amp; 6</v>
      </c>
      <c r="C5165" s="1488">
        <f t="shared" si="797"/>
        <v>0</v>
      </c>
      <c r="D5165" s="1413" t="str">
        <f t="shared" si="797"/>
        <v>-</v>
      </c>
      <c r="E5165" s="560">
        <f t="shared" si="797"/>
        <v>50</v>
      </c>
      <c r="F5165" s="1508">
        <f t="shared" si="792"/>
        <v>0</v>
      </c>
      <c r="G5165" s="1508">
        <f t="shared" si="793"/>
        <v>0</v>
      </c>
      <c r="H5165" s="1508">
        <f t="shared" si="794"/>
        <v>0</v>
      </c>
      <c r="I5165" s="1480">
        <v>0</v>
      </c>
      <c r="J5165" s="1480">
        <v>0</v>
      </c>
      <c r="K5165" s="1508"/>
      <c r="L5165" s="1508"/>
      <c r="M5165" s="1509">
        <f t="shared" si="795"/>
        <v>0</v>
      </c>
      <c r="N5165" s="1508">
        <f t="shared" si="796"/>
        <v>0</v>
      </c>
    </row>
    <row r="5166" spans="1:14" ht="46.5" outlineLevel="1" x14ac:dyDescent="0.25">
      <c r="A5166" s="1492">
        <f t="shared" si="797"/>
        <v>0</v>
      </c>
      <c r="B5166" s="1492" t="str">
        <f t="shared" si="797"/>
        <v>Design, Manufacture, Supply, Erection &amp; Commissioning,environment friendly, Efficiency Upgrade of AC Plant of Unit-5 &amp; 6</v>
      </c>
      <c r="C5166" s="1488">
        <f t="shared" si="797"/>
        <v>0</v>
      </c>
      <c r="D5166" s="1413" t="str">
        <f t="shared" si="797"/>
        <v>-</v>
      </c>
      <c r="E5166" s="560">
        <f t="shared" si="797"/>
        <v>50</v>
      </c>
      <c r="F5166" s="1508">
        <f t="shared" si="792"/>
        <v>25</v>
      </c>
      <c r="G5166" s="1508">
        <f t="shared" si="793"/>
        <v>25</v>
      </c>
      <c r="H5166" s="1508">
        <f t="shared" si="794"/>
        <v>0</v>
      </c>
      <c r="I5166" s="1480">
        <v>25</v>
      </c>
      <c r="J5166" s="1480">
        <v>25</v>
      </c>
      <c r="K5166" s="1508"/>
      <c r="L5166" s="1508"/>
      <c r="M5166" s="1509">
        <f t="shared" si="795"/>
        <v>25</v>
      </c>
      <c r="N5166" s="1508">
        <f t="shared" si="796"/>
        <v>0</v>
      </c>
    </row>
    <row r="5167" spans="1:14" ht="15.5" outlineLevel="1" x14ac:dyDescent="0.25">
      <c r="A5167" s="1504">
        <f t="shared" si="797"/>
        <v>0</v>
      </c>
      <c r="B5167" s="1504" t="str">
        <f t="shared" si="797"/>
        <v>Electrical Maintenance-II</v>
      </c>
      <c r="C5167" s="1488">
        <f t="shared" si="797"/>
        <v>0</v>
      </c>
      <c r="D5167" s="1413" t="str">
        <f t="shared" si="797"/>
        <v>-</v>
      </c>
      <c r="E5167" s="560">
        <f t="shared" si="797"/>
        <v>0</v>
      </c>
      <c r="F5167" s="1508">
        <f t="shared" si="792"/>
        <v>0</v>
      </c>
      <c r="G5167" s="1508">
        <f t="shared" si="793"/>
        <v>0</v>
      </c>
      <c r="H5167" s="1508">
        <f t="shared" si="794"/>
        <v>0</v>
      </c>
      <c r="I5167" s="1480">
        <v>0</v>
      </c>
      <c r="J5167" s="1480">
        <v>0</v>
      </c>
      <c r="K5167" s="1508"/>
      <c r="L5167" s="1508"/>
      <c r="M5167" s="1509">
        <f t="shared" si="795"/>
        <v>0</v>
      </c>
      <c r="N5167" s="1508">
        <f t="shared" si="796"/>
        <v>0</v>
      </c>
    </row>
    <row r="5168" spans="1:14" ht="139.5" outlineLevel="1" x14ac:dyDescent="0.25">
      <c r="A5168" s="1486">
        <f t="shared" si="797"/>
        <v>1</v>
      </c>
      <c r="B5168" s="1491" t="str">
        <f t="shared" si="797"/>
        <v>Supply, Installation, Testing, Commissioning for complete solution and comprehensive protection and monitoring package along with retrofit of allied accessories for Generator Transformers for 3 X 500 MW Unit#5,6&amp;7 500MW Stage-III CSTPS Chandrapur. &amp;
DPR for “Design, engineering, manufacturing, testing, unloading at site, E&amp;C of  80 MVA 420/11/6.9 kV Three phase Station Transformer and 25 MVA 21/6.9 kV Three phase Unit Auxiliary Transformer as common pool spares for Bhusawal U#4&amp;5, Chandrapur U#8&amp;9 and Khaperkheda U#5”.</v>
      </c>
      <c r="C5168" s="1488">
        <f t="shared" si="797"/>
        <v>0</v>
      </c>
      <c r="D5168" s="1413" t="str">
        <f t="shared" si="797"/>
        <v>-</v>
      </c>
      <c r="E5168" s="560">
        <f t="shared" si="797"/>
        <v>25.07</v>
      </c>
      <c r="F5168" s="1508">
        <f t="shared" si="792"/>
        <v>0</v>
      </c>
      <c r="G5168" s="1508">
        <f t="shared" si="793"/>
        <v>0</v>
      </c>
      <c r="H5168" s="1508">
        <f t="shared" si="794"/>
        <v>0</v>
      </c>
      <c r="I5168" s="1480">
        <v>0</v>
      </c>
      <c r="J5168" s="1480">
        <v>0</v>
      </c>
      <c r="K5168" s="1508"/>
      <c r="L5168" s="1508"/>
      <c r="M5168" s="1509">
        <f t="shared" si="795"/>
        <v>0</v>
      </c>
      <c r="N5168" s="1508">
        <f t="shared" si="796"/>
        <v>0</v>
      </c>
    </row>
    <row r="5169" spans="1:14" ht="77.5" outlineLevel="1" x14ac:dyDescent="0.25">
      <c r="A5169" s="1492">
        <f t="shared" si="797"/>
        <v>0</v>
      </c>
      <c r="B5169" s="1492" t="str">
        <f t="shared" si="797"/>
        <v>Supply, Installation, Testing, Commissioning for complete solution and comprehensive protection and monitoring package along with retrofit of allied accessories for Generator Transformers for 3 X 500 MW Unit#5,6&amp;7 500MW Stage-III CSTPS Chandrapur.</v>
      </c>
      <c r="C5169" s="1488">
        <f t="shared" si="797"/>
        <v>0</v>
      </c>
      <c r="D5169" s="1413" t="str">
        <f t="shared" si="797"/>
        <v>-</v>
      </c>
      <c r="E5169" s="560">
        <f t="shared" si="797"/>
        <v>15.07</v>
      </c>
      <c r="F5169" s="1508">
        <f t="shared" si="792"/>
        <v>15.07</v>
      </c>
      <c r="G5169" s="1508">
        <f t="shared" si="793"/>
        <v>15.07</v>
      </c>
      <c r="H5169" s="1508">
        <f t="shared" si="794"/>
        <v>0</v>
      </c>
      <c r="I5169" s="1480">
        <v>0</v>
      </c>
      <c r="J5169" s="1480">
        <v>0</v>
      </c>
      <c r="K5169" s="1508"/>
      <c r="L5169" s="1508"/>
      <c r="M5169" s="1509">
        <f t="shared" si="795"/>
        <v>0</v>
      </c>
      <c r="N5169" s="1508">
        <f t="shared" si="796"/>
        <v>0</v>
      </c>
    </row>
    <row r="5170" spans="1:14" ht="108.5" outlineLevel="1" x14ac:dyDescent="0.25">
      <c r="A5170" s="1492">
        <f t="shared" si="797"/>
        <v>0</v>
      </c>
      <c r="B5170" s="1492" t="str">
        <f t="shared" si="797"/>
        <v>Design, Engineering, Manufacturing, Transportation to CSTPS site, unloading, Erection, Testing &amp; Commissioning of new 12.5MVA, 21/3.45 KV, 3 phase, Unit Auxiliary Transformer and 90/45/45 MVA, Rated Voltage: HV-400 KV, LV1-11.5KV, LV2-11.5KV, 3 phase, Station Transformer, complete with all fittings and accessories along with insulating oil for first filling for 500MW Stage-III CSTPS Chandrapur”.</v>
      </c>
      <c r="C5170" s="1488">
        <f t="shared" si="797"/>
        <v>0</v>
      </c>
      <c r="D5170" s="1413" t="str">
        <f t="shared" si="797"/>
        <v>-</v>
      </c>
      <c r="E5170" s="560">
        <f t="shared" si="797"/>
        <v>10</v>
      </c>
      <c r="F5170" s="1508">
        <f t="shared" si="792"/>
        <v>10</v>
      </c>
      <c r="G5170" s="1508">
        <f t="shared" si="793"/>
        <v>10</v>
      </c>
      <c r="H5170" s="1508">
        <f t="shared" si="794"/>
        <v>0</v>
      </c>
      <c r="I5170" s="1480">
        <v>0</v>
      </c>
      <c r="J5170" s="1480">
        <v>0</v>
      </c>
      <c r="K5170" s="1508"/>
      <c r="L5170" s="1508"/>
      <c r="M5170" s="1509">
        <f t="shared" si="795"/>
        <v>0</v>
      </c>
      <c r="N5170" s="1508">
        <f t="shared" si="796"/>
        <v>0</v>
      </c>
    </row>
    <row r="5171" spans="1:14" ht="31" outlineLevel="1" x14ac:dyDescent="0.25">
      <c r="A5171" s="1486">
        <f t="shared" si="797"/>
        <v>2</v>
      </c>
      <c r="B5171" s="1491" t="str">
        <f t="shared" si="797"/>
        <v>DPR for Life enhancement and Energy efficiency of Critical HT Auxiliaries of Unit#3 to 7, CSTPS, Chandrapur</v>
      </c>
      <c r="C5171" s="1488">
        <f t="shared" si="797"/>
        <v>0</v>
      </c>
      <c r="D5171" s="1413" t="str">
        <f t="shared" si="797"/>
        <v>-</v>
      </c>
      <c r="E5171" s="560">
        <f t="shared" si="797"/>
        <v>44.31</v>
      </c>
      <c r="F5171" s="1508">
        <f t="shared" si="792"/>
        <v>0</v>
      </c>
      <c r="G5171" s="1508">
        <f t="shared" si="793"/>
        <v>0</v>
      </c>
      <c r="H5171" s="1508">
        <f t="shared" si="794"/>
        <v>0</v>
      </c>
      <c r="I5171" s="1480">
        <v>0</v>
      </c>
      <c r="J5171" s="1480">
        <v>0</v>
      </c>
      <c r="K5171" s="1508"/>
      <c r="L5171" s="1508"/>
      <c r="M5171" s="1509">
        <f t="shared" si="795"/>
        <v>0</v>
      </c>
      <c r="N5171" s="1508">
        <f t="shared" si="796"/>
        <v>0</v>
      </c>
    </row>
    <row r="5172" spans="1:14" ht="31" outlineLevel="1" x14ac:dyDescent="0.25">
      <c r="A5172" s="1492">
        <f t="shared" si="797"/>
        <v>0</v>
      </c>
      <c r="B5172" s="1492" t="str">
        <f t="shared" si="797"/>
        <v>Life enhancement and Energy efficiency of Critical HT Auxiliaries of Unit#3 to 7, CSTPS, Chandrapur</v>
      </c>
      <c r="C5172" s="1488">
        <f t="shared" si="797"/>
        <v>0</v>
      </c>
      <c r="D5172" s="1413" t="str">
        <f t="shared" si="797"/>
        <v>-</v>
      </c>
      <c r="E5172" s="560">
        <f t="shared" si="797"/>
        <v>44.31</v>
      </c>
      <c r="F5172" s="1508">
        <f t="shared" si="792"/>
        <v>44.31</v>
      </c>
      <c r="G5172" s="1508">
        <f t="shared" si="793"/>
        <v>44.31</v>
      </c>
      <c r="H5172" s="1508">
        <f t="shared" si="794"/>
        <v>0</v>
      </c>
      <c r="I5172" s="1480">
        <v>0</v>
      </c>
      <c r="J5172" s="1480">
        <v>0</v>
      </c>
      <c r="K5172" s="1508"/>
      <c r="L5172" s="1508"/>
      <c r="M5172" s="1509">
        <f t="shared" si="795"/>
        <v>0</v>
      </c>
      <c r="N5172" s="1508">
        <f t="shared" si="796"/>
        <v>0</v>
      </c>
    </row>
    <row r="5173" spans="1:14" ht="31" outlineLevel="1" x14ac:dyDescent="0.25">
      <c r="A5173" s="1486">
        <f t="shared" si="797"/>
        <v>3</v>
      </c>
      <c r="B5173" s="1491" t="str">
        <f t="shared" si="797"/>
        <v>DPR for “Supply &amp; Installation of energy saving plates for Energy Conservation  at 3X500MW, CSTPS, Chandrapur.”</v>
      </c>
      <c r="C5173" s="1488">
        <f t="shared" si="797"/>
        <v>0</v>
      </c>
      <c r="D5173" s="1413" t="str">
        <f t="shared" si="797"/>
        <v>-</v>
      </c>
      <c r="E5173" s="560">
        <f t="shared" si="797"/>
        <v>25</v>
      </c>
      <c r="F5173" s="1508">
        <f t="shared" si="792"/>
        <v>0</v>
      </c>
      <c r="G5173" s="1508">
        <f t="shared" si="793"/>
        <v>0</v>
      </c>
      <c r="H5173" s="1508">
        <f t="shared" si="794"/>
        <v>0</v>
      </c>
      <c r="I5173" s="1480">
        <v>0</v>
      </c>
      <c r="J5173" s="1480">
        <v>0</v>
      </c>
      <c r="K5173" s="1508"/>
      <c r="L5173" s="1508"/>
      <c r="M5173" s="1509">
        <f t="shared" si="795"/>
        <v>0</v>
      </c>
      <c r="N5173" s="1508">
        <f t="shared" si="796"/>
        <v>0</v>
      </c>
    </row>
    <row r="5174" spans="1:14" ht="31" outlineLevel="1" x14ac:dyDescent="0.25">
      <c r="A5174" s="1492">
        <f t="shared" si="797"/>
        <v>0</v>
      </c>
      <c r="B5174" s="1492" t="str">
        <f t="shared" si="797"/>
        <v>Supply &amp; Installation of energy saving plates for Energy Conservation  at 3X500MW, CSTPS, Chandrapur.</v>
      </c>
      <c r="C5174" s="1488">
        <f t="shared" si="797"/>
        <v>0</v>
      </c>
      <c r="D5174" s="1413" t="str">
        <f t="shared" si="797"/>
        <v>-</v>
      </c>
      <c r="E5174" s="560">
        <f t="shared" si="797"/>
        <v>25</v>
      </c>
      <c r="F5174" s="1508">
        <f t="shared" si="792"/>
        <v>0</v>
      </c>
      <c r="G5174" s="1508">
        <f t="shared" si="793"/>
        <v>0</v>
      </c>
      <c r="H5174" s="1508">
        <f t="shared" si="794"/>
        <v>0</v>
      </c>
      <c r="I5174" s="1480">
        <v>25</v>
      </c>
      <c r="J5174" s="1480">
        <v>25</v>
      </c>
      <c r="K5174" s="1508"/>
      <c r="L5174" s="1508"/>
      <c r="M5174" s="1509">
        <f t="shared" si="795"/>
        <v>25</v>
      </c>
      <c r="N5174" s="1508">
        <f t="shared" si="796"/>
        <v>0</v>
      </c>
    </row>
    <row r="5175" spans="1:14" ht="108.5" outlineLevel="1" x14ac:dyDescent="0.25">
      <c r="A5175" s="1486">
        <f t="shared" si="797"/>
        <v>4</v>
      </c>
      <c r="B5175" s="1491" t="str">
        <f t="shared" si="797"/>
        <v>DPR for "Complete renovation of Chimney elevator ) of Unit-5,6,7" &amp;
Complete revamping of chimney aviation obstruction lights (AOL) &amp; other associated spares installed at unit#5,6&amp;7 CSTPS Chandrapur. &amp;
DPR for “Provision of 11KV supply to Aundha pump house from Unit 5,6&amp;7.”</v>
      </c>
      <c r="C5175" s="1488">
        <f t="shared" si="797"/>
        <v>0</v>
      </c>
      <c r="D5175" s="1413" t="str">
        <f t="shared" si="797"/>
        <v>-</v>
      </c>
      <c r="E5175" s="560">
        <f t="shared" si="797"/>
        <v>38</v>
      </c>
      <c r="F5175" s="1508">
        <f t="shared" si="792"/>
        <v>0</v>
      </c>
      <c r="G5175" s="1508">
        <f t="shared" si="793"/>
        <v>0</v>
      </c>
      <c r="H5175" s="1508">
        <f t="shared" si="794"/>
        <v>0</v>
      </c>
      <c r="I5175" s="1480">
        <v>0</v>
      </c>
      <c r="J5175" s="1480">
        <v>0</v>
      </c>
      <c r="K5175" s="1508"/>
      <c r="L5175" s="1508"/>
      <c r="M5175" s="1509">
        <f t="shared" si="795"/>
        <v>0</v>
      </c>
      <c r="N5175" s="1508">
        <f t="shared" si="796"/>
        <v>0</v>
      </c>
    </row>
    <row r="5176" spans="1:14" ht="46.5" outlineLevel="1" x14ac:dyDescent="0.25">
      <c r="A5176" s="1492">
        <f t="shared" si="797"/>
        <v>0</v>
      </c>
      <c r="B5176" s="1492" t="str">
        <f t="shared" si="797"/>
        <v xml:space="preserve">Complete renovation of Chimney elevator of Unit-5,6,7
</v>
      </c>
      <c r="C5176" s="1488">
        <f t="shared" si="797"/>
        <v>0</v>
      </c>
      <c r="D5176" s="1413" t="str">
        <f t="shared" si="797"/>
        <v>-</v>
      </c>
      <c r="E5176" s="560">
        <f t="shared" si="797"/>
        <v>10</v>
      </c>
      <c r="F5176" s="1508">
        <f t="shared" si="792"/>
        <v>10</v>
      </c>
      <c r="G5176" s="1508">
        <f t="shared" si="793"/>
        <v>10</v>
      </c>
      <c r="H5176" s="1508">
        <f t="shared" si="794"/>
        <v>0</v>
      </c>
      <c r="I5176" s="1480">
        <v>0</v>
      </c>
      <c r="J5176" s="1480">
        <v>0</v>
      </c>
      <c r="K5176" s="1508"/>
      <c r="L5176" s="1508"/>
      <c r="M5176" s="1509">
        <f t="shared" si="795"/>
        <v>0</v>
      </c>
      <c r="N5176" s="1508">
        <f t="shared" si="796"/>
        <v>0</v>
      </c>
    </row>
    <row r="5177" spans="1:14" ht="46.5" outlineLevel="1" x14ac:dyDescent="0.25">
      <c r="A5177" s="1492">
        <f t="shared" si="797"/>
        <v>0</v>
      </c>
      <c r="B5177" s="1492" t="str">
        <f t="shared" si="797"/>
        <v>Complete revamping of chimney aviation obstruction lights (AOL) &amp; other associated spares installed at unit#5,6&amp;7 CSTPS Chandrapur.</v>
      </c>
      <c r="C5177" s="1488">
        <f t="shared" si="797"/>
        <v>0</v>
      </c>
      <c r="D5177" s="1413" t="str">
        <f t="shared" si="797"/>
        <v>-</v>
      </c>
      <c r="E5177" s="560">
        <f t="shared" si="797"/>
        <v>3</v>
      </c>
      <c r="F5177" s="1508">
        <f t="shared" si="792"/>
        <v>3</v>
      </c>
      <c r="G5177" s="1508">
        <f t="shared" si="793"/>
        <v>3</v>
      </c>
      <c r="H5177" s="1508">
        <f t="shared" si="794"/>
        <v>0</v>
      </c>
      <c r="I5177" s="1480">
        <v>0</v>
      </c>
      <c r="J5177" s="1480">
        <v>0</v>
      </c>
      <c r="K5177" s="1508"/>
      <c r="L5177" s="1508"/>
      <c r="M5177" s="1509">
        <f t="shared" si="795"/>
        <v>0</v>
      </c>
      <c r="N5177" s="1508">
        <f t="shared" si="796"/>
        <v>0</v>
      </c>
    </row>
    <row r="5178" spans="1:14" ht="31" outlineLevel="1" x14ac:dyDescent="0.25">
      <c r="A5178" s="1492">
        <f t="shared" si="797"/>
        <v>0</v>
      </c>
      <c r="B5178" s="1492" t="str">
        <f t="shared" si="797"/>
        <v>Provision of 11KV supply to Aundha pump house from U 5,6&amp;7 Station boards.</v>
      </c>
      <c r="C5178" s="1488">
        <f t="shared" si="797"/>
        <v>0</v>
      </c>
      <c r="D5178" s="1413" t="str">
        <f t="shared" si="797"/>
        <v>-</v>
      </c>
      <c r="E5178" s="560">
        <f t="shared" si="797"/>
        <v>25</v>
      </c>
      <c r="F5178" s="1508">
        <f t="shared" si="792"/>
        <v>25</v>
      </c>
      <c r="G5178" s="1508">
        <f t="shared" si="793"/>
        <v>25</v>
      </c>
      <c r="H5178" s="1508">
        <f t="shared" si="794"/>
        <v>0</v>
      </c>
      <c r="I5178" s="1480">
        <v>0</v>
      </c>
      <c r="J5178" s="1480">
        <v>0</v>
      </c>
      <c r="K5178" s="1508"/>
      <c r="L5178" s="1508"/>
      <c r="M5178" s="1509">
        <f t="shared" si="795"/>
        <v>0</v>
      </c>
      <c r="N5178" s="1508">
        <f t="shared" si="796"/>
        <v>0</v>
      </c>
    </row>
    <row r="5179" spans="1:14" ht="62" outlineLevel="1" x14ac:dyDescent="0.25">
      <c r="A5179" s="1486">
        <f t="shared" si="797"/>
        <v>5</v>
      </c>
      <c r="B5179" s="1491" t="str">
        <f t="shared" si="797"/>
        <v xml:space="preserve">DPR for Energy saving by installation of VFD for CEP motors at Unit#5 to 9, CSTPS, Chandrapur.
</v>
      </c>
      <c r="C5179" s="1488">
        <f t="shared" si="797"/>
        <v>0</v>
      </c>
      <c r="D5179" s="1413" t="str">
        <f t="shared" si="797"/>
        <v>-</v>
      </c>
      <c r="E5179" s="560">
        <f t="shared" si="797"/>
        <v>26</v>
      </c>
      <c r="F5179" s="1508">
        <f t="shared" si="792"/>
        <v>0</v>
      </c>
      <c r="G5179" s="1508">
        <f t="shared" si="793"/>
        <v>0</v>
      </c>
      <c r="H5179" s="1508">
        <f t="shared" si="794"/>
        <v>0</v>
      </c>
      <c r="I5179" s="1480">
        <v>0</v>
      </c>
      <c r="J5179" s="1480">
        <v>0</v>
      </c>
      <c r="K5179" s="1508"/>
      <c r="L5179" s="1508"/>
      <c r="M5179" s="1509">
        <f t="shared" si="795"/>
        <v>0</v>
      </c>
      <c r="N5179" s="1508">
        <f t="shared" si="796"/>
        <v>0</v>
      </c>
    </row>
    <row r="5180" spans="1:14" ht="62" outlineLevel="1" x14ac:dyDescent="0.25">
      <c r="A5180" s="1492">
        <f t="shared" ref="A5180:E5195" si="798">A4510</f>
        <v>0</v>
      </c>
      <c r="B5180" s="1492" t="str">
        <f t="shared" si="798"/>
        <v xml:space="preserve">Energy saving by installation of VFD for CEP motors at Unit#5 to 9, CSTPS, Chandrapur.
</v>
      </c>
      <c r="C5180" s="1488">
        <f t="shared" si="798"/>
        <v>0</v>
      </c>
      <c r="D5180" s="1413" t="str">
        <f t="shared" si="798"/>
        <v>-</v>
      </c>
      <c r="E5180" s="560">
        <f t="shared" si="798"/>
        <v>26</v>
      </c>
      <c r="F5180" s="1508">
        <f t="shared" si="792"/>
        <v>26</v>
      </c>
      <c r="G5180" s="1508">
        <f t="shared" si="793"/>
        <v>26</v>
      </c>
      <c r="H5180" s="1508">
        <f t="shared" si="794"/>
        <v>0</v>
      </c>
      <c r="I5180" s="1480">
        <v>0</v>
      </c>
      <c r="J5180" s="1480">
        <v>0</v>
      </c>
      <c r="K5180" s="1508"/>
      <c r="L5180" s="1508"/>
      <c r="M5180" s="1509">
        <f t="shared" si="795"/>
        <v>0</v>
      </c>
      <c r="N5180" s="1508">
        <f t="shared" si="796"/>
        <v>0</v>
      </c>
    </row>
    <row r="5181" spans="1:14" ht="31" outlineLevel="1" x14ac:dyDescent="0.25">
      <c r="A5181" s="1486">
        <f t="shared" si="798"/>
        <v>6</v>
      </c>
      <c r="B5181" s="1491" t="str">
        <f t="shared" si="798"/>
        <v>DPR for Energy saving by installation of VFD for PA Fan &amp; ID Fan  motors at Unit#5 to 9, CSTPS, Chandrapur.</v>
      </c>
      <c r="C5181" s="1488">
        <f t="shared" si="798"/>
        <v>0</v>
      </c>
      <c r="D5181" s="1413" t="str">
        <f t="shared" si="798"/>
        <v>-</v>
      </c>
      <c r="E5181" s="560">
        <f t="shared" si="798"/>
        <v>25</v>
      </c>
      <c r="F5181" s="1508">
        <f t="shared" si="792"/>
        <v>0</v>
      </c>
      <c r="G5181" s="1508">
        <f t="shared" si="793"/>
        <v>0</v>
      </c>
      <c r="H5181" s="1508">
        <f t="shared" si="794"/>
        <v>0</v>
      </c>
      <c r="I5181" s="1480">
        <v>0</v>
      </c>
      <c r="J5181" s="1480">
        <v>0</v>
      </c>
      <c r="K5181" s="1508"/>
      <c r="L5181" s="1508"/>
      <c r="M5181" s="1509">
        <f t="shared" si="795"/>
        <v>0</v>
      </c>
      <c r="N5181" s="1508">
        <f t="shared" si="796"/>
        <v>0</v>
      </c>
    </row>
    <row r="5182" spans="1:14" ht="31" outlineLevel="1" x14ac:dyDescent="0.25">
      <c r="A5182" s="1492">
        <f t="shared" si="798"/>
        <v>0</v>
      </c>
      <c r="B5182" s="1492" t="str">
        <f t="shared" si="798"/>
        <v>Energy saving by installation of VFD for PA Fan &amp; ID Fan  motors at Unit#5 to 9, CSTPS, Chandrapur.</v>
      </c>
      <c r="C5182" s="1488">
        <f t="shared" si="798"/>
        <v>0</v>
      </c>
      <c r="D5182" s="1413" t="str">
        <f t="shared" si="798"/>
        <v>-</v>
      </c>
      <c r="E5182" s="560">
        <f t="shared" si="798"/>
        <v>25</v>
      </c>
      <c r="F5182" s="1508">
        <f t="shared" si="792"/>
        <v>25</v>
      </c>
      <c r="G5182" s="1508">
        <f t="shared" si="793"/>
        <v>25</v>
      </c>
      <c r="H5182" s="1508">
        <f t="shared" si="794"/>
        <v>0</v>
      </c>
      <c r="I5182" s="1480">
        <v>0</v>
      </c>
      <c r="J5182" s="1480">
        <v>0</v>
      </c>
      <c r="K5182" s="1508"/>
      <c r="L5182" s="1508"/>
      <c r="M5182" s="1509">
        <f t="shared" si="795"/>
        <v>0</v>
      </c>
      <c r="N5182" s="1508">
        <f t="shared" si="796"/>
        <v>0</v>
      </c>
    </row>
    <row r="5183" spans="1:14" ht="31" outlineLevel="1" x14ac:dyDescent="0.25">
      <c r="A5183" s="1486">
        <f t="shared" si="798"/>
        <v>7</v>
      </c>
      <c r="B5183" s="1491" t="str">
        <f t="shared" si="798"/>
        <v>DPR for refurbishment of Critical HT &amp; LT board installed at Unit#5,6,&amp;7, CSTPS Chandrapur.</v>
      </c>
      <c r="C5183" s="1488">
        <f t="shared" si="798"/>
        <v>0</v>
      </c>
      <c r="D5183" s="1413" t="str">
        <f t="shared" si="798"/>
        <v>-</v>
      </c>
      <c r="E5183" s="560">
        <f t="shared" si="798"/>
        <v>25</v>
      </c>
      <c r="F5183" s="1508">
        <f t="shared" si="792"/>
        <v>0</v>
      </c>
      <c r="G5183" s="1508">
        <f t="shared" si="793"/>
        <v>0</v>
      </c>
      <c r="H5183" s="1508">
        <f t="shared" si="794"/>
        <v>0</v>
      </c>
      <c r="I5183" s="1480">
        <v>0</v>
      </c>
      <c r="J5183" s="1480">
        <v>0</v>
      </c>
      <c r="K5183" s="1508"/>
      <c r="L5183" s="1508"/>
      <c r="M5183" s="1509">
        <f t="shared" si="795"/>
        <v>0</v>
      </c>
      <c r="N5183" s="1508">
        <f t="shared" si="796"/>
        <v>0</v>
      </c>
    </row>
    <row r="5184" spans="1:14" ht="31" outlineLevel="1" x14ac:dyDescent="0.25">
      <c r="A5184" s="1492">
        <f t="shared" si="798"/>
        <v>0</v>
      </c>
      <c r="B5184" s="1492" t="str">
        <f t="shared" si="798"/>
        <v xml:space="preserve"> Refurbishment of Critical HT &amp; LT board installed at Unit#5,6,&amp;7, CSTPS Chandrapur.</v>
      </c>
      <c r="C5184" s="1488">
        <f t="shared" si="798"/>
        <v>0</v>
      </c>
      <c r="D5184" s="1413" t="str">
        <f t="shared" si="798"/>
        <v>-</v>
      </c>
      <c r="E5184" s="560">
        <f t="shared" si="798"/>
        <v>25</v>
      </c>
      <c r="F5184" s="1508">
        <f t="shared" si="792"/>
        <v>25</v>
      </c>
      <c r="G5184" s="1508">
        <f t="shared" si="793"/>
        <v>25</v>
      </c>
      <c r="H5184" s="1508">
        <f t="shared" si="794"/>
        <v>0</v>
      </c>
      <c r="I5184" s="1480">
        <v>0</v>
      </c>
      <c r="J5184" s="1480">
        <v>0</v>
      </c>
      <c r="K5184" s="1508"/>
      <c r="L5184" s="1508"/>
      <c r="M5184" s="1509">
        <f t="shared" si="795"/>
        <v>0</v>
      </c>
      <c r="N5184" s="1508">
        <f t="shared" si="796"/>
        <v>0</v>
      </c>
    </row>
    <row r="5185" spans="1:14" ht="31" outlineLevel="1" x14ac:dyDescent="0.25">
      <c r="A5185" s="1486">
        <f t="shared" si="798"/>
        <v>8</v>
      </c>
      <c r="B5185" s="1491" t="str">
        <f t="shared" si="798"/>
        <v>Refurbishment of LV bus duct Bus duct of UAT, SAT, station transformer installed at Unit#5,6,&amp;7, CSTPS Chandrapur.</v>
      </c>
      <c r="C5185" s="1488">
        <f t="shared" si="798"/>
        <v>0</v>
      </c>
      <c r="D5185" s="1413" t="str">
        <f t="shared" si="798"/>
        <v>-</v>
      </c>
      <c r="E5185" s="560">
        <f t="shared" si="798"/>
        <v>30</v>
      </c>
      <c r="F5185" s="1508">
        <f t="shared" si="792"/>
        <v>0</v>
      </c>
      <c r="G5185" s="1508">
        <f t="shared" si="793"/>
        <v>0</v>
      </c>
      <c r="H5185" s="1508">
        <f t="shared" si="794"/>
        <v>0</v>
      </c>
      <c r="I5185" s="1480">
        <v>0</v>
      </c>
      <c r="J5185" s="1480">
        <v>0</v>
      </c>
      <c r="K5185" s="1508"/>
      <c r="L5185" s="1508"/>
      <c r="M5185" s="1509">
        <f t="shared" si="795"/>
        <v>0</v>
      </c>
      <c r="N5185" s="1508">
        <f t="shared" si="796"/>
        <v>0</v>
      </c>
    </row>
    <row r="5186" spans="1:14" ht="31" outlineLevel="1" x14ac:dyDescent="0.25">
      <c r="A5186" s="1492">
        <f t="shared" si="798"/>
        <v>0</v>
      </c>
      <c r="B5186" s="1492" t="str">
        <f t="shared" si="798"/>
        <v>Refurbishment of LV bus duct Bus duct of UAT, SAT, station transformer installed at Unit#5,6,&amp;7, CSTPS Chandrapur.</v>
      </c>
      <c r="C5186" s="1488">
        <f t="shared" si="798"/>
        <v>0</v>
      </c>
      <c r="D5186" s="1413" t="str">
        <f t="shared" si="798"/>
        <v>-</v>
      </c>
      <c r="E5186" s="560">
        <f t="shared" si="798"/>
        <v>30</v>
      </c>
      <c r="F5186" s="1508">
        <f t="shared" si="792"/>
        <v>30</v>
      </c>
      <c r="G5186" s="1508">
        <f t="shared" si="793"/>
        <v>30</v>
      </c>
      <c r="H5186" s="1508">
        <f t="shared" si="794"/>
        <v>0</v>
      </c>
      <c r="I5186" s="1480">
        <v>0</v>
      </c>
      <c r="J5186" s="1480">
        <v>0</v>
      </c>
      <c r="K5186" s="1508"/>
      <c r="L5186" s="1508"/>
      <c r="M5186" s="1509">
        <f t="shared" si="795"/>
        <v>0</v>
      </c>
      <c r="N5186" s="1508">
        <f t="shared" si="796"/>
        <v>0</v>
      </c>
    </row>
    <row r="5187" spans="1:14" ht="15.5" outlineLevel="1" x14ac:dyDescent="0.25">
      <c r="A5187" s="1504">
        <f t="shared" si="798"/>
        <v>0</v>
      </c>
      <c r="B5187" s="1504" t="str">
        <f t="shared" si="798"/>
        <v>Instrumentation &amp; Control-II</v>
      </c>
      <c r="C5187" s="1488">
        <f t="shared" si="798"/>
        <v>0</v>
      </c>
      <c r="D5187" s="1413" t="str">
        <f t="shared" si="798"/>
        <v>-</v>
      </c>
      <c r="E5187" s="560">
        <f t="shared" si="798"/>
        <v>0</v>
      </c>
      <c r="F5187" s="1508">
        <f t="shared" si="792"/>
        <v>0</v>
      </c>
      <c r="G5187" s="1508">
        <f t="shared" si="793"/>
        <v>0</v>
      </c>
      <c r="H5187" s="1508">
        <f t="shared" si="794"/>
        <v>0</v>
      </c>
      <c r="I5187" s="1480">
        <v>0</v>
      </c>
      <c r="J5187" s="1480">
        <v>0</v>
      </c>
      <c r="K5187" s="1508"/>
      <c r="L5187" s="1508"/>
      <c r="M5187" s="1509">
        <f t="shared" si="795"/>
        <v>0</v>
      </c>
      <c r="N5187" s="1508">
        <f t="shared" si="796"/>
        <v>0</v>
      </c>
    </row>
    <row r="5188" spans="1:14" ht="31" outlineLevel="1" x14ac:dyDescent="0.25">
      <c r="A5188" s="1486">
        <f t="shared" si="798"/>
        <v>1</v>
      </c>
      <c r="B5188" s="1491" t="str">
        <f t="shared" si="798"/>
        <v>Complete Supply ,Erection and Commissioning DDCMIS system of Unit 7 at CSTPS</v>
      </c>
      <c r="C5188" s="1488">
        <f t="shared" si="798"/>
        <v>0</v>
      </c>
      <c r="D5188" s="1413" t="str">
        <f t="shared" si="798"/>
        <v>-</v>
      </c>
      <c r="E5188" s="560">
        <f t="shared" si="798"/>
        <v>30</v>
      </c>
      <c r="F5188" s="1508">
        <f t="shared" si="792"/>
        <v>0</v>
      </c>
      <c r="G5188" s="1508">
        <f t="shared" si="793"/>
        <v>0</v>
      </c>
      <c r="H5188" s="1508">
        <f t="shared" si="794"/>
        <v>0</v>
      </c>
      <c r="I5188" s="1480">
        <v>0</v>
      </c>
      <c r="J5188" s="1480">
        <v>0</v>
      </c>
      <c r="K5188" s="1508"/>
      <c r="L5188" s="1508"/>
      <c r="M5188" s="1509">
        <f t="shared" si="795"/>
        <v>0</v>
      </c>
      <c r="N5188" s="1508">
        <f t="shared" si="796"/>
        <v>0</v>
      </c>
    </row>
    <row r="5189" spans="1:14" ht="31" outlineLevel="1" x14ac:dyDescent="0.25">
      <c r="A5189" s="1492">
        <f t="shared" si="798"/>
        <v>0</v>
      </c>
      <c r="B5189" s="1492" t="str">
        <f t="shared" si="798"/>
        <v>Complete Supply ,Erection and Commissioning DDCMIS system of Unit 7  at CSTPS</v>
      </c>
      <c r="C5189" s="1488">
        <f t="shared" si="798"/>
        <v>0</v>
      </c>
      <c r="D5189" s="1413" t="str">
        <f t="shared" si="798"/>
        <v>-</v>
      </c>
      <c r="E5189" s="560">
        <f t="shared" si="798"/>
        <v>30</v>
      </c>
      <c r="F5189" s="1508">
        <f t="shared" si="792"/>
        <v>30</v>
      </c>
      <c r="G5189" s="1508">
        <f t="shared" si="793"/>
        <v>30</v>
      </c>
      <c r="H5189" s="1508">
        <f t="shared" si="794"/>
        <v>0</v>
      </c>
      <c r="I5189" s="1480">
        <v>0</v>
      </c>
      <c r="J5189" s="1480">
        <v>0</v>
      </c>
      <c r="K5189" s="1508"/>
      <c r="L5189" s="1508"/>
      <c r="M5189" s="1509">
        <f t="shared" si="795"/>
        <v>0</v>
      </c>
      <c r="N5189" s="1508">
        <f t="shared" si="796"/>
        <v>0</v>
      </c>
    </row>
    <row r="5190" spans="1:14" ht="31" outlineLevel="1" x14ac:dyDescent="0.25">
      <c r="A5190" s="1486">
        <f t="shared" si="798"/>
        <v>2</v>
      </c>
      <c r="B5190" s="1491" t="str">
        <f t="shared" si="798"/>
        <v>Implementation of Flexible Operation Solutions for Unit5,6 &amp;7, CSTPS, Chandrapur</v>
      </c>
      <c r="C5190" s="1488">
        <f t="shared" si="798"/>
        <v>0</v>
      </c>
      <c r="D5190" s="1413" t="str">
        <f t="shared" si="798"/>
        <v>-</v>
      </c>
      <c r="E5190" s="560">
        <f t="shared" si="798"/>
        <v>40</v>
      </c>
      <c r="F5190" s="1508">
        <f t="shared" si="792"/>
        <v>0</v>
      </c>
      <c r="G5190" s="1508">
        <f t="shared" si="793"/>
        <v>0</v>
      </c>
      <c r="H5190" s="1508">
        <f t="shared" si="794"/>
        <v>0</v>
      </c>
      <c r="I5190" s="1480">
        <v>0</v>
      </c>
      <c r="J5190" s="1480">
        <v>0</v>
      </c>
      <c r="K5190" s="1508"/>
      <c r="L5190" s="1508"/>
      <c r="M5190" s="1509">
        <f t="shared" si="795"/>
        <v>0</v>
      </c>
      <c r="N5190" s="1508">
        <f t="shared" si="796"/>
        <v>0</v>
      </c>
    </row>
    <row r="5191" spans="1:14" ht="31" outlineLevel="1" x14ac:dyDescent="0.25">
      <c r="A5191" s="1492">
        <f t="shared" si="798"/>
        <v>0</v>
      </c>
      <c r="B5191" s="1492" t="str">
        <f t="shared" si="798"/>
        <v>Implementation of Flexible Operation Solutions for Unit5,6 &amp;7, CSTPS, Chandrapur</v>
      </c>
      <c r="C5191" s="1488">
        <f t="shared" si="798"/>
        <v>0</v>
      </c>
      <c r="D5191" s="1413" t="str">
        <f t="shared" si="798"/>
        <v>-</v>
      </c>
      <c r="E5191" s="560">
        <f t="shared" si="798"/>
        <v>40</v>
      </c>
      <c r="F5191" s="1508">
        <f t="shared" si="792"/>
        <v>40</v>
      </c>
      <c r="G5191" s="1508">
        <f t="shared" si="793"/>
        <v>40</v>
      </c>
      <c r="H5191" s="1508">
        <f t="shared" si="794"/>
        <v>0</v>
      </c>
      <c r="I5191" s="1480">
        <v>0</v>
      </c>
      <c r="J5191" s="1480">
        <v>0</v>
      </c>
      <c r="K5191" s="1508"/>
      <c r="L5191" s="1508"/>
      <c r="M5191" s="1509">
        <f t="shared" si="795"/>
        <v>0</v>
      </c>
      <c r="N5191" s="1508">
        <f t="shared" si="796"/>
        <v>0</v>
      </c>
    </row>
    <row r="5192" spans="1:14" ht="46.5" outlineLevel="1" x14ac:dyDescent="0.25">
      <c r="A5192" s="1486">
        <f t="shared" si="798"/>
        <v>3</v>
      </c>
      <c r="B5192" s="1491" t="str">
        <f t="shared" si="798"/>
        <v>Supply of sub-assy for ID Fan VFD System&amp;  Energy Management System (EMS) at Stage-III, CSTPS, &amp; Procurement of numerical motor/feeder protection relay</v>
      </c>
      <c r="C5192" s="1488">
        <f t="shared" si="798"/>
        <v>0</v>
      </c>
      <c r="D5192" s="1413" t="str">
        <f t="shared" si="798"/>
        <v>-</v>
      </c>
      <c r="E5192" s="560">
        <f t="shared" si="798"/>
        <v>26.1</v>
      </c>
      <c r="F5192" s="1508">
        <f t="shared" si="792"/>
        <v>0</v>
      </c>
      <c r="G5192" s="1508">
        <f t="shared" si="793"/>
        <v>0</v>
      </c>
      <c r="H5192" s="1508">
        <f t="shared" si="794"/>
        <v>0</v>
      </c>
      <c r="I5192" s="1480">
        <v>0</v>
      </c>
      <c r="J5192" s="1480">
        <v>0</v>
      </c>
      <c r="K5192" s="1508"/>
      <c r="L5192" s="1508"/>
      <c r="M5192" s="1509">
        <f t="shared" si="795"/>
        <v>0</v>
      </c>
      <c r="N5192" s="1508">
        <f t="shared" si="796"/>
        <v>0</v>
      </c>
    </row>
    <row r="5193" spans="1:14" ht="15.5" outlineLevel="1" x14ac:dyDescent="0.25">
      <c r="A5193" s="1492">
        <f t="shared" si="798"/>
        <v>0</v>
      </c>
      <c r="B5193" s="1492" t="str">
        <f t="shared" si="798"/>
        <v>Supply of sub-assy for ID Fan VFD System</v>
      </c>
      <c r="C5193" s="1488">
        <f t="shared" si="798"/>
        <v>0</v>
      </c>
      <c r="D5193" s="1413" t="str">
        <f t="shared" si="798"/>
        <v>-</v>
      </c>
      <c r="E5193" s="560">
        <f t="shared" si="798"/>
        <v>4.5</v>
      </c>
      <c r="F5193" s="1508">
        <f t="shared" si="792"/>
        <v>4.5</v>
      </c>
      <c r="G5193" s="1508">
        <f t="shared" si="793"/>
        <v>4.5</v>
      </c>
      <c r="H5193" s="1508">
        <f t="shared" si="794"/>
        <v>0</v>
      </c>
      <c r="I5193" s="1480">
        <v>0</v>
      </c>
      <c r="J5193" s="1480">
        <v>0</v>
      </c>
      <c r="K5193" s="1508"/>
      <c r="L5193" s="1508"/>
      <c r="M5193" s="1509">
        <f t="shared" si="795"/>
        <v>0</v>
      </c>
      <c r="N5193" s="1508">
        <f t="shared" si="796"/>
        <v>0</v>
      </c>
    </row>
    <row r="5194" spans="1:14" ht="31" outlineLevel="1" x14ac:dyDescent="0.25">
      <c r="A5194" s="1492">
        <f t="shared" si="798"/>
        <v>0</v>
      </c>
      <c r="B5194" s="1492" t="str">
        <f t="shared" si="798"/>
        <v>Energy Management System (EMS) at Stage-III, CSTPS, Chandrapur.</v>
      </c>
      <c r="C5194" s="1488">
        <f t="shared" si="798"/>
        <v>0</v>
      </c>
      <c r="D5194" s="1413" t="str">
        <f t="shared" si="798"/>
        <v>-</v>
      </c>
      <c r="E5194" s="560">
        <f t="shared" si="798"/>
        <v>5.5</v>
      </c>
      <c r="F5194" s="1508">
        <f t="shared" si="792"/>
        <v>5.5</v>
      </c>
      <c r="G5194" s="1508">
        <f t="shared" si="793"/>
        <v>5.5</v>
      </c>
      <c r="H5194" s="1508">
        <f t="shared" si="794"/>
        <v>0</v>
      </c>
      <c r="I5194" s="1480">
        <v>0</v>
      </c>
      <c r="J5194" s="1480">
        <v>0</v>
      </c>
      <c r="K5194" s="1508"/>
      <c r="L5194" s="1508"/>
      <c r="M5194" s="1509">
        <f t="shared" si="795"/>
        <v>0</v>
      </c>
      <c r="N5194" s="1508">
        <f t="shared" si="796"/>
        <v>0</v>
      </c>
    </row>
    <row r="5195" spans="1:14" ht="15.5" outlineLevel="1" x14ac:dyDescent="0.25">
      <c r="A5195" s="1492">
        <f t="shared" si="798"/>
        <v>0</v>
      </c>
      <c r="B5195" s="1492" t="str">
        <f t="shared" si="798"/>
        <v>Procurement of numerical motor/feeder protection relays</v>
      </c>
      <c r="C5195" s="1488">
        <f t="shared" si="798"/>
        <v>0</v>
      </c>
      <c r="D5195" s="1413" t="str">
        <f t="shared" si="798"/>
        <v>-</v>
      </c>
      <c r="E5195" s="560">
        <f t="shared" si="798"/>
        <v>8.1</v>
      </c>
      <c r="F5195" s="1508">
        <f t="shared" si="792"/>
        <v>8.1</v>
      </c>
      <c r="G5195" s="1508">
        <f t="shared" si="793"/>
        <v>8.1</v>
      </c>
      <c r="H5195" s="1508">
        <f t="shared" si="794"/>
        <v>0</v>
      </c>
      <c r="I5195" s="1480">
        <v>0</v>
      </c>
      <c r="J5195" s="1480">
        <v>0</v>
      </c>
      <c r="K5195" s="1508"/>
      <c r="L5195" s="1508"/>
      <c r="M5195" s="1509">
        <f t="shared" si="795"/>
        <v>0</v>
      </c>
      <c r="N5195" s="1508">
        <f t="shared" si="796"/>
        <v>0</v>
      </c>
    </row>
    <row r="5196" spans="1:14" ht="46.5" outlineLevel="1" x14ac:dyDescent="0.25">
      <c r="A5196" s="1492">
        <f t="shared" ref="A5196:E5211" si="799">A4526</f>
        <v>0</v>
      </c>
      <c r="B5196" s="1492" t="str">
        <f t="shared" si="799"/>
        <v>Procurement of portable multi function test kit, Microprocessot based CB TIM, CRM &amp; MVDT, CBO analyser, Vacuum cleaner bottle HV tester</v>
      </c>
      <c r="C5196" s="1488">
        <f t="shared" si="799"/>
        <v>0</v>
      </c>
      <c r="D5196" s="1413" t="str">
        <f t="shared" si="799"/>
        <v>-</v>
      </c>
      <c r="E5196" s="560">
        <f t="shared" si="799"/>
        <v>2</v>
      </c>
      <c r="F5196" s="1508">
        <f t="shared" si="792"/>
        <v>2</v>
      </c>
      <c r="G5196" s="1508">
        <f t="shared" si="793"/>
        <v>2</v>
      </c>
      <c r="H5196" s="1508">
        <f t="shared" si="794"/>
        <v>0</v>
      </c>
      <c r="I5196" s="1480">
        <v>0</v>
      </c>
      <c r="J5196" s="1480">
        <v>0</v>
      </c>
      <c r="K5196" s="1508"/>
      <c r="L5196" s="1508"/>
      <c r="M5196" s="1509">
        <f t="shared" si="795"/>
        <v>0</v>
      </c>
      <c r="N5196" s="1508">
        <f t="shared" si="796"/>
        <v>0</v>
      </c>
    </row>
    <row r="5197" spans="1:14" ht="31" outlineLevel="1" x14ac:dyDescent="0.25">
      <c r="A5197" s="1492">
        <f t="shared" si="799"/>
        <v>0</v>
      </c>
      <c r="B5197" s="1492" t="str">
        <f t="shared" si="799"/>
        <v xml:space="preserve">Replacement of various motorised control actuators at Unit 5, 6  CSTPS,Chandrapur.                              </v>
      </c>
      <c r="C5197" s="1488">
        <f t="shared" si="799"/>
        <v>0</v>
      </c>
      <c r="D5197" s="1413" t="str">
        <f t="shared" si="799"/>
        <v>-</v>
      </c>
      <c r="E5197" s="560">
        <f t="shared" si="799"/>
        <v>6</v>
      </c>
      <c r="F5197" s="1508">
        <f t="shared" si="792"/>
        <v>6</v>
      </c>
      <c r="G5197" s="1508">
        <f t="shared" si="793"/>
        <v>6</v>
      </c>
      <c r="H5197" s="1508">
        <f t="shared" si="794"/>
        <v>0</v>
      </c>
      <c r="I5197" s="1480">
        <v>0</v>
      </c>
      <c r="J5197" s="1480">
        <v>0</v>
      </c>
      <c r="K5197" s="1508"/>
      <c r="L5197" s="1508"/>
      <c r="M5197" s="1509">
        <f t="shared" si="795"/>
        <v>0</v>
      </c>
      <c r="N5197" s="1508">
        <f t="shared" si="796"/>
        <v>0</v>
      </c>
    </row>
    <row r="5198" spans="1:14" ht="62" outlineLevel="1" x14ac:dyDescent="0.25">
      <c r="A5198" s="1486">
        <f t="shared" si="799"/>
        <v>4</v>
      </c>
      <c r="B5198" s="1491" t="str">
        <f t="shared" si="799"/>
        <v>Supply and commissioning of Energy Optimization &amp; Real Time Analysis system software for Auxiliary Power management of power network &amp; Pump performance monitoring system for water pumping stations for Unit#5,6&amp;7, CSTPS, Chandrapur</v>
      </c>
      <c r="C5198" s="1488">
        <f t="shared" si="799"/>
        <v>0</v>
      </c>
      <c r="D5198" s="1413" t="str">
        <f t="shared" si="799"/>
        <v>-</v>
      </c>
      <c r="E5198" s="560">
        <f t="shared" si="799"/>
        <v>26</v>
      </c>
      <c r="F5198" s="1508">
        <f t="shared" si="792"/>
        <v>0</v>
      </c>
      <c r="G5198" s="1508">
        <f t="shared" si="793"/>
        <v>0</v>
      </c>
      <c r="H5198" s="1508">
        <f t="shared" si="794"/>
        <v>0</v>
      </c>
      <c r="I5198" s="1480">
        <v>0</v>
      </c>
      <c r="J5198" s="1480">
        <v>0</v>
      </c>
      <c r="K5198" s="1508"/>
      <c r="L5198" s="1508"/>
      <c r="M5198" s="1509">
        <f t="shared" si="795"/>
        <v>0</v>
      </c>
      <c r="N5198" s="1508">
        <f t="shared" si="796"/>
        <v>0</v>
      </c>
    </row>
    <row r="5199" spans="1:14" ht="46.5" outlineLevel="1" x14ac:dyDescent="0.25">
      <c r="A5199" s="1492">
        <f t="shared" si="799"/>
        <v>0</v>
      </c>
      <c r="B5199" s="1492" t="str">
        <f t="shared" si="799"/>
        <v>Supply and commissioning of Energy Optimization &amp; Real Time Analysis system software for Auxiliary Power management of power network</v>
      </c>
      <c r="C5199" s="1488">
        <f t="shared" si="799"/>
        <v>0</v>
      </c>
      <c r="D5199" s="1413" t="str">
        <f t="shared" si="799"/>
        <v>-</v>
      </c>
      <c r="E5199" s="560">
        <f t="shared" si="799"/>
        <v>9</v>
      </c>
      <c r="F5199" s="1508">
        <f t="shared" si="792"/>
        <v>9</v>
      </c>
      <c r="G5199" s="1508">
        <f t="shared" si="793"/>
        <v>9</v>
      </c>
      <c r="H5199" s="1508">
        <f t="shared" si="794"/>
        <v>0</v>
      </c>
      <c r="I5199" s="1480">
        <v>0</v>
      </c>
      <c r="J5199" s="1480">
        <v>0</v>
      </c>
      <c r="K5199" s="1508"/>
      <c r="L5199" s="1508"/>
      <c r="M5199" s="1509">
        <f t="shared" si="795"/>
        <v>0</v>
      </c>
      <c r="N5199" s="1508">
        <f t="shared" si="796"/>
        <v>0</v>
      </c>
    </row>
    <row r="5200" spans="1:14" ht="46.5" outlineLevel="1" x14ac:dyDescent="0.25">
      <c r="A5200" s="1492">
        <f t="shared" si="799"/>
        <v>0</v>
      </c>
      <c r="B5200" s="1492" t="str">
        <f t="shared" si="799"/>
        <v>Supply and installation of advanced Microprocessor based Pump performance monitoring system for water pumping stations for Unit#5,6&amp;7, CSTPS, Chandrapur</v>
      </c>
      <c r="C5200" s="1488">
        <f t="shared" si="799"/>
        <v>0</v>
      </c>
      <c r="D5200" s="1413" t="str">
        <f t="shared" si="799"/>
        <v>-</v>
      </c>
      <c r="E5200" s="560">
        <f t="shared" si="799"/>
        <v>7</v>
      </c>
      <c r="F5200" s="1508">
        <f t="shared" si="792"/>
        <v>7</v>
      </c>
      <c r="G5200" s="1508">
        <f t="shared" si="793"/>
        <v>7</v>
      </c>
      <c r="H5200" s="1508">
        <f t="shared" si="794"/>
        <v>0</v>
      </c>
      <c r="I5200" s="1480">
        <v>0</v>
      </c>
      <c r="J5200" s="1480">
        <v>0</v>
      </c>
      <c r="K5200" s="1508"/>
      <c r="L5200" s="1508"/>
      <c r="M5200" s="1509">
        <f t="shared" si="795"/>
        <v>0</v>
      </c>
      <c r="N5200" s="1508">
        <f t="shared" si="796"/>
        <v>0</v>
      </c>
    </row>
    <row r="5201" spans="1:14" ht="31" outlineLevel="1" x14ac:dyDescent="0.25">
      <c r="A5201" s="1492">
        <f t="shared" si="799"/>
        <v>0</v>
      </c>
      <c r="B5201" s="1492" t="str">
        <f t="shared" si="799"/>
        <v>Upgradation of Online Connectivity and Environmental Monitoring (OCEMS) System at Unit-5,6&amp;7</v>
      </c>
      <c r="C5201" s="1488">
        <f t="shared" si="799"/>
        <v>0</v>
      </c>
      <c r="D5201" s="1413" t="str">
        <f t="shared" si="799"/>
        <v>-</v>
      </c>
      <c r="E5201" s="560">
        <f t="shared" si="799"/>
        <v>4</v>
      </c>
      <c r="F5201" s="1508">
        <f t="shared" si="792"/>
        <v>4</v>
      </c>
      <c r="G5201" s="1508">
        <f t="shared" si="793"/>
        <v>4</v>
      </c>
      <c r="H5201" s="1508">
        <f t="shared" si="794"/>
        <v>0</v>
      </c>
      <c r="I5201" s="1480">
        <v>0</v>
      </c>
      <c r="J5201" s="1480">
        <v>0</v>
      </c>
      <c r="K5201" s="1508"/>
      <c r="L5201" s="1508"/>
      <c r="M5201" s="1509">
        <f t="shared" si="795"/>
        <v>0</v>
      </c>
      <c r="N5201" s="1508">
        <f t="shared" si="796"/>
        <v>0</v>
      </c>
    </row>
    <row r="5202" spans="1:14" ht="15.5" outlineLevel="1" x14ac:dyDescent="0.25">
      <c r="A5202" s="1492">
        <f t="shared" si="799"/>
        <v>0</v>
      </c>
      <c r="B5202" s="1492" t="str">
        <f t="shared" si="799"/>
        <v xml:space="preserve">Procurement of I&amp;C Testing Labouratory Instruments </v>
      </c>
      <c r="C5202" s="1488">
        <f t="shared" si="799"/>
        <v>0</v>
      </c>
      <c r="D5202" s="1413" t="str">
        <f t="shared" si="799"/>
        <v>-</v>
      </c>
      <c r="E5202" s="560">
        <f t="shared" si="799"/>
        <v>2</v>
      </c>
      <c r="F5202" s="1508">
        <f t="shared" si="792"/>
        <v>2</v>
      </c>
      <c r="G5202" s="1508">
        <f t="shared" si="793"/>
        <v>2</v>
      </c>
      <c r="H5202" s="1508">
        <f t="shared" si="794"/>
        <v>0</v>
      </c>
      <c r="I5202" s="1480">
        <v>0</v>
      </c>
      <c r="J5202" s="1480">
        <v>0</v>
      </c>
      <c r="K5202" s="1508"/>
      <c r="L5202" s="1508"/>
      <c r="M5202" s="1509">
        <f t="shared" si="795"/>
        <v>0</v>
      </c>
      <c r="N5202" s="1508">
        <f t="shared" si="796"/>
        <v>0</v>
      </c>
    </row>
    <row r="5203" spans="1:14" ht="31" outlineLevel="1" x14ac:dyDescent="0.25">
      <c r="A5203" s="1492">
        <f t="shared" si="799"/>
        <v>0</v>
      </c>
      <c r="B5203" s="1492" t="str">
        <f t="shared" si="799"/>
        <v xml:space="preserve">Upgradation of various motorised control actuators at Unit-7,  CSTPS,Chandrapur.                              </v>
      </c>
      <c r="C5203" s="1488">
        <f t="shared" si="799"/>
        <v>0</v>
      </c>
      <c r="D5203" s="1413" t="str">
        <f t="shared" si="799"/>
        <v>-</v>
      </c>
      <c r="E5203" s="560">
        <f t="shared" si="799"/>
        <v>4</v>
      </c>
      <c r="F5203" s="1508">
        <f t="shared" si="792"/>
        <v>4</v>
      </c>
      <c r="G5203" s="1508">
        <f t="shared" si="793"/>
        <v>4</v>
      </c>
      <c r="H5203" s="1508">
        <f t="shared" si="794"/>
        <v>0</v>
      </c>
      <c r="I5203" s="1480">
        <v>0</v>
      </c>
      <c r="J5203" s="1480">
        <v>0</v>
      </c>
      <c r="K5203" s="1508"/>
      <c r="L5203" s="1508"/>
      <c r="M5203" s="1509">
        <f t="shared" si="795"/>
        <v>0</v>
      </c>
      <c r="N5203" s="1508">
        <f t="shared" si="796"/>
        <v>0</v>
      </c>
    </row>
    <row r="5204" spans="1:14" ht="15.5" outlineLevel="1" x14ac:dyDescent="0.25">
      <c r="A5204" s="1504">
        <f t="shared" si="799"/>
        <v>0</v>
      </c>
      <c r="B5204" s="1504" t="str">
        <f t="shared" si="799"/>
        <v>ODP-II</v>
      </c>
      <c r="C5204" s="1488">
        <f t="shared" si="799"/>
        <v>0</v>
      </c>
      <c r="D5204" s="1413" t="str">
        <f t="shared" si="799"/>
        <v>-</v>
      </c>
      <c r="E5204" s="560">
        <f t="shared" si="799"/>
        <v>0</v>
      </c>
      <c r="F5204" s="1508">
        <f t="shared" si="792"/>
        <v>0</v>
      </c>
      <c r="G5204" s="1508">
        <f t="shared" si="793"/>
        <v>0</v>
      </c>
      <c r="H5204" s="1508">
        <f t="shared" si="794"/>
        <v>0</v>
      </c>
      <c r="I5204" s="1480">
        <v>0</v>
      </c>
      <c r="J5204" s="1480">
        <v>0</v>
      </c>
      <c r="K5204" s="1508"/>
      <c r="L5204" s="1508"/>
      <c r="M5204" s="1509">
        <f t="shared" si="795"/>
        <v>0</v>
      </c>
      <c r="N5204" s="1508">
        <f t="shared" si="796"/>
        <v>0</v>
      </c>
    </row>
    <row r="5205" spans="1:14" ht="31" outlineLevel="1" x14ac:dyDescent="0.25">
      <c r="A5205" s="1486">
        <f t="shared" si="799"/>
        <v>1</v>
      </c>
      <c r="B5205" s="1491" t="str">
        <f t="shared" si="799"/>
        <v>Complete reconditioning of Condensate cooling water system, Ash raw water system &amp; fire fightning system of U-5,6 &amp; 7</v>
      </c>
      <c r="C5205" s="1488">
        <f t="shared" si="799"/>
        <v>0</v>
      </c>
      <c r="D5205" s="1413" t="str">
        <f t="shared" si="799"/>
        <v>-</v>
      </c>
      <c r="E5205" s="560">
        <f t="shared" si="799"/>
        <v>92</v>
      </c>
      <c r="F5205" s="1508">
        <f t="shared" si="792"/>
        <v>0</v>
      </c>
      <c r="G5205" s="1508">
        <f t="shared" si="793"/>
        <v>0</v>
      </c>
      <c r="H5205" s="1508">
        <f t="shared" si="794"/>
        <v>0</v>
      </c>
      <c r="I5205" s="1480">
        <v>0</v>
      </c>
      <c r="J5205" s="1480">
        <v>0</v>
      </c>
      <c r="K5205" s="1508"/>
      <c r="L5205" s="1508"/>
      <c r="M5205" s="1509">
        <f t="shared" si="795"/>
        <v>0</v>
      </c>
      <c r="N5205" s="1508">
        <f t="shared" si="796"/>
        <v>0</v>
      </c>
    </row>
    <row r="5206" spans="1:14" ht="15.5" outlineLevel="1" x14ac:dyDescent="0.25">
      <c r="A5206" s="1492">
        <f t="shared" si="799"/>
        <v>0</v>
      </c>
      <c r="B5206" s="1492" t="str">
        <f t="shared" si="799"/>
        <v xml:space="preserve"> Complete reconditioning of cooling tower 5A &amp; 5B of Unit -5. </v>
      </c>
      <c r="C5206" s="1488">
        <f t="shared" si="799"/>
        <v>0</v>
      </c>
      <c r="D5206" s="1413" t="str">
        <f t="shared" si="799"/>
        <v>-</v>
      </c>
      <c r="E5206" s="560">
        <f t="shared" si="799"/>
        <v>45</v>
      </c>
      <c r="F5206" s="1508">
        <f t="shared" si="792"/>
        <v>45</v>
      </c>
      <c r="G5206" s="1508">
        <f t="shared" si="793"/>
        <v>45</v>
      </c>
      <c r="H5206" s="1508">
        <f t="shared" si="794"/>
        <v>0</v>
      </c>
      <c r="I5206" s="1480">
        <v>0</v>
      </c>
      <c r="J5206" s="1480">
        <v>0</v>
      </c>
      <c r="K5206" s="1508"/>
      <c r="L5206" s="1508"/>
      <c r="M5206" s="1509">
        <f t="shared" si="795"/>
        <v>0</v>
      </c>
      <c r="N5206" s="1508">
        <f t="shared" si="796"/>
        <v>0</v>
      </c>
    </row>
    <row r="5207" spans="1:14" ht="46.5" outlineLevel="1" x14ac:dyDescent="0.25">
      <c r="A5207" s="1492">
        <f t="shared" si="799"/>
        <v>0</v>
      </c>
      <c r="B5207" s="1492" t="str">
        <f t="shared" si="799"/>
        <v>Revamping of induced draft Cooling tower - 6A &amp; 6B internals with supply &amp; replacement to improve the performance of Cooling tower of Unit -6 (500MW), CSTPS, Chandrapur</v>
      </c>
      <c r="C5207" s="1488">
        <f t="shared" si="799"/>
        <v>0</v>
      </c>
      <c r="D5207" s="1413" t="str">
        <f t="shared" si="799"/>
        <v>-</v>
      </c>
      <c r="E5207" s="560">
        <f t="shared" si="799"/>
        <v>47</v>
      </c>
      <c r="F5207" s="1508">
        <f t="shared" si="792"/>
        <v>47</v>
      </c>
      <c r="G5207" s="1508">
        <f t="shared" si="793"/>
        <v>47</v>
      </c>
      <c r="H5207" s="1508">
        <f t="shared" si="794"/>
        <v>0</v>
      </c>
      <c r="I5207" s="1480">
        <v>0</v>
      </c>
      <c r="J5207" s="1480">
        <v>0</v>
      </c>
      <c r="K5207" s="1508"/>
      <c r="L5207" s="1508"/>
      <c r="M5207" s="1509">
        <f t="shared" si="795"/>
        <v>0</v>
      </c>
      <c r="N5207" s="1508">
        <f t="shared" si="796"/>
        <v>0</v>
      </c>
    </row>
    <row r="5208" spans="1:14" ht="31" outlineLevel="1" x14ac:dyDescent="0.25">
      <c r="A5208" s="1486">
        <f t="shared" si="799"/>
        <v>2</v>
      </c>
      <c r="B5208" s="1491" t="str">
        <f t="shared" si="799"/>
        <v>Replacement of  Complete pump assembly of CCW pump, ACW pump and other schemes</v>
      </c>
      <c r="C5208" s="1488">
        <f t="shared" si="799"/>
        <v>0</v>
      </c>
      <c r="D5208" s="1413" t="str">
        <f t="shared" si="799"/>
        <v>-</v>
      </c>
      <c r="E5208" s="560">
        <f t="shared" si="799"/>
        <v>121</v>
      </c>
      <c r="F5208" s="1508">
        <f t="shared" si="792"/>
        <v>0</v>
      </c>
      <c r="G5208" s="1508">
        <f t="shared" si="793"/>
        <v>0</v>
      </c>
      <c r="H5208" s="1508">
        <f t="shared" si="794"/>
        <v>0</v>
      </c>
      <c r="I5208" s="1480">
        <v>0</v>
      </c>
      <c r="J5208" s="1480">
        <v>0</v>
      </c>
      <c r="K5208" s="1508"/>
      <c r="L5208" s="1508"/>
      <c r="M5208" s="1509">
        <f t="shared" si="795"/>
        <v>0</v>
      </c>
      <c r="N5208" s="1508">
        <f t="shared" si="796"/>
        <v>0</v>
      </c>
    </row>
    <row r="5209" spans="1:14" ht="31" outlineLevel="1" x14ac:dyDescent="0.25">
      <c r="A5209" s="1492">
        <f t="shared" si="799"/>
        <v>0</v>
      </c>
      <c r="B5209" s="1492" t="str">
        <f t="shared" si="799"/>
        <v>Replacement of  Complete pump assembly of CCW pump installed at U-5,6,7.</v>
      </c>
      <c r="C5209" s="1488">
        <f t="shared" si="799"/>
        <v>0</v>
      </c>
      <c r="D5209" s="1413" t="str">
        <f t="shared" si="799"/>
        <v>-</v>
      </c>
      <c r="E5209" s="560">
        <f t="shared" si="799"/>
        <v>100</v>
      </c>
      <c r="F5209" s="1508">
        <f t="shared" si="792"/>
        <v>80</v>
      </c>
      <c r="G5209" s="1508">
        <f t="shared" si="793"/>
        <v>80</v>
      </c>
      <c r="H5209" s="1508">
        <f t="shared" si="794"/>
        <v>0</v>
      </c>
      <c r="I5209" s="1480">
        <v>20</v>
      </c>
      <c r="J5209" s="1480">
        <v>20</v>
      </c>
      <c r="K5209" s="1508"/>
      <c r="L5209" s="1508"/>
      <c r="M5209" s="1509">
        <f t="shared" si="795"/>
        <v>20</v>
      </c>
      <c r="N5209" s="1508">
        <f t="shared" si="796"/>
        <v>0</v>
      </c>
    </row>
    <row r="5210" spans="1:14" ht="31" outlineLevel="1" x14ac:dyDescent="0.25">
      <c r="A5210" s="1492">
        <f t="shared" si="799"/>
        <v>0</v>
      </c>
      <c r="B5210" s="1492" t="str">
        <f t="shared" si="799"/>
        <v xml:space="preserve"> Replacement of  Complete pump assembly of ACW  pump installed at U-5,6,7.</v>
      </c>
      <c r="C5210" s="1488">
        <f t="shared" si="799"/>
        <v>0</v>
      </c>
      <c r="D5210" s="1413" t="str">
        <f t="shared" si="799"/>
        <v>-</v>
      </c>
      <c r="E5210" s="560">
        <f t="shared" si="799"/>
        <v>11</v>
      </c>
      <c r="F5210" s="1508">
        <f t="shared" si="792"/>
        <v>11</v>
      </c>
      <c r="G5210" s="1508">
        <f t="shared" si="793"/>
        <v>11</v>
      </c>
      <c r="H5210" s="1508">
        <f t="shared" si="794"/>
        <v>0</v>
      </c>
      <c r="I5210" s="1480">
        <v>0</v>
      </c>
      <c r="J5210" s="1480">
        <v>0</v>
      </c>
      <c r="K5210" s="1508"/>
      <c r="L5210" s="1508"/>
      <c r="M5210" s="1509">
        <f t="shared" si="795"/>
        <v>0</v>
      </c>
      <c r="N5210" s="1508">
        <f t="shared" si="796"/>
        <v>0</v>
      </c>
    </row>
    <row r="5211" spans="1:14" ht="31" outlineLevel="1" x14ac:dyDescent="0.25">
      <c r="A5211" s="1492">
        <f t="shared" si="799"/>
        <v>0</v>
      </c>
      <c r="B5211" s="1492" t="str">
        <f t="shared" si="799"/>
        <v xml:space="preserve"> Complete reconditioning of Ash Raw water system &amp; DM/NDM system of U- 7. </v>
      </c>
      <c r="C5211" s="1488">
        <f t="shared" si="799"/>
        <v>0</v>
      </c>
      <c r="D5211" s="1413" t="str">
        <f t="shared" si="799"/>
        <v>-</v>
      </c>
      <c r="E5211" s="560">
        <f t="shared" si="799"/>
        <v>8</v>
      </c>
      <c r="F5211" s="1508">
        <f t="shared" si="792"/>
        <v>8</v>
      </c>
      <c r="G5211" s="1508">
        <f t="shared" si="793"/>
        <v>8</v>
      </c>
      <c r="H5211" s="1508">
        <f t="shared" si="794"/>
        <v>0</v>
      </c>
      <c r="I5211" s="1480">
        <v>0</v>
      </c>
      <c r="J5211" s="1480">
        <v>0</v>
      </c>
      <c r="K5211" s="1508"/>
      <c r="L5211" s="1508"/>
      <c r="M5211" s="1509">
        <f t="shared" si="795"/>
        <v>0</v>
      </c>
      <c r="N5211" s="1508">
        <f t="shared" si="796"/>
        <v>0</v>
      </c>
    </row>
    <row r="5212" spans="1:14" ht="31" outlineLevel="1" x14ac:dyDescent="0.25">
      <c r="A5212" s="1492">
        <f t="shared" ref="A5212:E5227" si="800">A4542</f>
        <v>0</v>
      </c>
      <c r="B5212" s="1492" t="str">
        <f t="shared" si="800"/>
        <v xml:space="preserve">Complete reconditioning of Fire fightning system of Stage -I, II, III. </v>
      </c>
      <c r="C5212" s="1488">
        <f t="shared" si="800"/>
        <v>0</v>
      </c>
      <c r="D5212" s="1413" t="str">
        <f t="shared" si="800"/>
        <v>-</v>
      </c>
      <c r="E5212" s="560">
        <f t="shared" si="800"/>
        <v>2</v>
      </c>
      <c r="F5212" s="1508">
        <f t="shared" ref="F5212:F5275" si="801">F4542+I4542</f>
        <v>2</v>
      </c>
      <c r="G5212" s="1508">
        <f t="shared" ref="G5212:G5275" si="802">G4542+M4542</f>
        <v>2</v>
      </c>
      <c r="H5212" s="1508">
        <f t="shared" si="794"/>
        <v>0</v>
      </c>
      <c r="I5212" s="1480">
        <v>0</v>
      </c>
      <c r="J5212" s="1480">
        <v>0</v>
      </c>
      <c r="K5212" s="1508"/>
      <c r="L5212" s="1508"/>
      <c r="M5212" s="1509">
        <f t="shared" si="795"/>
        <v>0</v>
      </c>
      <c r="N5212" s="1508">
        <f t="shared" si="796"/>
        <v>0</v>
      </c>
    </row>
    <row r="5213" spans="1:14" ht="77.5" outlineLevel="1" x14ac:dyDescent="0.25">
      <c r="A5213" s="1486">
        <f t="shared" si="800"/>
        <v>3</v>
      </c>
      <c r="B5213" s="1491" t="str">
        <f t="shared" si="800"/>
        <v xml:space="preserve">Upgradation of existing DM water system along with supply, erection &amp; Commissioning of PLC panel, Instrumentation, CPVC Pipes &amp; fittings, installed at WTP–500MW, CSTPS, Chandrapur.
</v>
      </c>
      <c r="C5213" s="1488">
        <f t="shared" si="800"/>
        <v>0</v>
      </c>
      <c r="D5213" s="1413" t="str">
        <f t="shared" si="800"/>
        <v>-</v>
      </c>
      <c r="E5213" s="560">
        <f t="shared" si="800"/>
        <v>56</v>
      </c>
      <c r="F5213" s="1508">
        <f t="shared" si="801"/>
        <v>0</v>
      </c>
      <c r="G5213" s="1508">
        <f t="shared" si="802"/>
        <v>0</v>
      </c>
      <c r="H5213" s="1508">
        <f t="shared" si="794"/>
        <v>0</v>
      </c>
      <c r="I5213" s="1480">
        <v>0</v>
      </c>
      <c r="J5213" s="1480">
        <v>0</v>
      </c>
      <c r="K5213" s="1508"/>
      <c r="L5213" s="1508"/>
      <c r="M5213" s="1509">
        <f t="shared" si="795"/>
        <v>0</v>
      </c>
      <c r="N5213" s="1508">
        <f t="shared" si="796"/>
        <v>0</v>
      </c>
    </row>
    <row r="5214" spans="1:14" ht="77.5" outlineLevel="1" x14ac:dyDescent="0.25">
      <c r="A5214" s="1492">
        <f t="shared" si="800"/>
        <v>0</v>
      </c>
      <c r="B5214" s="1492" t="str">
        <f t="shared" si="800"/>
        <v xml:space="preserve">Upgradation of existing DM water system along with supply, erection &amp; Commissioning of PLC panel, Instrumentation, CPVC Pipes &amp; fittings, installed at WTP–500MW, CSTPS, Chandrapur.
</v>
      </c>
      <c r="C5214" s="1488">
        <f t="shared" si="800"/>
        <v>0</v>
      </c>
      <c r="D5214" s="1413" t="str">
        <f t="shared" si="800"/>
        <v>-</v>
      </c>
      <c r="E5214" s="560">
        <f t="shared" si="800"/>
        <v>56</v>
      </c>
      <c r="F5214" s="1508">
        <f t="shared" si="801"/>
        <v>56</v>
      </c>
      <c r="G5214" s="1508">
        <f t="shared" si="802"/>
        <v>56</v>
      </c>
      <c r="H5214" s="1508">
        <f t="shared" si="794"/>
        <v>0</v>
      </c>
      <c r="I5214" s="1480">
        <v>0</v>
      </c>
      <c r="J5214" s="1480">
        <v>0</v>
      </c>
      <c r="K5214" s="1508"/>
      <c r="L5214" s="1508"/>
      <c r="M5214" s="1509">
        <f t="shared" si="795"/>
        <v>0</v>
      </c>
      <c r="N5214" s="1508">
        <f t="shared" si="796"/>
        <v>0</v>
      </c>
    </row>
    <row r="5215" spans="1:14" ht="31" outlineLevel="1" x14ac:dyDescent="0.25">
      <c r="A5215" s="1486">
        <f t="shared" si="800"/>
        <v>4</v>
      </c>
      <c r="B5215" s="1491" t="str">
        <f t="shared" si="800"/>
        <v>Various work for renovation &amp; improvement of ash disposal pipeline system of Unit # 5 &amp; 6 at  CSTPS, Chandrapur.</v>
      </c>
      <c r="C5215" s="1488">
        <f t="shared" si="800"/>
        <v>0</v>
      </c>
      <c r="D5215" s="1413" t="str">
        <f t="shared" si="800"/>
        <v>-</v>
      </c>
      <c r="E5215" s="560">
        <f t="shared" si="800"/>
        <v>58.37</v>
      </c>
      <c r="F5215" s="1508">
        <f t="shared" si="801"/>
        <v>0</v>
      </c>
      <c r="G5215" s="1508">
        <f t="shared" si="802"/>
        <v>0</v>
      </c>
      <c r="H5215" s="1508">
        <f t="shared" si="794"/>
        <v>0</v>
      </c>
      <c r="I5215" s="1480">
        <v>0</v>
      </c>
      <c r="J5215" s="1480">
        <v>0</v>
      </c>
      <c r="K5215" s="1508"/>
      <c r="L5215" s="1508"/>
      <c r="M5215" s="1509">
        <f t="shared" si="795"/>
        <v>0</v>
      </c>
      <c r="N5215" s="1508">
        <f t="shared" si="796"/>
        <v>0</v>
      </c>
    </row>
    <row r="5216" spans="1:14" ht="31" outlineLevel="1" x14ac:dyDescent="0.25">
      <c r="A5216" s="1492">
        <f t="shared" si="800"/>
        <v>0</v>
      </c>
      <c r="B5216" s="1492" t="str">
        <f t="shared" si="800"/>
        <v>Supply, Erection &amp; commissioning of third 400 NB ash slurry disposal pipeline for Unit #5 at CSTPS, Chandrapur</v>
      </c>
      <c r="C5216" s="1488">
        <f t="shared" si="800"/>
        <v>0</v>
      </c>
      <c r="D5216" s="1413" t="str">
        <f t="shared" si="800"/>
        <v>-</v>
      </c>
      <c r="E5216" s="560">
        <f t="shared" si="800"/>
        <v>20.190000000000001</v>
      </c>
      <c r="F5216" s="1508">
        <f t="shared" si="801"/>
        <v>20.190000000000001</v>
      </c>
      <c r="G5216" s="1508">
        <f t="shared" si="802"/>
        <v>20.190000000000001</v>
      </c>
      <c r="H5216" s="1508">
        <f t="shared" si="794"/>
        <v>0</v>
      </c>
      <c r="I5216" s="1480">
        <v>0</v>
      </c>
      <c r="J5216" s="1480">
        <v>0</v>
      </c>
      <c r="K5216" s="1508"/>
      <c r="L5216" s="1508"/>
      <c r="M5216" s="1509">
        <f t="shared" si="795"/>
        <v>0</v>
      </c>
      <c r="N5216" s="1508">
        <f t="shared" si="796"/>
        <v>0</v>
      </c>
    </row>
    <row r="5217" spans="1:14" ht="46.5" outlineLevel="1" x14ac:dyDescent="0.25">
      <c r="A5217" s="1492">
        <f t="shared" si="800"/>
        <v>0</v>
      </c>
      <c r="B5217" s="1492" t="str">
        <f t="shared" si="800"/>
        <v>Supply, Erection, Replacement of 400 NB MSERW pipes of existing Ash disposal pipelines of Unit # 5 &amp; 6 in ‘B’ &amp; ‘C’ zone at CSTPS, Chandrapur.</v>
      </c>
      <c r="C5217" s="1488">
        <f t="shared" si="800"/>
        <v>0</v>
      </c>
      <c r="D5217" s="1413" t="str">
        <f t="shared" si="800"/>
        <v>-</v>
      </c>
      <c r="E5217" s="560">
        <f t="shared" si="800"/>
        <v>38.18</v>
      </c>
      <c r="F5217" s="1508">
        <f t="shared" si="801"/>
        <v>38.18</v>
      </c>
      <c r="G5217" s="1508">
        <f t="shared" si="802"/>
        <v>38.18</v>
      </c>
      <c r="H5217" s="1508">
        <f t="shared" si="794"/>
        <v>0</v>
      </c>
      <c r="I5217" s="1480">
        <v>0</v>
      </c>
      <c r="J5217" s="1480">
        <v>0</v>
      </c>
      <c r="K5217" s="1508"/>
      <c r="L5217" s="1508"/>
      <c r="M5217" s="1509">
        <f t="shared" si="795"/>
        <v>0</v>
      </c>
      <c r="N5217" s="1508">
        <f t="shared" si="796"/>
        <v>0</v>
      </c>
    </row>
    <row r="5218" spans="1:14" ht="46.5" outlineLevel="1" x14ac:dyDescent="0.25">
      <c r="A5218" s="1486">
        <f t="shared" si="800"/>
        <v>5</v>
      </c>
      <c r="B5218" s="1491" t="str">
        <f t="shared" si="800"/>
        <v>Design, engineering, supply, installation and commissioning of disposal of bottom ash in under ground mines at Chandrapur area WCL at CSTPS, Chandrapur</v>
      </c>
      <c r="C5218" s="1488">
        <f t="shared" si="800"/>
        <v>0</v>
      </c>
      <c r="D5218" s="1413" t="str">
        <f t="shared" si="800"/>
        <v>-</v>
      </c>
      <c r="E5218" s="560">
        <f t="shared" si="800"/>
        <v>27.55</v>
      </c>
      <c r="F5218" s="1508">
        <f t="shared" si="801"/>
        <v>0</v>
      </c>
      <c r="G5218" s="1508">
        <f t="shared" si="802"/>
        <v>0</v>
      </c>
      <c r="H5218" s="1508">
        <f t="shared" si="794"/>
        <v>0</v>
      </c>
      <c r="I5218" s="1480">
        <v>0</v>
      </c>
      <c r="J5218" s="1480">
        <v>0</v>
      </c>
      <c r="K5218" s="1508"/>
      <c r="L5218" s="1508"/>
      <c r="M5218" s="1509">
        <f t="shared" si="795"/>
        <v>0</v>
      </c>
      <c r="N5218" s="1508">
        <f t="shared" si="796"/>
        <v>0</v>
      </c>
    </row>
    <row r="5219" spans="1:14" ht="46.5" outlineLevel="1" x14ac:dyDescent="0.25">
      <c r="A5219" s="1492">
        <f t="shared" si="800"/>
        <v>0</v>
      </c>
      <c r="B5219" s="1492" t="str">
        <f t="shared" si="800"/>
        <v>Design, engineering, supply, installation and commissioning of disposal of bottom ash in under ground mines at Chandrapur area WCL at CSTPS, Chandrapur</v>
      </c>
      <c r="C5219" s="1488">
        <f t="shared" si="800"/>
        <v>0</v>
      </c>
      <c r="D5219" s="1413" t="str">
        <f t="shared" si="800"/>
        <v>-</v>
      </c>
      <c r="E5219" s="560">
        <f t="shared" si="800"/>
        <v>27.55</v>
      </c>
      <c r="F5219" s="1508">
        <f t="shared" si="801"/>
        <v>27.55</v>
      </c>
      <c r="G5219" s="1508">
        <f t="shared" si="802"/>
        <v>27.55</v>
      </c>
      <c r="H5219" s="1508">
        <f t="shared" si="794"/>
        <v>0</v>
      </c>
      <c r="I5219" s="1480">
        <v>0</v>
      </c>
      <c r="J5219" s="1480">
        <v>0</v>
      </c>
      <c r="K5219" s="1508"/>
      <c r="L5219" s="1508"/>
      <c r="M5219" s="1509">
        <f t="shared" si="795"/>
        <v>0</v>
      </c>
      <c r="N5219" s="1508">
        <f t="shared" si="796"/>
        <v>0</v>
      </c>
    </row>
    <row r="5220" spans="1:14" ht="31" outlineLevel="1" x14ac:dyDescent="0.25">
      <c r="A5220" s="1486">
        <f t="shared" si="800"/>
        <v>6</v>
      </c>
      <c r="B5220" s="1491" t="str">
        <f t="shared" si="800"/>
        <v>Supply and replacement of 400 NB MSERW pipe lines of ash disposal system in Ash Handling Plant at CSTPS, Chandrapur.</v>
      </c>
      <c r="C5220" s="1488">
        <f t="shared" si="800"/>
        <v>0</v>
      </c>
      <c r="D5220" s="1413" t="str">
        <f t="shared" si="800"/>
        <v>-</v>
      </c>
      <c r="E5220" s="560">
        <f t="shared" si="800"/>
        <v>81.06</v>
      </c>
      <c r="F5220" s="1508">
        <f t="shared" si="801"/>
        <v>0</v>
      </c>
      <c r="G5220" s="1508">
        <f t="shared" si="802"/>
        <v>0</v>
      </c>
      <c r="H5220" s="1508">
        <f t="shared" si="794"/>
        <v>0</v>
      </c>
      <c r="I5220" s="1480">
        <v>0</v>
      </c>
      <c r="J5220" s="1480">
        <v>0</v>
      </c>
      <c r="K5220" s="1508"/>
      <c r="L5220" s="1508"/>
      <c r="M5220" s="1509">
        <f t="shared" si="795"/>
        <v>0</v>
      </c>
      <c r="N5220" s="1508">
        <f t="shared" si="796"/>
        <v>0</v>
      </c>
    </row>
    <row r="5221" spans="1:14" ht="46.5" outlineLevel="1" x14ac:dyDescent="0.25">
      <c r="A5221" s="1492">
        <f t="shared" si="800"/>
        <v>0</v>
      </c>
      <c r="B5221" s="1492" t="str">
        <f t="shared" si="800"/>
        <v>Procurement and replacement of 400 NB MSERW pipe lines of ash disposal system in Ash Handling Plant at CSTPS, Chandrapur.</v>
      </c>
      <c r="C5221" s="1488">
        <f t="shared" si="800"/>
        <v>0</v>
      </c>
      <c r="D5221" s="1413" t="str">
        <f t="shared" si="800"/>
        <v>-</v>
      </c>
      <c r="E5221" s="560">
        <f t="shared" si="800"/>
        <v>81.06</v>
      </c>
      <c r="F5221" s="1508">
        <f t="shared" si="801"/>
        <v>59.290000000000006</v>
      </c>
      <c r="G5221" s="1508">
        <f t="shared" si="802"/>
        <v>59.290000000000006</v>
      </c>
      <c r="H5221" s="1508">
        <f t="shared" si="794"/>
        <v>0</v>
      </c>
      <c r="I5221" s="1480">
        <v>21.77</v>
      </c>
      <c r="J5221" s="1480">
        <v>21.77</v>
      </c>
      <c r="K5221" s="1508"/>
      <c r="L5221" s="1508"/>
      <c r="M5221" s="1509">
        <f t="shared" si="795"/>
        <v>21.77</v>
      </c>
      <c r="N5221" s="1508">
        <f t="shared" si="796"/>
        <v>0</v>
      </c>
    </row>
    <row r="5222" spans="1:14" ht="15.5" outlineLevel="1" x14ac:dyDescent="0.25">
      <c r="A5222" s="1504">
        <f t="shared" si="800"/>
        <v>0</v>
      </c>
      <c r="B5222" s="1504" t="str">
        <f t="shared" si="800"/>
        <v>WTP-II</v>
      </c>
      <c r="C5222" s="1488">
        <f t="shared" si="800"/>
        <v>0</v>
      </c>
      <c r="D5222" s="1413" t="str">
        <f t="shared" si="800"/>
        <v>-</v>
      </c>
      <c r="E5222" s="560">
        <f t="shared" si="800"/>
        <v>0</v>
      </c>
      <c r="F5222" s="1508">
        <f t="shared" si="801"/>
        <v>0</v>
      </c>
      <c r="G5222" s="1508">
        <f t="shared" si="802"/>
        <v>0</v>
      </c>
      <c r="H5222" s="1508">
        <f t="shared" si="794"/>
        <v>0</v>
      </c>
      <c r="I5222" s="1480">
        <v>0</v>
      </c>
      <c r="J5222" s="1480">
        <v>0</v>
      </c>
      <c r="K5222" s="1508"/>
      <c r="L5222" s="1508"/>
      <c r="M5222" s="1509">
        <f t="shared" si="795"/>
        <v>0</v>
      </c>
      <c r="N5222" s="1508">
        <f t="shared" si="796"/>
        <v>0</v>
      </c>
    </row>
    <row r="5223" spans="1:14" ht="31" outlineLevel="1" x14ac:dyDescent="0.25">
      <c r="A5223" s="1486">
        <f t="shared" si="800"/>
        <v>1</v>
      </c>
      <c r="B5223" s="1491" t="str">
        <f t="shared" si="800"/>
        <v xml:space="preserve">SWAS system &amp; STREAM FILTRATION FOR COOLING WATER SYSTEM </v>
      </c>
      <c r="C5223" s="1488">
        <f t="shared" si="800"/>
        <v>0</v>
      </c>
      <c r="D5223" s="1413" t="str">
        <f t="shared" si="800"/>
        <v>-</v>
      </c>
      <c r="E5223" s="560">
        <f t="shared" si="800"/>
        <v>95.65</v>
      </c>
      <c r="F5223" s="1508">
        <f t="shared" si="801"/>
        <v>0</v>
      </c>
      <c r="G5223" s="1508">
        <f t="shared" si="802"/>
        <v>0</v>
      </c>
      <c r="H5223" s="1508">
        <f t="shared" si="794"/>
        <v>0</v>
      </c>
      <c r="I5223" s="1480">
        <v>0</v>
      </c>
      <c r="J5223" s="1480">
        <v>0</v>
      </c>
      <c r="K5223" s="1508"/>
      <c r="L5223" s="1508"/>
      <c r="M5223" s="1509">
        <f t="shared" si="795"/>
        <v>0</v>
      </c>
      <c r="N5223" s="1508">
        <f t="shared" si="796"/>
        <v>0</v>
      </c>
    </row>
    <row r="5224" spans="1:14" ht="31" outlineLevel="1" x14ac:dyDescent="0.25">
      <c r="A5224" s="1492">
        <f t="shared" si="800"/>
        <v>0</v>
      </c>
      <c r="B5224" s="1492" t="str">
        <f t="shared" si="800"/>
        <v>Revamping of SWAS system at 3 x 500 MW at WTP-II of CSTPS, Chandrapur</v>
      </c>
      <c r="C5224" s="1488">
        <f t="shared" si="800"/>
        <v>0</v>
      </c>
      <c r="D5224" s="1413" t="str">
        <f t="shared" si="800"/>
        <v>-</v>
      </c>
      <c r="E5224" s="560">
        <f t="shared" si="800"/>
        <v>16</v>
      </c>
      <c r="F5224" s="1508">
        <f t="shared" si="801"/>
        <v>16</v>
      </c>
      <c r="G5224" s="1508">
        <f t="shared" si="802"/>
        <v>16</v>
      </c>
      <c r="H5224" s="1508">
        <f t="shared" si="794"/>
        <v>0</v>
      </c>
      <c r="I5224" s="1480">
        <v>0</v>
      </c>
      <c r="J5224" s="1480">
        <v>0</v>
      </c>
      <c r="K5224" s="1508"/>
      <c r="L5224" s="1508"/>
      <c r="M5224" s="1509">
        <f t="shared" si="795"/>
        <v>0</v>
      </c>
      <c r="N5224" s="1508">
        <f t="shared" si="796"/>
        <v>0</v>
      </c>
    </row>
    <row r="5225" spans="1:14" ht="31" outlineLevel="1" x14ac:dyDescent="0.25">
      <c r="A5225" s="1492">
        <f t="shared" si="800"/>
        <v>0</v>
      </c>
      <c r="B5225" s="1492" t="str">
        <f t="shared" si="800"/>
        <v>STREAM FILTRATION FOR COOLING WATER SYSTEM OF UNIT 5,6,7,8 and 9 OF CSTPS CHANDRAPUR</v>
      </c>
      <c r="C5225" s="1488">
        <f t="shared" si="800"/>
        <v>0</v>
      </c>
      <c r="D5225" s="1413" t="str">
        <f t="shared" si="800"/>
        <v>-</v>
      </c>
      <c r="E5225" s="560">
        <f t="shared" si="800"/>
        <v>85.529939999999996</v>
      </c>
      <c r="F5225" s="1508">
        <f t="shared" si="801"/>
        <v>85.529939999999996</v>
      </c>
      <c r="G5225" s="1508">
        <f t="shared" si="802"/>
        <v>85.529939999999996</v>
      </c>
      <c r="H5225" s="1508">
        <f t="shared" si="794"/>
        <v>0</v>
      </c>
      <c r="I5225" s="1480">
        <v>0</v>
      </c>
      <c r="J5225" s="1480">
        <v>0</v>
      </c>
      <c r="K5225" s="1508"/>
      <c r="L5225" s="1508"/>
      <c r="M5225" s="1509">
        <f t="shared" si="795"/>
        <v>0</v>
      </c>
      <c r="N5225" s="1508">
        <f t="shared" si="796"/>
        <v>0</v>
      </c>
    </row>
    <row r="5226" spans="1:14" ht="15.5" outlineLevel="1" x14ac:dyDescent="0.25">
      <c r="A5226" s="1504">
        <f t="shared" si="800"/>
        <v>0</v>
      </c>
      <c r="B5226" s="1504" t="str">
        <f t="shared" si="800"/>
        <v>CHP-B</v>
      </c>
      <c r="C5226" s="1488">
        <f t="shared" si="800"/>
        <v>0</v>
      </c>
      <c r="D5226" s="1413" t="str">
        <f t="shared" si="800"/>
        <v>-</v>
      </c>
      <c r="E5226" s="560">
        <f t="shared" si="800"/>
        <v>0</v>
      </c>
      <c r="F5226" s="1508">
        <f t="shared" si="801"/>
        <v>0</v>
      </c>
      <c r="G5226" s="1508">
        <f t="shared" si="802"/>
        <v>0</v>
      </c>
      <c r="H5226" s="1508">
        <f t="shared" ref="H5226:H5289" si="803">F5226-G5226</f>
        <v>0</v>
      </c>
      <c r="I5226" s="1480">
        <v>0</v>
      </c>
      <c r="J5226" s="1480">
        <v>0</v>
      </c>
      <c r="K5226" s="1508"/>
      <c r="L5226" s="1508"/>
      <c r="M5226" s="1509">
        <f t="shared" ref="M5226:M5289" si="804">SUM(J5226:L5226)</f>
        <v>0</v>
      </c>
      <c r="N5226" s="1508">
        <f t="shared" ref="N5226:N5289" si="805">H5226+I5226-M5226</f>
        <v>0</v>
      </c>
    </row>
    <row r="5227" spans="1:14" ht="46.5" outlineLevel="1" x14ac:dyDescent="0.25">
      <c r="A5227" s="1486">
        <f t="shared" si="800"/>
        <v>1</v>
      </c>
      <c r="B5227" s="1491" t="str">
        <f t="shared" si="800"/>
        <v xml:space="preserve">Renovation of Bunker Hopper of Unit 5&amp;6 along with coal flow system &amp;  Design, Engineering, Manufacturing, Fabrication, Erection and commissioning of Modified Wobbler Feeder at CHPC </v>
      </c>
      <c r="C5227" s="1488">
        <f t="shared" si="800"/>
        <v>0</v>
      </c>
      <c r="D5227" s="1413" t="str">
        <f t="shared" si="800"/>
        <v>-</v>
      </c>
      <c r="E5227" s="560">
        <f t="shared" si="800"/>
        <v>38</v>
      </c>
      <c r="F5227" s="1508">
        <f t="shared" si="801"/>
        <v>0</v>
      </c>
      <c r="G5227" s="1508">
        <f t="shared" si="802"/>
        <v>0</v>
      </c>
      <c r="H5227" s="1508">
        <f t="shared" si="803"/>
        <v>0</v>
      </c>
      <c r="I5227" s="1480">
        <v>0</v>
      </c>
      <c r="J5227" s="1480">
        <v>0</v>
      </c>
      <c r="K5227" s="1508"/>
      <c r="L5227" s="1508"/>
      <c r="M5227" s="1509">
        <f t="shared" si="804"/>
        <v>0</v>
      </c>
      <c r="N5227" s="1508">
        <f t="shared" si="805"/>
        <v>0</v>
      </c>
    </row>
    <row r="5228" spans="1:14" ht="46.5" outlineLevel="1" x14ac:dyDescent="0.25">
      <c r="A5228" s="1492">
        <f t="shared" ref="A5228:E5243" si="806">A4558</f>
        <v>0</v>
      </c>
      <c r="B5228" s="1492" t="str">
        <f t="shared" si="806"/>
        <v>Scheme-1 Work of Modification,Upgradation &amp; renovation of Bunker Hopper of Unit 5&amp;6 along with coal flow system at CSTPS Chandrapur</v>
      </c>
      <c r="C5228" s="1488">
        <f t="shared" si="806"/>
        <v>0</v>
      </c>
      <c r="D5228" s="1413" t="str">
        <f t="shared" si="806"/>
        <v>-</v>
      </c>
      <c r="E5228" s="560">
        <f t="shared" si="806"/>
        <v>16</v>
      </c>
      <c r="F5228" s="1508">
        <f t="shared" si="801"/>
        <v>16</v>
      </c>
      <c r="G5228" s="1508">
        <f t="shared" si="802"/>
        <v>16</v>
      </c>
      <c r="H5228" s="1508">
        <f t="shared" si="803"/>
        <v>0</v>
      </c>
      <c r="I5228" s="1480">
        <v>0</v>
      </c>
      <c r="J5228" s="1480">
        <v>0</v>
      </c>
      <c r="K5228" s="1508"/>
      <c r="L5228" s="1508"/>
      <c r="M5228" s="1509">
        <f t="shared" si="804"/>
        <v>0</v>
      </c>
      <c r="N5228" s="1508">
        <f t="shared" si="805"/>
        <v>0</v>
      </c>
    </row>
    <row r="5229" spans="1:14" ht="31" outlineLevel="1" x14ac:dyDescent="0.25">
      <c r="A5229" s="1492">
        <f t="shared" si="806"/>
        <v>0</v>
      </c>
      <c r="B5229" s="1492" t="str">
        <f t="shared" si="806"/>
        <v>Scheme-2 :- Renovation &amp; up gradation of conveyor gantries &amp; Travelling Tripper of CHPB.</v>
      </c>
      <c r="C5229" s="1488">
        <f t="shared" si="806"/>
        <v>0</v>
      </c>
      <c r="D5229" s="1413" t="str">
        <f t="shared" si="806"/>
        <v>-</v>
      </c>
      <c r="E5229" s="560">
        <f t="shared" si="806"/>
        <v>7</v>
      </c>
      <c r="F5229" s="1508">
        <f t="shared" si="801"/>
        <v>7</v>
      </c>
      <c r="G5229" s="1508">
        <f t="shared" si="802"/>
        <v>7</v>
      </c>
      <c r="H5229" s="1508">
        <f t="shared" si="803"/>
        <v>0</v>
      </c>
      <c r="I5229" s="1480">
        <v>0</v>
      </c>
      <c r="J5229" s="1480">
        <v>0</v>
      </c>
      <c r="K5229" s="1508"/>
      <c r="L5229" s="1508"/>
      <c r="M5229" s="1509">
        <f t="shared" si="804"/>
        <v>0</v>
      </c>
      <c r="N5229" s="1508">
        <f t="shared" si="805"/>
        <v>0</v>
      </c>
    </row>
    <row r="5230" spans="1:14" ht="46.5" outlineLevel="1" x14ac:dyDescent="0.25">
      <c r="A5230" s="1492">
        <f t="shared" si="806"/>
        <v>0</v>
      </c>
      <c r="B5230" s="1492" t="str">
        <f t="shared" si="806"/>
        <v>Scheme-3 :- Design, Engineering, Manufacturing, Fabrication, Erection and commissioning of Modified Wobbler Feeder at CHPC of Unit 6&amp;7 of CSTPS Chandrapur</v>
      </c>
      <c r="C5230" s="1488">
        <f t="shared" si="806"/>
        <v>0</v>
      </c>
      <c r="D5230" s="1413" t="str">
        <f t="shared" si="806"/>
        <v>-</v>
      </c>
      <c r="E5230" s="560">
        <f t="shared" si="806"/>
        <v>5</v>
      </c>
      <c r="F5230" s="1508">
        <f t="shared" si="801"/>
        <v>5</v>
      </c>
      <c r="G5230" s="1508">
        <f t="shared" si="802"/>
        <v>5</v>
      </c>
      <c r="H5230" s="1508">
        <f t="shared" si="803"/>
        <v>0</v>
      </c>
      <c r="I5230" s="1480">
        <v>0</v>
      </c>
      <c r="J5230" s="1480">
        <v>0</v>
      </c>
      <c r="K5230" s="1508"/>
      <c r="L5230" s="1508"/>
      <c r="M5230" s="1509">
        <f t="shared" si="804"/>
        <v>0</v>
      </c>
      <c r="N5230" s="1508">
        <f t="shared" si="805"/>
        <v>0</v>
      </c>
    </row>
    <row r="5231" spans="1:14" ht="31" outlineLevel="1" x14ac:dyDescent="0.25">
      <c r="A5231" s="1486">
        <f t="shared" si="806"/>
        <v>2</v>
      </c>
      <c r="B5231" s="1491" t="str">
        <f t="shared" si="806"/>
        <v xml:space="preserve">installation &amp; commissioning of various LV and MV drives at CHPA &amp; Automation of Control Room of CHPA/B </v>
      </c>
      <c r="C5231" s="1488">
        <f t="shared" si="806"/>
        <v>0</v>
      </c>
      <c r="D5231" s="1413" t="str">
        <f t="shared" si="806"/>
        <v>-</v>
      </c>
      <c r="E5231" s="560">
        <f t="shared" si="806"/>
        <v>75</v>
      </c>
      <c r="F5231" s="1508">
        <f t="shared" si="801"/>
        <v>0</v>
      </c>
      <c r="G5231" s="1508">
        <f t="shared" si="802"/>
        <v>0</v>
      </c>
      <c r="H5231" s="1508">
        <f t="shared" si="803"/>
        <v>0</v>
      </c>
      <c r="I5231" s="1480">
        <v>0</v>
      </c>
      <c r="J5231" s="1480">
        <v>0</v>
      </c>
      <c r="K5231" s="1508"/>
      <c r="L5231" s="1508"/>
      <c r="M5231" s="1509">
        <f t="shared" si="804"/>
        <v>0</v>
      </c>
      <c r="N5231" s="1508">
        <f t="shared" si="805"/>
        <v>0</v>
      </c>
    </row>
    <row r="5232" spans="1:14" ht="31" outlineLevel="1" x14ac:dyDescent="0.25">
      <c r="A5232" s="1492">
        <f t="shared" si="806"/>
        <v>0</v>
      </c>
      <c r="B5232" s="1492" t="str">
        <f t="shared" si="806"/>
        <v>Scheme-1 Design, Engineering, supply, installation &amp; commissioning of various LV and MV drives at CHPA</v>
      </c>
      <c r="C5232" s="1488">
        <f t="shared" si="806"/>
        <v>0</v>
      </c>
      <c r="D5232" s="1413" t="str">
        <f t="shared" si="806"/>
        <v>-</v>
      </c>
      <c r="E5232" s="560">
        <f t="shared" si="806"/>
        <v>39</v>
      </c>
      <c r="F5232" s="1508">
        <f t="shared" si="801"/>
        <v>39</v>
      </c>
      <c r="G5232" s="1508">
        <f t="shared" si="802"/>
        <v>39</v>
      </c>
      <c r="H5232" s="1508">
        <f t="shared" si="803"/>
        <v>0</v>
      </c>
      <c r="I5232" s="1480">
        <v>0</v>
      </c>
      <c r="J5232" s="1480">
        <v>0</v>
      </c>
      <c r="K5232" s="1508"/>
      <c r="L5232" s="1508"/>
      <c r="M5232" s="1509">
        <f t="shared" si="804"/>
        <v>0</v>
      </c>
      <c r="N5232" s="1508">
        <f t="shared" si="805"/>
        <v>0</v>
      </c>
    </row>
    <row r="5233" spans="1:14" ht="15.5" outlineLevel="1" x14ac:dyDescent="0.25">
      <c r="A5233" s="1492">
        <f t="shared" si="806"/>
        <v>0</v>
      </c>
      <c r="B5233" s="1492" t="str">
        <f t="shared" si="806"/>
        <v xml:space="preserve">Scheme-2 Automation of Control Room of CHPA/B </v>
      </c>
      <c r="C5233" s="1488">
        <f t="shared" si="806"/>
        <v>0</v>
      </c>
      <c r="D5233" s="1413" t="str">
        <f t="shared" si="806"/>
        <v>-</v>
      </c>
      <c r="E5233" s="560">
        <f t="shared" si="806"/>
        <v>15</v>
      </c>
      <c r="F5233" s="1508">
        <f t="shared" si="801"/>
        <v>15</v>
      </c>
      <c r="G5233" s="1508">
        <f t="shared" si="802"/>
        <v>15</v>
      </c>
      <c r="H5233" s="1508">
        <f t="shared" si="803"/>
        <v>0</v>
      </c>
      <c r="I5233" s="1480">
        <v>0</v>
      </c>
      <c r="J5233" s="1480">
        <v>0</v>
      </c>
      <c r="K5233" s="1508"/>
      <c r="L5233" s="1508"/>
      <c r="M5233" s="1509">
        <f t="shared" si="804"/>
        <v>0</v>
      </c>
      <c r="N5233" s="1508">
        <f t="shared" si="805"/>
        <v>0</v>
      </c>
    </row>
    <row r="5234" spans="1:14" ht="31" outlineLevel="1" x14ac:dyDescent="0.25">
      <c r="A5234" s="1492">
        <f t="shared" si="806"/>
        <v>0</v>
      </c>
      <c r="B5234" s="1492" t="str">
        <f t="shared" si="806"/>
        <v>Scheme-3 Design, Engineering, supply, installation &amp; commissioning of various MV VFD for Crusher 1,2,3&amp;4 at CHPB</v>
      </c>
      <c r="C5234" s="1488">
        <f t="shared" si="806"/>
        <v>0</v>
      </c>
      <c r="D5234" s="1413" t="str">
        <f t="shared" si="806"/>
        <v>-</v>
      </c>
      <c r="E5234" s="560">
        <f t="shared" si="806"/>
        <v>11</v>
      </c>
      <c r="F5234" s="1508">
        <f t="shared" si="801"/>
        <v>11</v>
      </c>
      <c r="G5234" s="1508">
        <f t="shared" si="802"/>
        <v>11</v>
      </c>
      <c r="H5234" s="1508">
        <f t="shared" si="803"/>
        <v>0</v>
      </c>
      <c r="I5234" s="1480">
        <v>0</v>
      </c>
      <c r="J5234" s="1480">
        <v>0</v>
      </c>
      <c r="K5234" s="1508"/>
      <c r="L5234" s="1508"/>
      <c r="M5234" s="1509">
        <f t="shared" si="804"/>
        <v>0</v>
      </c>
      <c r="N5234" s="1508">
        <f t="shared" si="805"/>
        <v>0</v>
      </c>
    </row>
    <row r="5235" spans="1:14" ht="31" outlineLevel="1" x14ac:dyDescent="0.25">
      <c r="A5235" s="1492">
        <f t="shared" si="806"/>
        <v>0</v>
      </c>
      <c r="B5235" s="1492" t="str">
        <f t="shared" si="806"/>
        <v>Scheme-4:- Renovation modernization of 11 KV PMCC Board at Sub-Station-2 of CHPB</v>
      </c>
      <c r="C5235" s="1488">
        <f t="shared" si="806"/>
        <v>0</v>
      </c>
      <c r="D5235" s="1413" t="str">
        <f t="shared" si="806"/>
        <v>-</v>
      </c>
      <c r="E5235" s="560">
        <f t="shared" si="806"/>
        <v>10</v>
      </c>
      <c r="F5235" s="1508">
        <f t="shared" si="801"/>
        <v>10</v>
      </c>
      <c r="G5235" s="1508">
        <f t="shared" si="802"/>
        <v>10</v>
      </c>
      <c r="H5235" s="1508">
        <f t="shared" si="803"/>
        <v>0</v>
      </c>
      <c r="I5235" s="1480">
        <v>0</v>
      </c>
      <c r="J5235" s="1480">
        <v>0</v>
      </c>
      <c r="K5235" s="1508"/>
      <c r="L5235" s="1508"/>
      <c r="M5235" s="1509">
        <f t="shared" si="804"/>
        <v>0</v>
      </c>
      <c r="N5235" s="1508">
        <f t="shared" si="805"/>
        <v>0</v>
      </c>
    </row>
    <row r="5236" spans="1:14" ht="46.5" outlineLevel="1" x14ac:dyDescent="0.25">
      <c r="A5236" s="1486">
        <f t="shared" si="806"/>
        <v>3</v>
      </c>
      <c r="B5236" s="1491" t="str">
        <f t="shared" si="806"/>
        <v>Renovation &amp; Upgrdation of Bunker lift &amp; Desgin, Engineering, supply, installation &amp; commissioning of Energy chain system at various locations of CHPB &amp; CHPC</v>
      </c>
      <c r="C5236" s="1488">
        <f t="shared" si="806"/>
        <v>0</v>
      </c>
      <c r="D5236" s="1413" t="str">
        <f t="shared" si="806"/>
        <v>-</v>
      </c>
      <c r="E5236" s="560">
        <f t="shared" si="806"/>
        <v>29</v>
      </c>
      <c r="F5236" s="1508">
        <f t="shared" si="801"/>
        <v>0</v>
      </c>
      <c r="G5236" s="1508">
        <f t="shared" si="802"/>
        <v>0</v>
      </c>
      <c r="H5236" s="1508">
        <f t="shared" si="803"/>
        <v>0</v>
      </c>
      <c r="I5236" s="1480">
        <v>0</v>
      </c>
      <c r="J5236" s="1480">
        <v>0</v>
      </c>
      <c r="K5236" s="1508"/>
      <c r="L5236" s="1508"/>
      <c r="M5236" s="1509">
        <f t="shared" si="804"/>
        <v>0</v>
      </c>
      <c r="N5236" s="1508">
        <f t="shared" si="805"/>
        <v>0</v>
      </c>
    </row>
    <row r="5237" spans="1:14" ht="31" outlineLevel="1" x14ac:dyDescent="0.25">
      <c r="A5237" s="1492">
        <f t="shared" si="806"/>
        <v>0</v>
      </c>
      <c r="B5237" s="1492" t="str">
        <f t="shared" si="806"/>
        <v>Scheme-1: Renovation &amp; Upgrdation of Bunker lift of Unit 5,6&amp;7 of CHPB</v>
      </c>
      <c r="C5237" s="1488">
        <f t="shared" si="806"/>
        <v>0</v>
      </c>
      <c r="D5237" s="1413" t="str">
        <f t="shared" si="806"/>
        <v>-</v>
      </c>
      <c r="E5237" s="560">
        <f t="shared" si="806"/>
        <v>9</v>
      </c>
      <c r="F5237" s="1508">
        <f t="shared" si="801"/>
        <v>9</v>
      </c>
      <c r="G5237" s="1508">
        <f t="shared" si="802"/>
        <v>9</v>
      </c>
      <c r="H5237" s="1508">
        <f t="shared" si="803"/>
        <v>0</v>
      </c>
      <c r="I5237" s="1480">
        <v>0</v>
      </c>
      <c r="J5237" s="1480">
        <v>0</v>
      </c>
      <c r="K5237" s="1508"/>
      <c r="L5237" s="1508"/>
      <c r="M5237" s="1509">
        <f t="shared" si="804"/>
        <v>0</v>
      </c>
      <c r="N5237" s="1508">
        <f t="shared" si="805"/>
        <v>0</v>
      </c>
    </row>
    <row r="5238" spans="1:14" ht="46.5" outlineLevel="1" x14ac:dyDescent="0.25">
      <c r="A5238" s="1492">
        <f t="shared" si="806"/>
        <v>0</v>
      </c>
      <c r="B5238" s="1492" t="str">
        <f t="shared" si="806"/>
        <v>Scheme-2:- Desgin, Engineering, supply, installation &amp; commissioning of Energy chain system at various locations of CHPB &amp; CHPC</v>
      </c>
      <c r="C5238" s="1488">
        <f t="shared" si="806"/>
        <v>0</v>
      </c>
      <c r="D5238" s="1413" t="str">
        <f t="shared" si="806"/>
        <v>-</v>
      </c>
      <c r="E5238" s="560">
        <f t="shared" si="806"/>
        <v>20</v>
      </c>
      <c r="F5238" s="1508">
        <f t="shared" si="801"/>
        <v>20</v>
      </c>
      <c r="G5238" s="1508">
        <f t="shared" si="802"/>
        <v>20</v>
      </c>
      <c r="H5238" s="1508">
        <f t="shared" si="803"/>
        <v>0</v>
      </c>
      <c r="I5238" s="1480">
        <v>0</v>
      </c>
      <c r="J5238" s="1480">
        <v>0</v>
      </c>
      <c r="K5238" s="1508"/>
      <c r="L5238" s="1508"/>
      <c r="M5238" s="1509">
        <f t="shared" si="804"/>
        <v>0</v>
      </c>
      <c r="N5238" s="1508">
        <f t="shared" si="805"/>
        <v>0</v>
      </c>
    </row>
    <row r="5239" spans="1:14" ht="31" outlineLevel="1" x14ac:dyDescent="0.25">
      <c r="A5239" s="1486">
        <f t="shared" si="806"/>
        <v>4</v>
      </c>
      <c r="B5239" s="1491" t="str">
        <f t="shared" si="806"/>
        <v xml:space="preserve">Upgradation of old ropeway, BC-108 A/B, installation of coal pile thermal monitoring system for stack pile of CHPA/B. </v>
      </c>
      <c r="C5239" s="1488">
        <f t="shared" si="806"/>
        <v>0</v>
      </c>
      <c r="D5239" s="1413" t="str">
        <f t="shared" si="806"/>
        <v>-</v>
      </c>
      <c r="E5239" s="560">
        <f t="shared" si="806"/>
        <v>29</v>
      </c>
      <c r="F5239" s="1508">
        <f t="shared" si="801"/>
        <v>0</v>
      </c>
      <c r="G5239" s="1508">
        <f t="shared" si="802"/>
        <v>0</v>
      </c>
      <c r="H5239" s="1508">
        <f t="shared" si="803"/>
        <v>0</v>
      </c>
      <c r="I5239" s="1480">
        <v>0</v>
      </c>
      <c r="J5239" s="1480">
        <v>0</v>
      </c>
      <c r="K5239" s="1508"/>
      <c r="L5239" s="1508"/>
      <c r="M5239" s="1509">
        <f t="shared" si="804"/>
        <v>0</v>
      </c>
      <c r="N5239" s="1508">
        <f t="shared" si="805"/>
        <v>0</v>
      </c>
    </row>
    <row r="5240" spans="1:14" ht="31" outlineLevel="1" x14ac:dyDescent="0.25">
      <c r="A5240" s="1492">
        <f t="shared" si="806"/>
        <v>0</v>
      </c>
      <c r="B5240" s="1492" t="str">
        <f t="shared" si="806"/>
        <v>Scheme-1 Work of Renovation &amp; upgradation of Ventilation system of CHPA&amp;CHPB.</v>
      </c>
      <c r="C5240" s="1488">
        <f t="shared" si="806"/>
        <v>0</v>
      </c>
      <c r="D5240" s="1413" t="str">
        <f t="shared" si="806"/>
        <v>-</v>
      </c>
      <c r="E5240" s="560">
        <f t="shared" si="806"/>
        <v>8</v>
      </c>
      <c r="F5240" s="1508">
        <f t="shared" si="801"/>
        <v>8</v>
      </c>
      <c r="G5240" s="1508">
        <f t="shared" si="802"/>
        <v>8</v>
      </c>
      <c r="H5240" s="1508">
        <f t="shared" si="803"/>
        <v>0</v>
      </c>
      <c r="I5240" s="1480">
        <v>0</v>
      </c>
      <c r="J5240" s="1480">
        <v>0</v>
      </c>
      <c r="K5240" s="1508"/>
      <c r="L5240" s="1508"/>
      <c r="M5240" s="1509">
        <f t="shared" si="804"/>
        <v>0</v>
      </c>
      <c r="N5240" s="1508">
        <f t="shared" si="805"/>
        <v>0</v>
      </c>
    </row>
    <row r="5241" spans="1:14" ht="46.5" outlineLevel="1" x14ac:dyDescent="0.25">
      <c r="A5241" s="1492">
        <f t="shared" si="806"/>
        <v>0</v>
      </c>
      <c r="B5241" s="1492" t="str">
        <f t="shared" si="806"/>
        <v>Scheme-2: Design, Engineering, Supply, fabrication, Erection, installation &amp; commissioning of modified take up arrangement for BC 108A/B of CHPB.</v>
      </c>
      <c r="C5241" s="1488">
        <f t="shared" si="806"/>
        <v>0</v>
      </c>
      <c r="D5241" s="1413" t="str">
        <f t="shared" si="806"/>
        <v>-</v>
      </c>
      <c r="E5241" s="560">
        <f t="shared" si="806"/>
        <v>4</v>
      </c>
      <c r="F5241" s="1508">
        <f t="shared" si="801"/>
        <v>4</v>
      </c>
      <c r="G5241" s="1508">
        <f t="shared" si="802"/>
        <v>4</v>
      </c>
      <c r="H5241" s="1508">
        <f t="shared" si="803"/>
        <v>0</v>
      </c>
      <c r="I5241" s="1480">
        <v>0</v>
      </c>
      <c r="J5241" s="1480">
        <v>0</v>
      </c>
      <c r="K5241" s="1508"/>
      <c r="L5241" s="1508"/>
      <c r="M5241" s="1509">
        <f t="shared" si="804"/>
        <v>0</v>
      </c>
      <c r="N5241" s="1508">
        <f t="shared" si="805"/>
        <v>0</v>
      </c>
    </row>
    <row r="5242" spans="1:14" ht="31" outlineLevel="1" x14ac:dyDescent="0.25">
      <c r="A5242" s="1492">
        <f t="shared" si="806"/>
        <v>0</v>
      </c>
      <c r="B5242" s="1492" t="str">
        <f t="shared" si="806"/>
        <v>Scheme-3: Design, Engineering, supply &amp; installation of coal pile thermal monitoring system for stack pile of CHPA/B.</v>
      </c>
      <c r="C5242" s="1488">
        <f t="shared" si="806"/>
        <v>0</v>
      </c>
      <c r="D5242" s="1413" t="str">
        <f t="shared" si="806"/>
        <v>-</v>
      </c>
      <c r="E5242" s="560">
        <f t="shared" si="806"/>
        <v>8</v>
      </c>
      <c r="F5242" s="1508">
        <f t="shared" si="801"/>
        <v>8</v>
      </c>
      <c r="G5242" s="1508">
        <f t="shared" si="802"/>
        <v>8</v>
      </c>
      <c r="H5242" s="1508">
        <f t="shared" si="803"/>
        <v>0</v>
      </c>
      <c r="I5242" s="1480">
        <v>0</v>
      </c>
      <c r="J5242" s="1480">
        <v>0</v>
      </c>
      <c r="K5242" s="1508"/>
      <c r="L5242" s="1508"/>
      <c r="M5242" s="1509">
        <f t="shared" si="804"/>
        <v>0</v>
      </c>
      <c r="N5242" s="1508">
        <f t="shared" si="805"/>
        <v>0</v>
      </c>
    </row>
    <row r="5243" spans="1:14" ht="31" outlineLevel="1" x14ac:dyDescent="0.25">
      <c r="A5243" s="1492">
        <f t="shared" si="806"/>
        <v>0</v>
      </c>
      <c r="B5243" s="1492" t="str">
        <f t="shared" si="806"/>
        <v>Scheme-3: Design, Engineering, supply &amp; installation of Belt Tear Detector system for belt conveyor system of CHPB.</v>
      </c>
      <c r="C5243" s="1488">
        <f t="shared" si="806"/>
        <v>0</v>
      </c>
      <c r="D5243" s="1413" t="str">
        <f t="shared" si="806"/>
        <v>-</v>
      </c>
      <c r="E5243" s="560">
        <f t="shared" si="806"/>
        <v>4</v>
      </c>
      <c r="F5243" s="1508">
        <f t="shared" si="801"/>
        <v>4</v>
      </c>
      <c r="G5243" s="1508">
        <f t="shared" si="802"/>
        <v>4</v>
      </c>
      <c r="H5243" s="1508">
        <f t="shared" si="803"/>
        <v>0</v>
      </c>
      <c r="I5243" s="1480">
        <v>0</v>
      </c>
      <c r="J5243" s="1480">
        <v>0</v>
      </c>
      <c r="K5243" s="1508"/>
      <c r="L5243" s="1508"/>
      <c r="M5243" s="1509">
        <f t="shared" si="804"/>
        <v>0</v>
      </c>
      <c r="N5243" s="1508">
        <f t="shared" si="805"/>
        <v>0</v>
      </c>
    </row>
    <row r="5244" spans="1:14" ht="31" outlineLevel="1" x14ac:dyDescent="0.25">
      <c r="A5244" s="1492">
        <f t="shared" ref="A5244:E5259" si="807">A4574</f>
        <v>0</v>
      </c>
      <c r="B5244" s="1492" t="str">
        <f t="shared" si="807"/>
        <v>Scheme-4: Capacity Enhancement of Belt Conveyor Drives of CHPB by upgrdation of conveyor drvie system.</v>
      </c>
      <c r="C5244" s="1488">
        <f t="shared" si="807"/>
        <v>0</v>
      </c>
      <c r="D5244" s="1413" t="str">
        <f t="shared" si="807"/>
        <v>-</v>
      </c>
      <c r="E5244" s="560">
        <f t="shared" si="807"/>
        <v>5</v>
      </c>
      <c r="F5244" s="1508">
        <f t="shared" si="801"/>
        <v>5</v>
      </c>
      <c r="G5244" s="1508">
        <f t="shared" si="802"/>
        <v>5</v>
      </c>
      <c r="H5244" s="1508">
        <f t="shared" si="803"/>
        <v>0</v>
      </c>
      <c r="I5244" s="1480">
        <v>0</v>
      </c>
      <c r="J5244" s="1480">
        <v>0</v>
      </c>
      <c r="K5244" s="1508"/>
      <c r="L5244" s="1508"/>
      <c r="M5244" s="1509">
        <f t="shared" si="804"/>
        <v>0</v>
      </c>
      <c r="N5244" s="1508">
        <f t="shared" si="805"/>
        <v>0</v>
      </c>
    </row>
    <row r="5245" spans="1:14" ht="15.5" outlineLevel="1" x14ac:dyDescent="0.25">
      <c r="A5245" s="1486">
        <f t="shared" si="807"/>
        <v>5</v>
      </c>
      <c r="B5245" s="1491" t="str">
        <f t="shared" si="807"/>
        <v>Modification &amp; upgradation in Railway Track network of CSTPS</v>
      </c>
      <c r="C5245" s="1488">
        <f t="shared" si="807"/>
        <v>0</v>
      </c>
      <c r="D5245" s="1413" t="str">
        <f t="shared" si="807"/>
        <v>-</v>
      </c>
      <c r="E5245" s="560">
        <f t="shared" si="807"/>
        <v>29</v>
      </c>
      <c r="F5245" s="1508">
        <f t="shared" si="801"/>
        <v>0</v>
      </c>
      <c r="G5245" s="1508">
        <f t="shared" si="802"/>
        <v>0</v>
      </c>
      <c r="H5245" s="1508">
        <f t="shared" si="803"/>
        <v>0</v>
      </c>
      <c r="I5245" s="1480">
        <v>0</v>
      </c>
      <c r="J5245" s="1480">
        <v>0</v>
      </c>
      <c r="K5245" s="1508"/>
      <c r="L5245" s="1508"/>
      <c r="M5245" s="1509">
        <f t="shared" si="804"/>
        <v>0</v>
      </c>
      <c r="N5245" s="1508">
        <f t="shared" si="805"/>
        <v>0</v>
      </c>
    </row>
    <row r="5246" spans="1:14" ht="62" outlineLevel="1" x14ac:dyDescent="0.25">
      <c r="A5246" s="1492">
        <f t="shared" si="807"/>
        <v>0</v>
      </c>
      <c r="B5246" s="1492" t="str">
        <f t="shared" si="807"/>
        <v xml:space="preserve">Scheme-1: Work of Modification &amp; upgradation in Railway Track network of CSTPS by Provision of additional take off &amp; cutoff point for CHPD and empty formation at WT outhaul in CSTPS Railway Siding. </v>
      </c>
      <c r="C5246" s="1488">
        <f t="shared" si="807"/>
        <v>0</v>
      </c>
      <c r="D5246" s="1413" t="str">
        <f t="shared" si="807"/>
        <v>-</v>
      </c>
      <c r="E5246" s="560">
        <f t="shared" si="807"/>
        <v>14</v>
      </c>
      <c r="F5246" s="1508">
        <f t="shared" si="801"/>
        <v>14</v>
      </c>
      <c r="G5246" s="1508">
        <f t="shared" si="802"/>
        <v>14</v>
      </c>
      <c r="H5246" s="1508">
        <f t="shared" si="803"/>
        <v>0</v>
      </c>
      <c r="I5246" s="1480">
        <v>0</v>
      </c>
      <c r="J5246" s="1480">
        <v>0</v>
      </c>
      <c r="K5246" s="1508"/>
      <c r="L5246" s="1508"/>
      <c r="M5246" s="1509">
        <f t="shared" si="804"/>
        <v>0</v>
      </c>
      <c r="N5246" s="1508">
        <f t="shared" si="805"/>
        <v>0</v>
      </c>
    </row>
    <row r="5247" spans="1:14" ht="46.5" outlineLevel="1" x14ac:dyDescent="0.25">
      <c r="A5247" s="1492">
        <f t="shared" si="807"/>
        <v>0</v>
      </c>
      <c r="B5247" s="1492" t="str">
        <f t="shared" si="807"/>
        <v>Scheme-1: Work of Modification &amp; upgradation in Railway Track network of CSTPS by Complete Track Renewal of old BG rail with other allied works in CSTPS Railway Siding.</v>
      </c>
      <c r="C5247" s="1488">
        <f t="shared" si="807"/>
        <v>0</v>
      </c>
      <c r="D5247" s="1413" t="str">
        <f t="shared" si="807"/>
        <v>-</v>
      </c>
      <c r="E5247" s="560">
        <f t="shared" si="807"/>
        <v>15</v>
      </c>
      <c r="F5247" s="1508">
        <f t="shared" si="801"/>
        <v>15</v>
      </c>
      <c r="G5247" s="1508">
        <f t="shared" si="802"/>
        <v>15</v>
      </c>
      <c r="H5247" s="1508">
        <f t="shared" si="803"/>
        <v>0</v>
      </c>
      <c r="I5247" s="1480">
        <v>0</v>
      </c>
      <c r="J5247" s="1480">
        <v>0</v>
      </c>
      <c r="K5247" s="1508"/>
      <c r="L5247" s="1508"/>
      <c r="M5247" s="1509">
        <f t="shared" si="804"/>
        <v>0</v>
      </c>
      <c r="N5247" s="1508">
        <f t="shared" si="805"/>
        <v>0</v>
      </c>
    </row>
    <row r="5248" spans="1:14" ht="46.5" outlineLevel="1" x14ac:dyDescent="0.25">
      <c r="A5248" s="1486">
        <f t="shared" si="807"/>
        <v>6</v>
      </c>
      <c r="B5248" s="1491" t="str">
        <f t="shared" si="807"/>
        <v>extension of Pipe Conveyor System from Padmapur Loading Station to Coal Handling Plant-C of Unit 5,6&amp;7 at CSTPS Chandrapur.</v>
      </c>
      <c r="C5248" s="1488">
        <f t="shared" si="807"/>
        <v>0</v>
      </c>
      <c r="D5248" s="1413" t="str">
        <f t="shared" si="807"/>
        <v>-</v>
      </c>
      <c r="E5248" s="560">
        <f t="shared" si="807"/>
        <v>100</v>
      </c>
      <c r="F5248" s="1508">
        <f t="shared" si="801"/>
        <v>0</v>
      </c>
      <c r="G5248" s="1508">
        <f t="shared" si="802"/>
        <v>0</v>
      </c>
      <c r="H5248" s="1508">
        <f t="shared" si="803"/>
        <v>0</v>
      </c>
      <c r="I5248" s="1480">
        <v>0</v>
      </c>
      <c r="J5248" s="1480">
        <v>0</v>
      </c>
      <c r="K5248" s="1508"/>
      <c r="L5248" s="1508"/>
      <c r="M5248" s="1509">
        <f t="shared" si="804"/>
        <v>0</v>
      </c>
      <c r="N5248" s="1508">
        <f t="shared" si="805"/>
        <v>0</v>
      </c>
    </row>
    <row r="5249" spans="1:14" ht="46.5" outlineLevel="1" x14ac:dyDescent="0.25">
      <c r="A5249" s="1492">
        <f t="shared" si="807"/>
        <v>0</v>
      </c>
      <c r="B5249" s="1492" t="str">
        <f t="shared" si="807"/>
        <v>Scheme-1: Augmentation of extension of Pipe Conveyor System from Padmapur Loading Station to Coal Handling Plant-C of Unit 5,6&amp;7 at CSTPS Chandrapur.</v>
      </c>
      <c r="C5249" s="1488">
        <f t="shared" si="807"/>
        <v>0</v>
      </c>
      <c r="D5249" s="1413" t="str">
        <f t="shared" si="807"/>
        <v>-</v>
      </c>
      <c r="E5249" s="560">
        <f t="shared" si="807"/>
        <v>100</v>
      </c>
      <c r="F5249" s="1508">
        <f t="shared" si="801"/>
        <v>100</v>
      </c>
      <c r="G5249" s="1508">
        <f t="shared" si="802"/>
        <v>100</v>
      </c>
      <c r="H5249" s="1508">
        <f t="shared" si="803"/>
        <v>0</v>
      </c>
      <c r="I5249" s="1480">
        <v>0</v>
      </c>
      <c r="J5249" s="1480">
        <v>0</v>
      </c>
      <c r="K5249" s="1508"/>
      <c r="L5249" s="1508"/>
      <c r="M5249" s="1509">
        <f t="shared" si="804"/>
        <v>0</v>
      </c>
      <c r="N5249" s="1508">
        <f t="shared" si="805"/>
        <v>0</v>
      </c>
    </row>
    <row r="5250" spans="1:14" ht="15.5" outlineLevel="1" x14ac:dyDescent="0.25">
      <c r="A5250" s="1504">
        <f t="shared" si="807"/>
        <v>0</v>
      </c>
      <c r="B5250" s="1504" t="str">
        <f t="shared" si="807"/>
        <v>CHP-C</v>
      </c>
      <c r="C5250" s="1488">
        <f t="shared" si="807"/>
        <v>0</v>
      </c>
      <c r="D5250" s="1413" t="str">
        <f t="shared" si="807"/>
        <v>-</v>
      </c>
      <c r="E5250" s="560">
        <f t="shared" si="807"/>
        <v>0</v>
      </c>
      <c r="F5250" s="1508">
        <f t="shared" si="801"/>
        <v>0</v>
      </c>
      <c r="G5250" s="1508">
        <f t="shared" si="802"/>
        <v>0</v>
      </c>
      <c r="H5250" s="1508">
        <f t="shared" si="803"/>
        <v>0</v>
      </c>
      <c r="I5250" s="1480">
        <v>0</v>
      </c>
      <c r="J5250" s="1480">
        <v>0</v>
      </c>
      <c r="K5250" s="1508"/>
      <c r="L5250" s="1508"/>
      <c r="M5250" s="1509">
        <f t="shared" si="804"/>
        <v>0</v>
      </c>
      <c r="N5250" s="1508">
        <f t="shared" si="805"/>
        <v>0</v>
      </c>
    </row>
    <row r="5251" spans="1:14" ht="31" outlineLevel="1" x14ac:dyDescent="0.25">
      <c r="A5251" s="1486">
        <f t="shared" si="807"/>
        <v>1</v>
      </c>
      <c r="B5251" s="1491" t="str">
        <f t="shared" si="807"/>
        <v>Design, Engineering, supply, Erection and commissioning of new fire fighting system at Pipe conveyor of CSTPS, Chandrapur</v>
      </c>
      <c r="C5251" s="1488">
        <f t="shared" si="807"/>
        <v>0</v>
      </c>
      <c r="D5251" s="1413" t="str">
        <f t="shared" si="807"/>
        <v>-</v>
      </c>
      <c r="E5251" s="560">
        <f t="shared" si="807"/>
        <v>25</v>
      </c>
      <c r="F5251" s="1508">
        <f t="shared" si="801"/>
        <v>0</v>
      </c>
      <c r="G5251" s="1508">
        <f t="shared" si="802"/>
        <v>0</v>
      </c>
      <c r="H5251" s="1508">
        <f t="shared" si="803"/>
        <v>0</v>
      </c>
      <c r="I5251" s="1480">
        <v>0</v>
      </c>
      <c r="J5251" s="1480">
        <v>0</v>
      </c>
      <c r="K5251" s="1508"/>
      <c r="L5251" s="1508"/>
      <c r="M5251" s="1509">
        <f t="shared" si="804"/>
        <v>0</v>
      </c>
      <c r="N5251" s="1508">
        <f t="shared" si="805"/>
        <v>0</v>
      </c>
    </row>
    <row r="5252" spans="1:14" ht="31" outlineLevel="1" x14ac:dyDescent="0.25">
      <c r="A5252" s="1492">
        <f t="shared" si="807"/>
        <v>0</v>
      </c>
      <c r="B5252" s="1492" t="str">
        <f t="shared" si="807"/>
        <v>Design, Engineering, supply, Erection and commissioning of new fire fighting system at Pipe conveyor of CSTPS, Chandrapur</v>
      </c>
      <c r="C5252" s="1488">
        <f t="shared" si="807"/>
        <v>0</v>
      </c>
      <c r="D5252" s="1413" t="str">
        <f t="shared" si="807"/>
        <v>-</v>
      </c>
      <c r="E5252" s="560">
        <f t="shared" si="807"/>
        <v>25</v>
      </c>
      <c r="F5252" s="1508">
        <f t="shared" si="801"/>
        <v>25</v>
      </c>
      <c r="G5252" s="1508">
        <f t="shared" si="802"/>
        <v>0</v>
      </c>
      <c r="H5252" s="1508">
        <f t="shared" si="803"/>
        <v>25</v>
      </c>
      <c r="I5252" s="1480">
        <v>0</v>
      </c>
      <c r="J5252" s="1480">
        <v>0</v>
      </c>
      <c r="K5252" s="1508"/>
      <c r="L5252" s="1508"/>
      <c r="M5252" s="1509">
        <f t="shared" si="804"/>
        <v>0</v>
      </c>
      <c r="N5252" s="1508">
        <f t="shared" si="805"/>
        <v>25</v>
      </c>
    </row>
    <row r="5253" spans="1:14" ht="31" outlineLevel="1" x14ac:dyDescent="0.25">
      <c r="A5253" s="1486">
        <f t="shared" si="807"/>
        <v>2</v>
      </c>
      <c r="B5253" s="1491" t="str">
        <f t="shared" si="807"/>
        <v>Reliability &amp; availability improvement of coal transportation by Procurement of UTS (BOBR) Wagons for CHP</v>
      </c>
      <c r="C5253" s="1488">
        <f t="shared" si="807"/>
        <v>0</v>
      </c>
      <c r="D5253" s="1413" t="str">
        <f t="shared" si="807"/>
        <v>-</v>
      </c>
      <c r="E5253" s="560">
        <f t="shared" si="807"/>
        <v>15</v>
      </c>
      <c r="F5253" s="1508">
        <f t="shared" si="801"/>
        <v>0</v>
      </c>
      <c r="G5253" s="1508">
        <f t="shared" si="802"/>
        <v>0</v>
      </c>
      <c r="H5253" s="1508">
        <f t="shared" si="803"/>
        <v>0</v>
      </c>
      <c r="I5253" s="1480">
        <v>0</v>
      </c>
      <c r="J5253" s="1480">
        <v>0</v>
      </c>
      <c r="K5253" s="1508"/>
      <c r="L5253" s="1508"/>
      <c r="M5253" s="1509">
        <f t="shared" si="804"/>
        <v>0</v>
      </c>
      <c r="N5253" s="1508">
        <f t="shared" si="805"/>
        <v>0</v>
      </c>
    </row>
    <row r="5254" spans="1:14" ht="31" outlineLevel="1" x14ac:dyDescent="0.25">
      <c r="A5254" s="1492">
        <f t="shared" si="807"/>
        <v>0</v>
      </c>
      <c r="B5254" s="1492" t="str">
        <f t="shared" si="807"/>
        <v>Reliability &amp; availability improvement of coal transportation by Procurement of UTS (BOBR) Wagons for CHP</v>
      </c>
      <c r="C5254" s="1488">
        <f t="shared" si="807"/>
        <v>0</v>
      </c>
      <c r="D5254" s="1413" t="str">
        <f t="shared" si="807"/>
        <v>-</v>
      </c>
      <c r="E5254" s="560">
        <f t="shared" si="807"/>
        <v>15</v>
      </c>
      <c r="F5254" s="1508">
        <f t="shared" si="801"/>
        <v>15</v>
      </c>
      <c r="G5254" s="1508">
        <f t="shared" si="802"/>
        <v>0</v>
      </c>
      <c r="H5254" s="1508">
        <f t="shared" si="803"/>
        <v>15</v>
      </c>
      <c r="I5254" s="1480">
        <v>0</v>
      </c>
      <c r="J5254" s="1480">
        <v>0</v>
      </c>
      <c r="K5254" s="1508"/>
      <c r="L5254" s="1508"/>
      <c r="M5254" s="1509">
        <f t="shared" si="804"/>
        <v>0</v>
      </c>
      <c r="N5254" s="1508">
        <f t="shared" si="805"/>
        <v>15</v>
      </c>
    </row>
    <row r="5255" spans="1:14" ht="31" outlineLevel="1" x14ac:dyDescent="0.25">
      <c r="A5255" s="1486">
        <f t="shared" si="807"/>
        <v>3</v>
      </c>
      <c r="B5255" s="1491" t="str">
        <f t="shared" si="807"/>
        <v>Reliability &amp; availability improvement by replacement of set of internals for Paddle feeders</v>
      </c>
      <c r="C5255" s="1488">
        <f t="shared" si="807"/>
        <v>0</v>
      </c>
      <c r="D5255" s="1413" t="str">
        <f t="shared" si="807"/>
        <v>-</v>
      </c>
      <c r="E5255" s="560">
        <f t="shared" si="807"/>
        <v>6</v>
      </c>
      <c r="F5255" s="1508">
        <f t="shared" si="801"/>
        <v>0</v>
      </c>
      <c r="G5255" s="1508">
        <f t="shared" si="802"/>
        <v>0</v>
      </c>
      <c r="H5255" s="1508">
        <f t="shared" si="803"/>
        <v>0</v>
      </c>
      <c r="I5255" s="1480">
        <v>0</v>
      </c>
      <c r="J5255" s="1480">
        <v>0</v>
      </c>
      <c r="K5255" s="1508"/>
      <c r="L5255" s="1508"/>
      <c r="M5255" s="1509">
        <f t="shared" si="804"/>
        <v>0</v>
      </c>
      <c r="N5255" s="1508">
        <f t="shared" si="805"/>
        <v>0</v>
      </c>
    </row>
    <row r="5256" spans="1:14" ht="31" outlineLevel="1" x14ac:dyDescent="0.25">
      <c r="A5256" s="1492">
        <f t="shared" si="807"/>
        <v>0</v>
      </c>
      <c r="B5256" s="1492" t="str">
        <f t="shared" si="807"/>
        <v>Reliability &amp; availability improvement by replacement of set of internals for Paddle feeders</v>
      </c>
      <c r="C5256" s="1488">
        <f t="shared" si="807"/>
        <v>0</v>
      </c>
      <c r="D5256" s="1413" t="str">
        <f t="shared" si="807"/>
        <v>-</v>
      </c>
      <c r="E5256" s="560">
        <f t="shared" si="807"/>
        <v>6</v>
      </c>
      <c r="F5256" s="1508">
        <f t="shared" si="801"/>
        <v>6</v>
      </c>
      <c r="G5256" s="1508">
        <f t="shared" si="802"/>
        <v>0</v>
      </c>
      <c r="H5256" s="1508">
        <f t="shared" si="803"/>
        <v>6</v>
      </c>
      <c r="I5256" s="1480">
        <v>0</v>
      </c>
      <c r="J5256" s="1480">
        <v>0</v>
      </c>
      <c r="K5256" s="1508"/>
      <c r="L5256" s="1508"/>
      <c r="M5256" s="1509">
        <f t="shared" si="804"/>
        <v>0</v>
      </c>
      <c r="N5256" s="1508">
        <f t="shared" si="805"/>
        <v>6</v>
      </c>
    </row>
    <row r="5257" spans="1:14" ht="31" outlineLevel="1" x14ac:dyDescent="0.25">
      <c r="A5257" s="1486">
        <f t="shared" si="807"/>
        <v>4</v>
      </c>
      <c r="B5257" s="1491" t="str">
        <f t="shared" si="807"/>
        <v>Reliability &amp; availability improvement by replacement of transfer chutes at CHP-C</v>
      </c>
      <c r="C5257" s="1488">
        <f t="shared" si="807"/>
        <v>0</v>
      </c>
      <c r="D5257" s="1413" t="str">
        <f t="shared" si="807"/>
        <v>-</v>
      </c>
      <c r="E5257" s="560">
        <f t="shared" si="807"/>
        <v>10</v>
      </c>
      <c r="F5257" s="1508">
        <f t="shared" si="801"/>
        <v>0</v>
      </c>
      <c r="G5257" s="1508">
        <f t="shared" si="802"/>
        <v>0</v>
      </c>
      <c r="H5257" s="1508">
        <f t="shared" si="803"/>
        <v>0</v>
      </c>
      <c r="I5257" s="1480">
        <v>0</v>
      </c>
      <c r="J5257" s="1480">
        <v>0</v>
      </c>
      <c r="K5257" s="1508"/>
      <c r="L5257" s="1508"/>
      <c r="M5257" s="1509">
        <f t="shared" si="804"/>
        <v>0</v>
      </c>
      <c r="N5257" s="1508">
        <f t="shared" si="805"/>
        <v>0</v>
      </c>
    </row>
    <row r="5258" spans="1:14" ht="31" outlineLevel="1" x14ac:dyDescent="0.25">
      <c r="A5258" s="1492">
        <f t="shared" si="807"/>
        <v>0</v>
      </c>
      <c r="B5258" s="1492" t="str">
        <f t="shared" si="807"/>
        <v>Reliability &amp; availability improvement by replacement of transfer chutes at CHP-C</v>
      </c>
      <c r="C5258" s="1488">
        <f t="shared" si="807"/>
        <v>0</v>
      </c>
      <c r="D5258" s="1413" t="str">
        <f t="shared" si="807"/>
        <v>-</v>
      </c>
      <c r="E5258" s="560">
        <f t="shared" si="807"/>
        <v>10</v>
      </c>
      <c r="F5258" s="1508">
        <f t="shared" si="801"/>
        <v>10</v>
      </c>
      <c r="G5258" s="1508">
        <f t="shared" si="802"/>
        <v>0</v>
      </c>
      <c r="H5258" s="1508">
        <f t="shared" si="803"/>
        <v>10</v>
      </c>
      <c r="I5258" s="1480">
        <v>0</v>
      </c>
      <c r="J5258" s="1480">
        <v>0</v>
      </c>
      <c r="K5258" s="1508"/>
      <c r="L5258" s="1508"/>
      <c r="M5258" s="1509">
        <f t="shared" si="804"/>
        <v>0</v>
      </c>
      <c r="N5258" s="1508">
        <f t="shared" si="805"/>
        <v>10</v>
      </c>
    </row>
    <row r="5259" spans="1:14" ht="15.5" outlineLevel="1" x14ac:dyDescent="0.25">
      <c r="A5259" s="1504">
        <f t="shared" si="807"/>
        <v>0</v>
      </c>
      <c r="B5259" s="1504" t="str">
        <f t="shared" si="807"/>
        <v>Civil U#3  to U#7</v>
      </c>
      <c r="C5259" s="1488">
        <f t="shared" si="807"/>
        <v>0</v>
      </c>
      <c r="D5259" s="1413" t="str">
        <f t="shared" si="807"/>
        <v>-</v>
      </c>
      <c r="E5259" s="560">
        <f t="shared" si="807"/>
        <v>0</v>
      </c>
      <c r="F5259" s="1508">
        <f t="shared" si="801"/>
        <v>0</v>
      </c>
      <c r="G5259" s="1508">
        <f t="shared" si="802"/>
        <v>0</v>
      </c>
      <c r="H5259" s="1508">
        <f t="shared" si="803"/>
        <v>0</v>
      </c>
      <c r="I5259" s="1480">
        <v>0</v>
      </c>
      <c r="J5259" s="1480">
        <v>0</v>
      </c>
      <c r="K5259" s="1508"/>
      <c r="L5259" s="1508"/>
      <c r="M5259" s="1509">
        <f t="shared" si="804"/>
        <v>0</v>
      </c>
      <c r="N5259" s="1508">
        <f t="shared" si="805"/>
        <v>0</v>
      </c>
    </row>
    <row r="5260" spans="1:14" ht="31" outlineLevel="1" x14ac:dyDescent="0.25">
      <c r="A5260" s="1486">
        <f t="shared" ref="A5260:E5275" si="808">A4590</f>
        <v>1</v>
      </c>
      <c r="B5260" s="1491" t="str">
        <f t="shared" si="808"/>
        <v xml:space="preserve">Provision for Scientific storage of coal reject and leachate collection system at CSTPS, Chandrapur </v>
      </c>
      <c r="C5260" s="1488">
        <f t="shared" si="808"/>
        <v>0</v>
      </c>
      <c r="D5260" s="1413" t="str">
        <f t="shared" si="808"/>
        <v>-</v>
      </c>
      <c r="E5260" s="560">
        <f t="shared" si="808"/>
        <v>37.57</v>
      </c>
      <c r="F5260" s="1508">
        <f t="shared" si="801"/>
        <v>0</v>
      </c>
      <c r="G5260" s="1508">
        <f t="shared" si="802"/>
        <v>0</v>
      </c>
      <c r="H5260" s="1508">
        <f t="shared" si="803"/>
        <v>0</v>
      </c>
      <c r="I5260" s="1480">
        <v>0</v>
      </c>
      <c r="J5260" s="1480">
        <v>0</v>
      </c>
      <c r="K5260" s="1508"/>
      <c r="L5260" s="1508"/>
      <c r="M5260" s="1509">
        <f t="shared" si="804"/>
        <v>0</v>
      </c>
      <c r="N5260" s="1508">
        <f t="shared" si="805"/>
        <v>0</v>
      </c>
    </row>
    <row r="5261" spans="1:14" ht="31" outlineLevel="1" x14ac:dyDescent="0.25">
      <c r="A5261" s="1492">
        <f t="shared" si="808"/>
        <v>0</v>
      </c>
      <c r="B5261" s="1492" t="str">
        <f t="shared" si="808"/>
        <v>Provision for Scientific storage of coal reject and leachate collection system at CSTPS, Chandrapur</v>
      </c>
      <c r="C5261" s="1488">
        <f t="shared" si="808"/>
        <v>0</v>
      </c>
      <c r="D5261" s="1413" t="str">
        <f t="shared" si="808"/>
        <v>-</v>
      </c>
      <c r="E5261" s="560">
        <f t="shared" si="808"/>
        <v>37.57</v>
      </c>
      <c r="F5261" s="1508">
        <f t="shared" si="801"/>
        <v>37.57</v>
      </c>
      <c r="G5261" s="1508">
        <f t="shared" si="802"/>
        <v>37.57</v>
      </c>
      <c r="H5261" s="1508">
        <f t="shared" si="803"/>
        <v>0</v>
      </c>
      <c r="I5261" s="1480">
        <v>0</v>
      </c>
      <c r="J5261" s="1480">
        <v>0</v>
      </c>
      <c r="K5261" s="1508"/>
      <c r="L5261" s="1508"/>
      <c r="M5261" s="1509">
        <f t="shared" si="804"/>
        <v>0</v>
      </c>
      <c r="N5261" s="1508">
        <f t="shared" si="805"/>
        <v>0</v>
      </c>
    </row>
    <row r="5262" spans="1:14" ht="31" outlineLevel="1" x14ac:dyDescent="0.25">
      <c r="A5262" s="1486">
        <f t="shared" si="808"/>
        <v>2</v>
      </c>
      <c r="B5262" s="1491" t="str">
        <f t="shared" si="808"/>
        <v xml:space="preserve">Infrastructure  development scheme for improvement of CHP at CSTPS, Chandrapur </v>
      </c>
      <c r="C5262" s="1488">
        <f t="shared" si="808"/>
        <v>0</v>
      </c>
      <c r="D5262" s="1413" t="str">
        <f t="shared" si="808"/>
        <v>-</v>
      </c>
      <c r="E5262" s="560">
        <f t="shared" si="808"/>
        <v>47.15</v>
      </c>
      <c r="F5262" s="1508">
        <f t="shared" si="801"/>
        <v>0</v>
      </c>
      <c r="G5262" s="1508">
        <f t="shared" si="802"/>
        <v>0</v>
      </c>
      <c r="H5262" s="1508">
        <f t="shared" si="803"/>
        <v>0</v>
      </c>
      <c r="I5262" s="1480">
        <v>0</v>
      </c>
      <c r="J5262" s="1480">
        <v>0</v>
      </c>
      <c r="K5262" s="1508"/>
      <c r="L5262" s="1508"/>
      <c r="M5262" s="1509">
        <f t="shared" si="804"/>
        <v>0</v>
      </c>
      <c r="N5262" s="1508">
        <f t="shared" si="805"/>
        <v>0</v>
      </c>
    </row>
    <row r="5263" spans="1:14" ht="46.5" outlineLevel="1" x14ac:dyDescent="0.25">
      <c r="A5263" s="1492">
        <f t="shared" si="808"/>
        <v>0</v>
      </c>
      <c r="B5263" s="1492" t="str">
        <f t="shared" si="808"/>
        <v xml:space="preserve">Construction of RCC platform facility for Coal storage &amp; transportation in CHP-B STACKER I &amp; II area (500MW) at CSTPS, Chandrapur </v>
      </c>
      <c r="C5263" s="1488">
        <f t="shared" si="808"/>
        <v>0</v>
      </c>
      <c r="D5263" s="1413" t="str">
        <f t="shared" si="808"/>
        <v>-</v>
      </c>
      <c r="E5263" s="560">
        <f t="shared" si="808"/>
        <v>47.15</v>
      </c>
      <c r="F5263" s="1508">
        <f t="shared" si="801"/>
        <v>47.15</v>
      </c>
      <c r="G5263" s="1508">
        <f t="shared" si="802"/>
        <v>47.15</v>
      </c>
      <c r="H5263" s="1508">
        <f t="shared" si="803"/>
        <v>0</v>
      </c>
      <c r="I5263" s="1480">
        <v>0</v>
      </c>
      <c r="J5263" s="1480">
        <v>0</v>
      </c>
      <c r="K5263" s="1508"/>
      <c r="L5263" s="1508"/>
      <c r="M5263" s="1509">
        <f t="shared" si="804"/>
        <v>0</v>
      </c>
      <c r="N5263" s="1508">
        <f t="shared" si="805"/>
        <v>0</v>
      </c>
    </row>
    <row r="5264" spans="1:14" ht="31" outlineLevel="1" x14ac:dyDescent="0.25">
      <c r="A5264" s="1486">
        <f t="shared" si="808"/>
        <v>3</v>
      </c>
      <c r="B5264" s="1491" t="str">
        <f t="shared" si="808"/>
        <v>Contruction of cement concrete roads in CHP area at CSTPS, Chandrapur</v>
      </c>
      <c r="C5264" s="1488">
        <f t="shared" si="808"/>
        <v>0</v>
      </c>
      <c r="D5264" s="1413" t="str">
        <f t="shared" si="808"/>
        <v>-</v>
      </c>
      <c r="E5264" s="560">
        <f t="shared" si="808"/>
        <v>27.05</v>
      </c>
      <c r="F5264" s="1508">
        <f t="shared" si="801"/>
        <v>0</v>
      </c>
      <c r="G5264" s="1508">
        <f t="shared" si="802"/>
        <v>0</v>
      </c>
      <c r="H5264" s="1508">
        <f t="shared" si="803"/>
        <v>0</v>
      </c>
      <c r="I5264" s="1480">
        <v>0</v>
      </c>
      <c r="J5264" s="1480">
        <v>0</v>
      </c>
      <c r="K5264" s="1508"/>
      <c r="L5264" s="1508"/>
      <c r="M5264" s="1509">
        <f t="shared" si="804"/>
        <v>0</v>
      </c>
      <c r="N5264" s="1508">
        <f t="shared" si="805"/>
        <v>0</v>
      </c>
    </row>
    <row r="5265" spans="1:14" ht="31" outlineLevel="1" x14ac:dyDescent="0.25">
      <c r="A5265" s="1492">
        <f t="shared" si="808"/>
        <v>0</v>
      </c>
      <c r="B5265" s="1492" t="str">
        <f t="shared" si="808"/>
        <v>Contruction of cement concrete roads in CHP area at CSTPS, Chandrapur</v>
      </c>
      <c r="C5265" s="1488">
        <f t="shared" si="808"/>
        <v>0</v>
      </c>
      <c r="D5265" s="1413" t="str">
        <f t="shared" si="808"/>
        <v>-</v>
      </c>
      <c r="E5265" s="560">
        <f t="shared" si="808"/>
        <v>27.05</v>
      </c>
      <c r="F5265" s="1508">
        <f t="shared" si="801"/>
        <v>27.05</v>
      </c>
      <c r="G5265" s="1508">
        <f t="shared" si="802"/>
        <v>27.05</v>
      </c>
      <c r="H5265" s="1508">
        <f t="shared" si="803"/>
        <v>0</v>
      </c>
      <c r="I5265" s="1480">
        <v>0</v>
      </c>
      <c r="J5265" s="1480">
        <v>0</v>
      </c>
      <c r="K5265" s="1508"/>
      <c r="L5265" s="1508"/>
      <c r="M5265" s="1509">
        <f t="shared" si="804"/>
        <v>0</v>
      </c>
      <c r="N5265" s="1508">
        <f t="shared" si="805"/>
        <v>0</v>
      </c>
    </row>
    <row r="5266" spans="1:14" ht="31" outlineLevel="1" x14ac:dyDescent="0.25">
      <c r="A5266" s="1486">
        <f t="shared" si="808"/>
        <v>4</v>
      </c>
      <c r="B5266" s="1491" t="str">
        <f t="shared" si="808"/>
        <v>Arresting Leakages by  water proofing treatment in main Plant &amp; ancillary buildings  at CSTPS, Chandrapur.</v>
      </c>
      <c r="C5266" s="1488">
        <f t="shared" si="808"/>
        <v>0</v>
      </c>
      <c r="D5266" s="1413" t="str">
        <f t="shared" si="808"/>
        <v>-</v>
      </c>
      <c r="E5266" s="560">
        <f t="shared" si="808"/>
        <v>30</v>
      </c>
      <c r="F5266" s="1508">
        <f t="shared" si="801"/>
        <v>0</v>
      </c>
      <c r="G5266" s="1508">
        <f t="shared" si="802"/>
        <v>0</v>
      </c>
      <c r="H5266" s="1508">
        <f t="shared" si="803"/>
        <v>0</v>
      </c>
      <c r="I5266" s="1480">
        <v>0</v>
      </c>
      <c r="J5266" s="1480">
        <v>0</v>
      </c>
      <c r="K5266" s="1508"/>
      <c r="L5266" s="1508"/>
      <c r="M5266" s="1509">
        <f t="shared" si="804"/>
        <v>0</v>
      </c>
      <c r="N5266" s="1508">
        <f t="shared" si="805"/>
        <v>0</v>
      </c>
    </row>
    <row r="5267" spans="1:14" ht="62" outlineLevel="1" x14ac:dyDescent="0.25">
      <c r="A5267" s="1492">
        <f t="shared" si="808"/>
        <v>0</v>
      </c>
      <c r="B5267" s="1492" t="str">
        <f t="shared" si="808"/>
        <v xml:space="preserve">A)- water proofing treatment in Control room of WTP-I area.
(B)- water proofing treatment inControl room of WTP-II area.
(C)-  water proofing treatment in Control room of CT Fan area 
(D)- water proofing treatment in   Main Plant area. </v>
      </c>
      <c r="C5267" s="1488">
        <f t="shared" si="808"/>
        <v>0</v>
      </c>
      <c r="D5267" s="1413" t="str">
        <f t="shared" si="808"/>
        <v>-</v>
      </c>
      <c r="E5267" s="560">
        <f t="shared" si="808"/>
        <v>30</v>
      </c>
      <c r="F5267" s="1508">
        <f t="shared" si="801"/>
        <v>30</v>
      </c>
      <c r="G5267" s="1508">
        <f t="shared" si="802"/>
        <v>30</v>
      </c>
      <c r="H5267" s="1508">
        <f t="shared" si="803"/>
        <v>0</v>
      </c>
      <c r="I5267" s="1480">
        <v>0</v>
      </c>
      <c r="J5267" s="1480">
        <v>0</v>
      </c>
      <c r="K5267" s="1508"/>
      <c r="L5267" s="1508"/>
      <c r="M5267" s="1509">
        <f t="shared" si="804"/>
        <v>0</v>
      </c>
      <c r="N5267" s="1508">
        <f t="shared" si="805"/>
        <v>0</v>
      </c>
    </row>
    <row r="5268" spans="1:14" ht="15.5" outlineLevel="1" x14ac:dyDescent="0.25">
      <c r="A5268" s="1486">
        <f t="shared" si="808"/>
        <v>5</v>
      </c>
      <c r="B5268" s="1491" t="str">
        <f t="shared" si="808"/>
        <v>Structural strengthening of Unit 3&amp; 4 at CSTPS, Chandrapur</v>
      </c>
      <c r="C5268" s="1488">
        <f t="shared" si="808"/>
        <v>0</v>
      </c>
      <c r="D5268" s="1413" t="str">
        <f t="shared" si="808"/>
        <v>-</v>
      </c>
      <c r="E5268" s="560">
        <f t="shared" si="808"/>
        <v>40</v>
      </c>
      <c r="F5268" s="1508">
        <f t="shared" si="801"/>
        <v>0</v>
      </c>
      <c r="G5268" s="1508">
        <f t="shared" si="802"/>
        <v>0</v>
      </c>
      <c r="H5268" s="1508">
        <f t="shared" si="803"/>
        <v>0</v>
      </c>
      <c r="I5268" s="1480">
        <v>0</v>
      </c>
      <c r="J5268" s="1480">
        <v>0</v>
      </c>
      <c r="K5268" s="1508"/>
      <c r="L5268" s="1508"/>
      <c r="M5268" s="1509">
        <f t="shared" si="804"/>
        <v>0</v>
      </c>
      <c r="N5268" s="1508">
        <f t="shared" si="805"/>
        <v>0</v>
      </c>
    </row>
    <row r="5269" spans="1:14" ht="15.5" outlineLevel="1" x14ac:dyDescent="0.25">
      <c r="A5269" s="1492">
        <f t="shared" si="808"/>
        <v>0</v>
      </c>
      <c r="B5269" s="1492" t="str">
        <f t="shared" si="808"/>
        <v>Structural strengthening of Unit 3&amp; 4 at CSTPS, Chandrapur</v>
      </c>
      <c r="C5269" s="1488">
        <f t="shared" si="808"/>
        <v>0</v>
      </c>
      <c r="D5269" s="1413" t="str">
        <f t="shared" si="808"/>
        <v>-</v>
      </c>
      <c r="E5269" s="560">
        <f t="shared" si="808"/>
        <v>30</v>
      </c>
      <c r="F5269" s="1508">
        <f t="shared" si="801"/>
        <v>30</v>
      </c>
      <c r="G5269" s="1508">
        <f t="shared" si="802"/>
        <v>30</v>
      </c>
      <c r="H5269" s="1508">
        <f t="shared" si="803"/>
        <v>0</v>
      </c>
      <c r="I5269" s="1480">
        <v>0</v>
      </c>
      <c r="J5269" s="1480">
        <v>0</v>
      </c>
      <c r="K5269" s="1508"/>
      <c r="L5269" s="1508"/>
      <c r="M5269" s="1509">
        <f t="shared" si="804"/>
        <v>0</v>
      </c>
      <c r="N5269" s="1508">
        <f t="shared" si="805"/>
        <v>0</v>
      </c>
    </row>
    <row r="5270" spans="1:14" ht="15.5" outlineLevel="1" x14ac:dyDescent="0.25">
      <c r="A5270" s="1492">
        <f t="shared" si="808"/>
        <v>0</v>
      </c>
      <c r="B5270" s="1492" t="str">
        <f t="shared" si="808"/>
        <v>Structural strengthening of CHP-A buildings</v>
      </c>
      <c r="C5270" s="1488">
        <f t="shared" si="808"/>
        <v>0</v>
      </c>
      <c r="D5270" s="1413" t="str">
        <f t="shared" si="808"/>
        <v>-</v>
      </c>
      <c r="E5270" s="560">
        <f t="shared" si="808"/>
        <v>10</v>
      </c>
      <c r="F5270" s="1508">
        <f t="shared" si="801"/>
        <v>10</v>
      </c>
      <c r="G5270" s="1508">
        <f t="shared" si="802"/>
        <v>10</v>
      </c>
      <c r="H5270" s="1508">
        <f t="shared" si="803"/>
        <v>0</v>
      </c>
      <c r="I5270" s="1480">
        <v>0</v>
      </c>
      <c r="J5270" s="1480">
        <v>0</v>
      </c>
      <c r="K5270" s="1508"/>
      <c r="L5270" s="1508"/>
      <c r="M5270" s="1509">
        <f t="shared" si="804"/>
        <v>0</v>
      </c>
      <c r="N5270" s="1508">
        <f t="shared" si="805"/>
        <v>0</v>
      </c>
    </row>
    <row r="5271" spans="1:14" ht="31" outlineLevel="1" x14ac:dyDescent="0.25">
      <c r="A5271" s="1486">
        <f t="shared" si="808"/>
        <v>6</v>
      </c>
      <c r="B5271" s="1491" t="str">
        <f t="shared" si="808"/>
        <v>Infrastructure Deveolpment of CSTPS colony at CSTPS Chandrapur .</v>
      </c>
      <c r="C5271" s="1488">
        <f t="shared" si="808"/>
        <v>0</v>
      </c>
      <c r="D5271" s="1413" t="str">
        <f t="shared" si="808"/>
        <v>-</v>
      </c>
      <c r="E5271" s="560">
        <f t="shared" si="808"/>
        <v>67.900000000000006</v>
      </c>
      <c r="F5271" s="1508">
        <f t="shared" si="801"/>
        <v>0</v>
      </c>
      <c r="G5271" s="1508">
        <f t="shared" si="802"/>
        <v>0</v>
      </c>
      <c r="H5271" s="1508">
        <f t="shared" si="803"/>
        <v>0</v>
      </c>
      <c r="I5271" s="1480">
        <v>0</v>
      </c>
      <c r="J5271" s="1480">
        <v>0</v>
      </c>
      <c r="K5271" s="1508"/>
      <c r="L5271" s="1508"/>
      <c r="M5271" s="1509">
        <f t="shared" si="804"/>
        <v>0</v>
      </c>
      <c r="N5271" s="1508">
        <f t="shared" si="805"/>
        <v>0</v>
      </c>
    </row>
    <row r="5272" spans="1:14" ht="31" outlineLevel="1" x14ac:dyDescent="0.25">
      <c r="A5272" s="1492">
        <f t="shared" si="808"/>
        <v>0</v>
      </c>
      <c r="B5272" s="1492" t="str">
        <f t="shared" si="808"/>
        <v>i- Construction of new ESR (Elevated Storage Reservoir) at CSTPS Chandrapur</v>
      </c>
      <c r="C5272" s="1488">
        <f t="shared" si="808"/>
        <v>0</v>
      </c>
      <c r="D5272" s="1413" t="str">
        <f t="shared" si="808"/>
        <v>-</v>
      </c>
      <c r="E5272" s="560">
        <f t="shared" si="808"/>
        <v>3.78</v>
      </c>
      <c r="F5272" s="1508">
        <f t="shared" si="801"/>
        <v>3.78</v>
      </c>
      <c r="G5272" s="1508">
        <f t="shared" si="802"/>
        <v>3.78</v>
      </c>
      <c r="H5272" s="1508">
        <f t="shared" si="803"/>
        <v>0</v>
      </c>
      <c r="I5272" s="1480">
        <v>0</v>
      </c>
      <c r="J5272" s="1480">
        <v>0</v>
      </c>
      <c r="K5272" s="1508"/>
      <c r="L5272" s="1508"/>
      <c r="M5272" s="1509">
        <f t="shared" si="804"/>
        <v>0</v>
      </c>
      <c r="N5272" s="1508">
        <f t="shared" si="805"/>
        <v>0</v>
      </c>
    </row>
    <row r="5273" spans="1:14" ht="31" outlineLevel="1" x14ac:dyDescent="0.25">
      <c r="A5273" s="1492">
        <f t="shared" si="808"/>
        <v>0</v>
      </c>
      <c r="B5273" s="1492" t="str">
        <f t="shared" si="808"/>
        <v>ii- Providing &amp; Rerouting of existing water supply pipe line at CSTPS Chandrapur</v>
      </c>
      <c r="C5273" s="1488">
        <f t="shared" si="808"/>
        <v>0</v>
      </c>
      <c r="D5273" s="1413" t="str">
        <f t="shared" si="808"/>
        <v>-</v>
      </c>
      <c r="E5273" s="560">
        <f t="shared" si="808"/>
        <v>4.05</v>
      </c>
      <c r="F5273" s="1508">
        <f t="shared" si="801"/>
        <v>4.05</v>
      </c>
      <c r="G5273" s="1508">
        <f t="shared" si="802"/>
        <v>4.05</v>
      </c>
      <c r="H5273" s="1508">
        <f t="shared" si="803"/>
        <v>0</v>
      </c>
      <c r="I5273" s="1480">
        <v>0</v>
      </c>
      <c r="J5273" s="1480">
        <v>0</v>
      </c>
      <c r="K5273" s="1508"/>
      <c r="L5273" s="1508"/>
      <c r="M5273" s="1509">
        <f t="shared" si="804"/>
        <v>0</v>
      </c>
      <c r="N5273" s="1508">
        <f t="shared" si="805"/>
        <v>0</v>
      </c>
    </row>
    <row r="5274" spans="1:14" ht="31" outlineLevel="1" x14ac:dyDescent="0.25">
      <c r="A5274" s="1492">
        <f t="shared" si="808"/>
        <v>0</v>
      </c>
      <c r="B5274" s="1492" t="str">
        <f t="shared" si="808"/>
        <v>iii- Providing &amp; Rerouting of esiting sewer line at CSTPS colony Chandrapur</v>
      </c>
      <c r="C5274" s="1488">
        <f t="shared" si="808"/>
        <v>0</v>
      </c>
      <c r="D5274" s="1413" t="str">
        <f t="shared" si="808"/>
        <v>-</v>
      </c>
      <c r="E5274" s="560">
        <f t="shared" si="808"/>
        <v>7.01</v>
      </c>
      <c r="F5274" s="1508">
        <f t="shared" si="801"/>
        <v>7.01</v>
      </c>
      <c r="G5274" s="1508">
        <f t="shared" si="802"/>
        <v>7.01</v>
      </c>
      <c r="H5274" s="1508">
        <f t="shared" si="803"/>
        <v>0</v>
      </c>
      <c r="I5274" s="1480">
        <v>0</v>
      </c>
      <c r="J5274" s="1480">
        <v>0</v>
      </c>
      <c r="K5274" s="1508"/>
      <c r="L5274" s="1508"/>
      <c r="M5274" s="1509">
        <f t="shared" si="804"/>
        <v>0</v>
      </c>
      <c r="N5274" s="1508">
        <f t="shared" si="805"/>
        <v>0</v>
      </c>
    </row>
    <row r="5275" spans="1:14" ht="31" outlineLevel="1" x14ac:dyDescent="0.25">
      <c r="A5275" s="1492">
        <f t="shared" si="808"/>
        <v>0</v>
      </c>
      <c r="B5275" s="1492" t="str">
        <f t="shared" si="808"/>
        <v>iv- Providing water proofing treatment to terrace slab of residential building aaat CSTPS colony Chandrapur</v>
      </c>
      <c r="C5275" s="1488">
        <f t="shared" si="808"/>
        <v>0</v>
      </c>
      <c r="D5275" s="1413" t="str">
        <f t="shared" si="808"/>
        <v>-</v>
      </c>
      <c r="E5275" s="560">
        <f t="shared" si="808"/>
        <v>6.34</v>
      </c>
      <c r="F5275" s="1508">
        <f t="shared" si="801"/>
        <v>6.34</v>
      </c>
      <c r="G5275" s="1508">
        <f t="shared" si="802"/>
        <v>6.34</v>
      </c>
      <c r="H5275" s="1508">
        <f t="shared" si="803"/>
        <v>0</v>
      </c>
      <c r="I5275" s="1480">
        <v>0</v>
      </c>
      <c r="J5275" s="1480">
        <v>0</v>
      </c>
      <c r="K5275" s="1508"/>
      <c r="L5275" s="1508"/>
      <c r="M5275" s="1509">
        <f t="shared" si="804"/>
        <v>0</v>
      </c>
      <c r="N5275" s="1508">
        <f t="shared" si="805"/>
        <v>0</v>
      </c>
    </row>
    <row r="5276" spans="1:14" ht="31" outlineLevel="1" x14ac:dyDescent="0.25">
      <c r="A5276" s="1492">
        <f t="shared" ref="A5276:E5291" si="809">A4606</f>
        <v>0</v>
      </c>
      <c r="B5276" s="1492" t="str">
        <f t="shared" si="809"/>
        <v>v- Construction of storm water drain along major and internal road of CSTPS colony at Chnadrapur</v>
      </c>
      <c r="C5276" s="1488">
        <f t="shared" si="809"/>
        <v>0</v>
      </c>
      <c r="D5276" s="1413" t="str">
        <f t="shared" si="809"/>
        <v>-</v>
      </c>
      <c r="E5276" s="560">
        <f t="shared" si="809"/>
        <v>16.86</v>
      </c>
      <c r="F5276" s="1508">
        <f t="shared" ref="F5276:F5339" si="810">F4606+I4606</f>
        <v>16.86</v>
      </c>
      <c r="G5276" s="1508">
        <f t="shared" ref="G5276:G5339" si="811">G4606+M4606</f>
        <v>16.86</v>
      </c>
      <c r="H5276" s="1508">
        <f t="shared" si="803"/>
        <v>0</v>
      </c>
      <c r="I5276" s="1480">
        <v>0</v>
      </c>
      <c r="J5276" s="1480">
        <v>0</v>
      </c>
      <c r="K5276" s="1508"/>
      <c r="L5276" s="1508"/>
      <c r="M5276" s="1509">
        <f t="shared" si="804"/>
        <v>0</v>
      </c>
      <c r="N5276" s="1508">
        <f t="shared" si="805"/>
        <v>0</v>
      </c>
    </row>
    <row r="5277" spans="1:14" ht="31" outlineLevel="1" x14ac:dyDescent="0.25">
      <c r="A5277" s="1492">
        <f t="shared" si="809"/>
        <v>0</v>
      </c>
      <c r="B5277" s="1492" t="str">
        <f t="shared" si="809"/>
        <v>vi-Improvement of existing major and internal Bitumen   road of CSTPS colony  by Bituminous treatment  at  CSTPS Chandrapur</v>
      </c>
      <c r="C5277" s="1488">
        <f t="shared" si="809"/>
        <v>0</v>
      </c>
      <c r="D5277" s="1413" t="str">
        <f t="shared" si="809"/>
        <v>-</v>
      </c>
      <c r="E5277" s="560">
        <f t="shared" si="809"/>
        <v>29.81</v>
      </c>
      <c r="F5277" s="1508">
        <f t="shared" si="810"/>
        <v>29.81</v>
      </c>
      <c r="G5277" s="1508">
        <f t="shared" si="811"/>
        <v>29.81</v>
      </c>
      <c r="H5277" s="1508">
        <f t="shared" si="803"/>
        <v>0</v>
      </c>
      <c r="I5277" s="1480">
        <v>0</v>
      </c>
      <c r="J5277" s="1480">
        <v>0</v>
      </c>
      <c r="K5277" s="1508"/>
      <c r="L5277" s="1508"/>
      <c r="M5277" s="1509">
        <f t="shared" si="804"/>
        <v>0</v>
      </c>
      <c r="N5277" s="1508">
        <f t="shared" si="805"/>
        <v>0</v>
      </c>
    </row>
    <row r="5278" spans="1:14" ht="31" outlineLevel="1" x14ac:dyDescent="0.25">
      <c r="A5278" s="1486">
        <f t="shared" si="809"/>
        <v>7</v>
      </c>
      <c r="B5278" s="1491" t="str">
        <f t="shared" si="809"/>
        <v>Renovation of residential buildings , Public building , Road and other allied civil works in CSTPS colony at Chandrapur</v>
      </c>
      <c r="C5278" s="1488">
        <f t="shared" si="809"/>
        <v>0</v>
      </c>
      <c r="D5278" s="1413" t="str">
        <f t="shared" si="809"/>
        <v>-</v>
      </c>
      <c r="E5278" s="560">
        <f t="shared" si="809"/>
        <v>209</v>
      </c>
      <c r="F5278" s="1508">
        <f t="shared" si="810"/>
        <v>0</v>
      </c>
      <c r="G5278" s="1508">
        <f t="shared" si="811"/>
        <v>0</v>
      </c>
      <c r="H5278" s="1508">
        <f t="shared" si="803"/>
        <v>0</v>
      </c>
      <c r="I5278" s="1480">
        <v>0</v>
      </c>
      <c r="J5278" s="1480">
        <v>0</v>
      </c>
      <c r="K5278" s="1508"/>
      <c r="L5278" s="1508"/>
      <c r="M5278" s="1509">
        <f t="shared" si="804"/>
        <v>0</v>
      </c>
      <c r="N5278" s="1508">
        <f t="shared" si="805"/>
        <v>0</v>
      </c>
    </row>
    <row r="5279" spans="1:14" ht="31" outlineLevel="1" x14ac:dyDescent="0.25">
      <c r="A5279" s="1492">
        <f t="shared" si="809"/>
        <v>0</v>
      </c>
      <c r="B5279" s="1492" t="str">
        <f t="shared" si="809"/>
        <v>i- Renovation and Beautification of residential building ( Type A, B, C, D, E and F)  Phase -II at CSTPS Chnadrapur</v>
      </c>
      <c r="C5279" s="1488">
        <f t="shared" si="809"/>
        <v>0</v>
      </c>
      <c r="D5279" s="1413" t="str">
        <f t="shared" si="809"/>
        <v>-</v>
      </c>
      <c r="E5279" s="560">
        <f t="shared" si="809"/>
        <v>132</v>
      </c>
      <c r="F5279" s="1508">
        <f t="shared" si="810"/>
        <v>132</v>
      </c>
      <c r="G5279" s="1508">
        <f t="shared" si="811"/>
        <v>132</v>
      </c>
      <c r="H5279" s="1508">
        <f t="shared" si="803"/>
        <v>0</v>
      </c>
      <c r="I5279" s="1480">
        <v>0</v>
      </c>
      <c r="J5279" s="1480">
        <v>0</v>
      </c>
      <c r="K5279" s="1508"/>
      <c r="L5279" s="1508"/>
      <c r="M5279" s="1509">
        <f t="shared" si="804"/>
        <v>0</v>
      </c>
      <c r="N5279" s="1508">
        <f t="shared" si="805"/>
        <v>0</v>
      </c>
    </row>
    <row r="5280" spans="1:14" ht="15.5" outlineLevel="1" x14ac:dyDescent="0.25">
      <c r="A5280" s="1492">
        <f t="shared" si="809"/>
        <v>0</v>
      </c>
      <c r="B5280" s="1492" t="str">
        <f t="shared" si="809"/>
        <v>ii-Renovation of old and new market at CSTPS Chandrapur</v>
      </c>
      <c r="C5280" s="1488">
        <f t="shared" si="809"/>
        <v>0</v>
      </c>
      <c r="D5280" s="1413" t="str">
        <f t="shared" si="809"/>
        <v>-</v>
      </c>
      <c r="E5280" s="560">
        <f t="shared" si="809"/>
        <v>2</v>
      </c>
      <c r="F5280" s="1508">
        <f t="shared" si="810"/>
        <v>2</v>
      </c>
      <c r="G5280" s="1508">
        <f t="shared" si="811"/>
        <v>2</v>
      </c>
      <c r="H5280" s="1508">
        <f t="shared" si="803"/>
        <v>0</v>
      </c>
      <c r="I5280" s="1480">
        <v>0</v>
      </c>
      <c r="J5280" s="1480">
        <v>0</v>
      </c>
      <c r="K5280" s="1508"/>
      <c r="L5280" s="1508"/>
      <c r="M5280" s="1509">
        <f t="shared" si="804"/>
        <v>0</v>
      </c>
      <c r="N5280" s="1508">
        <f t="shared" si="805"/>
        <v>0</v>
      </c>
    </row>
    <row r="5281" spans="1:14" ht="31" outlineLevel="1" x14ac:dyDescent="0.25">
      <c r="A5281" s="1492">
        <f t="shared" si="809"/>
        <v>0</v>
      </c>
      <c r="B5281" s="1492" t="str">
        <f t="shared" si="809"/>
        <v>iii-Improvement of exsiting Main road by Cement Concrte road  in colony at CSTPS Chandrapur</v>
      </c>
      <c r="C5281" s="1488">
        <f t="shared" si="809"/>
        <v>0</v>
      </c>
      <c r="D5281" s="1413" t="str">
        <f t="shared" si="809"/>
        <v>-</v>
      </c>
      <c r="E5281" s="560">
        <f t="shared" si="809"/>
        <v>55</v>
      </c>
      <c r="F5281" s="1508">
        <f t="shared" si="810"/>
        <v>55</v>
      </c>
      <c r="G5281" s="1508">
        <f t="shared" si="811"/>
        <v>55</v>
      </c>
      <c r="H5281" s="1508">
        <f t="shared" si="803"/>
        <v>0</v>
      </c>
      <c r="I5281" s="1480">
        <v>0</v>
      </c>
      <c r="J5281" s="1480">
        <v>0</v>
      </c>
      <c r="K5281" s="1508"/>
      <c r="L5281" s="1508"/>
      <c r="M5281" s="1509">
        <f t="shared" si="804"/>
        <v>0</v>
      </c>
      <c r="N5281" s="1508">
        <f t="shared" si="805"/>
        <v>0</v>
      </c>
    </row>
    <row r="5282" spans="1:14" ht="31" outlineLevel="1" x14ac:dyDescent="0.25">
      <c r="A5282" s="1492">
        <f t="shared" si="809"/>
        <v>0</v>
      </c>
      <c r="B5282" s="1492" t="str">
        <f t="shared" si="809"/>
        <v>iv-Renovation of Civil and Electrical Maint office building at CSTPS Chandrapur.</v>
      </c>
      <c r="C5282" s="1488">
        <f t="shared" si="809"/>
        <v>0</v>
      </c>
      <c r="D5282" s="1413" t="str">
        <f t="shared" si="809"/>
        <v>-</v>
      </c>
      <c r="E5282" s="560">
        <f t="shared" si="809"/>
        <v>1.5</v>
      </c>
      <c r="F5282" s="1508">
        <f t="shared" si="810"/>
        <v>1.5</v>
      </c>
      <c r="G5282" s="1508">
        <f t="shared" si="811"/>
        <v>1.5</v>
      </c>
      <c r="H5282" s="1508">
        <f t="shared" si="803"/>
        <v>0</v>
      </c>
      <c r="I5282" s="1480">
        <v>0</v>
      </c>
      <c r="J5282" s="1480">
        <v>0</v>
      </c>
      <c r="K5282" s="1508"/>
      <c r="L5282" s="1508"/>
      <c r="M5282" s="1509">
        <f t="shared" si="804"/>
        <v>0</v>
      </c>
      <c r="N5282" s="1508">
        <f t="shared" si="805"/>
        <v>0</v>
      </c>
    </row>
    <row r="5283" spans="1:14" ht="31" outlineLevel="1" x14ac:dyDescent="0.25">
      <c r="A5283" s="1492">
        <f t="shared" si="809"/>
        <v>0</v>
      </c>
      <c r="B5283" s="1492" t="str">
        <f t="shared" si="809"/>
        <v xml:space="preserve">v- Renoavtion of Post office building and Bank Building at CSTPS Chandrapur </v>
      </c>
      <c r="C5283" s="1488">
        <f t="shared" si="809"/>
        <v>0</v>
      </c>
      <c r="D5283" s="1413" t="str">
        <f t="shared" si="809"/>
        <v>-</v>
      </c>
      <c r="E5283" s="560">
        <f t="shared" si="809"/>
        <v>1.5</v>
      </c>
      <c r="F5283" s="1508">
        <f t="shared" si="810"/>
        <v>1.5</v>
      </c>
      <c r="G5283" s="1508">
        <f t="shared" si="811"/>
        <v>1.5</v>
      </c>
      <c r="H5283" s="1508">
        <f t="shared" si="803"/>
        <v>0</v>
      </c>
      <c r="I5283" s="1480">
        <v>0</v>
      </c>
      <c r="J5283" s="1480">
        <v>0</v>
      </c>
      <c r="K5283" s="1508"/>
      <c r="L5283" s="1508"/>
      <c r="M5283" s="1509">
        <f t="shared" si="804"/>
        <v>0</v>
      </c>
      <c r="N5283" s="1508">
        <f t="shared" si="805"/>
        <v>0</v>
      </c>
    </row>
    <row r="5284" spans="1:14" ht="15.5" outlineLevel="1" x14ac:dyDescent="0.25">
      <c r="A5284" s="1492">
        <f t="shared" si="809"/>
        <v>0</v>
      </c>
      <c r="B5284" s="1492" t="str">
        <f t="shared" si="809"/>
        <v>vi- Renovation fo Erai Dam guest House at CSTPS Chandrapur</v>
      </c>
      <c r="C5284" s="1488">
        <f t="shared" si="809"/>
        <v>0</v>
      </c>
      <c r="D5284" s="1413" t="str">
        <f t="shared" si="809"/>
        <v>-</v>
      </c>
      <c r="E5284" s="560">
        <f t="shared" si="809"/>
        <v>2</v>
      </c>
      <c r="F5284" s="1508">
        <f t="shared" si="810"/>
        <v>2</v>
      </c>
      <c r="G5284" s="1508">
        <f t="shared" si="811"/>
        <v>2</v>
      </c>
      <c r="H5284" s="1508">
        <f t="shared" si="803"/>
        <v>0</v>
      </c>
      <c r="I5284" s="1480">
        <v>0</v>
      </c>
      <c r="J5284" s="1480">
        <v>0</v>
      </c>
      <c r="K5284" s="1508"/>
      <c r="L5284" s="1508"/>
      <c r="M5284" s="1509">
        <f t="shared" si="804"/>
        <v>0</v>
      </c>
      <c r="N5284" s="1508">
        <f t="shared" si="805"/>
        <v>0</v>
      </c>
    </row>
    <row r="5285" spans="1:14" ht="31" outlineLevel="1" x14ac:dyDescent="0.25">
      <c r="A5285" s="1492">
        <f t="shared" si="809"/>
        <v>0</v>
      </c>
      <c r="B5285" s="1492" t="str">
        <f t="shared" si="809"/>
        <v>vii- Improvement of Erai dam approch road by Bituminous treatment at CSTPS Chnadrapur</v>
      </c>
      <c r="C5285" s="1488">
        <f t="shared" si="809"/>
        <v>0</v>
      </c>
      <c r="D5285" s="1413" t="str">
        <f t="shared" si="809"/>
        <v>-</v>
      </c>
      <c r="E5285" s="560">
        <f t="shared" si="809"/>
        <v>15</v>
      </c>
      <c r="F5285" s="1508">
        <f t="shared" si="810"/>
        <v>15</v>
      </c>
      <c r="G5285" s="1508">
        <f t="shared" si="811"/>
        <v>15</v>
      </c>
      <c r="H5285" s="1508">
        <f t="shared" si="803"/>
        <v>0</v>
      </c>
      <c r="I5285" s="1480">
        <v>0</v>
      </c>
      <c r="J5285" s="1480">
        <v>0</v>
      </c>
      <c r="K5285" s="1508"/>
      <c r="L5285" s="1508"/>
      <c r="M5285" s="1509">
        <f t="shared" si="804"/>
        <v>0</v>
      </c>
      <c r="N5285" s="1508">
        <f t="shared" si="805"/>
        <v>0</v>
      </c>
    </row>
    <row r="5286" spans="1:14" ht="46.5" outlineLevel="1" x14ac:dyDescent="0.25">
      <c r="A5286" s="1486">
        <f t="shared" si="809"/>
        <v>8</v>
      </c>
      <c r="B5286" s="1491" t="str">
        <f t="shared" si="809"/>
        <v>Construction of new residential building ,Hospital Building ,Chemmary Building,security office building  and allied civil work infrastructure in colony at CSTPS Chandrapur</v>
      </c>
      <c r="C5286" s="1488">
        <f t="shared" si="809"/>
        <v>0</v>
      </c>
      <c r="D5286" s="1413" t="str">
        <f t="shared" si="809"/>
        <v>-</v>
      </c>
      <c r="E5286" s="560">
        <f t="shared" si="809"/>
        <v>76.25</v>
      </c>
      <c r="F5286" s="1508">
        <f t="shared" si="810"/>
        <v>0</v>
      </c>
      <c r="G5286" s="1508">
        <f t="shared" si="811"/>
        <v>0</v>
      </c>
      <c r="H5286" s="1508">
        <f t="shared" si="803"/>
        <v>0</v>
      </c>
      <c r="I5286" s="1480">
        <v>0</v>
      </c>
      <c r="J5286" s="1480">
        <v>0</v>
      </c>
      <c r="K5286" s="1508"/>
      <c r="L5286" s="1508"/>
      <c r="M5286" s="1509">
        <f t="shared" si="804"/>
        <v>0</v>
      </c>
      <c r="N5286" s="1508">
        <f t="shared" si="805"/>
        <v>0</v>
      </c>
    </row>
    <row r="5287" spans="1:14" ht="31" outlineLevel="1" x14ac:dyDescent="0.25">
      <c r="A5287" s="1492">
        <f t="shared" si="809"/>
        <v>0</v>
      </c>
      <c r="B5287" s="1492" t="str">
        <f t="shared" si="809"/>
        <v>i- Construction of new residential staff quarter of A, B ,C D and E type  building in colony at CSTPS Chandrapur</v>
      </c>
      <c r="C5287" s="1488">
        <f t="shared" si="809"/>
        <v>0</v>
      </c>
      <c r="D5287" s="1413" t="str">
        <f t="shared" si="809"/>
        <v>-</v>
      </c>
      <c r="E5287" s="560">
        <f t="shared" si="809"/>
        <v>60</v>
      </c>
      <c r="F5287" s="1508">
        <f t="shared" si="810"/>
        <v>60</v>
      </c>
      <c r="G5287" s="1508">
        <f t="shared" si="811"/>
        <v>60</v>
      </c>
      <c r="H5287" s="1508">
        <f t="shared" si="803"/>
        <v>0</v>
      </c>
      <c r="I5287" s="1480">
        <v>0</v>
      </c>
      <c r="J5287" s="1480">
        <v>0</v>
      </c>
      <c r="K5287" s="1508"/>
      <c r="L5287" s="1508"/>
      <c r="M5287" s="1509">
        <f t="shared" si="804"/>
        <v>0</v>
      </c>
      <c r="N5287" s="1508">
        <f t="shared" si="805"/>
        <v>0</v>
      </c>
    </row>
    <row r="5288" spans="1:14" ht="15.5" outlineLevel="1" x14ac:dyDescent="0.25">
      <c r="A5288" s="1492">
        <f t="shared" si="809"/>
        <v>0</v>
      </c>
      <c r="B5288" s="1492" t="str">
        <f t="shared" si="809"/>
        <v>ii-Construction of New Hospital Building at CSTSP Chandrapur</v>
      </c>
      <c r="C5288" s="1488">
        <f t="shared" si="809"/>
        <v>0</v>
      </c>
      <c r="D5288" s="1413" t="str">
        <f t="shared" si="809"/>
        <v>-</v>
      </c>
      <c r="E5288" s="560">
        <f t="shared" si="809"/>
        <v>2</v>
      </c>
      <c r="F5288" s="1508">
        <f t="shared" si="810"/>
        <v>2</v>
      </c>
      <c r="G5288" s="1508">
        <f t="shared" si="811"/>
        <v>2</v>
      </c>
      <c r="H5288" s="1508">
        <f t="shared" si="803"/>
        <v>0</v>
      </c>
      <c r="I5288" s="1480">
        <v>0</v>
      </c>
      <c r="J5288" s="1480">
        <v>0</v>
      </c>
      <c r="K5288" s="1508"/>
      <c r="L5288" s="1508"/>
      <c r="M5288" s="1509">
        <f t="shared" si="804"/>
        <v>0</v>
      </c>
      <c r="N5288" s="1508">
        <f t="shared" si="805"/>
        <v>0</v>
      </c>
    </row>
    <row r="5289" spans="1:14" ht="31" outlineLevel="1" x14ac:dyDescent="0.25">
      <c r="A5289" s="1492">
        <f t="shared" si="809"/>
        <v>0</v>
      </c>
      <c r="B5289" s="1492" t="str">
        <f t="shared" si="809"/>
        <v>iii-Construction of new Chummary Building at CSTPS Chandrapur</v>
      </c>
      <c r="C5289" s="1488">
        <f t="shared" si="809"/>
        <v>0</v>
      </c>
      <c r="D5289" s="1413" t="str">
        <f t="shared" si="809"/>
        <v>-</v>
      </c>
      <c r="E5289" s="560">
        <f t="shared" si="809"/>
        <v>7.5</v>
      </c>
      <c r="F5289" s="1508">
        <f t="shared" si="810"/>
        <v>7.5</v>
      </c>
      <c r="G5289" s="1508">
        <f t="shared" si="811"/>
        <v>7.5</v>
      </c>
      <c r="H5289" s="1508">
        <f t="shared" si="803"/>
        <v>0</v>
      </c>
      <c r="I5289" s="1480">
        <v>0</v>
      </c>
      <c r="J5289" s="1480">
        <v>0</v>
      </c>
      <c r="K5289" s="1508"/>
      <c r="L5289" s="1508"/>
      <c r="M5289" s="1509">
        <f t="shared" si="804"/>
        <v>0</v>
      </c>
      <c r="N5289" s="1508">
        <f t="shared" si="805"/>
        <v>0</v>
      </c>
    </row>
    <row r="5290" spans="1:14" ht="31" outlineLevel="1" x14ac:dyDescent="0.25">
      <c r="A5290" s="1492">
        <f t="shared" si="809"/>
        <v>0</v>
      </c>
      <c r="B5290" s="1492" t="str">
        <f t="shared" si="809"/>
        <v>iv-Construction of new security office and check post at various location in colony at CSTPS Chandrapur</v>
      </c>
      <c r="C5290" s="1488">
        <f t="shared" si="809"/>
        <v>0</v>
      </c>
      <c r="D5290" s="1413" t="str">
        <f t="shared" si="809"/>
        <v>-</v>
      </c>
      <c r="E5290" s="560">
        <f t="shared" si="809"/>
        <v>0.75</v>
      </c>
      <c r="F5290" s="1508">
        <f t="shared" si="810"/>
        <v>0.75</v>
      </c>
      <c r="G5290" s="1508">
        <f t="shared" si="811"/>
        <v>0.75</v>
      </c>
      <c r="H5290" s="1508">
        <f t="shared" ref="H5290:H5353" si="812">F5290-G5290</f>
        <v>0</v>
      </c>
      <c r="I5290" s="1480">
        <v>0</v>
      </c>
      <c r="J5290" s="1480">
        <v>0</v>
      </c>
      <c r="K5290" s="1508"/>
      <c r="L5290" s="1508"/>
      <c r="M5290" s="1509">
        <f t="shared" ref="M5290:M5353" si="813">SUM(J5290:L5290)</f>
        <v>0</v>
      </c>
      <c r="N5290" s="1508">
        <f t="shared" ref="N5290:N5353" si="814">H5290+I5290-M5290</f>
        <v>0</v>
      </c>
    </row>
    <row r="5291" spans="1:14" ht="31" outlineLevel="1" x14ac:dyDescent="0.25">
      <c r="A5291" s="1492">
        <f t="shared" si="809"/>
        <v>0</v>
      </c>
      <c r="B5291" s="1492" t="str">
        <f t="shared" si="809"/>
        <v>v-Construction of swimming pool in colony at CSTPS Chandrapur</v>
      </c>
      <c r="C5291" s="1488">
        <f t="shared" si="809"/>
        <v>0</v>
      </c>
      <c r="D5291" s="1413" t="str">
        <f t="shared" si="809"/>
        <v>-</v>
      </c>
      <c r="E5291" s="560">
        <f t="shared" si="809"/>
        <v>2</v>
      </c>
      <c r="F5291" s="1508">
        <f t="shared" si="810"/>
        <v>2</v>
      </c>
      <c r="G5291" s="1508">
        <f t="shared" si="811"/>
        <v>2</v>
      </c>
      <c r="H5291" s="1508">
        <f t="shared" si="812"/>
        <v>0</v>
      </c>
      <c r="I5291" s="1480">
        <v>0</v>
      </c>
      <c r="J5291" s="1480">
        <v>0</v>
      </c>
      <c r="K5291" s="1508"/>
      <c r="L5291" s="1508"/>
      <c r="M5291" s="1509">
        <f t="shared" si="813"/>
        <v>0</v>
      </c>
      <c r="N5291" s="1508">
        <f t="shared" si="814"/>
        <v>0</v>
      </c>
    </row>
    <row r="5292" spans="1:14" ht="46.5" outlineLevel="1" x14ac:dyDescent="0.25">
      <c r="A5292" s="1492">
        <f t="shared" ref="A5292:E5307" si="815">A4622</f>
        <v>0</v>
      </c>
      <c r="B5292" s="1492" t="str">
        <f t="shared" si="815"/>
        <v>vii-Providing new drinking water supply DI- pipe line  300 mm dia .for domestic water supply to rsidential colony at CSTPS Chandrapur.</v>
      </c>
      <c r="C5292" s="1488">
        <f t="shared" si="815"/>
        <v>0</v>
      </c>
      <c r="D5292" s="1413" t="str">
        <f t="shared" si="815"/>
        <v>-</v>
      </c>
      <c r="E5292" s="560">
        <f t="shared" si="815"/>
        <v>2</v>
      </c>
      <c r="F5292" s="1508">
        <f t="shared" si="810"/>
        <v>2</v>
      </c>
      <c r="G5292" s="1508">
        <f t="shared" si="811"/>
        <v>2</v>
      </c>
      <c r="H5292" s="1508">
        <f t="shared" si="812"/>
        <v>0</v>
      </c>
      <c r="I5292" s="1480">
        <v>0</v>
      </c>
      <c r="J5292" s="1480">
        <v>0</v>
      </c>
      <c r="K5292" s="1508"/>
      <c r="L5292" s="1508"/>
      <c r="M5292" s="1509">
        <f t="shared" si="813"/>
        <v>0</v>
      </c>
      <c r="N5292" s="1508">
        <f t="shared" si="814"/>
        <v>0</v>
      </c>
    </row>
    <row r="5293" spans="1:14" ht="31" outlineLevel="1" x14ac:dyDescent="0.25">
      <c r="A5293" s="1492">
        <f t="shared" si="815"/>
        <v>0</v>
      </c>
      <c r="B5293" s="1492" t="str">
        <f t="shared" si="815"/>
        <v>viii-Rain water Harvesting system to residential building at CSTPS Chandrapur.</v>
      </c>
      <c r="C5293" s="1488">
        <f t="shared" si="815"/>
        <v>0</v>
      </c>
      <c r="D5293" s="1413" t="str">
        <f t="shared" si="815"/>
        <v>-</v>
      </c>
      <c r="E5293" s="560">
        <f t="shared" si="815"/>
        <v>2</v>
      </c>
      <c r="F5293" s="1508">
        <f t="shared" si="810"/>
        <v>2</v>
      </c>
      <c r="G5293" s="1508">
        <f t="shared" si="811"/>
        <v>2</v>
      </c>
      <c r="H5293" s="1508">
        <f t="shared" si="812"/>
        <v>0</v>
      </c>
      <c r="I5293" s="1480">
        <v>0</v>
      </c>
      <c r="J5293" s="1480">
        <v>0</v>
      </c>
      <c r="K5293" s="1508"/>
      <c r="L5293" s="1508"/>
      <c r="M5293" s="1509">
        <f t="shared" si="813"/>
        <v>0</v>
      </c>
      <c r="N5293" s="1508">
        <f t="shared" si="814"/>
        <v>0</v>
      </c>
    </row>
    <row r="5294" spans="1:14" ht="15.5" outlineLevel="1" x14ac:dyDescent="0.25">
      <c r="A5294" s="1486">
        <f t="shared" si="815"/>
        <v>9</v>
      </c>
      <c r="B5294" s="1491" t="str">
        <f t="shared" si="815"/>
        <v>Renovation of public utility building of CSTPS, Chandrapur</v>
      </c>
      <c r="C5294" s="1488">
        <f t="shared" si="815"/>
        <v>0</v>
      </c>
      <c r="D5294" s="1413" t="str">
        <f t="shared" si="815"/>
        <v>-</v>
      </c>
      <c r="E5294" s="560">
        <f t="shared" si="815"/>
        <v>29.950000000000003</v>
      </c>
      <c r="F5294" s="1508">
        <f t="shared" si="810"/>
        <v>0</v>
      </c>
      <c r="G5294" s="1508">
        <f t="shared" si="811"/>
        <v>0</v>
      </c>
      <c r="H5294" s="1508">
        <f t="shared" si="812"/>
        <v>0</v>
      </c>
      <c r="I5294" s="1480">
        <v>0</v>
      </c>
      <c r="J5294" s="1480">
        <v>0</v>
      </c>
      <c r="K5294" s="1508"/>
      <c r="L5294" s="1508"/>
      <c r="M5294" s="1509">
        <f t="shared" si="813"/>
        <v>0</v>
      </c>
      <c r="N5294" s="1508">
        <f t="shared" si="814"/>
        <v>0</v>
      </c>
    </row>
    <row r="5295" spans="1:14" ht="15.5" outlineLevel="1" x14ac:dyDescent="0.25">
      <c r="A5295" s="1492">
        <f t="shared" si="815"/>
        <v>0</v>
      </c>
      <c r="B5295" s="1492" t="str">
        <f t="shared" si="815"/>
        <v>Renovation and interior decoration of Hirai guest house</v>
      </c>
      <c r="C5295" s="1488">
        <f t="shared" si="815"/>
        <v>0</v>
      </c>
      <c r="D5295" s="1413" t="str">
        <f t="shared" si="815"/>
        <v>-</v>
      </c>
      <c r="E5295" s="560">
        <f t="shared" si="815"/>
        <v>7.51</v>
      </c>
      <c r="F5295" s="1508">
        <f t="shared" si="810"/>
        <v>7.51</v>
      </c>
      <c r="G5295" s="1508">
        <f t="shared" si="811"/>
        <v>7.51</v>
      </c>
      <c r="H5295" s="1508">
        <f t="shared" si="812"/>
        <v>0</v>
      </c>
      <c r="I5295" s="1480">
        <v>0</v>
      </c>
      <c r="J5295" s="1480">
        <v>0</v>
      </c>
      <c r="K5295" s="1508"/>
      <c r="L5295" s="1508"/>
      <c r="M5295" s="1509">
        <f t="shared" si="813"/>
        <v>0</v>
      </c>
      <c r="N5295" s="1508">
        <f t="shared" si="814"/>
        <v>0</v>
      </c>
    </row>
    <row r="5296" spans="1:14" ht="31" outlineLevel="1" x14ac:dyDescent="0.25">
      <c r="A5296" s="1492">
        <f t="shared" si="815"/>
        <v>0</v>
      </c>
      <c r="B5296" s="1492" t="str">
        <f t="shared" si="815"/>
        <v>Renovation and interior decoration of existing chummery guest house</v>
      </c>
      <c r="C5296" s="1488">
        <f t="shared" si="815"/>
        <v>0</v>
      </c>
      <c r="D5296" s="1413" t="str">
        <f t="shared" si="815"/>
        <v>-</v>
      </c>
      <c r="E5296" s="560">
        <f t="shared" si="815"/>
        <v>12.22</v>
      </c>
      <c r="F5296" s="1508">
        <f t="shared" si="810"/>
        <v>12.22</v>
      </c>
      <c r="G5296" s="1508">
        <f t="shared" si="811"/>
        <v>12.22</v>
      </c>
      <c r="H5296" s="1508">
        <f t="shared" si="812"/>
        <v>0</v>
      </c>
      <c r="I5296" s="1480">
        <v>0</v>
      </c>
      <c r="J5296" s="1480">
        <v>0</v>
      </c>
      <c r="K5296" s="1508"/>
      <c r="L5296" s="1508"/>
      <c r="M5296" s="1509">
        <f t="shared" si="813"/>
        <v>0</v>
      </c>
      <c r="N5296" s="1508">
        <f t="shared" si="814"/>
        <v>0</v>
      </c>
    </row>
    <row r="5297" spans="1:14" ht="31" outlineLevel="1" x14ac:dyDescent="0.25">
      <c r="A5297" s="1492">
        <f t="shared" si="815"/>
        <v>0</v>
      </c>
      <c r="B5297" s="1492" t="str">
        <f t="shared" si="815"/>
        <v>Renovation and interior decoration of existing Erai dam guest house</v>
      </c>
      <c r="C5297" s="1488">
        <f t="shared" si="815"/>
        <v>0</v>
      </c>
      <c r="D5297" s="1413" t="str">
        <f t="shared" si="815"/>
        <v>-</v>
      </c>
      <c r="E5297" s="560">
        <f t="shared" si="815"/>
        <v>6.65</v>
      </c>
      <c r="F5297" s="1508">
        <f t="shared" si="810"/>
        <v>6.65</v>
      </c>
      <c r="G5297" s="1508">
        <f t="shared" si="811"/>
        <v>6.65</v>
      </c>
      <c r="H5297" s="1508">
        <f t="shared" si="812"/>
        <v>0</v>
      </c>
      <c r="I5297" s="1480">
        <v>0</v>
      </c>
      <c r="J5297" s="1480">
        <v>0</v>
      </c>
      <c r="K5297" s="1508"/>
      <c r="L5297" s="1508"/>
      <c r="M5297" s="1509">
        <f t="shared" si="813"/>
        <v>0</v>
      </c>
      <c r="N5297" s="1508">
        <f t="shared" si="814"/>
        <v>0</v>
      </c>
    </row>
    <row r="5298" spans="1:14" ht="46.5" outlineLevel="1" x14ac:dyDescent="0.25">
      <c r="A5298" s="1492">
        <f t="shared" si="815"/>
        <v>0</v>
      </c>
      <c r="B5298" s="1492" t="str">
        <f t="shared" si="815"/>
        <v xml:space="preserve">Work of interior decoration by proding stop cabin arrangement and other internal architechture decorative work for RP section of admin building </v>
      </c>
      <c r="C5298" s="1488">
        <f t="shared" si="815"/>
        <v>0</v>
      </c>
      <c r="D5298" s="1413" t="str">
        <f t="shared" si="815"/>
        <v>-</v>
      </c>
      <c r="E5298" s="560">
        <f t="shared" si="815"/>
        <v>3.57</v>
      </c>
      <c r="F5298" s="1508">
        <f t="shared" si="810"/>
        <v>3.57</v>
      </c>
      <c r="G5298" s="1508">
        <f t="shared" si="811"/>
        <v>3.57</v>
      </c>
      <c r="H5298" s="1508">
        <f t="shared" si="812"/>
        <v>0</v>
      </c>
      <c r="I5298" s="1480">
        <v>0</v>
      </c>
      <c r="J5298" s="1480">
        <v>0</v>
      </c>
      <c r="K5298" s="1508"/>
      <c r="L5298" s="1508"/>
      <c r="M5298" s="1509">
        <f t="shared" si="813"/>
        <v>0</v>
      </c>
      <c r="N5298" s="1508">
        <f t="shared" si="814"/>
        <v>0</v>
      </c>
    </row>
    <row r="5299" spans="1:14" ht="15.5" outlineLevel="1" x14ac:dyDescent="0.25">
      <c r="A5299" s="1486">
        <f t="shared" si="815"/>
        <v>10</v>
      </c>
      <c r="B5299" s="1491" t="str">
        <f t="shared" si="815"/>
        <v>R&amp;M/LE for Identified Thermal units of MSPGCL</v>
      </c>
      <c r="C5299" s="1488">
        <f t="shared" si="815"/>
        <v>0</v>
      </c>
      <c r="D5299" s="1413" t="str">
        <f t="shared" si="815"/>
        <v>-</v>
      </c>
      <c r="E5299" s="560">
        <f t="shared" si="815"/>
        <v>400</v>
      </c>
      <c r="F5299" s="1508">
        <f t="shared" si="810"/>
        <v>0</v>
      </c>
      <c r="G5299" s="1508">
        <f t="shared" si="811"/>
        <v>0</v>
      </c>
      <c r="H5299" s="1508">
        <f t="shared" si="812"/>
        <v>0</v>
      </c>
      <c r="I5299" s="1480">
        <v>0</v>
      </c>
      <c r="J5299" s="1480">
        <v>0</v>
      </c>
      <c r="K5299" s="1508"/>
      <c r="L5299" s="1508"/>
      <c r="M5299" s="1509">
        <f t="shared" si="813"/>
        <v>0</v>
      </c>
      <c r="N5299" s="1508">
        <f t="shared" si="814"/>
        <v>0</v>
      </c>
    </row>
    <row r="5300" spans="1:14" ht="15.5" outlineLevel="1" x14ac:dyDescent="0.25">
      <c r="A5300" s="1492">
        <f t="shared" si="815"/>
        <v>0</v>
      </c>
      <c r="B5300" s="1492" t="str">
        <f t="shared" si="815"/>
        <v>R&amp;M/LE for Identified Thermal units of MSPGCL, CSTPS U-3</v>
      </c>
      <c r="C5300" s="1488">
        <f t="shared" si="815"/>
        <v>0</v>
      </c>
      <c r="D5300" s="1413" t="str">
        <f t="shared" si="815"/>
        <v>-</v>
      </c>
      <c r="E5300" s="560">
        <f t="shared" si="815"/>
        <v>293</v>
      </c>
      <c r="F5300" s="1508">
        <f t="shared" si="810"/>
        <v>293</v>
      </c>
      <c r="G5300" s="1508">
        <f t="shared" si="811"/>
        <v>293</v>
      </c>
      <c r="H5300" s="1508">
        <f t="shared" si="812"/>
        <v>0</v>
      </c>
      <c r="I5300" s="1480">
        <v>0</v>
      </c>
      <c r="J5300" s="1480">
        <v>0</v>
      </c>
      <c r="K5300" s="1508"/>
      <c r="L5300" s="1508"/>
      <c r="M5300" s="1509">
        <f t="shared" si="813"/>
        <v>0</v>
      </c>
      <c r="N5300" s="1508">
        <f t="shared" si="814"/>
        <v>0</v>
      </c>
    </row>
    <row r="5301" spans="1:14" ht="15.5" outlineLevel="1" x14ac:dyDescent="0.25">
      <c r="A5301" s="1492">
        <f t="shared" si="815"/>
        <v>0</v>
      </c>
      <c r="B5301" s="1492" t="str">
        <f t="shared" si="815"/>
        <v>R&amp;M/LE for Identified Thermal units of MSPGCL, CSTPS U-4</v>
      </c>
      <c r="C5301" s="1488">
        <f t="shared" si="815"/>
        <v>0</v>
      </c>
      <c r="D5301" s="1413" t="str">
        <f t="shared" si="815"/>
        <v>-</v>
      </c>
      <c r="E5301" s="560">
        <f t="shared" si="815"/>
        <v>300</v>
      </c>
      <c r="F5301" s="1508">
        <f t="shared" si="810"/>
        <v>300</v>
      </c>
      <c r="G5301" s="1508">
        <f t="shared" si="811"/>
        <v>300</v>
      </c>
      <c r="H5301" s="1508">
        <f t="shared" si="812"/>
        <v>0</v>
      </c>
      <c r="I5301" s="1480">
        <v>0</v>
      </c>
      <c r="J5301" s="1480">
        <v>0</v>
      </c>
      <c r="K5301" s="1508"/>
      <c r="L5301" s="1508"/>
      <c r="M5301" s="1509">
        <f t="shared" si="813"/>
        <v>0</v>
      </c>
      <c r="N5301" s="1508">
        <f t="shared" si="814"/>
        <v>0</v>
      </c>
    </row>
    <row r="5302" spans="1:14" ht="15.5" outlineLevel="1" x14ac:dyDescent="0.25">
      <c r="A5302" s="1486">
        <f t="shared" si="815"/>
        <v>11</v>
      </c>
      <c r="B5302" s="1491" t="str">
        <f t="shared" si="815"/>
        <v xml:space="preserve">CHP Improvement Schemes </v>
      </c>
      <c r="C5302" s="1488">
        <f t="shared" si="815"/>
        <v>0</v>
      </c>
      <c r="D5302" s="1413" t="str">
        <f t="shared" si="815"/>
        <v>-</v>
      </c>
      <c r="E5302" s="560">
        <f t="shared" si="815"/>
        <v>100</v>
      </c>
      <c r="F5302" s="1508">
        <f t="shared" si="810"/>
        <v>0</v>
      </c>
      <c r="G5302" s="1508">
        <f t="shared" si="811"/>
        <v>0</v>
      </c>
      <c r="H5302" s="1508">
        <f t="shared" si="812"/>
        <v>0</v>
      </c>
      <c r="I5302" s="1480">
        <v>0</v>
      </c>
      <c r="J5302" s="1480">
        <v>0</v>
      </c>
      <c r="K5302" s="1508"/>
      <c r="L5302" s="1508"/>
      <c r="M5302" s="1509">
        <f t="shared" si="813"/>
        <v>0</v>
      </c>
      <c r="N5302" s="1508">
        <f t="shared" si="814"/>
        <v>0</v>
      </c>
    </row>
    <row r="5303" spans="1:14" ht="15.5" outlineLevel="1" x14ac:dyDescent="0.25">
      <c r="A5303" s="1492">
        <f t="shared" si="815"/>
        <v>0</v>
      </c>
      <c r="B5303" s="1492" t="str">
        <f t="shared" si="815"/>
        <v>CHP Improvement Schemes at CHP-A, B, C</v>
      </c>
      <c r="C5303" s="1488">
        <f t="shared" si="815"/>
        <v>0</v>
      </c>
      <c r="D5303" s="1413" t="str">
        <f t="shared" si="815"/>
        <v>-</v>
      </c>
      <c r="E5303" s="560">
        <f t="shared" si="815"/>
        <v>100</v>
      </c>
      <c r="F5303" s="1508">
        <f t="shared" si="810"/>
        <v>100</v>
      </c>
      <c r="G5303" s="1508">
        <f t="shared" si="811"/>
        <v>100</v>
      </c>
      <c r="H5303" s="1508">
        <f t="shared" si="812"/>
        <v>0</v>
      </c>
      <c r="I5303" s="1480">
        <v>0</v>
      </c>
      <c r="J5303" s="1480">
        <v>0</v>
      </c>
      <c r="K5303" s="1508"/>
      <c r="L5303" s="1508"/>
      <c r="M5303" s="1509">
        <f t="shared" si="813"/>
        <v>0</v>
      </c>
      <c r="N5303" s="1508">
        <f t="shared" si="814"/>
        <v>0</v>
      </c>
    </row>
    <row r="5304" spans="1:14" ht="15.5" outlineLevel="1" x14ac:dyDescent="0.25">
      <c r="A5304" s="1486">
        <f t="shared" si="815"/>
        <v>12</v>
      </c>
      <c r="B5304" s="1491" t="str">
        <f t="shared" si="815"/>
        <v>Developlment &amp; Upgradation of SAP for MSPGCL</v>
      </c>
      <c r="C5304" s="1488">
        <f t="shared" si="815"/>
        <v>0</v>
      </c>
      <c r="D5304" s="1413" t="str">
        <f t="shared" si="815"/>
        <v>-</v>
      </c>
      <c r="E5304" s="560">
        <f t="shared" si="815"/>
        <v>200</v>
      </c>
      <c r="F5304" s="1508">
        <f t="shared" si="810"/>
        <v>0</v>
      </c>
      <c r="G5304" s="1508">
        <f t="shared" si="811"/>
        <v>0</v>
      </c>
      <c r="H5304" s="1508">
        <f t="shared" si="812"/>
        <v>0</v>
      </c>
      <c r="I5304" s="1480">
        <v>0</v>
      </c>
      <c r="J5304" s="1480">
        <v>0</v>
      </c>
      <c r="K5304" s="1508"/>
      <c r="L5304" s="1508"/>
      <c r="M5304" s="1509">
        <f t="shared" si="813"/>
        <v>0</v>
      </c>
      <c r="N5304" s="1508">
        <f t="shared" si="814"/>
        <v>0</v>
      </c>
    </row>
    <row r="5305" spans="1:14" ht="15.5" outlineLevel="1" x14ac:dyDescent="0.25">
      <c r="A5305" s="1492">
        <f t="shared" si="815"/>
        <v>0</v>
      </c>
      <c r="B5305" s="1492" t="str">
        <f t="shared" si="815"/>
        <v>Developlment &amp; Upgradation of SAP for MSPGCL</v>
      </c>
      <c r="C5305" s="1488">
        <f t="shared" si="815"/>
        <v>0</v>
      </c>
      <c r="D5305" s="1413" t="str">
        <f t="shared" si="815"/>
        <v>-</v>
      </c>
      <c r="E5305" s="560">
        <f t="shared" si="815"/>
        <v>200</v>
      </c>
      <c r="F5305" s="1508">
        <f t="shared" si="810"/>
        <v>200</v>
      </c>
      <c r="G5305" s="1508">
        <f t="shared" si="811"/>
        <v>200</v>
      </c>
      <c r="H5305" s="1508">
        <f t="shared" si="812"/>
        <v>0</v>
      </c>
      <c r="I5305" s="1480">
        <v>0</v>
      </c>
      <c r="J5305" s="1480">
        <v>0</v>
      </c>
      <c r="K5305" s="1508"/>
      <c r="L5305" s="1508"/>
      <c r="M5305" s="1509">
        <f t="shared" si="813"/>
        <v>0</v>
      </c>
      <c r="N5305" s="1508">
        <f t="shared" si="814"/>
        <v>0</v>
      </c>
    </row>
    <row r="5306" spans="1:14" ht="62" outlineLevel="1" x14ac:dyDescent="0.25">
      <c r="A5306" s="1486">
        <f t="shared" si="815"/>
        <v>13</v>
      </c>
      <c r="B5306" s="1491" t="str">
        <f t="shared" si="815"/>
        <v>Design, supply, installation and commissioning of Smart Energy Efficienient Illumination System for safety precautions and proving suitable working conditions  at stg-II &amp; III, CSTPS, Chandrapur</v>
      </c>
      <c r="C5306" s="1488">
        <f t="shared" si="815"/>
        <v>0</v>
      </c>
      <c r="D5306" s="1413" t="str">
        <f t="shared" si="815"/>
        <v>-</v>
      </c>
      <c r="E5306" s="560">
        <f t="shared" si="815"/>
        <v>42</v>
      </c>
      <c r="F5306" s="1508">
        <f t="shared" si="810"/>
        <v>0</v>
      </c>
      <c r="G5306" s="1508">
        <f t="shared" si="811"/>
        <v>0</v>
      </c>
      <c r="H5306" s="1508">
        <f t="shared" si="812"/>
        <v>0</v>
      </c>
      <c r="I5306" s="1480">
        <v>0</v>
      </c>
      <c r="J5306" s="1480">
        <v>0</v>
      </c>
      <c r="K5306" s="1508"/>
      <c r="L5306" s="1508"/>
      <c r="M5306" s="1509">
        <f t="shared" si="813"/>
        <v>0</v>
      </c>
      <c r="N5306" s="1508">
        <f t="shared" si="814"/>
        <v>0</v>
      </c>
    </row>
    <row r="5307" spans="1:14" ht="62" outlineLevel="1" x14ac:dyDescent="0.25">
      <c r="A5307" s="1492">
        <f t="shared" si="815"/>
        <v>0</v>
      </c>
      <c r="B5307" s="1492" t="str">
        <f t="shared" si="815"/>
        <v>Design, supply, installation and commissioning of Smart Energy Efficienient Illumination System for safety precautions and proving suitable working conditions  at stg-II &amp; III, CSTPS, Chandrapur</v>
      </c>
      <c r="C5307" s="1488">
        <f t="shared" si="815"/>
        <v>0</v>
      </c>
      <c r="D5307" s="1413" t="str">
        <f t="shared" si="815"/>
        <v>-</v>
      </c>
      <c r="E5307" s="560">
        <f t="shared" si="815"/>
        <v>42</v>
      </c>
      <c r="F5307" s="1508">
        <f t="shared" si="810"/>
        <v>42</v>
      </c>
      <c r="G5307" s="1508">
        <f t="shared" si="811"/>
        <v>42</v>
      </c>
      <c r="H5307" s="1508">
        <f t="shared" si="812"/>
        <v>0</v>
      </c>
      <c r="I5307" s="1480">
        <v>0</v>
      </c>
      <c r="J5307" s="1480">
        <v>0</v>
      </c>
      <c r="K5307" s="1508"/>
      <c r="L5307" s="1508"/>
      <c r="M5307" s="1509">
        <f t="shared" si="813"/>
        <v>0</v>
      </c>
      <c r="N5307" s="1508">
        <f t="shared" si="814"/>
        <v>0</v>
      </c>
    </row>
    <row r="5308" spans="1:14" ht="15.5" outlineLevel="1" x14ac:dyDescent="0.25">
      <c r="A5308" s="1486">
        <f t="shared" ref="A5308:E5323" si="816">A4638</f>
        <v>14</v>
      </c>
      <c r="B5308" s="1491" t="str">
        <f t="shared" si="816"/>
        <v>Implementation of Flexible Operation Solutions  (U-3,4)</v>
      </c>
      <c r="C5308" s="1488">
        <f t="shared" si="816"/>
        <v>0</v>
      </c>
      <c r="D5308" s="1413" t="str">
        <f t="shared" si="816"/>
        <v>-</v>
      </c>
      <c r="E5308" s="560">
        <f t="shared" si="816"/>
        <v>25</v>
      </c>
      <c r="F5308" s="1508">
        <f t="shared" si="810"/>
        <v>0</v>
      </c>
      <c r="G5308" s="1508">
        <f t="shared" si="811"/>
        <v>0</v>
      </c>
      <c r="H5308" s="1508">
        <f t="shared" si="812"/>
        <v>0</v>
      </c>
      <c r="I5308" s="1480">
        <v>0</v>
      </c>
      <c r="J5308" s="1480">
        <v>0</v>
      </c>
      <c r="K5308" s="1508"/>
      <c r="L5308" s="1508"/>
      <c r="M5308" s="1509">
        <f t="shared" si="813"/>
        <v>0</v>
      </c>
      <c r="N5308" s="1508">
        <f t="shared" si="814"/>
        <v>0</v>
      </c>
    </row>
    <row r="5309" spans="1:14" ht="15.5" outlineLevel="1" x14ac:dyDescent="0.25">
      <c r="A5309" s="1492">
        <f t="shared" si="816"/>
        <v>0</v>
      </c>
      <c r="B5309" s="1492" t="str">
        <f t="shared" si="816"/>
        <v>Implementation of Flexible Operation Solutions (U-3,4)</v>
      </c>
      <c r="C5309" s="1488">
        <f t="shared" si="816"/>
        <v>0</v>
      </c>
      <c r="D5309" s="1413" t="str">
        <f t="shared" si="816"/>
        <v>-</v>
      </c>
      <c r="E5309" s="560">
        <f t="shared" si="816"/>
        <v>25</v>
      </c>
      <c r="F5309" s="1508">
        <f t="shared" si="810"/>
        <v>25</v>
      </c>
      <c r="G5309" s="1508">
        <f t="shared" si="811"/>
        <v>25</v>
      </c>
      <c r="H5309" s="1508">
        <f t="shared" si="812"/>
        <v>0</v>
      </c>
      <c r="I5309" s="1480">
        <v>0</v>
      </c>
      <c r="J5309" s="1480">
        <v>0</v>
      </c>
      <c r="K5309" s="1508"/>
      <c r="L5309" s="1508"/>
      <c r="M5309" s="1509">
        <f t="shared" si="813"/>
        <v>0</v>
      </c>
      <c r="N5309" s="1508">
        <f t="shared" si="814"/>
        <v>0</v>
      </c>
    </row>
    <row r="5310" spans="1:14" ht="15.5" outlineLevel="1" x14ac:dyDescent="0.25">
      <c r="A5310" s="1486">
        <f t="shared" si="816"/>
        <v>15</v>
      </c>
      <c r="B5310" s="1491" t="str">
        <f t="shared" si="816"/>
        <v>DPR for ash utilisation cell- infrastructure development</v>
      </c>
      <c r="C5310" s="1488">
        <f t="shared" si="816"/>
        <v>0</v>
      </c>
      <c r="D5310" s="1413" t="str">
        <f t="shared" si="816"/>
        <v>-</v>
      </c>
      <c r="E5310" s="560">
        <f t="shared" si="816"/>
        <v>278.5</v>
      </c>
      <c r="F5310" s="1508">
        <f t="shared" si="810"/>
        <v>0</v>
      </c>
      <c r="G5310" s="1508">
        <f t="shared" si="811"/>
        <v>0</v>
      </c>
      <c r="H5310" s="1508">
        <f t="shared" si="812"/>
        <v>0</v>
      </c>
      <c r="I5310" s="1480">
        <v>0</v>
      </c>
      <c r="J5310" s="1480">
        <v>0</v>
      </c>
      <c r="K5310" s="1508"/>
      <c r="L5310" s="1508"/>
      <c r="M5310" s="1509">
        <f t="shared" si="813"/>
        <v>0</v>
      </c>
      <c r="N5310" s="1508">
        <f t="shared" si="814"/>
        <v>0</v>
      </c>
    </row>
    <row r="5311" spans="1:14" ht="31" outlineLevel="1" x14ac:dyDescent="0.25">
      <c r="A5311" s="1492">
        <f t="shared" si="816"/>
        <v>0</v>
      </c>
      <c r="B5311" s="1492" t="str">
        <f t="shared" si="816"/>
        <v>DPR for development of infrastructure for loading and dispatch of fly ash through Railway Wagons, CSTPS, Chandrapur</v>
      </c>
      <c r="C5311" s="1488">
        <f t="shared" si="816"/>
        <v>0</v>
      </c>
      <c r="D5311" s="1413" t="str">
        <f t="shared" si="816"/>
        <v>-</v>
      </c>
      <c r="E5311" s="560">
        <f t="shared" si="816"/>
        <v>268</v>
      </c>
      <c r="F5311" s="1508">
        <f t="shared" si="810"/>
        <v>268</v>
      </c>
      <c r="G5311" s="1508">
        <f t="shared" si="811"/>
        <v>268</v>
      </c>
      <c r="H5311" s="1508">
        <f t="shared" si="812"/>
        <v>0</v>
      </c>
      <c r="I5311" s="1480">
        <v>0</v>
      </c>
      <c r="J5311" s="1480">
        <v>0</v>
      </c>
      <c r="K5311" s="1508"/>
      <c r="L5311" s="1508"/>
      <c r="M5311" s="1509">
        <f t="shared" si="813"/>
        <v>0</v>
      </c>
      <c r="N5311" s="1508">
        <f t="shared" si="814"/>
        <v>0</v>
      </c>
    </row>
    <row r="5312" spans="1:14" ht="31" outlineLevel="1" x14ac:dyDescent="0.25">
      <c r="A5312" s="1492">
        <f t="shared" si="816"/>
        <v>0</v>
      </c>
      <c r="B5312" s="1492" t="str">
        <f t="shared" si="816"/>
        <v>Disposal of bottom ash for stowing of u/g mines of Chandrapur Area by installing direct pipeline from CSTPS to WCL</v>
      </c>
      <c r="C5312" s="1488">
        <f t="shared" si="816"/>
        <v>0</v>
      </c>
      <c r="D5312" s="1413" t="str">
        <f t="shared" si="816"/>
        <v>-</v>
      </c>
      <c r="E5312" s="560">
        <f t="shared" si="816"/>
        <v>10</v>
      </c>
      <c r="F5312" s="1508">
        <f t="shared" si="810"/>
        <v>10</v>
      </c>
      <c r="G5312" s="1508">
        <f t="shared" si="811"/>
        <v>10</v>
      </c>
      <c r="H5312" s="1508">
        <f t="shared" si="812"/>
        <v>0</v>
      </c>
      <c r="I5312" s="1480">
        <v>0</v>
      </c>
      <c r="J5312" s="1480">
        <v>0</v>
      </c>
      <c r="K5312" s="1508"/>
      <c r="L5312" s="1508"/>
      <c r="M5312" s="1509">
        <f t="shared" si="813"/>
        <v>0</v>
      </c>
      <c r="N5312" s="1508">
        <f t="shared" si="814"/>
        <v>0</v>
      </c>
    </row>
    <row r="5313" spans="1:14" ht="46.5" outlineLevel="1" x14ac:dyDescent="0.25">
      <c r="A5313" s="1492">
        <f t="shared" si="816"/>
        <v>0</v>
      </c>
      <c r="B5313" s="1492" t="str">
        <f t="shared" si="816"/>
        <v>Design, supply, installation, testing and commissioning of 100 MT 16X3 Mtr. electronic weigh bridge system, for weighment and dispatch of Pond Ash from Ash bund, CSTPS, Chandrapur</v>
      </c>
      <c r="C5313" s="1488">
        <f t="shared" si="816"/>
        <v>0</v>
      </c>
      <c r="D5313" s="1413" t="str">
        <f t="shared" si="816"/>
        <v>-</v>
      </c>
      <c r="E5313" s="560">
        <f t="shared" si="816"/>
        <v>0.5</v>
      </c>
      <c r="F5313" s="1508">
        <f t="shared" si="810"/>
        <v>0.5</v>
      </c>
      <c r="G5313" s="1508">
        <f t="shared" si="811"/>
        <v>0.5</v>
      </c>
      <c r="H5313" s="1508">
        <f t="shared" si="812"/>
        <v>0</v>
      </c>
      <c r="I5313" s="1480">
        <v>0</v>
      </c>
      <c r="J5313" s="1480">
        <v>0</v>
      </c>
      <c r="K5313" s="1508"/>
      <c r="L5313" s="1508"/>
      <c r="M5313" s="1509">
        <f t="shared" si="813"/>
        <v>0</v>
      </c>
      <c r="N5313" s="1508">
        <f t="shared" si="814"/>
        <v>0</v>
      </c>
    </row>
    <row r="5314" spans="1:14" ht="15.5" outlineLevel="1" x14ac:dyDescent="0.25">
      <c r="A5314" s="1486">
        <f t="shared" si="816"/>
        <v>16</v>
      </c>
      <c r="B5314" s="1491" t="str">
        <f t="shared" si="816"/>
        <v>Up-gradation Schemes for CAAQM Stations &amp; NABL Laboratory</v>
      </c>
      <c r="C5314" s="1488">
        <f t="shared" si="816"/>
        <v>0</v>
      </c>
      <c r="D5314" s="1413" t="str">
        <f t="shared" si="816"/>
        <v>-</v>
      </c>
      <c r="E5314" s="560">
        <f t="shared" si="816"/>
        <v>25</v>
      </c>
      <c r="F5314" s="1508">
        <f t="shared" si="810"/>
        <v>0</v>
      </c>
      <c r="G5314" s="1508">
        <f t="shared" si="811"/>
        <v>0</v>
      </c>
      <c r="H5314" s="1508">
        <f t="shared" si="812"/>
        <v>0</v>
      </c>
      <c r="I5314" s="1480">
        <v>0</v>
      </c>
      <c r="J5314" s="1480">
        <v>0</v>
      </c>
      <c r="K5314" s="1508"/>
      <c r="L5314" s="1508"/>
      <c r="M5314" s="1509">
        <f t="shared" si="813"/>
        <v>0</v>
      </c>
      <c r="N5314" s="1508">
        <f t="shared" si="814"/>
        <v>0</v>
      </c>
    </row>
    <row r="5315" spans="1:14" ht="15.5" outlineLevel="1" x14ac:dyDescent="0.25">
      <c r="A5315" s="1492">
        <f t="shared" si="816"/>
        <v>0</v>
      </c>
      <c r="B5315" s="1492" t="str">
        <f t="shared" si="816"/>
        <v>Up-gradation Schemes for CAAQM Stations &amp; NABL Laboratory</v>
      </c>
      <c r="C5315" s="1488">
        <f t="shared" si="816"/>
        <v>0</v>
      </c>
      <c r="D5315" s="1413" t="str">
        <f t="shared" si="816"/>
        <v>-</v>
      </c>
      <c r="E5315" s="560">
        <f t="shared" si="816"/>
        <v>25</v>
      </c>
      <c r="F5315" s="1508">
        <f t="shared" si="810"/>
        <v>25</v>
      </c>
      <c r="G5315" s="1508">
        <f t="shared" si="811"/>
        <v>25</v>
      </c>
      <c r="H5315" s="1508">
        <f t="shared" si="812"/>
        <v>0</v>
      </c>
      <c r="I5315" s="1480">
        <v>0</v>
      </c>
      <c r="J5315" s="1480">
        <v>0</v>
      </c>
      <c r="K5315" s="1508"/>
      <c r="L5315" s="1508"/>
      <c r="M5315" s="1509">
        <f t="shared" si="813"/>
        <v>0</v>
      </c>
      <c r="N5315" s="1508">
        <f t="shared" si="814"/>
        <v>0</v>
      </c>
    </row>
    <row r="5316" spans="1:14" ht="62" outlineLevel="1" x14ac:dyDescent="0.25">
      <c r="A5316" s="1486">
        <f t="shared" si="816"/>
        <v>17</v>
      </c>
      <c r="B5316" s="1491" t="str">
        <f t="shared" si="816"/>
        <v>Comprehensive Strategies for Environmental Sustainability at CSTPS: Implementing Zero Discharge Policies and Pollution Control Measures for Effective Water Body Management and Hazard Prevention</v>
      </c>
      <c r="C5316" s="1488">
        <f t="shared" si="816"/>
        <v>0</v>
      </c>
      <c r="D5316" s="1413" t="str">
        <f t="shared" si="816"/>
        <v>-</v>
      </c>
      <c r="E5316" s="560">
        <f t="shared" si="816"/>
        <v>27.6</v>
      </c>
      <c r="F5316" s="1508">
        <f t="shared" si="810"/>
        <v>0</v>
      </c>
      <c r="G5316" s="1508">
        <f t="shared" si="811"/>
        <v>0</v>
      </c>
      <c r="H5316" s="1508">
        <f t="shared" si="812"/>
        <v>0</v>
      </c>
      <c r="I5316" s="1480">
        <v>0</v>
      </c>
      <c r="J5316" s="1480">
        <v>0</v>
      </c>
      <c r="K5316" s="1508"/>
      <c r="L5316" s="1508"/>
      <c r="M5316" s="1509">
        <f t="shared" si="813"/>
        <v>0</v>
      </c>
      <c r="N5316" s="1508">
        <f t="shared" si="814"/>
        <v>0</v>
      </c>
    </row>
    <row r="5317" spans="1:14" ht="62" outlineLevel="1" x14ac:dyDescent="0.25">
      <c r="A5317" s="1492">
        <f t="shared" si="816"/>
        <v>0</v>
      </c>
      <c r="B5317" s="1492" t="str">
        <f t="shared" si="816"/>
        <v>Upgrading Settling tank near the Coal Reject Area: Installation of Settling Tank Liners and Enhanced Upgraded Pump House Systems to Prevent Acidic Water Seepage into the Ranvendli Nallah which connected to the ERAI River.</v>
      </c>
      <c r="C5317" s="1488">
        <f t="shared" si="816"/>
        <v>0</v>
      </c>
      <c r="D5317" s="1413" t="str">
        <f t="shared" si="816"/>
        <v>-</v>
      </c>
      <c r="E5317" s="560">
        <f t="shared" si="816"/>
        <v>8.9</v>
      </c>
      <c r="F5317" s="1508">
        <f t="shared" si="810"/>
        <v>8.9</v>
      </c>
      <c r="G5317" s="1508">
        <f t="shared" si="811"/>
        <v>8.9</v>
      </c>
      <c r="H5317" s="1508">
        <f t="shared" si="812"/>
        <v>0</v>
      </c>
      <c r="I5317" s="1480">
        <v>0</v>
      </c>
      <c r="J5317" s="1480">
        <v>0</v>
      </c>
      <c r="K5317" s="1508"/>
      <c r="L5317" s="1508"/>
      <c r="M5317" s="1509">
        <f t="shared" si="813"/>
        <v>0</v>
      </c>
      <c r="N5317" s="1508">
        <f t="shared" si="814"/>
        <v>0</v>
      </c>
    </row>
    <row r="5318" spans="1:14" ht="46.5" outlineLevel="1" x14ac:dyDescent="0.25">
      <c r="A5318" s="1492">
        <f t="shared" si="816"/>
        <v>0</v>
      </c>
      <c r="B5318" s="1492" t="str">
        <f t="shared" si="816"/>
        <v>Implementation of Zero Water Discharge Solutions: Design, Construction, and Commissioning of New Pump Houses for ETP 1 and ETP 2 to Enhance Capacity for Effective Water Recovery</v>
      </c>
      <c r="C5318" s="1488">
        <f t="shared" si="816"/>
        <v>0</v>
      </c>
      <c r="D5318" s="1413" t="str">
        <f t="shared" si="816"/>
        <v>-</v>
      </c>
      <c r="E5318" s="560">
        <f t="shared" si="816"/>
        <v>10.82</v>
      </c>
      <c r="F5318" s="1508">
        <f t="shared" si="810"/>
        <v>10.82</v>
      </c>
      <c r="G5318" s="1508">
        <f t="shared" si="811"/>
        <v>10.82</v>
      </c>
      <c r="H5318" s="1508">
        <f t="shared" si="812"/>
        <v>0</v>
      </c>
      <c r="I5318" s="1480">
        <v>0</v>
      </c>
      <c r="J5318" s="1480">
        <v>0</v>
      </c>
      <c r="K5318" s="1508"/>
      <c r="L5318" s="1508"/>
      <c r="M5318" s="1509">
        <f t="shared" si="813"/>
        <v>0</v>
      </c>
      <c r="N5318" s="1508">
        <f t="shared" si="814"/>
        <v>0</v>
      </c>
    </row>
    <row r="5319" spans="1:14" ht="62" outlineLevel="1" x14ac:dyDescent="0.25">
      <c r="A5319" s="1492">
        <f t="shared" si="816"/>
        <v>0</v>
      </c>
      <c r="B5319" s="1492" t="str">
        <f t="shared" si="816"/>
        <v>Underground Ash Disposal Pipeline Management: Design, Construction, and Installation of Filter Beds Along Ash Disposal Pipelines for Improved Environmental Protection of Water Bodies from Ingress into the Erai River</v>
      </c>
      <c r="C5319" s="1488">
        <f t="shared" si="816"/>
        <v>0</v>
      </c>
      <c r="D5319" s="1413" t="str">
        <f t="shared" si="816"/>
        <v>-</v>
      </c>
      <c r="E5319" s="560">
        <f t="shared" si="816"/>
        <v>7.88</v>
      </c>
      <c r="F5319" s="1508">
        <f t="shared" si="810"/>
        <v>7.88</v>
      </c>
      <c r="G5319" s="1508">
        <f t="shared" si="811"/>
        <v>7.88</v>
      </c>
      <c r="H5319" s="1508">
        <f t="shared" si="812"/>
        <v>0</v>
      </c>
      <c r="I5319" s="1480">
        <v>0</v>
      </c>
      <c r="J5319" s="1480">
        <v>0</v>
      </c>
      <c r="K5319" s="1508"/>
      <c r="L5319" s="1508"/>
      <c r="M5319" s="1509">
        <f t="shared" si="813"/>
        <v>0</v>
      </c>
      <c r="N5319" s="1508">
        <f t="shared" si="814"/>
        <v>0</v>
      </c>
    </row>
    <row r="5320" spans="1:14" ht="15.5" outlineLevel="1" x14ac:dyDescent="0.25">
      <c r="A5320" s="1486">
        <f t="shared" si="816"/>
        <v>18</v>
      </c>
      <c r="B5320" s="1491" t="str">
        <f t="shared" si="816"/>
        <v>Ash bund peripheral road</v>
      </c>
      <c r="C5320" s="1488">
        <f t="shared" si="816"/>
        <v>0</v>
      </c>
      <c r="D5320" s="1413" t="str">
        <f t="shared" si="816"/>
        <v>-</v>
      </c>
      <c r="E5320" s="560">
        <f t="shared" si="816"/>
        <v>120</v>
      </c>
      <c r="F5320" s="1508">
        <f t="shared" si="810"/>
        <v>0</v>
      </c>
      <c r="G5320" s="1508">
        <f t="shared" si="811"/>
        <v>0</v>
      </c>
      <c r="H5320" s="1508">
        <f t="shared" si="812"/>
        <v>0</v>
      </c>
      <c r="I5320" s="1480">
        <v>0</v>
      </c>
      <c r="J5320" s="1480">
        <v>0</v>
      </c>
      <c r="K5320" s="1508"/>
      <c r="L5320" s="1508"/>
      <c r="M5320" s="1509">
        <f t="shared" si="813"/>
        <v>0</v>
      </c>
      <c r="N5320" s="1508">
        <f t="shared" si="814"/>
        <v>0</v>
      </c>
    </row>
    <row r="5321" spans="1:14" ht="15.5" outlineLevel="1" x14ac:dyDescent="0.25">
      <c r="A5321" s="1492">
        <f t="shared" si="816"/>
        <v>0</v>
      </c>
      <c r="B5321" s="1492" t="str">
        <f t="shared" si="816"/>
        <v>Ash bund peripheral road</v>
      </c>
      <c r="C5321" s="1488">
        <f t="shared" si="816"/>
        <v>0</v>
      </c>
      <c r="D5321" s="1413" t="str">
        <f t="shared" si="816"/>
        <v>-</v>
      </c>
      <c r="E5321" s="560">
        <f t="shared" si="816"/>
        <v>120</v>
      </c>
      <c r="F5321" s="1508">
        <f t="shared" si="810"/>
        <v>120</v>
      </c>
      <c r="G5321" s="1508">
        <f t="shared" si="811"/>
        <v>120</v>
      </c>
      <c r="H5321" s="1508">
        <f t="shared" si="812"/>
        <v>0</v>
      </c>
      <c r="I5321" s="1480">
        <v>0</v>
      </c>
      <c r="J5321" s="1480">
        <v>0</v>
      </c>
      <c r="K5321" s="1508"/>
      <c r="L5321" s="1508"/>
      <c r="M5321" s="1509">
        <f t="shared" si="813"/>
        <v>0</v>
      </c>
      <c r="N5321" s="1508">
        <f t="shared" si="814"/>
        <v>0</v>
      </c>
    </row>
    <row r="5322" spans="1:14" ht="15.5" outlineLevel="1" x14ac:dyDescent="0.25">
      <c r="A5322" s="1486">
        <f t="shared" si="816"/>
        <v>19</v>
      </c>
      <c r="B5322" s="1491" t="str">
        <f t="shared" si="816"/>
        <v>Construction of peripheral nallah</v>
      </c>
      <c r="C5322" s="1488">
        <f t="shared" si="816"/>
        <v>0</v>
      </c>
      <c r="D5322" s="1413" t="str">
        <f t="shared" si="816"/>
        <v>-</v>
      </c>
      <c r="E5322" s="560">
        <f t="shared" si="816"/>
        <v>100</v>
      </c>
      <c r="F5322" s="1508">
        <f t="shared" si="810"/>
        <v>0</v>
      </c>
      <c r="G5322" s="1508">
        <f t="shared" si="811"/>
        <v>0</v>
      </c>
      <c r="H5322" s="1508">
        <f t="shared" si="812"/>
        <v>0</v>
      </c>
      <c r="I5322" s="1480">
        <v>0</v>
      </c>
      <c r="J5322" s="1480">
        <v>0</v>
      </c>
      <c r="K5322" s="1508"/>
      <c r="L5322" s="1508"/>
      <c r="M5322" s="1509">
        <f t="shared" si="813"/>
        <v>0</v>
      </c>
      <c r="N5322" s="1508">
        <f t="shared" si="814"/>
        <v>0</v>
      </c>
    </row>
    <row r="5323" spans="1:14" ht="15.5" outlineLevel="1" x14ac:dyDescent="0.25">
      <c r="A5323" s="1492">
        <f t="shared" si="816"/>
        <v>0</v>
      </c>
      <c r="B5323" s="1492" t="str">
        <f t="shared" si="816"/>
        <v>Construction of peripheral nallah</v>
      </c>
      <c r="C5323" s="1488">
        <f t="shared" si="816"/>
        <v>0</v>
      </c>
      <c r="D5323" s="1413" t="str">
        <f t="shared" si="816"/>
        <v>-</v>
      </c>
      <c r="E5323" s="560">
        <f t="shared" si="816"/>
        <v>100</v>
      </c>
      <c r="F5323" s="1508">
        <f t="shared" si="810"/>
        <v>100</v>
      </c>
      <c r="G5323" s="1508">
        <f t="shared" si="811"/>
        <v>100</v>
      </c>
      <c r="H5323" s="1508">
        <f t="shared" si="812"/>
        <v>0</v>
      </c>
      <c r="I5323" s="1480">
        <v>0</v>
      </c>
      <c r="J5323" s="1480">
        <v>0</v>
      </c>
      <c r="K5323" s="1508"/>
      <c r="L5323" s="1508"/>
      <c r="M5323" s="1509">
        <f t="shared" si="813"/>
        <v>0</v>
      </c>
      <c r="N5323" s="1508">
        <f t="shared" si="814"/>
        <v>0</v>
      </c>
    </row>
    <row r="5324" spans="1:14" ht="15.5" outlineLevel="1" x14ac:dyDescent="0.25">
      <c r="A5324" s="1486">
        <f t="shared" ref="A5324:E5339" si="817">A4654</f>
        <v>20</v>
      </c>
      <c r="B5324" s="1491" t="str">
        <f t="shared" si="817"/>
        <v>Construction of concrete Roads with drains at colony</v>
      </c>
      <c r="C5324" s="1488">
        <f t="shared" si="817"/>
        <v>0</v>
      </c>
      <c r="D5324" s="1413" t="str">
        <f t="shared" si="817"/>
        <v>-</v>
      </c>
      <c r="E5324" s="560">
        <f t="shared" si="817"/>
        <v>110</v>
      </c>
      <c r="F5324" s="1508">
        <f t="shared" si="810"/>
        <v>0</v>
      </c>
      <c r="G5324" s="1508">
        <f t="shared" si="811"/>
        <v>0</v>
      </c>
      <c r="H5324" s="1508">
        <f t="shared" si="812"/>
        <v>0</v>
      </c>
      <c r="I5324" s="1480">
        <v>0</v>
      </c>
      <c r="J5324" s="1480">
        <v>0</v>
      </c>
      <c r="K5324" s="1508"/>
      <c r="L5324" s="1508"/>
      <c r="M5324" s="1509">
        <f t="shared" si="813"/>
        <v>0</v>
      </c>
      <c r="N5324" s="1508">
        <f t="shared" si="814"/>
        <v>0</v>
      </c>
    </row>
    <row r="5325" spans="1:14" ht="15.5" outlineLevel="1" x14ac:dyDescent="0.25">
      <c r="A5325" s="1492">
        <f t="shared" si="817"/>
        <v>0</v>
      </c>
      <c r="B5325" s="1492" t="str">
        <f t="shared" si="817"/>
        <v>Construction of concrete Roads with drains at colony</v>
      </c>
      <c r="C5325" s="1488">
        <f t="shared" si="817"/>
        <v>0</v>
      </c>
      <c r="D5325" s="1413" t="str">
        <f t="shared" si="817"/>
        <v>-</v>
      </c>
      <c r="E5325" s="560">
        <f t="shared" si="817"/>
        <v>110</v>
      </c>
      <c r="F5325" s="1508">
        <f t="shared" si="810"/>
        <v>110</v>
      </c>
      <c r="G5325" s="1508">
        <f t="shared" si="811"/>
        <v>110</v>
      </c>
      <c r="H5325" s="1508">
        <f t="shared" si="812"/>
        <v>0</v>
      </c>
      <c r="I5325" s="1480">
        <v>0</v>
      </c>
      <c r="J5325" s="1480">
        <v>0</v>
      </c>
      <c r="K5325" s="1508"/>
      <c r="L5325" s="1508"/>
      <c r="M5325" s="1509">
        <f t="shared" si="813"/>
        <v>0</v>
      </c>
      <c r="N5325" s="1508">
        <f t="shared" si="814"/>
        <v>0</v>
      </c>
    </row>
    <row r="5326" spans="1:14" ht="15.5" outlineLevel="1" x14ac:dyDescent="0.25">
      <c r="A5326" s="1486">
        <f t="shared" si="817"/>
        <v>21</v>
      </c>
      <c r="B5326" s="1491" t="str">
        <f t="shared" si="817"/>
        <v>Fugitive emisson reduction techniques</v>
      </c>
      <c r="C5326" s="1488">
        <f t="shared" si="817"/>
        <v>0</v>
      </c>
      <c r="D5326" s="1413" t="str">
        <f t="shared" si="817"/>
        <v>-</v>
      </c>
      <c r="E5326" s="560">
        <f t="shared" si="817"/>
        <v>50</v>
      </c>
      <c r="F5326" s="1508">
        <f t="shared" si="810"/>
        <v>0</v>
      </c>
      <c r="G5326" s="1508">
        <f t="shared" si="811"/>
        <v>0</v>
      </c>
      <c r="H5326" s="1508">
        <f t="shared" si="812"/>
        <v>0</v>
      </c>
      <c r="I5326" s="1480">
        <v>0</v>
      </c>
      <c r="J5326" s="1480">
        <v>0</v>
      </c>
      <c r="K5326" s="1508"/>
      <c r="L5326" s="1508"/>
      <c r="M5326" s="1509">
        <f t="shared" si="813"/>
        <v>0</v>
      </c>
      <c r="N5326" s="1508">
        <f t="shared" si="814"/>
        <v>0</v>
      </c>
    </row>
    <row r="5327" spans="1:14" ht="15.5" outlineLevel="1" x14ac:dyDescent="0.25">
      <c r="A5327" s="1492">
        <f t="shared" si="817"/>
        <v>0</v>
      </c>
      <c r="B5327" s="1492" t="str">
        <f t="shared" si="817"/>
        <v>Fugitive emisson reduction schemes</v>
      </c>
      <c r="C5327" s="1488">
        <f t="shared" si="817"/>
        <v>0</v>
      </c>
      <c r="D5327" s="1413" t="str">
        <f t="shared" si="817"/>
        <v>-</v>
      </c>
      <c r="E5327" s="560">
        <f t="shared" si="817"/>
        <v>50</v>
      </c>
      <c r="F5327" s="1508">
        <f t="shared" si="810"/>
        <v>50</v>
      </c>
      <c r="G5327" s="1508">
        <f t="shared" si="811"/>
        <v>50</v>
      </c>
      <c r="H5327" s="1508">
        <f t="shared" si="812"/>
        <v>0</v>
      </c>
      <c r="I5327" s="1480">
        <v>0</v>
      </c>
      <c r="J5327" s="1480">
        <v>0</v>
      </c>
      <c r="K5327" s="1508"/>
      <c r="L5327" s="1508"/>
      <c r="M5327" s="1509">
        <f t="shared" si="813"/>
        <v>0</v>
      </c>
      <c r="N5327" s="1508">
        <f t="shared" si="814"/>
        <v>0</v>
      </c>
    </row>
    <row r="5328" spans="1:14" ht="15.5" outlineLevel="1" x14ac:dyDescent="0.25">
      <c r="A5328" s="1453">
        <f t="shared" si="817"/>
        <v>0</v>
      </c>
      <c r="B5328" s="96">
        <f t="shared" si="817"/>
        <v>0</v>
      </c>
      <c r="C5328" s="1453">
        <f t="shared" si="817"/>
        <v>0</v>
      </c>
      <c r="D5328" s="1503" t="str">
        <f t="shared" si="817"/>
        <v>-</v>
      </c>
      <c r="E5328" s="560">
        <f t="shared" si="817"/>
        <v>0</v>
      </c>
      <c r="F5328" s="1508">
        <f t="shared" si="810"/>
        <v>0</v>
      </c>
      <c r="G5328" s="1508">
        <f t="shared" si="811"/>
        <v>0</v>
      </c>
      <c r="H5328" s="1508">
        <f t="shared" si="812"/>
        <v>0</v>
      </c>
      <c r="I5328" s="1480">
        <v>0</v>
      </c>
      <c r="J5328" s="1480">
        <v>0</v>
      </c>
      <c r="K5328" s="1508"/>
      <c r="L5328" s="1508"/>
      <c r="M5328" s="1509">
        <f t="shared" si="813"/>
        <v>0</v>
      </c>
      <c r="N5328" s="1508">
        <f t="shared" si="814"/>
        <v>0</v>
      </c>
    </row>
    <row r="5329" spans="1:14" ht="15.5" outlineLevel="1" x14ac:dyDescent="0.25">
      <c r="A5329" s="1488">
        <f t="shared" si="817"/>
        <v>0</v>
      </c>
      <c r="B5329" s="1492">
        <f t="shared" si="817"/>
        <v>0</v>
      </c>
      <c r="C5329" s="1488">
        <f t="shared" si="817"/>
        <v>0</v>
      </c>
      <c r="D5329" s="1413" t="str">
        <f t="shared" si="817"/>
        <v>-</v>
      </c>
      <c r="E5329" s="560">
        <f t="shared" si="817"/>
        <v>0</v>
      </c>
      <c r="F5329" s="1508">
        <f t="shared" si="810"/>
        <v>0</v>
      </c>
      <c r="G5329" s="1508">
        <f t="shared" si="811"/>
        <v>0</v>
      </c>
      <c r="H5329" s="1508">
        <f t="shared" si="812"/>
        <v>0</v>
      </c>
      <c r="I5329" s="1480">
        <v>0</v>
      </c>
      <c r="J5329" s="1480">
        <v>0</v>
      </c>
      <c r="K5329" s="1508"/>
      <c r="L5329" s="1508"/>
      <c r="M5329" s="1509">
        <f t="shared" si="813"/>
        <v>0</v>
      </c>
      <c r="N5329" s="1508">
        <f t="shared" si="814"/>
        <v>0</v>
      </c>
    </row>
    <row r="5330" spans="1:14" ht="15.5" outlineLevel="1" x14ac:dyDescent="0.25">
      <c r="A5330" s="1505">
        <f t="shared" si="817"/>
        <v>0</v>
      </c>
      <c r="B5330" s="1492">
        <f t="shared" si="817"/>
        <v>0</v>
      </c>
      <c r="C5330" s="1505">
        <f t="shared" si="817"/>
        <v>0</v>
      </c>
      <c r="D5330" s="1503" t="str">
        <f t="shared" si="817"/>
        <v>-</v>
      </c>
      <c r="E5330" s="560">
        <f t="shared" si="817"/>
        <v>0</v>
      </c>
      <c r="F5330" s="1508">
        <f t="shared" si="810"/>
        <v>0</v>
      </c>
      <c r="G5330" s="1508">
        <f t="shared" si="811"/>
        <v>0</v>
      </c>
      <c r="H5330" s="1508">
        <f t="shared" si="812"/>
        <v>0</v>
      </c>
      <c r="I5330" s="1480">
        <v>0</v>
      </c>
      <c r="J5330" s="1480">
        <v>0</v>
      </c>
      <c r="K5330" s="1508"/>
      <c r="L5330" s="1508"/>
      <c r="M5330" s="1509">
        <f t="shared" si="813"/>
        <v>0</v>
      </c>
      <c r="N5330" s="1508">
        <f t="shared" si="814"/>
        <v>0</v>
      </c>
    </row>
    <row r="5331" spans="1:14" ht="15.5" outlineLevel="1" x14ac:dyDescent="0.25">
      <c r="A5331" s="1453">
        <f t="shared" si="817"/>
        <v>0</v>
      </c>
      <c r="B5331" s="1389" t="str">
        <f t="shared" si="817"/>
        <v>B) Non-DPR Schemes</v>
      </c>
      <c r="C5331" s="1453">
        <f t="shared" si="817"/>
        <v>0</v>
      </c>
      <c r="D5331" s="1503" t="str">
        <f t="shared" si="817"/>
        <v>-</v>
      </c>
      <c r="E5331" s="560">
        <f t="shared" si="817"/>
        <v>0</v>
      </c>
      <c r="F5331" s="1508">
        <f t="shared" si="810"/>
        <v>0</v>
      </c>
      <c r="G5331" s="1508">
        <f t="shared" si="811"/>
        <v>0</v>
      </c>
      <c r="H5331" s="1508">
        <f t="shared" si="812"/>
        <v>0</v>
      </c>
      <c r="I5331" s="1480">
        <v>0</v>
      </c>
      <c r="J5331" s="1480">
        <v>0</v>
      </c>
      <c r="K5331" s="1508"/>
      <c r="L5331" s="1508"/>
      <c r="M5331" s="1509">
        <f t="shared" si="813"/>
        <v>0</v>
      </c>
      <c r="N5331" s="1508">
        <f t="shared" si="814"/>
        <v>0</v>
      </c>
    </row>
    <row r="5332" spans="1:14" ht="15.5" outlineLevel="1" x14ac:dyDescent="0.25">
      <c r="A5332" s="1488">
        <f t="shared" si="817"/>
        <v>1</v>
      </c>
      <c r="B5332" s="1492" t="str">
        <f t="shared" si="817"/>
        <v>GENERAL ASSET</v>
      </c>
      <c r="C5332" s="1488">
        <f t="shared" si="817"/>
        <v>0</v>
      </c>
      <c r="D5332" s="1413" t="str">
        <f t="shared" si="817"/>
        <v>-</v>
      </c>
      <c r="E5332" s="560">
        <f t="shared" si="817"/>
        <v>20</v>
      </c>
      <c r="F5332" s="1508">
        <f t="shared" si="810"/>
        <v>8.3761807089999998</v>
      </c>
      <c r="G5332" s="1508">
        <f t="shared" si="811"/>
        <v>8.3761807089999998</v>
      </c>
      <c r="H5332" s="1508">
        <f t="shared" si="812"/>
        <v>0</v>
      </c>
      <c r="I5332" s="1480">
        <v>0</v>
      </c>
      <c r="J5332" s="1480">
        <v>0</v>
      </c>
      <c r="K5332" s="1508"/>
      <c r="L5332" s="1508"/>
      <c r="M5332" s="1509">
        <f t="shared" si="813"/>
        <v>0</v>
      </c>
      <c r="N5332" s="1508">
        <f t="shared" si="814"/>
        <v>0</v>
      </c>
    </row>
    <row r="5333" spans="1:14" ht="15.5" outlineLevel="1" x14ac:dyDescent="0.25">
      <c r="A5333" s="1488">
        <f t="shared" si="817"/>
        <v>2</v>
      </c>
      <c r="B5333" s="1492" t="str">
        <f t="shared" si="817"/>
        <v>M/S GEO-MILLER arbitration amount</v>
      </c>
      <c r="C5333" s="1488">
        <f t="shared" si="817"/>
        <v>0</v>
      </c>
      <c r="D5333" s="1413" t="str">
        <f t="shared" si="817"/>
        <v>-</v>
      </c>
      <c r="E5333" s="560">
        <f t="shared" si="817"/>
        <v>1.3764700000000001</v>
      </c>
      <c r="F5333" s="1508">
        <f t="shared" si="810"/>
        <v>0.68823500000000004</v>
      </c>
      <c r="G5333" s="1508">
        <f t="shared" si="811"/>
        <v>0.68823500000000004</v>
      </c>
      <c r="H5333" s="1508">
        <f t="shared" si="812"/>
        <v>0</v>
      </c>
      <c r="I5333" s="1480">
        <v>0</v>
      </c>
      <c r="J5333" s="1480">
        <v>0</v>
      </c>
      <c r="K5333" s="1508"/>
      <c r="L5333" s="1508"/>
      <c r="M5333" s="1509">
        <f t="shared" si="813"/>
        <v>0</v>
      </c>
      <c r="N5333" s="1508">
        <f t="shared" si="814"/>
        <v>0</v>
      </c>
    </row>
    <row r="5334" spans="1:14" ht="15.5" outlineLevel="1" x14ac:dyDescent="0.25">
      <c r="A5334" s="1488">
        <f t="shared" si="817"/>
        <v>3</v>
      </c>
      <c r="B5334" s="1492" t="str">
        <f t="shared" si="817"/>
        <v xml:space="preserve"> CM Reject Handling Sys Macawber Breakey</v>
      </c>
      <c r="C5334" s="1488">
        <f t="shared" si="817"/>
        <v>0</v>
      </c>
      <c r="D5334" s="1413" t="str">
        <f t="shared" si="817"/>
        <v>-</v>
      </c>
      <c r="E5334" s="560">
        <f t="shared" si="817"/>
        <v>3.1821571</v>
      </c>
      <c r="F5334" s="1508">
        <f t="shared" si="810"/>
        <v>0</v>
      </c>
      <c r="G5334" s="1508">
        <f t="shared" si="811"/>
        <v>0</v>
      </c>
      <c r="H5334" s="1508">
        <f t="shared" si="812"/>
        <v>0</v>
      </c>
      <c r="I5334" s="1480">
        <v>0</v>
      </c>
      <c r="J5334" s="1480">
        <v>0</v>
      </c>
      <c r="K5334" s="1508"/>
      <c r="L5334" s="1508"/>
      <c r="M5334" s="1509">
        <f t="shared" si="813"/>
        <v>0</v>
      </c>
      <c r="N5334" s="1508">
        <f t="shared" si="814"/>
        <v>0</v>
      </c>
    </row>
    <row r="5335" spans="1:14" ht="62" outlineLevel="1" x14ac:dyDescent="0.25">
      <c r="A5335" s="1488">
        <f t="shared" si="817"/>
        <v>4</v>
      </c>
      <c r="B5335" s="1492" t="str">
        <f t="shared" si="817"/>
        <v xml:space="preserve">Work of Design, Engineering, manufacturing, supply, erection &amp;  commissioning of interconnection conveyor belt Elecon stack yard of CHPA of U-3 &amp; U-4 to Belt Conveyor 105-A/B at CHP-B of Unit 5, 6 &amp; 7 at CSTPS Chandrapur ((Non-DPR) </v>
      </c>
      <c r="C5335" s="1488">
        <f t="shared" si="817"/>
        <v>0</v>
      </c>
      <c r="D5335" s="1413" t="str">
        <f t="shared" si="817"/>
        <v>-</v>
      </c>
      <c r="E5335" s="560">
        <f t="shared" si="817"/>
        <v>4.8622366000000001</v>
      </c>
      <c r="F5335" s="1508">
        <f t="shared" si="810"/>
        <v>4.8622366000000001</v>
      </c>
      <c r="G5335" s="1508">
        <f t="shared" si="811"/>
        <v>4.8622366000000001</v>
      </c>
      <c r="H5335" s="1508">
        <f t="shared" si="812"/>
        <v>0</v>
      </c>
      <c r="I5335" s="1480">
        <v>0</v>
      </c>
      <c r="J5335" s="1480">
        <v>0</v>
      </c>
      <c r="K5335" s="1508"/>
      <c r="L5335" s="1508"/>
      <c r="M5335" s="1509">
        <f t="shared" si="813"/>
        <v>0</v>
      </c>
      <c r="N5335" s="1508">
        <f t="shared" si="814"/>
        <v>0</v>
      </c>
    </row>
    <row r="5336" spans="1:14" ht="46.5" outlineLevel="1" x14ac:dyDescent="0.25">
      <c r="A5336" s="1488">
        <f t="shared" si="817"/>
        <v>5</v>
      </c>
      <c r="B5336" s="1492" t="str">
        <f t="shared" si="817"/>
        <v>Non Dpr The Work of Upgradation/Renovation of Track Hopper Unloading Conveyor system with allied works in CHPB of Unit-5, 6&amp;7 at CSTPS Chandrapur</v>
      </c>
      <c r="C5336" s="1488">
        <f t="shared" si="817"/>
        <v>0</v>
      </c>
      <c r="D5336" s="1413" t="str">
        <f t="shared" si="817"/>
        <v>-</v>
      </c>
      <c r="E5336" s="560">
        <f t="shared" si="817"/>
        <v>4.7420485000000001</v>
      </c>
      <c r="F5336" s="1508">
        <f t="shared" si="810"/>
        <v>4.7420485000000001</v>
      </c>
      <c r="G5336" s="1508">
        <f t="shared" si="811"/>
        <v>4.7420485000000001</v>
      </c>
      <c r="H5336" s="1508">
        <f t="shared" si="812"/>
        <v>0</v>
      </c>
      <c r="I5336" s="1480">
        <v>0</v>
      </c>
      <c r="J5336" s="1480">
        <v>0</v>
      </c>
      <c r="K5336" s="1508"/>
      <c r="L5336" s="1508"/>
      <c r="M5336" s="1509">
        <f t="shared" si="813"/>
        <v>0</v>
      </c>
      <c r="N5336" s="1508">
        <f t="shared" si="814"/>
        <v>0</v>
      </c>
    </row>
    <row r="5337" spans="1:14" ht="46.5" outlineLevel="1" x14ac:dyDescent="0.25">
      <c r="A5337" s="1488">
        <f t="shared" si="817"/>
        <v>6</v>
      </c>
      <c r="B5337" s="1492" t="str">
        <f t="shared" si="817"/>
        <v>Non DPR scheme for “The Work of Upgradation of Belt Conveyor 107A/B by replacement of conveyor deck structure with allied works in CHPB of Unit-5, 6&amp;7 at CSTPS Chandrapur</v>
      </c>
      <c r="C5337" s="1488">
        <f t="shared" si="817"/>
        <v>0</v>
      </c>
      <c r="D5337" s="1413" t="str">
        <f t="shared" si="817"/>
        <v>-</v>
      </c>
      <c r="E5337" s="560">
        <f t="shared" si="817"/>
        <v>4.51</v>
      </c>
      <c r="F5337" s="1508">
        <f t="shared" si="810"/>
        <v>4.5085439999999997</v>
      </c>
      <c r="G5337" s="1508">
        <f t="shared" si="811"/>
        <v>4.5085439999999997</v>
      </c>
      <c r="H5337" s="1508">
        <f t="shared" si="812"/>
        <v>0</v>
      </c>
      <c r="I5337" s="1480">
        <v>0</v>
      </c>
      <c r="J5337" s="1480">
        <v>0</v>
      </c>
      <c r="K5337" s="1508"/>
      <c r="L5337" s="1508"/>
      <c r="M5337" s="1509">
        <f t="shared" si="813"/>
        <v>0</v>
      </c>
      <c r="N5337" s="1508">
        <f t="shared" si="814"/>
        <v>0</v>
      </c>
    </row>
    <row r="5338" spans="1:14" ht="46.5" outlineLevel="1" x14ac:dyDescent="0.25">
      <c r="A5338" s="1488">
        <f t="shared" si="817"/>
        <v>7</v>
      </c>
      <c r="B5338" s="1492" t="str">
        <f t="shared" si="817"/>
        <v>Non-DPR: Supply, installation &amp; commissioning of oil cooled over band magnetic separators for various conveyor belts of CHP-B &amp; CHP-C, CSTPS, Chandrapur</v>
      </c>
      <c r="C5338" s="1488">
        <f t="shared" si="817"/>
        <v>0</v>
      </c>
      <c r="D5338" s="1413" t="str">
        <f t="shared" si="817"/>
        <v>-</v>
      </c>
      <c r="E5338" s="560">
        <f t="shared" si="817"/>
        <v>3.45</v>
      </c>
      <c r="F5338" s="1508">
        <f t="shared" si="810"/>
        <v>3.4450571999999999</v>
      </c>
      <c r="G5338" s="1508">
        <f t="shared" si="811"/>
        <v>3.4450571999999999</v>
      </c>
      <c r="H5338" s="1508">
        <f t="shared" si="812"/>
        <v>0</v>
      </c>
      <c r="I5338" s="1480">
        <v>0</v>
      </c>
      <c r="J5338" s="1480">
        <v>0</v>
      </c>
      <c r="K5338" s="1508"/>
      <c r="L5338" s="1508"/>
      <c r="M5338" s="1509">
        <f t="shared" si="813"/>
        <v>0</v>
      </c>
      <c r="N5338" s="1508">
        <f t="shared" si="814"/>
        <v>0</v>
      </c>
    </row>
    <row r="5339" spans="1:14" ht="62" outlineLevel="1" x14ac:dyDescent="0.25">
      <c r="A5339" s="1488">
        <f t="shared" si="817"/>
        <v>8</v>
      </c>
      <c r="B5339" s="1492" t="str">
        <f t="shared" si="817"/>
        <v>Various preventive works to avoid Tiger movement and animals in CSTPS colony premises Up-gradation od existing periphery compound wall by avoiding barbed wire and concertina fencing and allied works in the colony at CSTPS, Chandrapur</v>
      </c>
      <c r="C5339" s="1488">
        <f t="shared" si="817"/>
        <v>0</v>
      </c>
      <c r="D5339" s="1413" t="str">
        <f t="shared" si="817"/>
        <v>-</v>
      </c>
      <c r="E5339" s="560">
        <f t="shared" si="817"/>
        <v>6.41</v>
      </c>
      <c r="F5339" s="1508">
        <f t="shared" si="810"/>
        <v>3.6119999999999997</v>
      </c>
      <c r="G5339" s="1508">
        <f t="shared" si="811"/>
        <v>3.6119999999999997</v>
      </c>
      <c r="H5339" s="1508">
        <f t="shared" si="812"/>
        <v>0</v>
      </c>
      <c r="I5339" s="1480">
        <v>0</v>
      </c>
      <c r="J5339" s="1480">
        <v>0</v>
      </c>
      <c r="K5339" s="1508"/>
      <c r="L5339" s="1508"/>
      <c r="M5339" s="1509">
        <f t="shared" si="813"/>
        <v>0</v>
      </c>
      <c r="N5339" s="1508">
        <f t="shared" si="814"/>
        <v>0</v>
      </c>
    </row>
    <row r="5340" spans="1:14" ht="46.5" outlineLevel="1" x14ac:dyDescent="0.25">
      <c r="A5340" s="1488">
        <f t="shared" ref="A5340:E5355" si="818">A4670</f>
        <v>9</v>
      </c>
      <c r="B5340" s="1492" t="str">
        <f t="shared" si="818"/>
        <v>Repairing, revamping and modification of existing alarm and protection system from fire and providing rapid extinguishing CA system at 500 MW Unit # 5 &amp; 6 CSTPS</v>
      </c>
      <c r="C5340" s="1488">
        <f t="shared" si="818"/>
        <v>0</v>
      </c>
      <c r="D5340" s="1413" t="str">
        <f t="shared" si="818"/>
        <v>-</v>
      </c>
      <c r="E5340" s="560">
        <f t="shared" si="818"/>
        <v>7.95</v>
      </c>
      <c r="F5340" s="1508">
        <f t="shared" ref="F5340:F5364" si="819">F4670+I4670</f>
        <v>7.9500000000000011</v>
      </c>
      <c r="G5340" s="1508">
        <f t="shared" ref="G5340:G5364" si="820">G4670+M4670</f>
        <v>7.9500000000000011</v>
      </c>
      <c r="H5340" s="1508">
        <f t="shared" si="812"/>
        <v>0</v>
      </c>
      <c r="I5340" s="1480">
        <v>0</v>
      </c>
      <c r="J5340" s="1480">
        <v>0</v>
      </c>
      <c r="K5340" s="1508"/>
      <c r="L5340" s="1508"/>
      <c r="M5340" s="1509">
        <f t="shared" si="813"/>
        <v>0</v>
      </c>
      <c r="N5340" s="1508">
        <f t="shared" si="814"/>
        <v>0</v>
      </c>
    </row>
    <row r="5341" spans="1:14" ht="62" outlineLevel="1" x14ac:dyDescent="0.25">
      <c r="A5341" s="1488">
        <f t="shared" si="818"/>
        <v>10</v>
      </c>
      <c r="B5341" s="1506" t="str">
        <f t="shared" si="818"/>
        <v>NON-Detailed Project Report for the Work of Upgradation/Renovation of Crusher House of CHPB of Unit-5, 6&amp;7 at CSTPS Chandrapur (benefit U-8,9 by short conveyor coal stacking in catering emergency)</v>
      </c>
      <c r="C5341" s="1488">
        <f t="shared" si="818"/>
        <v>0</v>
      </c>
      <c r="D5341" s="1413" t="str">
        <f t="shared" si="818"/>
        <v>-</v>
      </c>
      <c r="E5341" s="560">
        <f t="shared" si="818"/>
        <v>4.7</v>
      </c>
      <c r="F5341" s="1508">
        <f t="shared" si="819"/>
        <v>1.8274607199999999</v>
      </c>
      <c r="G5341" s="1508">
        <f t="shared" si="820"/>
        <v>1.8274607199999999</v>
      </c>
      <c r="H5341" s="1508">
        <f t="shared" si="812"/>
        <v>0</v>
      </c>
      <c r="I5341" s="1480">
        <v>0</v>
      </c>
      <c r="J5341" s="1480">
        <v>0</v>
      </c>
      <c r="K5341" s="1508"/>
      <c r="L5341" s="1508"/>
      <c r="M5341" s="1509">
        <f t="shared" si="813"/>
        <v>0</v>
      </c>
      <c r="N5341" s="1508">
        <f t="shared" si="814"/>
        <v>0</v>
      </c>
    </row>
    <row r="5342" spans="1:14" ht="46.5" outlineLevel="1" x14ac:dyDescent="0.25">
      <c r="A5342" s="1488">
        <f t="shared" si="818"/>
        <v>11</v>
      </c>
      <c r="B5342" s="1492" t="str">
        <f t="shared" si="818"/>
        <v>Work of Up-gradation/Renovation of Bunkering Conveyor system with allied works in CHPA of Unit-3&amp;4 at CSTPS Chandrapur</v>
      </c>
      <c r="C5342" s="1488">
        <f t="shared" si="818"/>
        <v>0</v>
      </c>
      <c r="D5342" s="1413" t="str">
        <f t="shared" si="818"/>
        <v>-</v>
      </c>
      <c r="E5342" s="560">
        <f t="shared" si="818"/>
        <v>4.6024180000000001</v>
      </c>
      <c r="F5342" s="1508">
        <f t="shared" si="819"/>
        <v>4.6024180000000001</v>
      </c>
      <c r="G5342" s="1508">
        <f t="shared" si="820"/>
        <v>4.6024180000000001</v>
      </c>
      <c r="H5342" s="1508">
        <f t="shared" si="812"/>
        <v>0</v>
      </c>
      <c r="I5342" s="1480">
        <v>0</v>
      </c>
      <c r="J5342" s="1480">
        <v>0</v>
      </c>
      <c r="K5342" s="1508"/>
      <c r="L5342" s="1508"/>
      <c r="M5342" s="1509">
        <f t="shared" si="813"/>
        <v>0</v>
      </c>
      <c r="N5342" s="1508">
        <f t="shared" si="814"/>
        <v>0</v>
      </c>
    </row>
    <row r="5343" spans="1:14" ht="46.5" outlineLevel="1" x14ac:dyDescent="0.25">
      <c r="A5343" s="1488">
        <f t="shared" si="818"/>
        <v>12</v>
      </c>
      <c r="B5343" s="1492" t="str">
        <f t="shared" si="818"/>
        <v>Non-Detailed Project Report for the up-gradation of existing belt type gravimetric coal feeders to gravimetric rotary weigh coal feeders of unit- 7, at CSTPS, Chandrapur</v>
      </c>
      <c r="C5343" s="1488">
        <f t="shared" si="818"/>
        <v>0</v>
      </c>
      <c r="D5343" s="1413" t="str">
        <f t="shared" si="818"/>
        <v>-</v>
      </c>
      <c r="E5343" s="560">
        <f t="shared" si="818"/>
        <v>7.2510000000000003</v>
      </c>
      <c r="F5343" s="1508">
        <f t="shared" si="819"/>
        <v>7.2509395000000003</v>
      </c>
      <c r="G5343" s="1508">
        <f t="shared" si="820"/>
        <v>7.2509395000000003</v>
      </c>
      <c r="H5343" s="1508">
        <f t="shared" si="812"/>
        <v>0</v>
      </c>
      <c r="I5343" s="1480">
        <v>0</v>
      </c>
      <c r="J5343" s="1480">
        <v>0</v>
      </c>
      <c r="K5343" s="1508"/>
      <c r="L5343" s="1508"/>
      <c r="M5343" s="1509">
        <f t="shared" si="813"/>
        <v>0</v>
      </c>
      <c r="N5343" s="1508">
        <f t="shared" si="814"/>
        <v>0</v>
      </c>
    </row>
    <row r="5344" spans="1:14" ht="31" outlineLevel="1" x14ac:dyDescent="0.25">
      <c r="A5344" s="1488">
        <f t="shared" si="818"/>
        <v>14</v>
      </c>
      <c r="B5344" s="1492" t="str">
        <f t="shared" si="818"/>
        <v>Non DPR scheme for the procurement of Girth Gear Assembly for BBD-4772 coal mill unit-7</v>
      </c>
      <c r="C5344" s="1488">
        <f t="shared" si="818"/>
        <v>0</v>
      </c>
      <c r="D5344" s="1413" t="str">
        <f t="shared" si="818"/>
        <v>-</v>
      </c>
      <c r="E5344" s="560">
        <f t="shared" si="818"/>
        <v>5.27</v>
      </c>
      <c r="F5344" s="1508">
        <f t="shared" si="819"/>
        <v>5.27</v>
      </c>
      <c r="G5344" s="1508">
        <f t="shared" si="820"/>
        <v>5.27</v>
      </c>
      <c r="H5344" s="1508">
        <f t="shared" si="812"/>
        <v>0</v>
      </c>
      <c r="I5344" s="1480">
        <v>0</v>
      </c>
      <c r="J5344" s="1480">
        <v>0</v>
      </c>
      <c r="K5344" s="1508"/>
      <c r="L5344" s="1508"/>
      <c r="M5344" s="1509">
        <f t="shared" si="813"/>
        <v>0</v>
      </c>
      <c r="N5344" s="1508">
        <f t="shared" si="814"/>
        <v>0</v>
      </c>
    </row>
    <row r="5345" spans="1:14" ht="62" outlineLevel="1" x14ac:dyDescent="0.25">
      <c r="A5345" s="1488">
        <f t="shared" si="818"/>
        <v>15</v>
      </c>
      <c r="B5345" s="1492" t="str">
        <f t="shared" si="818"/>
        <v>Non DPR Supply of Sub-Assemblies for KBL -make Auxiliary cooling water pump, Model BHR-70 &amp; BHR 60-30 deg. installed at Auxiliary cooling water system of U- 5 to 7 at ODP-II, CSTPS, Chandrapur.</v>
      </c>
      <c r="C5345" s="1488">
        <f t="shared" si="818"/>
        <v>0</v>
      </c>
      <c r="D5345" s="1413" t="str">
        <f t="shared" si="818"/>
        <v>-</v>
      </c>
      <c r="E5345" s="560">
        <f t="shared" si="818"/>
        <v>5.61</v>
      </c>
      <c r="F5345" s="1508">
        <f t="shared" si="819"/>
        <v>5.5874359760000001</v>
      </c>
      <c r="G5345" s="1508">
        <f t="shared" si="820"/>
        <v>5.5874359760000001</v>
      </c>
      <c r="H5345" s="1508">
        <f t="shared" si="812"/>
        <v>0</v>
      </c>
      <c r="I5345" s="1480">
        <v>0</v>
      </c>
      <c r="J5345" s="1480">
        <v>0</v>
      </c>
      <c r="K5345" s="1508"/>
      <c r="L5345" s="1508"/>
      <c r="M5345" s="1509">
        <f t="shared" si="813"/>
        <v>0</v>
      </c>
      <c r="N5345" s="1508">
        <f t="shared" si="814"/>
        <v>0</v>
      </c>
    </row>
    <row r="5346" spans="1:14" ht="46.5" outlineLevel="1" x14ac:dyDescent="0.25">
      <c r="A5346" s="1488">
        <f t="shared" si="818"/>
        <v>16</v>
      </c>
      <c r="B5346" s="1492" t="str">
        <f t="shared" si="818"/>
        <v>Procurement of Primary and Secondary Air Pre-heater Baskets for Unit-5, Chandrapur STPS, 500MW through OEM basis from M/s. BHEL</v>
      </c>
      <c r="C5346" s="1488">
        <f t="shared" si="818"/>
        <v>0</v>
      </c>
      <c r="D5346" s="1413" t="str">
        <f t="shared" si="818"/>
        <v>-</v>
      </c>
      <c r="E5346" s="560">
        <f t="shared" si="818"/>
        <v>9.09</v>
      </c>
      <c r="F5346" s="1508">
        <f t="shared" si="819"/>
        <v>9.09</v>
      </c>
      <c r="G5346" s="1508">
        <f t="shared" si="820"/>
        <v>9.09</v>
      </c>
      <c r="H5346" s="1508">
        <f t="shared" si="812"/>
        <v>0</v>
      </c>
      <c r="I5346" s="1480">
        <v>0</v>
      </c>
      <c r="J5346" s="1480">
        <v>0</v>
      </c>
      <c r="K5346" s="1508"/>
      <c r="L5346" s="1508"/>
      <c r="M5346" s="1509">
        <f t="shared" si="813"/>
        <v>0</v>
      </c>
      <c r="N5346" s="1508">
        <f t="shared" si="814"/>
        <v>0</v>
      </c>
    </row>
    <row r="5347" spans="1:14" ht="46.5" outlineLevel="1" x14ac:dyDescent="0.25">
      <c r="A5347" s="1488">
        <f t="shared" si="818"/>
        <v>17</v>
      </c>
      <c r="B5347" s="1492" t="str">
        <f t="shared" si="818"/>
        <v>Restoration of Operational efficiency and improvement in useful life of spare HP turbine Module of 500MW Unit-5,6 CSTPS chandrapur by Refurbishement</v>
      </c>
      <c r="C5347" s="1488">
        <f t="shared" si="818"/>
        <v>0</v>
      </c>
      <c r="D5347" s="1413" t="str">
        <f t="shared" si="818"/>
        <v>-</v>
      </c>
      <c r="E5347" s="560">
        <f t="shared" si="818"/>
        <v>9.9499999999999993</v>
      </c>
      <c r="F5347" s="1508">
        <f t="shared" si="819"/>
        <v>9.9499999999999993</v>
      </c>
      <c r="G5347" s="1508">
        <f t="shared" si="820"/>
        <v>9.9499999999999993</v>
      </c>
      <c r="H5347" s="1508">
        <f t="shared" si="812"/>
        <v>0</v>
      </c>
      <c r="I5347" s="1480">
        <v>0</v>
      </c>
      <c r="J5347" s="1480">
        <v>0</v>
      </c>
      <c r="K5347" s="1508"/>
      <c r="L5347" s="1508"/>
      <c r="M5347" s="1509">
        <f t="shared" si="813"/>
        <v>0</v>
      </c>
      <c r="N5347" s="1508">
        <f t="shared" si="814"/>
        <v>0</v>
      </c>
    </row>
    <row r="5348" spans="1:14" ht="46.5" outlineLevel="1" x14ac:dyDescent="0.25">
      <c r="A5348" s="1488">
        <f t="shared" si="818"/>
        <v>18</v>
      </c>
      <c r="B5348" s="1492" t="str">
        <f t="shared" si="818"/>
        <v>Work of Upgradation/Renovation of Crusher House &amp; Track Hopper Unloading System of CHPC of Unit-6&amp;7 CSTPS Chandrapur</v>
      </c>
      <c r="C5348" s="1488">
        <f t="shared" si="818"/>
        <v>0</v>
      </c>
      <c r="D5348" s="1413" t="str">
        <f t="shared" si="818"/>
        <v>-</v>
      </c>
      <c r="E5348" s="560">
        <f t="shared" si="818"/>
        <v>4.9000000000000004</v>
      </c>
      <c r="F5348" s="1508">
        <f t="shared" si="819"/>
        <v>4.9000000000000004</v>
      </c>
      <c r="G5348" s="1508">
        <f t="shared" si="820"/>
        <v>4.9000000000000004</v>
      </c>
      <c r="H5348" s="1508">
        <f t="shared" si="812"/>
        <v>0</v>
      </c>
      <c r="I5348" s="1480">
        <v>0</v>
      </c>
      <c r="J5348" s="1480">
        <v>0</v>
      </c>
      <c r="K5348" s="1508"/>
      <c r="L5348" s="1508"/>
      <c r="M5348" s="1509">
        <f t="shared" si="813"/>
        <v>0</v>
      </c>
      <c r="N5348" s="1508">
        <f t="shared" si="814"/>
        <v>0</v>
      </c>
    </row>
    <row r="5349" spans="1:14" ht="46.5" outlineLevel="1" x14ac:dyDescent="0.25">
      <c r="A5349" s="1488">
        <f t="shared" si="818"/>
        <v>19</v>
      </c>
      <c r="B5349" s="1492" t="str">
        <f t="shared" si="818"/>
        <v>Non – DPR: Design, supply, erection, installation, testing and commissioning of boiler goods lift in place of existing old lifts installed at Unit#6,7 500MW CSTPS, Chandrapur </v>
      </c>
      <c r="C5349" s="1488">
        <f t="shared" si="818"/>
        <v>0</v>
      </c>
      <c r="D5349" s="1413" t="str">
        <f t="shared" si="818"/>
        <v>-</v>
      </c>
      <c r="E5349" s="560">
        <f t="shared" si="818"/>
        <v>3.66</v>
      </c>
      <c r="F5349" s="1508">
        <f t="shared" si="819"/>
        <v>3.66</v>
      </c>
      <c r="G5349" s="1508">
        <f t="shared" si="820"/>
        <v>3.66</v>
      </c>
      <c r="H5349" s="1508">
        <f t="shared" si="812"/>
        <v>0</v>
      </c>
      <c r="I5349" s="1480">
        <v>0</v>
      </c>
      <c r="J5349" s="1480">
        <v>0</v>
      </c>
      <c r="K5349" s="1508"/>
      <c r="L5349" s="1508"/>
      <c r="M5349" s="1509">
        <f t="shared" si="813"/>
        <v>0</v>
      </c>
      <c r="N5349" s="1508">
        <f t="shared" si="814"/>
        <v>0</v>
      </c>
    </row>
    <row r="5350" spans="1:14" ht="31" outlineLevel="1" x14ac:dyDescent="0.25">
      <c r="A5350" s="1488">
        <f t="shared" si="818"/>
        <v>20</v>
      </c>
      <c r="B5350" s="1492" t="str">
        <f t="shared" si="818"/>
        <v>Work of refurbishment of Flender make KMS 850 gear box of XRP-1043 coal mill unit 5&amp;6 at CSTPS, Chandrapur</v>
      </c>
      <c r="C5350" s="1488">
        <f t="shared" si="818"/>
        <v>0</v>
      </c>
      <c r="D5350" s="1413" t="str">
        <f t="shared" si="818"/>
        <v>-</v>
      </c>
      <c r="E5350" s="560">
        <f t="shared" si="818"/>
        <v>4.37</v>
      </c>
      <c r="F5350" s="1508">
        <f t="shared" si="819"/>
        <v>4.37</v>
      </c>
      <c r="G5350" s="1508">
        <f t="shared" si="820"/>
        <v>4.37</v>
      </c>
      <c r="H5350" s="1508">
        <f t="shared" si="812"/>
        <v>0</v>
      </c>
      <c r="I5350" s="1480">
        <v>0</v>
      </c>
      <c r="J5350" s="1480">
        <v>0</v>
      </c>
      <c r="K5350" s="1508"/>
      <c r="L5350" s="1508"/>
      <c r="M5350" s="1509">
        <f t="shared" si="813"/>
        <v>0</v>
      </c>
      <c r="N5350" s="1508">
        <f t="shared" si="814"/>
        <v>0</v>
      </c>
    </row>
    <row r="5351" spans="1:14" ht="77.5" outlineLevel="1" x14ac:dyDescent="0.25">
      <c r="A5351" s="1488">
        <f t="shared" si="818"/>
        <v>21</v>
      </c>
      <c r="B5351" s="1492" t="str">
        <f t="shared" si="818"/>
        <v>Work of renovation of take up trestle structure of BC-105A2/BC-105B and trestle near TP-104, Modification of MS fixtures for the work of various auxiliary replacement at various sites and other allied works in CHP-B (M2) at CSTPS Chandrapur, as NonDPR Scheme.</v>
      </c>
      <c r="C5351" s="1488">
        <f t="shared" si="818"/>
        <v>0</v>
      </c>
      <c r="D5351" s="1413" t="str">
        <f t="shared" si="818"/>
        <v>-</v>
      </c>
      <c r="E5351" s="560">
        <f t="shared" si="818"/>
        <v>2.2400000000000002</v>
      </c>
      <c r="F5351" s="1508">
        <f t="shared" si="819"/>
        <v>2.2400000000000002</v>
      </c>
      <c r="G5351" s="1508">
        <f t="shared" si="820"/>
        <v>2.2400000000000002</v>
      </c>
      <c r="H5351" s="1508">
        <f t="shared" si="812"/>
        <v>0</v>
      </c>
      <c r="I5351" s="1480">
        <v>0</v>
      </c>
      <c r="J5351" s="1480">
        <v>0</v>
      </c>
      <c r="K5351" s="1508"/>
      <c r="L5351" s="1508"/>
      <c r="M5351" s="1509">
        <f t="shared" si="813"/>
        <v>0</v>
      </c>
      <c r="N5351" s="1508">
        <f t="shared" si="814"/>
        <v>0</v>
      </c>
    </row>
    <row r="5352" spans="1:14" ht="31" outlineLevel="1" x14ac:dyDescent="0.25">
      <c r="A5352" s="1488">
        <f t="shared" si="818"/>
        <v>22</v>
      </c>
      <c r="B5352" s="1492" t="str">
        <f t="shared" si="818"/>
        <v>Non DPR scheme for upgradation and life enhancements of BC-1AB_BC-4AB at CHP-A, CSTPS, Chandrapur</v>
      </c>
      <c r="C5352" s="1488">
        <f t="shared" si="818"/>
        <v>0</v>
      </c>
      <c r="D5352" s="1413" t="str">
        <f t="shared" si="818"/>
        <v>-</v>
      </c>
      <c r="E5352" s="560">
        <f t="shared" si="818"/>
        <v>1.6</v>
      </c>
      <c r="F5352" s="1508">
        <f t="shared" si="819"/>
        <v>1.6</v>
      </c>
      <c r="G5352" s="1508">
        <f t="shared" si="820"/>
        <v>1.6</v>
      </c>
      <c r="H5352" s="1508">
        <f t="shared" si="812"/>
        <v>0</v>
      </c>
      <c r="I5352" s="1480">
        <v>0</v>
      </c>
      <c r="J5352" s="1480">
        <v>0</v>
      </c>
      <c r="K5352" s="1508"/>
      <c r="L5352" s="1508"/>
      <c r="M5352" s="1509">
        <f t="shared" si="813"/>
        <v>0</v>
      </c>
      <c r="N5352" s="1508">
        <f t="shared" si="814"/>
        <v>0</v>
      </c>
    </row>
    <row r="5353" spans="1:14" ht="31" outlineLevel="1" x14ac:dyDescent="0.25">
      <c r="A5353" s="1488">
        <f t="shared" si="818"/>
        <v>23</v>
      </c>
      <c r="B5353" s="1492" t="str">
        <f t="shared" si="818"/>
        <v>THE PROCUREMENT AND REPLACEMENT OF AIR PREHEATER BASKETS ASSEMBLIES AT UNIT-6 AT CSTPS, CHANDRAPUR</v>
      </c>
      <c r="C5353" s="1488">
        <f t="shared" si="818"/>
        <v>0</v>
      </c>
      <c r="D5353" s="1413" t="str">
        <f t="shared" si="818"/>
        <v>-</v>
      </c>
      <c r="E5353" s="560">
        <f t="shared" si="818"/>
        <v>9.01</v>
      </c>
      <c r="F5353" s="1508">
        <f t="shared" si="819"/>
        <v>9.01</v>
      </c>
      <c r="G5353" s="1508">
        <f t="shared" si="820"/>
        <v>9.01</v>
      </c>
      <c r="H5353" s="1508">
        <f t="shared" si="812"/>
        <v>0</v>
      </c>
      <c r="I5353" s="1480">
        <v>0</v>
      </c>
      <c r="J5353" s="1480">
        <v>0</v>
      </c>
      <c r="K5353" s="1508"/>
      <c r="L5353" s="1508"/>
      <c r="M5353" s="1509">
        <f t="shared" si="813"/>
        <v>0</v>
      </c>
      <c r="N5353" s="1508">
        <f t="shared" si="814"/>
        <v>0</v>
      </c>
    </row>
    <row r="5354" spans="1:14" ht="46.5" outlineLevel="1" x14ac:dyDescent="0.25">
      <c r="A5354" s="1488">
        <f t="shared" si="818"/>
        <v>24</v>
      </c>
      <c r="B5354" s="1492" t="str">
        <f t="shared" si="818"/>
        <v>NonDPR: Procurement of cartridge for boiler feed pump of 500MW U#7 and parallel shaft gear box for boiler feed pump of 500MW Unit-5 &amp;6 CSTPS, Chandrapur</v>
      </c>
      <c r="C5354" s="1488">
        <f t="shared" si="818"/>
        <v>0</v>
      </c>
      <c r="D5354" s="1413" t="str">
        <f t="shared" si="818"/>
        <v>-</v>
      </c>
      <c r="E5354" s="560">
        <f t="shared" si="818"/>
        <v>2.57</v>
      </c>
      <c r="F5354" s="1508">
        <f t="shared" si="819"/>
        <v>2.5700000000000003</v>
      </c>
      <c r="G5354" s="1508">
        <f t="shared" si="820"/>
        <v>2.5700000000000003</v>
      </c>
      <c r="H5354" s="1508">
        <f>F5354-G5354</f>
        <v>0</v>
      </c>
      <c r="I5354" s="1480">
        <v>0</v>
      </c>
      <c r="J5354" s="1480">
        <v>0</v>
      </c>
      <c r="K5354" s="1508"/>
      <c r="L5354" s="1508"/>
      <c r="M5354" s="1509">
        <f>SUM(J5354:L5354)</f>
        <v>0</v>
      </c>
      <c r="N5354" s="1508">
        <f>H5354+I5354-M5354</f>
        <v>0</v>
      </c>
    </row>
    <row r="5355" spans="1:14" ht="31" outlineLevel="1" x14ac:dyDescent="0.25">
      <c r="A5355" s="1488">
        <f t="shared" si="818"/>
        <v>25</v>
      </c>
      <c r="B5355" s="1492" t="str">
        <f t="shared" si="818"/>
        <v>Replacement of FD &amp; ID Fan IGV Actuators &amp; Electronic Controllers in 500 MW Unit-5 &amp; 6 at CSTPS, Chandrapur</v>
      </c>
      <c r="C5355" s="1488">
        <f t="shared" si="818"/>
        <v>0</v>
      </c>
      <c r="D5355" s="1413" t="str">
        <f t="shared" si="818"/>
        <v>-</v>
      </c>
      <c r="E5355" s="560">
        <f t="shared" si="818"/>
        <v>4.2</v>
      </c>
      <c r="F5355" s="1508">
        <f t="shared" si="819"/>
        <v>4.2</v>
      </c>
      <c r="G5355" s="1508">
        <f t="shared" si="820"/>
        <v>4.2</v>
      </c>
      <c r="H5355" s="1508">
        <f>F5355-G5355</f>
        <v>0</v>
      </c>
      <c r="I5355" s="1480">
        <v>0</v>
      </c>
      <c r="J5355" s="1480">
        <v>0</v>
      </c>
      <c r="K5355" s="1508"/>
      <c r="L5355" s="1508"/>
      <c r="M5355" s="1509">
        <f>SUM(J5355:L5355)</f>
        <v>0</v>
      </c>
      <c r="N5355" s="1508">
        <f>H5355+I5355-M5355</f>
        <v>0</v>
      </c>
    </row>
    <row r="5356" spans="1:14" ht="77.5" outlineLevel="1" x14ac:dyDescent="0.25">
      <c r="A5356" s="1488">
        <f t="shared" ref="A5356:E5364" si="821">A4686</f>
        <v>26</v>
      </c>
      <c r="B5356" s="1492" t="str">
        <f t="shared" si="821"/>
        <v>Non DPR for Work of Repairing and Strengthening of Coal Mill structure, Replacement of MS grating and painting of structural supports, columns, and platform supports of at various locations Coal Mill, Boiler and ESP of Unit-5, 6 and 7 at CSTPS Chandrapur.</v>
      </c>
      <c r="C5356" s="1488">
        <f t="shared" si="821"/>
        <v>0</v>
      </c>
      <c r="D5356" s="1413" t="str">
        <f t="shared" si="821"/>
        <v>-</v>
      </c>
      <c r="E5356" s="560">
        <f t="shared" si="821"/>
        <v>2.1</v>
      </c>
      <c r="F5356" s="1508">
        <f t="shared" si="819"/>
        <v>2.1</v>
      </c>
      <c r="G5356" s="1508">
        <f t="shared" si="820"/>
        <v>2.1</v>
      </c>
      <c r="H5356" s="1508">
        <f>F5356-G5356</f>
        <v>0</v>
      </c>
      <c r="I5356" s="1480">
        <v>0</v>
      </c>
      <c r="J5356" s="1480">
        <v>0</v>
      </c>
      <c r="K5356" s="1508"/>
      <c r="L5356" s="1508"/>
      <c r="M5356" s="1509">
        <f>SUM(J5356:L5356)</f>
        <v>0</v>
      </c>
      <c r="N5356" s="1508">
        <f>H5356+I5356-M5356</f>
        <v>0</v>
      </c>
    </row>
    <row r="5357" spans="1:14" ht="62" outlineLevel="1" x14ac:dyDescent="0.25">
      <c r="A5357" s="1488">
        <f t="shared" si="821"/>
        <v>27</v>
      </c>
      <c r="B5357" s="1492" t="str">
        <f t="shared" si="821"/>
        <v>Administrative approval under Non DPR scheme for“The Work of Up-gradation / Renovation and life enhancement of Conveyor system BC-6ABC with allied works in CHP-A of Unit-3&amp;4 at CSTPS Chandrapur”</v>
      </c>
      <c r="C5357" s="1488">
        <f t="shared" si="821"/>
        <v>0</v>
      </c>
      <c r="D5357" s="1413" t="str">
        <f t="shared" si="821"/>
        <v>-</v>
      </c>
      <c r="E5357" s="560">
        <f t="shared" si="821"/>
        <v>4.55</v>
      </c>
      <c r="F5357" s="1508">
        <f t="shared" si="819"/>
        <v>4.55</v>
      </c>
      <c r="G5357" s="1508">
        <f t="shared" si="820"/>
        <v>4.55</v>
      </c>
      <c r="H5357" s="1508">
        <f>F5357-G5357</f>
        <v>0</v>
      </c>
      <c r="I5357" s="1480">
        <v>0</v>
      </c>
      <c r="J5357" s="1480">
        <v>0</v>
      </c>
      <c r="K5357" s="1508"/>
      <c r="L5357" s="1508"/>
      <c r="M5357" s="1509">
        <f>SUM(J5357:L5357)</f>
        <v>0</v>
      </c>
      <c r="N5357" s="1508">
        <f>H5357+I5357-M5357</f>
        <v>0</v>
      </c>
    </row>
    <row r="5358" spans="1:14" ht="62" outlineLevel="1" x14ac:dyDescent="0.25">
      <c r="A5358" s="1488">
        <f t="shared" si="821"/>
        <v>28</v>
      </c>
      <c r="B5358" s="1492" t="str">
        <f t="shared" si="821"/>
        <v>Supply Erection and commissioning of Institu type SOX, NOX Analyzer along with remote calibration facility and connectivity to CPCB and MPCB as per latest CPCB Guidelines for Unit-3&amp;4, CSTPS.</v>
      </c>
      <c r="C5358" s="1488">
        <f t="shared" si="821"/>
        <v>0</v>
      </c>
      <c r="D5358" s="1413" t="str">
        <f t="shared" si="821"/>
        <v>-</v>
      </c>
      <c r="E5358" s="560">
        <f t="shared" si="821"/>
        <v>0.97</v>
      </c>
      <c r="F5358" s="1508">
        <f t="shared" si="819"/>
        <v>0.97</v>
      </c>
      <c r="G5358" s="1508">
        <f t="shared" si="820"/>
        <v>0.97</v>
      </c>
      <c r="H5358" s="1508">
        <f>F5358-G5358</f>
        <v>0</v>
      </c>
      <c r="I5358" s="1480">
        <v>0</v>
      </c>
      <c r="J5358" s="1480">
        <v>0</v>
      </c>
      <c r="K5358" s="1508"/>
      <c r="L5358" s="1508"/>
      <c r="M5358" s="1509">
        <f>SUM(J5358:L5358)</f>
        <v>0</v>
      </c>
      <c r="N5358" s="1508">
        <f>H5358+I5358-M5358</f>
        <v>0</v>
      </c>
    </row>
    <row r="5359" spans="1:14" ht="62" outlineLevel="1" x14ac:dyDescent="0.25">
      <c r="A5359" s="1488">
        <f t="shared" si="821"/>
        <v>29</v>
      </c>
      <c r="B5359" s="1492" t="str">
        <f t="shared" si="821"/>
        <v>Work of Renovation &amp; Upgradation of Receipt &amp; Dispatch Yard of Railway Siding of CSTPS by provision of Various Standard Infrastructure facilities at R&amp;D yard in Coal Handling Plant of CSTPS Chandrapur</v>
      </c>
      <c r="C5359" s="1488">
        <f t="shared" si="821"/>
        <v>0</v>
      </c>
      <c r="D5359" s="1413" t="str">
        <f t="shared" si="821"/>
        <v>-</v>
      </c>
      <c r="E5359" s="560">
        <f t="shared" si="821"/>
        <v>7.89</v>
      </c>
      <c r="F5359" s="1508">
        <f t="shared" si="819"/>
        <v>7.89</v>
      </c>
      <c r="G5359" s="1508">
        <f t="shared" si="820"/>
        <v>7.89</v>
      </c>
      <c r="H5359" s="1508">
        <f t="shared" ref="H5359:H5364" si="822">F5359-G5359</f>
        <v>0</v>
      </c>
      <c r="I5359" s="1480">
        <v>0</v>
      </c>
      <c r="J5359" s="1480">
        <v>0</v>
      </c>
      <c r="K5359" s="1508"/>
      <c r="L5359" s="1508"/>
      <c r="M5359" s="1509">
        <f t="shared" ref="M5359:M5364" si="823">SUM(J5359:L5359)</f>
        <v>0</v>
      </c>
      <c r="N5359" s="1508">
        <f t="shared" ref="N5359:N5364" si="824">H5359+I5359-M5359</f>
        <v>0</v>
      </c>
    </row>
    <row r="5360" spans="1:14" ht="46.5" outlineLevel="1" x14ac:dyDescent="0.25">
      <c r="A5360" s="1488">
        <f t="shared" si="821"/>
        <v>30</v>
      </c>
      <c r="B5360" s="1492" t="str">
        <f t="shared" si="821"/>
        <v>Supply, Installation and Commissioning of MV VFD panel along with integrated online cell redundancy technology with VFD bypass feature arrangement for conveyors 103 A &amp; B of CHP-B.</v>
      </c>
      <c r="C5360" s="1488">
        <f t="shared" si="821"/>
        <v>0</v>
      </c>
      <c r="D5360" s="1413" t="str">
        <f t="shared" si="821"/>
        <v>-</v>
      </c>
      <c r="E5360" s="560">
        <f t="shared" si="821"/>
        <v>5.44</v>
      </c>
      <c r="F5360" s="1508">
        <f t="shared" si="819"/>
        <v>5.44</v>
      </c>
      <c r="G5360" s="1508">
        <f t="shared" si="820"/>
        <v>5.44</v>
      </c>
      <c r="H5360" s="1508">
        <f t="shared" si="822"/>
        <v>0</v>
      </c>
      <c r="I5360" s="1480">
        <v>0</v>
      </c>
      <c r="J5360" s="1480">
        <v>0</v>
      </c>
      <c r="K5360" s="1508"/>
      <c r="L5360" s="1508"/>
      <c r="M5360" s="1509">
        <f t="shared" si="823"/>
        <v>0</v>
      </c>
      <c r="N5360" s="1508">
        <f t="shared" si="824"/>
        <v>0</v>
      </c>
    </row>
    <row r="5361" spans="1:14" ht="15.5" outlineLevel="1" x14ac:dyDescent="0.25">
      <c r="A5361" s="1488">
        <f t="shared" si="821"/>
        <v>31</v>
      </c>
      <c r="B5361" s="1492" t="str">
        <f t="shared" si="821"/>
        <v>Replacement of LTSH assemblies in U- 5</v>
      </c>
      <c r="C5361" s="1488">
        <f t="shared" si="821"/>
        <v>0</v>
      </c>
      <c r="D5361" s="1413" t="str">
        <f t="shared" si="821"/>
        <v>-</v>
      </c>
      <c r="E5361" s="560">
        <f t="shared" si="821"/>
        <v>1.3756576</v>
      </c>
      <c r="F5361" s="1508">
        <f t="shared" si="819"/>
        <v>1.3756576</v>
      </c>
      <c r="G5361" s="1508">
        <f t="shared" si="820"/>
        <v>1.3756576</v>
      </c>
      <c r="H5361" s="1508">
        <f t="shared" si="822"/>
        <v>0</v>
      </c>
      <c r="I5361" s="1480">
        <v>0</v>
      </c>
      <c r="J5361" s="1480">
        <v>0</v>
      </c>
      <c r="K5361" s="1508"/>
      <c r="L5361" s="1508"/>
      <c r="M5361" s="1509">
        <f t="shared" si="823"/>
        <v>0</v>
      </c>
      <c r="N5361" s="1508">
        <f t="shared" si="824"/>
        <v>0</v>
      </c>
    </row>
    <row r="5362" spans="1:14" ht="15.5" outlineLevel="1" x14ac:dyDescent="0.25">
      <c r="A5362" s="1488">
        <f t="shared" si="821"/>
        <v>32</v>
      </c>
      <c r="B5362" s="1492" t="str">
        <f t="shared" si="821"/>
        <v>Replacement of complete Z-panels in unit- 5</v>
      </c>
      <c r="C5362" s="1488">
        <f t="shared" si="821"/>
        <v>0</v>
      </c>
      <c r="D5362" s="1413" t="str">
        <f t="shared" si="821"/>
        <v>-</v>
      </c>
      <c r="E5362" s="560">
        <f t="shared" si="821"/>
        <v>0.82545579999999996</v>
      </c>
      <c r="F5362" s="1508">
        <f t="shared" si="819"/>
        <v>0.82545579999999996</v>
      </c>
      <c r="G5362" s="1508">
        <f t="shared" si="820"/>
        <v>0.82545579999999996</v>
      </c>
      <c r="H5362" s="1508">
        <f t="shared" si="822"/>
        <v>0</v>
      </c>
      <c r="I5362" s="1480">
        <v>0</v>
      </c>
      <c r="J5362" s="1480">
        <v>0</v>
      </c>
      <c r="K5362" s="1508"/>
      <c r="L5362" s="1508"/>
      <c r="M5362" s="1509">
        <f t="shared" si="823"/>
        <v>0</v>
      </c>
      <c r="N5362" s="1508">
        <f t="shared" si="824"/>
        <v>0</v>
      </c>
    </row>
    <row r="5363" spans="1:14" ht="31" outlineLevel="1" x14ac:dyDescent="0.25">
      <c r="A5363" s="1488">
        <f t="shared" si="821"/>
        <v>33</v>
      </c>
      <c r="B5363" s="1492" t="str">
        <f t="shared" si="821"/>
        <v>MODIFICATION AND RESTORATION OF APH OUTLET TO ESP INLET DUCTS AT U#3 (210MW)</v>
      </c>
      <c r="C5363" s="1488">
        <f t="shared" si="821"/>
        <v>0</v>
      </c>
      <c r="D5363" s="1413" t="str">
        <f t="shared" si="821"/>
        <v>-</v>
      </c>
      <c r="E5363" s="560">
        <f t="shared" si="821"/>
        <v>10.3</v>
      </c>
      <c r="F5363" s="1508">
        <f t="shared" si="819"/>
        <v>10.3</v>
      </c>
      <c r="G5363" s="1508">
        <f t="shared" si="820"/>
        <v>10.3</v>
      </c>
      <c r="H5363" s="1508">
        <f t="shared" si="822"/>
        <v>0</v>
      </c>
      <c r="I5363" s="1480">
        <v>0</v>
      </c>
      <c r="J5363" s="1480">
        <v>0</v>
      </c>
      <c r="K5363" s="1508"/>
      <c r="L5363" s="1508"/>
      <c r="M5363" s="1509">
        <f t="shared" si="823"/>
        <v>0</v>
      </c>
      <c r="N5363" s="1508">
        <f t="shared" si="824"/>
        <v>0</v>
      </c>
    </row>
    <row r="5364" spans="1:14" ht="62.5" outlineLevel="1" thickBot="1" x14ac:dyDescent="0.3">
      <c r="A5364" s="1488">
        <f t="shared" si="821"/>
        <v>34</v>
      </c>
      <c r="B5364" s="1492" t="str">
        <f t="shared" si="821"/>
        <v xml:space="preserve">Supply, Installation, Testing, Commissioning for complete solution and comprehensive protection and monitoring package along with retrofit of allied accessories for Generator Transformers for 3 X 500 MW Unit#5,6&amp;7 </v>
      </c>
      <c r="C5364" s="1488">
        <f t="shared" si="821"/>
        <v>0</v>
      </c>
      <c r="D5364" s="1413" t="str">
        <f t="shared" si="821"/>
        <v>-</v>
      </c>
      <c r="E5364" s="560">
        <f t="shared" si="821"/>
        <v>5.62</v>
      </c>
      <c r="F5364" s="1508">
        <f t="shared" si="819"/>
        <v>5.62</v>
      </c>
      <c r="G5364" s="1508">
        <f t="shared" si="820"/>
        <v>5.62</v>
      </c>
      <c r="H5364" s="1508">
        <f t="shared" si="822"/>
        <v>0</v>
      </c>
      <c r="I5364" s="1480">
        <v>0</v>
      </c>
      <c r="J5364" s="1480">
        <v>0</v>
      </c>
      <c r="K5364" s="1508"/>
      <c r="L5364" s="1508"/>
      <c r="M5364" s="1509">
        <f t="shared" si="823"/>
        <v>0</v>
      </c>
      <c r="N5364" s="1508">
        <f t="shared" si="824"/>
        <v>0</v>
      </c>
    </row>
    <row r="5365" spans="1:14" ht="15.5" thickBot="1" x14ac:dyDescent="0.3">
      <c r="A5365" s="1428"/>
      <c r="B5365" s="1429" t="str">
        <f>B4695</f>
        <v>Total</v>
      </c>
      <c r="C5365" s="1430"/>
      <c r="D5365" s="1431"/>
      <c r="E5365" s="1507"/>
      <c r="F5365" s="1507">
        <f>SUM(F4700:F5364)</f>
        <v>8695.8685127694152</v>
      </c>
      <c r="G5365" s="1507">
        <f>SUM(G4700:G5364)</f>
        <v>8748.7039358654147</v>
      </c>
      <c r="H5365" s="1507">
        <f>SUM(H4700:H5364)</f>
        <v>-52.835423096</v>
      </c>
      <c r="I5365" s="1507">
        <f t="shared" ref="I5365:K5365" si="825">SUM(I4700:I5364)</f>
        <v>211.02</v>
      </c>
      <c r="J5365" s="1507">
        <f t="shared" si="825"/>
        <v>211.02</v>
      </c>
      <c r="K5365" s="1507">
        <f t="shared" si="825"/>
        <v>0</v>
      </c>
      <c r="L5365" s="1507">
        <f>SUM(L4700:L5364)</f>
        <v>0</v>
      </c>
      <c r="M5365" s="1507">
        <f>SUM(M4700:M5364)</f>
        <v>211.02</v>
      </c>
      <c r="N5365" s="1507">
        <f>SUM(N4700:N5364)</f>
        <v>-52.835423096</v>
      </c>
    </row>
  </sheetData>
  <mergeCells count="11">
    <mergeCell ref="F4:F6"/>
    <mergeCell ref="A4:A6"/>
    <mergeCell ref="B4:B6"/>
    <mergeCell ref="C4:C6"/>
    <mergeCell ref="D4:D6"/>
    <mergeCell ref="E4:E6"/>
    <mergeCell ref="G4:G6"/>
    <mergeCell ref="H4:H6"/>
    <mergeCell ref="I4:I6"/>
    <mergeCell ref="J4:M5"/>
    <mergeCell ref="N4:N6"/>
  </mergeCells>
  <conditionalFormatting sqref="C10:C11 C639:C641 C320:C345">
    <cfRule type="containsText" dxfId="1752" priority="1751" operator="containsText" text="Yet to be approved">
      <formula>NOT(ISERROR(SEARCH("Yet to be approved",C10)))</formula>
    </cfRule>
  </conditionalFormatting>
  <conditionalFormatting sqref="C10:C277">
    <cfRule type="containsText" dxfId="1751" priority="1594" operator="containsText" text="DPR not submitted">
      <formula>NOT(ISERROR(SEARCH("DPR not submitted",C10)))</formula>
    </cfRule>
  </conditionalFormatting>
  <conditionalFormatting sqref="C12:C27">
    <cfRule type="containsText" dxfId="1750" priority="1750" operator="containsText" text="Yet to be approved">
      <formula>NOT(ISERROR(SEARCH("Yet to be approved",C12)))</formula>
    </cfRule>
  </conditionalFormatting>
  <conditionalFormatting sqref="C28">
    <cfRule type="containsText" dxfId="1749" priority="1699" operator="containsText" text="Yet to be approved">
      <formula>NOT(ISERROR(SEARCH("Yet to be approved",C28)))</formula>
    </cfRule>
  </conditionalFormatting>
  <conditionalFormatting sqref="C29:C40">
    <cfRule type="containsText" dxfId="1748" priority="1749" operator="containsText" text="Yet to be approved">
      <formula>NOT(ISERROR(SEARCH("Yet to be approved",C29)))</formula>
    </cfRule>
  </conditionalFormatting>
  <conditionalFormatting sqref="C41">
    <cfRule type="containsText" dxfId="1747" priority="1698" operator="containsText" text="Yet to be approved">
      <formula>NOT(ISERROR(SEARCH("Yet to be approved",C41)))</formula>
    </cfRule>
  </conditionalFormatting>
  <conditionalFormatting sqref="C42:C46">
    <cfRule type="containsText" dxfId="1746" priority="1748" operator="containsText" text="Yet to be approved">
      <formula>NOT(ISERROR(SEARCH("Yet to be approved",C42)))</formula>
    </cfRule>
  </conditionalFormatting>
  <conditionalFormatting sqref="C47">
    <cfRule type="containsText" dxfId="1745" priority="1697" operator="containsText" text="Yet to be approved">
      <formula>NOT(ISERROR(SEARCH("Yet to be approved",C47)))</formula>
    </cfRule>
  </conditionalFormatting>
  <conditionalFormatting sqref="C48">
    <cfRule type="containsText" dxfId="1744" priority="1647" operator="containsText" text="Yet to be approved">
      <formula>NOT(ISERROR(SEARCH("Yet to be approved",C48)))</formula>
    </cfRule>
  </conditionalFormatting>
  <conditionalFormatting sqref="C49">
    <cfRule type="containsText" dxfId="1743" priority="1646" operator="containsText" text="Yet to be approved">
      <formula>NOT(ISERROR(SEARCH("Yet to be approved",C49)))</formula>
    </cfRule>
  </conditionalFormatting>
  <conditionalFormatting sqref="C50">
    <cfRule type="containsText" dxfId="1742" priority="1747" operator="containsText" text="Yet to be approved">
      <formula>NOT(ISERROR(SEARCH("Yet to be approved",C50)))</formula>
    </cfRule>
  </conditionalFormatting>
  <conditionalFormatting sqref="C51">
    <cfRule type="containsText" dxfId="1741" priority="1696" operator="containsText" text="Yet to be approved">
      <formula>NOT(ISERROR(SEARCH("Yet to be approved",C51)))</formula>
    </cfRule>
  </conditionalFormatting>
  <conditionalFormatting sqref="C52">
    <cfRule type="containsText" dxfId="1740" priority="1746" operator="containsText" text="Yet to be approved">
      <formula>NOT(ISERROR(SEARCH("Yet to be approved",C52)))</formula>
    </cfRule>
  </conditionalFormatting>
  <conditionalFormatting sqref="C53">
    <cfRule type="containsText" dxfId="1739" priority="1618" operator="containsText" text="Yet to be approved">
      <formula>NOT(ISERROR(SEARCH("Yet to be approved",C53)))</formula>
    </cfRule>
  </conditionalFormatting>
  <conditionalFormatting sqref="C54">
    <cfRule type="containsText" dxfId="1738" priority="1619" operator="containsText" text="Yet to be approved">
      <formula>NOT(ISERROR(SEARCH("Yet to be approved",C54)))</formula>
    </cfRule>
  </conditionalFormatting>
  <conditionalFormatting sqref="C55">
    <cfRule type="containsText" dxfId="1737" priority="1695" operator="containsText" text="Yet to be approved">
      <formula>NOT(ISERROR(SEARCH("Yet to be approved",C55)))</formula>
    </cfRule>
  </conditionalFormatting>
  <conditionalFormatting sqref="C56:C58">
    <cfRule type="containsText" dxfId="1736" priority="1745" operator="containsText" text="Yet to be approved">
      <formula>NOT(ISERROR(SEARCH("Yet to be approved",C56)))</formula>
    </cfRule>
  </conditionalFormatting>
  <conditionalFormatting sqref="C59">
    <cfRule type="containsText" dxfId="1735" priority="1694" operator="containsText" text="Yet to be approved">
      <formula>NOT(ISERROR(SEARCH("Yet to be approved",C59)))</formula>
    </cfRule>
  </conditionalFormatting>
  <conditionalFormatting sqref="C60:C62">
    <cfRule type="containsText" dxfId="1734" priority="1744" operator="containsText" text="Yet to be approved">
      <formula>NOT(ISERROR(SEARCH("Yet to be approved",C60)))</formula>
    </cfRule>
  </conditionalFormatting>
  <conditionalFormatting sqref="C63">
    <cfRule type="containsText" dxfId="1733" priority="1693" operator="containsText" text="Yet to be approved">
      <formula>NOT(ISERROR(SEARCH("Yet to be approved",C63)))</formula>
    </cfRule>
  </conditionalFormatting>
  <conditionalFormatting sqref="C64:C65">
    <cfRule type="containsText" dxfId="1732" priority="1743" operator="containsText" text="Yet to be approved">
      <formula>NOT(ISERROR(SEARCH("Yet to be approved",C64)))</formula>
    </cfRule>
  </conditionalFormatting>
  <conditionalFormatting sqref="C66">
    <cfRule type="containsText" dxfId="1731" priority="1692" operator="containsText" text="Yet to be approved">
      <formula>NOT(ISERROR(SEARCH("Yet to be approved",C66)))</formula>
    </cfRule>
  </conditionalFormatting>
  <conditionalFormatting sqref="C67:C70">
    <cfRule type="containsText" dxfId="1730" priority="1742" operator="containsText" text="Yet to be approved">
      <formula>NOT(ISERROR(SEARCH("Yet to be approved",C67)))</formula>
    </cfRule>
  </conditionalFormatting>
  <conditionalFormatting sqref="C71">
    <cfRule type="containsText" dxfId="1729" priority="1691" operator="containsText" text="Yet to be approved">
      <formula>NOT(ISERROR(SEARCH("Yet to be approved",C71)))</formula>
    </cfRule>
  </conditionalFormatting>
  <conditionalFormatting sqref="C72:C81">
    <cfRule type="containsText" dxfId="1728" priority="1741" operator="containsText" text="Yet to be approved">
      <formula>NOT(ISERROR(SEARCH("Yet to be approved",C72)))</formula>
    </cfRule>
  </conditionalFormatting>
  <conditionalFormatting sqref="C82">
    <cfRule type="containsText" dxfId="1727" priority="1690" operator="containsText" text="Yet to be approved">
      <formula>NOT(ISERROR(SEARCH("Yet to be approved",C82)))</formula>
    </cfRule>
  </conditionalFormatting>
  <conditionalFormatting sqref="C83 C85">
    <cfRule type="containsText" dxfId="1726" priority="1740" operator="containsText" text="Yet to be approved">
      <formula>NOT(ISERROR(SEARCH("Yet to be approved",C83)))</formula>
    </cfRule>
  </conditionalFormatting>
  <conditionalFormatting sqref="C84">
    <cfRule type="containsText" dxfId="1725" priority="1617" operator="containsText" text="Yet to be approved">
      <formula>NOT(ISERROR(SEARCH("Yet to be approved",C84)))</formula>
    </cfRule>
  </conditionalFormatting>
  <conditionalFormatting sqref="C86">
    <cfRule type="containsText" dxfId="1724" priority="1689" operator="containsText" text="Yet to be approved">
      <formula>NOT(ISERROR(SEARCH("Yet to be approved",C86)))</formula>
    </cfRule>
  </conditionalFormatting>
  <conditionalFormatting sqref="C87:C93">
    <cfRule type="containsText" dxfId="1723" priority="1739" operator="containsText" text="Yet to be approved">
      <formula>NOT(ISERROR(SEARCH("Yet to be approved",C87)))</formula>
    </cfRule>
  </conditionalFormatting>
  <conditionalFormatting sqref="C94">
    <cfRule type="containsText" dxfId="1722" priority="1688" operator="containsText" text="Yet to be approved">
      <formula>NOT(ISERROR(SEARCH("Yet to be approved",C94)))</formula>
    </cfRule>
  </conditionalFormatting>
  <conditionalFormatting sqref="C95:C96">
    <cfRule type="containsText" dxfId="1721" priority="1738" operator="containsText" text="Yet to be approved">
      <formula>NOT(ISERROR(SEARCH("Yet to be approved",C95)))</formula>
    </cfRule>
  </conditionalFormatting>
  <conditionalFormatting sqref="C97">
    <cfRule type="containsText" dxfId="1720" priority="1687" operator="containsText" text="Yet to be approved">
      <formula>NOT(ISERROR(SEARCH("Yet to be approved",C97)))</formula>
    </cfRule>
  </conditionalFormatting>
  <conditionalFormatting sqref="C98:C100">
    <cfRule type="containsText" dxfId="1719" priority="1737" operator="containsText" text="Yet to be approved">
      <formula>NOT(ISERROR(SEARCH("Yet to be approved",C98)))</formula>
    </cfRule>
  </conditionalFormatting>
  <conditionalFormatting sqref="C101">
    <cfRule type="containsText" dxfId="1718" priority="1686" operator="containsText" text="Yet to be approved">
      <formula>NOT(ISERROR(SEARCH("Yet to be approved",C101)))</formula>
    </cfRule>
  </conditionalFormatting>
  <conditionalFormatting sqref="C102:C104">
    <cfRule type="containsText" dxfId="1717" priority="1736" operator="containsText" text="Yet to be approved">
      <formula>NOT(ISERROR(SEARCH("Yet to be approved",C102)))</formula>
    </cfRule>
  </conditionalFormatting>
  <conditionalFormatting sqref="C105">
    <cfRule type="containsText" dxfId="1716" priority="1685" operator="containsText" text="Yet to be approved">
      <formula>NOT(ISERROR(SEARCH("Yet to be approved",C105)))</formula>
    </cfRule>
  </conditionalFormatting>
  <conditionalFormatting sqref="C106">
    <cfRule type="containsText" dxfId="1715" priority="1645" operator="containsText" text="Yet to be approved">
      <formula>NOT(ISERROR(SEARCH("Yet to be approved",C106)))</formula>
    </cfRule>
  </conditionalFormatting>
  <conditionalFormatting sqref="C107">
    <cfRule type="containsText" dxfId="1714" priority="1644" operator="containsText" text="Yet to be approved">
      <formula>NOT(ISERROR(SEARCH("Yet to be approved",C107)))</formula>
    </cfRule>
  </conditionalFormatting>
  <conditionalFormatting sqref="C108">
    <cfRule type="containsText" dxfId="1713" priority="1735" operator="containsText" text="Yet to be approved">
      <formula>NOT(ISERROR(SEARCH("Yet to be approved",C108)))</formula>
    </cfRule>
  </conditionalFormatting>
  <conditionalFormatting sqref="C109">
    <cfRule type="containsText" dxfId="1712" priority="1684" operator="containsText" text="Yet to be approved">
      <formula>NOT(ISERROR(SEARCH("Yet to be approved",C109)))</formula>
    </cfRule>
  </conditionalFormatting>
  <conditionalFormatting sqref="C110:C113">
    <cfRule type="containsText" dxfId="1711" priority="1734" operator="containsText" text="Yet to be approved">
      <formula>NOT(ISERROR(SEARCH("Yet to be approved",C110)))</formula>
    </cfRule>
  </conditionalFormatting>
  <conditionalFormatting sqref="C114">
    <cfRule type="containsText" dxfId="1710" priority="1683" operator="containsText" text="Yet to be approved">
      <formula>NOT(ISERROR(SEARCH("Yet to be approved",C114)))</formula>
    </cfRule>
  </conditionalFormatting>
  <conditionalFormatting sqref="C115:C117">
    <cfRule type="containsText" dxfId="1709" priority="1733" operator="containsText" text="Yet to be approved">
      <formula>NOT(ISERROR(SEARCH("Yet to be approved",C115)))</formula>
    </cfRule>
  </conditionalFormatting>
  <conditionalFormatting sqref="C118">
    <cfRule type="containsText" dxfId="1708" priority="1682" operator="containsText" text="Yet to be approved">
      <formula>NOT(ISERROR(SEARCH("Yet to be approved",C118)))</formula>
    </cfRule>
  </conditionalFormatting>
  <conditionalFormatting sqref="C119:C123">
    <cfRule type="containsText" dxfId="1707" priority="1732" operator="containsText" text="Yet to be approved">
      <formula>NOT(ISERROR(SEARCH("Yet to be approved",C119)))</formula>
    </cfRule>
  </conditionalFormatting>
  <conditionalFormatting sqref="C124">
    <cfRule type="containsText" dxfId="1706" priority="1681" operator="containsText" text="Yet to be approved">
      <formula>NOT(ISERROR(SEARCH("Yet to be approved",C124)))</formula>
    </cfRule>
  </conditionalFormatting>
  <conditionalFormatting sqref="C125:C130">
    <cfRule type="containsText" dxfId="1705" priority="1731" operator="containsText" text="Yet to be approved">
      <formula>NOT(ISERROR(SEARCH("Yet to be approved",C125)))</formula>
    </cfRule>
  </conditionalFormatting>
  <conditionalFormatting sqref="C131">
    <cfRule type="containsText" dxfId="1704" priority="1680" operator="containsText" text="Yet to be approved">
      <formula>NOT(ISERROR(SEARCH("Yet to be approved",C131)))</formula>
    </cfRule>
  </conditionalFormatting>
  <conditionalFormatting sqref="C132 C136 C134">
    <cfRule type="containsText" dxfId="1703" priority="1730" operator="containsText" text="Yet to be approved">
      <formula>NOT(ISERROR(SEARCH("Yet to be approved",C132)))</formula>
    </cfRule>
  </conditionalFormatting>
  <conditionalFormatting sqref="C133">
    <cfRule type="containsText" dxfId="1702" priority="1616" operator="containsText" text="Yet to be approved">
      <formula>NOT(ISERROR(SEARCH("Yet to be approved",C133)))</formula>
    </cfRule>
  </conditionalFormatting>
  <conditionalFormatting sqref="C135">
    <cfRule type="containsText" dxfId="1701" priority="1615" operator="containsText" text="Yet to be approved">
      <formula>NOT(ISERROR(SEARCH("Yet to be approved",C135)))</formula>
    </cfRule>
  </conditionalFormatting>
  <conditionalFormatting sqref="C137">
    <cfRule type="containsText" dxfId="1700" priority="1679" operator="containsText" text="Yet to be approved">
      <formula>NOT(ISERROR(SEARCH("Yet to be approved",C137)))</formula>
    </cfRule>
  </conditionalFormatting>
  <conditionalFormatting sqref="C138:C141">
    <cfRule type="containsText" dxfId="1699" priority="1729" operator="containsText" text="Yet to be approved">
      <formula>NOT(ISERROR(SEARCH("Yet to be approved",C138)))</formula>
    </cfRule>
  </conditionalFormatting>
  <conditionalFormatting sqref="C142">
    <cfRule type="containsText" dxfId="1698" priority="1678" operator="containsText" text="Yet to be approved">
      <formula>NOT(ISERROR(SEARCH("Yet to be approved",C142)))</formula>
    </cfRule>
  </conditionalFormatting>
  <conditionalFormatting sqref="C143:C146">
    <cfRule type="containsText" dxfId="1697" priority="1728" operator="containsText" text="Yet to be approved">
      <formula>NOT(ISERROR(SEARCH("Yet to be approved",C143)))</formula>
    </cfRule>
  </conditionalFormatting>
  <conditionalFormatting sqref="C147">
    <cfRule type="containsText" dxfId="1696" priority="1677" operator="containsText" text="Yet to be approved">
      <formula>NOT(ISERROR(SEARCH("Yet to be approved",C147)))</formula>
    </cfRule>
  </conditionalFormatting>
  <conditionalFormatting sqref="C148">
    <cfRule type="containsText" dxfId="1695" priority="1727" operator="containsText" text="Yet to be approved">
      <formula>NOT(ISERROR(SEARCH("Yet to be approved",C148)))</formula>
    </cfRule>
  </conditionalFormatting>
  <conditionalFormatting sqref="C149">
    <cfRule type="containsText" dxfId="1694" priority="1676" operator="containsText" text="Yet to be approved">
      <formula>NOT(ISERROR(SEARCH("Yet to be approved",C149)))</formula>
    </cfRule>
  </conditionalFormatting>
  <conditionalFormatting sqref="C150">
    <cfRule type="containsText" dxfId="1693" priority="1726" operator="containsText" text="Yet to be approved">
      <formula>NOT(ISERROR(SEARCH("Yet to be approved",C150)))</formula>
    </cfRule>
  </conditionalFormatting>
  <conditionalFormatting sqref="C151">
    <cfRule type="containsText" dxfId="1692" priority="1675" operator="containsText" text="Yet to be approved">
      <formula>NOT(ISERROR(SEARCH("Yet to be approved",C151)))</formula>
    </cfRule>
  </conditionalFormatting>
  <conditionalFormatting sqref="C152:C154">
    <cfRule type="containsText" dxfId="1691" priority="1725" operator="containsText" text="Yet to be approved">
      <formula>NOT(ISERROR(SEARCH("Yet to be approved",C152)))</formula>
    </cfRule>
  </conditionalFormatting>
  <conditionalFormatting sqref="C155">
    <cfRule type="containsText" dxfId="1690" priority="1674" operator="containsText" text="Yet to be approved">
      <formula>NOT(ISERROR(SEARCH("Yet to be approved",C155)))</formula>
    </cfRule>
  </conditionalFormatting>
  <conditionalFormatting sqref="C156 C158:C159">
    <cfRule type="containsText" dxfId="1689" priority="1724" operator="containsText" text="Yet to be approved">
      <formula>NOT(ISERROR(SEARCH("Yet to be approved",C156)))</formula>
    </cfRule>
  </conditionalFormatting>
  <conditionalFormatting sqref="C157">
    <cfRule type="containsText" dxfId="1688" priority="1614" operator="containsText" text="Yet to be approved">
      <formula>NOT(ISERROR(SEARCH("Yet to be approved",C157)))</formula>
    </cfRule>
  </conditionalFormatting>
  <conditionalFormatting sqref="C160">
    <cfRule type="containsText" dxfId="1687" priority="1673" operator="containsText" text="Yet to be approved">
      <formula>NOT(ISERROR(SEARCH("Yet to be approved",C160)))</formula>
    </cfRule>
  </conditionalFormatting>
  <conditionalFormatting sqref="C161:C164">
    <cfRule type="containsText" dxfId="1686" priority="1723" operator="containsText" text="Yet to be approved">
      <formula>NOT(ISERROR(SEARCH("Yet to be approved",C161)))</formula>
    </cfRule>
  </conditionalFormatting>
  <conditionalFormatting sqref="C165">
    <cfRule type="containsText" dxfId="1685" priority="1672" operator="containsText" text="Yet to be approved">
      <formula>NOT(ISERROR(SEARCH("Yet to be approved",C165)))</formula>
    </cfRule>
  </conditionalFormatting>
  <conditionalFormatting sqref="C166:C167 C170">
    <cfRule type="containsText" dxfId="1684" priority="1722" operator="containsText" text="Yet to be approved">
      <formula>NOT(ISERROR(SEARCH("Yet to be approved",C166)))</formula>
    </cfRule>
  </conditionalFormatting>
  <conditionalFormatting sqref="C168">
    <cfRule type="containsText" dxfId="1683" priority="1613" operator="containsText" text="Yet to be approved">
      <formula>NOT(ISERROR(SEARCH("Yet to be approved",C168)))</formula>
    </cfRule>
  </conditionalFormatting>
  <conditionalFormatting sqref="C169">
    <cfRule type="containsText" dxfId="1682" priority="1612" operator="containsText" text="Yet to be approved">
      <formula>NOT(ISERROR(SEARCH("Yet to be approved",C169)))</formula>
    </cfRule>
  </conditionalFormatting>
  <conditionalFormatting sqref="C171">
    <cfRule type="containsText" dxfId="1681" priority="1671" operator="containsText" text="Yet to be approved">
      <formula>NOT(ISERROR(SEARCH("Yet to be approved",C171)))</formula>
    </cfRule>
  </conditionalFormatting>
  <conditionalFormatting sqref="C172">
    <cfRule type="containsText" dxfId="1680" priority="1611" operator="containsText" text="Yet to be approved">
      <formula>NOT(ISERROR(SEARCH("Yet to be approved",C172)))</formula>
    </cfRule>
  </conditionalFormatting>
  <conditionalFormatting sqref="C173">
    <cfRule type="containsText" dxfId="1679" priority="1610" operator="containsText" text="Yet to be approved">
      <formula>NOT(ISERROR(SEARCH("Yet to be approved",C173)))</formula>
    </cfRule>
  </conditionalFormatting>
  <conditionalFormatting sqref="C174">
    <cfRule type="containsText" dxfId="1678" priority="1643" operator="containsText" text="Yet to be approved">
      <formula>NOT(ISERROR(SEARCH("Yet to be approved",C174)))</formula>
    </cfRule>
  </conditionalFormatting>
  <conditionalFormatting sqref="C175">
    <cfRule type="containsText" dxfId="1677" priority="1642" operator="containsText" text="Yet to be approved">
      <formula>NOT(ISERROR(SEARCH("Yet to be approved",C175)))</formula>
    </cfRule>
  </conditionalFormatting>
  <conditionalFormatting sqref="C176">
    <cfRule type="containsText" dxfId="1676" priority="1641" operator="containsText" text="Yet to be approved">
      <formula>NOT(ISERROR(SEARCH("Yet to be approved",C176)))</formula>
    </cfRule>
  </conditionalFormatting>
  <conditionalFormatting sqref="C177">
    <cfRule type="containsText" dxfId="1675" priority="1640" operator="containsText" text="Yet to be approved">
      <formula>NOT(ISERROR(SEARCH("Yet to be approved",C177)))</formula>
    </cfRule>
  </conditionalFormatting>
  <conditionalFormatting sqref="C178">
    <cfRule type="containsText" dxfId="1674" priority="1639" operator="containsText" text="Yet to be approved">
      <formula>NOT(ISERROR(SEARCH("Yet to be approved",C178)))</formula>
    </cfRule>
  </conditionalFormatting>
  <conditionalFormatting sqref="C179">
    <cfRule type="containsText" dxfId="1673" priority="1638" operator="containsText" text="Yet to be approved">
      <formula>NOT(ISERROR(SEARCH("Yet to be approved",C179)))</formula>
    </cfRule>
  </conditionalFormatting>
  <conditionalFormatting sqref="C180">
    <cfRule type="containsText" dxfId="1672" priority="1637" operator="containsText" text="Yet to be approved">
      <formula>NOT(ISERROR(SEARCH("Yet to be approved",C180)))</formula>
    </cfRule>
  </conditionalFormatting>
  <conditionalFormatting sqref="C181">
    <cfRule type="containsText" dxfId="1671" priority="1636" operator="containsText" text="Yet to be approved">
      <formula>NOT(ISERROR(SEARCH("Yet to be approved",C181)))</formula>
    </cfRule>
  </conditionalFormatting>
  <conditionalFormatting sqref="C182">
    <cfRule type="containsText" dxfId="1670" priority="1635" operator="containsText" text="Yet to be approved">
      <formula>NOT(ISERROR(SEARCH("Yet to be approved",C182)))</formula>
    </cfRule>
  </conditionalFormatting>
  <conditionalFormatting sqref="C183">
    <cfRule type="containsText" dxfId="1669" priority="1634" operator="containsText" text="Yet to be approved">
      <formula>NOT(ISERROR(SEARCH("Yet to be approved",C183)))</formula>
    </cfRule>
  </conditionalFormatting>
  <conditionalFormatting sqref="C184">
    <cfRule type="containsText" dxfId="1668" priority="1670" operator="containsText" text="Yet to be approved">
      <formula>NOT(ISERROR(SEARCH("Yet to be approved",C184)))</formula>
    </cfRule>
  </conditionalFormatting>
  <conditionalFormatting sqref="C185">
    <cfRule type="containsText" dxfId="1667" priority="1633" operator="containsText" text="Yet to be approved">
      <formula>NOT(ISERROR(SEARCH("Yet to be approved",C185)))</formula>
    </cfRule>
  </conditionalFormatting>
  <conditionalFormatting sqref="C186">
    <cfRule type="containsText" dxfId="1666" priority="1632" operator="containsText" text="Yet to be approved">
      <formula>NOT(ISERROR(SEARCH("Yet to be approved",C186)))</formula>
    </cfRule>
  </conditionalFormatting>
  <conditionalFormatting sqref="C187">
    <cfRule type="containsText" dxfId="1665" priority="1721" operator="containsText" text="Yet to be approved">
      <formula>NOT(ISERROR(SEARCH("Yet to be approved",C187)))</formula>
    </cfRule>
  </conditionalFormatting>
  <conditionalFormatting sqref="C188">
    <cfRule type="containsText" dxfId="1664" priority="1669" operator="containsText" text="Yet to be approved">
      <formula>NOT(ISERROR(SEARCH("Yet to be approved",C188)))</formula>
    </cfRule>
  </conditionalFormatting>
  <conditionalFormatting sqref="C189">
    <cfRule type="containsText" dxfId="1663" priority="1631" operator="containsText" text="Yet to be approved">
      <formula>NOT(ISERROR(SEARCH("Yet to be approved",C189)))</formula>
    </cfRule>
  </conditionalFormatting>
  <conditionalFormatting sqref="C190">
    <cfRule type="containsText" dxfId="1662" priority="1720" operator="containsText" text="Yet to be approved">
      <formula>NOT(ISERROR(SEARCH("Yet to be approved",C190)))</formula>
    </cfRule>
  </conditionalFormatting>
  <conditionalFormatting sqref="C191">
    <cfRule type="containsText" dxfId="1661" priority="1668" operator="containsText" text="Yet to be approved">
      <formula>NOT(ISERROR(SEARCH("Yet to be approved",C191)))</formula>
    </cfRule>
  </conditionalFormatting>
  <conditionalFormatting sqref="C192">
    <cfRule type="containsText" dxfId="1660" priority="1609" operator="containsText" text="Yet to be approved">
      <formula>NOT(ISERROR(SEARCH("Yet to be approved",C192)))</formula>
    </cfRule>
  </conditionalFormatting>
  <conditionalFormatting sqref="C193">
    <cfRule type="containsText" dxfId="1659" priority="1719" operator="containsText" text="Yet to be approved">
      <formula>NOT(ISERROR(SEARCH("Yet to be approved",C193)))</formula>
    </cfRule>
  </conditionalFormatting>
  <conditionalFormatting sqref="C194">
    <cfRule type="containsText" dxfId="1658" priority="1667" operator="containsText" text="Yet to be approved">
      <formula>NOT(ISERROR(SEARCH("Yet to be approved",C194)))</formula>
    </cfRule>
  </conditionalFormatting>
  <conditionalFormatting sqref="C195">
    <cfRule type="containsText" dxfId="1657" priority="1630" operator="containsText" text="Yet to be approved">
      <formula>NOT(ISERROR(SEARCH("Yet to be approved",C195)))</formula>
    </cfRule>
  </conditionalFormatting>
  <conditionalFormatting sqref="C196">
    <cfRule type="containsText" dxfId="1656" priority="1718" operator="containsText" text="Yet to be approved">
      <formula>NOT(ISERROR(SEARCH("Yet to be approved",C196)))</formula>
    </cfRule>
  </conditionalFormatting>
  <conditionalFormatting sqref="C197">
    <cfRule type="containsText" dxfId="1655" priority="1666" operator="containsText" text="Yet to be approved">
      <formula>NOT(ISERROR(SEARCH("Yet to be approved",C197)))</formula>
    </cfRule>
  </conditionalFormatting>
  <conditionalFormatting sqref="C198">
    <cfRule type="containsText" dxfId="1654" priority="1608" operator="containsText" text="Yet to be approved">
      <formula>NOT(ISERROR(SEARCH("Yet to be approved",C198)))</formula>
    </cfRule>
  </conditionalFormatting>
  <conditionalFormatting sqref="C199">
    <cfRule type="containsText" dxfId="1653" priority="1717" operator="containsText" text="Yet to be approved">
      <formula>NOT(ISERROR(SEARCH("Yet to be approved",C199)))</formula>
    </cfRule>
  </conditionalFormatting>
  <conditionalFormatting sqref="C200">
    <cfRule type="containsText" dxfId="1652" priority="1665" operator="containsText" text="Yet to be approved">
      <formula>NOT(ISERROR(SEARCH("Yet to be approved",C200)))</formula>
    </cfRule>
  </conditionalFormatting>
  <conditionalFormatting sqref="C201">
    <cfRule type="containsText" dxfId="1651" priority="1607" operator="containsText" text="Yet to be approved">
      <formula>NOT(ISERROR(SEARCH("Yet to be approved",C201)))</formula>
    </cfRule>
  </conditionalFormatting>
  <conditionalFormatting sqref="C202">
    <cfRule type="containsText" dxfId="1650" priority="1716" operator="containsText" text="Yet to be approved">
      <formula>NOT(ISERROR(SEARCH("Yet to be approved",C202)))</formula>
    </cfRule>
  </conditionalFormatting>
  <conditionalFormatting sqref="C203:C205">
    <cfRule type="containsText" dxfId="1649" priority="1592" operator="containsText" text="DPR not submitted">
      <formula>NOT(ISERROR(SEARCH("DPR not submitted",C203)))</formula>
    </cfRule>
    <cfRule type="containsText" dxfId="1648" priority="1593" operator="containsText" text="Yet to be approved">
      <formula>NOT(ISERROR(SEARCH("Yet to be approved",C203)))</formula>
    </cfRule>
    <cfRule type="containsText" dxfId="1647" priority="1595" operator="containsText" text="Yet to be approved">
      <formula>NOT(ISERROR(SEARCH("Yet to be approved",C203)))</formula>
    </cfRule>
  </conditionalFormatting>
  <conditionalFormatting sqref="C206">
    <cfRule type="containsText" dxfId="1646" priority="1664" operator="containsText" text="Yet to be approved">
      <formula>NOT(ISERROR(SEARCH("Yet to be approved",C206)))</formula>
    </cfRule>
  </conditionalFormatting>
  <conditionalFormatting sqref="C207">
    <cfRule type="containsText" dxfId="1645" priority="1629" operator="containsText" text="Yet to be approved">
      <formula>NOT(ISERROR(SEARCH("Yet to be approved",C207)))</formula>
    </cfRule>
  </conditionalFormatting>
  <conditionalFormatting sqref="C208">
    <cfRule type="containsText" dxfId="1644" priority="1715" operator="containsText" text="Yet to be approved">
      <formula>NOT(ISERROR(SEARCH("Yet to be approved",C208)))</formula>
    </cfRule>
  </conditionalFormatting>
  <conditionalFormatting sqref="C209">
    <cfRule type="containsText" dxfId="1643" priority="1663" operator="containsText" text="Yet to be approved">
      <formula>NOT(ISERROR(SEARCH("Yet to be approved",C209)))</formula>
    </cfRule>
  </conditionalFormatting>
  <conditionalFormatting sqref="C210">
    <cfRule type="containsText" dxfId="1642" priority="1714" operator="containsText" text="Yet to be approved">
      <formula>NOT(ISERROR(SEARCH("Yet to be approved",C210)))</formula>
    </cfRule>
  </conditionalFormatting>
  <conditionalFormatting sqref="C211">
    <cfRule type="containsText" dxfId="1641" priority="1662" operator="containsText" text="Yet to be approved">
      <formula>NOT(ISERROR(SEARCH("Yet to be approved",C211)))</formula>
    </cfRule>
  </conditionalFormatting>
  <conditionalFormatting sqref="C212">
    <cfRule type="containsText" dxfId="1640" priority="1713" operator="containsText" text="Yet to be approved">
      <formula>NOT(ISERROR(SEARCH("Yet to be approved",C212)))</formula>
    </cfRule>
  </conditionalFormatting>
  <conditionalFormatting sqref="C213">
    <cfRule type="containsText" dxfId="1639" priority="1712" operator="containsText" text="Yet to be approved">
      <formula>NOT(ISERROR(SEARCH("Yet to be approved",C213)))</formula>
    </cfRule>
  </conditionalFormatting>
  <conditionalFormatting sqref="C214">
    <cfRule type="containsText" dxfId="1638" priority="1661" operator="containsText" text="Yet to be approved">
      <formula>NOT(ISERROR(SEARCH("Yet to be approved",C214)))</formula>
    </cfRule>
  </conditionalFormatting>
  <conditionalFormatting sqref="C215:C216">
    <cfRule type="containsText" dxfId="1637" priority="1711" operator="containsText" text="Yet to be approved">
      <formula>NOT(ISERROR(SEARCH("Yet to be approved",C215)))</formula>
    </cfRule>
  </conditionalFormatting>
  <conditionalFormatting sqref="C217">
    <cfRule type="containsText" dxfId="1636" priority="1660" operator="containsText" text="Yet to be approved">
      <formula>NOT(ISERROR(SEARCH("Yet to be approved",C217)))</formula>
    </cfRule>
  </conditionalFormatting>
  <conditionalFormatting sqref="C218">
    <cfRule type="containsText" dxfId="1635" priority="1710" operator="containsText" text="Yet to be approved">
      <formula>NOT(ISERROR(SEARCH("Yet to be approved",C218)))</formula>
    </cfRule>
  </conditionalFormatting>
  <conditionalFormatting sqref="C219">
    <cfRule type="containsText" dxfId="1634" priority="1659" operator="containsText" text="Yet to be approved">
      <formula>NOT(ISERROR(SEARCH("Yet to be approved",C219)))</formula>
    </cfRule>
  </conditionalFormatting>
  <conditionalFormatting sqref="C220">
    <cfRule type="containsText" dxfId="1633" priority="1709" operator="containsText" text="Yet to be approved">
      <formula>NOT(ISERROR(SEARCH("Yet to be approved",C220)))</formula>
    </cfRule>
  </conditionalFormatting>
  <conditionalFormatting sqref="C221">
    <cfRule type="containsText" dxfId="1632" priority="1658" operator="containsText" text="Yet to be approved">
      <formula>NOT(ISERROR(SEARCH("Yet to be approved",C221)))</formula>
    </cfRule>
  </conditionalFormatting>
  <conditionalFormatting sqref="C222:C224">
    <cfRule type="containsText" dxfId="1631" priority="1708" operator="containsText" text="Yet to be approved">
      <formula>NOT(ISERROR(SEARCH("Yet to be approved",C222)))</formula>
    </cfRule>
  </conditionalFormatting>
  <conditionalFormatting sqref="C225">
    <cfRule type="containsText" dxfId="1630" priority="1657" operator="containsText" text="Yet to be approved">
      <formula>NOT(ISERROR(SEARCH("Yet to be approved",C225)))</formula>
    </cfRule>
  </conditionalFormatting>
  <conditionalFormatting sqref="C226">
    <cfRule type="containsText" dxfId="1629" priority="1606" operator="containsText" text="Yet to be approved">
      <formula>NOT(ISERROR(SEARCH("Yet to be approved",C226)))</formula>
    </cfRule>
  </conditionalFormatting>
  <conditionalFormatting sqref="C227">
    <cfRule type="containsText" dxfId="1628" priority="1656" operator="containsText" text="Yet to be approved">
      <formula>NOT(ISERROR(SEARCH("Yet to be approved",C227)))</formula>
    </cfRule>
  </conditionalFormatting>
  <conditionalFormatting sqref="C228:C230">
    <cfRule type="containsText" dxfId="1627" priority="1707" operator="containsText" text="Yet to be approved">
      <formula>NOT(ISERROR(SEARCH("Yet to be approved",C228)))</formula>
    </cfRule>
  </conditionalFormatting>
  <conditionalFormatting sqref="C231">
    <cfRule type="containsText" dxfId="1626" priority="1655" operator="containsText" text="Yet to be approved">
      <formula>NOT(ISERROR(SEARCH("Yet to be approved",C231)))</formula>
    </cfRule>
  </conditionalFormatting>
  <conditionalFormatting sqref="C232">
    <cfRule type="containsText" dxfId="1625" priority="1605" operator="containsText" text="Yet to be approved">
      <formula>NOT(ISERROR(SEARCH("Yet to be approved",C232)))</formula>
    </cfRule>
  </conditionalFormatting>
  <conditionalFormatting sqref="C233">
    <cfRule type="containsText" dxfId="1624" priority="1604" operator="containsText" text="Yet to be approved">
      <formula>NOT(ISERROR(SEARCH("Yet to be approved",C233)))</formula>
    </cfRule>
  </conditionalFormatting>
  <conditionalFormatting sqref="C234">
    <cfRule type="containsText" dxfId="1623" priority="1706" operator="containsText" text="Yet to be approved">
      <formula>NOT(ISERROR(SEARCH("Yet to be approved",C234)))</formula>
    </cfRule>
  </conditionalFormatting>
  <conditionalFormatting sqref="C235">
    <cfRule type="containsText" dxfId="1622" priority="1654" operator="containsText" text="Yet to be approved">
      <formula>NOT(ISERROR(SEARCH("Yet to be approved",C235)))</formula>
    </cfRule>
  </conditionalFormatting>
  <conditionalFormatting sqref="C236">
    <cfRule type="containsText" dxfId="1621" priority="1628" operator="containsText" text="Yet to be approved">
      <formula>NOT(ISERROR(SEARCH("Yet to be approved",C236)))</formula>
    </cfRule>
  </conditionalFormatting>
  <conditionalFormatting sqref="C237">
    <cfRule type="containsText" dxfId="1620" priority="1627" operator="containsText" text="Yet to be approved">
      <formula>NOT(ISERROR(SEARCH("Yet to be approved",C237)))</formula>
    </cfRule>
  </conditionalFormatting>
  <conditionalFormatting sqref="C238">
    <cfRule type="containsText" dxfId="1619" priority="1705" operator="containsText" text="Yet to be approved">
      <formula>NOT(ISERROR(SEARCH("Yet to be approved",C238)))</formula>
    </cfRule>
  </conditionalFormatting>
  <conditionalFormatting sqref="C239">
    <cfRule type="containsText" dxfId="1618" priority="1653" operator="containsText" text="Yet to be approved">
      <formula>NOT(ISERROR(SEARCH("Yet to be approved",C239)))</formula>
    </cfRule>
  </conditionalFormatting>
  <conditionalFormatting sqref="C240">
    <cfRule type="containsText" dxfId="1617" priority="1626" operator="containsText" text="Yet to be approved">
      <formula>NOT(ISERROR(SEARCH("Yet to be approved",C240)))</formula>
    </cfRule>
  </conditionalFormatting>
  <conditionalFormatting sqref="C241">
    <cfRule type="containsText" dxfId="1616" priority="1625" operator="containsText" text="Yet to be approved">
      <formula>NOT(ISERROR(SEARCH("Yet to be approved",C241)))</formula>
    </cfRule>
  </conditionalFormatting>
  <conditionalFormatting sqref="C242">
    <cfRule type="containsText" dxfId="1615" priority="1624" operator="containsText" text="Yet to be approved">
      <formula>NOT(ISERROR(SEARCH("Yet to be approved",C242)))</formula>
    </cfRule>
  </conditionalFormatting>
  <conditionalFormatting sqref="C243">
    <cfRule type="containsText" dxfId="1614" priority="1704" operator="containsText" text="Yet to be approved">
      <formula>NOT(ISERROR(SEARCH("Yet to be approved",C243)))</formula>
    </cfRule>
  </conditionalFormatting>
  <conditionalFormatting sqref="C244">
    <cfRule type="containsText" dxfId="1613" priority="1652" operator="containsText" text="Yet to be approved">
      <formula>NOT(ISERROR(SEARCH("Yet to be approved",C244)))</formula>
    </cfRule>
  </conditionalFormatting>
  <conditionalFormatting sqref="C245">
    <cfRule type="containsText" dxfId="1612" priority="1623" operator="containsText" text="Yet to be approved">
      <formula>NOT(ISERROR(SEARCH("Yet to be approved",C245)))</formula>
    </cfRule>
  </conditionalFormatting>
  <conditionalFormatting sqref="C246">
    <cfRule type="containsText" dxfId="1611" priority="1703" operator="containsText" text="Yet to be approved">
      <formula>NOT(ISERROR(SEARCH("Yet to be approved",C246)))</formula>
    </cfRule>
  </conditionalFormatting>
  <conditionalFormatting sqref="C247">
    <cfRule type="containsText" dxfId="1610" priority="1603" operator="containsText" text="Yet to be approved">
      <formula>NOT(ISERROR(SEARCH("Yet to be approved",C247)))</formula>
    </cfRule>
  </conditionalFormatting>
  <conditionalFormatting sqref="C248">
    <cfRule type="containsText" dxfId="1609" priority="1602" operator="containsText" text="Yet to be approved">
      <formula>NOT(ISERROR(SEARCH("Yet to be approved",C248)))</formula>
    </cfRule>
  </conditionalFormatting>
  <conditionalFormatting sqref="C249">
    <cfRule type="containsText" dxfId="1608" priority="1601" operator="containsText" text="Yet to be approved">
      <formula>NOT(ISERROR(SEARCH("Yet to be approved",C249)))</formula>
    </cfRule>
  </conditionalFormatting>
  <conditionalFormatting sqref="C250">
    <cfRule type="containsText" dxfId="1607" priority="1651" operator="containsText" text="Yet to be approved">
      <formula>NOT(ISERROR(SEARCH("Yet to be approved",C250)))</formula>
    </cfRule>
  </conditionalFormatting>
  <conditionalFormatting sqref="C251">
    <cfRule type="containsText" dxfId="1606" priority="1622" operator="containsText" text="Yet to be approved">
      <formula>NOT(ISERROR(SEARCH("Yet to be approved",C251)))</formula>
    </cfRule>
  </conditionalFormatting>
  <conditionalFormatting sqref="C252">
    <cfRule type="containsText" dxfId="1605" priority="1702" operator="containsText" text="Yet to be approved">
      <formula>NOT(ISERROR(SEARCH("Yet to be approved",C252)))</formula>
    </cfRule>
  </conditionalFormatting>
  <conditionalFormatting sqref="C253">
    <cfRule type="containsText" dxfId="1604" priority="1650" operator="containsText" text="Yet to be approved">
      <formula>NOT(ISERROR(SEARCH("Yet to be approved",C253)))</formula>
    </cfRule>
  </conditionalFormatting>
  <conditionalFormatting sqref="C254">
    <cfRule type="containsText" dxfId="1603" priority="1621" operator="containsText" text="Yet to be approved">
      <formula>NOT(ISERROR(SEARCH("Yet to be approved",C254)))</formula>
    </cfRule>
  </conditionalFormatting>
  <conditionalFormatting sqref="C255:C257">
    <cfRule type="containsText" dxfId="1602" priority="1620" operator="containsText" text="Yet to be approved">
      <formula>NOT(ISERROR(SEARCH("Yet to be approved",C255)))</formula>
    </cfRule>
  </conditionalFormatting>
  <conditionalFormatting sqref="C258">
    <cfRule type="containsText" dxfId="1601" priority="1700" operator="containsText" text="Yet to be approved">
      <formula>NOT(ISERROR(SEARCH("Yet to be approved",C258)))</formula>
    </cfRule>
  </conditionalFormatting>
  <conditionalFormatting sqref="C259">
    <cfRule type="containsText" dxfId="1600" priority="1648" operator="containsText" text="Yet to be approved">
      <formula>NOT(ISERROR(SEARCH("Yet to be approved",C259)))</formula>
    </cfRule>
  </conditionalFormatting>
  <conditionalFormatting sqref="C260:C261 C263:C271">
    <cfRule type="containsText" dxfId="1599" priority="1649" operator="containsText" text="Yet to be approved">
      <formula>NOT(ISERROR(SEARCH("Yet to be approved",C260)))</formula>
    </cfRule>
  </conditionalFormatting>
  <conditionalFormatting sqref="C262">
    <cfRule type="containsText" dxfId="1598" priority="1600" operator="containsText" text="Yet to be approved">
      <formula>NOT(ISERROR(SEARCH("Yet to be approved",C262)))</formula>
    </cfRule>
  </conditionalFormatting>
  <conditionalFormatting sqref="C272">
    <cfRule type="containsText" dxfId="1597" priority="1599" operator="containsText" text="Yet to be approved">
      <formula>NOT(ISERROR(SEARCH("Yet to be approved",C272)))</formula>
    </cfRule>
  </conditionalFormatting>
  <conditionalFormatting sqref="C273:C274">
    <cfRule type="containsText" dxfId="1596" priority="1598" operator="containsText" text="Yet to be approved">
      <formula>NOT(ISERROR(SEARCH("Yet to be approved",C273)))</formula>
    </cfRule>
  </conditionalFormatting>
  <conditionalFormatting sqref="C275">
    <cfRule type="containsText" dxfId="1595" priority="1597" operator="containsText" text="Yet to be approved">
      <formula>NOT(ISERROR(SEARCH("Yet to be approved",C275)))</formula>
    </cfRule>
  </conditionalFormatting>
  <conditionalFormatting sqref="C276:C277 C310:C311">
    <cfRule type="containsText" dxfId="1594" priority="1596" operator="containsText" text="Yet to be approved">
      <formula>NOT(ISERROR(SEARCH("Yet to be approved",C276)))</formula>
    </cfRule>
  </conditionalFormatting>
  <conditionalFormatting sqref="C278">
    <cfRule type="containsText" dxfId="1593" priority="1588" operator="containsText" text="Yet to be approved">
      <formula>NOT(ISERROR(SEARCH("Yet to be approved",C278)))</formula>
    </cfRule>
  </conditionalFormatting>
  <conditionalFormatting sqref="C278:C312">
    <cfRule type="containsText" dxfId="1592" priority="1583" operator="containsText" text="DPR not submitted">
      <formula>NOT(ISERROR(SEARCH("DPR not submitted",C278)))</formula>
    </cfRule>
  </conditionalFormatting>
  <conditionalFormatting sqref="C279:C280">
    <cfRule type="containsText" dxfId="1591" priority="1590" operator="containsText" text="Yet to be approved">
      <formula>NOT(ISERROR(SEARCH("Yet to be approved",C279)))</formula>
    </cfRule>
  </conditionalFormatting>
  <conditionalFormatting sqref="C281">
    <cfRule type="containsText" dxfId="1590" priority="1587" operator="containsText" text="Yet to be approved">
      <formula>NOT(ISERROR(SEARCH("Yet to be approved",C281)))</formula>
    </cfRule>
  </conditionalFormatting>
  <conditionalFormatting sqref="C282:C287">
    <cfRule type="containsText" dxfId="1589" priority="1591" operator="containsText" text="Yet to be approved">
      <formula>NOT(ISERROR(SEARCH("Yet to be approved",C282)))</formula>
    </cfRule>
  </conditionalFormatting>
  <conditionalFormatting sqref="C288">
    <cfRule type="containsText" dxfId="1588" priority="1586" operator="containsText" text="Yet to be approved">
      <formula>NOT(ISERROR(SEARCH("Yet to be approved",C288)))</formula>
    </cfRule>
  </conditionalFormatting>
  <conditionalFormatting sqref="C289:C290">
    <cfRule type="containsText" dxfId="1587" priority="1589" operator="containsText" text="Yet to be approved">
      <formula>NOT(ISERROR(SEARCH("Yet to be approved",C289)))</formula>
    </cfRule>
  </conditionalFormatting>
  <conditionalFormatting sqref="C291:C299">
    <cfRule type="containsText" dxfId="1586" priority="1585" operator="containsText" text="Yet to be approved">
      <formula>NOT(ISERROR(SEARCH("Yet to be approved",C291)))</formula>
    </cfRule>
  </conditionalFormatting>
  <conditionalFormatting sqref="C300:C309">
    <cfRule type="containsText" dxfId="1585" priority="1584" operator="containsText" text="Yet to be approved">
      <formula>NOT(ISERROR(SEARCH("Yet to be approved",C300)))</formula>
    </cfRule>
  </conditionalFormatting>
  <conditionalFormatting sqref="C312 C346">
    <cfRule type="containsText" dxfId="1584" priority="1701" operator="containsText" text="Yet to be approved">
      <formula>NOT(ISERROR(SEARCH("Yet to be approved",C312)))</formula>
    </cfRule>
  </conditionalFormatting>
  <conditionalFormatting sqref="C314">
    <cfRule type="containsText" dxfId="1583" priority="1582" operator="containsText" text="Yet to be approved">
      <formula>NOT(ISERROR(SEARCH("Yet to be approved",C314)))</formula>
    </cfRule>
  </conditionalFormatting>
  <conditionalFormatting sqref="C314:C346">
    <cfRule type="containsText" dxfId="1582" priority="1580" operator="containsText" text="DPR not submitted">
      <formula>NOT(ISERROR(SEARCH("DPR not submitted",C314)))</formula>
    </cfRule>
  </conditionalFormatting>
  <conditionalFormatting sqref="C315:C319">
    <cfRule type="containsText" dxfId="1581" priority="1581" operator="containsText" text="Yet to be approved">
      <formula>NOT(ISERROR(SEARCH("Yet to be approved",C315)))</formula>
    </cfRule>
  </conditionalFormatting>
  <conditionalFormatting sqref="C366:C396 C398:C637">
    <cfRule type="containsText" dxfId="1580" priority="1578" operator="containsText" text="DPR not submitted">
      <formula>NOT(ISERROR(SEARCH("DPR not submitted",C366)))</formula>
    </cfRule>
    <cfRule type="containsText" dxfId="1579" priority="1579" operator="containsText" text="Yet to be approved">
      <formula>NOT(ISERROR(SEARCH("Yet to be approved",C366)))</formula>
    </cfRule>
  </conditionalFormatting>
  <conditionalFormatting sqref="C639:C674">
    <cfRule type="containsText" dxfId="1578" priority="1576" operator="containsText" text="DPR not submitted">
      <formula>NOT(ISERROR(SEARCH("DPR not submitted",C639)))</formula>
    </cfRule>
  </conditionalFormatting>
  <conditionalFormatting sqref="C642:C674">
    <cfRule type="containsText" dxfId="1577" priority="1577" operator="containsText" text="Yet to be approved">
      <formula>NOT(ISERROR(SEARCH("Yet to be approved",C642)))</formula>
    </cfRule>
  </conditionalFormatting>
  <conditionalFormatting sqref="C680:C681 C1309:C1311 C990:C1015">
    <cfRule type="containsText" dxfId="1576" priority="1573" operator="containsText" text="Yet to be approved">
      <formula>NOT(ISERROR(SEARCH("Yet to be approved",C680)))</formula>
    </cfRule>
  </conditionalFormatting>
  <conditionalFormatting sqref="C680:C947">
    <cfRule type="containsText" dxfId="1575" priority="1416" operator="containsText" text="DPR not submitted">
      <formula>NOT(ISERROR(SEARCH("DPR not submitted",C680)))</formula>
    </cfRule>
  </conditionalFormatting>
  <conditionalFormatting sqref="C682:C697">
    <cfRule type="containsText" dxfId="1574" priority="1572" operator="containsText" text="Yet to be approved">
      <formula>NOT(ISERROR(SEARCH("Yet to be approved",C682)))</formula>
    </cfRule>
  </conditionalFormatting>
  <conditionalFormatting sqref="C698">
    <cfRule type="containsText" dxfId="1573" priority="1521" operator="containsText" text="Yet to be approved">
      <formula>NOT(ISERROR(SEARCH("Yet to be approved",C698)))</formula>
    </cfRule>
  </conditionalFormatting>
  <conditionalFormatting sqref="C699:C710">
    <cfRule type="containsText" dxfId="1572" priority="1571" operator="containsText" text="Yet to be approved">
      <formula>NOT(ISERROR(SEARCH("Yet to be approved",C699)))</formula>
    </cfRule>
  </conditionalFormatting>
  <conditionalFormatting sqref="C711">
    <cfRule type="containsText" dxfId="1571" priority="1520" operator="containsText" text="Yet to be approved">
      <formula>NOT(ISERROR(SEARCH("Yet to be approved",C711)))</formula>
    </cfRule>
  </conditionalFormatting>
  <conditionalFormatting sqref="C712:C716">
    <cfRule type="containsText" dxfId="1570" priority="1570" operator="containsText" text="Yet to be approved">
      <formula>NOT(ISERROR(SEARCH("Yet to be approved",C712)))</formula>
    </cfRule>
  </conditionalFormatting>
  <conditionalFormatting sqref="C717">
    <cfRule type="containsText" dxfId="1569" priority="1519" operator="containsText" text="Yet to be approved">
      <formula>NOT(ISERROR(SEARCH("Yet to be approved",C717)))</formula>
    </cfRule>
  </conditionalFormatting>
  <conditionalFormatting sqref="C718">
    <cfRule type="containsText" dxfId="1568" priority="1469" operator="containsText" text="Yet to be approved">
      <formula>NOT(ISERROR(SEARCH("Yet to be approved",C718)))</formula>
    </cfRule>
  </conditionalFormatting>
  <conditionalFormatting sqref="C719">
    <cfRule type="containsText" dxfId="1567" priority="1468" operator="containsText" text="Yet to be approved">
      <formula>NOT(ISERROR(SEARCH("Yet to be approved",C719)))</formula>
    </cfRule>
  </conditionalFormatting>
  <conditionalFormatting sqref="C720">
    <cfRule type="containsText" dxfId="1566" priority="1569" operator="containsText" text="Yet to be approved">
      <formula>NOT(ISERROR(SEARCH("Yet to be approved",C720)))</formula>
    </cfRule>
  </conditionalFormatting>
  <conditionalFormatting sqref="C721">
    <cfRule type="containsText" dxfId="1565" priority="1518" operator="containsText" text="Yet to be approved">
      <formula>NOT(ISERROR(SEARCH("Yet to be approved",C721)))</formula>
    </cfRule>
  </conditionalFormatting>
  <conditionalFormatting sqref="C722">
    <cfRule type="containsText" dxfId="1564" priority="1568" operator="containsText" text="Yet to be approved">
      <formula>NOT(ISERROR(SEARCH("Yet to be approved",C722)))</formula>
    </cfRule>
  </conditionalFormatting>
  <conditionalFormatting sqref="C723">
    <cfRule type="containsText" dxfId="1563" priority="1440" operator="containsText" text="Yet to be approved">
      <formula>NOT(ISERROR(SEARCH("Yet to be approved",C723)))</formula>
    </cfRule>
  </conditionalFormatting>
  <conditionalFormatting sqref="C724">
    <cfRule type="containsText" dxfId="1562" priority="1441" operator="containsText" text="Yet to be approved">
      <formula>NOT(ISERROR(SEARCH("Yet to be approved",C724)))</formula>
    </cfRule>
  </conditionalFormatting>
  <conditionalFormatting sqref="C725">
    <cfRule type="containsText" dxfId="1561" priority="1517" operator="containsText" text="Yet to be approved">
      <formula>NOT(ISERROR(SEARCH("Yet to be approved",C725)))</formula>
    </cfRule>
  </conditionalFormatting>
  <conditionalFormatting sqref="C726:C728">
    <cfRule type="containsText" dxfId="1560" priority="1567" operator="containsText" text="Yet to be approved">
      <formula>NOT(ISERROR(SEARCH("Yet to be approved",C726)))</formula>
    </cfRule>
  </conditionalFormatting>
  <conditionalFormatting sqref="C729">
    <cfRule type="containsText" dxfId="1559" priority="1516" operator="containsText" text="Yet to be approved">
      <formula>NOT(ISERROR(SEARCH("Yet to be approved",C729)))</formula>
    </cfRule>
  </conditionalFormatting>
  <conditionalFormatting sqref="C730:C732">
    <cfRule type="containsText" dxfId="1558" priority="1566" operator="containsText" text="Yet to be approved">
      <formula>NOT(ISERROR(SEARCH("Yet to be approved",C730)))</formula>
    </cfRule>
  </conditionalFormatting>
  <conditionalFormatting sqref="C733">
    <cfRule type="containsText" dxfId="1557" priority="1515" operator="containsText" text="Yet to be approved">
      <formula>NOT(ISERROR(SEARCH("Yet to be approved",C733)))</formula>
    </cfRule>
  </conditionalFormatting>
  <conditionalFormatting sqref="C734:C735">
    <cfRule type="containsText" dxfId="1556" priority="1565" operator="containsText" text="Yet to be approved">
      <formula>NOT(ISERROR(SEARCH("Yet to be approved",C734)))</formula>
    </cfRule>
  </conditionalFormatting>
  <conditionalFormatting sqref="C736">
    <cfRule type="containsText" dxfId="1555" priority="1514" operator="containsText" text="Yet to be approved">
      <formula>NOT(ISERROR(SEARCH("Yet to be approved",C736)))</formula>
    </cfRule>
  </conditionalFormatting>
  <conditionalFormatting sqref="C737:C740">
    <cfRule type="containsText" dxfId="1554" priority="1564" operator="containsText" text="Yet to be approved">
      <formula>NOT(ISERROR(SEARCH("Yet to be approved",C737)))</formula>
    </cfRule>
  </conditionalFormatting>
  <conditionalFormatting sqref="C741">
    <cfRule type="containsText" dxfId="1553" priority="1513" operator="containsText" text="Yet to be approved">
      <formula>NOT(ISERROR(SEARCH("Yet to be approved",C741)))</formula>
    </cfRule>
  </conditionalFormatting>
  <conditionalFormatting sqref="C742:C751">
    <cfRule type="containsText" dxfId="1552" priority="1563" operator="containsText" text="Yet to be approved">
      <formula>NOT(ISERROR(SEARCH("Yet to be approved",C742)))</formula>
    </cfRule>
  </conditionalFormatting>
  <conditionalFormatting sqref="C752">
    <cfRule type="containsText" dxfId="1551" priority="1512" operator="containsText" text="Yet to be approved">
      <formula>NOT(ISERROR(SEARCH("Yet to be approved",C752)))</formula>
    </cfRule>
  </conditionalFormatting>
  <conditionalFormatting sqref="C753 C755">
    <cfRule type="containsText" dxfId="1550" priority="1562" operator="containsText" text="Yet to be approved">
      <formula>NOT(ISERROR(SEARCH("Yet to be approved",C753)))</formula>
    </cfRule>
  </conditionalFormatting>
  <conditionalFormatting sqref="C754">
    <cfRule type="containsText" dxfId="1549" priority="1439" operator="containsText" text="Yet to be approved">
      <formula>NOT(ISERROR(SEARCH("Yet to be approved",C754)))</formula>
    </cfRule>
  </conditionalFormatting>
  <conditionalFormatting sqref="C756">
    <cfRule type="containsText" dxfId="1548" priority="1511" operator="containsText" text="Yet to be approved">
      <formula>NOT(ISERROR(SEARCH("Yet to be approved",C756)))</formula>
    </cfRule>
  </conditionalFormatting>
  <conditionalFormatting sqref="C757:C763">
    <cfRule type="containsText" dxfId="1547" priority="1561" operator="containsText" text="Yet to be approved">
      <formula>NOT(ISERROR(SEARCH("Yet to be approved",C757)))</formula>
    </cfRule>
  </conditionalFormatting>
  <conditionalFormatting sqref="C764">
    <cfRule type="containsText" dxfId="1546" priority="1510" operator="containsText" text="Yet to be approved">
      <formula>NOT(ISERROR(SEARCH("Yet to be approved",C764)))</formula>
    </cfRule>
  </conditionalFormatting>
  <conditionalFormatting sqref="C765:C766">
    <cfRule type="containsText" dxfId="1545" priority="1560" operator="containsText" text="Yet to be approved">
      <formula>NOT(ISERROR(SEARCH("Yet to be approved",C765)))</formula>
    </cfRule>
  </conditionalFormatting>
  <conditionalFormatting sqref="C767">
    <cfRule type="containsText" dxfId="1544" priority="1509" operator="containsText" text="Yet to be approved">
      <formula>NOT(ISERROR(SEARCH("Yet to be approved",C767)))</formula>
    </cfRule>
  </conditionalFormatting>
  <conditionalFormatting sqref="C768:C770">
    <cfRule type="containsText" dxfId="1543" priority="1559" operator="containsText" text="Yet to be approved">
      <formula>NOT(ISERROR(SEARCH("Yet to be approved",C768)))</formula>
    </cfRule>
  </conditionalFormatting>
  <conditionalFormatting sqref="C771">
    <cfRule type="containsText" dxfId="1542" priority="1508" operator="containsText" text="Yet to be approved">
      <formula>NOT(ISERROR(SEARCH("Yet to be approved",C771)))</formula>
    </cfRule>
  </conditionalFormatting>
  <conditionalFormatting sqref="C772:C774">
    <cfRule type="containsText" dxfId="1541" priority="1558" operator="containsText" text="Yet to be approved">
      <formula>NOT(ISERROR(SEARCH("Yet to be approved",C772)))</formula>
    </cfRule>
  </conditionalFormatting>
  <conditionalFormatting sqref="C775">
    <cfRule type="containsText" dxfId="1540" priority="1507" operator="containsText" text="Yet to be approved">
      <formula>NOT(ISERROR(SEARCH("Yet to be approved",C775)))</formula>
    </cfRule>
  </conditionalFormatting>
  <conditionalFormatting sqref="C776">
    <cfRule type="containsText" dxfId="1539" priority="1467" operator="containsText" text="Yet to be approved">
      <formula>NOT(ISERROR(SEARCH("Yet to be approved",C776)))</formula>
    </cfRule>
  </conditionalFormatting>
  <conditionalFormatting sqref="C777">
    <cfRule type="containsText" dxfId="1538" priority="1466" operator="containsText" text="Yet to be approved">
      <formula>NOT(ISERROR(SEARCH("Yet to be approved",C777)))</formula>
    </cfRule>
  </conditionalFormatting>
  <conditionalFormatting sqref="C778">
    <cfRule type="containsText" dxfId="1537" priority="1557" operator="containsText" text="Yet to be approved">
      <formula>NOT(ISERROR(SEARCH("Yet to be approved",C778)))</formula>
    </cfRule>
  </conditionalFormatting>
  <conditionalFormatting sqref="C779">
    <cfRule type="containsText" dxfId="1536" priority="1506" operator="containsText" text="Yet to be approved">
      <formula>NOT(ISERROR(SEARCH("Yet to be approved",C779)))</formula>
    </cfRule>
  </conditionalFormatting>
  <conditionalFormatting sqref="C780:C783">
    <cfRule type="containsText" dxfId="1535" priority="1556" operator="containsText" text="Yet to be approved">
      <formula>NOT(ISERROR(SEARCH("Yet to be approved",C780)))</formula>
    </cfRule>
  </conditionalFormatting>
  <conditionalFormatting sqref="C784">
    <cfRule type="containsText" dxfId="1534" priority="1505" operator="containsText" text="Yet to be approved">
      <formula>NOT(ISERROR(SEARCH("Yet to be approved",C784)))</formula>
    </cfRule>
  </conditionalFormatting>
  <conditionalFormatting sqref="C785:C787">
    <cfRule type="containsText" dxfId="1533" priority="1555" operator="containsText" text="Yet to be approved">
      <formula>NOT(ISERROR(SEARCH("Yet to be approved",C785)))</formula>
    </cfRule>
  </conditionalFormatting>
  <conditionalFormatting sqref="C788">
    <cfRule type="containsText" dxfId="1532" priority="1504" operator="containsText" text="Yet to be approved">
      <formula>NOT(ISERROR(SEARCH("Yet to be approved",C788)))</formula>
    </cfRule>
  </conditionalFormatting>
  <conditionalFormatting sqref="C789:C793">
    <cfRule type="containsText" dxfId="1531" priority="1554" operator="containsText" text="Yet to be approved">
      <formula>NOT(ISERROR(SEARCH("Yet to be approved",C789)))</formula>
    </cfRule>
  </conditionalFormatting>
  <conditionalFormatting sqref="C794">
    <cfRule type="containsText" dxfId="1530" priority="1503" operator="containsText" text="Yet to be approved">
      <formula>NOT(ISERROR(SEARCH("Yet to be approved",C794)))</formula>
    </cfRule>
  </conditionalFormatting>
  <conditionalFormatting sqref="C795:C800">
    <cfRule type="containsText" dxfId="1529" priority="1553" operator="containsText" text="Yet to be approved">
      <formula>NOT(ISERROR(SEARCH("Yet to be approved",C795)))</formula>
    </cfRule>
  </conditionalFormatting>
  <conditionalFormatting sqref="C801">
    <cfRule type="containsText" dxfId="1528" priority="1502" operator="containsText" text="Yet to be approved">
      <formula>NOT(ISERROR(SEARCH("Yet to be approved",C801)))</formula>
    </cfRule>
  </conditionalFormatting>
  <conditionalFormatting sqref="C802 C806 C804">
    <cfRule type="containsText" dxfId="1527" priority="1552" operator="containsText" text="Yet to be approved">
      <formula>NOT(ISERROR(SEARCH("Yet to be approved",C802)))</formula>
    </cfRule>
  </conditionalFormatting>
  <conditionalFormatting sqref="C803">
    <cfRule type="containsText" dxfId="1526" priority="1438" operator="containsText" text="Yet to be approved">
      <formula>NOT(ISERROR(SEARCH("Yet to be approved",C803)))</formula>
    </cfRule>
  </conditionalFormatting>
  <conditionalFormatting sqref="C805">
    <cfRule type="containsText" dxfId="1525" priority="1437" operator="containsText" text="Yet to be approved">
      <formula>NOT(ISERROR(SEARCH("Yet to be approved",C805)))</formula>
    </cfRule>
  </conditionalFormatting>
  <conditionalFormatting sqref="C807">
    <cfRule type="containsText" dxfId="1524" priority="1501" operator="containsText" text="Yet to be approved">
      <formula>NOT(ISERROR(SEARCH("Yet to be approved",C807)))</formula>
    </cfRule>
  </conditionalFormatting>
  <conditionalFormatting sqref="C808:C811">
    <cfRule type="containsText" dxfId="1523" priority="1551" operator="containsText" text="Yet to be approved">
      <formula>NOT(ISERROR(SEARCH("Yet to be approved",C808)))</formula>
    </cfRule>
  </conditionalFormatting>
  <conditionalFormatting sqref="C812">
    <cfRule type="containsText" dxfId="1522" priority="1500" operator="containsText" text="Yet to be approved">
      <formula>NOT(ISERROR(SEARCH("Yet to be approved",C812)))</formula>
    </cfRule>
  </conditionalFormatting>
  <conditionalFormatting sqref="C813:C816">
    <cfRule type="containsText" dxfId="1521" priority="1550" operator="containsText" text="Yet to be approved">
      <formula>NOT(ISERROR(SEARCH("Yet to be approved",C813)))</formula>
    </cfRule>
  </conditionalFormatting>
  <conditionalFormatting sqref="C817">
    <cfRule type="containsText" dxfId="1520" priority="1499" operator="containsText" text="Yet to be approved">
      <formula>NOT(ISERROR(SEARCH("Yet to be approved",C817)))</formula>
    </cfRule>
  </conditionalFormatting>
  <conditionalFormatting sqref="C818">
    <cfRule type="containsText" dxfId="1519" priority="1549" operator="containsText" text="Yet to be approved">
      <formula>NOT(ISERROR(SEARCH("Yet to be approved",C818)))</formula>
    </cfRule>
  </conditionalFormatting>
  <conditionalFormatting sqref="C819">
    <cfRule type="containsText" dxfId="1518" priority="1498" operator="containsText" text="Yet to be approved">
      <formula>NOT(ISERROR(SEARCH("Yet to be approved",C819)))</formula>
    </cfRule>
  </conditionalFormatting>
  <conditionalFormatting sqref="C820">
    <cfRule type="containsText" dxfId="1517" priority="1548" operator="containsText" text="Yet to be approved">
      <formula>NOT(ISERROR(SEARCH("Yet to be approved",C820)))</formula>
    </cfRule>
  </conditionalFormatting>
  <conditionalFormatting sqref="C821">
    <cfRule type="containsText" dxfId="1516" priority="1497" operator="containsText" text="Yet to be approved">
      <formula>NOT(ISERROR(SEARCH("Yet to be approved",C821)))</formula>
    </cfRule>
  </conditionalFormatting>
  <conditionalFormatting sqref="C822:C824">
    <cfRule type="containsText" dxfId="1515" priority="1547" operator="containsText" text="Yet to be approved">
      <formula>NOT(ISERROR(SEARCH("Yet to be approved",C822)))</formula>
    </cfRule>
  </conditionalFormatting>
  <conditionalFormatting sqref="C825">
    <cfRule type="containsText" dxfId="1514" priority="1496" operator="containsText" text="Yet to be approved">
      <formula>NOT(ISERROR(SEARCH("Yet to be approved",C825)))</formula>
    </cfRule>
  </conditionalFormatting>
  <conditionalFormatting sqref="C826 C828:C829">
    <cfRule type="containsText" dxfId="1513" priority="1546" operator="containsText" text="Yet to be approved">
      <formula>NOT(ISERROR(SEARCH("Yet to be approved",C826)))</formula>
    </cfRule>
  </conditionalFormatting>
  <conditionalFormatting sqref="C827">
    <cfRule type="containsText" dxfId="1512" priority="1436" operator="containsText" text="Yet to be approved">
      <formula>NOT(ISERROR(SEARCH("Yet to be approved",C827)))</formula>
    </cfRule>
  </conditionalFormatting>
  <conditionalFormatting sqref="C830">
    <cfRule type="containsText" dxfId="1511" priority="1495" operator="containsText" text="Yet to be approved">
      <formula>NOT(ISERROR(SEARCH("Yet to be approved",C830)))</formula>
    </cfRule>
  </conditionalFormatting>
  <conditionalFormatting sqref="C831:C834">
    <cfRule type="containsText" dxfId="1510" priority="1545" operator="containsText" text="Yet to be approved">
      <formula>NOT(ISERROR(SEARCH("Yet to be approved",C831)))</formula>
    </cfRule>
  </conditionalFormatting>
  <conditionalFormatting sqref="C835">
    <cfRule type="containsText" dxfId="1509" priority="1494" operator="containsText" text="Yet to be approved">
      <formula>NOT(ISERROR(SEARCH("Yet to be approved",C835)))</formula>
    </cfRule>
  </conditionalFormatting>
  <conditionalFormatting sqref="C836:C837 C840">
    <cfRule type="containsText" dxfId="1508" priority="1544" operator="containsText" text="Yet to be approved">
      <formula>NOT(ISERROR(SEARCH("Yet to be approved",C836)))</formula>
    </cfRule>
  </conditionalFormatting>
  <conditionalFormatting sqref="C838">
    <cfRule type="containsText" dxfId="1507" priority="1435" operator="containsText" text="Yet to be approved">
      <formula>NOT(ISERROR(SEARCH("Yet to be approved",C838)))</formula>
    </cfRule>
  </conditionalFormatting>
  <conditionalFormatting sqref="C839">
    <cfRule type="containsText" dxfId="1506" priority="1434" operator="containsText" text="Yet to be approved">
      <formula>NOT(ISERROR(SEARCH("Yet to be approved",C839)))</formula>
    </cfRule>
  </conditionalFormatting>
  <conditionalFormatting sqref="C841">
    <cfRule type="containsText" dxfId="1505" priority="1493" operator="containsText" text="Yet to be approved">
      <formula>NOT(ISERROR(SEARCH("Yet to be approved",C841)))</formula>
    </cfRule>
  </conditionalFormatting>
  <conditionalFormatting sqref="C842">
    <cfRule type="containsText" dxfId="1504" priority="1433" operator="containsText" text="Yet to be approved">
      <formula>NOT(ISERROR(SEARCH("Yet to be approved",C842)))</formula>
    </cfRule>
  </conditionalFormatting>
  <conditionalFormatting sqref="C843">
    <cfRule type="containsText" dxfId="1503" priority="1432" operator="containsText" text="Yet to be approved">
      <formula>NOT(ISERROR(SEARCH("Yet to be approved",C843)))</formula>
    </cfRule>
  </conditionalFormatting>
  <conditionalFormatting sqref="C844">
    <cfRule type="containsText" dxfId="1502" priority="1465" operator="containsText" text="Yet to be approved">
      <formula>NOT(ISERROR(SEARCH("Yet to be approved",C844)))</formula>
    </cfRule>
  </conditionalFormatting>
  <conditionalFormatting sqref="C845">
    <cfRule type="containsText" dxfId="1501" priority="1464" operator="containsText" text="Yet to be approved">
      <formula>NOT(ISERROR(SEARCH("Yet to be approved",C845)))</formula>
    </cfRule>
  </conditionalFormatting>
  <conditionalFormatting sqref="C846">
    <cfRule type="containsText" dxfId="1500" priority="1463" operator="containsText" text="Yet to be approved">
      <formula>NOT(ISERROR(SEARCH("Yet to be approved",C846)))</formula>
    </cfRule>
  </conditionalFormatting>
  <conditionalFormatting sqref="C847">
    <cfRule type="containsText" dxfId="1499" priority="1462" operator="containsText" text="Yet to be approved">
      <formula>NOT(ISERROR(SEARCH("Yet to be approved",C847)))</formula>
    </cfRule>
  </conditionalFormatting>
  <conditionalFormatting sqref="C848">
    <cfRule type="containsText" dxfId="1498" priority="1461" operator="containsText" text="Yet to be approved">
      <formula>NOT(ISERROR(SEARCH("Yet to be approved",C848)))</formula>
    </cfRule>
  </conditionalFormatting>
  <conditionalFormatting sqref="C849">
    <cfRule type="containsText" dxfId="1497" priority="1460" operator="containsText" text="Yet to be approved">
      <formula>NOT(ISERROR(SEARCH("Yet to be approved",C849)))</formula>
    </cfRule>
  </conditionalFormatting>
  <conditionalFormatting sqref="C850">
    <cfRule type="containsText" dxfId="1496" priority="1459" operator="containsText" text="Yet to be approved">
      <formula>NOT(ISERROR(SEARCH("Yet to be approved",C850)))</formula>
    </cfRule>
  </conditionalFormatting>
  <conditionalFormatting sqref="C851">
    <cfRule type="containsText" dxfId="1495" priority="1458" operator="containsText" text="Yet to be approved">
      <formula>NOT(ISERROR(SEARCH("Yet to be approved",C851)))</formula>
    </cfRule>
  </conditionalFormatting>
  <conditionalFormatting sqref="C852">
    <cfRule type="containsText" dxfId="1494" priority="1457" operator="containsText" text="Yet to be approved">
      <formula>NOT(ISERROR(SEARCH("Yet to be approved",C852)))</formula>
    </cfRule>
  </conditionalFormatting>
  <conditionalFormatting sqref="C853">
    <cfRule type="containsText" dxfId="1493" priority="1456" operator="containsText" text="Yet to be approved">
      <formula>NOT(ISERROR(SEARCH("Yet to be approved",C853)))</formula>
    </cfRule>
  </conditionalFormatting>
  <conditionalFormatting sqref="C854">
    <cfRule type="containsText" dxfId="1492" priority="1492" operator="containsText" text="Yet to be approved">
      <formula>NOT(ISERROR(SEARCH("Yet to be approved",C854)))</formula>
    </cfRule>
  </conditionalFormatting>
  <conditionalFormatting sqref="C855">
    <cfRule type="containsText" dxfId="1491" priority="1455" operator="containsText" text="Yet to be approved">
      <formula>NOT(ISERROR(SEARCH("Yet to be approved",C855)))</formula>
    </cfRule>
  </conditionalFormatting>
  <conditionalFormatting sqref="C856">
    <cfRule type="containsText" dxfId="1490" priority="1454" operator="containsText" text="Yet to be approved">
      <formula>NOT(ISERROR(SEARCH("Yet to be approved",C856)))</formula>
    </cfRule>
  </conditionalFormatting>
  <conditionalFormatting sqref="C857">
    <cfRule type="containsText" dxfId="1489" priority="1543" operator="containsText" text="Yet to be approved">
      <formula>NOT(ISERROR(SEARCH("Yet to be approved",C857)))</formula>
    </cfRule>
  </conditionalFormatting>
  <conditionalFormatting sqref="C858">
    <cfRule type="containsText" dxfId="1488" priority="1491" operator="containsText" text="Yet to be approved">
      <formula>NOT(ISERROR(SEARCH("Yet to be approved",C858)))</formula>
    </cfRule>
  </conditionalFormatting>
  <conditionalFormatting sqref="C859">
    <cfRule type="containsText" dxfId="1487" priority="1453" operator="containsText" text="Yet to be approved">
      <formula>NOT(ISERROR(SEARCH("Yet to be approved",C859)))</formula>
    </cfRule>
  </conditionalFormatting>
  <conditionalFormatting sqref="C860">
    <cfRule type="containsText" dxfId="1486" priority="1542" operator="containsText" text="Yet to be approved">
      <formula>NOT(ISERROR(SEARCH("Yet to be approved",C860)))</formula>
    </cfRule>
  </conditionalFormatting>
  <conditionalFormatting sqref="C861">
    <cfRule type="containsText" dxfId="1485" priority="1490" operator="containsText" text="Yet to be approved">
      <formula>NOT(ISERROR(SEARCH("Yet to be approved",C861)))</formula>
    </cfRule>
  </conditionalFormatting>
  <conditionalFormatting sqref="C862">
    <cfRule type="containsText" dxfId="1484" priority="1431" operator="containsText" text="Yet to be approved">
      <formula>NOT(ISERROR(SEARCH("Yet to be approved",C862)))</formula>
    </cfRule>
  </conditionalFormatting>
  <conditionalFormatting sqref="C863">
    <cfRule type="containsText" dxfId="1483" priority="1541" operator="containsText" text="Yet to be approved">
      <formula>NOT(ISERROR(SEARCH("Yet to be approved",C863)))</formula>
    </cfRule>
  </conditionalFormatting>
  <conditionalFormatting sqref="C864">
    <cfRule type="containsText" dxfId="1482" priority="1489" operator="containsText" text="Yet to be approved">
      <formula>NOT(ISERROR(SEARCH("Yet to be approved",C864)))</formula>
    </cfRule>
  </conditionalFormatting>
  <conditionalFormatting sqref="C865">
    <cfRule type="containsText" dxfId="1481" priority="1452" operator="containsText" text="Yet to be approved">
      <formula>NOT(ISERROR(SEARCH("Yet to be approved",C865)))</formula>
    </cfRule>
  </conditionalFormatting>
  <conditionalFormatting sqref="C866">
    <cfRule type="containsText" dxfId="1480" priority="1540" operator="containsText" text="Yet to be approved">
      <formula>NOT(ISERROR(SEARCH("Yet to be approved",C866)))</formula>
    </cfRule>
  </conditionalFormatting>
  <conditionalFormatting sqref="C867">
    <cfRule type="containsText" dxfId="1479" priority="1488" operator="containsText" text="Yet to be approved">
      <formula>NOT(ISERROR(SEARCH("Yet to be approved",C867)))</formula>
    </cfRule>
  </conditionalFormatting>
  <conditionalFormatting sqref="C868">
    <cfRule type="containsText" dxfId="1478" priority="1430" operator="containsText" text="Yet to be approved">
      <formula>NOT(ISERROR(SEARCH("Yet to be approved",C868)))</formula>
    </cfRule>
  </conditionalFormatting>
  <conditionalFormatting sqref="C869">
    <cfRule type="containsText" dxfId="1477" priority="1539" operator="containsText" text="Yet to be approved">
      <formula>NOT(ISERROR(SEARCH("Yet to be approved",C869)))</formula>
    </cfRule>
  </conditionalFormatting>
  <conditionalFormatting sqref="C870">
    <cfRule type="containsText" dxfId="1476" priority="1487" operator="containsText" text="Yet to be approved">
      <formula>NOT(ISERROR(SEARCH("Yet to be approved",C870)))</formula>
    </cfRule>
  </conditionalFormatting>
  <conditionalFormatting sqref="C871">
    <cfRule type="containsText" dxfId="1475" priority="1429" operator="containsText" text="Yet to be approved">
      <formula>NOT(ISERROR(SEARCH("Yet to be approved",C871)))</formula>
    </cfRule>
  </conditionalFormatting>
  <conditionalFormatting sqref="C872">
    <cfRule type="containsText" dxfId="1474" priority="1538" operator="containsText" text="Yet to be approved">
      <formula>NOT(ISERROR(SEARCH("Yet to be approved",C872)))</formula>
    </cfRule>
  </conditionalFormatting>
  <conditionalFormatting sqref="C873:C875">
    <cfRule type="containsText" dxfId="1473" priority="1414" operator="containsText" text="DPR not submitted">
      <formula>NOT(ISERROR(SEARCH("DPR not submitted",C873)))</formula>
    </cfRule>
    <cfRule type="containsText" dxfId="1472" priority="1415" operator="containsText" text="Yet to be approved">
      <formula>NOT(ISERROR(SEARCH("Yet to be approved",C873)))</formula>
    </cfRule>
    <cfRule type="containsText" dxfId="1471" priority="1417" operator="containsText" text="Yet to be approved">
      <formula>NOT(ISERROR(SEARCH("Yet to be approved",C873)))</formula>
    </cfRule>
  </conditionalFormatting>
  <conditionalFormatting sqref="C876">
    <cfRule type="containsText" dxfId="1470" priority="1486" operator="containsText" text="Yet to be approved">
      <formula>NOT(ISERROR(SEARCH("Yet to be approved",C876)))</formula>
    </cfRule>
  </conditionalFormatting>
  <conditionalFormatting sqref="C877">
    <cfRule type="containsText" dxfId="1469" priority="1451" operator="containsText" text="Yet to be approved">
      <formula>NOT(ISERROR(SEARCH("Yet to be approved",C877)))</formula>
    </cfRule>
  </conditionalFormatting>
  <conditionalFormatting sqref="C878">
    <cfRule type="containsText" dxfId="1468" priority="1537" operator="containsText" text="Yet to be approved">
      <formula>NOT(ISERROR(SEARCH("Yet to be approved",C878)))</formula>
    </cfRule>
  </conditionalFormatting>
  <conditionalFormatting sqref="C879">
    <cfRule type="containsText" dxfId="1467" priority="1485" operator="containsText" text="Yet to be approved">
      <formula>NOT(ISERROR(SEARCH("Yet to be approved",C879)))</formula>
    </cfRule>
  </conditionalFormatting>
  <conditionalFormatting sqref="C880">
    <cfRule type="containsText" dxfId="1466" priority="1536" operator="containsText" text="Yet to be approved">
      <formula>NOT(ISERROR(SEARCH("Yet to be approved",C880)))</formula>
    </cfRule>
  </conditionalFormatting>
  <conditionalFormatting sqref="C881">
    <cfRule type="containsText" dxfId="1465" priority="1484" operator="containsText" text="Yet to be approved">
      <formula>NOT(ISERROR(SEARCH("Yet to be approved",C881)))</formula>
    </cfRule>
  </conditionalFormatting>
  <conditionalFormatting sqref="C882">
    <cfRule type="containsText" dxfId="1464" priority="1535" operator="containsText" text="Yet to be approved">
      <formula>NOT(ISERROR(SEARCH("Yet to be approved",C882)))</formula>
    </cfRule>
  </conditionalFormatting>
  <conditionalFormatting sqref="C883">
    <cfRule type="containsText" dxfId="1463" priority="1534" operator="containsText" text="Yet to be approved">
      <formula>NOT(ISERROR(SEARCH("Yet to be approved",C883)))</formula>
    </cfRule>
  </conditionalFormatting>
  <conditionalFormatting sqref="C884">
    <cfRule type="containsText" dxfId="1462" priority="1483" operator="containsText" text="Yet to be approved">
      <formula>NOT(ISERROR(SEARCH("Yet to be approved",C884)))</formula>
    </cfRule>
  </conditionalFormatting>
  <conditionalFormatting sqref="C885:C886">
    <cfRule type="containsText" dxfId="1461" priority="1533" operator="containsText" text="Yet to be approved">
      <formula>NOT(ISERROR(SEARCH("Yet to be approved",C885)))</formula>
    </cfRule>
  </conditionalFormatting>
  <conditionalFormatting sqref="C887">
    <cfRule type="containsText" dxfId="1460" priority="1482" operator="containsText" text="Yet to be approved">
      <formula>NOT(ISERROR(SEARCH("Yet to be approved",C887)))</formula>
    </cfRule>
  </conditionalFormatting>
  <conditionalFormatting sqref="C888">
    <cfRule type="containsText" dxfId="1459" priority="1532" operator="containsText" text="Yet to be approved">
      <formula>NOT(ISERROR(SEARCH("Yet to be approved",C888)))</formula>
    </cfRule>
  </conditionalFormatting>
  <conditionalFormatting sqref="C889">
    <cfRule type="containsText" dxfId="1458" priority="1481" operator="containsText" text="Yet to be approved">
      <formula>NOT(ISERROR(SEARCH("Yet to be approved",C889)))</formula>
    </cfRule>
  </conditionalFormatting>
  <conditionalFormatting sqref="C890">
    <cfRule type="containsText" dxfId="1457" priority="1531" operator="containsText" text="Yet to be approved">
      <formula>NOT(ISERROR(SEARCH("Yet to be approved",C890)))</formula>
    </cfRule>
  </conditionalFormatting>
  <conditionalFormatting sqref="C891">
    <cfRule type="containsText" dxfId="1456" priority="1480" operator="containsText" text="Yet to be approved">
      <formula>NOT(ISERROR(SEARCH("Yet to be approved",C891)))</formula>
    </cfRule>
  </conditionalFormatting>
  <conditionalFormatting sqref="C892:C894">
    <cfRule type="containsText" dxfId="1455" priority="1530" operator="containsText" text="Yet to be approved">
      <formula>NOT(ISERROR(SEARCH("Yet to be approved",C892)))</formula>
    </cfRule>
  </conditionalFormatting>
  <conditionalFormatting sqref="C895">
    <cfRule type="containsText" dxfId="1454" priority="1479" operator="containsText" text="Yet to be approved">
      <formula>NOT(ISERROR(SEARCH("Yet to be approved",C895)))</formula>
    </cfRule>
  </conditionalFormatting>
  <conditionalFormatting sqref="C896">
    <cfRule type="containsText" dxfId="1453" priority="1428" operator="containsText" text="Yet to be approved">
      <formula>NOT(ISERROR(SEARCH("Yet to be approved",C896)))</formula>
    </cfRule>
  </conditionalFormatting>
  <conditionalFormatting sqref="C897">
    <cfRule type="containsText" dxfId="1452" priority="1478" operator="containsText" text="Yet to be approved">
      <formula>NOT(ISERROR(SEARCH("Yet to be approved",C897)))</formula>
    </cfRule>
  </conditionalFormatting>
  <conditionalFormatting sqref="C898:C900">
    <cfRule type="containsText" dxfId="1451" priority="1529" operator="containsText" text="Yet to be approved">
      <formula>NOT(ISERROR(SEARCH("Yet to be approved",C898)))</formula>
    </cfRule>
  </conditionalFormatting>
  <conditionalFormatting sqref="C901">
    <cfRule type="containsText" dxfId="1450" priority="1477" operator="containsText" text="Yet to be approved">
      <formula>NOT(ISERROR(SEARCH("Yet to be approved",C901)))</formula>
    </cfRule>
  </conditionalFormatting>
  <conditionalFormatting sqref="C902">
    <cfRule type="containsText" dxfId="1449" priority="1427" operator="containsText" text="Yet to be approved">
      <formula>NOT(ISERROR(SEARCH("Yet to be approved",C902)))</formula>
    </cfRule>
  </conditionalFormatting>
  <conditionalFormatting sqref="C903">
    <cfRule type="containsText" dxfId="1448" priority="1426" operator="containsText" text="Yet to be approved">
      <formula>NOT(ISERROR(SEARCH("Yet to be approved",C903)))</formula>
    </cfRule>
  </conditionalFormatting>
  <conditionalFormatting sqref="C904">
    <cfRule type="containsText" dxfId="1447" priority="1528" operator="containsText" text="Yet to be approved">
      <formula>NOT(ISERROR(SEARCH("Yet to be approved",C904)))</formula>
    </cfRule>
  </conditionalFormatting>
  <conditionalFormatting sqref="C905">
    <cfRule type="containsText" dxfId="1446" priority="1476" operator="containsText" text="Yet to be approved">
      <formula>NOT(ISERROR(SEARCH("Yet to be approved",C905)))</formula>
    </cfRule>
  </conditionalFormatting>
  <conditionalFormatting sqref="C906">
    <cfRule type="containsText" dxfId="1445" priority="1450" operator="containsText" text="Yet to be approved">
      <formula>NOT(ISERROR(SEARCH("Yet to be approved",C906)))</formula>
    </cfRule>
  </conditionalFormatting>
  <conditionalFormatting sqref="C907">
    <cfRule type="containsText" dxfId="1444" priority="1449" operator="containsText" text="Yet to be approved">
      <formula>NOT(ISERROR(SEARCH("Yet to be approved",C907)))</formula>
    </cfRule>
  </conditionalFormatting>
  <conditionalFormatting sqref="C908">
    <cfRule type="containsText" dxfId="1443" priority="1527" operator="containsText" text="Yet to be approved">
      <formula>NOT(ISERROR(SEARCH("Yet to be approved",C908)))</formula>
    </cfRule>
  </conditionalFormatting>
  <conditionalFormatting sqref="C909">
    <cfRule type="containsText" dxfId="1442" priority="1475" operator="containsText" text="Yet to be approved">
      <formula>NOT(ISERROR(SEARCH("Yet to be approved",C909)))</formula>
    </cfRule>
  </conditionalFormatting>
  <conditionalFormatting sqref="C910">
    <cfRule type="containsText" dxfId="1441" priority="1448" operator="containsText" text="Yet to be approved">
      <formula>NOT(ISERROR(SEARCH("Yet to be approved",C910)))</formula>
    </cfRule>
  </conditionalFormatting>
  <conditionalFormatting sqref="C911">
    <cfRule type="containsText" dxfId="1440" priority="1447" operator="containsText" text="Yet to be approved">
      <formula>NOT(ISERROR(SEARCH("Yet to be approved",C911)))</formula>
    </cfRule>
  </conditionalFormatting>
  <conditionalFormatting sqref="C912">
    <cfRule type="containsText" dxfId="1439" priority="1446" operator="containsText" text="Yet to be approved">
      <formula>NOT(ISERROR(SEARCH("Yet to be approved",C912)))</formula>
    </cfRule>
  </conditionalFormatting>
  <conditionalFormatting sqref="C913">
    <cfRule type="containsText" dxfId="1438" priority="1526" operator="containsText" text="Yet to be approved">
      <formula>NOT(ISERROR(SEARCH("Yet to be approved",C913)))</formula>
    </cfRule>
  </conditionalFormatting>
  <conditionalFormatting sqref="C914">
    <cfRule type="containsText" dxfId="1437" priority="1474" operator="containsText" text="Yet to be approved">
      <formula>NOT(ISERROR(SEARCH("Yet to be approved",C914)))</formula>
    </cfRule>
  </conditionalFormatting>
  <conditionalFormatting sqref="C915">
    <cfRule type="containsText" dxfId="1436" priority="1445" operator="containsText" text="Yet to be approved">
      <formula>NOT(ISERROR(SEARCH("Yet to be approved",C915)))</formula>
    </cfRule>
  </conditionalFormatting>
  <conditionalFormatting sqref="C916">
    <cfRule type="containsText" dxfId="1435" priority="1525" operator="containsText" text="Yet to be approved">
      <formula>NOT(ISERROR(SEARCH("Yet to be approved",C916)))</formula>
    </cfRule>
  </conditionalFormatting>
  <conditionalFormatting sqref="C917">
    <cfRule type="containsText" dxfId="1434" priority="1425" operator="containsText" text="Yet to be approved">
      <formula>NOT(ISERROR(SEARCH("Yet to be approved",C917)))</formula>
    </cfRule>
  </conditionalFormatting>
  <conditionalFormatting sqref="C918">
    <cfRule type="containsText" dxfId="1433" priority="1424" operator="containsText" text="Yet to be approved">
      <formula>NOT(ISERROR(SEARCH("Yet to be approved",C918)))</formula>
    </cfRule>
  </conditionalFormatting>
  <conditionalFormatting sqref="C919">
    <cfRule type="containsText" dxfId="1432" priority="1423" operator="containsText" text="Yet to be approved">
      <formula>NOT(ISERROR(SEARCH("Yet to be approved",C919)))</formula>
    </cfRule>
  </conditionalFormatting>
  <conditionalFormatting sqref="C920">
    <cfRule type="containsText" dxfId="1431" priority="1473" operator="containsText" text="Yet to be approved">
      <formula>NOT(ISERROR(SEARCH("Yet to be approved",C920)))</formula>
    </cfRule>
  </conditionalFormatting>
  <conditionalFormatting sqref="C921">
    <cfRule type="containsText" dxfId="1430" priority="1444" operator="containsText" text="Yet to be approved">
      <formula>NOT(ISERROR(SEARCH("Yet to be approved",C921)))</formula>
    </cfRule>
  </conditionalFormatting>
  <conditionalFormatting sqref="C922">
    <cfRule type="containsText" dxfId="1429" priority="1524" operator="containsText" text="Yet to be approved">
      <formula>NOT(ISERROR(SEARCH("Yet to be approved",C922)))</formula>
    </cfRule>
  </conditionalFormatting>
  <conditionalFormatting sqref="C923">
    <cfRule type="containsText" dxfId="1428" priority="1472" operator="containsText" text="Yet to be approved">
      <formula>NOT(ISERROR(SEARCH("Yet to be approved",C923)))</formula>
    </cfRule>
  </conditionalFormatting>
  <conditionalFormatting sqref="C924">
    <cfRule type="containsText" dxfId="1427" priority="1443" operator="containsText" text="Yet to be approved">
      <formula>NOT(ISERROR(SEARCH("Yet to be approved",C924)))</formula>
    </cfRule>
  </conditionalFormatting>
  <conditionalFormatting sqref="C925:C927">
    <cfRule type="containsText" dxfId="1426" priority="1442" operator="containsText" text="Yet to be approved">
      <formula>NOT(ISERROR(SEARCH("Yet to be approved",C925)))</formula>
    </cfRule>
  </conditionalFormatting>
  <conditionalFormatting sqref="C928">
    <cfRule type="containsText" dxfId="1425" priority="1522" operator="containsText" text="Yet to be approved">
      <formula>NOT(ISERROR(SEARCH("Yet to be approved",C928)))</formula>
    </cfRule>
  </conditionalFormatting>
  <conditionalFormatting sqref="C929">
    <cfRule type="containsText" dxfId="1424" priority="1470" operator="containsText" text="Yet to be approved">
      <formula>NOT(ISERROR(SEARCH("Yet to be approved",C929)))</formula>
    </cfRule>
  </conditionalFormatting>
  <conditionalFormatting sqref="C930:C931 C933:C941">
    <cfRule type="containsText" dxfId="1423" priority="1471" operator="containsText" text="Yet to be approved">
      <formula>NOT(ISERROR(SEARCH("Yet to be approved",C930)))</formula>
    </cfRule>
  </conditionalFormatting>
  <conditionalFormatting sqref="C932">
    <cfRule type="containsText" dxfId="1422" priority="1422" operator="containsText" text="Yet to be approved">
      <formula>NOT(ISERROR(SEARCH("Yet to be approved",C932)))</formula>
    </cfRule>
  </conditionalFormatting>
  <conditionalFormatting sqref="C942">
    <cfRule type="containsText" dxfId="1421" priority="1421" operator="containsText" text="Yet to be approved">
      <formula>NOT(ISERROR(SEARCH("Yet to be approved",C942)))</formula>
    </cfRule>
  </conditionalFormatting>
  <conditionalFormatting sqref="C943:C944">
    <cfRule type="containsText" dxfId="1420" priority="1420" operator="containsText" text="Yet to be approved">
      <formula>NOT(ISERROR(SEARCH("Yet to be approved",C943)))</formula>
    </cfRule>
  </conditionalFormatting>
  <conditionalFormatting sqref="C945">
    <cfRule type="containsText" dxfId="1419" priority="1419" operator="containsText" text="Yet to be approved">
      <formula>NOT(ISERROR(SEARCH("Yet to be approved",C945)))</formula>
    </cfRule>
  </conditionalFormatting>
  <conditionalFormatting sqref="C946:C947 C980:C981">
    <cfRule type="containsText" dxfId="1418" priority="1418" operator="containsText" text="Yet to be approved">
      <formula>NOT(ISERROR(SEARCH("Yet to be approved",C946)))</formula>
    </cfRule>
  </conditionalFormatting>
  <conditionalFormatting sqref="C948">
    <cfRule type="containsText" dxfId="1417" priority="1410" operator="containsText" text="Yet to be approved">
      <formula>NOT(ISERROR(SEARCH("Yet to be approved",C948)))</formula>
    </cfRule>
  </conditionalFormatting>
  <conditionalFormatting sqref="C948:C982">
    <cfRule type="containsText" dxfId="1416" priority="1405" operator="containsText" text="DPR not submitted">
      <formula>NOT(ISERROR(SEARCH("DPR not submitted",C948)))</formula>
    </cfRule>
  </conditionalFormatting>
  <conditionalFormatting sqref="C949:C950">
    <cfRule type="containsText" dxfId="1415" priority="1412" operator="containsText" text="Yet to be approved">
      <formula>NOT(ISERROR(SEARCH("Yet to be approved",C949)))</formula>
    </cfRule>
  </conditionalFormatting>
  <conditionalFormatting sqref="C951">
    <cfRule type="containsText" dxfId="1414" priority="1409" operator="containsText" text="Yet to be approved">
      <formula>NOT(ISERROR(SEARCH("Yet to be approved",C951)))</formula>
    </cfRule>
  </conditionalFormatting>
  <conditionalFormatting sqref="C952:C957">
    <cfRule type="containsText" dxfId="1413" priority="1413" operator="containsText" text="Yet to be approved">
      <formula>NOT(ISERROR(SEARCH("Yet to be approved",C952)))</formula>
    </cfRule>
  </conditionalFormatting>
  <conditionalFormatting sqref="C958">
    <cfRule type="containsText" dxfId="1412" priority="1408" operator="containsText" text="Yet to be approved">
      <formula>NOT(ISERROR(SEARCH("Yet to be approved",C958)))</formula>
    </cfRule>
  </conditionalFormatting>
  <conditionalFormatting sqref="C959:C960">
    <cfRule type="containsText" dxfId="1411" priority="1411" operator="containsText" text="Yet to be approved">
      <formula>NOT(ISERROR(SEARCH("Yet to be approved",C959)))</formula>
    </cfRule>
  </conditionalFormatting>
  <conditionalFormatting sqref="C961:C969">
    <cfRule type="containsText" dxfId="1410" priority="1407" operator="containsText" text="Yet to be approved">
      <formula>NOT(ISERROR(SEARCH("Yet to be approved",C961)))</formula>
    </cfRule>
  </conditionalFormatting>
  <conditionalFormatting sqref="C970:C979">
    <cfRule type="containsText" dxfId="1409" priority="1406" operator="containsText" text="Yet to be approved">
      <formula>NOT(ISERROR(SEARCH("Yet to be approved",C970)))</formula>
    </cfRule>
  </conditionalFormatting>
  <conditionalFormatting sqref="C982 C1016">
    <cfRule type="containsText" dxfId="1408" priority="1523" operator="containsText" text="Yet to be approved">
      <formula>NOT(ISERROR(SEARCH("Yet to be approved",C982)))</formula>
    </cfRule>
  </conditionalFormatting>
  <conditionalFormatting sqref="C984">
    <cfRule type="containsText" dxfId="1407" priority="1404" operator="containsText" text="Yet to be approved">
      <formula>NOT(ISERROR(SEARCH("Yet to be approved",C984)))</formula>
    </cfRule>
  </conditionalFormatting>
  <conditionalFormatting sqref="C984:C1016">
    <cfRule type="containsText" dxfId="1406" priority="1402" operator="containsText" text="DPR not submitted">
      <formula>NOT(ISERROR(SEARCH("DPR not submitted",C984)))</formula>
    </cfRule>
  </conditionalFormatting>
  <conditionalFormatting sqref="C985:C989">
    <cfRule type="containsText" dxfId="1405" priority="1403" operator="containsText" text="Yet to be approved">
      <formula>NOT(ISERROR(SEARCH("Yet to be approved",C985)))</formula>
    </cfRule>
  </conditionalFormatting>
  <conditionalFormatting sqref="C1036:C1066 C1068:C1307">
    <cfRule type="containsText" dxfId="1404" priority="1400" operator="containsText" text="DPR not submitted">
      <formula>NOT(ISERROR(SEARCH("DPR not submitted",C1036)))</formula>
    </cfRule>
    <cfRule type="containsText" dxfId="1403" priority="1401" operator="containsText" text="Yet to be approved">
      <formula>NOT(ISERROR(SEARCH("Yet to be approved",C1036)))</formula>
    </cfRule>
  </conditionalFormatting>
  <conditionalFormatting sqref="C1309:C1344">
    <cfRule type="containsText" dxfId="1402" priority="1398" operator="containsText" text="DPR not submitted">
      <formula>NOT(ISERROR(SEARCH("DPR not submitted",C1309)))</formula>
    </cfRule>
  </conditionalFormatting>
  <conditionalFormatting sqref="C1312:C1344">
    <cfRule type="containsText" dxfId="1401" priority="1399" operator="containsText" text="Yet to be approved">
      <formula>NOT(ISERROR(SEARCH("Yet to be approved",C1312)))</formula>
    </cfRule>
  </conditionalFormatting>
  <conditionalFormatting sqref="C1350:C1351 C1979:C1981 C1660:C1685">
    <cfRule type="containsText" dxfId="1400" priority="1395" operator="containsText" text="Yet to be approved">
      <formula>NOT(ISERROR(SEARCH("Yet to be approved",C1350)))</formula>
    </cfRule>
  </conditionalFormatting>
  <conditionalFormatting sqref="C1350:C1617">
    <cfRule type="containsText" dxfId="1399" priority="1238" operator="containsText" text="DPR not submitted">
      <formula>NOT(ISERROR(SEARCH("DPR not submitted",C1350)))</formula>
    </cfRule>
  </conditionalFormatting>
  <conditionalFormatting sqref="C1352:C1367">
    <cfRule type="containsText" dxfId="1398" priority="1394" operator="containsText" text="Yet to be approved">
      <formula>NOT(ISERROR(SEARCH("Yet to be approved",C1352)))</formula>
    </cfRule>
  </conditionalFormatting>
  <conditionalFormatting sqref="C1368">
    <cfRule type="containsText" dxfId="1397" priority="1343" operator="containsText" text="Yet to be approved">
      <formula>NOT(ISERROR(SEARCH("Yet to be approved",C1368)))</formula>
    </cfRule>
  </conditionalFormatting>
  <conditionalFormatting sqref="C1369:C1380">
    <cfRule type="containsText" dxfId="1396" priority="1393" operator="containsText" text="Yet to be approved">
      <formula>NOT(ISERROR(SEARCH("Yet to be approved",C1369)))</formula>
    </cfRule>
  </conditionalFormatting>
  <conditionalFormatting sqref="C1381">
    <cfRule type="containsText" dxfId="1395" priority="1342" operator="containsText" text="Yet to be approved">
      <formula>NOT(ISERROR(SEARCH("Yet to be approved",C1381)))</formula>
    </cfRule>
  </conditionalFormatting>
  <conditionalFormatting sqref="C1382:C1386">
    <cfRule type="containsText" dxfId="1394" priority="1392" operator="containsText" text="Yet to be approved">
      <formula>NOT(ISERROR(SEARCH("Yet to be approved",C1382)))</formula>
    </cfRule>
  </conditionalFormatting>
  <conditionalFormatting sqref="C1387">
    <cfRule type="containsText" dxfId="1393" priority="1341" operator="containsText" text="Yet to be approved">
      <formula>NOT(ISERROR(SEARCH("Yet to be approved",C1387)))</formula>
    </cfRule>
  </conditionalFormatting>
  <conditionalFormatting sqref="C1388">
    <cfRule type="containsText" dxfId="1392" priority="1291" operator="containsText" text="Yet to be approved">
      <formula>NOT(ISERROR(SEARCH("Yet to be approved",C1388)))</formula>
    </cfRule>
  </conditionalFormatting>
  <conditionalFormatting sqref="C1389">
    <cfRule type="containsText" dxfId="1391" priority="1290" operator="containsText" text="Yet to be approved">
      <formula>NOT(ISERROR(SEARCH("Yet to be approved",C1389)))</formula>
    </cfRule>
  </conditionalFormatting>
  <conditionalFormatting sqref="C1390">
    <cfRule type="containsText" dxfId="1390" priority="1391" operator="containsText" text="Yet to be approved">
      <formula>NOT(ISERROR(SEARCH("Yet to be approved",C1390)))</formula>
    </cfRule>
  </conditionalFormatting>
  <conditionalFormatting sqref="C1391">
    <cfRule type="containsText" dxfId="1389" priority="1340" operator="containsText" text="Yet to be approved">
      <formula>NOT(ISERROR(SEARCH("Yet to be approved",C1391)))</formula>
    </cfRule>
  </conditionalFormatting>
  <conditionalFormatting sqref="C1392">
    <cfRule type="containsText" dxfId="1388" priority="1390" operator="containsText" text="Yet to be approved">
      <formula>NOT(ISERROR(SEARCH("Yet to be approved",C1392)))</formula>
    </cfRule>
  </conditionalFormatting>
  <conditionalFormatting sqref="C1393">
    <cfRule type="containsText" dxfId="1387" priority="1262" operator="containsText" text="Yet to be approved">
      <formula>NOT(ISERROR(SEARCH("Yet to be approved",C1393)))</formula>
    </cfRule>
  </conditionalFormatting>
  <conditionalFormatting sqref="C1394">
    <cfRule type="containsText" dxfId="1386" priority="1263" operator="containsText" text="Yet to be approved">
      <formula>NOT(ISERROR(SEARCH("Yet to be approved",C1394)))</formula>
    </cfRule>
  </conditionalFormatting>
  <conditionalFormatting sqref="C1395">
    <cfRule type="containsText" dxfId="1385" priority="1339" operator="containsText" text="Yet to be approved">
      <formula>NOT(ISERROR(SEARCH("Yet to be approved",C1395)))</formula>
    </cfRule>
  </conditionalFormatting>
  <conditionalFormatting sqref="C1396:C1398">
    <cfRule type="containsText" dxfId="1384" priority="1389" operator="containsText" text="Yet to be approved">
      <formula>NOT(ISERROR(SEARCH("Yet to be approved",C1396)))</formula>
    </cfRule>
  </conditionalFormatting>
  <conditionalFormatting sqref="C1399">
    <cfRule type="containsText" dxfId="1383" priority="1338" operator="containsText" text="Yet to be approved">
      <formula>NOT(ISERROR(SEARCH("Yet to be approved",C1399)))</formula>
    </cfRule>
  </conditionalFormatting>
  <conditionalFormatting sqref="C1400:C1402">
    <cfRule type="containsText" dxfId="1382" priority="1388" operator="containsText" text="Yet to be approved">
      <formula>NOT(ISERROR(SEARCH("Yet to be approved",C1400)))</formula>
    </cfRule>
  </conditionalFormatting>
  <conditionalFormatting sqref="C1403">
    <cfRule type="containsText" dxfId="1381" priority="1337" operator="containsText" text="Yet to be approved">
      <formula>NOT(ISERROR(SEARCH("Yet to be approved",C1403)))</formula>
    </cfRule>
  </conditionalFormatting>
  <conditionalFormatting sqref="C1404:C1405">
    <cfRule type="containsText" dxfId="1380" priority="1387" operator="containsText" text="Yet to be approved">
      <formula>NOT(ISERROR(SEARCH("Yet to be approved",C1404)))</formula>
    </cfRule>
  </conditionalFormatting>
  <conditionalFormatting sqref="C1406">
    <cfRule type="containsText" dxfId="1379" priority="1336" operator="containsText" text="Yet to be approved">
      <formula>NOT(ISERROR(SEARCH("Yet to be approved",C1406)))</formula>
    </cfRule>
  </conditionalFormatting>
  <conditionalFormatting sqref="C1407:C1410">
    <cfRule type="containsText" dxfId="1378" priority="1386" operator="containsText" text="Yet to be approved">
      <formula>NOT(ISERROR(SEARCH("Yet to be approved",C1407)))</formula>
    </cfRule>
  </conditionalFormatting>
  <conditionalFormatting sqref="C1411">
    <cfRule type="containsText" dxfId="1377" priority="1335" operator="containsText" text="Yet to be approved">
      <formula>NOT(ISERROR(SEARCH("Yet to be approved",C1411)))</formula>
    </cfRule>
  </conditionalFormatting>
  <conditionalFormatting sqref="C1412:C1421">
    <cfRule type="containsText" dxfId="1376" priority="1385" operator="containsText" text="Yet to be approved">
      <formula>NOT(ISERROR(SEARCH("Yet to be approved",C1412)))</formula>
    </cfRule>
  </conditionalFormatting>
  <conditionalFormatting sqref="C1422">
    <cfRule type="containsText" dxfId="1375" priority="1334" operator="containsText" text="Yet to be approved">
      <formula>NOT(ISERROR(SEARCH("Yet to be approved",C1422)))</formula>
    </cfRule>
  </conditionalFormatting>
  <conditionalFormatting sqref="C1423 C1425">
    <cfRule type="containsText" dxfId="1374" priority="1384" operator="containsText" text="Yet to be approved">
      <formula>NOT(ISERROR(SEARCH("Yet to be approved",C1423)))</formula>
    </cfRule>
  </conditionalFormatting>
  <conditionalFormatting sqref="C1424">
    <cfRule type="containsText" dxfId="1373" priority="1261" operator="containsText" text="Yet to be approved">
      <formula>NOT(ISERROR(SEARCH("Yet to be approved",C1424)))</formula>
    </cfRule>
  </conditionalFormatting>
  <conditionalFormatting sqref="C1426">
    <cfRule type="containsText" dxfId="1372" priority="1333" operator="containsText" text="Yet to be approved">
      <formula>NOT(ISERROR(SEARCH("Yet to be approved",C1426)))</formula>
    </cfRule>
  </conditionalFormatting>
  <conditionalFormatting sqref="C1427:C1433">
    <cfRule type="containsText" dxfId="1371" priority="1383" operator="containsText" text="Yet to be approved">
      <formula>NOT(ISERROR(SEARCH("Yet to be approved",C1427)))</formula>
    </cfRule>
  </conditionalFormatting>
  <conditionalFormatting sqref="C1434">
    <cfRule type="containsText" dxfId="1370" priority="1332" operator="containsText" text="Yet to be approved">
      <formula>NOT(ISERROR(SEARCH("Yet to be approved",C1434)))</formula>
    </cfRule>
  </conditionalFormatting>
  <conditionalFormatting sqref="C1435:C1436">
    <cfRule type="containsText" dxfId="1369" priority="1382" operator="containsText" text="Yet to be approved">
      <formula>NOT(ISERROR(SEARCH("Yet to be approved",C1435)))</formula>
    </cfRule>
  </conditionalFormatting>
  <conditionalFormatting sqref="C1437">
    <cfRule type="containsText" dxfId="1368" priority="1331" operator="containsText" text="Yet to be approved">
      <formula>NOT(ISERROR(SEARCH("Yet to be approved",C1437)))</formula>
    </cfRule>
  </conditionalFormatting>
  <conditionalFormatting sqref="C1438:C1440">
    <cfRule type="containsText" dxfId="1367" priority="1381" operator="containsText" text="Yet to be approved">
      <formula>NOT(ISERROR(SEARCH("Yet to be approved",C1438)))</formula>
    </cfRule>
  </conditionalFormatting>
  <conditionalFormatting sqref="C1441">
    <cfRule type="containsText" dxfId="1366" priority="1330" operator="containsText" text="Yet to be approved">
      <formula>NOT(ISERROR(SEARCH("Yet to be approved",C1441)))</formula>
    </cfRule>
  </conditionalFormatting>
  <conditionalFormatting sqref="C1442:C1444">
    <cfRule type="containsText" dxfId="1365" priority="1380" operator="containsText" text="Yet to be approved">
      <formula>NOT(ISERROR(SEARCH("Yet to be approved",C1442)))</formula>
    </cfRule>
  </conditionalFormatting>
  <conditionalFormatting sqref="C1445">
    <cfRule type="containsText" dxfId="1364" priority="1329" operator="containsText" text="Yet to be approved">
      <formula>NOT(ISERROR(SEARCH("Yet to be approved",C1445)))</formula>
    </cfRule>
  </conditionalFormatting>
  <conditionalFormatting sqref="C1446">
    <cfRule type="containsText" dxfId="1363" priority="1289" operator="containsText" text="Yet to be approved">
      <formula>NOT(ISERROR(SEARCH("Yet to be approved",C1446)))</formula>
    </cfRule>
  </conditionalFormatting>
  <conditionalFormatting sqref="C1447">
    <cfRule type="containsText" dxfId="1362" priority="1288" operator="containsText" text="Yet to be approved">
      <formula>NOT(ISERROR(SEARCH("Yet to be approved",C1447)))</formula>
    </cfRule>
  </conditionalFormatting>
  <conditionalFormatting sqref="C1448">
    <cfRule type="containsText" dxfId="1361" priority="1379" operator="containsText" text="Yet to be approved">
      <formula>NOT(ISERROR(SEARCH("Yet to be approved",C1448)))</formula>
    </cfRule>
  </conditionalFormatting>
  <conditionalFormatting sqref="C1449">
    <cfRule type="containsText" dxfId="1360" priority="1328" operator="containsText" text="Yet to be approved">
      <formula>NOT(ISERROR(SEARCH("Yet to be approved",C1449)))</formula>
    </cfRule>
  </conditionalFormatting>
  <conditionalFormatting sqref="C1450:C1453">
    <cfRule type="containsText" dxfId="1359" priority="1378" operator="containsText" text="Yet to be approved">
      <formula>NOT(ISERROR(SEARCH("Yet to be approved",C1450)))</formula>
    </cfRule>
  </conditionalFormatting>
  <conditionalFormatting sqref="C1454">
    <cfRule type="containsText" dxfId="1358" priority="1327" operator="containsText" text="Yet to be approved">
      <formula>NOT(ISERROR(SEARCH("Yet to be approved",C1454)))</formula>
    </cfRule>
  </conditionalFormatting>
  <conditionalFormatting sqref="C1455:C1457">
    <cfRule type="containsText" dxfId="1357" priority="1377" operator="containsText" text="Yet to be approved">
      <formula>NOT(ISERROR(SEARCH("Yet to be approved",C1455)))</formula>
    </cfRule>
  </conditionalFormatting>
  <conditionalFormatting sqref="C1458">
    <cfRule type="containsText" dxfId="1356" priority="1326" operator="containsText" text="Yet to be approved">
      <formula>NOT(ISERROR(SEARCH("Yet to be approved",C1458)))</formula>
    </cfRule>
  </conditionalFormatting>
  <conditionalFormatting sqref="C1459:C1463">
    <cfRule type="containsText" dxfId="1355" priority="1376" operator="containsText" text="Yet to be approved">
      <formula>NOT(ISERROR(SEARCH("Yet to be approved",C1459)))</formula>
    </cfRule>
  </conditionalFormatting>
  <conditionalFormatting sqref="C1464">
    <cfRule type="containsText" dxfId="1354" priority="1325" operator="containsText" text="Yet to be approved">
      <formula>NOT(ISERROR(SEARCH("Yet to be approved",C1464)))</formula>
    </cfRule>
  </conditionalFormatting>
  <conditionalFormatting sqref="C1465:C1470">
    <cfRule type="containsText" dxfId="1353" priority="1375" operator="containsText" text="Yet to be approved">
      <formula>NOT(ISERROR(SEARCH("Yet to be approved",C1465)))</formula>
    </cfRule>
  </conditionalFormatting>
  <conditionalFormatting sqref="C1471">
    <cfRule type="containsText" dxfId="1352" priority="1324" operator="containsText" text="Yet to be approved">
      <formula>NOT(ISERROR(SEARCH("Yet to be approved",C1471)))</formula>
    </cfRule>
  </conditionalFormatting>
  <conditionalFormatting sqref="C1472 C1476 C1474">
    <cfRule type="containsText" dxfId="1351" priority="1374" operator="containsText" text="Yet to be approved">
      <formula>NOT(ISERROR(SEARCH("Yet to be approved",C1472)))</formula>
    </cfRule>
  </conditionalFormatting>
  <conditionalFormatting sqref="C1473">
    <cfRule type="containsText" dxfId="1350" priority="1260" operator="containsText" text="Yet to be approved">
      <formula>NOT(ISERROR(SEARCH("Yet to be approved",C1473)))</formula>
    </cfRule>
  </conditionalFormatting>
  <conditionalFormatting sqref="C1475">
    <cfRule type="containsText" dxfId="1349" priority="1259" operator="containsText" text="Yet to be approved">
      <formula>NOT(ISERROR(SEARCH("Yet to be approved",C1475)))</formula>
    </cfRule>
  </conditionalFormatting>
  <conditionalFormatting sqref="C1477">
    <cfRule type="containsText" dxfId="1348" priority="1323" operator="containsText" text="Yet to be approved">
      <formula>NOT(ISERROR(SEARCH("Yet to be approved",C1477)))</formula>
    </cfRule>
  </conditionalFormatting>
  <conditionalFormatting sqref="C1478:C1481">
    <cfRule type="containsText" dxfId="1347" priority="1373" operator="containsText" text="Yet to be approved">
      <formula>NOT(ISERROR(SEARCH("Yet to be approved",C1478)))</formula>
    </cfRule>
  </conditionalFormatting>
  <conditionalFormatting sqref="C1482">
    <cfRule type="containsText" dxfId="1346" priority="1322" operator="containsText" text="Yet to be approved">
      <formula>NOT(ISERROR(SEARCH("Yet to be approved",C1482)))</formula>
    </cfRule>
  </conditionalFormatting>
  <conditionalFormatting sqref="C1483:C1486">
    <cfRule type="containsText" dxfId="1345" priority="1372" operator="containsText" text="Yet to be approved">
      <formula>NOT(ISERROR(SEARCH("Yet to be approved",C1483)))</formula>
    </cfRule>
  </conditionalFormatting>
  <conditionalFormatting sqref="C1487">
    <cfRule type="containsText" dxfId="1344" priority="1321" operator="containsText" text="Yet to be approved">
      <formula>NOT(ISERROR(SEARCH("Yet to be approved",C1487)))</formula>
    </cfRule>
  </conditionalFormatting>
  <conditionalFormatting sqref="C1488">
    <cfRule type="containsText" dxfId="1343" priority="1371" operator="containsText" text="Yet to be approved">
      <formula>NOT(ISERROR(SEARCH("Yet to be approved",C1488)))</formula>
    </cfRule>
  </conditionalFormatting>
  <conditionalFormatting sqref="C1489">
    <cfRule type="containsText" dxfId="1342" priority="1320" operator="containsText" text="Yet to be approved">
      <formula>NOT(ISERROR(SEARCH("Yet to be approved",C1489)))</formula>
    </cfRule>
  </conditionalFormatting>
  <conditionalFormatting sqref="C1490">
    <cfRule type="containsText" dxfId="1341" priority="1370" operator="containsText" text="Yet to be approved">
      <formula>NOT(ISERROR(SEARCH("Yet to be approved",C1490)))</formula>
    </cfRule>
  </conditionalFormatting>
  <conditionalFormatting sqref="C1491">
    <cfRule type="containsText" dxfId="1340" priority="1319" operator="containsText" text="Yet to be approved">
      <formula>NOT(ISERROR(SEARCH("Yet to be approved",C1491)))</formula>
    </cfRule>
  </conditionalFormatting>
  <conditionalFormatting sqref="C1492:C1494">
    <cfRule type="containsText" dxfId="1339" priority="1369" operator="containsText" text="Yet to be approved">
      <formula>NOT(ISERROR(SEARCH("Yet to be approved",C1492)))</formula>
    </cfRule>
  </conditionalFormatting>
  <conditionalFormatting sqref="C1495">
    <cfRule type="containsText" dxfId="1338" priority="1318" operator="containsText" text="Yet to be approved">
      <formula>NOT(ISERROR(SEARCH("Yet to be approved",C1495)))</formula>
    </cfRule>
  </conditionalFormatting>
  <conditionalFormatting sqref="C1496 C1498:C1499">
    <cfRule type="containsText" dxfId="1337" priority="1368" operator="containsText" text="Yet to be approved">
      <formula>NOT(ISERROR(SEARCH("Yet to be approved",C1496)))</formula>
    </cfRule>
  </conditionalFormatting>
  <conditionalFormatting sqref="C1497">
    <cfRule type="containsText" dxfId="1336" priority="1258" operator="containsText" text="Yet to be approved">
      <formula>NOT(ISERROR(SEARCH("Yet to be approved",C1497)))</formula>
    </cfRule>
  </conditionalFormatting>
  <conditionalFormatting sqref="C1500">
    <cfRule type="containsText" dxfId="1335" priority="1317" operator="containsText" text="Yet to be approved">
      <formula>NOT(ISERROR(SEARCH("Yet to be approved",C1500)))</formula>
    </cfRule>
  </conditionalFormatting>
  <conditionalFormatting sqref="C1501:C1504">
    <cfRule type="containsText" dxfId="1334" priority="1367" operator="containsText" text="Yet to be approved">
      <formula>NOT(ISERROR(SEARCH("Yet to be approved",C1501)))</formula>
    </cfRule>
  </conditionalFormatting>
  <conditionalFormatting sqref="C1505">
    <cfRule type="containsText" dxfId="1333" priority="1316" operator="containsText" text="Yet to be approved">
      <formula>NOT(ISERROR(SEARCH("Yet to be approved",C1505)))</formula>
    </cfRule>
  </conditionalFormatting>
  <conditionalFormatting sqref="C1506:C1507 C1510">
    <cfRule type="containsText" dxfId="1332" priority="1366" operator="containsText" text="Yet to be approved">
      <formula>NOT(ISERROR(SEARCH("Yet to be approved",C1506)))</formula>
    </cfRule>
  </conditionalFormatting>
  <conditionalFormatting sqref="C1508">
    <cfRule type="containsText" dxfId="1331" priority="1257" operator="containsText" text="Yet to be approved">
      <formula>NOT(ISERROR(SEARCH("Yet to be approved",C1508)))</formula>
    </cfRule>
  </conditionalFormatting>
  <conditionalFormatting sqref="C1509">
    <cfRule type="containsText" dxfId="1330" priority="1256" operator="containsText" text="Yet to be approved">
      <formula>NOT(ISERROR(SEARCH("Yet to be approved",C1509)))</formula>
    </cfRule>
  </conditionalFormatting>
  <conditionalFormatting sqref="C1511">
    <cfRule type="containsText" dxfId="1329" priority="1315" operator="containsText" text="Yet to be approved">
      <formula>NOT(ISERROR(SEARCH("Yet to be approved",C1511)))</formula>
    </cfRule>
  </conditionalFormatting>
  <conditionalFormatting sqref="C1512">
    <cfRule type="containsText" dxfId="1328" priority="1255" operator="containsText" text="Yet to be approved">
      <formula>NOT(ISERROR(SEARCH("Yet to be approved",C1512)))</formula>
    </cfRule>
  </conditionalFormatting>
  <conditionalFormatting sqref="C1513">
    <cfRule type="containsText" dxfId="1327" priority="1254" operator="containsText" text="Yet to be approved">
      <formula>NOT(ISERROR(SEARCH("Yet to be approved",C1513)))</formula>
    </cfRule>
  </conditionalFormatting>
  <conditionalFormatting sqref="C1514">
    <cfRule type="containsText" dxfId="1326" priority="1287" operator="containsText" text="Yet to be approved">
      <formula>NOT(ISERROR(SEARCH("Yet to be approved",C1514)))</formula>
    </cfRule>
  </conditionalFormatting>
  <conditionalFormatting sqref="C1515">
    <cfRule type="containsText" dxfId="1325" priority="1286" operator="containsText" text="Yet to be approved">
      <formula>NOT(ISERROR(SEARCH("Yet to be approved",C1515)))</formula>
    </cfRule>
  </conditionalFormatting>
  <conditionalFormatting sqref="C1516">
    <cfRule type="containsText" dxfId="1324" priority="1285" operator="containsText" text="Yet to be approved">
      <formula>NOT(ISERROR(SEARCH("Yet to be approved",C1516)))</formula>
    </cfRule>
  </conditionalFormatting>
  <conditionalFormatting sqref="C1517">
    <cfRule type="containsText" dxfId="1323" priority="1284" operator="containsText" text="Yet to be approved">
      <formula>NOT(ISERROR(SEARCH("Yet to be approved",C1517)))</formula>
    </cfRule>
  </conditionalFormatting>
  <conditionalFormatting sqref="C1518">
    <cfRule type="containsText" dxfId="1322" priority="1283" operator="containsText" text="Yet to be approved">
      <formula>NOT(ISERROR(SEARCH("Yet to be approved",C1518)))</formula>
    </cfRule>
  </conditionalFormatting>
  <conditionalFormatting sqref="C1519">
    <cfRule type="containsText" dxfId="1321" priority="1282" operator="containsText" text="Yet to be approved">
      <formula>NOT(ISERROR(SEARCH("Yet to be approved",C1519)))</formula>
    </cfRule>
  </conditionalFormatting>
  <conditionalFormatting sqref="C1520">
    <cfRule type="containsText" dxfId="1320" priority="1281" operator="containsText" text="Yet to be approved">
      <formula>NOT(ISERROR(SEARCH("Yet to be approved",C1520)))</formula>
    </cfRule>
  </conditionalFormatting>
  <conditionalFormatting sqref="C1521">
    <cfRule type="containsText" dxfId="1319" priority="1280" operator="containsText" text="Yet to be approved">
      <formula>NOT(ISERROR(SEARCH("Yet to be approved",C1521)))</formula>
    </cfRule>
  </conditionalFormatting>
  <conditionalFormatting sqref="C1522">
    <cfRule type="containsText" dxfId="1318" priority="1279" operator="containsText" text="Yet to be approved">
      <formula>NOT(ISERROR(SEARCH("Yet to be approved",C1522)))</formula>
    </cfRule>
  </conditionalFormatting>
  <conditionalFormatting sqref="C1523">
    <cfRule type="containsText" dxfId="1317" priority="1278" operator="containsText" text="Yet to be approved">
      <formula>NOT(ISERROR(SEARCH("Yet to be approved",C1523)))</formula>
    </cfRule>
  </conditionalFormatting>
  <conditionalFormatting sqref="C1524">
    <cfRule type="containsText" dxfId="1316" priority="1314" operator="containsText" text="Yet to be approved">
      <formula>NOT(ISERROR(SEARCH("Yet to be approved",C1524)))</formula>
    </cfRule>
  </conditionalFormatting>
  <conditionalFormatting sqref="C1525">
    <cfRule type="containsText" dxfId="1315" priority="1277" operator="containsText" text="Yet to be approved">
      <formula>NOT(ISERROR(SEARCH("Yet to be approved",C1525)))</formula>
    </cfRule>
  </conditionalFormatting>
  <conditionalFormatting sqref="C1526">
    <cfRule type="containsText" dxfId="1314" priority="1276" operator="containsText" text="Yet to be approved">
      <formula>NOT(ISERROR(SEARCH("Yet to be approved",C1526)))</formula>
    </cfRule>
  </conditionalFormatting>
  <conditionalFormatting sqref="C1527">
    <cfRule type="containsText" dxfId="1313" priority="1365" operator="containsText" text="Yet to be approved">
      <formula>NOT(ISERROR(SEARCH("Yet to be approved",C1527)))</formula>
    </cfRule>
  </conditionalFormatting>
  <conditionalFormatting sqref="C1528">
    <cfRule type="containsText" dxfId="1312" priority="1313" operator="containsText" text="Yet to be approved">
      <formula>NOT(ISERROR(SEARCH("Yet to be approved",C1528)))</formula>
    </cfRule>
  </conditionalFormatting>
  <conditionalFormatting sqref="C1529">
    <cfRule type="containsText" dxfId="1311" priority="1275" operator="containsText" text="Yet to be approved">
      <formula>NOT(ISERROR(SEARCH("Yet to be approved",C1529)))</formula>
    </cfRule>
  </conditionalFormatting>
  <conditionalFormatting sqref="C1530">
    <cfRule type="containsText" dxfId="1310" priority="1364" operator="containsText" text="Yet to be approved">
      <formula>NOT(ISERROR(SEARCH("Yet to be approved",C1530)))</formula>
    </cfRule>
  </conditionalFormatting>
  <conditionalFormatting sqref="C1531">
    <cfRule type="containsText" dxfId="1309" priority="1312" operator="containsText" text="Yet to be approved">
      <formula>NOT(ISERROR(SEARCH("Yet to be approved",C1531)))</formula>
    </cfRule>
  </conditionalFormatting>
  <conditionalFormatting sqref="C1532">
    <cfRule type="containsText" dxfId="1308" priority="1253" operator="containsText" text="Yet to be approved">
      <formula>NOT(ISERROR(SEARCH("Yet to be approved",C1532)))</formula>
    </cfRule>
  </conditionalFormatting>
  <conditionalFormatting sqref="C1533">
    <cfRule type="containsText" dxfId="1307" priority="1363" operator="containsText" text="Yet to be approved">
      <formula>NOT(ISERROR(SEARCH("Yet to be approved",C1533)))</formula>
    </cfRule>
  </conditionalFormatting>
  <conditionalFormatting sqref="C1534">
    <cfRule type="containsText" dxfId="1306" priority="1311" operator="containsText" text="Yet to be approved">
      <formula>NOT(ISERROR(SEARCH("Yet to be approved",C1534)))</formula>
    </cfRule>
  </conditionalFormatting>
  <conditionalFormatting sqref="C1535">
    <cfRule type="containsText" dxfId="1305" priority="1274" operator="containsText" text="Yet to be approved">
      <formula>NOT(ISERROR(SEARCH("Yet to be approved",C1535)))</formula>
    </cfRule>
  </conditionalFormatting>
  <conditionalFormatting sqref="C1536">
    <cfRule type="containsText" dxfId="1304" priority="1362" operator="containsText" text="Yet to be approved">
      <formula>NOT(ISERROR(SEARCH("Yet to be approved",C1536)))</formula>
    </cfRule>
  </conditionalFormatting>
  <conditionalFormatting sqref="C1537">
    <cfRule type="containsText" dxfId="1303" priority="1310" operator="containsText" text="Yet to be approved">
      <formula>NOT(ISERROR(SEARCH("Yet to be approved",C1537)))</formula>
    </cfRule>
  </conditionalFormatting>
  <conditionalFormatting sqref="C1538">
    <cfRule type="containsText" dxfId="1302" priority="1252" operator="containsText" text="Yet to be approved">
      <formula>NOT(ISERROR(SEARCH("Yet to be approved",C1538)))</formula>
    </cfRule>
  </conditionalFormatting>
  <conditionalFormatting sqref="C1539">
    <cfRule type="containsText" dxfId="1301" priority="1361" operator="containsText" text="Yet to be approved">
      <formula>NOT(ISERROR(SEARCH("Yet to be approved",C1539)))</formula>
    </cfRule>
  </conditionalFormatting>
  <conditionalFormatting sqref="C1540">
    <cfRule type="containsText" dxfId="1300" priority="1309" operator="containsText" text="Yet to be approved">
      <formula>NOT(ISERROR(SEARCH("Yet to be approved",C1540)))</formula>
    </cfRule>
  </conditionalFormatting>
  <conditionalFormatting sqref="C1541">
    <cfRule type="containsText" dxfId="1299" priority="1251" operator="containsText" text="Yet to be approved">
      <formula>NOT(ISERROR(SEARCH("Yet to be approved",C1541)))</formula>
    </cfRule>
  </conditionalFormatting>
  <conditionalFormatting sqref="C1542">
    <cfRule type="containsText" dxfId="1298" priority="1360" operator="containsText" text="Yet to be approved">
      <formula>NOT(ISERROR(SEARCH("Yet to be approved",C1542)))</formula>
    </cfRule>
  </conditionalFormatting>
  <conditionalFormatting sqref="C1543:C1545">
    <cfRule type="containsText" dxfId="1297" priority="1236" operator="containsText" text="DPR not submitted">
      <formula>NOT(ISERROR(SEARCH("DPR not submitted",C1543)))</formula>
    </cfRule>
    <cfRule type="containsText" dxfId="1296" priority="1237" operator="containsText" text="Yet to be approved">
      <formula>NOT(ISERROR(SEARCH("Yet to be approved",C1543)))</formula>
    </cfRule>
    <cfRule type="containsText" dxfId="1295" priority="1239" operator="containsText" text="Yet to be approved">
      <formula>NOT(ISERROR(SEARCH("Yet to be approved",C1543)))</formula>
    </cfRule>
  </conditionalFormatting>
  <conditionalFormatting sqref="C1546">
    <cfRule type="containsText" dxfId="1294" priority="1308" operator="containsText" text="Yet to be approved">
      <formula>NOT(ISERROR(SEARCH("Yet to be approved",C1546)))</formula>
    </cfRule>
  </conditionalFormatting>
  <conditionalFormatting sqref="C1547">
    <cfRule type="containsText" dxfId="1293" priority="1273" operator="containsText" text="Yet to be approved">
      <formula>NOT(ISERROR(SEARCH("Yet to be approved",C1547)))</formula>
    </cfRule>
  </conditionalFormatting>
  <conditionalFormatting sqref="C1548">
    <cfRule type="containsText" dxfId="1292" priority="1359" operator="containsText" text="Yet to be approved">
      <formula>NOT(ISERROR(SEARCH("Yet to be approved",C1548)))</formula>
    </cfRule>
  </conditionalFormatting>
  <conditionalFormatting sqref="C1549">
    <cfRule type="containsText" dxfId="1291" priority="1307" operator="containsText" text="Yet to be approved">
      <formula>NOT(ISERROR(SEARCH("Yet to be approved",C1549)))</formula>
    </cfRule>
  </conditionalFormatting>
  <conditionalFormatting sqref="C1550">
    <cfRule type="containsText" dxfId="1290" priority="1358" operator="containsText" text="Yet to be approved">
      <formula>NOT(ISERROR(SEARCH("Yet to be approved",C1550)))</formula>
    </cfRule>
  </conditionalFormatting>
  <conditionalFormatting sqref="C1551">
    <cfRule type="containsText" dxfId="1289" priority="1306" operator="containsText" text="Yet to be approved">
      <formula>NOT(ISERROR(SEARCH("Yet to be approved",C1551)))</formula>
    </cfRule>
  </conditionalFormatting>
  <conditionalFormatting sqref="C1552">
    <cfRule type="containsText" dxfId="1288" priority="1357" operator="containsText" text="Yet to be approved">
      <formula>NOT(ISERROR(SEARCH("Yet to be approved",C1552)))</formula>
    </cfRule>
  </conditionalFormatting>
  <conditionalFormatting sqref="C1553">
    <cfRule type="containsText" dxfId="1287" priority="1356" operator="containsText" text="Yet to be approved">
      <formula>NOT(ISERROR(SEARCH("Yet to be approved",C1553)))</formula>
    </cfRule>
  </conditionalFormatting>
  <conditionalFormatting sqref="C1554">
    <cfRule type="containsText" dxfId="1286" priority="1305" operator="containsText" text="Yet to be approved">
      <formula>NOT(ISERROR(SEARCH("Yet to be approved",C1554)))</formula>
    </cfRule>
  </conditionalFormatting>
  <conditionalFormatting sqref="C1555:C1556">
    <cfRule type="containsText" dxfId="1285" priority="1355" operator="containsText" text="Yet to be approved">
      <formula>NOT(ISERROR(SEARCH("Yet to be approved",C1555)))</formula>
    </cfRule>
  </conditionalFormatting>
  <conditionalFormatting sqref="C1557">
    <cfRule type="containsText" dxfId="1284" priority="1304" operator="containsText" text="Yet to be approved">
      <formula>NOT(ISERROR(SEARCH("Yet to be approved",C1557)))</formula>
    </cfRule>
  </conditionalFormatting>
  <conditionalFormatting sqref="C1558">
    <cfRule type="containsText" dxfId="1283" priority="1354" operator="containsText" text="Yet to be approved">
      <formula>NOT(ISERROR(SEARCH("Yet to be approved",C1558)))</formula>
    </cfRule>
  </conditionalFormatting>
  <conditionalFormatting sqref="C1559">
    <cfRule type="containsText" dxfId="1282" priority="1303" operator="containsText" text="Yet to be approved">
      <formula>NOT(ISERROR(SEARCH("Yet to be approved",C1559)))</formula>
    </cfRule>
  </conditionalFormatting>
  <conditionalFormatting sqref="C1560">
    <cfRule type="containsText" dxfId="1281" priority="1353" operator="containsText" text="Yet to be approved">
      <formula>NOT(ISERROR(SEARCH("Yet to be approved",C1560)))</formula>
    </cfRule>
  </conditionalFormatting>
  <conditionalFormatting sqref="C1561">
    <cfRule type="containsText" dxfId="1280" priority="1302" operator="containsText" text="Yet to be approved">
      <formula>NOT(ISERROR(SEARCH("Yet to be approved",C1561)))</formula>
    </cfRule>
  </conditionalFormatting>
  <conditionalFormatting sqref="C1562:C1564">
    <cfRule type="containsText" dxfId="1279" priority="1352" operator="containsText" text="Yet to be approved">
      <formula>NOT(ISERROR(SEARCH("Yet to be approved",C1562)))</formula>
    </cfRule>
  </conditionalFormatting>
  <conditionalFormatting sqref="C1565">
    <cfRule type="containsText" dxfId="1278" priority="1301" operator="containsText" text="Yet to be approved">
      <formula>NOT(ISERROR(SEARCH("Yet to be approved",C1565)))</formula>
    </cfRule>
  </conditionalFormatting>
  <conditionalFormatting sqref="C1566">
    <cfRule type="containsText" dxfId="1277" priority="1250" operator="containsText" text="Yet to be approved">
      <formula>NOT(ISERROR(SEARCH("Yet to be approved",C1566)))</formula>
    </cfRule>
  </conditionalFormatting>
  <conditionalFormatting sqref="C1567">
    <cfRule type="containsText" dxfId="1276" priority="1300" operator="containsText" text="Yet to be approved">
      <formula>NOT(ISERROR(SEARCH("Yet to be approved",C1567)))</formula>
    </cfRule>
  </conditionalFormatting>
  <conditionalFormatting sqref="C1568:C1570">
    <cfRule type="containsText" dxfId="1275" priority="1351" operator="containsText" text="Yet to be approved">
      <formula>NOT(ISERROR(SEARCH("Yet to be approved",C1568)))</formula>
    </cfRule>
  </conditionalFormatting>
  <conditionalFormatting sqref="C1571">
    <cfRule type="containsText" dxfId="1274" priority="1299" operator="containsText" text="Yet to be approved">
      <formula>NOT(ISERROR(SEARCH("Yet to be approved",C1571)))</formula>
    </cfRule>
  </conditionalFormatting>
  <conditionalFormatting sqref="C1572">
    <cfRule type="containsText" dxfId="1273" priority="1249" operator="containsText" text="Yet to be approved">
      <formula>NOT(ISERROR(SEARCH("Yet to be approved",C1572)))</formula>
    </cfRule>
  </conditionalFormatting>
  <conditionalFormatting sqref="C1573">
    <cfRule type="containsText" dxfId="1272" priority="1248" operator="containsText" text="Yet to be approved">
      <formula>NOT(ISERROR(SEARCH("Yet to be approved",C1573)))</formula>
    </cfRule>
  </conditionalFormatting>
  <conditionalFormatting sqref="C1574">
    <cfRule type="containsText" dxfId="1271" priority="1350" operator="containsText" text="Yet to be approved">
      <formula>NOT(ISERROR(SEARCH("Yet to be approved",C1574)))</formula>
    </cfRule>
  </conditionalFormatting>
  <conditionalFormatting sqref="C1575">
    <cfRule type="containsText" dxfId="1270" priority="1298" operator="containsText" text="Yet to be approved">
      <formula>NOT(ISERROR(SEARCH("Yet to be approved",C1575)))</formula>
    </cfRule>
  </conditionalFormatting>
  <conditionalFormatting sqref="C1576">
    <cfRule type="containsText" dxfId="1269" priority="1272" operator="containsText" text="Yet to be approved">
      <formula>NOT(ISERROR(SEARCH("Yet to be approved",C1576)))</formula>
    </cfRule>
  </conditionalFormatting>
  <conditionalFormatting sqref="C1577">
    <cfRule type="containsText" dxfId="1268" priority="1271" operator="containsText" text="Yet to be approved">
      <formula>NOT(ISERROR(SEARCH("Yet to be approved",C1577)))</formula>
    </cfRule>
  </conditionalFormatting>
  <conditionalFormatting sqref="C1578">
    <cfRule type="containsText" dxfId="1267" priority="1349" operator="containsText" text="Yet to be approved">
      <formula>NOT(ISERROR(SEARCH("Yet to be approved",C1578)))</formula>
    </cfRule>
  </conditionalFormatting>
  <conditionalFormatting sqref="C1579">
    <cfRule type="containsText" dxfId="1266" priority="1297" operator="containsText" text="Yet to be approved">
      <formula>NOT(ISERROR(SEARCH("Yet to be approved",C1579)))</formula>
    </cfRule>
  </conditionalFormatting>
  <conditionalFormatting sqref="C1580">
    <cfRule type="containsText" dxfId="1265" priority="1270" operator="containsText" text="Yet to be approved">
      <formula>NOT(ISERROR(SEARCH("Yet to be approved",C1580)))</formula>
    </cfRule>
  </conditionalFormatting>
  <conditionalFormatting sqref="C1581">
    <cfRule type="containsText" dxfId="1264" priority="1269" operator="containsText" text="Yet to be approved">
      <formula>NOT(ISERROR(SEARCH("Yet to be approved",C1581)))</formula>
    </cfRule>
  </conditionalFormatting>
  <conditionalFormatting sqref="C1582">
    <cfRule type="containsText" dxfId="1263" priority="1268" operator="containsText" text="Yet to be approved">
      <formula>NOT(ISERROR(SEARCH("Yet to be approved",C1582)))</formula>
    </cfRule>
  </conditionalFormatting>
  <conditionalFormatting sqref="C1583">
    <cfRule type="containsText" dxfId="1262" priority="1348" operator="containsText" text="Yet to be approved">
      <formula>NOT(ISERROR(SEARCH("Yet to be approved",C1583)))</formula>
    </cfRule>
  </conditionalFormatting>
  <conditionalFormatting sqref="C1584">
    <cfRule type="containsText" dxfId="1261" priority="1296" operator="containsText" text="Yet to be approved">
      <formula>NOT(ISERROR(SEARCH("Yet to be approved",C1584)))</formula>
    </cfRule>
  </conditionalFormatting>
  <conditionalFormatting sqref="C1585">
    <cfRule type="containsText" dxfId="1260" priority="1267" operator="containsText" text="Yet to be approved">
      <formula>NOT(ISERROR(SEARCH("Yet to be approved",C1585)))</formula>
    </cfRule>
  </conditionalFormatting>
  <conditionalFormatting sqref="C1586">
    <cfRule type="containsText" dxfId="1259" priority="1347" operator="containsText" text="Yet to be approved">
      <formula>NOT(ISERROR(SEARCH("Yet to be approved",C1586)))</formula>
    </cfRule>
  </conditionalFormatting>
  <conditionalFormatting sqref="C1587">
    <cfRule type="containsText" dxfId="1258" priority="1247" operator="containsText" text="Yet to be approved">
      <formula>NOT(ISERROR(SEARCH("Yet to be approved",C1587)))</formula>
    </cfRule>
  </conditionalFormatting>
  <conditionalFormatting sqref="C1588">
    <cfRule type="containsText" dxfId="1257" priority="1246" operator="containsText" text="Yet to be approved">
      <formula>NOT(ISERROR(SEARCH("Yet to be approved",C1588)))</formula>
    </cfRule>
  </conditionalFormatting>
  <conditionalFormatting sqref="C1589">
    <cfRule type="containsText" dxfId="1256" priority="1245" operator="containsText" text="Yet to be approved">
      <formula>NOT(ISERROR(SEARCH("Yet to be approved",C1589)))</formula>
    </cfRule>
  </conditionalFormatting>
  <conditionalFormatting sqref="C1590">
    <cfRule type="containsText" dxfId="1255" priority="1295" operator="containsText" text="Yet to be approved">
      <formula>NOT(ISERROR(SEARCH("Yet to be approved",C1590)))</formula>
    </cfRule>
  </conditionalFormatting>
  <conditionalFormatting sqref="C1591">
    <cfRule type="containsText" dxfId="1254" priority="1266" operator="containsText" text="Yet to be approved">
      <formula>NOT(ISERROR(SEARCH("Yet to be approved",C1591)))</formula>
    </cfRule>
  </conditionalFormatting>
  <conditionalFormatting sqref="C1592">
    <cfRule type="containsText" dxfId="1253" priority="1346" operator="containsText" text="Yet to be approved">
      <formula>NOT(ISERROR(SEARCH("Yet to be approved",C1592)))</formula>
    </cfRule>
  </conditionalFormatting>
  <conditionalFormatting sqref="C1593">
    <cfRule type="containsText" dxfId="1252" priority="1294" operator="containsText" text="Yet to be approved">
      <formula>NOT(ISERROR(SEARCH("Yet to be approved",C1593)))</formula>
    </cfRule>
  </conditionalFormatting>
  <conditionalFormatting sqref="C1594">
    <cfRule type="containsText" dxfId="1251" priority="1265" operator="containsText" text="Yet to be approved">
      <formula>NOT(ISERROR(SEARCH("Yet to be approved",C1594)))</formula>
    </cfRule>
  </conditionalFormatting>
  <conditionalFormatting sqref="C1595:C1597">
    <cfRule type="containsText" dxfId="1250" priority="1264" operator="containsText" text="Yet to be approved">
      <formula>NOT(ISERROR(SEARCH("Yet to be approved",C1595)))</formula>
    </cfRule>
  </conditionalFormatting>
  <conditionalFormatting sqref="C1598">
    <cfRule type="containsText" dxfId="1249" priority="1344" operator="containsText" text="Yet to be approved">
      <formula>NOT(ISERROR(SEARCH("Yet to be approved",C1598)))</formula>
    </cfRule>
  </conditionalFormatting>
  <conditionalFormatting sqref="C1599">
    <cfRule type="containsText" dxfId="1248" priority="1292" operator="containsText" text="Yet to be approved">
      <formula>NOT(ISERROR(SEARCH("Yet to be approved",C1599)))</formula>
    </cfRule>
  </conditionalFormatting>
  <conditionalFormatting sqref="C1600:C1601 C1603:C1611">
    <cfRule type="containsText" dxfId="1247" priority="1293" operator="containsText" text="Yet to be approved">
      <formula>NOT(ISERROR(SEARCH("Yet to be approved",C1600)))</formula>
    </cfRule>
  </conditionalFormatting>
  <conditionalFormatting sqref="C1602">
    <cfRule type="containsText" dxfId="1246" priority="1244" operator="containsText" text="Yet to be approved">
      <formula>NOT(ISERROR(SEARCH("Yet to be approved",C1602)))</formula>
    </cfRule>
  </conditionalFormatting>
  <conditionalFormatting sqref="C1612">
    <cfRule type="containsText" dxfId="1245" priority="1243" operator="containsText" text="Yet to be approved">
      <formula>NOT(ISERROR(SEARCH("Yet to be approved",C1612)))</formula>
    </cfRule>
  </conditionalFormatting>
  <conditionalFormatting sqref="C1613:C1614">
    <cfRule type="containsText" dxfId="1244" priority="1242" operator="containsText" text="Yet to be approved">
      <formula>NOT(ISERROR(SEARCH("Yet to be approved",C1613)))</formula>
    </cfRule>
  </conditionalFormatting>
  <conditionalFormatting sqref="C1615">
    <cfRule type="containsText" dxfId="1243" priority="1241" operator="containsText" text="Yet to be approved">
      <formula>NOT(ISERROR(SEARCH("Yet to be approved",C1615)))</formula>
    </cfRule>
  </conditionalFormatting>
  <conditionalFormatting sqref="C1616:C1617 C1650:C1651">
    <cfRule type="containsText" dxfId="1242" priority="1240" operator="containsText" text="Yet to be approved">
      <formula>NOT(ISERROR(SEARCH("Yet to be approved",C1616)))</formula>
    </cfRule>
  </conditionalFormatting>
  <conditionalFormatting sqref="C1618">
    <cfRule type="containsText" dxfId="1241" priority="1232" operator="containsText" text="Yet to be approved">
      <formula>NOT(ISERROR(SEARCH("Yet to be approved",C1618)))</formula>
    </cfRule>
  </conditionalFormatting>
  <conditionalFormatting sqref="C1618:C1652">
    <cfRule type="containsText" dxfId="1240" priority="1227" operator="containsText" text="DPR not submitted">
      <formula>NOT(ISERROR(SEARCH("DPR not submitted",C1618)))</formula>
    </cfRule>
  </conditionalFormatting>
  <conditionalFormatting sqref="C1619:C1620">
    <cfRule type="containsText" dxfId="1239" priority="1234" operator="containsText" text="Yet to be approved">
      <formula>NOT(ISERROR(SEARCH("Yet to be approved",C1619)))</formula>
    </cfRule>
  </conditionalFormatting>
  <conditionalFormatting sqref="C1621">
    <cfRule type="containsText" dxfId="1238" priority="1231" operator="containsText" text="Yet to be approved">
      <formula>NOT(ISERROR(SEARCH("Yet to be approved",C1621)))</formula>
    </cfRule>
  </conditionalFormatting>
  <conditionalFormatting sqref="C1622:C1627">
    <cfRule type="containsText" dxfId="1237" priority="1235" operator="containsText" text="Yet to be approved">
      <formula>NOT(ISERROR(SEARCH("Yet to be approved",C1622)))</formula>
    </cfRule>
  </conditionalFormatting>
  <conditionalFormatting sqref="C1628">
    <cfRule type="containsText" dxfId="1236" priority="1230" operator="containsText" text="Yet to be approved">
      <formula>NOT(ISERROR(SEARCH("Yet to be approved",C1628)))</formula>
    </cfRule>
  </conditionalFormatting>
  <conditionalFormatting sqref="C1629:C1630">
    <cfRule type="containsText" dxfId="1235" priority="1233" operator="containsText" text="Yet to be approved">
      <formula>NOT(ISERROR(SEARCH("Yet to be approved",C1629)))</formula>
    </cfRule>
  </conditionalFormatting>
  <conditionalFormatting sqref="C1631:C1639">
    <cfRule type="containsText" dxfId="1234" priority="1229" operator="containsText" text="Yet to be approved">
      <formula>NOT(ISERROR(SEARCH("Yet to be approved",C1631)))</formula>
    </cfRule>
  </conditionalFormatting>
  <conditionalFormatting sqref="C1640:C1649">
    <cfRule type="containsText" dxfId="1233" priority="1228" operator="containsText" text="Yet to be approved">
      <formula>NOT(ISERROR(SEARCH("Yet to be approved",C1640)))</formula>
    </cfRule>
  </conditionalFormatting>
  <conditionalFormatting sqref="C1652 C1686">
    <cfRule type="containsText" dxfId="1232" priority="1345" operator="containsText" text="Yet to be approved">
      <formula>NOT(ISERROR(SEARCH("Yet to be approved",C1652)))</formula>
    </cfRule>
  </conditionalFormatting>
  <conditionalFormatting sqref="C1654">
    <cfRule type="containsText" dxfId="1231" priority="1226" operator="containsText" text="Yet to be approved">
      <formula>NOT(ISERROR(SEARCH("Yet to be approved",C1654)))</formula>
    </cfRule>
  </conditionalFormatting>
  <conditionalFormatting sqref="C1654:C1686">
    <cfRule type="containsText" dxfId="1230" priority="1224" operator="containsText" text="DPR not submitted">
      <formula>NOT(ISERROR(SEARCH("DPR not submitted",C1654)))</formula>
    </cfRule>
  </conditionalFormatting>
  <conditionalFormatting sqref="C1655:C1659">
    <cfRule type="containsText" dxfId="1229" priority="1225" operator="containsText" text="Yet to be approved">
      <formula>NOT(ISERROR(SEARCH("Yet to be approved",C1655)))</formula>
    </cfRule>
  </conditionalFormatting>
  <conditionalFormatting sqref="C1706:C1736 C1738:C1977">
    <cfRule type="containsText" dxfId="1228" priority="1222" operator="containsText" text="DPR not submitted">
      <formula>NOT(ISERROR(SEARCH("DPR not submitted",C1706)))</formula>
    </cfRule>
    <cfRule type="containsText" dxfId="1227" priority="1223" operator="containsText" text="Yet to be approved">
      <formula>NOT(ISERROR(SEARCH("Yet to be approved",C1706)))</formula>
    </cfRule>
  </conditionalFormatting>
  <conditionalFormatting sqref="C1979:C2014">
    <cfRule type="containsText" dxfId="1226" priority="1220" operator="containsText" text="DPR not submitted">
      <formula>NOT(ISERROR(SEARCH("DPR not submitted",C1979)))</formula>
    </cfRule>
  </conditionalFormatting>
  <conditionalFormatting sqref="C1982:C2014">
    <cfRule type="containsText" dxfId="1225" priority="1221" operator="containsText" text="Yet to be approved">
      <formula>NOT(ISERROR(SEARCH("Yet to be approved",C1982)))</formula>
    </cfRule>
  </conditionalFormatting>
  <conditionalFormatting sqref="C2016">
    <cfRule type="containsText" dxfId="1224" priority="1752" operator="containsText" text="DPR not submitted">
      <formula>NOT(ISERROR(SEARCH("DPR not submitted",C2016)))</formula>
    </cfRule>
    <cfRule type="containsText" dxfId="1223" priority="1753" operator="containsText" text="Yet to be approved">
      <formula>NOT(ISERROR(SEARCH("Yet to be approved",C2016)))</formula>
    </cfRule>
  </conditionalFormatting>
  <conditionalFormatting sqref="C2020:C2021 C2649:C2651 C2330:C2355">
    <cfRule type="containsText" dxfId="1222" priority="1217" operator="containsText" text="Yet to be approved">
      <formula>NOT(ISERROR(SEARCH("Yet to be approved",C2020)))</formula>
    </cfRule>
  </conditionalFormatting>
  <conditionalFormatting sqref="C2020:C2287">
    <cfRule type="containsText" dxfId="1221" priority="1060" operator="containsText" text="DPR not submitted">
      <formula>NOT(ISERROR(SEARCH("DPR not submitted",C2020)))</formula>
    </cfRule>
  </conditionalFormatting>
  <conditionalFormatting sqref="C2022:C2037">
    <cfRule type="containsText" dxfId="1220" priority="1216" operator="containsText" text="Yet to be approved">
      <formula>NOT(ISERROR(SEARCH("Yet to be approved",C2022)))</formula>
    </cfRule>
  </conditionalFormatting>
  <conditionalFormatting sqref="C2038">
    <cfRule type="containsText" dxfId="1219" priority="1165" operator="containsText" text="Yet to be approved">
      <formula>NOT(ISERROR(SEARCH("Yet to be approved",C2038)))</formula>
    </cfRule>
  </conditionalFormatting>
  <conditionalFormatting sqref="C2039:C2050">
    <cfRule type="containsText" dxfId="1218" priority="1215" operator="containsText" text="Yet to be approved">
      <formula>NOT(ISERROR(SEARCH("Yet to be approved",C2039)))</formula>
    </cfRule>
  </conditionalFormatting>
  <conditionalFormatting sqref="C2051">
    <cfRule type="containsText" dxfId="1217" priority="1164" operator="containsText" text="Yet to be approved">
      <formula>NOT(ISERROR(SEARCH("Yet to be approved",C2051)))</formula>
    </cfRule>
  </conditionalFormatting>
  <conditionalFormatting sqref="C2052:C2056">
    <cfRule type="containsText" dxfId="1216" priority="1214" operator="containsText" text="Yet to be approved">
      <formula>NOT(ISERROR(SEARCH("Yet to be approved",C2052)))</formula>
    </cfRule>
  </conditionalFormatting>
  <conditionalFormatting sqref="C2057">
    <cfRule type="containsText" dxfId="1215" priority="1163" operator="containsText" text="Yet to be approved">
      <formula>NOT(ISERROR(SEARCH("Yet to be approved",C2057)))</formula>
    </cfRule>
  </conditionalFormatting>
  <conditionalFormatting sqref="C2058">
    <cfRule type="containsText" dxfId="1214" priority="1113" operator="containsText" text="Yet to be approved">
      <formula>NOT(ISERROR(SEARCH("Yet to be approved",C2058)))</formula>
    </cfRule>
  </conditionalFormatting>
  <conditionalFormatting sqref="C2059">
    <cfRule type="containsText" dxfId="1213" priority="1112" operator="containsText" text="Yet to be approved">
      <formula>NOT(ISERROR(SEARCH("Yet to be approved",C2059)))</formula>
    </cfRule>
  </conditionalFormatting>
  <conditionalFormatting sqref="C2060">
    <cfRule type="containsText" dxfId="1212" priority="1213" operator="containsText" text="Yet to be approved">
      <formula>NOT(ISERROR(SEARCH("Yet to be approved",C2060)))</formula>
    </cfRule>
  </conditionalFormatting>
  <conditionalFormatting sqref="C2061">
    <cfRule type="containsText" dxfId="1211" priority="1162" operator="containsText" text="Yet to be approved">
      <formula>NOT(ISERROR(SEARCH("Yet to be approved",C2061)))</formula>
    </cfRule>
  </conditionalFormatting>
  <conditionalFormatting sqref="C2062">
    <cfRule type="containsText" dxfId="1210" priority="1212" operator="containsText" text="Yet to be approved">
      <formula>NOT(ISERROR(SEARCH("Yet to be approved",C2062)))</formula>
    </cfRule>
  </conditionalFormatting>
  <conditionalFormatting sqref="C2063">
    <cfRule type="containsText" dxfId="1209" priority="1084" operator="containsText" text="Yet to be approved">
      <formula>NOT(ISERROR(SEARCH("Yet to be approved",C2063)))</formula>
    </cfRule>
  </conditionalFormatting>
  <conditionalFormatting sqref="C2064">
    <cfRule type="containsText" dxfId="1208" priority="1085" operator="containsText" text="Yet to be approved">
      <formula>NOT(ISERROR(SEARCH("Yet to be approved",C2064)))</formula>
    </cfRule>
  </conditionalFormatting>
  <conditionalFormatting sqref="C2065">
    <cfRule type="containsText" dxfId="1207" priority="1161" operator="containsText" text="Yet to be approved">
      <formula>NOT(ISERROR(SEARCH("Yet to be approved",C2065)))</formula>
    </cfRule>
  </conditionalFormatting>
  <conditionalFormatting sqref="C2066:C2068">
    <cfRule type="containsText" dxfId="1206" priority="1211" operator="containsText" text="Yet to be approved">
      <formula>NOT(ISERROR(SEARCH("Yet to be approved",C2066)))</formula>
    </cfRule>
  </conditionalFormatting>
  <conditionalFormatting sqref="C2069">
    <cfRule type="containsText" dxfId="1205" priority="1160" operator="containsText" text="Yet to be approved">
      <formula>NOT(ISERROR(SEARCH("Yet to be approved",C2069)))</formula>
    </cfRule>
  </conditionalFormatting>
  <conditionalFormatting sqref="C2070:C2072">
    <cfRule type="containsText" dxfId="1204" priority="1210" operator="containsText" text="Yet to be approved">
      <formula>NOT(ISERROR(SEARCH("Yet to be approved",C2070)))</formula>
    </cfRule>
  </conditionalFormatting>
  <conditionalFormatting sqref="C2073">
    <cfRule type="containsText" dxfId="1203" priority="1159" operator="containsText" text="Yet to be approved">
      <formula>NOT(ISERROR(SEARCH("Yet to be approved",C2073)))</formula>
    </cfRule>
  </conditionalFormatting>
  <conditionalFormatting sqref="C2074:C2075">
    <cfRule type="containsText" dxfId="1202" priority="1209" operator="containsText" text="Yet to be approved">
      <formula>NOT(ISERROR(SEARCH("Yet to be approved",C2074)))</formula>
    </cfRule>
  </conditionalFormatting>
  <conditionalFormatting sqref="C2076">
    <cfRule type="containsText" dxfId="1201" priority="1158" operator="containsText" text="Yet to be approved">
      <formula>NOT(ISERROR(SEARCH("Yet to be approved",C2076)))</formula>
    </cfRule>
  </conditionalFormatting>
  <conditionalFormatting sqref="C2077:C2080">
    <cfRule type="containsText" dxfId="1200" priority="1208" operator="containsText" text="Yet to be approved">
      <formula>NOT(ISERROR(SEARCH("Yet to be approved",C2077)))</formula>
    </cfRule>
  </conditionalFormatting>
  <conditionalFormatting sqref="C2081">
    <cfRule type="containsText" dxfId="1199" priority="1157" operator="containsText" text="Yet to be approved">
      <formula>NOT(ISERROR(SEARCH("Yet to be approved",C2081)))</formula>
    </cfRule>
  </conditionalFormatting>
  <conditionalFormatting sqref="C2082:C2091">
    <cfRule type="containsText" dxfId="1198" priority="1207" operator="containsText" text="Yet to be approved">
      <formula>NOT(ISERROR(SEARCH("Yet to be approved",C2082)))</formula>
    </cfRule>
  </conditionalFormatting>
  <conditionalFormatting sqref="C2092">
    <cfRule type="containsText" dxfId="1197" priority="1156" operator="containsText" text="Yet to be approved">
      <formula>NOT(ISERROR(SEARCH("Yet to be approved",C2092)))</formula>
    </cfRule>
  </conditionalFormatting>
  <conditionalFormatting sqref="C2093 C2095">
    <cfRule type="containsText" dxfId="1196" priority="1206" operator="containsText" text="Yet to be approved">
      <formula>NOT(ISERROR(SEARCH("Yet to be approved",C2093)))</formula>
    </cfRule>
  </conditionalFormatting>
  <conditionalFormatting sqref="C2094">
    <cfRule type="containsText" dxfId="1195" priority="1083" operator="containsText" text="Yet to be approved">
      <formula>NOT(ISERROR(SEARCH("Yet to be approved",C2094)))</formula>
    </cfRule>
  </conditionalFormatting>
  <conditionalFormatting sqref="C2096">
    <cfRule type="containsText" dxfId="1194" priority="1155" operator="containsText" text="Yet to be approved">
      <formula>NOT(ISERROR(SEARCH("Yet to be approved",C2096)))</formula>
    </cfRule>
  </conditionalFormatting>
  <conditionalFormatting sqref="C2097:C2103">
    <cfRule type="containsText" dxfId="1193" priority="1205" operator="containsText" text="Yet to be approved">
      <formula>NOT(ISERROR(SEARCH("Yet to be approved",C2097)))</formula>
    </cfRule>
  </conditionalFormatting>
  <conditionalFormatting sqref="C2104">
    <cfRule type="containsText" dxfId="1192" priority="1154" operator="containsText" text="Yet to be approved">
      <formula>NOT(ISERROR(SEARCH("Yet to be approved",C2104)))</formula>
    </cfRule>
  </conditionalFormatting>
  <conditionalFormatting sqref="C2105:C2106">
    <cfRule type="containsText" dxfId="1191" priority="1204" operator="containsText" text="Yet to be approved">
      <formula>NOT(ISERROR(SEARCH("Yet to be approved",C2105)))</formula>
    </cfRule>
  </conditionalFormatting>
  <conditionalFormatting sqref="C2107">
    <cfRule type="containsText" dxfId="1190" priority="1153" operator="containsText" text="Yet to be approved">
      <formula>NOT(ISERROR(SEARCH("Yet to be approved",C2107)))</formula>
    </cfRule>
  </conditionalFormatting>
  <conditionalFormatting sqref="C2108:C2110">
    <cfRule type="containsText" dxfId="1189" priority="1203" operator="containsText" text="Yet to be approved">
      <formula>NOT(ISERROR(SEARCH("Yet to be approved",C2108)))</formula>
    </cfRule>
  </conditionalFormatting>
  <conditionalFormatting sqref="C2111">
    <cfRule type="containsText" dxfId="1188" priority="1152" operator="containsText" text="Yet to be approved">
      <formula>NOT(ISERROR(SEARCH("Yet to be approved",C2111)))</formula>
    </cfRule>
  </conditionalFormatting>
  <conditionalFormatting sqref="C2112:C2114">
    <cfRule type="containsText" dxfId="1187" priority="1202" operator="containsText" text="Yet to be approved">
      <formula>NOT(ISERROR(SEARCH("Yet to be approved",C2112)))</formula>
    </cfRule>
  </conditionalFormatting>
  <conditionalFormatting sqref="C2115">
    <cfRule type="containsText" dxfId="1186" priority="1151" operator="containsText" text="Yet to be approved">
      <formula>NOT(ISERROR(SEARCH("Yet to be approved",C2115)))</formula>
    </cfRule>
  </conditionalFormatting>
  <conditionalFormatting sqref="C2116">
    <cfRule type="containsText" dxfId="1185" priority="1111" operator="containsText" text="Yet to be approved">
      <formula>NOT(ISERROR(SEARCH("Yet to be approved",C2116)))</formula>
    </cfRule>
  </conditionalFormatting>
  <conditionalFormatting sqref="C2117">
    <cfRule type="containsText" dxfId="1184" priority="1110" operator="containsText" text="Yet to be approved">
      <formula>NOT(ISERROR(SEARCH("Yet to be approved",C2117)))</formula>
    </cfRule>
  </conditionalFormatting>
  <conditionalFormatting sqref="C2118">
    <cfRule type="containsText" dxfId="1183" priority="1201" operator="containsText" text="Yet to be approved">
      <formula>NOT(ISERROR(SEARCH("Yet to be approved",C2118)))</formula>
    </cfRule>
  </conditionalFormatting>
  <conditionalFormatting sqref="C2119">
    <cfRule type="containsText" dxfId="1182" priority="1150" operator="containsText" text="Yet to be approved">
      <formula>NOT(ISERROR(SEARCH("Yet to be approved",C2119)))</formula>
    </cfRule>
  </conditionalFormatting>
  <conditionalFormatting sqref="C2120:C2123">
    <cfRule type="containsText" dxfId="1181" priority="1200" operator="containsText" text="Yet to be approved">
      <formula>NOT(ISERROR(SEARCH("Yet to be approved",C2120)))</formula>
    </cfRule>
  </conditionalFormatting>
  <conditionalFormatting sqref="C2124">
    <cfRule type="containsText" dxfId="1180" priority="1149" operator="containsText" text="Yet to be approved">
      <formula>NOT(ISERROR(SEARCH("Yet to be approved",C2124)))</formula>
    </cfRule>
  </conditionalFormatting>
  <conditionalFormatting sqref="C2125:C2127">
    <cfRule type="containsText" dxfId="1179" priority="1199" operator="containsText" text="Yet to be approved">
      <formula>NOT(ISERROR(SEARCH("Yet to be approved",C2125)))</formula>
    </cfRule>
  </conditionalFormatting>
  <conditionalFormatting sqref="C2128">
    <cfRule type="containsText" dxfId="1178" priority="1148" operator="containsText" text="Yet to be approved">
      <formula>NOT(ISERROR(SEARCH("Yet to be approved",C2128)))</formula>
    </cfRule>
  </conditionalFormatting>
  <conditionalFormatting sqref="C2129:C2133">
    <cfRule type="containsText" dxfId="1177" priority="1198" operator="containsText" text="Yet to be approved">
      <formula>NOT(ISERROR(SEARCH("Yet to be approved",C2129)))</formula>
    </cfRule>
  </conditionalFormatting>
  <conditionalFormatting sqref="C2134">
    <cfRule type="containsText" dxfId="1176" priority="1147" operator="containsText" text="Yet to be approved">
      <formula>NOT(ISERROR(SEARCH("Yet to be approved",C2134)))</formula>
    </cfRule>
  </conditionalFormatting>
  <conditionalFormatting sqref="C2135:C2140">
    <cfRule type="containsText" dxfId="1175" priority="1197" operator="containsText" text="Yet to be approved">
      <formula>NOT(ISERROR(SEARCH("Yet to be approved",C2135)))</formula>
    </cfRule>
  </conditionalFormatting>
  <conditionalFormatting sqref="C2141">
    <cfRule type="containsText" dxfId="1174" priority="1146" operator="containsText" text="Yet to be approved">
      <formula>NOT(ISERROR(SEARCH("Yet to be approved",C2141)))</formula>
    </cfRule>
  </conditionalFormatting>
  <conditionalFormatting sqref="C2142 C2146 C2144">
    <cfRule type="containsText" dxfId="1173" priority="1196" operator="containsText" text="Yet to be approved">
      <formula>NOT(ISERROR(SEARCH("Yet to be approved",C2142)))</formula>
    </cfRule>
  </conditionalFormatting>
  <conditionalFormatting sqref="C2143">
    <cfRule type="containsText" dxfId="1172" priority="1082" operator="containsText" text="Yet to be approved">
      <formula>NOT(ISERROR(SEARCH("Yet to be approved",C2143)))</formula>
    </cfRule>
  </conditionalFormatting>
  <conditionalFormatting sqref="C2145">
    <cfRule type="containsText" dxfId="1171" priority="1081" operator="containsText" text="Yet to be approved">
      <formula>NOT(ISERROR(SEARCH("Yet to be approved",C2145)))</formula>
    </cfRule>
  </conditionalFormatting>
  <conditionalFormatting sqref="C2147">
    <cfRule type="containsText" dxfId="1170" priority="1145" operator="containsText" text="Yet to be approved">
      <formula>NOT(ISERROR(SEARCH("Yet to be approved",C2147)))</formula>
    </cfRule>
  </conditionalFormatting>
  <conditionalFormatting sqref="C2148:C2151">
    <cfRule type="containsText" dxfId="1169" priority="1195" operator="containsText" text="Yet to be approved">
      <formula>NOT(ISERROR(SEARCH("Yet to be approved",C2148)))</formula>
    </cfRule>
  </conditionalFormatting>
  <conditionalFormatting sqref="C2152">
    <cfRule type="containsText" dxfId="1168" priority="1144" operator="containsText" text="Yet to be approved">
      <formula>NOT(ISERROR(SEARCH("Yet to be approved",C2152)))</formula>
    </cfRule>
  </conditionalFormatting>
  <conditionalFormatting sqref="C2153:C2156">
    <cfRule type="containsText" dxfId="1167" priority="1194" operator="containsText" text="Yet to be approved">
      <formula>NOT(ISERROR(SEARCH("Yet to be approved",C2153)))</formula>
    </cfRule>
  </conditionalFormatting>
  <conditionalFormatting sqref="C2157">
    <cfRule type="containsText" dxfId="1166" priority="1143" operator="containsText" text="Yet to be approved">
      <formula>NOT(ISERROR(SEARCH("Yet to be approved",C2157)))</formula>
    </cfRule>
  </conditionalFormatting>
  <conditionalFormatting sqref="C2158">
    <cfRule type="containsText" dxfId="1165" priority="1193" operator="containsText" text="Yet to be approved">
      <formula>NOT(ISERROR(SEARCH("Yet to be approved",C2158)))</formula>
    </cfRule>
  </conditionalFormatting>
  <conditionalFormatting sqref="C2159">
    <cfRule type="containsText" dxfId="1164" priority="1142" operator="containsText" text="Yet to be approved">
      <formula>NOT(ISERROR(SEARCH("Yet to be approved",C2159)))</formula>
    </cfRule>
  </conditionalFormatting>
  <conditionalFormatting sqref="C2160">
    <cfRule type="containsText" dxfId="1163" priority="1192" operator="containsText" text="Yet to be approved">
      <formula>NOT(ISERROR(SEARCH("Yet to be approved",C2160)))</formula>
    </cfRule>
  </conditionalFormatting>
  <conditionalFormatting sqref="C2161">
    <cfRule type="containsText" dxfId="1162" priority="1141" operator="containsText" text="Yet to be approved">
      <formula>NOT(ISERROR(SEARCH("Yet to be approved",C2161)))</formula>
    </cfRule>
  </conditionalFormatting>
  <conditionalFormatting sqref="C2162:C2164">
    <cfRule type="containsText" dxfId="1161" priority="1191" operator="containsText" text="Yet to be approved">
      <formula>NOT(ISERROR(SEARCH("Yet to be approved",C2162)))</formula>
    </cfRule>
  </conditionalFormatting>
  <conditionalFormatting sqref="C2165">
    <cfRule type="containsText" dxfId="1160" priority="1140" operator="containsText" text="Yet to be approved">
      <formula>NOT(ISERROR(SEARCH("Yet to be approved",C2165)))</formula>
    </cfRule>
  </conditionalFormatting>
  <conditionalFormatting sqref="C2166 C2168:C2169">
    <cfRule type="containsText" dxfId="1159" priority="1190" operator="containsText" text="Yet to be approved">
      <formula>NOT(ISERROR(SEARCH("Yet to be approved",C2166)))</formula>
    </cfRule>
  </conditionalFormatting>
  <conditionalFormatting sqref="C2167">
    <cfRule type="containsText" dxfId="1158" priority="1080" operator="containsText" text="Yet to be approved">
      <formula>NOT(ISERROR(SEARCH("Yet to be approved",C2167)))</formula>
    </cfRule>
  </conditionalFormatting>
  <conditionalFormatting sqref="C2170">
    <cfRule type="containsText" dxfId="1157" priority="1139" operator="containsText" text="Yet to be approved">
      <formula>NOT(ISERROR(SEARCH("Yet to be approved",C2170)))</formula>
    </cfRule>
  </conditionalFormatting>
  <conditionalFormatting sqref="C2171:C2174">
    <cfRule type="containsText" dxfId="1156" priority="1189" operator="containsText" text="Yet to be approved">
      <formula>NOT(ISERROR(SEARCH("Yet to be approved",C2171)))</formula>
    </cfRule>
  </conditionalFormatting>
  <conditionalFormatting sqref="C2175">
    <cfRule type="containsText" dxfId="1155" priority="1138" operator="containsText" text="Yet to be approved">
      <formula>NOT(ISERROR(SEARCH("Yet to be approved",C2175)))</formula>
    </cfRule>
  </conditionalFormatting>
  <conditionalFormatting sqref="C2176:C2177 C2180">
    <cfRule type="containsText" dxfId="1154" priority="1188" operator="containsText" text="Yet to be approved">
      <formula>NOT(ISERROR(SEARCH("Yet to be approved",C2176)))</formula>
    </cfRule>
  </conditionalFormatting>
  <conditionalFormatting sqref="C2178">
    <cfRule type="containsText" dxfId="1153" priority="1079" operator="containsText" text="Yet to be approved">
      <formula>NOT(ISERROR(SEARCH("Yet to be approved",C2178)))</formula>
    </cfRule>
  </conditionalFormatting>
  <conditionalFormatting sqref="C2179">
    <cfRule type="containsText" dxfId="1152" priority="1078" operator="containsText" text="Yet to be approved">
      <formula>NOT(ISERROR(SEARCH("Yet to be approved",C2179)))</formula>
    </cfRule>
  </conditionalFormatting>
  <conditionalFormatting sqref="C2181">
    <cfRule type="containsText" dxfId="1151" priority="1137" operator="containsText" text="Yet to be approved">
      <formula>NOT(ISERROR(SEARCH("Yet to be approved",C2181)))</formula>
    </cfRule>
  </conditionalFormatting>
  <conditionalFormatting sqref="C2182">
    <cfRule type="containsText" dxfId="1150" priority="1077" operator="containsText" text="Yet to be approved">
      <formula>NOT(ISERROR(SEARCH("Yet to be approved",C2182)))</formula>
    </cfRule>
  </conditionalFormatting>
  <conditionalFormatting sqref="C2183">
    <cfRule type="containsText" dxfId="1149" priority="1076" operator="containsText" text="Yet to be approved">
      <formula>NOT(ISERROR(SEARCH("Yet to be approved",C2183)))</formula>
    </cfRule>
  </conditionalFormatting>
  <conditionalFormatting sqref="C2184">
    <cfRule type="containsText" dxfId="1148" priority="1109" operator="containsText" text="Yet to be approved">
      <formula>NOT(ISERROR(SEARCH("Yet to be approved",C2184)))</formula>
    </cfRule>
  </conditionalFormatting>
  <conditionalFormatting sqref="C2185">
    <cfRule type="containsText" dxfId="1147" priority="1108" operator="containsText" text="Yet to be approved">
      <formula>NOT(ISERROR(SEARCH("Yet to be approved",C2185)))</formula>
    </cfRule>
  </conditionalFormatting>
  <conditionalFormatting sqref="C2186">
    <cfRule type="containsText" dxfId="1146" priority="1107" operator="containsText" text="Yet to be approved">
      <formula>NOT(ISERROR(SEARCH("Yet to be approved",C2186)))</formula>
    </cfRule>
  </conditionalFormatting>
  <conditionalFormatting sqref="C2187">
    <cfRule type="containsText" dxfId="1145" priority="1106" operator="containsText" text="Yet to be approved">
      <formula>NOT(ISERROR(SEARCH("Yet to be approved",C2187)))</formula>
    </cfRule>
  </conditionalFormatting>
  <conditionalFormatting sqref="C2188">
    <cfRule type="containsText" dxfId="1144" priority="1105" operator="containsText" text="Yet to be approved">
      <formula>NOT(ISERROR(SEARCH("Yet to be approved",C2188)))</formula>
    </cfRule>
  </conditionalFormatting>
  <conditionalFormatting sqref="C2189">
    <cfRule type="containsText" dxfId="1143" priority="1104" operator="containsText" text="Yet to be approved">
      <formula>NOT(ISERROR(SEARCH("Yet to be approved",C2189)))</formula>
    </cfRule>
  </conditionalFormatting>
  <conditionalFormatting sqref="C2190">
    <cfRule type="containsText" dxfId="1142" priority="1103" operator="containsText" text="Yet to be approved">
      <formula>NOT(ISERROR(SEARCH("Yet to be approved",C2190)))</formula>
    </cfRule>
  </conditionalFormatting>
  <conditionalFormatting sqref="C2191">
    <cfRule type="containsText" dxfId="1141" priority="1102" operator="containsText" text="Yet to be approved">
      <formula>NOT(ISERROR(SEARCH("Yet to be approved",C2191)))</formula>
    </cfRule>
  </conditionalFormatting>
  <conditionalFormatting sqref="C2192">
    <cfRule type="containsText" dxfId="1140" priority="1101" operator="containsText" text="Yet to be approved">
      <formula>NOT(ISERROR(SEARCH("Yet to be approved",C2192)))</formula>
    </cfRule>
  </conditionalFormatting>
  <conditionalFormatting sqref="C2193">
    <cfRule type="containsText" dxfId="1139" priority="1100" operator="containsText" text="Yet to be approved">
      <formula>NOT(ISERROR(SEARCH("Yet to be approved",C2193)))</formula>
    </cfRule>
  </conditionalFormatting>
  <conditionalFormatting sqref="C2194">
    <cfRule type="containsText" dxfId="1138" priority="1136" operator="containsText" text="Yet to be approved">
      <formula>NOT(ISERROR(SEARCH("Yet to be approved",C2194)))</formula>
    </cfRule>
  </conditionalFormatting>
  <conditionalFormatting sqref="C2195">
    <cfRule type="containsText" dxfId="1137" priority="1099" operator="containsText" text="Yet to be approved">
      <formula>NOT(ISERROR(SEARCH("Yet to be approved",C2195)))</formula>
    </cfRule>
  </conditionalFormatting>
  <conditionalFormatting sqref="C2196">
    <cfRule type="containsText" dxfId="1136" priority="1098" operator="containsText" text="Yet to be approved">
      <formula>NOT(ISERROR(SEARCH("Yet to be approved",C2196)))</formula>
    </cfRule>
  </conditionalFormatting>
  <conditionalFormatting sqref="C2197">
    <cfRule type="containsText" dxfId="1135" priority="1187" operator="containsText" text="Yet to be approved">
      <formula>NOT(ISERROR(SEARCH("Yet to be approved",C2197)))</formula>
    </cfRule>
  </conditionalFormatting>
  <conditionalFormatting sqref="C2198">
    <cfRule type="containsText" dxfId="1134" priority="1135" operator="containsText" text="Yet to be approved">
      <formula>NOT(ISERROR(SEARCH("Yet to be approved",C2198)))</formula>
    </cfRule>
  </conditionalFormatting>
  <conditionalFormatting sqref="C2199">
    <cfRule type="containsText" dxfId="1133" priority="1097" operator="containsText" text="Yet to be approved">
      <formula>NOT(ISERROR(SEARCH("Yet to be approved",C2199)))</formula>
    </cfRule>
  </conditionalFormatting>
  <conditionalFormatting sqref="C2200">
    <cfRule type="containsText" dxfId="1132" priority="1186" operator="containsText" text="Yet to be approved">
      <formula>NOT(ISERROR(SEARCH("Yet to be approved",C2200)))</formula>
    </cfRule>
  </conditionalFormatting>
  <conditionalFormatting sqref="C2201">
    <cfRule type="containsText" dxfId="1131" priority="1134" operator="containsText" text="Yet to be approved">
      <formula>NOT(ISERROR(SEARCH("Yet to be approved",C2201)))</formula>
    </cfRule>
  </conditionalFormatting>
  <conditionalFormatting sqref="C2202">
    <cfRule type="containsText" dxfId="1130" priority="1075" operator="containsText" text="Yet to be approved">
      <formula>NOT(ISERROR(SEARCH("Yet to be approved",C2202)))</formula>
    </cfRule>
  </conditionalFormatting>
  <conditionalFormatting sqref="C2203">
    <cfRule type="containsText" dxfId="1129" priority="1185" operator="containsText" text="Yet to be approved">
      <formula>NOT(ISERROR(SEARCH("Yet to be approved",C2203)))</formula>
    </cfRule>
  </conditionalFormatting>
  <conditionalFormatting sqref="C2204">
    <cfRule type="containsText" dxfId="1128" priority="1133" operator="containsText" text="Yet to be approved">
      <formula>NOT(ISERROR(SEARCH("Yet to be approved",C2204)))</formula>
    </cfRule>
  </conditionalFormatting>
  <conditionalFormatting sqref="C2205">
    <cfRule type="containsText" dxfId="1127" priority="1096" operator="containsText" text="Yet to be approved">
      <formula>NOT(ISERROR(SEARCH("Yet to be approved",C2205)))</formula>
    </cfRule>
  </conditionalFormatting>
  <conditionalFormatting sqref="C2206">
    <cfRule type="containsText" dxfId="1126" priority="1184" operator="containsText" text="Yet to be approved">
      <formula>NOT(ISERROR(SEARCH("Yet to be approved",C2206)))</formula>
    </cfRule>
  </conditionalFormatting>
  <conditionalFormatting sqref="C2207">
    <cfRule type="containsText" dxfId="1125" priority="1132" operator="containsText" text="Yet to be approved">
      <formula>NOT(ISERROR(SEARCH("Yet to be approved",C2207)))</formula>
    </cfRule>
  </conditionalFormatting>
  <conditionalFormatting sqref="C2208">
    <cfRule type="containsText" dxfId="1124" priority="1074" operator="containsText" text="Yet to be approved">
      <formula>NOT(ISERROR(SEARCH("Yet to be approved",C2208)))</formula>
    </cfRule>
  </conditionalFormatting>
  <conditionalFormatting sqref="C2209">
    <cfRule type="containsText" dxfId="1123" priority="1183" operator="containsText" text="Yet to be approved">
      <formula>NOT(ISERROR(SEARCH("Yet to be approved",C2209)))</formula>
    </cfRule>
  </conditionalFormatting>
  <conditionalFormatting sqref="C2210">
    <cfRule type="containsText" dxfId="1122" priority="1131" operator="containsText" text="Yet to be approved">
      <formula>NOT(ISERROR(SEARCH("Yet to be approved",C2210)))</formula>
    </cfRule>
  </conditionalFormatting>
  <conditionalFormatting sqref="C2211">
    <cfRule type="containsText" dxfId="1121" priority="1073" operator="containsText" text="Yet to be approved">
      <formula>NOT(ISERROR(SEARCH("Yet to be approved",C2211)))</formula>
    </cfRule>
  </conditionalFormatting>
  <conditionalFormatting sqref="C2212">
    <cfRule type="containsText" dxfId="1120" priority="1182" operator="containsText" text="Yet to be approved">
      <formula>NOT(ISERROR(SEARCH("Yet to be approved",C2212)))</formula>
    </cfRule>
  </conditionalFormatting>
  <conditionalFormatting sqref="C2213:C2215">
    <cfRule type="containsText" dxfId="1119" priority="1058" operator="containsText" text="DPR not submitted">
      <formula>NOT(ISERROR(SEARCH("DPR not submitted",C2213)))</formula>
    </cfRule>
    <cfRule type="containsText" dxfId="1118" priority="1059" operator="containsText" text="Yet to be approved">
      <formula>NOT(ISERROR(SEARCH("Yet to be approved",C2213)))</formula>
    </cfRule>
    <cfRule type="containsText" dxfId="1117" priority="1061" operator="containsText" text="Yet to be approved">
      <formula>NOT(ISERROR(SEARCH("Yet to be approved",C2213)))</formula>
    </cfRule>
  </conditionalFormatting>
  <conditionalFormatting sqref="C2216">
    <cfRule type="containsText" dxfId="1116" priority="1130" operator="containsText" text="Yet to be approved">
      <formula>NOT(ISERROR(SEARCH("Yet to be approved",C2216)))</formula>
    </cfRule>
  </conditionalFormatting>
  <conditionalFormatting sqref="C2217">
    <cfRule type="containsText" dxfId="1115" priority="1095" operator="containsText" text="Yet to be approved">
      <formula>NOT(ISERROR(SEARCH("Yet to be approved",C2217)))</formula>
    </cfRule>
  </conditionalFormatting>
  <conditionalFormatting sqref="C2218">
    <cfRule type="containsText" dxfId="1114" priority="1181" operator="containsText" text="Yet to be approved">
      <formula>NOT(ISERROR(SEARCH("Yet to be approved",C2218)))</formula>
    </cfRule>
  </conditionalFormatting>
  <conditionalFormatting sqref="C2219">
    <cfRule type="containsText" dxfId="1113" priority="1129" operator="containsText" text="Yet to be approved">
      <formula>NOT(ISERROR(SEARCH("Yet to be approved",C2219)))</formula>
    </cfRule>
  </conditionalFormatting>
  <conditionalFormatting sqref="C2220">
    <cfRule type="containsText" dxfId="1112" priority="1180" operator="containsText" text="Yet to be approved">
      <formula>NOT(ISERROR(SEARCH("Yet to be approved",C2220)))</formula>
    </cfRule>
  </conditionalFormatting>
  <conditionalFormatting sqref="C2221">
    <cfRule type="containsText" dxfId="1111" priority="1128" operator="containsText" text="Yet to be approved">
      <formula>NOT(ISERROR(SEARCH("Yet to be approved",C2221)))</formula>
    </cfRule>
  </conditionalFormatting>
  <conditionalFormatting sqref="C2222">
    <cfRule type="containsText" dxfId="1110" priority="1179" operator="containsText" text="Yet to be approved">
      <formula>NOT(ISERROR(SEARCH("Yet to be approved",C2222)))</formula>
    </cfRule>
  </conditionalFormatting>
  <conditionalFormatting sqref="C2223">
    <cfRule type="containsText" dxfId="1109" priority="1178" operator="containsText" text="Yet to be approved">
      <formula>NOT(ISERROR(SEARCH("Yet to be approved",C2223)))</formula>
    </cfRule>
  </conditionalFormatting>
  <conditionalFormatting sqref="C2224">
    <cfRule type="containsText" dxfId="1108" priority="1127" operator="containsText" text="Yet to be approved">
      <formula>NOT(ISERROR(SEARCH("Yet to be approved",C2224)))</formula>
    </cfRule>
  </conditionalFormatting>
  <conditionalFormatting sqref="C2225:C2226">
    <cfRule type="containsText" dxfId="1107" priority="1177" operator="containsText" text="Yet to be approved">
      <formula>NOT(ISERROR(SEARCH("Yet to be approved",C2225)))</formula>
    </cfRule>
  </conditionalFormatting>
  <conditionalFormatting sqref="C2227">
    <cfRule type="containsText" dxfId="1106" priority="1126" operator="containsText" text="Yet to be approved">
      <formula>NOT(ISERROR(SEARCH("Yet to be approved",C2227)))</formula>
    </cfRule>
  </conditionalFormatting>
  <conditionalFormatting sqref="C2228">
    <cfRule type="containsText" dxfId="1105" priority="1176" operator="containsText" text="Yet to be approved">
      <formula>NOT(ISERROR(SEARCH("Yet to be approved",C2228)))</formula>
    </cfRule>
  </conditionalFormatting>
  <conditionalFormatting sqref="C2229">
    <cfRule type="containsText" dxfId="1104" priority="1125" operator="containsText" text="Yet to be approved">
      <formula>NOT(ISERROR(SEARCH("Yet to be approved",C2229)))</formula>
    </cfRule>
  </conditionalFormatting>
  <conditionalFormatting sqref="C2230">
    <cfRule type="containsText" dxfId="1103" priority="1175" operator="containsText" text="Yet to be approved">
      <formula>NOT(ISERROR(SEARCH("Yet to be approved",C2230)))</formula>
    </cfRule>
  </conditionalFormatting>
  <conditionalFormatting sqref="C2231">
    <cfRule type="containsText" dxfId="1102" priority="1124" operator="containsText" text="Yet to be approved">
      <formula>NOT(ISERROR(SEARCH("Yet to be approved",C2231)))</formula>
    </cfRule>
  </conditionalFormatting>
  <conditionalFormatting sqref="C2232:C2234">
    <cfRule type="containsText" dxfId="1101" priority="1174" operator="containsText" text="Yet to be approved">
      <formula>NOT(ISERROR(SEARCH("Yet to be approved",C2232)))</formula>
    </cfRule>
  </conditionalFormatting>
  <conditionalFormatting sqref="C2235">
    <cfRule type="containsText" dxfId="1100" priority="1123" operator="containsText" text="Yet to be approved">
      <formula>NOT(ISERROR(SEARCH("Yet to be approved",C2235)))</formula>
    </cfRule>
  </conditionalFormatting>
  <conditionalFormatting sqref="C2236">
    <cfRule type="containsText" dxfId="1099" priority="1072" operator="containsText" text="Yet to be approved">
      <formula>NOT(ISERROR(SEARCH("Yet to be approved",C2236)))</formula>
    </cfRule>
  </conditionalFormatting>
  <conditionalFormatting sqref="C2237">
    <cfRule type="containsText" dxfId="1098" priority="1122" operator="containsText" text="Yet to be approved">
      <formula>NOT(ISERROR(SEARCH("Yet to be approved",C2237)))</formula>
    </cfRule>
  </conditionalFormatting>
  <conditionalFormatting sqref="C2238:C2240">
    <cfRule type="containsText" dxfId="1097" priority="1173" operator="containsText" text="Yet to be approved">
      <formula>NOT(ISERROR(SEARCH("Yet to be approved",C2238)))</formula>
    </cfRule>
  </conditionalFormatting>
  <conditionalFormatting sqref="C2241">
    <cfRule type="containsText" dxfId="1096" priority="1121" operator="containsText" text="Yet to be approved">
      <formula>NOT(ISERROR(SEARCH("Yet to be approved",C2241)))</formula>
    </cfRule>
  </conditionalFormatting>
  <conditionalFormatting sqref="C2242">
    <cfRule type="containsText" dxfId="1095" priority="1071" operator="containsText" text="Yet to be approved">
      <formula>NOT(ISERROR(SEARCH("Yet to be approved",C2242)))</formula>
    </cfRule>
  </conditionalFormatting>
  <conditionalFormatting sqref="C2243">
    <cfRule type="containsText" dxfId="1094" priority="1070" operator="containsText" text="Yet to be approved">
      <formula>NOT(ISERROR(SEARCH("Yet to be approved",C2243)))</formula>
    </cfRule>
  </conditionalFormatting>
  <conditionalFormatting sqref="C2244">
    <cfRule type="containsText" dxfId="1093" priority="1172" operator="containsText" text="Yet to be approved">
      <formula>NOT(ISERROR(SEARCH("Yet to be approved",C2244)))</formula>
    </cfRule>
  </conditionalFormatting>
  <conditionalFormatting sqref="C2245">
    <cfRule type="containsText" dxfId="1092" priority="1120" operator="containsText" text="Yet to be approved">
      <formula>NOT(ISERROR(SEARCH("Yet to be approved",C2245)))</formula>
    </cfRule>
  </conditionalFormatting>
  <conditionalFormatting sqref="C2246">
    <cfRule type="containsText" dxfId="1091" priority="1094" operator="containsText" text="Yet to be approved">
      <formula>NOT(ISERROR(SEARCH("Yet to be approved",C2246)))</formula>
    </cfRule>
  </conditionalFormatting>
  <conditionalFormatting sqref="C2247">
    <cfRule type="containsText" dxfId="1090" priority="1093" operator="containsText" text="Yet to be approved">
      <formula>NOT(ISERROR(SEARCH("Yet to be approved",C2247)))</formula>
    </cfRule>
  </conditionalFormatting>
  <conditionalFormatting sqref="C2248">
    <cfRule type="containsText" dxfId="1089" priority="1171" operator="containsText" text="Yet to be approved">
      <formula>NOT(ISERROR(SEARCH("Yet to be approved",C2248)))</formula>
    </cfRule>
  </conditionalFormatting>
  <conditionalFormatting sqref="C2249">
    <cfRule type="containsText" dxfId="1088" priority="1119" operator="containsText" text="Yet to be approved">
      <formula>NOT(ISERROR(SEARCH("Yet to be approved",C2249)))</formula>
    </cfRule>
  </conditionalFormatting>
  <conditionalFormatting sqref="C2250">
    <cfRule type="containsText" dxfId="1087" priority="1092" operator="containsText" text="Yet to be approved">
      <formula>NOT(ISERROR(SEARCH("Yet to be approved",C2250)))</formula>
    </cfRule>
  </conditionalFormatting>
  <conditionalFormatting sqref="C2251">
    <cfRule type="containsText" dxfId="1086" priority="1091" operator="containsText" text="Yet to be approved">
      <formula>NOT(ISERROR(SEARCH("Yet to be approved",C2251)))</formula>
    </cfRule>
  </conditionalFormatting>
  <conditionalFormatting sqref="C2252">
    <cfRule type="containsText" dxfId="1085" priority="1090" operator="containsText" text="Yet to be approved">
      <formula>NOT(ISERROR(SEARCH("Yet to be approved",C2252)))</formula>
    </cfRule>
  </conditionalFormatting>
  <conditionalFormatting sqref="C2253">
    <cfRule type="containsText" dxfId="1084" priority="1170" operator="containsText" text="Yet to be approved">
      <formula>NOT(ISERROR(SEARCH("Yet to be approved",C2253)))</formula>
    </cfRule>
  </conditionalFormatting>
  <conditionalFormatting sqref="C2254">
    <cfRule type="containsText" dxfId="1083" priority="1118" operator="containsText" text="Yet to be approved">
      <formula>NOT(ISERROR(SEARCH("Yet to be approved",C2254)))</formula>
    </cfRule>
  </conditionalFormatting>
  <conditionalFormatting sqref="C2255">
    <cfRule type="containsText" dxfId="1082" priority="1089" operator="containsText" text="Yet to be approved">
      <formula>NOT(ISERROR(SEARCH("Yet to be approved",C2255)))</formula>
    </cfRule>
  </conditionalFormatting>
  <conditionalFormatting sqref="C2256">
    <cfRule type="containsText" dxfId="1081" priority="1169" operator="containsText" text="Yet to be approved">
      <formula>NOT(ISERROR(SEARCH("Yet to be approved",C2256)))</formula>
    </cfRule>
  </conditionalFormatting>
  <conditionalFormatting sqref="C2257">
    <cfRule type="containsText" dxfId="1080" priority="1069" operator="containsText" text="Yet to be approved">
      <formula>NOT(ISERROR(SEARCH("Yet to be approved",C2257)))</formula>
    </cfRule>
  </conditionalFormatting>
  <conditionalFormatting sqref="C2258">
    <cfRule type="containsText" dxfId="1079" priority="1068" operator="containsText" text="Yet to be approved">
      <formula>NOT(ISERROR(SEARCH("Yet to be approved",C2258)))</formula>
    </cfRule>
  </conditionalFormatting>
  <conditionalFormatting sqref="C2259">
    <cfRule type="containsText" dxfId="1078" priority="1067" operator="containsText" text="Yet to be approved">
      <formula>NOT(ISERROR(SEARCH("Yet to be approved",C2259)))</formula>
    </cfRule>
  </conditionalFormatting>
  <conditionalFormatting sqref="C2260">
    <cfRule type="containsText" dxfId="1077" priority="1117" operator="containsText" text="Yet to be approved">
      <formula>NOT(ISERROR(SEARCH("Yet to be approved",C2260)))</formula>
    </cfRule>
  </conditionalFormatting>
  <conditionalFormatting sqref="C2261">
    <cfRule type="containsText" dxfId="1076" priority="1088" operator="containsText" text="Yet to be approved">
      <formula>NOT(ISERROR(SEARCH("Yet to be approved",C2261)))</formula>
    </cfRule>
  </conditionalFormatting>
  <conditionalFormatting sqref="C2262">
    <cfRule type="containsText" dxfId="1075" priority="1168" operator="containsText" text="Yet to be approved">
      <formula>NOT(ISERROR(SEARCH("Yet to be approved",C2262)))</formula>
    </cfRule>
  </conditionalFormatting>
  <conditionalFormatting sqref="C2263">
    <cfRule type="containsText" dxfId="1074" priority="1116" operator="containsText" text="Yet to be approved">
      <formula>NOT(ISERROR(SEARCH("Yet to be approved",C2263)))</formula>
    </cfRule>
  </conditionalFormatting>
  <conditionalFormatting sqref="C2264">
    <cfRule type="containsText" dxfId="1073" priority="1087" operator="containsText" text="Yet to be approved">
      <formula>NOT(ISERROR(SEARCH("Yet to be approved",C2264)))</formula>
    </cfRule>
  </conditionalFormatting>
  <conditionalFormatting sqref="C2265:C2267">
    <cfRule type="containsText" dxfId="1072" priority="1086" operator="containsText" text="Yet to be approved">
      <formula>NOT(ISERROR(SEARCH("Yet to be approved",C2265)))</formula>
    </cfRule>
  </conditionalFormatting>
  <conditionalFormatting sqref="C2268">
    <cfRule type="containsText" dxfId="1071" priority="1166" operator="containsText" text="Yet to be approved">
      <formula>NOT(ISERROR(SEARCH("Yet to be approved",C2268)))</formula>
    </cfRule>
  </conditionalFormatting>
  <conditionalFormatting sqref="C2269">
    <cfRule type="containsText" dxfId="1070" priority="1114" operator="containsText" text="Yet to be approved">
      <formula>NOT(ISERROR(SEARCH("Yet to be approved",C2269)))</formula>
    </cfRule>
  </conditionalFormatting>
  <conditionalFormatting sqref="C2270:C2271 C2273:C2281">
    <cfRule type="containsText" dxfId="1069" priority="1115" operator="containsText" text="Yet to be approved">
      <formula>NOT(ISERROR(SEARCH("Yet to be approved",C2270)))</formula>
    </cfRule>
  </conditionalFormatting>
  <conditionalFormatting sqref="C2272">
    <cfRule type="containsText" dxfId="1068" priority="1066" operator="containsText" text="Yet to be approved">
      <formula>NOT(ISERROR(SEARCH("Yet to be approved",C2272)))</formula>
    </cfRule>
  </conditionalFormatting>
  <conditionalFormatting sqref="C2282">
    <cfRule type="containsText" dxfId="1067" priority="1065" operator="containsText" text="Yet to be approved">
      <formula>NOT(ISERROR(SEARCH("Yet to be approved",C2282)))</formula>
    </cfRule>
  </conditionalFormatting>
  <conditionalFormatting sqref="C2283:C2284">
    <cfRule type="containsText" dxfId="1066" priority="1064" operator="containsText" text="Yet to be approved">
      <formula>NOT(ISERROR(SEARCH("Yet to be approved",C2283)))</formula>
    </cfRule>
  </conditionalFormatting>
  <conditionalFormatting sqref="C2285">
    <cfRule type="containsText" dxfId="1065" priority="1063" operator="containsText" text="Yet to be approved">
      <formula>NOT(ISERROR(SEARCH("Yet to be approved",C2285)))</formula>
    </cfRule>
  </conditionalFormatting>
  <conditionalFormatting sqref="C2286:C2287 C2320:C2321">
    <cfRule type="containsText" dxfId="1064" priority="1062" operator="containsText" text="Yet to be approved">
      <formula>NOT(ISERROR(SEARCH("Yet to be approved",C2286)))</formula>
    </cfRule>
  </conditionalFormatting>
  <conditionalFormatting sqref="C2288">
    <cfRule type="containsText" dxfId="1063" priority="1054" operator="containsText" text="Yet to be approved">
      <formula>NOT(ISERROR(SEARCH("Yet to be approved",C2288)))</formula>
    </cfRule>
  </conditionalFormatting>
  <conditionalFormatting sqref="C2288:C2322">
    <cfRule type="containsText" dxfId="1062" priority="1049" operator="containsText" text="DPR not submitted">
      <formula>NOT(ISERROR(SEARCH("DPR not submitted",C2288)))</formula>
    </cfRule>
  </conditionalFormatting>
  <conditionalFormatting sqref="C2289:C2290">
    <cfRule type="containsText" dxfId="1061" priority="1056" operator="containsText" text="Yet to be approved">
      <formula>NOT(ISERROR(SEARCH("Yet to be approved",C2289)))</formula>
    </cfRule>
  </conditionalFormatting>
  <conditionalFormatting sqref="C2291">
    <cfRule type="containsText" dxfId="1060" priority="1053" operator="containsText" text="Yet to be approved">
      <formula>NOT(ISERROR(SEARCH("Yet to be approved",C2291)))</formula>
    </cfRule>
  </conditionalFormatting>
  <conditionalFormatting sqref="C2292:C2297">
    <cfRule type="containsText" dxfId="1059" priority="1057" operator="containsText" text="Yet to be approved">
      <formula>NOT(ISERROR(SEARCH("Yet to be approved",C2292)))</formula>
    </cfRule>
  </conditionalFormatting>
  <conditionalFormatting sqref="C2298">
    <cfRule type="containsText" dxfId="1058" priority="1052" operator="containsText" text="Yet to be approved">
      <formula>NOT(ISERROR(SEARCH("Yet to be approved",C2298)))</formula>
    </cfRule>
  </conditionalFormatting>
  <conditionalFormatting sqref="C2299:C2300">
    <cfRule type="containsText" dxfId="1057" priority="1055" operator="containsText" text="Yet to be approved">
      <formula>NOT(ISERROR(SEARCH("Yet to be approved",C2299)))</formula>
    </cfRule>
  </conditionalFormatting>
  <conditionalFormatting sqref="C2301:C2309">
    <cfRule type="containsText" dxfId="1056" priority="1051" operator="containsText" text="Yet to be approved">
      <formula>NOT(ISERROR(SEARCH("Yet to be approved",C2301)))</formula>
    </cfRule>
  </conditionalFormatting>
  <conditionalFormatting sqref="C2310:C2319">
    <cfRule type="containsText" dxfId="1055" priority="1050" operator="containsText" text="Yet to be approved">
      <formula>NOT(ISERROR(SEARCH("Yet to be approved",C2310)))</formula>
    </cfRule>
  </conditionalFormatting>
  <conditionalFormatting sqref="C2322 C2356">
    <cfRule type="containsText" dxfId="1054" priority="1167" operator="containsText" text="Yet to be approved">
      <formula>NOT(ISERROR(SEARCH("Yet to be approved",C2322)))</formula>
    </cfRule>
  </conditionalFormatting>
  <conditionalFormatting sqref="C2324">
    <cfRule type="containsText" dxfId="1053" priority="1048" operator="containsText" text="Yet to be approved">
      <formula>NOT(ISERROR(SEARCH("Yet to be approved",C2324)))</formula>
    </cfRule>
  </conditionalFormatting>
  <conditionalFormatting sqref="C2324:C2356">
    <cfRule type="containsText" dxfId="1052" priority="1046" operator="containsText" text="DPR not submitted">
      <formula>NOT(ISERROR(SEARCH("DPR not submitted",C2324)))</formula>
    </cfRule>
  </conditionalFormatting>
  <conditionalFormatting sqref="C2325:C2329">
    <cfRule type="containsText" dxfId="1051" priority="1047" operator="containsText" text="Yet to be approved">
      <formula>NOT(ISERROR(SEARCH("Yet to be approved",C2325)))</formula>
    </cfRule>
  </conditionalFormatting>
  <conditionalFormatting sqref="C2376:C2406 C2408:C2647">
    <cfRule type="containsText" dxfId="1050" priority="1044" operator="containsText" text="DPR not submitted">
      <formula>NOT(ISERROR(SEARCH("DPR not submitted",C2376)))</formula>
    </cfRule>
    <cfRule type="containsText" dxfId="1049" priority="1045" operator="containsText" text="Yet to be approved">
      <formula>NOT(ISERROR(SEARCH("Yet to be approved",C2376)))</formula>
    </cfRule>
  </conditionalFormatting>
  <conditionalFormatting sqref="C2649:C2684">
    <cfRule type="containsText" dxfId="1048" priority="1042" operator="containsText" text="DPR not submitted">
      <formula>NOT(ISERROR(SEARCH("DPR not submitted",C2649)))</formula>
    </cfRule>
  </conditionalFormatting>
  <conditionalFormatting sqref="C2652:C2684">
    <cfRule type="containsText" dxfId="1047" priority="1043" operator="containsText" text="Yet to be approved">
      <formula>NOT(ISERROR(SEARCH("Yet to be approved",C2652)))</formula>
    </cfRule>
  </conditionalFormatting>
  <conditionalFormatting sqref="C2690:C2691 C3319:C3321 C3000:C3025">
    <cfRule type="containsText" dxfId="1046" priority="1039" operator="containsText" text="Yet to be approved">
      <formula>NOT(ISERROR(SEARCH("Yet to be approved",C2690)))</formula>
    </cfRule>
  </conditionalFormatting>
  <conditionalFormatting sqref="C2690:C2957">
    <cfRule type="containsText" dxfId="1045" priority="882" operator="containsText" text="DPR not submitted">
      <formula>NOT(ISERROR(SEARCH("DPR not submitted",C2690)))</formula>
    </cfRule>
  </conditionalFormatting>
  <conditionalFormatting sqref="C2692:C2707">
    <cfRule type="containsText" dxfId="1044" priority="1038" operator="containsText" text="Yet to be approved">
      <formula>NOT(ISERROR(SEARCH("Yet to be approved",C2692)))</formula>
    </cfRule>
  </conditionalFormatting>
  <conditionalFormatting sqref="C2708">
    <cfRule type="containsText" dxfId="1043" priority="987" operator="containsText" text="Yet to be approved">
      <formula>NOT(ISERROR(SEARCH("Yet to be approved",C2708)))</formula>
    </cfRule>
  </conditionalFormatting>
  <conditionalFormatting sqref="C2709:C2720">
    <cfRule type="containsText" dxfId="1042" priority="1037" operator="containsText" text="Yet to be approved">
      <formula>NOT(ISERROR(SEARCH("Yet to be approved",C2709)))</formula>
    </cfRule>
  </conditionalFormatting>
  <conditionalFormatting sqref="C2721">
    <cfRule type="containsText" dxfId="1041" priority="986" operator="containsText" text="Yet to be approved">
      <formula>NOT(ISERROR(SEARCH("Yet to be approved",C2721)))</formula>
    </cfRule>
  </conditionalFormatting>
  <conditionalFormatting sqref="C2722:C2726">
    <cfRule type="containsText" dxfId="1040" priority="1036" operator="containsText" text="Yet to be approved">
      <formula>NOT(ISERROR(SEARCH("Yet to be approved",C2722)))</formula>
    </cfRule>
  </conditionalFormatting>
  <conditionalFormatting sqref="C2727">
    <cfRule type="containsText" dxfId="1039" priority="985" operator="containsText" text="Yet to be approved">
      <formula>NOT(ISERROR(SEARCH("Yet to be approved",C2727)))</formula>
    </cfRule>
  </conditionalFormatting>
  <conditionalFormatting sqref="C2728">
    <cfRule type="containsText" dxfId="1038" priority="935" operator="containsText" text="Yet to be approved">
      <formula>NOT(ISERROR(SEARCH("Yet to be approved",C2728)))</formula>
    </cfRule>
  </conditionalFormatting>
  <conditionalFormatting sqref="C2729">
    <cfRule type="containsText" dxfId="1037" priority="934" operator="containsText" text="Yet to be approved">
      <formula>NOT(ISERROR(SEARCH("Yet to be approved",C2729)))</formula>
    </cfRule>
  </conditionalFormatting>
  <conditionalFormatting sqref="C2730">
    <cfRule type="containsText" dxfId="1036" priority="1035" operator="containsText" text="Yet to be approved">
      <formula>NOT(ISERROR(SEARCH("Yet to be approved",C2730)))</formula>
    </cfRule>
  </conditionalFormatting>
  <conditionalFormatting sqref="C2731">
    <cfRule type="containsText" dxfId="1035" priority="984" operator="containsText" text="Yet to be approved">
      <formula>NOT(ISERROR(SEARCH("Yet to be approved",C2731)))</formula>
    </cfRule>
  </conditionalFormatting>
  <conditionalFormatting sqref="C2732">
    <cfRule type="containsText" dxfId="1034" priority="1034" operator="containsText" text="Yet to be approved">
      <formula>NOT(ISERROR(SEARCH("Yet to be approved",C2732)))</formula>
    </cfRule>
  </conditionalFormatting>
  <conditionalFormatting sqref="C2733">
    <cfRule type="containsText" dxfId="1033" priority="906" operator="containsText" text="Yet to be approved">
      <formula>NOT(ISERROR(SEARCH("Yet to be approved",C2733)))</formula>
    </cfRule>
  </conditionalFormatting>
  <conditionalFormatting sqref="C2734">
    <cfRule type="containsText" dxfId="1032" priority="907" operator="containsText" text="Yet to be approved">
      <formula>NOT(ISERROR(SEARCH("Yet to be approved",C2734)))</formula>
    </cfRule>
  </conditionalFormatting>
  <conditionalFormatting sqref="C2735">
    <cfRule type="containsText" dxfId="1031" priority="983" operator="containsText" text="Yet to be approved">
      <formula>NOT(ISERROR(SEARCH("Yet to be approved",C2735)))</formula>
    </cfRule>
  </conditionalFormatting>
  <conditionalFormatting sqref="C2736:C2738">
    <cfRule type="containsText" dxfId="1030" priority="1033" operator="containsText" text="Yet to be approved">
      <formula>NOT(ISERROR(SEARCH("Yet to be approved",C2736)))</formula>
    </cfRule>
  </conditionalFormatting>
  <conditionalFormatting sqref="C2739">
    <cfRule type="containsText" dxfId="1029" priority="982" operator="containsText" text="Yet to be approved">
      <formula>NOT(ISERROR(SEARCH("Yet to be approved",C2739)))</formula>
    </cfRule>
  </conditionalFormatting>
  <conditionalFormatting sqref="C2740:C2742">
    <cfRule type="containsText" dxfId="1028" priority="1032" operator="containsText" text="Yet to be approved">
      <formula>NOT(ISERROR(SEARCH("Yet to be approved",C2740)))</formula>
    </cfRule>
  </conditionalFormatting>
  <conditionalFormatting sqref="C2743">
    <cfRule type="containsText" dxfId="1027" priority="981" operator="containsText" text="Yet to be approved">
      <formula>NOT(ISERROR(SEARCH("Yet to be approved",C2743)))</formula>
    </cfRule>
  </conditionalFormatting>
  <conditionalFormatting sqref="C2744:C2745">
    <cfRule type="containsText" dxfId="1026" priority="1031" operator="containsText" text="Yet to be approved">
      <formula>NOT(ISERROR(SEARCH("Yet to be approved",C2744)))</formula>
    </cfRule>
  </conditionalFormatting>
  <conditionalFormatting sqref="C2746">
    <cfRule type="containsText" dxfId="1025" priority="980" operator="containsText" text="Yet to be approved">
      <formula>NOT(ISERROR(SEARCH("Yet to be approved",C2746)))</formula>
    </cfRule>
  </conditionalFormatting>
  <conditionalFormatting sqref="C2747:C2750">
    <cfRule type="containsText" dxfId="1024" priority="1030" operator="containsText" text="Yet to be approved">
      <formula>NOT(ISERROR(SEARCH("Yet to be approved",C2747)))</formula>
    </cfRule>
  </conditionalFormatting>
  <conditionalFormatting sqref="C2751">
    <cfRule type="containsText" dxfId="1023" priority="979" operator="containsText" text="Yet to be approved">
      <formula>NOT(ISERROR(SEARCH("Yet to be approved",C2751)))</formula>
    </cfRule>
  </conditionalFormatting>
  <conditionalFormatting sqref="C2752:C2761">
    <cfRule type="containsText" dxfId="1022" priority="1029" operator="containsText" text="Yet to be approved">
      <formula>NOT(ISERROR(SEARCH("Yet to be approved",C2752)))</formula>
    </cfRule>
  </conditionalFormatting>
  <conditionalFormatting sqref="C2762">
    <cfRule type="containsText" dxfId="1021" priority="978" operator="containsText" text="Yet to be approved">
      <formula>NOT(ISERROR(SEARCH("Yet to be approved",C2762)))</formula>
    </cfRule>
  </conditionalFormatting>
  <conditionalFormatting sqref="C2763 C2765">
    <cfRule type="containsText" dxfId="1020" priority="1028" operator="containsText" text="Yet to be approved">
      <formula>NOT(ISERROR(SEARCH("Yet to be approved",C2763)))</formula>
    </cfRule>
  </conditionalFormatting>
  <conditionalFormatting sqref="C2764">
    <cfRule type="containsText" dxfId="1019" priority="905" operator="containsText" text="Yet to be approved">
      <formula>NOT(ISERROR(SEARCH("Yet to be approved",C2764)))</formula>
    </cfRule>
  </conditionalFormatting>
  <conditionalFormatting sqref="C2766">
    <cfRule type="containsText" dxfId="1018" priority="977" operator="containsText" text="Yet to be approved">
      <formula>NOT(ISERROR(SEARCH("Yet to be approved",C2766)))</formula>
    </cfRule>
  </conditionalFormatting>
  <conditionalFormatting sqref="C2767:C2773">
    <cfRule type="containsText" dxfId="1017" priority="1027" operator="containsText" text="Yet to be approved">
      <formula>NOT(ISERROR(SEARCH("Yet to be approved",C2767)))</formula>
    </cfRule>
  </conditionalFormatting>
  <conditionalFormatting sqref="C2774">
    <cfRule type="containsText" dxfId="1016" priority="976" operator="containsText" text="Yet to be approved">
      <formula>NOT(ISERROR(SEARCH("Yet to be approved",C2774)))</formula>
    </cfRule>
  </conditionalFormatting>
  <conditionalFormatting sqref="C2775:C2776">
    <cfRule type="containsText" dxfId="1015" priority="1026" operator="containsText" text="Yet to be approved">
      <formula>NOT(ISERROR(SEARCH("Yet to be approved",C2775)))</formula>
    </cfRule>
  </conditionalFormatting>
  <conditionalFormatting sqref="C2777">
    <cfRule type="containsText" dxfId="1014" priority="975" operator="containsText" text="Yet to be approved">
      <formula>NOT(ISERROR(SEARCH("Yet to be approved",C2777)))</formula>
    </cfRule>
  </conditionalFormatting>
  <conditionalFormatting sqref="C2778:C2780">
    <cfRule type="containsText" dxfId="1013" priority="1025" operator="containsText" text="Yet to be approved">
      <formula>NOT(ISERROR(SEARCH("Yet to be approved",C2778)))</formula>
    </cfRule>
  </conditionalFormatting>
  <conditionalFormatting sqref="C2781">
    <cfRule type="containsText" dxfId="1012" priority="974" operator="containsText" text="Yet to be approved">
      <formula>NOT(ISERROR(SEARCH("Yet to be approved",C2781)))</formula>
    </cfRule>
  </conditionalFormatting>
  <conditionalFormatting sqref="C2782:C2784">
    <cfRule type="containsText" dxfId="1011" priority="1024" operator="containsText" text="Yet to be approved">
      <formula>NOT(ISERROR(SEARCH("Yet to be approved",C2782)))</formula>
    </cfRule>
  </conditionalFormatting>
  <conditionalFormatting sqref="C2785">
    <cfRule type="containsText" dxfId="1010" priority="973" operator="containsText" text="Yet to be approved">
      <formula>NOT(ISERROR(SEARCH("Yet to be approved",C2785)))</formula>
    </cfRule>
  </conditionalFormatting>
  <conditionalFormatting sqref="C2786">
    <cfRule type="containsText" dxfId="1009" priority="933" operator="containsText" text="Yet to be approved">
      <formula>NOT(ISERROR(SEARCH("Yet to be approved",C2786)))</formula>
    </cfRule>
  </conditionalFormatting>
  <conditionalFormatting sqref="C2787">
    <cfRule type="containsText" dxfId="1008" priority="932" operator="containsText" text="Yet to be approved">
      <formula>NOT(ISERROR(SEARCH("Yet to be approved",C2787)))</formula>
    </cfRule>
  </conditionalFormatting>
  <conditionalFormatting sqref="C2788">
    <cfRule type="containsText" dxfId="1007" priority="1023" operator="containsText" text="Yet to be approved">
      <formula>NOT(ISERROR(SEARCH("Yet to be approved",C2788)))</formula>
    </cfRule>
  </conditionalFormatting>
  <conditionalFormatting sqref="C2789">
    <cfRule type="containsText" dxfId="1006" priority="972" operator="containsText" text="Yet to be approved">
      <formula>NOT(ISERROR(SEARCH("Yet to be approved",C2789)))</formula>
    </cfRule>
  </conditionalFormatting>
  <conditionalFormatting sqref="C2790:C2793">
    <cfRule type="containsText" dxfId="1005" priority="1022" operator="containsText" text="Yet to be approved">
      <formula>NOT(ISERROR(SEARCH("Yet to be approved",C2790)))</formula>
    </cfRule>
  </conditionalFormatting>
  <conditionalFormatting sqref="C2794">
    <cfRule type="containsText" dxfId="1004" priority="971" operator="containsText" text="Yet to be approved">
      <formula>NOT(ISERROR(SEARCH("Yet to be approved",C2794)))</formula>
    </cfRule>
  </conditionalFormatting>
  <conditionalFormatting sqref="C2795:C2797">
    <cfRule type="containsText" dxfId="1003" priority="1021" operator="containsText" text="Yet to be approved">
      <formula>NOT(ISERROR(SEARCH("Yet to be approved",C2795)))</formula>
    </cfRule>
  </conditionalFormatting>
  <conditionalFormatting sqref="C2798">
    <cfRule type="containsText" dxfId="1002" priority="970" operator="containsText" text="Yet to be approved">
      <formula>NOT(ISERROR(SEARCH("Yet to be approved",C2798)))</formula>
    </cfRule>
  </conditionalFormatting>
  <conditionalFormatting sqref="C2799:C2803">
    <cfRule type="containsText" dxfId="1001" priority="1020" operator="containsText" text="Yet to be approved">
      <formula>NOT(ISERROR(SEARCH("Yet to be approved",C2799)))</formula>
    </cfRule>
  </conditionalFormatting>
  <conditionalFormatting sqref="C2804">
    <cfRule type="containsText" dxfId="1000" priority="969" operator="containsText" text="Yet to be approved">
      <formula>NOT(ISERROR(SEARCH("Yet to be approved",C2804)))</formula>
    </cfRule>
  </conditionalFormatting>
  <conditionalFormatting sqref="C2805:C2810">
    <cfRule type="containsText" dxfId="999" priority="1019" operator="containsText" text="Yet to be approved">
      <formula>NOT(ISERROR(SEARCH("Yet to be approved",C2805)))</formula>
    </cfRule>
  </conditionalFormatting>
  <conditionalFormatting sqref="C2811">
    <cfRule type="containsText" dxfId="998" priority="968" operator="containsText" text="Yet to be approved">
      <formula>NOT(ISERROR(SEARCH("Yet to be approved",C2811)))</formula>
    </cfRule>
  </conditionalFormatting>
  <conditionalFormatting sqref="C2812 C2816 C2814">
    <cfRule type="containsText" dxfId="997" priority="1018" operator="containsText" text="Yet to be approved">
      <formula>NOT(ISERROR(SEARCH("Yet to be approved",C2812)))</formula>
    </cfRule>
  </conditionalFormatting>
  <conditionalFormatting sqref="C2813">
    <cfRule type="containsText" dxfId="996" priority="904" operator="containsText" text="Yet to be approved">
      <formula>NOT(ISERROR(SEARCH("Yet to be approved",C2813)))</formula>
    </cfRule>
  </conditionalFormatting>
  <conditionalFormatting sqref="C2815">
    <cfRule type="containsText" dxfId="995" priority="903" operator="containsText" text="Yet to be approved">
      <formula>NOT(ISERROR(SEARCH("Yet to be approved",C2815)))</formula>
    </cfRule>
  </conditionalFormatting>
  <conditionalFormatting sqref="C2817">
    <cfRule type="containsText" dxfId="994" priority="967" operator="containsText" text="Yet to be approved">
      <formula>NOT(ISERROR(SEARCH("Yet to be approved",C2817)))</formula>
    </cfRule>
  </conditionalFormatting>
  <conditionalFormatting sqref="C2818:C2821">
    <cfRule type="containsText" dxfId="993" priority="1017" operator="containsText" text="Yet to be approved">
      <formula>NOT(ISERROR(SEARCH("Yet to be approved",C2818)))</formula>
    </cfRule>
  </conditionalFormatting>
  <conditionalFormatting sqref="C2822">
    <cfRule type="containsText" dxfId="992" priority="966" operator="containsText" text="Yet to be approved">
      <formula>NOT(ISERROR(SEARCH("Yet to be approved",C2822)))</formula>
    </cfRule>
  </conditionalFormatting>
  <conditionalFormatting sqref="C2823:C2826">
    <cfRule type="containsText" dxfId="991" priority="1016" operator="containsText" text="Yet to be approved">
      <formula>NOT(ISERROR(SEARCH("Yet to be approved",C2823)))</formula>
    </cfRule>
  </conditionalFormatting>
  <conditionalFormatting sqref="C2827">
    <cfRule type="containsText" dxfId="990" priority="965" operator="containsText" text="Yet to be approved">
      <formula>NOT(ISERROR(SEARCH("Yet to be approved",C2827)))</formula>
    </cfRule>
  </conditionalFormatting>
  <conditionalFormatting sqref="C2828">
    <cfRule type="containsText" dxfId="989" priority="1015" operator="containsText" text="Yet to be approved">
      <formula>NOT(ISERROR(SEARCH("Yet to be approved",C2828)))</formula>
    </cfRule>
  </conditionalFormatting>
  <conditionalFormatting sqref="C2829">
    <cfRule type="containsText" dxfId="988" priority="964" operator="containsText" text="Yet to be approved">
      <formula>NOT(ISERROR(SEARCH("Yet to be approved",C2829)))</formula>
    </cfRule>
  </conditionalFormatting>
  <conditionalFormatting sqref="C2830">
    <cfRule type="containsText" dxfId="987" priority="1014" operator="containsText" text="Yet to be approved">
      <formula>NOT(ISERROR(SEARCH("Yet to be approved",C2830)))</formula>
    </cfRule>
  </conditionalFormatting>
  <conditionalFormatting sqref="C2831">
    <cfRule type="containsText" dxfId="986" priority="963" operator="containsText" text="Yet to be approved">
      <formula>NOT(ISERROR(SEARCH("Yet to be approved",C2831)))</formula>
    </cfRule>
  </conditionalFormatting>
  <conditionalFormatting sqref="C2832:C2834">
    <cfRule type="containsText" dxfId="985" priority="1013" operator="containsText" text="Yet to be approved">
      <formula>NOT(ISERROR(SEARCH("Yet to be approved",C2832)))</formula>
    </cfRule>
  </conditionalFormatting>
  <conditionalFormatting sqref="C2835">
    <cfRule type="containsText" dxfId="984" priority="962" operator="containsText" text="Yet to be approved">
      <formula>NOT(ISERROR(SEARCH("Yet to be approved",C2835)))</formula>
    </cfRule>
  </conditionalFormatting>
  <conditionalFormatting sqref="C2836 C2838:C2839">
    <cfRule type="containsText" dxfId="983" priority="1012" operator="containsText" text="Yet to be approved">
      <formula>NOT(ISERROR(SEARCH("Yet to be approved",C2836)))</formula>
    </cfRule>
  </conditionalFormatting>
  <conditionalFormatting sqref="C2837">
    <cfRule type="containsText" dxfId="982" priority="902" operator="containsText" text="Yet to be approved">
      <formula>NOT(ISERROR(SEARCH("Yet to be approved",C2837)))</formula>
    </cfRule>
  </conditionalFormatting>
  <conditionalFormatting sqref="C2840">
    <cfRule type="containsText" dxfId="981" priority="961" operator="containsText" text="Yet to be approved">
      <formula>NOT(ISERROR(SEARCH("Yet to be approved",C2840)))</formula>
    </cfRule>
  </conditionalFormatting>
  <conditionalFormatting sqref="C2841:C2844">
    <cfRule type="containsText" dxfId="980" priority="1011" operator="containsText" text="Yet to be approved">
      <formula>NOT(ISERROR(SEARCH("Yet to be approved",C2841)))</formula>
    </cfRule>
  </conditionalFormatting>
  <conditionalFormatting sqref="C2845">
    <cfRule type="containsText" dxfId="979" priority="960" operator="containsText" text="Yet to be approved">
      <formula>NOT(ISERROR(SEARCH("Yet to be approved",C2845)))</formula>
    </cfRule>
  </conditionalFormatting>
  <conditionalFormatting sqref="C2846:C2847 C2850">
    <cfRule type="containsText" dxfId="978" priority="1010" operator="containsText" text="Yet to be approved">
      <formula>NOT(ISERROR(SEARCH("Yet to be approved",C2846)))</formula>
    </cfRule>
  </conditionalFormatting>
  <conditionalFormatting sqref="C2848">
    <cfRule type="containsText" dxfId="977" priority="901" operator="containsText" text="Yet to be approved">
      <formula>NOT(ISERROR(SEARCH("Yet to be approved",C2848)))</formula>
    </cfRule>
  </conditionalFormatting>
  <conditionalFormatting sqref="C2849">
    <cfRule type="containsText" dxfId="976" priority="900" operator="containsText" text="Yet to be approved">
      <formula>NOT(ISERROR(SEARCH("Yet to be approved",C2849)))</formula>
    </cfRule>
  </conditionalFormatting>
  <conditionalFormatting sqref="C2851">
    <cfRule type="containsText" dxfId="975" priority="959" operator="containsText" text="Yet to be approved">
      <formula>NOT(ISERROR(SEARCH("Yet to be approved",C2851)))</formula>
    </cfRule>
  </conditionalFormatting>
  <conditionalFormatting sqref="C2852">
    <cfRule type="containsText" dxfId="974" priority="899" operator="containsText" text="Yet to be approved">
      <formula>NOT(ISERROR(SEARCH("Yet to be approved",C2852)))</formula>
    </cfRule>
  </conditionalFormatting>
  <conditionalFormatting sqref="C2853">
    <cfRule type="containsText" dxfId="973" priority="898" operator="containsText" text="Yet to be approved">
      <formula>NOT(ISERROR(SEARCH("Yet to be approved",C2853)))</formula>
    </cfRule>
  </conditionalFormatting>
  <conditionalFormatting sqref="C2854">
    <cfRule type="containsText" dxfId="972" priority="931" operator="containsText" text="Yet to be approved">
      <formula>NOT(ISERROR(SEARCH("Yet to be approved",C2854)))</formula>
    </cfRule>
  </conditionalFormatting>
  <conditionalFormatting sqref="C2855">
    <cfRule type="containsText" dxfId="971" priority="930" operator="containsText" text="Yet to be approved">
      <formula>NOT(ISERROR(SEARCH("Yet to be approved",C2855)))</formula>
    </cfRule>
  </conditionalFormatting>
  <conditionalFormatting sqref="C2856">
    <cfRule type="containsText" dxfId="970" priority="929" operator="containsText" text="Yet to be approved">
      <formula>NOT(ISERROR(SEARCH("Yet to be approved",C2856)))</formula>
    </cfRule>
  </conditionalFormatting>
  <conditionalFormatting sqref="C2857">
    <cfRule type="containsText" dxfId="969" priority="928" operator="containsText" text="Yet to be approved">
      <formula>NOT(ISERROR(SEARCH("Yet to be approved",C2857)))</formula>
    </cfRule>
  </conditionalFormatting>
  <conditionalFormatting sqref="C2858">
    <cfRule type="containsText" dxfId="968" priority="927" operator="containsText" text="Yet to be approved">
      <formula>NOT(ISERROR(SEARCH("Yet to be approved",C2858)))</formula>
    </cfRule>
  </conditionalFormatting>
  <conditionalFormatting sqref="C2859">
    <cfRule type="containsText" dxfId="967" priority="926" operator="containsText" text="Yet to be approved">
      <formula>NOT(ISERROR(SEARCH("Yet to be approved",C2859)))</formula>
    </cfRule>
  </conditionalFormatting>
  <conditionalFormatting sqref="C2860">
    <cfRule type="containsText" dxfId="966" priority="925" operator="containsText" text="Yet to be approved">
      <formula>NOT(ISERROR(SEARCH("Yet to be approved",C2860)))</formula>
    </cfRule>
  </conditionalFormatting>
  <conditionalFormatting sqref="C2861">
    <cfRule type="containsText" dxfId="965" priority="924" operator="containsText" text="Yet to be approved">
      <formula>NOT(ISERROR(SEARCH("Yet to be approved",C2861)))</formula>
    </cfRule>
  </conditionalFormatting>
  <conditionalFormatting sqref="C2862">
    <cfRule type="containsText" dxfId="964" priority="923" operator="containsText" text="Yet to be approved">
      <formula>NOT(ISERROR(SEARCH("Yet to be approved",C2862)))</formula>
    </cfRule>
  </conditionalFormatting>
  <conditionalFormatting sqref="C2863">
    <cfRule type="containsText" dxfId="963" priority="922" operator="containsText" text="Yet to be approved">
      <formula>NOT(ISERROR(SEARCH("Yet to be approved",C2863)))</formula>
    </cfRule>
  </conditionalFormatting>
  <conditionalFormatting sqref="C2864">
    <cfRule type="containsText" dxfId="962" priority="958" operator="containsText" text="Yet to be approved">
      <formula>NOT(ISERROR(SEARCH("Yet to be approved",C2864)))</formula>
    </cfRule>
  </conditionalFormatting>
  <conditionalFormatting sqref="C2865">
    <cfRule type="containsText" dxfId="961" priority="921" operator="containsText" text="Yet to be approved">
      <formula>NOT(ISERROR(SEARCH("Yet to be approved",C2865)))</formula>
    </cfRule>
  </conditionalFormatting>
  <conditionalFormatting sqref="C2866">
    <cfRule type="containsText" dxfId="960" priority="920" operator="containsText" text="Yet to be approved">
      <formula>NOT(ISERROR(SEARCH("Yet to be approved",C2866)))</formula>
    </cfRule>
  </conditionalFormatting>
  <conditionalFormatting sqref="C2867">
    <cfRule type="containsText" dxfId="959" priority="1009" operator="containsText" text="Yet to be approved">
      <formula>NOT(ISERROR(SEARCH("Yet to be approved",C2867)))</formula>
    </cfRule>
  </conditionalFormatting>
  <conditionalFormatting sqref="C2868">
    <cfRule type="containsText" dxfId="958" priority="957" operator="containsText" text="Yet to be approved">
      <formula>NOT(ISERROR(SEARCH("Yet to be approved",C2868)))</formula>
    </cfRule>
  </conditionalFormatting>
  <conditionalFormatting sqref="C2869">
    <cfRule type="containsText" dxfId="957" priority="919" operator="containsText" text="Yet to be approved">
      <formula>NOT(ISERROR(SEARCH("Yet to be approved",C2869)))</formula>
    </cfRule>
  </conditionalFormatting>
  <conditionalFormatting sqref="C2870">
    <cfRule type="containsText" dxfId="956" priority="1008" operator="containsText" text="Yet to be approved">
      <formula>NOT(ISERROR(SEARCH("Yet to be approved",C2870)))</formula>
    </cfRule>
  </conditionalFormatting>
  <conditionalFormatting sqref="C2871">
    <cfRule type="containsText" dxfId="955" priority="956" operator="containsText" text="Yet to be approved">
      <formula>NOT(ISERROR(SEARCH("Yet to be approved",C2871)))</formula>
    </cfRule>
  </conditionalFormatting>
  <conditionalFormatting sqref="C2872">
    <cfRule type="containsText" dxfId="954" priority="897" operator="containsText" text="Yet to be approved">
      <formula>NOT(ISERROR(SEARCH("Yet to be approved",C2872)))</formula>
    </cfRule>
  </conditionalFormatting>
  <conditionalFormatting sqref="C2873">
    <cfRule type="containsText" dxfId="953" priority="1007" operator="containsText" text="Yet to be approved">
      <formula>NOT(ISERROR(SEARCH("Yet to be approved",C2873)))</formula>
    </cfRule>
  </conditionalFormatting>
  <conditionalFormatting sqref="C2874">
    <cfRule type="containsText" dxfId="952" priority="955" operator="containsText" text="Yet to be approved">
      <formula>NOT(ISERROR(SEARCH("Yet to be approved",C2874)))</formula>
    </cfRule>
  </conditionalFormatting>
  <conditionalFormatting sqref="C2875">
    <cfRule type="containsText" dxfId="951" priority="918" operator="containsText" text="Yet to be approved">
      <formula>NOT(ISERROR(SEARCH("Yet to be approved",C2875)))</formula>
    </cfRule>
  </conditionalFormatting>
  <conditionalFormatting sqref="C2876">
    <cfRule type="containsText" dxfId="950" priority="1006" operator="containsText" text="Yet to be approved">
      <formula>NOT(ISERROR(SEARCH("Yet to be approved",C2876)))</formula>
    </cfRule>
  </conditionalFormatting>
  <conditionalFormatting sqref="C2877">
    <cfRule type="containsText" dxfId="949" priority="954" operator="containsText" text="Yet to be approved">
      <formula>NOT(ISERROR(SEARCH("Yet to be approved",C2877)))</formula>
    </cfRule>
  </conditionalFormatting>
  <conditionalFormatting sqref="C2878">
    <cfRule type="containsText" dxfId="948" priority="896" operator="containsText" text="Yet to be approved">
      <formula>NOT(ISERROR(SEARCH("Yet to be approved",C2878)))</formula>
    </cfRule>
  </conditionalFormatting>
  <conditionalFormatting sqref="C2879">
    <cfRule type="containsText" dxfId="947" priority="1005" operator="containsText" text="Yet to be approved">
      <formula>NOT(ISERROR(SEARCH("Yet to be approved",C2879)))</formula>
    </cfRule>
  </conditionalFormatting>
  <conditionalFormatting sqref="C2880">
    <cfRule type="containsText" dxfId="946" priority="953" operator="containsText" text="Yet to be approved">
      <formula>NOT(ISERROR(SEARCH("Yet to be approved",C2880)))</formula>
    </cfRule>
  </conditionalFormatting>
  <conditionalFormatting sqref="C2881">
    <cfRule type="containsText" dxfId="945" priority="895" operator="containsText" text="Yet to be approved">
      <formula>NOT(ISERROR(SEARCH("Yet to be approved",C2881)))</formula>
    </cfRule>
  </conditionalFormatting>
  <conditionalFormatting sqref="C2882">
    <cfRule type="containsText" dxfId="944" priority="1004" operator="containsText" text="Yet to be approved">
      <formula>NOT(ISERROR(SEARCH("Yet to be approved",C2882)))</formula>
    </cfRule>
  </conditionalFormatting>
  <conditionalFormatting sqref="C2883:C2885">
    <cfRule type="containsText" dxfId="943" priority="880" operator="containsText" text="DPR not submitted">
      <formula>NOT(ISERROR(SEARCH("DPR not submitted",C2883)))</formula>
    </cfRule>
    <cfRule type="containsText" dxfId="942" priority="881" operator="containsText" text="Yet to be approved">
      <formula>NOT(ISERROR(SEARCH("Yet to be approved",C2883)))</formula>
    </cfRule>
    <cfRule type="containsText" dxfId="941" priority="883" operator="containsText" text="Yet to be approved">
      <formula>NOT(ISERROR(SEARCH("Yet to be approved",C2883)))</formula>
    </cfRule>
  </conditionalFormatting>
  <conditionalFormatting sqref="C2886">
    <cfRule type="containsText" dxfId="940" priority="952" operator="containsText" text="Yet to be approved">
      <formula>NOT(ISERROR(SEARCH("Yet to be approved",C2886)))</formula>
    </cfRule>
  </conditionalFormatting>
  <conditionalFormatting sqref="C2887">
    <cfRule type="containsText" dxfId="939" priority="917" operator="containsText" text="Yet to be approved">
      <formula>NOT(ISERROR(SEARCH("Yet to be approved",C2887)))</formula>
    </cfRule>
  </conditionalFormatting>
  <conditionalFormatting sqref="C2888">
    <cfRule type="containsText" dxfId="938" priority="1003" operator="containsText" text="Yet to be approved">
      <formula>NOT(ISERROR(SEARCH("Yet to be approved",C2888)))</formula>
    </cfRule>
  </conditionalFormatting>
  <conditionalFormatting sqref="C2889">
    <cfRule type="containsText" dxfId="937" priority="951" operator="containsText" text="Yet to be approved">
      <formula>NOT(ISERROR(SEARCH("Yet to be approved",C2889)))</formula>
    </cfRule>
  </conditionalFormatting>
  <conditionalFormatting sqref="C2890">
    <cfRule type="containsText" dxfId="936" priority="1002" operator="containsText" text="Yet to be approved">
      <formula>NOT(ISERROR(SEARCH("Yet to be approved",C2890)))</formula>
    </cfRule>
  </conditionalFormatting>
  <conditionalFormatting sqref="C2891">
    <cfRule type="containsText" dxfId="935" priority="950" operator="containsText" text="Yet to be approved">
      <formula>NOT(ISERROR(SEARCH("Yet to be approved",C2891)))</formula>
    </cfRule>
  </conditionalFormatting>
  <conditionalFormatting sqref="C2892">
    <cfRule type="containsText" dxfId="934" priority="1001" operator="containsText" text="Yet to be approved">
      <formula>NOT(ISERROR(SEARCH("Yet to be approved",C2892)))</formula>
    </cfRule>
  </conditionalFormatting>
  <conditionalFormatting sqref="C2893">
    <cfRule type="containsText" dxfId="933" priority="1000" operator="containsText" text="Yet to be approved">
      <formula>NOT(ISERROR(SEARCH("Yet to be approved",C2893)))</formula>
    </cfRule>
  </conditionalFormatting>
  <conditionalFormatting sqref="C2894">
    <cfRule type="containsText" dxfId="932" priority="949" operator="containsText" text="Yet to be approved">
      <formula>NOT(ISERROR(SEARCH("Yet to be approved",C2894)))</formula>
    </cfRule>
  </conditionalFormatting>
  <conditionalFormatting sqref="C2895:C2896">
    <cfRule type="containsText" dxfId="931" priority="999" operator="containsText" text="Yet to be approved">
      <formula>NOT(ISERROR(SEARCH("Yet to be approved",C2895)))</formula>
    </cfRule>
  </conditionalFormatting>
  <conditionalFormatting sqref="C2897">
    <cfRule type="containsText" dxfId="930" priority="948" operator="containsText" text="Yet to be approved">
      <formula>NOT(ISERROR(SEARCH("Yet to be approved",C2897)))</formula>
    </cfRule>
  </conditionalFormatting>
  <conditionalFormatting sqref="C2898">
    <cfRule type="containsText" dxfId="929" priority="998" operator="containsText" text="Yet to be approved">
      <formula>NOT(ISERROR(SEARCH("Yet to be approved",C2898)))</formula>
    </cfRule>
  </conditionalFormatting>
  <conditionalFormatting sqref="C2899">
    <cfRule type="containsText" dxfId="928" priority="947" operator="containsText" text="Yet to be approved">
      <formula>NOT(ISERROR(SEARCH("Yet to be approved",C2899)))</formula>
    </cfRule>
  </conditionalFormatting>
  <conditionalFormatting sqref="C2900">
    <cfRule type="containsText" dxfId="927" priority="997" operator="containsText" text="Yet to be approved">
      <formula>NOT(ISERROR(SEARCH("Yet to be approved",C2900)))</formula>
    </cfRule>
  </conditionalFormatting>
  <conditionalFormatting sqref="C2901">
    <cfRule type="containsText" dxfId="926" priority="946" operator="containsText" text="Yet to be approved">
      <formula>NOT(ISERROR(SEARCH("Yet to be approved",C2901)))</formula>
    </cfRule>
  </conditionalFormatting>
  <conditionalFormatting sqref="C2902:C2904">
    <cfRule type="containsText" dxfId="925" priority="996" operator="containsText" text="Yet to be approved">
      <formula>NOT(ISERROR(SEARCH("Yet to be approved",C2902)))</formula>
    </cfRule>
  </conditionalFormatting>
  <conditionalFormatting sqref="C2905">
    <cfRule type="containsText" dxfId="924" priority="945" operator="containsText" text="Yet to be approved">
      <formula>NOT(ISERROR(SEARCH("Yet to be approved",C2905)))</formula>
    </cfRule>
  </conditionalFormatting>
  <conditionalFormatting sqref="C2906">
    <cfRule type="containsText" dxfId="923" priority="894" operator="containsText" text="Yet to be approved">
      <formula>NOT(ISERROR(SEARCH("Yet to be approved",C2906)))</formula>
    </cfRule>
  </conditionalFormatting>
  <conditionalFormatting sqref="C2907">
    <cfRule type="containsText" dxfId="922" priority="944" operator="containsText" text="Yet to be approved">
      <formula>NOT(ISERROR(SEARCH("Yet to be approved",C2907)))</formula>
    </cfRule>
  </conditionalFormatting>
  <conditionalFormatting sqref="C2908:C2910">
    <cfRule type="containsText" dxfId="921" priority="995" operator="containsText" text="Yet to be approved">
      <formula>NOT(ISERROR(SEARCH("Yet to be approved",C2908)))</formula>
    </cfRule>
  </conditionalFormatting>
  <conditionalFormatting sqref="C2911">
    <cfRule type="containsText" dxfId="920" priority="943" operator="containsText" text="Yet to be approved">
      <formula>NOT(ISERROR(SEARCH("Yet to be approved",C2911)))</formula>
    </cfRule>
  </conditionalFormatting>
  <conditionalFormatting sqref="C2912">
    <cfRule type="containsText" dxfId="919" priority="893" operator="containsText" text="Yet to be approved">
      <formula>NOT(ISERROR(SEARCH("Yet to be approved",C2912)))</formula>
    </cfRule>
  </conditionalFormatting>
  <conditionalFormatting sqref="C2913">
    <cfRule type="containsText" dxfId="918" priority="892" operator="containsText" text="Yet to be approved">
      <formula>NOT(ISERROR(SEARCH("Yet to be approved",C2913)))</formula>
    </cfRule>
  </conditionalFormatting>
  <conditionalFormatting sqref="C2914">
    <cfRule type="containsText" dxfId="917" priority="994" operator="containsText" text="Yet to be approved">
      <formula>NOT(ISERROR(SEARCH("Yet to be approved",C2914)))</formula>
    </cfRule>
  </conditionalFormatting>
  <conditionalFormatting sqref="C2915">
    <cfRule type="containsText" dxfId="916" priority="942" operator="containsText" text="Yet to be approved">
      <formula>NOT(ISERROR(SEARCH("Yet to be approved",C2915)))</formula>
    </cfRule>
  </conditionalFormatting>
  <conditionalFormatting sqref="C2916">
    <cfRule type="containsText" dxfId="915" priority="916" operator="containsText" text="Yet to be approved">
      <formula>NOT(ISERROR(SEARCH("Yet to be approved",C2916)))</formula>
    </cfRule>
  </conditionalFormatting>
  <conditionalFormatting sqref="C2917">
    <cfRule type="containsText" dxfId="914" priority="915" operator="containsText" text="Yet to be approved">
      <formula>NOT(ISERROR(SEARCH("Yet to be approved",C2917)))</formula>
    </cfRule>
  </conditionalFormatting>
  <conditionalFormatting sqref="C2918">
    <cfRule type="containsText" dxfId="913" priority="993" operator="containsText" text="Yet to be approved">
      <formula>NOT(ISERROR(SEARCH("Yet to be approved",C2918)))</formula>
    </cfRule>
  </conditionalFormatting>
  <conditionalFormatting sqref="C2919">
    <cfRule type="containsText" dxfId="912" priority="941" operator="containsText" text="Yet to be approved">
      <formula>NOT(ISERROR(SEARCH("Yet to be approved",C2919)))</formula>
    </cfRule>
  </conditionalFormatting>
  <conditionalFormatting sqref="C2920">
    <cfRule type="containsText" dxfId="911" priority="914" operator="containsText" text="Yet to be approved">
      <formula>NOT(ISERROR(SEARCH("Yet to be approved",C2920)))</formula>
    </cfRule>
  </conditionalFormatting>
  <conditionalFormatting sqref="C2921">
    <cfRule type="containsText" dxfId="910" priority="913" operator="containsText" text="Yet to be approved">
      <formula>NOT(ISERROR(SEARCH("Yet to be approved",C2921)))</formula>
    </cfRule>
  </conditionalFormatting>
  <conditionalFormatting sqref="C2922">
    <cfRule type="containsText" dxfId="909" priority="912" operator="containsText" text="Yet to be approved">
      <formula>NOT(ISERROR(SEARCH("Yet to be approved",C2922)))</formula>
    </cfRule>
  </conditionalFormatting>
  <conditionalFormatting sqref="C2923">
    <cfRule type="containsText" dxfId="908" priority="992" operator="containsText" text="Yet to be approved">
      <formula>NOT(ISERROR(SEARCH("Yet to be approved",C2923)))</formula>
    </cfRule>
  </conditionalFormatting>
  <conditionalFormatting sqref="C2924">
    <cfRule type="containsText" dxfId="907" priority="940" operator="containsText" text="Yet to be approved">
      <formula>NOT(ISERROR(SEARCH("Yet to be approved",C2924)))</formula>
    </cfRule>
  </conditionalFormatting>
  <conditionalFormatting sqref="C2925">
    <cfRule type="containsText" dxfId="906" priority="911" operator="containsText" text="Yet to be approved">
      <formula>NOT(ISERROR(SEARCH("Yet to be approved",C2925)))</formula>
    </cfRule>
  </conditionalFormatting>
  <conditionalFormatting sqref="C2926">
    <cfRule type="containsText" dxfId="905" priority="991" operator="containsText" text="Yet to be approved">
      <formula>NOT(ISERROR(SEARCH("Yet to be approved",C2926)))</formula>
    </cfRule>
  </conditionalFormatting>
  <conditionalFormatting sqref="C2927">
    <cfRule type="containsText" dxfId="904" priority="891" operator="containsText" text="Yet to be approved">
      <formula>NOT(ISERROR(SEARCH("Yet to be approved",C2927)))</formula>
    </cfRule>
  </conditionalFormatting>
  <conditionalFormatting sqref="C2928">
    <cfRule type="containsText" dxfId="903" priority="890" operator="containsText" text="Yet to be approved">
      <formula>NOT(ISERROR(SEARCH("Yet to be approved",C2928)))</formula>
    </cfRule>
  </conditionalFormatting>
  <conditionalFormatting sqref="C2929">
    <cfRule type="containsText" dxfId="902" priority="889" operator="containsText" text="Yet to be approved">
      <formula>NOT(ISERROR(SEARCH("Yet to be approved",C2929)))</formula>
    </cfRule>
  </conditionalFormatting>
  <conditionalFormatting sqref="C2930">
    <cfRule type="containsText" dxfId="901" priority="939" operator="containsText" text="Yet to be approved">
      <formula>NOT(ISERROR(SEARCH("Yet to be approved",C2930)))</formula>
    </cfRule>
  </conditionalFormatting>
  <conditionalFormatting sqref="C2931">
    <cfRule type="containsText" dxfId="900" priority="910" operator="containsText" text="Yet to be approved">
      <formula>NOT(ISERROR(SEARCH("Yet to be approved",C2931)))</formula>
    </cfRule>
  </conditionalFormatting>
  <conditionalFormatting sqref="C2932">
    <cfRule type="containsText" dxfId="899" priority="990" operator="containsText" text="Yet to be approved">
      <formula>NOT(ISERROR(SEARCH("Yet to be approved",C2932)))</formula>
    </cfRule>
  </conditionalFormatting>
  <conditionalFormatting sqref="C2933">
    <cfRule type="containsText" dxfId="898" priority="938" operator="containsText" text="Yet to be approved">
      <formula>NOT(ISERROR(SEARCH("Yet to be approved",C2933)))</formula>
    </cfRule>
  </conditionalFormatting>
  <conditionalFormatting sqref="C2934">
    <cfRule type="containsText" dxfId="897" priority="909" operator="containsText" text="Yet to be approved">
      <formula>NOT(ISERROR(SEARCH("Yet to be approved",C2934)))</formula>
    </cfRule>
  </conditionalFormatting>
  <conditionalFormatting sqref="C2935:C2937">
    <cfRule type="containsText" dxfId="896" priority="908" operator="containsText" text="Yet to be approved">
      <formula>NOT(ISERROR(SEARCH("Yet to be approved",C2935)))</formula>
    </cfRule>
  </conditionalFormatting>
  <conditionalFormatting sqref="C2938">
    <cfRule type="containsText" dxfId="895" priority="988" operator="containsText" text="Yet to be approved">
      <formula>NOT(ISERROR(SEARCH("Yet to be approved",C2938)))</formula>
    </cfRule>
  </conditionalFormatting>
  <conditionalFormatting sqref="C2939">
    <cfRule type="containsText" dxfId="894" priority="936" operator="containsText" text="Yet to be approved">
      <formula>NOT(ISERROR(SEARCH("Yet to be approved",C2939)))</formula>
    </cfRule>
  </conditionalFormatting>
  <conditionalFormatting sqref="C2940:C2941 C2943:C2951">
    <cfRule type="containsText" dxfId="893" priority="937" operator="containsText" text="Yet to be approved">
      <formula>NOT(ISERROR(SEARCH("Yet to be approved",C2940)))</formula>
    </cfRule>
  </conditionalFormatting>
  <conditionalFormatting sqref="C2942">
    <cfRule type="containsText" dxfId="892" priority="888" operator="containsText" text="Yet to be approved">
      <formula>NOT(ISERROR(SEARCH("Yet to be approved",C2942)))</formula>
    </cfRule>
  </conditionalFormatting>
  <conditionalFormatting sqref="C2952">
    <cfRule type="containsText" dxfId="891" priority="887" operator="containsText" text="Yet to be approved">
      <formula>NOT(ISERROR(SEARCH("Yet to be approved",C2952)))</formula>
    </cfRule>
  </conditionalFormatting>
  <conditionalFormatting sqref="C2953:C2954">
    <cfRule type="containsText" dxfId="890" priority="886" operator="containsText" text="Yet to be approved">
      <formula>NOT(ISERROR(SEARCH("Yet to be approved",C2953)))</formula>
    </cfRule>
  </conditionalFormatting>
  <conditionalFormatting sqref="C2955">
    <cfRule type="containsText" dxfId="889" priority="885" operator="containsText" text="Yet to be approved">
      <formula>NOT(ISERROR(SEARCH("Yet to be approved",C2955)))</formula>
    </cfRule>
  </conditionalFormatting>
  <conditionalFormatting sqref="C2956:C2957 C2990:C2991">
    <cfRule type="containsText" dxfId="888" priority="884" operator="containsText" text="Yet to be approved">
      <formula>NOT(ISERROR(SEARCH("Yet to be approved",C2956)))</formula>
    </cfRule>
  </conditionalFormatting>
  <conditionalFormatting sqref="C2958">
    <cfRule type="containsText" dxfId="887" priority="876" operator="containsText" text="Yet to be approved">
      <formula>NOT(ISERROR(SEARCH("Yet to be approved",C2958)))</formula>
    </cfRule>
  </conditionalFormatting>
  <conditionalFormatting sqref="C2958:C2992">
    <cfRule type="containsText" dxfId="886" priority="871" operator="containsText" text="DPR not submitted">
      <formula>NOT(ISERROR(SEARCH("DPR not submitted",C2958)))</formula>
    </cfRule>
  </conditionalFormatting>
  <conditionalFormatting sqref="C2959:C2960">
    <cfRule type="containsText" dxfId="885" priority="878" operator="containsText" text="Yet to be approved">
      <formula>NOT(ISERROR(SEARCH("Yet to be approved",C2959)))</formula>
    </cfRule>
  </conditionalFormatting>
  <conditionalFormatting sqref="C2961">
    <cfRule type="containsText" dxfId="884" priority="875" operator="containsText" text="Yet to be approved">
      <formula>NOT(ISERROR(SEARCH("Yet to be approved",C2961)))</formula>
    </cfRule>
  </conditionalFormatting>
  <conditionalFormatting sqref="C2962:C2967">
    <cfRule type="containsText" dxfId="883" priority="879" operator="containsText" text="Yet to be approved">
      <formula>NOT(ISERROR(SEARCH("Yet to be approved",C2962)))</formula>
    </cfRule>
  </conditionalFormatting>
  <conditionalFormatting sqref="C2968">
    <cfRule type="containsText" dxfId="882" priority="874" operator="containsText" text="Yet to be approved">
      <formula>NOT(ISERROR(SEARCH("Yet to be approved",C2968)))</formula>
    </cfRule>
  </conditionalFormatting>
  <conditionalFormatting sqref="C2969:C2970">
    <cfRule type="containsText" dxfId="881" priority="877" operator="containsText" text="Yet to be approved">
      <formula>NOT(ISERROR(SEARCH("Yet to be approved",C2969)))</formula>
    </cfRule>
  </conditionalFormatting>
  <conditionalFormatting sqref="C2971:C2979">
    <cfRule type="containsText" dxfId="880" priority="873" operator="containsText" text="Yet to be approved">
      <formula>NOT(ISERROR(SEARCH("Yet to be approved",C2971)))</formula>
    </cfRule>
  </conditionalFormatting>
  <conditionalFormatting sqref="C2980:C2989">
    <cfRule type="containsText" dxfId="879" priority="872" operator="containsText" text="Yet to be approved">
      <formula>NOT(ISERROR(SEARCH("Yet to be approved",C2980)))</formula>
    </cfRule>
  </conditionalFormatting>
  <conditionalFormatting sqref="C2992 C3026">
    <cfRule type="containsText" dxfId="878" priority="989" operator="containsText" text="Yet to be approved">
      <formula>NOT(ISERROR(SEARCH("Yet to be approved",C2992)))</formula>
    </cfRule>
  </conditionalFormatting>
  <conditionalFormatting sqref="C2994">
    <cfRule type="containsText" dxfId="877" priority="870" operator="containsText" text="Yet to be approved">
      <formula>NOT(ISERROR(SEARCH("Yet to be approved",C2994)))</formula>
    </cfRule>
  </conditionalFormatting>
  <conditionalFormatting sqref="C2994:C3026">
    <cfRule type="containsText" dxfId="876" priority="868" operator="containsText" text="DPR not submitted">
      <formula>NOT(ISERROR(SEARCH("DPR not submitted",C2994)))</formula>
    </cfRule>
  </conditionalFormatting>
  <conditionalFormatting sqref="C2995:C2999">
    <cfRule type="containsText" dxfId="875" priority="869" operator="containsText" text="Yet to be approved">
      <formula>NOT(ISERROR(SEARCH("Yet to be approved",C2995)))</formula>
    </cfRule>
  </conditionalFormatting>
  <conditionalFormatting sqref="C3046:C3076 C3078:C3317">
    <cfRule type="containsText" dxfId="874" priority="866" operator="containsText" text="DPR not submitted">
      <formula>NOT(ISERROR(SEARCH("DPR not submitted",C3046)))</formula>
    </cfRule>
    <cfRule type="containsText" dxfId="873" priority="867" operator="containsText" text="Yet to be approved">
      <formula>NOT(ISERROR(SEARCH("Yet to be approved",C3046)))</formula>
    </cfRule>
  </conditionalFormatting>
  <conditionalFormatting sqref="C3319:C3354">
    <cfRule type="containsText" dxfId="872" priority="864" operator="containsText" text="DPR not submitted">
      <formula>NOT(ISERROR(SEARCH("DPR not submitted",C3319)))</formula>
    </cfRule>
  </conditionalFormatting>
  <conditionalFormatting sqref="C3322:C3354">
    <cfRule type="containsText" dxfId="871" priority="865" operator="containsText" text="Yet to be approved">
      <formula>NOT(ISERROR(SEARCH("Yet to be approved",C3322)))</formula>
    </cfRule>
  </conditionalFormatting>
  <conditionalFormatting sqref="C3360:C3361 C3989:C3991 C3670:C3695">
    <cfRule type="containsText" dxfId="870" priority="861" operator="containsText" text="Yet to be approved">
      <formula>NOT(ISERROR(SEARCH("Yet to be approved",C3360)))</formula>
    </cfRule>
  </conditionalFormatting>
  <conditionalFormatting sqref="C3360:C3627">
    <cfRule type="containsText" dxfId="869" priority="704" operator="containsText" text="DPR not submitted">
      <formula>NOT(ISERROR(SEARCH("DPR not submitted",C3360)))</formula>
    </cfRule>
  </conditionalFormatting>
  <conditionalFormatting sqref="C3362:C3377">
    <cfRule type="containsText" dxfId="868" priority="860" operator="containsText" text="Yet to be approved">
      <formula>NOT(ISERROR(SEARCH("Yet to be approved",C3362)))</formula>
    </cfRule>
  </conditionalFormatting>
  <conditionalFormatting sqref="C3378">
    <cfRule type="containsText" dxfId="867" priority="809" operator="containsText" text="Yet to be approved">
      <formula>NOT(ISERROR(SEARCH("Yet to be approved",C3378)))</formula>
    </cfRule>
  </conditionalFormatting>
  <conditionalFormatting sqref="C3379:C3390">
    <cfRule type="containsText" dxfId="866" priority="859" operator="containsText" text="Yet to be approved">
      <formula>NOT(ISERROR(SEARCH("Yet to be approved",C3379)))</formula>
    </cfRule>
  </conditionalFormatting>
  <conditionalFormatting sqref="C3391">
    <cfRule type="containsText" dxfId="865" priority="808" operator="containsText" text="Yet to be approved">
      <formula>NOT(ISERROR(SEARCH("Yet to be approved",C3391)))</formula>
    </cfRule>
  </conditionalFormatting>
  <conditionalFormatting sqref="C3392:C3396">
    <cfRule type="containsText" dxfId="864" priority="858" operator="containsText" text="Yet to be approved">
      <formula>NOT(ISERROR(SEARCH("Yet to be approved",C3392)))</formula>
    </cfRule>
  </conditionalFormatting>
  <conditionalFormatting sqref="C3397">
    <cfRule type="containsText" dxfId="863" priority="807" operator="containsText" text="Yet to be approved">
      <formula>NOT(ISERROR(SEARCH("Yet to be approved",C3397)))</formula>
    </cfRule>
  </conditionalFormatting>
  <conditionalFormatting sqref="C3398">
    <cfRule type="containsText" dxfId="862" priority="757" operator="containsText" text="Yet to be approved">
      <formula>NOT(ISERROR(SEARCH("Yet to be approved",C3398)))</formula>
    </cfRule>
  </conditionalFormatting>
  <conditionalFormatting sqref="C3399">
    <cfRule type="containsText" dxfId="861" priority="756" operator="containsText" text="Yet to be approved">
      <formula>NOT(ISERROR(SEARCH("Yet to be approved",C3399)))</formula>
    </cfRule>
  </conditionalFormatting>
  <conditionalFormatting sqref="C3400">
    <cfRule type="containsText" dxfId="860" priority="857" operator="containsText" text="Yet to be approved">
      <formula>NOT(ISERROR(SEARCH("Yet to be approved",C3400)))</formula>
    </cfRule>
  </conditionalFormatting>
  <conditionalFormatting sqref="C3401">
    <cfRule type="containsText" dxfId="859" priority="806" operator="containsText" text="Yet to be approved">
      <formula>NOT(ISERROR(SEARCH("Yet to be approved",C3401)))</formula>
    </cfRule>
  </conditionalFormatting>
  <conditionalFormatting sqref="C3402">
    <cfRule type="containsText" dxfId="858" priority="856" operator="containsText" text="Yet to be approved">
      <formula>NOT(ISERROR(SEARCH("Yet to be approved",C3402)))</formula>
    </cfRule>
  </conditionalFormatting>
  <conditionalFormatting sqref="C3403">
    <cfRule type="containsText" dxfId="857" priority="728" operator="containsText" text="Yet to be approved">
      <formula>NOT(ISERROR(SEARCH("Yet to be approved",C3403)))</formula>
    </cfRule>
  </conditionalFormatting>
  <conditionalFormatting sqref="C3404">
    <cfRule type="containsText" dxfId="856" priority="729" operator="containsText" text="Yet to be approved">
      <formula>NOT(ISERROR(SEARCH("Yet to be approved",C3404)))</formula>
    </cfRule>
  </conditionalFormatting>
  <conditionalFormatting sqref="C3405">
    <cfRule type="containsText" dxfId="855" priority="805" operator="containsText" text="Yet to be approved">
      <formula>NOT(ISERROR(SEARCH("Yet to be approved",C3405)))</formula>
    </cfRule>
  </conditionalFormatting>
  <conditionalFormatting sqref="C3406:C3408">
    <cfRule type="containsText" dxfId="854" priority="855" operator="containsText" text="Yet to be approved">
      <formula>NOT(ISERROR(SEARCH("Yet to be approved",C3406)))</formula>
    </cfRule>
  </conditionalFormatting>
  <conditionalFormatting sqref="C3409">
    <cfRule type="containsText" dxfId="853" priority="804" operator="containsText" text="Yet to be approved">
      <formula>NOT(ISERROR(SEARCH("Yet to be approved",C3409)))</formula>
    </cfRule>
  </conditionalFormatting>
  <conditionalFormatting sqref="C3410:C3412">
    <cfRule type="containsText" dxfId="852" priority="854" operator="containsText" text="Yet to be approved">
      <formula>NOT(ISERROR(SEARCH("Yet to be approved",C3410)))</formula>
    </cfRule>
  </conditionalFormatting>
  <conditionalFormatting sqref="C3413">
    <cfRule type="containsText" dxfId="851" priority="803" operator="containsText" text="Yet to be approved">
      <formula>NOT(ISERROR(SEARCH("Yet to be approved",C3413)))</formula>
    </cfRule>
  </conditionalFormatting>
  <conditionalFormatting sqref="C3414:C3415">
    <cfRule type="containsText" dxfId="850" priority="853" operator="containsText" text="Yet to be approved">
      <formula>NOT(ISERROR(SEARCH("Yet to be approved",C3414)))</formula>
    </cfRule>
  </conditionalFormatting>
  <conditionalFormatting sqref="C3416">
    <cfRule type="containsText" dxfId="849" priority="802" operator="containsText" text="Yet to be approved">
      <formula>NOT(ISERROR(SEARCH("Yet to be approved",C3416)))</formula>
    </cfRule>
  </conditionalFormatting>
  <conditionalFormatting sqref="C3417:C3420">
    <cfRule type="containsText" dxfId="848" priority="852" operator="containsText" text="Yet to be approved">
      <formula>NOT(ISERROR(SEARCH("Yet to be approved",C3417)))</formula>
    </cfRule>
  </conditionalFormatting>
  <conditionalFormatting sqref="C3421">
    <cfRule type="containsText" dxfId="847" priority="801" operator="containsText" text="Yet to be approved">
      <formula>NOT(ISERROR(SEARCH("Yet to be approved",C3421)))</formula>
    </cfRule>
  </conditionalFormatting>
  <conditionalFormatting sqref="C3422:C3431">
    <cfRule type="containsText" dxfId="846" priority="851" operator="containsText" text="Yet to be approved">
      <formula>NOT(ISERROR(SEARCH("Yet to be approved",C3422)))</formula>
    </cfRule>
  </conditionalFormatting>
  <conditionalFormatting sqref="C3432">
    <cfRule type="containsText" dxfId="845" priority="800" operator="containsText" text="Yet to be approved">
      <formula>NOT(ISERROR(SEARCH("Yet to be approved",C3432)))</formula>
    </cfRule>
  </conditionalFormatting>
  <conditionalFormatting sqref="C3433 C3435">
    <cfRule type="containsText" dxfId="844" priority="850" operator="containsText" text="Yet to be approved">
      <formula>NOT(ISERROR(SEARCH("Yet to be approved",C3433)))</formula>
    </cfRule>
  </conditionalFormatting>
  <conditionalFormatting sqref="C3434">
    <cfRule type="containsText" dxfId="843" priority="727" operator="containsText" text="Yet to be approved">
      <formula>NOT(ISERROR(SEARCH("Yet to be approved",C3434)))</formula>
    </cfRule>
  </conditionalFormatting>
  <conditionalFormatting sqref="C3436">
    <cfRule type="containsText" dxfId="842" priority="799" operator="containsText" text="Yet to be approved">
      <formula>NOT(ISERROR(SEARCH("Yet to be approved",C3436)))</formula>
    </cfRule>
  </conditionalFormatting>
  <conditionalFormatting sqref="C3437:C3443">
    <cfRule type="containsText" dxfId="841" priority="849" operator="containsText" text="Yet to be approved">
      <formula>NOT(ISERROR(SEARCH("Yet to be approved",C3437)))</formula>
    </cfRule>
  </conditionalFormatting>
  <conditionalFormatting sqref="C3444">
    <cfRule type="containsText" dxfId="840" priority="798" operator="containsText" text="Yet to be approved">
      <formula>NOT(ISERROR(SEARCH("Yet to be approved",C3444)))</formula>
    </cfRule>
  </conditionalFormatting>
  <conditionalFormatting sqref="C3445:C3446">
    <cfRule type="containsText" dxfId="839" priority="848" operator="containsText" text="Yet to be approved">
      <formula>NOT(ISERROR(SEARCH("Yet to be approved",C3445)))</formula>
    </cfRule>
  </conditionalFormatting>
  <conditionalFormatting sqref="C3447">
    <cfRule type="containsText" dxfId="838" priority="797" operator="containsText" text="Yet to be approved">
      <formula>NOT(ISERROR(SEARCH("Yet to be approved",C3447)))</formula>
    </cfRule>
  </conditionalFormatting>
  <conditionalFormatting sqref="C3448:C3450">
    <cfRule type="containsText" dxfId="837" priority="847" operator="containsText" text="Yet to be approved">
      <formula>NOT(ISERROR(SEARCH("Yet to be approved",C3448)))</formula>
    </cfRule>
  </conditionalFormatting>
  <conditionalFormatting sqref="C3451">
    <cfRule type="containsText" dxfId="836" priority="796" operator="containsText" text="Yet to be approved">
      <formula>NOT(ISERROR(SEARCH("Yet to be approved",C3451)))</formula>
    </cfRule>
  </conditionalFormatting>
  <conditionalFormatting sqref="C3452:C3454">
    <cfRule type="containsText" dxfId="835" priority="846" operator="containsText" text="Yet to be approved">
      <formula>NOT(ISERROR(SEARCH("Yet to be approved",C3452)))</formula>
    </cfRule>
  </conditionalFormatting>
  <conditionalFormatting sqref="C3455">
    <cfRule type="containsText" dxfId="834" priority="795" operator="containsText" text="Yet to be approved">
      <formula>NOT(ISERROR(SEARCH("Yet to be approved",C3455)))</formula>
    </cfRule>
  </conditionalFormatting>
  <conditionalFormatting sqref="C3456">
    <cfRule type="containsText" dxfId="833" priority="755" operator="containsText" text="Yet to be approved">
      <formula>NOT(ISERROR(SEARCH("Yet to be approved",C3456)))</formula>
    </cfRule>
  </conditionalFormatting>
  <conditionalFormatting sqref="C3457">
    <cfRule type="containsText" dxfId="832" priority="754" operator="containsText" text="Yet to be approved">
      <formula>NOT(ISERROR(SEARCH("Yet to be approved",C3457)))</formula>
    </cfRule>
  </conditionalFormatting>
  <conditionalFormatting sqref="C3458">
    <cfRule type="containsText" dxfId="831" priority="845" operator="containsText" text="Yet to be approved">
      <formula>NOT(ISERROR(SEARCH("Yet to be approved",C3458)))</formula>
    </cfRule>
  </conditionalFormatting>
  <conditionalFormatting sqref="C3459">
    <cfRule type="containsText" dxfId="830" priority="794" operator="containsText" text="Yet to be approved">
      <formula>NOT(ISERROR(SEARCH("Yet to be approved",C3459)))</formula>
    </cfRule>
  </conditionalFormatting>
  <conditionalFormatting sqref="C3460:C3463">
    <cfRule type="containsText" dxfId="829" priority="844" operator="containsText" text="Yet to be approved">
      <formula>NOT(ISERROR(SEARCH("Yet to be approved",C3460)))</formula>
    </cfRule>
  </conditionalFormatting>
  <conditionalFormatting sqref="C3464">
    <cfRule type="containsText" dxfId="828" priority="793" operator="containsText" text="Yet to be approved">
      <formula>NOT(ISERROR(SEARCH("Yet to be approved",C3464)))</formula>
    </cfRule>
  </conditionalFormatting>
  <conditionalFormatting sqref="C3465:C3467">
    <cfRule type="containsText" dxfId="827" priority="843" operator="containsText" text="Yet to be approved">
      <formula>NOT(ISERROR(SEARCH("Yet to be approved",C3465)))</formula>
    </cfRule>
  </conditionalFormatting>
  <conditionalFormatting sqref="C3468">
    <cfRule type="containsText" dxfId="826" priority="792" operator="containsText" text="Yet to be approved">
      <formula>NOT(ISERROR(SEARCH("Yet to be approved",C3468)))</formula>
    </cfRule>
  </conditionalFormatting>
  <conditionalFormatting sqref="C3469:C3473">
    <cfRule type="containsText" dxfId="825" priority="842" operator="containsText" text="Yet to be approved">
      <formula>NOT(ISERROR(SEARCH("Yet to be approved",C3469)))</formula>
    </cfRule>
  </conditionalFormatting>
  <conditionalFormatting sqref="C3474">
    <cfRule type="containsText" dxfId="824" priority="791" operator="containsText" text="Yet to be approved">
      <formula>NOT(ISERROR(SEARCH("Yet to be approved",C3474)))</formula>
    </cfRule>
  </conditionalFormatting>
  <conditionalFormatting sqref="C3475:C3480">
    <cfRule type="containsText" dxfId="823" priority="841" operator="containsText" text="Yet to be approved">
      <formula>NOT(ISERROR(SEARCH("Yet to be approved",C3475)))</formula>
    </cfRule>
  </conditionalFormatting>
  <conditionalFormatting sqref="C3481">
    <cfRule type="containsText" dxfId="822" priority="790" operator="containsText" text="Yet to be approved">
      <formula>NOT(ISERROR(SEARCH("Yet to be approved",C3481)))</formula>
    </cfRule>
  </conditionalFormatting>
  <conditionalFormatting sqref="C3482 C3486 C3484">
    <cfRule type="containsText" dxfId="821" priority="840" operator="containsText" text="Yet to be approved">
      <formula>NOT(ISERROR(SEARCH("Yet to be approved",C3482)))</formula>
    </cfRule>
  </conditionalFormatting>
  <conditionalFormatting sqref="C3483">
    <cfRule type="containsText" dxfId="820" priority="726" operator="containsText" text="Yet to be approved">
      <formula>NOT(ISERROR(SEARCH("Yet to be approved",C3483)))</formula>
    </cfRule>
  </conditionalFormatting>
  <conditionalFormatting sqref="C3485">
    <cfRule type="containsText" dxfId="819" priority="725" operator="containsText" text="Yet to be approved">
      <formula>NOT(ISERROR(SEARCH("Yet to be approved",C3485)))</formula>
    </cfRule>
  </conditionalFormatting>
  <conditionalFormatting sqref="C3487">
    <cfRule type="containsText" dxfId="818" priority="789" operator="containsText" text="Yet to be approved">
      <formula>NOT(ISERROR(SEARCH("Yet to be approved",C3487)))</formula>
    </cfRule>
  </conditionalFormatting>
  <conditionalFormatting sqref="C3488:C3491">
    <cfRule type="containsText" dxfId="817" priority="839" operator="containsText" text="Yet to be approved">
      <formula>NOT(ISERROR(SEARCH("Yet to be approved",C3488)))</formula>
    </cfRule>
  </conditionalFormatting>
  <conditionalFormatting sqref="C3492">
    <cfRule type="containsText" dxfId="816" priority="788" operator="containsText" text="Yet to be approved">
      <formula>NOT(ISERROR(SEARCH("Yet to be approved",C3492)))</formula>
    </cfRule>
  </conditionalFormatting>
  <conditionalFormatting sqref="C3493:C3496">
    <cfRule type="containsText" dxfId="815" priority="838" operator="containsText" text="Yet to be approved">
      <formula>NOT(ISERROR(SEARCH("Yet to be approved",C3493)))</formula>
    </cfRule>
  </conditionalFormatting>
  <conditionalFormatting sqref="C3497">
    <cfRule type="containsText" dxfId="814" priority="787" operator="containsText" text="Yet to be approved">
      <formula>NOT(ISERROR(SEARCH("Yet to be approved",C3497)))</formula>
    </cfRule>
  </conditionalFormatting>
  <conditionalFormatting sqref="C3498">
    <cfRule type="containsText" dxfId="813" priority="837" operator="containsText" text="Yet to be approved">
      <formula>NOT(ISERROR(SEARCH("Yet to be approved",C3498)))</formula>
    </cfRule>
  </conditionalFormatting>
  <conditionalFormatting sqref="C3499">
    <cfRule type="containsText" dxfId="812" priority="786" operator="containsText" text="Yet to be approved">
      <formula>NOT(ISERROR(SEARCH("Yet to be approved",C3499)))</formula>
    </cfRule>
  </conditionalFormatting>
  <conditionalFormatting sqref="C3500">
    <cfRule type="containsText" dxfId="811" priority="836" operator="containsText" text="Yet to be approved">
      <formula>NOT(ISERROR(SEARCH("Yet to be approved",C3500)))</formula>
    </cfRule>
  </conditionalFormatting>
  <conditionalFormatting sqref="C3501">
    <cfRule type="containsText" dxfId="810" priority="785" operator="containsText" text="Yet to be approved">
      <formula>NOT(ISERROR(SEARCH("Yet to be approved",C3501)))</formula>
    </cfRule>
  </conditionalFormatting>
  <conditionalFormatting sqref="C3502:C3504">
    <cfRule type="containsText" dxfId="809" priority="835" operator="containsText" text="Yet to be approved">
      <formula>NOT(ISERROR(SEARCH("Yet to be approved",C3502)))</formula>
    </cfRule>
  </conditionalFormatting>
  <conditionalFormatting sqref="C3505">
    <cfRule type="containsText" dxfId="808" priority="784" operator="containsText" text="Yet to be approved">
      <formula>NOT(ISERROR(SEARCH("Yet to be approved",C3505)))</formula>
    </cfRule>
  </conditionalFormatting>
  <conditionalFormatting sqref="C3506 C3508:C3509">
    <cfRule type="containsText" dxfId="807" priority="834" operator="containsText" text="Yet to be approved">
      <formula>NOT(ISERROR(SEARCH("Yet to be approved",C3506)))</formula>
    </cfRule>
  </conditionalFormatting>
  <conditionalFormatting sqref="C3507">
    <cfRule type="containsText" dxfId="806" priority="724" operator="containsText" text="Yet to be approved">
      <formula>NOT(ISERROR(SEARCH("Yet to be approved",C3507)))</formula>
    </cfRule>
  </conditionalFormatting>
  <conditionalFormatting sqref="C3510">
    <cfRule type="containsText" dxfId="805" priority="783" operator="containsText" text="Yet to be approved">
      <formula>NOT(ISERROR(SEARCH("Yet to be approved",C3510)))</formula>
    </cfRule>
  </conditionalFormatting>
  <conditionalFormatting sqref="C3511:C3514">
    <cfRule type="containsText" dxfId="804" priority="833" operator="containsText" text="Yet to be approved">
      <formula>NOT(ISERROR(SEARCH("Yet to be approved",C3511)))</formula>
    </cfRule>
  </conditionalFormatting>
  <conditionalFormatting sqref="C3515">
    <cfRule type="containsText" dxfId="803" priority="782" operator="containsText" text="Yet to be approved">
      <formula>NOT(ISERROR(SEARCH("Yet to be approved",C3515)))</formula>
    </cfRule>
  </conditionalFormatting>
  <conditionalFormatting sqref="C3516:C3517 C3520">
    <cfRule type="containsText" dxfId="802" priority="832" operator="containsText" text="Yet to be approved">
      <formula>NOT(ISERROR(SEARCH("Yet to be approved",C3516)))</formula>
    </cfRule>
  </conditionalFormatting>
  <conditionalFormatting sqref="C3518">
    <cfRule type="containsText" dxfId="801" priority="723" operator="containsText" text="Yet to be approved">
      <formula>NOT(ISERROR(SEARCH("Yet to be approved",C3518)))</formula>
    </cfRule>
  </conditionalFormatting>
  <conditionalFormatting sqref="C3519">
    <cfRule type="containsText" dxfId="800" priority="722" operator="containsText" text="Yet to be approved">
      <formula>NOT(ISERROR(SEARCH("Yet to be approved",C3519)))</formula>
    </cfRule>
  </conditionalFormatting>
  <conditionalFormatting sqref="C3521">
    <cfRule type="containsText" dxfId="799" priority="781" operator="containsText" text="Yet to be approved">
      <formula>NOT(ISERROR(SEARCH("Yet to be approved",C3521)))</formula>
    </cfRule>
  </conditionalFormatting>
  <conditionalFormatting sqref="C3522">
    <cfRule type="containsText" dxfId="798" priority="721" operator="containsText" text="Yet to be approved">
      <formula>NOT(ISERROR(SEARCH("Yet to be approved",C3522)))</formula>
    </cfRule>
  </conditionalFormatting>
  <conditionalFormatting sqref="C3523">
    <cfRule type="containsText" dxfId="797" priority="720" operator="containsText" text="Yet to be approved">
      <formula>NOT(ISERROR(SEARCH("Yet to be approved",C3523)))</formula>
    </cfRule>
  </conditionalFormatting>
  <conditionalFormatting sqref="C3524">
    <cfRule type="containsText" dxfId="796" priority="753" operator="containsText" text="Yet to be approved">
      <formula>NOT(ISERROR(SEARCH("Yet to be approved",C3524)))</formula>
    </cfRule>
  </conditionalFormatting>
  <conditionalFormatting sqref="C3525">
    <cfRule type="containsText" dxfId="795" priority="752" operator="containsText" text="Yet to be approved">
      <formula>NOT(ISERROR(SEARCH("Yet to be approved",C3525)))</formula>
    </cfRule>
  </conditionalFormatting>
  <conditionalFormatting sqref="C3526">
    <cfRule type="containsText" dxfId="794" priority="751" operator="containsText" text="Yet to be approved">
      <formula>NOT(ISERROR(SEARCH("Yet to be approved",C3526)))</formula>
    </cfRule>
  </conditionalFormatting>
  <conditionalFormatting sqref="C3527">
    <cfRule type="containsText" dxfId="793" priority="750" operator="containsText" text="Yet to be approved">
      <formula>NOT(ISERROR(SEARCH("Yet to be approved",C3527)))</formula>
    </cfRule>
  </conditionalFormatting>
  <conditionalFormatting sqref="C3528">
    <cfRule type="containsText" dxfId="792" priority="749" operator="containsText" text="Yet to be approved">
      <formula>NOT(ISERROR(SEARCH("Yet to be approved",C3528)))</formula>
    </cfRule>
  </conditionalFormatting>
  <conditionalFormatting sqref="C3529">
    <cfRule type="containsText" dxfId="791" priority="748" operator="containsText" text="Yet to be approved">
      <formula>NOT(ISERROR(SEARCH("Yet to be approved",C3529)))</formula>
    </cfRule>
  </conditionalFormatting>
  <conditionalFormatting sqref="C3530">
    <cfRule type="containsText" dxfId="790" priority="747" operator="containsText" text="Yet to be approved">
      <formula>NOT(ISERROR(SEARCH("Yet to be approved",C3530)))</formula>
    </cfRule>
  </conditionalFormatting>
  <conditionalFormatting sqref="C3531">
    <cfRule type="containsText" dxfId="789" priority="746" operator="containsText" text="Yet to be approved">
      <formula>NOT(ISERROR(SEARCH("Yet to be approved",C3531)))</formula>
    </cfRule>
  </conditionalFormatting>
  <conditionalFormatting sqref="C3532">
    <cfRule type="containsText" dxfId="788" priority="745" operator="containsText" text="Yet to be approved">
      <formula>NOT(ISERROR(SEARCH("Yet to be approved",C3532)))</formula>
    </cfRule>
  </conditionalFormatting>
  <conditionalFormatting sqref="C3533">
    <cfRule type="containsText" dxfId="787" priority="744" operator="containsText" text="Yet to be approved">
      <formula>NOT(ISERROR(SEARCH("Yet to be approved",C3533)))</formula>
    </cfRule>
  </conditionalFormatting>
  <conditionalFormatting sqref="C3534">
    <cfRule type="containsText" dxfId="786" priority="780" operator="containsText" text="Yet to be approved">
      <formula>NOT(ISERROR(SEARCH("Yet to be approved",C3534)))</formula>
    </cfRule>
  </conditionalFormatting>
  <conditionalFormatting sqref="C3535">
    <cfRule type="containsText" dxfId="785" priority="743" operator="containsText" text="Yet to be approved">
      <formula>NOT(ISERROR(SEARCH("Yet to be approved",C3535)))</formula>
    </cfRule>
  </conditionalFormatting>
  <conditionalFormatting sqref="C3536">
    <cfRule type="containsText" dxfId="784" priority="742" operator="containsText" text="Yet to be approved">
      <formula>NOT(ISERROR(SEARCH("Yet to be approved",C3536)))</formula>
    </cfRule>
  </conditionalFormatting>
  <conditionalFormatting sqref="C3537">
    <cfRule type="containsText" dxfId="783" priority="831" operator="containsText" text="Yet to be approved">
      <formula>NOT(ISERROR(SEARCH("Yet to be approved",C3537)))</formula>
    </cfRule>
  </conditionalFormatting>
  <conditionalFormatting sqref="C3538">
    <cfRule type="containsText" dxfId="782" priority="779" operator="containsText" text="Yet to be approved">
      <formula>NOT(ISERROR(SEARCH("Yet to be approved",C3538)))</formula>
    </cfRule>
  </conditionalFormatting>
  <conditionalFormatting sqref="C3539">
    <cfRule type="containsText" dxfId="781" priority="741" operator="containsText" text="Yet to be approved">
      <formula>NOT(ISERROR(SEARCH("Yet to be approved",C3539)))</formula>
    </cfRule>
  </conditionalFormatting>
  <conditionalFormatting sqref="C3540">
    <cfRule type="containsText" dxfId="780" priority="830" operator="containsText" text="Yet to be approved">
      <formula>NOT(ISERROR(SEARCH("Yet to be approved",C3540)))</formula>
    </cfRule>
  </conditionalFormatting>
  <conditionalFormatting sqref="C3541">
    <cfRule type="containsText" dxfId="779" priority="778" operator="containsText" text="Yet to be approved">
      <formula>NOT(ISERROR(SEARCH("Yet to be approved",C3541)))</formula>
    </cfRule>
  </conditionalFormatting>
  <conditionalFormatting sqref="C3542">
    <cfRule type="containsText" dxfId="778" priority="719" operator="containsText" text="Yet to be approved">
      <formula>NOT(ISERROR(SEARCH("Yet to be approved",C3542)))</formula>
    </cfRule>
  </conditionalFormatting>
  <conditionalFormatting sqref="C3543">
    <cfRule type="containsText" dxfId="777" priority="829" operator="containsText" text="Yet to be approved">
      <formula>NOT(ISERROR(SEARCH("Yet to be approved",C3543)))</formula>
    </cfRule>
  </conditionalFormatting>
  <conditionalFormatting sqref="C3544">
    <cfRule type="containsText" dxfId="776" priority="777" operator="containsText" text="Yet to be approved">
      <formula>NOT(ISERROR(SEARCH("Yet to be approved",C3544)))</formula>
    </cfRule>
  </conditionalFormatting>
  <conditionalFormatting sqref="C3545">
    <cfRule type="containsText" dxfId="775" priority="740" operator="containsText" text="Yet to be approved">
      <formula>NOT(ISERROR(SEARCH("Yet to be approved",C3545)))</formula>
    </cfRule>
  </conditionalFormatting>
  <conditionalFormatting sqref="C3546">
    <cfRule type="containsText" dxfId="774" priority="828" operator="containsText" text="Yet to be approved">
      <formula>NOT(ISERROR(SEARCH("Yet to be approved",C3546)))</formula>
    </cfRule>
  </conditionalFormatting>
  <conditionalFormatting sqref="C3547">
    <cfRule type="containsText" dxfId="773" priority="776" operator="containsText" text="Yet to be approved">
      <formula>NOT(ISERROR(SEARCH("Yet to be approved",C3547)))</formula>
    </cfRule>
  </conditionalFormatting>
  <conditionalFormatting sqref="C3548">
    <cfRule type="containsText" dxfId="772" priority="718" operator="containsText" text="Yet to be approved">
      <formula>NOT(ISERROR(SEARCH("Yet to be approved",C3548)))</formula>
    </cfRule>
  </conditionalFormatting>
  <conditionalFormatting sqref="C3549">
    <cfRule type="containsText" dxfId="771" priority="827" operator="containsText" text="Yet to be approved">
      <formula>NOT(ISERROR(SEARCH("Yet to be approved",C3549)))</formula>
    </cfRule>
  </conditionalFormatting>
  <conditionalFormatting sqref="C3550">
    <cfRule type="containsText" dxfId="770" priority="775" operator="containsText" text="Yet to be approved">
      <formula>NOT(ISERROR(SEARCH("Yet to be approved",C3550)))</formula>
    </cfRule>
  </conditionalFormatting>
  <conditionalFormatting sqref="C3551">
    <cfRule type="containsText" dxfId="769" priority="717" operator="containsText" text="Yet to be approved">
      <formula>NOT(ISERROR(SEARCH("Yet to be approved",C3551)))</formula>
    </cfRule>
  </conditionalFormatting>
  <conditionalFormatting sqref="C3552">
    <cfRule type="containsText" dxfId="768" priority="826" operator="containsText" text="Yet to be approved">
      <formula>NOT(ISERROR(SEARCH("Yet to be approved",C3552)))</formula>
    </cfRule>
  </conditionalFormatting>
  <conditionalFormatting sqref="C3553:C3555">
    <cfRule type="containsText" dxfId="767" priority="702" operator="containsText" text="DPR not submitted">
      <formula>NOT(ISERROR(SEARCH("DPR not submitted",C3553)))</formula>
    </cfRule>
    <cfRule type="containsText" dxfId="766" priority="703" operator="containsText" text="Yet to be approved">
      <formula>NOT(ISERROR(SEARCH("Yet to be approved",C3553)))</formula>
    </cfRule>
    <cfRule type="containsText" dxfId="765" priority="705" operator="containsText" text="Yet to be approved">
      <formula>NOT(ISERROR(SEARCH("Yet to be approved",C3553)))</formula>
    </cfRule>
  </conditionalFormatting>
  <conditionalFormatting sqref="C3556">
    <cfRule type="containsText" dxfId="764" priority="774" operator="containsText" text="Yet to be approved">
      <formula>NOT(ISERROR(SEARCH("Yet to be approved",C3556)))</formula>
    </cfRule>
  </conditionalFormatting>
  <conditionalFormatting sqref="C3557">
    <cfRule type="containsText" dxfId="763" priority="739" operator="containsText" text="Yet to be approved">
      <formula>NOT(ISERROR(SEARCH("Yet to be approved",C3557)))</formula>
    </cfRule>
  </conditionalFormatting>
  <conditionalFormatting sqref="C3558">
    <cfRule type="containsText" dxfId="762" priority="825" operator="containsText" text="Yet to be approved">
      <formula>NOT(ISERROR(SEARCH("Yet to be approved",C3558)))</formula>
    </cfRule>
  </conditionalFormatting>
  <conditionalFormatting sqref="C3559">
    <cfRule type="containsText" dxfId="761" priority="773" operator="containsText" text="Yet to be approved">
      <formula>NOT(ISERROR(SEARCH("Yet to be approved",C3559)))</formula>
    </cfRule>
  </conditionalFormatting>
  <conditionalFormatting sqref="C3560">
    <cfRule type="containsText" dxfId="760" priority="824" operator="containsText" text="Yet to be approved">
      <formula>NOT(ISERROR(SEARCH("Yet to be approved",C3560)))</formula>
    </cfRule>
  </conditionalFormatting>
  <conditionalFormatting sqref="C3561">
    <cfRule type="containsText" dxfId="759" priority="772" operator="containsText" text="Yet to be approved">
      <formula>NOT(ISERROR(SEARCH("Yet to be approved",C3561)))</formula>
    </cfRule>
  </conditionalFormatting>
  <conditionalFormatting sqref="C3562">
    <cfRule type="containsText" dxfId="758" priority="823" operator="containsText" text="Yet to be approved">
      <formula>NOT(ISERROR(SEARCH("Yet to be approved",C3562)))</formula>
    </cfRule>
  </conditionalFormatting>
  <conditionalFormatting sqref="C3563">
    <cfRule type="containsText" dxfId="757" priority="822" operator="containsText" text="Yet to be approved">
      <formula>NOT(ISERROR(SEARCH("Yet to be approved",C3563)))</formula>
    </cfRule>
  </conditionalFormatting>
  <conditionalFormatting sqref="C3564">
    <cfRule type="containsText" dxfId="756" priority="771" operator="containsText" text="Yet to be approved">
      <formula>NOT(ISERROR(SEARCH("Yet to be approved",C3564)))</formula>
    </cfRule>
  </conditionalFormatting>
  <conditionalFormatting sqref="C3565:C3566">
    <cfRule type="containsText" dxfId="755" priority="821" operator="containsText" text="Yet to be approved">
      <formula>NOT(ISERROR(SEARCH("Yet to be approved",C3565)))</formula>
    </cfRule>
  </conditionalFormatting>
  <conditionalFormatting sqref="C3567">
    <cfRule type="containsText" dxfId="754" priority="770" operator="containsText" text="Yet to be approved">
      <formula>NOT(ISERROR(SEARCH("Yet to be approved",C3567)))</formula>
    </cfRule>
  </conditionalFormatting>
  <conditionalFormatting sqref="C3568">
    <cfRule type="containsText" dxfId="753" priority="820" operator="containsText" text="Yet to be approved">
      <formula>NOT(ISERROR(SEARCH("Yet to be approved",C3568)))</formula>
    </cfRule>
  </conditionalFormatting>
  <conditionalFormatting sqref="C3569">
    <cfRule type="containsText" dxfId="752" priority="769" operator="containsText" text="Yet to be approved">
      <formula>NOT(ISERROR(SEARCH("Yet to be approved",C3569)))</formula>
    </cfRule>
  </conditionalFormatting>
  <conditionalFormatting sqref="C3570">
    <cfRule type="containsText" dxfId="751" priority="819" operator="containsText" text="Yet to be approved">
      <formula>NOT(ISERROR(SEARCH("Yet to be approved",C3570)))</formula>
    </cfRule>
  </conditionalFormatting>
  <conditionalFormatting sqref="C3571">
    <cfRule type="containsText" dxfId="750" priority="768" operator="containsText" text="Yet to be approved">
      <formula>NOT(ISERROR(SEARCH("Yet to be approved",C3571)))</formula>
    </cfRule>
  </conditionalFormatting>
  <conditionalFormatting sqref="C3572:C3574">
    <cfRule type="containsText" dxfId="749" priority="818" operator="containsText" text="Yet to be approved">
      <formula>NOT(ISERROR(SEARCH("Yet to be approved",C3572)))</formula>
    </cfRule>
  </conditionalFormatting>
  <conditionalFormatting sqref="C3575">
    <cfRule type="containsText" dxfId="748" priority="767" operator="containsText" text="Yet to be approved">
      <formula>NOT(ISERROR(SEARCH("Yet to be approved",C3575)))</formula>
    </cfRule>
  </conditionalFormatting>
  <conditionalFormatting sqref="C3576">
    <cfRule type="containsText" dxfId="747" priority="716" operator="containsText" text="Yet to be approved">
      <formula>NOT(ISERROR(SEARCH("Yet to be approved",C3576)))</formula>
    </cfRule>
  </conditionalFormatting>
  <conditionalFormatting sqref="C3577">
    <cfRule type="containsText" dxfId="746" priority="766" operator="containsText" text="Yet to be approved">
      <formula>NOT(ISERROR(SEARCH("Yet to be approved",C3577)))</formula>
    </cfRule>
  </conditionalFormatting>
  <conditionalFormatting sqref="C3578:C3580">
    <cfRule type="containsText" dxfId="745" priority="817" operator="containsText" text="Yet to be approved">
      <formula>NOT(ISERROR(SEARCH("Yet to be approved",C3578)))</formula>
    </cfRule>
  </conditionalFormatting>
  <conditionalFormatting sqref="C3581">
    <cfRule type="containsText" dxfId="744" priority="765" operator="containsText" text="Yet to be approved">
      <formula>NOT(ISERROR(SEARCH("Yet to be approved",C3581)))</formula>
    </cfRule>
  </conditionalFormatting>
  <conditionalFormatting sqref="C3582">
    <cfRule type="containsText" dxfId="743" priority="715" operator="containsText" text="Yet to be approved">
      <formula>NOT(ISERROR(SEARCH("Yet to be approved",C3582)))</formula>
    </cfRule>
  </conditionalFormatting>
  <conditionalFormatting sqref="C3583">
    <cfRule type="containsText" dxfId="742" priority="714" operator="containsText" text="Yet to be approved">
      <formula>NOT(ISERROR(SEARCH("Yet to be approved",C3583)))</formula>
    </cfRule>
  </conditionalFormatting>
  <conditionalFormatting sqref="C3584">
    <cfRule type="containsText" dxfId="741" priority="816" operator="containsText" text="Yet to be approved">
      <formula>NOT(ISERROR(SEARCH("Yet to be approved",C3584)))</formula>
    </cfRule>
  </conditionalFormatting>
  <conditionalFormatting sqref="C3585">
    <cfRule type="containsText" dxfId="740" priority="764" operator="containsText" text="Yet to be approved">
      <formula>NOT(ISERROR(SEARCH("Yet to be approved",C3585)))</formula>
    </cfRule>
  </conditionalFormatting>
  <conditionalFormatting sqref="C3586">
    <cfRule type="containsText" dxfId="739" priority="738" operator="containsText" text="Yet to be approved">
      <formula>NOT(ISERROR(SEARCH("Yet to be approved",C3586)))</formula>
    </cfRule>
  </conditionalFormatting>
  <conditionalFormatting sqref="C3587">
    <cfRule type="containsText" dxfId="738" priority="737" operator="containsText" text="Yet to be approved">
      <formula>NOT(ISERROR(SEARCH("Yet to be approved",C3587)))</formula>
    </cfRule>
  </conditionalFormatting>
  <conditionalFormatting sqref="C3588">
    <cfRule type="containsText" dxfId="737" priority="815" operator="containsText" text="Yet to be approved">
      <formula>NOT(ISERROR(SEARCH("Yet to be approved",C3588)))</formula>
    </cfRule>
  </conditionalFormatting>
  <conditionalFormatting sqref="C3589">
    <cfRule type="containsText" dxfId="736" priority="763" operator="containsText" text="Yet to be approved">
      <formula>NOT(ISERROR(SEARCH("Yet to be approved",C3589)))</formula>
    </cfRule>
  </conditionalFormatting>
  <conditionalFormatting sqref="C3590">
    <cfRule type="containsText" dxfId="735" priority="736" operator="containsText" text="Yet to be approved">
      <formula>NOT(ISERROR(SEARCH("Yet to be approved",C3590)))</formula>
    </cfRule>
  </conditionalFormatting>
  <conditionalFormatting sqref="C3591">
    <cfRule type="containsText" dxfId="734" priority="735" operator="containsText" text="Yet to be approved">
      <formula>NOT(ISERROR(SEARCH("Yet to be approved",C3591)))</formula>
    </cfRule>
  </conditionalFormatting>
  <conditionalFormatting sqref="C3592">
    <cfRule type="containsText" dxfId="733" priority="734" operator="containsText" text="Yet to be approved">
      <formula>NOT(ISERROR(SEARCH("Yet to be approved",C3592)))</formula>
    </cfRule>
  </conditionalFormatting>
  <conditionalFormatting sqref="C3593">
    <cfRule type="containsText" dxfId="732" priority="814" operator="containsText" text="Yet to be approved">
      <formula>NOT(ISERROR(SEARCH("Yet to be approved",C3593)))</formula>
    </cfRule>
  </conditionalFormatting>
  <conditionalFormatting sqref="C3594">
    <cfRule type="containsText" dxfId="731" priority="762" operator="containsText" text="Yet to be approved">
      <formula>NOT(ISERROR(SEARCH("Yet to be approved",C3594)))</formula>
    </cfRule>
  </conditionalFormatting>
  <conditionalFormatting sqref="C3595">
    <cfRule type="containsText" dxfId="730" priority="733" operator="containsText" text="Yet to be approved">
      <formula>NOT(ISERROR(SEARCH("Yet to be approved",C3595)))</formula>
    </cfRule>
  </conditionalFormatting>
  <conditionalFormatting sqref="C3596">
    <cfRule type="containsText" dxfId="729" priority="813" operator="containsText" text="Yet to be approved">
      <formula>NOT(ISERROR(SEARCH("Yet to be approved",C3596)))</formula>
    </cfRule>
  </conditionalFormatting>
  <conditionalFormatting sqref="C3597">
    <cfRule type="containsText" dxfId="728" priority="713" operator="containsText" text="Yet to be approved">
      <formula>NOT(ISERROR(SEARCH("Yet to be approved",C3597)))</formula>
    </cfRule>
  </conditionalFormatting>
  <conditionalFormatting sqref="C3598">
    <cfRule type="containsText" dxfId="727" priority="712" operator="containsText" text="Yet to be approved">
      <formula>NOT(ISERROR(SEARCH("Yet to be approved",C3598)))</formula>
    </cfRule>
  </conditionalFormatting>
  <conditionalFormatting sqref="C3599">
    <cfRule type="containsText" dxfId="726" priority="711" operator="containsText" text="Yet to be approved">
      <formula>NOT(ISERROR(SEARCH("Yet to be approved",C3599)))</formula>
    </cfRule>
  </conditionalFormatting>
  <conditionalFormatting sqref="C3600">
    <cfRule type="containsText" dxfId="725" priority="761" operator="containsText" text="Yet to be approved">
      <formula>NOT(ISERROR(SEARCH("Yet to be approved",C3600)))</formula>
    </cfRule>
  </conditionalFormatting>
  <conditionalFormatting sqref="C3601">
    <cfRule type="containsText" dxfId="724" priority="732" operator="containsText" text="Yet to be approved">
      <formula>NOT(ISERROR(SEARCH("Yet to be approved",C3601)))</formula>
    </cfRule>
  </conditionalFormatting>
  <conditionalFormatting sqref="C3602">
    <cfRule type="containsText" dxfId="723" priority="812" operator="containsText" text="Yet to be approved">
      <formula>NOT(ISERROR(SEARCH("Yet to be approved",C3602)))</formula>
    </cfRule>
  </conditionalFormatting>
  <conditionalFormatting sqref="C3603">
    <cfRule type="containsText" dxfId="722" priority="760" operator="containsText" text="Yet to be approved">
      <formula>NOT(ISERROR(SEARCH("Yet to be approved",C3603)))</formula>
    </cfRule>
  </conditionalFormatting>
  <conditionalFormatting sqref="C3604">
    <cfRule type="containsText" dxfId="721" priority="731" operator="containsText" text="Yet to be approved">
      <formula>NOT(ISERROR(SEARCH("Yet to be approved",C3604)))</formula>
    </cfRule>
  </conditionalFormatting>
  <conditionalFormatting sqref="C3605:C3607">
    <cfRule type="containsText" dxfId="720" priority="730" operator="containsText" text="Yet to be approved">
      <formula>NOT(ISERROR(SEARCH("Yet to be approved",C3605)))</formula>
    </cfRule>
  </conditionalFormatting>
  <conditionalFormatting sqref="C3608">
    <cfRule type="containsText" dxfId="719" priority="810" operator="containsText" text="Yet to be approved">
      <formula>NOT(ISERROR(SEARCH("Yet to be approved",C3608)))</formula>
    </cfRule>
  </conditionalFormatting>
  <conditionalFormatting sqref="C3609">
    <cfRule type="containsText" dxfId="718" priority="758" operator="containsText" text="Yet to be approved">
      <formula>NOT(ISERROR(SEARCH("Yet to be approved",C3609)))</formula>
    </cfRule>
  </conditionalFormatting>
  <conditionalFormatting sqref="C3610:C3611 C3613:C3621">
    <cfRule type="containsText" dxfId="717" priority="759" operator="containsText" text="Yet to be approved">
      <formula>NOT(ISERROR(SEARCH("Yet to be approved",C3610)))</formula>
    </cfRule>
  </conditionalFormatting>
  <conditionalFormatting sqref="C3612">
    <cfRule type="containsText" dxfId="716" priority="710" operator="containsText" text="Yet to be approved">
      <formula>NOT(ISERROR(SEARCH("Yet to be approved",C3612)))</formula>
    </cfRule>
  </conditionalFormatting>
  <conditionalFormatting sqref="C3622">
    <cfRule type="containsText" dxfId="715" priority="709" operator="containsText" text="Yet to be approved">
      <formula>NOT(ISERROR(SEARCH("Yet to be approved",C3622)))</formula>
    </cfRule>
  </conditionalFormatting>
  <conditionalFormatting sqref="C3623:C3624">
    <cfRule type="containsText" dxfId="714" priority="708" operator="containsText" text="Yet to be approved">
      <formula>NOT(ISERROR(SEARCH("Yet to be approved",C3623)))</formula>
    </cfRule>
  </conditionalFormatting>
  <conditionalFormatting sqref="C3625">
    <cfRule type="containsText" dxfId="713" priority="707" operator="containsText" text="Yet to be approved">
      <formula>NOT(ISERROR(SEARCH("Yet to be approved",C3625)))</formula>
    </cfRule>
  </conditionalFormatting>
  <conditionalFormatting sqref="C3626:C3627 C3660:C3661">
    <cfRule type="containsText" dxfId="712" priority="706" operator="containsText" text="Yet to be approved">
      <formula>NOT(ISERROR(SEARCH("Yet to be approved",C3626)))</formula>
    </cfRule>
  </conditionalFormatting>
  <conditionalFormatting sqref="C3628">
    <cfRule type="containsText" dxfId="711" priority="698" operator="containsText" text="Yet to be approved">
      <formula>NOT(ISERROR(SEARCH("Yet to be approved",C3628)))</formula>
    </cfRule>
  </conditionalFormatting>
  <conditionalFormatting sqref="C3628:C3662">
    <cfRule type="containsText" dxfId="710" priority="693" operator="containsText" text="DPR not submitted">
      <formula>NOT(ISERROR(SEARCH("DPR not submitted",C3628)))</formula>
    </cfRule>
  </conditionalFormatting>
  <conditionalFormatting sqref="C3629:C3630">
    <cfRule type="containsText" dxfId="709" priority="700" operator="containsText" text="Yet to be approved">
      <formula>NOT(ISERROR(SEARCH("Yet to be approved",C3629)))</formula>
    </cfRule>
  </conditionalFormatting>
  <conditionalFormatting sqref="C3631">
    <cfRule type="containsText" dxfId="708" priority="697" operator="containsText" text="Yet to be approved">
      <formula>NOT(ISERROR(SEARCH("Yet to be approved",C3631)))</formula>
    </cfRule>
  </conditionalFormatting>
  <conditionalFormatting sqref="C3632:C3637">
    <cfRule type="containsText" dxfId="707" priority="701" operator="containsText" text="Yet to be approved">
      <formula>NOT(ISERROR(SEARCH("Yet to be approved",C3632)))</formula>
    </cfRule>
  </conditionalFormatting>
  <conditionalFormatting sqref="C3638">
    <cfRule type="containsText" dxfId="706" priority="696" operator="containsText" text="Yet to be approved">
      <formula>NOT(ISERROR(SEARCH("Yet to be approved",C3638)))</formula>
    </cfRule>
  </conditionalFormatting>
  <conditionalFormatting sqref="C3639:C3640">
    <cfRule type="containsText" dxfId="705" priority="699" operator="containsText" text="Yet to be approved">
      <formula>NOT(ISERROR(SEARCH("Yet to be approved",C3639)))</formula>
    </cfRule>
  </conditionalFormatting>
  <conditionalFormatting sqref="C3641:C3649">
    <cfRule type="containsText" dxfId="704" priority="695" operator="containsText" text="Yet to be approved">
      <formula>NOT(ISERROR(SEARCH("Yet to be approved",C3641)))</formula>
    </cfRule>
  </conditionalFormatting>
  <conditionalFormatting sqref="C3650:C3659">
    <cfRule type="containsText" dxfId="703" priority="694" operator="containsText" text="Yet to be approved">
      <formula>NOT(ISERROR(SEARCH("Yet to be approved",C3650)))</formula>
    </cfRule>
  </conditionalFormatting>
  <conditionalFormatting sqref="C3662 C3696">
    <cfRule type="containsText" dxfId="702" priority="811" operator="containsText" text="Yet to be approved">
      <formula>NOT(ISERROR(SEARCH("Yet to be approved",C3662)))</formula>
    </cfRule>
  </conditionalFormatting>
  <conditionalFormatting sqref="C3664">
    <cfRule type="containsText" dxfId="701" priority="692" operator="containsText" text="Yet to be approved">
      <formula>NOT(ISERROR(SEARCH("Yet to be approved",C3664)))</formula>
    </cfRule>
  </conditionalFormatting>
  <conditionalFormatting sqref="C3664:C3696">
    <cfRule type="containsText" dxfId="700" priority="690" operator="containsText" text="DPR not submitted">
      <formula>NOT(ISERROR(SEARCH("DPR not submitted",C3664)))</formula>
    </cfRule>
  </conditionalFormatting>
  <conditionalFormatting sqref="C3665:C3669">
    <cfRule type="containsText" dxfId="699" priority="691" operator="containsText" text="Yet to be approved">
      <formula>NOT(ISERROR(SEARCH("Yet to be approved",C3665)))</formula>
    </cfRule>
  </conditionalFormatting>
  <conditionalFormatting sqref="C3716:C3746 C3748:C3987">
    <cfRule type="containsText" dxfId="698" priority="688" operator="containsText" text="DPR not submitted">
      <formula>NOT(ISERROR(SEARCH("DPR not submitted",C3716)))</formula>
    </cfRule>
    <cfRule type="containsText" dxfId="697" priority="689" operator="containsText" text="Yet to be approved">
      <formula>NOT(ISERROR(SEARCH("Yet to be approved",C3716)))</formula>
    </cfRule>
  </conditionalFormatting>
  <conditionalFormatting sqref="C3989:C4024">
    <cfRule type="containsText" dxfId="696" priority="686" operator="containsText" text="DPR not submitted">
      <formula>NOT(ISERROR(SEARCH("DPR not submitted",C3989)))</formula>
    </cfRule>
  </conditionalFormatting>
  <conditionalFormatting sqref="C3992:C4024">
    <cfRule type="containsText" dxfId="695" priority="687" operator="containsText" text="Yet to be approved">
      <formula>NOT(ISERROR(SEARCH("Yet to be approved",C3992)))</formula>
    </cfRule>
  </conditionalFormatting>
  <conditionalFormatting sqref="C4030:C4031 C4659:C4661 C4340:C4365">
    <cfRule type="containsText" dxfId="694" priority="683" operator="containsText" text="Yet to be approved">
      <formula>NOT(ISERROR(SEARCH("Yet to be approved",C4030)))</formula>
    </cfRule>
  </conditionalFormatting>
  <conditionalFormatting sqref="C4030:C4047">
    <cfRule type="containsText" dxfId="693" priority="680" operator="containsText" text="DPR not submitted">
      <formula>NOT(ISERROR(SEARCH("DPR not submitted",C4030)))</formula>
    </cfRule>
  </conditionalFormatting>
  <conditionalFormatting sqref="C4032:C4047">
    <cfRule type="containsText" dxfId="692" priority="681" operator="containsText" text="Yet to be approved">
      <formula>NOT(ISERROR(SEARCH("Yet to be approved",C4032)))</formula>
    </cfRule>
  </conditionalFormatting>
  <conditionalFormatting sqref="C4048">
    <cfRule type="containsText" dxfId="691" priority="579" operator="containsText" text="DPR not submitted">
      <formula>NOT(ISERROR(SEARCH("DPR not submitted",C4048)))</formula>
    </cfRule>
    <cfRule type="containsText" dxfId="690" priority="580" operator="containsText" text="Yet to be approved">
      <formula>NOT(ISERROR(SEARCH("Yet to be approved",C4048)))</formula>
    </cfRule>
  </conditionalFormatting>
  <conditionalFormatting sqref="C4049:C4060">
    <cfRule type="containsText" dxfId="689" priority="678" operator="containsText" text="DPR not submitted">
      <formula>NOT(ISERROR(SEARCH("DPR not submitted",C4049)))</formula>
    </cfRule>
    <cfRule type="containsText" dxfId="688" priority="679" operator="containsText" text="Yet to be approved">
      <formula>NOT(ISERROR(SEARCH("Yet to be approved",C4049)))</formula>
    </cfRule>
  </conditionalFormatting>
  <conditionalFormatting sqref="C4061">
    <cfRule type="containsText" dxfId="687" priority="577" operator="containsText" text="DPR not submitted">
      <formula>NOT(ISERROR(SEARCH("DPR not submitted",C4061)))</formula>
    </cfRule>
    <cfRule type="containsText" dxfId="686" priority="578" operator="containsText" text="Yet to be approved">
      <formula>NOT(ISERROR(SEARCH("Yet to be approved",C4061)))</formula>
    </cfRule>
  </conditionalFormatting>
  <conditionalFormatting sqref="C4062:C4066">
    <cfRule type="containsText" dxfId="685" priority="676" operator="containsText" text="DPR not submitted">
      <formula>NOT(ISERROR(SEARCH("DPR not submitted",C4062)))</formula>
    </cfRule>
    <cfRule type="containsText" dxfId="684" priority="677" operator="containsText" text="Yet to be approved">
      <formula>NOT(ISERROR(SEARCH("Yet to be approved",C4062)))</formula>
    </cfRule>
  </conditionalFormatting>
  <conditionalFormatting sqref="C4067">
    <cfRule type="containsText" dxfId="683" priority="575" operator="containsText" text="DPR not submitted">
      <formula>NOT(ISERROR(SEARCH("DPR not submitted",C4067)))</formula>
    </cfRule>
    <cfRule type="containsText" dxfId="682" priority="576" operator="containsText" text="Yet to be approved">
      <formula>NOT(ISERROR(SEARCH("Yet to be approved",C4067)))</formula>
    </cfRule>
  </conditionalFormatting>
  <conditionalFormatting sqref="C4068">
    <cfRule type="containsText" dxfId="681" priority="475" operator="containsText" text="DPR not submitted">
      <formula>NOT(ISERROR(SEARCH("DPR not submitted",C4068)))</formula>
    </cfRule>
    <cfRule type="containsText" dxfId="680" priority="476" operator="containsText" text="Yet to be approved">
      <formula>NOT(ISERROR(SEARCH("Yet to be approved",C4068)))</formula>
    </cfRule>
  </conditionalFormatting>
  <conditionalFormatting sqref="C4069">
    <cfRule type="containsText" dxfId="679" priority="473" operator="containsText" text="DPR not submitted">
      <formula>NOT(ISERROR(SEARCH("DPR not submitted",C4069)))</formula>
    </cfRule>
    <cfRule type="containsText" dxfId="678" priority="474" operator="containsText" text="Yet to be approved">
      <formula>NOT(ISERROR(SEARCH("Yet to be approved",C4069)))</formula>
    </cfRule>
  </conditionalFormatting>
  <conditionalFormatting sqref="C4070">
    <cfRule type="containsText" dxfId="677" priority="674" operator="containsText" text="DPR not submitted">
      <formula>NOT(ISERROR(SEARCH("DPR not submitted",C4070)))</formula>
    </cfRule>
    <cfRule type="containsText" dxfId="676" priority="675" operator="containsText" text="Yet to be approved">
      <formula>NOT(ISERROR(SEARCH("Yet to be approved",C4070)))</formula>
    </cfRule>
  </conditionalFormatting>
  <conditionalFormatting sqref="C4071">
    <cfRule type="containsText" dxfId="675" priority="573" operator="containsText" text="DPR not submitted">
      <formula>NOT(ISERROR(SEARCH("DPR not submitted",C4071)))</formula>
    </cfRule>
    <cfRule type="containsText" dxfId="674" priority="574" operator="containsText" text="Yet to be approved">
      <formula>NOT(ISERROR(SEARCH("Yet to be approved",C4071)))</formula>
    </cfRule>
  </conditionalFormatting>
  <conditionalFormatting sqref="C4072">
    <cfRule type="containsText" dxfId="673" priority="672" operator="containsText" text="DPR not submitted">
      <formula>NOT(ISERROR(SEARCH("DPR not submitted",C4072)))</formula>
    </cfRule>
    <cfRule type="containsText" dxfId="672" priority="673" operator="containsText" text="Yet to be approved">
      <formula>NOT(ISERROR(SEARCH("Yet to be approved",C4072)))</formula>
    </cfRule>
  </conditionalFormatting>
  <conditionalFormatting sqref="C4073">
    <cfRule type="containsText" dxfId="671" priority="417" operator="containsText" text="DPR not submitted">
      <formula>NOT(ISERROR(SEARCH("DPR not submitted",C4073)))</formula>
    </cfRule>
    <cfRule type="containsText" dxfId="670" priority="418" operator="containsText" text="Yet to be approved">
      <formula>NOT(ISERROR(SEARCH("Yet to be approved",C4073)))</formula>
    </cfRule>
  </conditionalFormatting>
  <conditionalFormatting sqref="C4074">
    <cfRule type="containsText" dxfId="669" priority="419" operator="containsText" text="DPR not submitted">
      <formula>NOT(ISERROR(SEARCH("DPR not submitted",C4074)))</formula>
    </cfRule>
    <cfRule type="containsText" dxfId="668" priority="420" operator="containsText" text="Yet to be approved">
      <formula>NOT(ISERROR(SEARCH("Yet to be approved",C4074)))</formula>
    </cfRule>
  </conditionalFormatting>
  <conditionalFormatting sqref="C4075">
    <cfRule type="containsText" dxfId="667" priority="571" operator="containsText" text="DPR not submitted">
      <formula>NOT(ISERROR(SEARCH("DPR not submitted",C4075)))</formula>
    </cfRule>
    <cfRule type="containsText" dxfId="666" priority="572" operator="containsText" text="Yet to be approved">
      <formula>NOT(ISERROR(SEARCH("Yet to be approved",C4075)))</formula>
    </cfRule>
  </conditionalFormatting>
  <conditionalFormatting sqref="C4076:C4078">
    <cfRule type="containsText" dxfId="665" priority="670" operator="containsText" text="DPR not submitted">
      <formula>NOT(ISERROR(SEARCH("DPR not submitted",C4076)))</formula>
    </cfRule>
    <cfRule type="containsText" dxfId="664" priority="671" operator="containsText" text="Yet to be approved">
      <formula>NOT(ISERROR(SEARCH("Yet to be approved",C4076)))</formula>
    </cfRule>
  </conditionalFormatting>
  <conditionalFormatting sqref="C4079">
    <cfRule type="containsText" dxfId="663" priority="569" operator="containsText" text="DPR not submitted">
      <formula>NOT(ISERROR(SEARCH("DPR not submitted",C4079)))</formula>
    </cfRule>
    <cfRule type="containsText" dxfId="662" priority="570" operator="containsText" text="Yet to be approved">
      <formula>NOT(ISERROR(SEARCH("Yet to be approved",C4079)))</formula>
    </cfRule>
  </conditionalFormatting>
  <conditionalFormatting sqref="C4080:C4082">
    <cfRule type="containsText" dxfId="661" priority="668" operator="containsText" text="DPR not submitted">
      <formula>NOT(ISERROR(SEARCH("DPR not submitted",C4080)))</formula>
    </cfRule>
    <cfRule type="containsText" dxfId="660" priority="669" operator="containsText" text="Yet to be approved">
      <formula>NOT(ISERROR(SEARCH("Yet to be approved",C4080)))</formula>
    </cfRule>
  </conditionalFormatting>
  <conditionalFormatting sqref="C4083">
    <cfRule type="containsText" dxfId="659" priority="567" operator="containsText" text="DPR not submitted">
      <formula>NOT(ISERROR(SEARCH("DPR not submitted",C4083)))</formula>
    </cfRule>
    <cfRule type="containsText" dxfId="658" priority="568" operator="containsText" text="Yet to be approved">
      <formula>NOT(ISERROR(SEARCH("Yet to be approved",C4083)))</formula>
    </cfRule>
  </conditionalFormatting>
  <conditionalFormatting sqref="C4084:C4085">
    <cfRule type="containsText" dxfId="657" priority="666" operator="containsText" text="DPR not submitted">
      <formula>NOT(ISERROR(SEARCH("DPR not submitted",C4084)))</formula>
    </cfRule>
    <cfRule type="containsText" dxfId="656" priority="667" operator="containsText" text="Yet to be approved">
      <formula>NOT(ISERROR(SEARCH("Yet to be approved",C4084)))</formula>
    </cfRule>
  </conditionalFormatting>
  <conditionalFormatting sqref="C4086">
    <cfRule type="containsText" dxfId="655" priority="565" operator="containsText" text="DPR not submitted">
      <formula>NOT(ISERROR(SEARCH("DPR not submitted",C4086)))</formula>
    </cfRule>
    <cfRule type="containsText" dxfId="654" priority="566" operator="containsText" text="Yet to be approved">
      <formula>NOT(ISERROR(SEARCH("Yet to be approved",C4086)))</formula>
    </cfRule>
  </conditionalFormatting>
  <conditionalFormatting sqref="C4087:C4090">
    <cfRule type="containsText" dxfId="653" priority="664" operator="containsText" text="DPR not submitted">
      <formula>NOT(ISERROR(SEARCH("DPR not submitted",C4087)))</formula>
    </cfRule>
    <cfRule type="containsText" dxfId="652" priority="665" operator="containsText" text="Yet to be approved">
      <formula>NOT(ISERROR(SEARCH("Yet to be approved",C4087)))</formula>
    </cfRule>
  </conditionalFormatting>
  <conditionalFormatting sqref="C4091">
    <cfRule type="containsText" dxfId="651" priority="563" operator="containsText" text="DPR not submitted">
      <formula>NOT(ISERROR(SEARCH("DPR not submitted",C4091)))</formula>
    </cfRule>
    <cfRule type="containsText" dxfId="650" priority="564" operator="containsText" text="Yet to be approved">
      <formula>NOT(ISERROR(SEARCH("Yet to be approved",C4091)))</formula>
    </cfRule>
  </conditionalFormatting>
  <conditionalFormatting sqref="C4092:C4101">
    <cfRule type="containsText" dxfId="649" priority="662" operator="containsText" text="DPR not submitted">
      <formula>NOT(ISERROR(SEARCH("DPR not submitted",C4092)))</formula>
    </cfRule>
    <cfRule type="containsText" dxfId="648" priority="663" operator="containsText" text="Yet to be approved">
      <formula>NOT(ISERROR(SEARCH("Yet to be approved",C4092)))</formula>
    </cfRule>
  </conditionalFormatting>
  <conditionalFormatting sqref="C4102">
    <cfRule type="containsText" dxfId="647" priority="561" operator="containsText" text="DPR not submitted">
      <formula>NOT(ISERROR(SEARCH("DPR not submitted",C4102)))</formula>
    </cfRule>
    <cfRule type="containsText" dxfId="646" priority="562" operator="containsText" text="Yet to be approved">
      <formula>NOT(ISERROR(SEARCH("Yet to be approved",C4102)))</formula>
    </cfRule>
  </conditionalFormatting>
  <conditionalFormatting sqref="C4103 C4105">
    <cfRule type="containsText" dxfId="645" priority="660" operator="containsText" text="DPR not submitted">
      <formula>NOT(ISERROR(SEARCH("DPR not submitted",C4103)))</formula>
    </cfRule>
    <cfRule type="containsText" dxfId="644" priority="661" operator="containsText" text="Yet to be approved">
      <formula>NOT(ISERROR(SEARCH("Yet to be approved",C4103)))</formula>
    </cfRule>
  </conditionalFormatting>
  <conditionalFormatting sqref="C4104">
    <cfRule type="containsText" dxfId="643" priority="415" operator="containsText" text="DPR not submitted">
      <formula>NOT(ISERROR(SEARCH("DPR not submitted",C4104)))</formula>
    </cfRule>
    <cfRule type="containsText" dxfId="642" priority="416" operator="containsText" text="Yet to be approved">
      <formula>NOT(ISERROR(SEARCH("Yet to be approved",C4104)))</formula>
    </cfRule>
  </conditionalFormatting>
  <conditionalFormatting sqref="C4106">
    <cfRule type="containsText" dxfId="641" priority="559" operator="containsText" text="DPR not submitted">
      <formula>NOT(ISERROR(SEARCH("DPR not submitted",C4106)))</formula>
    </cfRule>
    <cfRule type="containsText" dxfId="640" priority="560" operator="containsText" text="Yet to be approved">
      <formula>NOT(ISERROR(SEARCH("Yet to be approved",C4106)))</formula>
    </cfRule>
  </conditionalFormatting>
  <conditionalFormatting sqref="C4107:C4113">
    <cfRule type="containsText" dxfId="639" priority="658" operator="containsText" text="DPR not submitted">
      <formula>NOT(ISERROR(SEARCH("DPR not submitted",C4107)))</formula>
    </cfRule>
    <cfRule type="containsText" dxfId="638" priority="659" operator="containsText" text="Yet to be approved">
      <formula>NOT(ISERROR(SEARCH("Yet to be approved",C4107)))</formula>
    </cfRule>
  </conditionalFormatting>
  <conditionalFormatting sqref="C4114">
    <cfRule type="containsText" dxfId="637" priority="557" operator="containsText" text="DPR not submitted">
      <formula>NOT(ISERROR(SEARCH("DPR not submitted",C4114)))</formula>
    </cfRule>
    <cfRule type="containsText" dxfId="636" priority="558" operator="containsText" text="Yet to be approved">
      <formula>NOT(ISERROR(SEARCH("Yet to be approved",C4114)))</formula>
    </cfRule>
  </conditionalFormatting>
  <conditionalFormatting sqref="C4115:C4116">
    <cfRule type="containsText" dxfId="635" priority="656" operator="containsText" text="DPR not submitted">
      <formula>NOT(ISERROR(SEARCH("DPR not submitted",C4115)))</formula>
    </cfRule>
    <cfRule type="containsText" dxfId="634" priority="657" operator="containsText" text="Yet to be approved">
      <formula>NOT(ISERROR(SEARCH("Yet to be approved",C4115)))</formula>
    </cfRule>
  </conditionalFormatting>
  <conditionalFormatting sqref="C4117">
    <cfRule type="containsText" dxfId="633" priority="555" operator="containsText" text="DPR not submitted">
      <formula>NOT(ISERROR(SEARCH("DPR not submitted",C4117)))</formula>
    </cfRule>
    <cfRule type="containsText" dxfId="632" priority="556" operator="containsText" text="Yet to be approved">
      <formula>NOT(ISERROR(SEARCH("Yet to be approved",C4117)))</formula>
    </cfRule>
  </conditionalFormatting>
  <conditionalFormatting sqref="C4118:C4120">
    <cfRule type="containsText" dxfId="631" priority="654" operator="containsText" text="DPR not submitted">
      <formula>NOT(ISERROR(SEARCH("DPR not submitted",C4118)))</formula>
    </cfRule>
    <cfRule type="containsText" dxfId="630" priority="655" operator="containsText" text="Yet to be approved">
      <formula>NOT(ISERROR(SEARCH("Yet to be approved",C4118)))</formula>
    </cfRule>
  </conditionalFormatting>
  <conditionalFormatting sqref="C4121">
    <cfRule type="containsText" dxfId="629" priority="553" operator="containsText" text="DPR not submitted">
      <formula>NOT(ISERROR(SEARCH("DPR not submitted",C4121)))</formula>
    </cfRule>
    <cfRule type="containsText" dxfId="628" priority="554" operator="containsText" text="Yet to be approved">
      <formula>NOT(ISERROR(SEARCH("Yet to be approved",C4121)))</formula>
    </cfRule>
  </conditionalFormatting>
  <conditionalFormatting sqref="C4122:C4124">
    <cfRule type="containsText" dxfId="627" priority="652" operator="containsText" text="DPR not submitted">
      <formula>NOT(ISERROR(SEARCH("DPR not submitted",C4122)))</formula>
    </cfRule>
    <cfRule type="containsText" dxfId="626" priority="653" operator="containsText" text="Yet to be approved">
      <formula>NOT(ISERROR(SEARCH("Yet to be approved",C4122)))</formula>
    </cfRule>
  </conditionalFormatting>
  <conditionalFormatting sqref="C4125">
    <cfRule type="containsText" dxfId="625" priority="551" operator="containsText" text="DPR not submitted">
      <formula>NOT(ISERROR(SEARCH("DPR not submitted",C4125)))</formula>
    </cfRule>
    <cfRule type="containsText" dxfId="624" priority="552" operator="containsText" text="Yet to be approved">
      <formula>NOT(ISERROR(SEARCH("Yet to be approved",C4125)))</formula>
    </cfRule>
  </conditionalFormatting>
  <conditionalFormatting sqref="C4126">
    <cfRule type="containsText" dxfId="623" priority="471" operator="containsText" text="DPR not submitted">
      <formula>NOT(ISERROR(SEARCH("DPR not submitted",C4126)))</formula>
    </cfRule>
    <cfRule type="containsText" dxfId="622" priority="472" operator="containsText" text="Yet to be approved">
      <formula>NOT(ISERROR(SEARCH("Yet to be approved",C4126)))</formula>
    </cfRule>
  </conditionalFormatting>
  <conditionalFormatting sqref="C4127">
    <cfRule type="containsText" dxfId="621" priority="469" operator="containsText" text="DPR not submitted">
      <formula>NOT(ISERROR(SEARCH("DPR not submitted",C4127)))</formula>
    </cfRule>
    <cfRule type="containsText" dxfId="620" priority="470" operator="containsText" text="Yet to be approved">
      <formula>NOT(ISERROR(SEARCH("Yet to be approved",C4127)))</formula>
    </cfRule>
  </conditionalFormatting>
  <conditionalFormatting sqref="C4128">
    <cfRule type="containsText" dxfId="619" priority="650" operator="containsText" text="DPR not submitted">
      <formula>NOT(ISERROR(SEARCH("DPR not submitted",C4128)))</formula>
    </cfRule>
    <cfRule type="containsText" dxfId="618" priority="651" operator="containsText" text="Yet to be approved">
      <formula>NOT(ISERROR(SEARCH("Yet to be approved",C4128)))</formula>
    </cfRule>
  </conditionalFormatting>
  <conditionalFormatting sqref="C4129">
    <cfRule type="containsText" dxfId="617" priority="549" operator="containsText" text="DPR not submitted">
      <formula>NOT(ISERROR(SEARCH("DPR not submitted",C4129)))</formula>
    </cfRule>
    <cfRule type="containsText" dxfId="616" priority="550" operator="containsText" text="Yet to be approved">
      <formula>NOT(ISERROR(SEARCH("Yet to be approved",C4129)))</formula>
    </cfRule>
  </conditionalFormatting>
  <conditionalFormatting sqref="C4130:C4133">
    <cfRule type="containsText" dxfId="615" priority="648" operator="containsText" text="DPR not submitted">
      <formula>NOT(ISERROR(SEARCH("DPR not submitted",C4130)))</formula>
    </cfRule>
    <cfRule type="containsText" dxfId="614" priority="649" operator="containsText" text="Yet to be approved">
      <formula>NOT(ISERROR(SEARCH("Yet to be approved",C4130)))</formula>
    </cfRule>
  </conditionalFormatting>
  <conditionalFormatting sqref="C4134">
    <cfRule type="containsText" dxfId="613" priority="547" operator="containsText" text="DPR not submitted">
      <formula>NOT(ISERROR(SEARCH("DPR not submitted",C4134)))</formula>
    </cfRule>
    <cfRule type="containsText" dxfId="612" priority="548" operator="containsText" text="Yet to be approved">
      <formula>NOT(ISERROR(SEARCH("Yet to be approved",C4134)))</formula>
    </cfRule>
  </conditionalFormatting>
  <conditionalFormatting sqref="C4135:C4137">
    <cfRule type="containsText" dxfId="611" priority="646" operator="containsText" text="DPR not submitted">
      <formula>NOT(ISERROR(SEARCH("DPR not submitted",C4135)))</formula>
    </cfRule>
    <cfRule type="containsText" dxfId="610" priority="647" operator="containsText" text="Yet to be approved">
      <formula>NOT(ISERROR(SEARCH("Yet to be approved",C4135)))</formula>
    </cfRule>
  </conditionalFormatting>
  <conditionalFormatting sqref="C4138">
    <cfRule type="containsText" dxfId="609" priority="545" operator="containsText" text="DPR not submitted">
      <formula>NOT(ISERROR(SEARCH("DPR not submitted",C4138)))</formula>
    </cfRule>
    <cfRule type="containsText" dxfId="608" priority="546" operator="containsText" text="Yet to be approved">
      <formula>NOT(ISERROR(SEARCH("Yet to be approved",C4138)))</formula>
    </cfRule>
  </conditionalFormatting>
  <conditionalFormatting sqref="C4139:C4143">
    <cfRule type="containsText" dxfId="607" priority="644" operator="containsText" text="DPR not submitted">
      <formula>NOT(ISERROR(SEARCH("DPR not submitted",C4139)))</formula>
    </cfRule>
    <cfRule type="containsText" dxfId="606" priority="645" operator="containsText" text="Yet to be approved">
      <formula>NOT(ISERROR(SEARCH("Yet to be approved",C4139)))</formula>
    </cfRule>
  </conditionalFormatting>
  <conditionalFormatting sqref="C4144">
    <cfRule type="containsText" dxfId="605" priority="543" operator="containsText" text="DPR not submitted">
      <formula>NOT(ISERROR(SEARCH("DPR not submitted",C4144)))</formula>
    </cfRule>
    <cfRule type="containsText" dxfId="604" priority="544" operator="containsText" text="Yet to be approved">
      <formula>NOT(ISERROR(SEARCH("Yet to be approved",C4144)))</formula>
    </cfRule>
  </conditionalFormatting>
  <conditionalFormatting sqref="C4145:C4150">
    <cfRule type="containsText" dxfId="603" priority="642" operator="containsText" text="DPR not submitted">
      <formula>NOT(ISERROR(SEARCH("DPR not submitted",C4145)))</formula>
    </cfRule>
    <cfRule type="containsText" dxfId="602" priority="643" operator="containsText" text="Yet to be approved">
      <formula>NOT(ISERROR(SEARCH("Yet to be approved",C4145)))</formula>
    </cfRule>
  </conditionalFormatting>
  <conditionalFormatting sqref="C4151">
    <cfRule type="containsText" dxfId="601" priority="541" operator="containsText" text="DPR not submitted">
      <formula>NOT(ISERROR(SEARCH("DPR not submitted",C4151)))</formula>
    </cfRule>
    <cfRule type="containsText" dxfId="600" priority="542" operator="containsText" text="Yet to be approved">
      <formula>NOT(ISERROR(SEARCH("Yet to be approved",C4151)))</formula>
    </cfRule>
  </conditionalFormatting>
  <conditionalFormatting sqref="C4152 C4154 C4156">
    <cfRule type="containsText" dxfId="599" priority="640" operator="containsText" text="DPR not submitted">
      <formula>NOT(ISERROR(SEARCH("DPR not submitted",C4152)))</formula>
    </cfRule>
  </conditionalFormatting>
  <conditionalFormatting sqref="C4152 C4156 C4154">
    <cfRule type="containsText" dxfId="598" priority="641" operator="containsText" text="Yet to be approved">
      <formula>NOT(ISERROR(SEARCH("Yet to be approved",C4152)))</formula>
    </cfRule>
  </conditionalFormatting>
  <conditionalFormatting sqref="C4153">
    <cfRule type="containsText" dxfId="597" priority="413" operator="containsText" text="DPR not submitted">
      <formula>NOT(ISERROR(SEARCH("DPR not submitted",C4153)))</formula>
    </cfRule>
    <cfRule type="containsText" dxfId="596" priority="414" operator="containsText" text="Yet to be approved">
      <formula>NOT(ISERROR(SEARCH("Yet to be approved",C4153)))</formula>
    </cfRule>
  </conditionalFormatting>
  <conditionalFormatting sqref="C4155">
    <cfRule type="containsText" dxfId="595" priority="411" operator="containsText" text="DPR not submitted">
      <formula>NOT(ISERROR(SEARCH("DPR not submitted",C4155)))</formula>
    </cfRule>
    <cfRule type="containsText" dxfId="594" priority="412" operator="containsText" text="Yet to be approved">
      <formula>NOT(ISERROR(SEARCH("Yet to be approved",C4155)))</formula>
    </cfRule>
  </conditionalFormatting>
  <conditionalFormatting sqref="C4157">
    <cfRule type="containsText" dxfId="593" priority="539" operator="containsText" text="DPR not submitted">
      <formula>NOT(ISERROR(SEARCH("DPR not submitted",C4157)))</formula>
    </cfRule>
    <cfRule type="containsText" dxfId="592" priority="540" operator="containsText" text="Yet to be approved">
      <formula>NOT(ISERROR(SEARCH("Yet to be approved",C4157)))</formula>
    </cfRule>
  </conditionalFormatting>
  <conditionalFormatting sqref="C4158:C4161">
    <cfRule type="containsText" dxfId="591" priority="638" operator="containsText" text="DPR not submitted">
      <formula>NOT(ISERROR(SEARCH("DPR not submitted",C4158)))</formula>
    </cfRule>
    <cfRule type="containsText" dxfId="590" priority="639" operator="containsText" text="Yet to be approved">
      <formula>NOT(ISERROR(SEARCH("Yet to be approved",C4158)))</formula>
    </cfRule>
  </conditionalFormatting>
  <conditionalFormatting sqref="C4162">
    <cfRule type="containsText" dxfId="589" priority="537" operator="containsText" text="DPR not submitted">
      <formula>NOT(ISERROR(SEARCH("DPR not submitted",C4162)))</formula>
    </cfRule>
    <cfRule type="containsText" dxfId="588" priority="538" operator="containsText" text="Yet to be approved">
      <formula>NOT(ISERROR(SEARCH("Yet to be approved",C4162)))</formula>
    </cfRule>
  </conditionalFormatting>
  <conditionalFormatting sqref="C4163:C4166">
    <cfRule type="containsText" dxfId="587" priority="636" operator="containsText" text="DPR not submitted">
      <formula>NOT(ISERROR(SEARCH("DPR not submitted",C4163)))</formula>
    </cfRule>
    <cfRule type="containsText" dxfId="586" priority="637" operator="containsText" text="Yet to be approved">
      <formula>NOT(ISERROR(SEARCH("Yet to be approved",C4163)))</formula>
    </cfRule>
  </conditionalFormatting>
  <conditionalFormatting sqref="C4167">
    <cfRule type="containsText" dxfId="585" priority="535" operator="containsText" text="DPR not submitted">
      <formula>NOT(ISERROR(SEARCH("DPR not submitted",C4167)))</formula>
    </cfRule>
    <cfRule type="containsText" dxfId="584" priority="536" operator="containsText" text="Yet to be approved">
      <formula>NOT(ISERROR(SEARCH("Yet to be approved",C4167)))</formula>
    </cfRule>
  </conditionalFormatting>
  <conditionalFormatting sqref="C4168">
    <cfRule type="containsText" dxfId="583" priority="634" operator="containsText" text="DPR not submitted">
      <formula>NOT(ISERROR(SEARCH("DPR not submitted",C4168)))</formula>
    </cfRule>
    <cfRule type="containsText" dxfId="582" priority="635" operator="containsText" text="Yet to be approved">
      <formula>NOT(ISERROR(SEARCH("Yet to be approved",C4168)))</formula>
    </cfRule>
  </conditionalFormatting>
  <conditionalFormatting sqref="C4169">
    <cfRule type="containsText" dxfId="581" priority="533" operator="containsText" text="DPR not submitted">
      <formula>NOT(ISERROR(SEARCH("DPR not submitted",C4169)))</formula>
    </cfRule>
    <cfRule type="containsText" dxfId="580" priority="534" operator="containsText" text="Yet to be approved">
      <formula>NOT(ISERROR(SEARCH("Yet to be approved",C4169)))</formula>
    </cfRule>
  </conditionalFormatting>
  <conditionalFormatting sqref="C4170">
    <cfRule type="containsText" dxfId="579" priority="632" operator="containsText" text="DPR not submitted">
      <formula>NOT(ISERROR(SEARCH("DPR not submitted",C4170)))</formula>
    </cfRule>
    <cfRule type="containsText" dxfId="578" priority="633" operator="containsText" text="Yet to be approved">
      <formula>NOT(ISERROR(SEARCH("Yet to be approved",C4170)))</formula>
    </cfRule>
  </conditionalFormatting>
  <conditionalFormatting sqref="C4171">
    <cfRule type="containsText" dxfId="577" priority="531" operator="containsText" text="DPR not submitted">
      <formula>NOT(ISERROR(SEARCH("DPR not submitted",C4171)))</formula>
    </cfRule>
    <cfRule type="containsText" dxfId="576" priority="532" operator="containsText" text="Yet to be approved">
      <formula>NOT(ISERROR(SEARCH("Yet to be approved",C4171)))</formula>
    </cfRule>
  </conditionalFormatting>
  <conditionalFormatting sqref="C4172:C4174">
    <cfRule type="containsText" dxfId="575" priority="630" operator="containsText" text="DPR not submitted">
      <formula>NOT(ISERROR(SEARCH("DPR not submitted",C4172)))</formula>
    </cfRule>
    <cfRule type="containsText" dxfId="574" priority="631" operator="containsText" text="Yet to be approved">
      <formula>NOT(ISERROR(SEARCH("Yet to be approved",C4172)))</formula>
    </cfRule>
  </conditionalFormatting>
  <conditionalFormatting sqref="C4175">
    <cfRule type="containsText" dxfId="573" priority="529" operator="containsText" text="DPR not submitted">
      <formula>NOT(ISERROR(SEARCH("DPR not submitted",C4175)))</formula>
    </cfRule>
    <cfRule type="containsText" dxfId="572" priority="530" operator="containsText" text="Yet to be approved">
      <formula>NOT(ISERROR(SEARCH("Yet to be approved",C4175)))</formula>
    </cfRule>
  </conditionalFormatting>
  <conditionalFormatting sqref="C4176 C4178:C4179">
    <cfRule type="containsText" dxfId="571" priority="628" operator="containsText" text="DPR not submitted">
      <formula>NOT(ISERROR(SEARCH("DPR not submitted",C4176)))</formula>
    </cfRule>
    <cfRule type="containsText" dxfId="570" priority="629" operator="containsText" text="Yet to be approved">
      <formula>NOT(ISERROR(SEARCH("Yet to be approved",C4176)))</formula>
    </cfRule>
  </conditionalFormatting>
  <conditionalFormatting sqref="C4177">
    <cfRule type="containsText" dxfId="569" priority="409" operator="containsText" text="DPR not submitted">
      <formula>NOT(ISERROR(SEARCH("DPR not submitted",C4177)))</formula>
    </cfRule>
    <cfRule type="containsText" dxfId="568" priority="410" operator="containsText" text="Yet to be approved">
      <formula>NOT(ISERROR(SEARCH("Yet to be approved",C4177)))</formula>
    </cfRule>
  </conditionalFormatting>
  <conditionalFormatting sqref="C4180">
    <cfRule type="containsText" dxfId="567" priority="527" operator="containsText" text="DPR not submitted">
      <formula>NOT(ISERROR(SEARCH("DPR not submitted",C4180)))</formula>
    </cfRule>
    <cfRule type="containsText" dxfId="566" priority="528" operator="containsText" text="Yet to be approved">
      <formula>NOT(ISERROR(SEARCH("Yet to be approved",C4180)))</formula>
    </cfRule>
  </conditionalFormatting>
  <conditionalFormatting sqref="C4181:C4184">
    <cfRule type="containsText" dxfId="565" priority="626" operator="containsText" text="DPR not submitted">
      <formula>NOT(ISERROR(SEARCH("DPR not submitted",C4181)))</formula>
    </cfRule>
    <cfRule type="containsText" dxfId="564" priority="627" operator="containsText" text="Yet to be approved">
      <formula>NOT(ISERROR(SEARCH("Yet to be approved",C4181)))</formula>
    </cfRule>
  </conditionalFormatting>
  <conditionalFormatting sqref="C4185">
    <cfRule type="containsText" dxfId="563" priority="525" operator="containsText" text="DPR not submitted">
      <formula>NOT(ISERROR(SEARCH("DPR not submitted",C4185)))</formula>
    </cfRule>
    <cfRule type="containsText" dxfId="562" priority="526" operator="containsText" text="Yet to be approved">
      <formula>NOT(ISERROR(SEARCH("Yet to be approved",C4185)))</formula>
    </cfRule>
  </conditionalFormatting>
  <conditionalFormatting sqref="C4186:C4187 C4190">
    <cfRule type="containsText" dxfId="561" priority="624" operator="containsText" text="DPR not submitted">
      <formula>NOT(ISERROR(SEARCH("DPR not submitted",C4186)))</formula>
    </cfRule>
    <cfRule type="containsText" dxfId="560" priority="625" operator="containsText" text="Yet to be approved">
      <formula>NOT(ISERROR(SEARCH("Yet to be approved",C4186)))</formula>
    </cfRule>
  </conditionalFormatting>
  <conditionalFormatting sqref="C4188">
    <cfRule type="containsText" dxfId="559" priority="407" operator="containsText" text="DPR not submitted">
      <formula>NOT(ISERROR(SEARCH("DPR not submitted",C4188)))</formula>
    </cfRule>
    <cfRule type="containsText" dxfId="558" priority="408" operator="containsText" text="Yet to be approved">
      <formula>NOT(ISERROR(SEARCH("Yet to be approved",C4188)))</formula>
    </cfRule>
  </conditionalFormatting>
  <conditionalFormatting sqref="C4189">
    <cfRule type="containsText" dxfId="557" priority="405" operator="containsText" text="DPR not submitted">
      <formula>NOT(ISERROR(SEARCH("DPR not submitted",C4189)))</formula>
    </cfRule>
    <cfRule type="containsText" dxfId="556" priority="406" operator="containsText" text="Yet to be approved">
      <formula>NOT(ISERROR(SEARCH("Yet to be approved",C4189)))</formula>
    </cfRule>
  </conditionalFormatting>
  <conditionalFormatting sqref="C4191">
    <cfRule type="containsText" dxfId="555" priority="523" operator="containsText" text="DPR not submitted">
      <formula>NOT(ISERROR(SEARCH("DPR not submitted",C4191)))</formula>
    </cfRule>
    <cfRule type="containsText" dxfId="554" priority="524" operator="containsText" text="Yet to be approved">
      <formula>NOT(ISERROR(SEARCH("Yet to be approved",C4191)))</formula>
    </cfRule>
  </conditionalFormatting>
  <conditionalFormatting sqref="C4192">
    <cfRule type="containsText" dxfId="553" priority="403" operator="containsText" text="DPR not submitted">
      <formula>NOT(ISERROR(SEARCH("DPR not submitted",C4192)))</formula>
    </cfRule>
    <cfRule type="containsText" dxfId="552" priority="404" operator="containsText" text="Yet to be approved">
      <formula>NOT(ISERROR(SEARCH("Yet to be approved",C4192)))</formula>
    </cfRule>
  </conditionalFormatting>
  <conditionalFormatting sqref="C4193">
    <cfRule type="containsText" dxfId="551" priority="401" operator="containsText" text="DPR not submitted">
      <formula>NOT(ISERROR(SEARCH("DPR not submitted",C4193)))</formula>
    </cfRule>
    <cfRule type="containsText" dxfId="550" priority="402" operator="containsText" text="Yet to be approved">
      <formula>NOT(ISERROR(SEARCH("Yet to be approved",C4193)))</formula>
    </cfRule>
  </conditionalFormatting>
  <conditionalFormatting sqref="C4194">
    <cfRule type="containsText" dxfId="549" priority="467" operator="containsText" text="DPR not submitted">
      <formula>NOT(ISERROR(SEARCH("DPR not submitted",C4194)))</formula>
    </cfRule>
    <cfRule type="containsText" dxfId="548" priority="468" operator="containsText" text="Yet to be approved">
      <formula>NOT(ISERROR(SEARCH("Yet to be approved",C4194)))</formula>
    </cfRule>
  </conditionalFormatting>
  <conditionalFormatting sqref="C4195">
    <cfRule type="containsText" dxfId="547" priority="465" operator="containsText" text="DPR not submitted">
      <formula>NOT(ISERROR(SEARCH("DPR not submitted",C4195)))</formula>
    </cfRule>
    <cfRule type="containsText" dxfId="546" priority="466" operator="containsText" text="Yet to be approved">
      <formula>NOT(ISERROR(SEARCH("Yet to be approved",C4195)))</formula>
    </cfRule>
  </conditionalFormatting>
  <conditionalFormatting sqref="C4196">
    <cfRule type="containsText" dxfId="545" priority="463" operator="containsText" text="DPR not submitted">
      <formula>NOT(ISERROR(SEARCH("DPR not submitted",C4196)))</formula>
    </cfRule>
    <cfRule type="containsText" dxfId="544" priority="464" operator="containsText" text="Yet to be approved">
      <formula>NOT(ISERROR(SEARCH("Yet to be approved",C4196)))</formula>
    </cfRule>
  </conditionalFormatting>
  <conditionalFormatting sqref="C4197">
    <cfRule type="containsText" dxfId="543" priority="461" operator="containsText" text="DPR not submitted">
      <formula>NOT(ISERROR(SEARCH("DPR not submitted",C4197)))</formula>
    </cfRule>
    <cfRule type="containsText" dxfId="542" priority="462" operator="containsText" text="Yet to be approved">
      <formula>NOT(ISERROR(SEARCH("Yet to be approved",C4197)))</formula>
    </cfRule>
  </conditionalFormatting>
  <conditionalFormatting sqref="C4198">
    <cfRule type="containsText" dxfId="541" priority="459" operator="containsText" text="DPR not submitted">
      <formula>NOT(ISERROR(SEARCH("DPR not submitted",C4198)))</formula>
    </cfRule>
    <cfRule type="containsText" dxfId="540" priority="460" operator="containsText" text="Yet to be approved">
      <formula>NOT(ISERROR(SEARCH("Yet to be approved",C4198)))</formula>
    </cfRule>
  </conditionalFormatting>
  <conditionalFormatting sqref="C4199">
    <cfRule type="containsText" dxfId="539" priority="457" operator="containsText" text="DPR not submitted">
      <formula>NOT(ISERROR(SEARCH("DPR not submitted",C4199)))</formula>
    </cfRule>
    <cfRule type="containsText" dxfId="538" priority="458" operator="containsText" text="Yet to be approved">
      <formula>NOT(ISERROR(SEARCH("Yet to be approved",C4199)))</formula>
    </cfRule>
  </conditionalFormatting>
  <conditionalFormatting sqref="C4200">
    <cfRule type="containsText" dxfId="537" priority="455" operator="containsText" text="DPR not submitted">
      <formula>NOT(ISERROR(SEARCH("DPR not submitted",C4200)))</formula>
    </cfRule>
    <cfRule type="containsText" dxfId="536" priority="456" operator="containsText" text="Yet to be approved">
      <formula>NOT(ISERROR(SEARCH("Yet to be approved",C4200)))</formula>
    </cfRule>
  </conditionalFormatting>
  <conditionalFormatting sqref="C4201">
    <cfRule type="containsText" dxfId="535" priority="453" operator="containsText" text="DPR not submitted">
      <formula>NOT(ISERROR(SEARCH("DPR not submitted",C4201)))</formula>
    </cfRule>
    <cfRule type="containsText" dxfId="534" priority="454" operator="containsText" text="Yet to be approved">
      <formula>NOT(ISERROR(SEARCH("Yet to be approved",C4201)))</formula>
    </cfRule>
  </conditionalFormatting>
  <conditionalFormatting sqref="C4202">
    <cfRule type="containsText" dxfId="533" priority="451" operator="containsText" text="DPR not submitted">
      <formula>NOT(ISERROR(SEARCH("DPR not submitted",C4202)))</formula>
    </cfRule>
    <cfRule type="containsText" dxfId="532" priority="452" operator="containsText" text="Yet to be approved">
      <formula>NOT(ISERROR(SEARCH("Yet to be approved",C4202)))</formula>
    </cfRule>
  </conditionalFormatting>
  <conditionalFormatting sqref="C4203">
    <cfRule type="containsText" dxfId="531" priority="449" operator="containsText" text="DPR not submitted">
      <formula>NOT(ISERROR(SEARCH("DPR not submitted",C4203)))</formula>
    </cfRule>
    <cfRule type="containsText" dxfId="530" priority="450" operator="containsText" text="Yet to be approved">
      <formula>NOT(ISERROR(SEARCH("Yet to be approved",C4203)))</formula>
    </cfRule>
  </conditionalFormatting>
  <conditionalFormatting sqref="C4204">
    <cfRule type="containsText" dxfId="529" priority="521" operator="containsText" text="DPR not submitted">
      <formula>NOT(ISERROR(SEARCH("DPR not submitted",C4204)))</formula>
    </cfRule>
    <cfRule type="containsText" dxfId="528" priority="522" operator="containsText" text="Yet to be approved">
      <formula>NOT(ISERROR(SEARCH("Yet to be approved",C4204)))</formula>
    </cfRule>
  </conditionalFormatting>
  <conditionalFormatting sqref="C4205">
    <cfRule type="containsText" dxfId="527" priority="447" operator="containsText" text="DPR not submitted">
      <formula>NOT(ISERROR(SEARCH("DPR not submitted",C4205)))</formula>
    </cfRule>
    <cfRule type="containsText" dxfId="526" priority="448" operator="containsText" text="Yet to be approved">
      <formula>NOT(ISERROR(SEARCH("Yet to be approved",C4205)))</formula>
    </cfRule>
  </conditionalFormatting>
  <conditionalFormatting sqref="C4206">
    <cfRule type="containsText" dxfId="525" priority="445" operator="containsText" text="DPR not submitted">
      <formula>NOT(ISERROR(SEARCH("DPR not submitted",C4206)))</formula>
    </cfRule>
    <cfRule type="containsText" dxfId="524" priority="446" operator="containsText" text="Yet to be approved">
      <formula>NOT(ISERROR(SEARCH("Yet to be approved",C4206)))</formula>
    </cfRule>
  </conditionalFormatting>
  <conditionalFormatting sqref="C4207">
    <cfRule type="containsText" dxfId="523" priority="622" operator="containsText" text="DPR not submitted">
      <formula>NOT(ISERROR(SEARCH("DPR not submitted",C4207)))</formula>
    </cfRule>
    <cfRule type="containsText" dxfId="522" priority="623" operator="containsText" text="Yet to be approved">
      <formula>NOT(ISERROR(SEARCH("Yet to be approved",C4207)))</formula>
    </cfRule>
  </conditionalFormatting>
  <conditionalFormatting sqref="C4208">
    <cfRule type="containsText" dxfId="521" priority="519" operator="containsText" text="DPR not submitted">
      <formula>NOT(ISERROR(SEARCH("DPR not submitted",C4208)))</formula>
    </cfRule>
    <cfRule type="containsText" dxfId="520" priority="520" operator="containsText" text="Yet to be approved">
      <formula>NOT(ISERROR(SEARCH("Yet to be approved",C4208)))</formula>
    </cfRule>
  </conditionalFormatting>
  <conditionalFormatting sqref="C4209">
    <cfRule type="containsText" dxfId="519" priority="443" operator="containsText" text="DPR not submitted">
      <formula>NOT(ISERROR(SEARCH("DPR not submitted",C4209)))</formula>
    </cfRule>
    <cfRule type="containsText" dxfId="518" priority="444" operator="containsText" text="Yet to be approved">
      <formula>NOT(ISERROR(SEARCH("Yet to be approved",C4209)))</formula>
    </cfRule>
  </conditionalFormatting>
  <conditionalFormatting sqref="C4210">
    <cfRule type="containsText" dxfId="517" priority="620" operator="containsText" text="DPR not submitted">
      <formula>NOT(ISERROR(SEARCH("DPR not submitted",C4210)))</formula>
    </cfRule>
    <cfRule type="containsText" dxfId="516" priority="621" operator="containsText" text="Yet to be approved">
      <formula>NOT(ISERROR(SEARCH("Yet to be approved",C4210)))</formula>
    </cfRule>
  </conditionalFormatting>
  <conditionalFormatting sqref="C4211">
    <cfRule type="containsText" dxfId="515" priority="517" operator="containsText" text="DPR not submitted">
      <formula>NOT(ISERROR(SEARCH("DPR not submitted",C4211)))</formula>
    </cfRule>
    <cfRule type="containsText" dxfId="514" priority="518" operator="containsText" text="Yet to be approved">
      <formula>NOT(ISERROR(SEARCH("Yet to be approved",C4211)))</formula>
    </cfRule>
  </conditionalFormatting>
  <conditionalFormatting sqref="C4212">
    <cfRule type="containsText" dxfId="513" priority="399" operator="containsText" text="DPR not submitted">
      <formula>NOT(ISERROR(SEARCH("DPR not submitted",C4212)))</formula>
    </cfRule>
    <cfRule type="containsText" dxfId="512" priority="400" operator="containsText" text="Yet to be approved">
      <formula>NOT(ISERROR(SEARCH("Yet to be approved",C4212)))</formula>
    </cfRule>
  </conditionalFormatting>
  <conditionalFormatting sqref="C4213">
    <cfRule type="containsText" dxfId="511" priority="618" operator="containsText" text="DPR not submitted">
      <formula>NOT(ISERROR(SEARCH("DPR not submitted",C4213)))</formula>
    </cfRule>
    <cfRule type="containsText" dxfId="510" priority="619" operator="containsText" text="Yet to be approved">
      <formula>NOT(ISERROR(SEARCH("Yet to be approved",C4213)))</formula>
    </cfRule>
  </conditionalFormatting>
  <conditionalFormatting sqref="C4214">
    <cfRule type="containsText" dxfId="509" priority="515" operator="containsText" text="DPR not submitted">
      <formula>NOT(ISERROR(SEARCH("DPR not submitted",C4214)))</formula>
    </cfRule>
    <cfRule type="containsText" dxfId="508" priority="516" operator="containsText" text="Yet to be approved">
      <formula>NOT(ISERROR(SEARCH("Yet to be approved",C4214)))</formula>
    </cfRule>
  </conditionalFormatting>
  <conditionalFormatting sqref="C4215">
    <cfRule type="containsText" dxfId="507" priority="441" operator="containsText" text="DPR not submitted">
      <formula>NOT(ISERROR(SEARCH("DPR not submitted",C4215)))</formula>
    </cfRule>
    <cfRule type="containsText" dxfId="506" priority="442" operator="containsText" text="Yet to be approved">
      <formula>NOT(ISERROR(SEARCH("Yet to be approved",C4215)))</formula>
    </cfRule>
  </conditionalFormatting>
  <conditionalFormatting sqref="C4216">
    <cfRule type="containsText" dxfId="505" priority="616" operator="containsText" text="DPR not submitted">
      <formula>NOT(ISERROR(SEARCH("DPR not submitted",C4216)))</formula>
    </cfRule>
    <cfRule type="containsText" dxfId="504" priority="617" operator="containsText" text="Yet to be approved">
      <formula>NOT(ISERROR(SEARCH("Yet to be approved",C4216)))</formula>
    </cfRule>
  </conditionalFormatting>
  <conditionalFormatting sqref="C4217">
    <cfRule type="containsText" dxfId="503" priority="513" operator="containsText" text="DPR not submitted">
      <formula>NOT(ISERROR(SEARCH("DPR not submitted",C4217)))</formula>
    </cfRule>
    <cfRule type="containsText" dxfId="502" priority="514" operator="containsText" text="Yet to be approved">
      <formula>NOT(ISERROR(SEARCH("Yet to be approved",C4217)))</formula>
    </cfRule>
  </conditionalFormatting>
  <conditionalFormatting sqref="C4218">
    <cfRule type="containsText" dxfId="501" priority="397" operator="containsText" text="DPR not submitted">
      <formula>NOT(ISERROR(SEARCH("DPR not submitted",C4218)))</formula>
    </cfRule>
    <cfRule type="containsText" dxfId="500" priority="398" operator="containsText" text="Yet to be approved">
      <formula>NOT(ISERROR(SEARCH("Yet to be approved",C4218)))</formula>
    </cfRule>
  </conditionalFormatting>
  <conditionalFormatting sqref="C4219">
    <cfRule type="containsText" dxfId="499" priority="614" operator="containsText" text="DPR not submitted">
      <formula>NOT(ISERROR(SEARCH("DPR not submitted",C4219)))</formula>
    </cfRule>
    <cfRule type="containsText" dxfId="498" priority="615" operator="containsText" text="Yet to be approved">
      <formula>NOT(ISERROR(SEARCH("Yet to be approved",C4219)))</formula>
    </cfRule>
  </conditionalFormatting>
  <conditionalFormatting sqref="C4220">
    <cfRule type="containsText" dxfId="497" priority="511" operator="containsText" text="DPR not submitted">
      <formula>NOT(ISERROR(SEARCH("DPR not submitted",C4220)))</formula>
    </cfRule>
    <cfRule type="containsText" dxfId="496" priority="512" operator="containsText" text="Yet to be approved">
      <formula>NOT(ISERROR(SEARCH("Yet to be approved",C4220)))</formula>
    </cfRule>
  </conditionalFormatting>
  <conditionalFormatting sqref="C4221">
    <cfRule type="containsText" dxfId="495" priority="395" operator="containsText" text="DPR not submitted">
      <formula>NOT(ISERROR(SEARCH("DPR not submitted",C4221)))</formula>
    </cfRule>
    <cfRule type="containsText" dxfId="494" priority="396" operator="containsText" text="Yet to be approved">
      <formula>NOT(ISERROR(SEARCH("Yet to be approved",C4221)))</formula>
    </cfRule>
  </conditionalFormatting>
  <conditionalFormatting sqref="C4222">
    <cfRule type="containsText" dxfId="493" priority="612" operator="containsText" text="DPR not submitted">
      <formula>NOT(ISERROR(SEARCH("DPR not submitted",C4222)))</formula>
    </cfRule>
    <cfRule type="containsText" dxfId="492" priority="613" operator="containsText" text="Yet to be approved">
      <formula>NOT(ISERROR(SEARCH("Yet to be approved",C4222)))</formula>
    </cfRule>
  </conditionalFormatting>
  <conditionalFormatting sqref="C4223:C4225">
    <cfRule type="containsText" dxfId="491" priority="369" operator="containsText" text="DPR not submitted">
      <formula>NOT(ISERROR(SEARCH("DPR not submitted",C4223)))</formula>
    </cfRule>
    <cfRule type="containsText" dxfId="490" priority="370" operator="containsText" text="Yet to be approved">
      <formula>NOT(ISERROR(SEARCH("Yet to be approved",C4223)))</formula>
    </cfRule>
    <cfRule type="containsText" dxfId="489" priority="371" operator="containsText" text="DPR not submitted">
      <formula>NOT(ISERROR(SEARCH("DPR not submitted",C4223)))</formula>
    </cfRule>
    <cfRule type="containsText" dxfId="488" priority="372" operator="containsText" text="Yet to be approved">
      <formula>NOT(ISERROR(SEARCH("Yet to be approved",C4223)))</formula>
    </cfRule>
  </conditionalFormatting>
  <conditionalFormatting sqref="C4226">
    <cfRule type="containsText" dxfId="487" priority="509" operator="containsText" text="DPR not submitted">
      <formula>NOT(ISERROR(SEARCH("DPR not submitted",C4226)))</formula>
    </cfRule>
    <cfRule type="containsText" dxfId="486" priority="510" operator="containsText" text="Yet to be approved">
      <formula>NOT(ISERROR(SEARCH("Yet to be approved",C4226)))</formula>
    </cfRule>
  </conditionalFormatting>
  <conditionalFormatting sqref="C4227">
    <cfRule type="containsText" dxfId="485" priority="439" operator="containsText" text="DPR not submitted">
      <formula>NOT(ISERROR(SEARCH("DPR not submitted",C4227)))</formula>
    </cfRule>
    <cfRule type="containsText" dxfId="484" priority="440" operator="containsText" text="Yet to be approved">
      <formula>NOT(ISERROR(SEARCH("Yet to be approved",C4227)))</formula>
    </cfRule>
  </conditionalFormatting>
  <conditionalFormatting sqref="C4228">
    <cfRule type="containsText" dxfId="483" priority="610" operator="containsText" text="DPR not submitted">
      <formula>NOT(ISERROR(SEARCH("DPR not submitted",C4228)))</formula>
    </cfRule>
    <cfRule type="containsText" dxfId="482" priority="611" operator="containsText" text="Yet to be approved">
      <formula>NOT(ISERROR(SEARCH("Yet to be approved",C4228)))</formula>
    </cfRule>
  </conditionalFormatting>
  <conditionalFormatting sqref="C4229">
    <cfRule type="containsText" dxfId="481" priority="507" operator="containsText" text="DPR not submitted">
      <formula>NOT(ISERROR(SEARCH("DPR not submitted",C4229)))</formula>
    </cfRule>
    <cfRule type="containsText" dxfId="480" priority="508" operator="containsText" text="Yet to be approved">
      <formula>NOT(ISERROR(SEARCH("Yet to be approved",C4229)))</formula>
    </cfRule>
  </conditionalFormatting>
  <conditionalFormatting sqref="C4230">
    <cfRule type="containsText" dxfId="479" priority="608" operator="containsText" text="DPR not submitted">
      <formula>NOT(ISERROR(SEARCH("DPR not submitted",C4230)))</formula>
    </cfRule>
    <cfRule type="containsText" dxfId="478" priority="609" operator="containsText" text="Yet to be approved">
      <formula>NOT(ISERROR(SEARCH("Yet to be approved",C4230)))</formula>
    </cfRule>
  </conditionalFormatting>
  <conditionalFormatting sqref="C4231">
    <cfRule type="containsText" dxfId="477" priority="505" operator="containsText" text="DPR not submitted">
      <formula>NOT(ISERROR(SEARCH("DPR not submitted",C4231)))</formula>
    </cfRule>
    <cfRule type="containsText" dxfId="476" priority="506" operator="containsText" text="Yet to be approved">
      <formula>NOT(ISERROR(SEARCH("Yet to be approved",C4231)))</formula>
    </cfRule>
  </conditionalFormatting>
  <conditionalFormatting sqref="C4232">
    <cfRule type="containsText" dxfId="475" priority="607" operator="containsText" text="Yet to be approved">
      <formula>NOT(ISERROR(SEARCH("Yet to be approved",C4232)))</formula>
    </cfRule>
  </conditionalFormatting>
  <conditionalFormatting sqref="C4232:C4233">
    <cfRule type="containsText" dxfId="474" priority="605" operator="containsText" text="DPR not submitted">
      <formula>NOT(ISERROR(SEARCH("DPR not submitted",C4232)))</formula>
    </cfRule>
  </conditionalFormatting>
  <conditionalFormatting sqref="C4233">
    <cfRule type="containsText" dxfId="473" priority="606" operator="containsText" text="Yet to be approved">
      <formula>NOT(ISERROR(SEARCH("Yet to be approved",C4233)))</formula>
    </cfRule>
  </conditionalFormatting>
  <conditionalFormatting sqref="C4234">
    <cfRule type="containsText" dxfId="472" priority="503" operator="containsText" text="DPR not submitted">
      <formula>NOT(ISERROR(SEARCH("DPR not submitted",C4234)))</formula>
    </cfRule>
    <cfRule type="containsText" dxfId="471" priority="504" operator="containsText" text="Yet to be approved">
      <formula>NOT(ISERROR(SEARCH("Yet to be approved",C4234)))</formula>
    </cfRule>
  </conditionalFormatting>
  <conditionalFormatting sqref="C4235:C4236">
    <cfRule type="containsText" dxfId="470" priority="603" operator="containsText" text="DPR not submitted">
      <formula>NOT(ISERROR(SEARCH("DPR not submitted",C4235)))</formula>
    </cfRule>
    <cfRule type="containsText" dxfId="469" priority="604" operator="containsText" text="Yet to be approved">
      <formula>NOT(ISERROR(SEARCH("Yet to be approved",C4235)))</formula>
    </cfRule>
  </conditionalFormatting>
  <conditionalFormatting sqref="C4237">
    <cfRule type="containsText" dxfId="468" priority="501" operator="containsText" text="DPR not submitted">
      <formula>NOT(ISERROR(SEARCH("DPR not submitted",C4237)))</formula>
    </cfRule>
    <cfRule type="containsText" dxfId="467" priority="502" operator="containsText" text="Yet to be approved">
      <formula>NOT(ISERROR(SEARCH("Yet to be approved",C4237)))</formula>
    </cfRule>
  </conditionalFormatting>
  <conditionalFormatting sqref="C4238">
    <cfRule type="containsText" dxfId="466" priority="601" operator="containsText" text="DPR not submitted">
      <formula>NOT(ISERROR(SEARCH("DPR not submitted",C4238)))</formula>
    </cfRule>
    <cfRule type="containsText" dxfId="465" priority="602" operator="containsText" text="Yet to be approved">
      <formula>NOT(ISERROR(SEARCH("Yet to be approved",C4238)))</formula>
    </cfRule>
  </conditionalFormatting>
  <conditionalFormatting sqref="C4239">
    <cfRule type="containsText" dxfId="464" priority="499" operator="containsText" text="DPR not submitted">
      <formula>NOT(ISERROR(SEARCH("DPR not submitted",C4239)))</formula>
    </cfRule>
    <cfRule type="containsText" dxfId="463" priority="500" operator="containsText" text="Yet to be approved">
      <formula>NOT(ISERROR(SEARCH("Yet to be approved",C4239)))</formula>
    </cfRule>
  </conditionalFormatting>
  <conditionalFormatting sqref="C4240">
    <cfRule type="containsText" dxfId="462" priority="599" operator="containsText" text="DPR not submitted">
      <formula>NOT(ISERROR(SEARCH("DPR not submitted",C4240)))</formula>
    </cfRule>
    <cfRule type="containsText" dxfId="461" priority="600" operator="containsText" text="Yet to be approved">
      <formula>NOT(ISERROR(SEARCH("Yet to be approved",C4240)))</formula>
    </cfRule>
  </conditionalFormatting>
  <conditionalFormatting sqref="C4241">
    <cfRule type="containsText" dxfId="460" priority="497" operator="containsText" text="DPR not submitted">
      <formula>NOT(ISERROR(SEARCH("DPR not submitted",C4241)))</formula>
    </cfRule>
    <cfRule type="containsText" dxfId="459" priority="498" operator="containsText" text="Yet to be approved">
      <formula>NOT(ISERROR(SEARCH("Yet to be approved",C4241)))</formula>
    </cfRule>
  </conditionalFormatting>
  <conditionalFormatting sqref="C4242:C4244">
    <cfRule type="containsText" dxfId="458" priority="597" operator="containsText" text="DPR not submitted">
      <formula>NOT(ISERROR(SEARCH("DPR not submitted",C4242)))</formula>
    </cfRule>
    <cfRule type="containsText" dxfId="457" priority="598" operator="containsText" text="Yet to be approved">
      <formula>NOT(ISERROR(SEARCH("Yet to be approved",C4242)))</formula>
    </cfRule>
  </conditionalFormatting>
  <conditionalFormatting sqref="C4245">
    <cfRule type="containsText" dxfId="456" priority="495" operator="containsText" text="DPR not submitted">
      <formula>NOT(ISERROR(SEARCH("DPR not submitted",C4245)))</formula>
    </cfRule>
    <cfRule type="containsText" dxfId="455" priority="496" operator="containsText" text="Yet to be approved">
      <formula>NOT(ISERROR(SEARCH("Yet to be approved",C4245)))</formula>
    </cfRule>
  </conditionalFormatting>
  <conditionalFormatting sqref="C4246">
    <cfRule type="containsText" dxfId="454" priority="393" operator="containsText" text="DPR not submitted">
      <formula>NOT(ISERROR(SEARCH("DPR not submitted",C4246)))</formula>
    </cfRule>
    <cfRule type="containsText" dxfId="453" priority="394" operator="containsText" text="Yet to be approved">
      <formula>NOT(ISERROR(SEARCH("Yet to be approved",C4246)))</formula>
    </cfRule>
  </conditionalFormatting>
  <conditionalFormatting sqref="C4247">
    <cfRule type="containsText" dxfId="452" priority="493" operator="containsText" text="DPR not submitted">
      <formula>NOT(ISERROR(SEARCH("DPR not submitted",C4247)))</formula>
    </cfRule>
    <cfRule type="containsText" dxfId="451" priority="494" operator="containsText" text="Yet to be approved">
      <formula>NOT(ISERROR(SEARCH("Yet to be approved",C4247)))</formula>
    </cfRule>
  </conditionalFormatting>
  <conditionalFormatting sqref="C4248:C4250">
    <cfRule type="containsText" dxfId="450" priority="595" operator="containsText" text="DPR not submitted">
      <formula>NOT(ISERROR(SEARCH("DPR not submitted",C4248)))</formula>
    </cfRule>
    <cfRule type="containsText" dxfId="449" priority="596" operator="containsText" text="Yet to be approved">
      <formula>NOT(ISERROR(SEARCH("Yet to be approved",C4248)))</formula>
    </cfRule>
  </conditionalFormatting>
  <conditionalFormatting sqref="C4251">
    <cfRule type="containsText" dxfId="448" priority="491" operator="containsText" text="DPR not submitted">
      <formula>NOT(ISERROR(SEARCH("DPR not submitted",C4251)))</formula>
    </cfRule>
    <cfRule type="containsText" dxfId="447" priority="492" operator="containsText" text="Yet to be approved">
      <formula>NOT(ISERROR(SEARCH("Yet to be approved",C4251)))</formula>
    </cfRule>
  </conditionalFormatting>
  <conditionalFormatting sqref="C4252">
    <cfRule type="containsText" dxfId="446" priority="391" operator="containsText" text="DPR not submitted">
      <formula>NOT(ISERROR(SEARCH("DPR not submitted",C4252)))</formula>
    </cfRule>
    <cfRule type="containsText" dxfId="445" priority="392" operator="containsText" text="Yet to be approved">
      <formula>NOT(ISERROR(SEARCH("Yet to be approved",C4252)))</formula>
    </cfRule>
  </conditionalFormatting>
  <conditionalFormatting sqref="C4253">
    <cfRule type="containsText" dxfId="444" priority="389" operator="containsText" text="DPR not submitted">
      <formula>NOT(ISERROR(SEARCH("DPR not submitted",C4253)))</formula>
    </cfRule>
    <cfRule type="containsText" dxfId="443" priority="390" operator="containsText" text="Yet to be approved">
      <formula>NOT(ISERROR(SEARCH("Yet to be approved",C4253)))</formula>
    </cfRule>
  </conditionalFormatting>
  <conditionalFormatting sqref="C4254">
    <cfRule type="containsText" dxfId="442" priority="593" operator="containsText" text="DPR not submitted">
      <formula>NOT(ISERROR(SEARCH("DPR not submitted",C4254)))</formula>
    </cfRule>
    <cfRule type="containsText" dxfId="441" priority="594" operator="containsText" text="Yet to be approved">
      <formula>NOT(ISERROR(SEARCH("Yet to be approved",C4254)))</formula>
    </cfRule>
  </conditionalFormatting>
  <conditionalFormatting sqref="C4255">
    <cfRule type="containsText" dxfId="440" priority="489" operator="containsText" text="DPR not submitted">
      <formula>NOT(ISERROR(SEARCH("DPR not submitted",C4255)))</formula>
    </cfRule>
    <cfRule type="containsText" dxfId="439" priority="490" operator="containsText" text="Yet to be approved">
      <formula>NOT(ISERROR(SEARCH("Yet to be approved",C4255)))</formula>
    </cfRule>
  </conditionalFormatting>
  <conditionalFormatting sqref="C4256">
    <cfRule type="containsText" dxfId="438" priority="437" operator="containsText" text="DPR not submitted">
      <formula>NOT(ISERROR(SEARCH("DPR not submitted",C4256)))</formula>
    </cfRule>
    <cfRule type="containsText" dxfId="437" priority="438" operator="containsText" text="Yet to be approved">
      <formula>NOT(ISERROR(SEARCH("Yet to be approved",C4256)))</formula>
    </cfRule>
  </conditionalFormatting>
  <conditionalFormatting sqref="C4257">
    <cfRule type="containsText" dxfId="436" priority="435" operator="containsText" text="DPR not submitted">
      <formula>NOT(ISERROR(SEARCH("DPR not submitted",C4257)))</formula>
    </cfRule>
    <cfRule type="containsText" dxfId="435" priority="436" operator="containsText" text="Yet to be approved">
      <formula>NOT(ISERROR(SEARCH("Yet to be approved",C4257)))</formula>
    </cfRule>
  </conditionalFormatting>
  <conditionalFormatting sqref="C4258">
    <cfRule type="containsText" dxfId="434" priority="591" operator="containsText" text="DPR not submitted">
      <formula>NOT(ISERROR(SEARCH("DPR not submitted",C4258)))</formula>
    </cfRule>
    <cfRule type="containsText" dxfId="433" priority="592" operator="containsText" text="Yet to be approved">
      <formula>NOT(ISERROR(SEARCH("Yet to be approved",C4258)))</formula>
    </cfRule>
  </conditionalFormatting>
  <conditionalFormatting sqref="C4259">
    <cfRule type="containsText" dxfId="432" priority="487" operator="containsText" text="DPR not submitted">
      <formula>NOT(ISERROR(SEARCH("DPR not submitted",C4259)))</formula>
    </cfRule>
    <cfRule type="containsText" dxfId="431" priority="488" operator="containsText" text="Yet to be approved">
      <formula>NOT(ISERROR(SEARCH("Yet to be approved",C4259)))</formula>
    </cfRule>
  </conditionalFormatting>
  <conditionalFormatting sqref="C4260">
    <cfRule type="containsText" dxfId="430" priority="433" operator="containsText" text="DPR not submitted">
      <formula>NOT(ISERROR(SEARCH("DPR not submitted",C4260)))</formula>
    </cfRule>
    <cfRule type="containsText" dxfId="429" priority="434" operator="containsText" text="Yet to be approved">
      <formula>NOT(ISERROR(SEARCH("Yet to be approved",C4260)))</formula>
    </cfRule>
  </conditionalFormatting>
  <conditionalFormatting sqref="C4261">
    <cfRule type="containsText" dxfId="428" priority="431" operator="containsText" text="DPR not submitted">
      <formula>NOT(ISERROR(SEARCH("DPR not submitted",C4261)))</formula>
    </cfRule>
    <cfRule type="containsText" dxfId="427" priority="432" operator="containsText" text="Yet to be approved">
      <formula>NOT(ISERROR(SEARCH("Yet to be approved",C4261)))</formula>
    </cfRule>
  </conditionalFormatting>
  <conditionalFormatting sqref="C4262">
    <cfRule type="containsText" dxfId="426" priority="429" operator="containsText" text="DPR not submitted">
      <formula>NOT(ISERROR(SEARCH("DPR not submitted",C4262)))</formula>
    </cfRule>
    <cfRule type="containsText" dxfId="425" priority="430" operator="containsText" text="Yet to be approved">
      <formula>NOT(ISERROR(SEARCH("Yet to be approved",C4262)))</formula>
    </cfRule>
  </conditionalFormatting>
  <conditionalFormatting sqref="C4263">
    <cfRule type="containsText" dxfId="424" priority="589" operator="containsText" text="DPR not submitted">
      <formula>NOT(ISERROR(SEARCH("DPR not submitted",C4263)))</formula>
    </cfRule>
    <cfRule type="containsText" dxfId="423" priority="590" operator="containsText" text="Yet to be approved">
      <formula>NOT(ISERROR(SEARCH("Yet to be approved",C4263)))</formula>
    </cfRule>
  </conditionalFormatting>
  <conditionalFormatting sqref="C4264">
    <cfRule type="containsText" dxfId="422" priority="485" operator="containsText" text="DPR not submitted">
      <formula>NOT(ISERROR(SEARCH("DPR not submitted",C4264)))</formula>
    </cfRule>
    <cfRule type="containsText" dxfId="421" priority="486" operator="containsText" text="Yet to be approved">
      <formula>NOT(ISERROR(SEARCH("Yet to be approved",C4264)))</formula>
    </cfRule>
  </conditionalFormatting>
  <conditionalFormatting sqref="C4265">
    <cfRule type="containsText" dxfId="420" priority="427" operator="containsText" text="DPR not submitted">
      <formula>NOT(ISERROR(SEARCH("DPR not submitted",C4265)))</formula>
    </cfRule>
    <cfRule type="containsText" dxfId="419" priority="428" operator="containsText" text="Yet to be approved">
      <formula>NOT(ISERROR(SEARCH("Yet to be approved",C4265)))</formula>
    </cfRule>
  </conditionalFormatting>
  <conditionalFormatting sqref="C4266">
    <cfRule type="containsText" dxfId="418" priority="587" operator="containsText" text="DPR not submitted">
      <formula>NOT(ISERROR(SEARCH("DPR not submitted",C4266)))</formula>
    </cfRule>
    <cfRule type="containsText" dxfId="417" priority="588" operator="containsText" text="Yet to be approved">
      <formula>NOT(ISERROR(SEARCH("Yet to be approved",C4266)))</formula>
    </cfRule>
  </conditionalFormatting>
  <conditionalFormatting sqref="C4267">
    <cfRule type="containsText" dxfId="416" priority="387" operator="containsText" text="DPR not submitted">
      <formula>NOT(ISERROR(SEARCH("DPR not submitted",C4267)))</formula>
    </cfRule>
    <cfRule type="containsText" dxfId="415" priority="388" operator="containsText" text="Yet to be approved">
      <formula>NOT(ISERROR(SEARCH("Yet to be approved",C4267)))</formula>
    </cfRule>
  </conditionalFormatting>
  <conditionalFormatting sqref="C4268">
    <cfRule type="containsText" dxfId="414" priority="385" operator="containsText" text="DPR not submitted">
      <formula>NOT(ISERROR(SEARCH("DPR not submitted",C4268)))</formula>
    </cfRule>
    <cfRule type="containsText" dxfId="413" priority="386" operator="containsText" text="Yet to be approved">
      <formula>NOT(ISERROR(SEARCH("Yet to be approved",C4268)))</formula>
    </cfRule>
  </conditionalFormatting>
  <conditionalFormatting sqref="C4269">
    <cfRule type="containsText" dxfId="412" priority="383" operator="containsText" text="DPR not submitted">
      <formula>NOT(ISERROR(SEARCH("DPR not submitted",C4269)))</formula>
    </cfRule>
    <cfRule type="containsText" dxfId="411" priority="384" operator="containsText" text="Yet to be approved">
      <formula>NOT(ISERROR(SEARCH("Yet to be approved",C4269)))</formula>
    </cfRule>
  </conditionalFormatting>
  <conditionalFormatting sqref="C4270">
    <cfRule type="containsText" dxfId="410" priority="483" operator="containsText" text="DPR not submitted">
      <formula>NOT(ISERROR(SEARCH("DPR not submitted",C4270)))</formula>
    </cfRule>
    <cfRule type="containsText" dxfId="409" priority="484" operator="containsText" text="Yet to be approved">
      <formula>NOT(ISERROR(SEARCH("Yet to be approved",C4270)))</formula>
    </cfRule>
  </conditionalFormatting>
  <conditionalFormatting sqref="C4271">
    <cfRule type="containsText" dxfId="408" priority="425" operator="containsText" text="DPR not submitted">
      <formula>NOT(ISERROR(SEARCH("DPR not submitted",C4271)))</formula>
    </cfRule>
    <cfRule type="containsText" dxfId="407" priority="426" operator="containsText" text="Yet to be approved">
      <formula>NOT(ISERROR(SEARCH("Yet to be approved",C4271)))</formula>
    </cfRule>
  </conditionalFormatting>
  <conditionalFormatting sqref="C4272">
    <cfRule type="containsText" dxfId="406" priority="585" operator="containsText" text="DPR not submitted">
      <formula>NOT(ISERROR(SEARCH("DPR not submitted",C4272)))</formula>
    </cfRule>
    <cfRule type="containsText" dxfId="405" priority="586" operator="containsText" text="Yet to be approved">
      <formula>NOT(ISERROR(SEARCH("Yet to be approved",C4272)))</formula>
    </cfRule>
  </conditionalFormatting>
  <conditionalFormatting sqref="C4273">
    <cfRule type="containsText" dxfId="404" priority="481" operator="containsText" text="DPR not submitted">
      <formula>NOT(ISERROR(SEARCH("DPR not submitted",C4273)))</formula>
    </cfRule>
    <cfRule type="containsText" dxfId="403" priority="482" operator="containsText" text="Yet to be approved">
      <formula>NOT(ISERROR(SEARCH("Yet to be approved",C4273)))</formula>
    </cfRule>
  </conditionalFormatting>
  <conditionalFormatting sqref="C4274">
    <cfRule type="containsText" dxfId="402" priority="423" operator="containsText" text="DPR not submitted">
      <formula>NOT(ISERROR(SEARCH("DPR not submitted",C4274)))</formula>
    </cfRule>
    <cfRule type="containsText" dxfId="401" priority="424" operator="containsText" text="Yet to be approved">
      <formula>NOT(ISERROR(SEARCH("Yet to be approved",C4274)))</formula>
    </cfRule>
  </conditionalFormatting>
  <conditionalFormatting sqref="C4275:C4277">
    <cfRule type="containsText" dxfId="400" priority="421" operator="containsText" text="DPR not submitted">
      <formula>NOT(ISERROR(SEARCH("DPR not submitted",C4275)))</formula>
    </cfRule>
    <cfRule type="containsText" dxfId="399" priority="422" operator="containsText" text="Yet to be approved">
      <formula>NOT(ISERROR(SEARCH("Yet to be approved",C4275)))</formula>
    </cfRule>
  </conditionalFormatting>
  <conditionalFormatting sqref="C4278">
    <cfRule type="containsText" dxfId="398" priority="581" operator="containsText" text="DPR not submitted">
      <formula>NOT(ISERROR(SEARCH("DPR not submitted",C4278)))</formula>
    </cfRule>
    <cfRule type="containsText" dxfId="397" priority="582" operator="containsText" text="Yet to be approved">
      <formula>NOT(ISERROR(SEARCH("Yet to be approved",C4278)))</formula>
    </cfRule>
  </conditionalFormatting>
  <conditionalFormatting sqref="C4279">
    <cfRule type="containsText" dxfId="396" priority="477" operator="containsText" text="DPR not submitted">
      <formula>NOT(ISERROR(SEARCH("DPR not submitted",C4279)))</formula>
    </cfRule>
    <cfRule type="containsText" dxfId="395" priority="478" operator="containsText" text="Yet to be approved">
      <formula>NOT(ISERROR(SEARCH("Yet to be approved",C4279)))</formula>
    </cfRule>
  </conditionalFormatting>
  <conditionalFormatting sqref="C4280:C4281 C4283:C4291">
    <cfRule type="containsText" dxfId="394" priority="479" operator="containsText" text="DPR not submitted">
      <formula>NOT(ISERROR(SEARCH("DPR not submitted",C4280)))</formula>
    </cfRule>
    <cfRule type="containsText" dxfId="393" priority="480" operator="containsText" text="Yet to be approved">
      <formula>NOT(ISERROR(SEARCH("Yet to be approved",C4280)))</formula>
    </cfRule>
  </conditionalFormatting>
  <conditionalFormatting sqref="C4282">
    <cfRule type="containsText" dxfId="392" priority="381" operator="containsText" text="DPR not submitted">
      <formula>NOT(ISERROR(SEARCH("DPR not submitted",C4282)))</formula>
    </cfRule>
    <cfRule type="containsText" dxfId="391" priority="382" operator="containsText" text="Yet to be approved">
      <formula>NOT(ISERROR(SEARCH("Yet to be approved",C4282)))</formula>
    </cfRule>
  </conditionalFormatting>
  <conditionalFormatting sqref="C4292">
    <cfRule type="containsText" dxfId="390" priority="379" operator="containsText" text="DPR not submitted">
      <formula>NOT(ISERROR(SEARCH("DPR not submitted",C4292)))</formula>
    </cfRule>
    <cfRule type="containsText" dxfId="389" priority="380" operator="containsText" text="Yet to be approved">
      <formula>NOT(ISERROR(SEARCH("Yet to be approved",C4292)))</formula>
    </cfRule>
  </conditionalFormatting>
  <conditionalFormatting sqref="C4293:C4294">
    <cfRule type="containsText" dxfId="388" priority="377" operator="containsText" text="DPR not submitted">
      <formula>NOT(ISERROR(SEARCH("DPR not submitted",C4293)))</formula>
    </cfRule>
    <cfRule type="containsText" dxfId="387" priority="378" operator="containsText" text="Yet to be approved">
      <formula>NOT(ISERROR(SEARCH("Yet to be approved",C4293)))</formula>
    </cfRule>
  </conditionalFormatting>
  <conditionalFormatting sqref="C4295">
    <cfRule type="containsText" dxfId="386" priority="375" operator="containsText" text="DPR not submitted">
      <formula>NOT(ISERROR(SEARCH("DPR not submitted",C4295)))</formula>
    </cfRule>
    <cfRule type="containsText" dxfId="385" priority="376" operator="containsText" text="Yet to be approved">
      <formula>NOT(ISERROR(SEARCH("Yet to be approved",C4295)))</formula>
    </cfRule>
  </conditionalFormatting>
  <conditionalFormatting sqref="C4296:C4297 C4330:C4331">
    <cfRule type="containsText" dxfId="384" priority="373" operator="containsText" text="DPR not submitted">
      <formula>NOT(ISERROR(SEARCH("DPR not submitted",C4296)))</formula>
    </cfRule>
    <cfRule type="containsText" dxfId="383" priority="374" operator="containsText" text="Yet to be approved">
      <formula>NOT(ISERROR(SEARCH("Yet to be approved",C4296)))</formula>
    </cfRule>
  </conditionalFormatting>
  <conditionalFormatting sqref="C4298">
    <cfRule type="containsText" dxfId="382" priority="361" operator="containsText" text="DPR not submitted">
      <formula>NOT(ISERROR(SEARCH("DPR not submitted",C4298)))</formula>
    </cfRule>
    <cfRule type="containsText" dxfId="381" priority="362" operator="containsText" text="Yet to be approved">
      <formula>NOT(ISERROR(SEARCH("Yet to be approved",C4298)))</formula>
    </cfRule>
  </conditionalFormatting>
  <conditionalFormatting sqref="C4299:C4300">
    <cfRule type="containsText" dxfId="380" priority="365" operator="containsText" text="DPR not submitted">
      <formula>NOT(ISERROR(SEARCH("DPR not submitted",C4299)))</formula>
    </cfRule>
    <cfRule type="containsText" dxfId="379" priority="366" operator="containsText" text="Yet to be approved">
      <formula>NOT(ISERROR(SEARCH("Yet to be approved",C4299)))</formula>
    </cfRule>
  </conditionalFormatting>
  <conditionalFormatting sqref="C4301">
    <cfRule type="containsText" dxfId="378" priority="359" operator="containsText" text="DPR not submitted">
      <formula>NOT(ISERROR(SEARCH("DPR not submitted",C4301)))</formula>
    </cfRule>
    <cfRule type="containsText" dxfId="377" priority="360" operator="containsText" text="Yet to be approved">
      <formula>NOT(ISERROR(SEARCH("Yet to be approved",C4301)))</formula>
    </cfRule>
  </conditionalFormatting>
  <conditionalFormatting sqref="C4302:C4307">
    <cfRule type="containsText" dxfId="376" priority="367" operator="containsText" text="DPR not submitted">
      <formula>NOT(ISERROR(SEARCH("DPR not submitted",C4302)))</formula>
    </cfRule>
    <cfRule type="containsText" dxfId="375" priority="368" operator="containsText" text="Yet to be approved">
      <formula>NOT(ISERROR(SEARCH("Yet to be approved",C4302)))</formula>
    </cfRule>
  </conditionalFormatting>
  <conditionalFormatting sqref="C4308">
    <cfRule type="containsText" dxfId="374" priority="357" operator="containsText" text="DPR not submitted">
      <formula>NOT(ISERROR(SEARCH("DPR not submitted",C4308)))</formula>
    </cfRule>
    <cfRule type="containsText" dxfId="373" priority="358" operator="containsText" text="Yet to be approved">
      <formula>NOT(ISERROR(SEARCH("Yet to be approved",C4308)))</formula>
    </cfRule>
  </conditionalFormatting>
  <conditionalFormatting sqref="C4309:C4310">
    <cfRule type="containsText" dxfId="372" priority="363" operator="containsText" text="DPR not submitted">
      <formula>NOT(ISERROR(SEARCH("DPR not submitted",C4309)))</formula>
    </cfRule>
    <cfRule type="containsText" dxfId="371" priority="364" operator="containsText" text="Yet to be approved">
      <formula>NOT(ISERROR(SEARCH("Yet to be approved",C4309)))</formula>
    </cfRule>
  </conditionalFormatting>
  <conditionalFormatting sqref="C4311:C4319">
    <cfRule type="containsText" dxfId="370" priority="355" operator="containsText" text="DPR not submitted">
      <formula>NOT(ISERROR(SEARCH("DPR not submitted",C4311)))</formula>
    </cfRule>
    <cfRule type="containsText" dxfId="369" priority="356" operator="containsText" text="Yet to be approved">
      <formula>NOT(ISERROR(SEARCH("Yet to be approved",C4311)))</formula>
    </cfRule>
  </conditionalFormatting>
  <conditionalFormatting sqref="C4320:C4329">
    <cfRule type="containsText" dxfId="368" priority="353" operator="containsText" text="DPR not submitted">
      <formula>NOT(ISERROR(SEARCH("DPR not submitted",C4320)))</formula>
    </cfRule>
    <cfRule type="containsText" dxfId="367" priority="354" operator="containsText" text="Yet to be approved">
      <formula>NOT(ISERROR(SEARCH("Yet to be approved",C4320)))</formula>
    </cfRule>
  </conditionalFormatting>
  <conditionalFormatting sqref="C4332 C4340:C4366">
    <cfRule type="containsText" dxfId="366" priority="583" operator="containsText" text="DPR not submitted">
      <formula>NOT(ISERROR(SEARCH("DPR not submitted",C4332)))</formula>
    </cfRule>
  </conditionalFormatting>
  <conditionalFormatting sqref="C4332 C4366">
    <cfRule type="containsText" dxfId="365" priority="584" operator="containsText" text="Yet to be approved">
      <formula>NOT(ISERROR(SEARCH("Yet to be approved",C4332)))</formula>
    </cfRule>
  </conditionalFormatting>
  <conditionalFormatting sqref="C4334">
    <cfRule type="containsText" dxfId="364" priority="351" operator="containsText" text="DPR not submitted">
      <formula>NOT(ISERROR(SEARCH("DPR not submitted",C4334)))</formula>
    </cfRule>
    <cfRule type="containsText" dxfId="363" priority="352" operator="containsText" text="Yet to be approved">
      <formula>NOT(ISERROR(SEARCH("Yet to be approved",C4334)))</formula>
    </cfRule>
  </conditionalFormatting>
  <conditionalFormatting sqref="C4335:C4339">
    <cfRule type="containsText" dxfId="362" priority="349" operator="containsText" text="DPR not submitted">
      <formula>NOT(ISERROR(SEARCH("DPR not submitted",C4335)))</formula>
    </cfRule>
    <cfRule type="containsText" dxfId="361" priority="350" operator="containsText" text="Yet to be approved">
      <formula>NOT(ISERROR(SEARCH("Yet to be approved",C4335)))</formula>
    </cfRule>
  </conditionalFormatting>
  <conditionalFormatting sqref="C4386:C4416 C4418:C4657">
    <cfRule type="containsText" dxfId="360" priority="347" operator="containsText" text="DPR not submitted">
      <formula>NOT(ISERROR(SEARCH("DPR not submitted",C4386)))</formula>
    </cfRule>
    <cfRule type="containsText" dxfId="359" priority="348" operator="containsText" text="Yet to be approved">
      <formula>NOT(ISERROR(SEARCH("Yet to be approved",C4386)))</formula>
    </cfRule>
  </conditionalFormatting>
  <conditionalFormatting sqref="C4659:C4661">
    <cfRule type="containsText" dxfId="358" priority="682" operator="containsText" text="DPR not submitted">
      <formula>NOT(ISERROR(SEARCH("DPR not submitted",C4659)))</formula>
    </cfRule>
  </conditionalFormatting>
  <conditionalFormatting sqref="C4662:C4694">
    <cfRule type="containsText" dxfId="357" priority="345" operator="containsText" text="DPR not submitted">
      <formula>NOT(ISERROR(SEARCH("DPR not submitted",C4662)))</formula>
    </cfRule>
    <cfRule type="containsText" dxfId="356" priority="346" operator="containsText" text="Yet to be approved">
      <formula>NOT(ISERROR(SEARCH("Yet to be approved",C4662)))</formula>
    </cfRule>
  </conditionalFormatting>
  <conditionalFormatting sqref="C4700:C4701 C5329:C5331 C5010:C5035">
    <cfRule type="containsText" dxfId="355" priority="341" operator="containsText" text="DPR not submitted">
      <formula>NOT(ISERROR(SEARCH("DPR not submitted",C4700)))</formula>
    </cfRule>
    <cfRule type="containsText" dxfId="354" priority="342" operator="containsText" text="Yet to be approved">
      <formula>NOT(ISERROR(SEARCH("Yet to be approved",C4700)))</formula>
    </cfRule>
  </conditionalFormatting>
  <conditionalFormatting sqref="C4702:C4717">
    <cfRule type="containsText" dxfId="353" priority="339" operator="containsText" text="DPR not submitted">
      <formula>NOT(ISERROR(SEARCH("DPR not submitted",C4702)))</formula>
    </cfRule>
    <cfRule type="containsText" dxfId="352" priority="340" operator="containsText" text="Yet to be approved">
      <formula>NOT(ISERROR(SEARCH("Yet to be approved",C4702)))</formula>
    </cfRule>
  </conditionalFormatting>
  <conditionalFormatting sqref="C4718">
    <cfRule type="containsText" dxfId="351" priority="237" operator="containsText" text="DPR not submitted">
      <formula>NOT(ISERROR(SEARCH("DPR not submitted",C4718)))</formula>
    </cfRule>
    <cfRule type="containsText" dxfId="350" priority="238" operator="containsText" text="Yet to be approved">
      <formula>NOT(ISERROR(SEARCH("Yet to be approved",C4718)))</formula>
    </cfRule>
  </conditionalFormatting>
  <conditionalFormatting sqref="C4719:C4730">
    <cfRule type="containsText" dxfId="349" priority="337" operator="containsText" text="DPR not submitted">
      <formula>NOT(ISERROR(SEARCH("DPR not submitted",C4719)))</formula>
    </cfRule>
    <cfRule type="containsText" dxfId="348" priority="338" operator="containsText" text="Yet to be approved">
      <formula>NOT(ISERROR(SEARCH("Yet to be approved",C4719)))</formula>
    </cfRule>
  </conditionalFormatting>
  <conditionalFormatting sqref="C4731">
    <cfRule type="containsText" dxfId="347" priority="235" operator="containsText" text="DPR not submitted">
      <formula>NOT(ISERROR(SEARCH("DPR not submitted",C4731)))</formula>
    </cfRule>
    <cfRule type="containsText" dxfId="346" priority="236" operator="containsText" text="Yet to be approved">
      <formula>NOT(ISERROR(SEARCH("Yet to be approved",C4731)))</formula>
    </cfRule>
  </conditionalFormatting>
  <conditionalFormatting sqref="C4732:C4736">
    <cfRule type="containsText" dxfId="345" priority="335" operator="containsText" text="DPR not submitted">
      <formula>NOT(ISERROR(SEARCH("DPR not submitted",C4732)))</formula>
    </cfRule>
    <cfRule type="containsText" dxfId="344" priority="336" operator="containsText" text="Yet to be approved">
      <formula>NOT(ISERROR(SEARCH("Yet to be approved",C4732)))</formula>
    </cfRule>
  </conditionalFormatting>
  <conditionalFormatting sqref="C4737">
    <cfRule type="containsText" dxfId="343" priority="233" operator="containsText" text="DPR not submitted">
      <formula>NOT(ISERROR(SEARCH("DPR not submitted",C4737)))</formula>
    </cfRule>
    <cfRule type="containsText" dxfId="342" priority="234" operator="containsText" text="Yet to be approved">
      <formula>NOT(ISERROR(SEARCH("Yet to be approved",C4737)))</formula>
    </cfRule>
  </conditionalFormatting>
  <conditionalFormatting sqref="C4738">
    <cfRule type="containsText" dxfId="341" priority="133" operator="containsText" text="DPR not submitted">
      <formula>NOT(ISERROR(SEARCH("DPR not submitted",C4738)))</formula>
    </cfRule>
    <cfRule type="containsText" dxfId="340" priority="134" operator="containsText" text="Yet to be approved">
      <formula>NOT(ISERROR(SEARCH("Yet to be approved",C4738)))</formula>
    </cfRule>
  </conditionalFormatting>
  <conditionalFormatting sqref="C4739">
    <cfRule type="containsText" dxfId="339" priority="131" operator="containsText" text="DPR not submitted">
      <formula>NOT(ISERROR(SEARCH("DPR not submitted",C4739)))</formula>
    </cfRule>
    <cfRule type="containsText" dxfId="338" priority="132" operator="containsText" text="Yet to be approved">
      <formula>NOT(ISERROR(SEARCH("Yet to be approved",C4739)))</formula>
    </cfRule>
  </conditionalFormatting>
  <conditionalFormatting sqref="C4740">
    <cfRule type="containsText" dxfId="337" priority="333" operator="containsText" text="DPR not submitted">
      <formula>NOT(ISERROR(SEARCH("DPR not submitted",C4740)))</formula>
    </cfRule>
    <cfRule type="containsText" dxfId="336" priority="334" operator="containsText" text="Yet to be approved">
      <formula>NOT(ISERROR(SEARCH("Yet to be approved",C4740)))</formula>
    </cfRule>
  </conditionalFormatting>
  <conditionalFormatting sqref="C4741">
    <cfRule type="containsText" dxfId="335" priority="231" operator="containsText" text="DPR not submitted">
      <formula>NOT(ISERROR(SEARCH("DPR not submitted",C4741)))</formula>
    </cfRule>
    <cfRule type="containsText" dxfId="334" priority="232" operator="containsText" text="Yet to be approved">
      <formula>NOT(ISERROR(SEARCH("Yet to be approved",C4741)))</formula>
    </cfRule>
  </conditionalFormatting>
  <conditionalFormatting sqref="C4742">
    <cfRule type="containsText" dxfId="333" priority="331" operator="containsText" text="DPR not submitted">
      <formula>NOT(ISERROR(SEARCH("DPR not submitted",C4742)))</formula>
    </cfRule>
    <cfRule type="containsText" dxfId="332" priority="332" operator="containsText" text="Yet to be approved">
      <formula>NOT(ISERROR(SEARCH("Yet to be approved",C4742)))</formula>
    </cfRule>
  </conditionalFormatting>
  <conditionalFormatting sqref="C4743">
    <cfRule type="containsText" dxfId="331" priority="75" operator="containsText" text="DPR not submitted">
      <formula>NOT(ISERROR(SEARCH("DPR not submitted",C4743)))</formula>
    </cfRule>
    <cfRule type="containsText" dxfId="330" priority="76" operator="containsText" text="Yet to be approved">
      <formula>NOT(ISERROR(SEARCH("Yet to be approved",C4743)))</formula>
    </cfRule>
  </conditionalFormatting>
  <conditionalFormatting sqref="C4744">
    <cfRule type="containsText" dxfId="329" priority="77" operator="containsText" text="DPR not submitted">
      <formula>NOT(ISERROR(SEARCH("DPR not submitted",C4744)))</formula>
    </cfRule>
    <cfRule type="containsText" dxfId="328" priority="78" operator="containsText" text="Yet to be approved">
      <formula>NOT(ISERROR(SEARCH("Yet to be approved",C4744)))</formula>
    </cfRule>
  </conditionalFormatting>
  <conditionalFormatting sqref="C4745">
    <cfRule type="containsText" dxfId="327" priority="229" operator="containsText" text="DPR not submitted">
      <formula>NOT(ISERROR(SEARCH("DPR not submitted",C4745)))</formula>
    </cfRule>
    <cfRule type="containsText" dxfId="326" priority="230" operator="containsText" text="Yet to be approved">
      <formula>NOT(ISERROR(SEARCH("Yet to be approved",C4745)))</formula>
    </cfRule>
  </conditionalFormatting>
  <conditionalFormatting sqref="C4746:C4748">
    <cfRule type="containsText" dxfId="325" priority="329" operator="containsText" text="DPR not submitted">
      <formula>NOT(ISERROR(SEARCH("DPR not submitted",C4746)))</formula>
    </cfRule>
    <cfRule type="containsText" dxfId="324" priority="330" operator="containsText" text="Yet to be approved">
      <formula>NOT(ISERROR(SEARCH("Yet to be approved",C4746)))</formula>
    </cfRule>
  </conditionalFormatting>
  <conditionalFormatting sqref="C4749">
    <cfRule type="containsText" dxfId="323" priority="227" operator="containsText" text="DPR not submitted">
      <formula>NOT(ISERROR(SEARCH("DPR not submitted",C4749)))</formula>
    </cfRule>
    <cfRule type="containsText" dxfId="322" priority="228" operator="containsText" text="Yet to be approved">
      <formula>NOT(ISERROR(SEARCH("Yet to be approved",C4749)))</formula>
    </cfRule>
  </conditionalFormatting>
  <conditionalFormatting sqref="C4750:C4752">
    <cfRule type="containsText" dxfId="321" priority="327" operator="containsText" text="DPR not submitted">
      <formula>NOT(ISERROR(SEARCH("DPR not submitted",C4750)))</formula>
    </cfRule>
    <cfRule type="containsText" dxfId="320" priority="328" operator="containsText" text="Yet to be approved">
      <formula>NOT(ISERROR(SEARCH("Yet to be approved",C4750)))</formula>
    </cfRule>
  </conditionalFormatting>
  <conditionalFormatting sqref="C4753">
    <cfRule type="containsText" dxfId="319" priority="225" operator="containsText" text="DPR not submitted">
      <formula>NOT(ISERROR(SEARCH("DPR not submitted",C4753)))</formula>
    </cfRule>
    <cfRule type="containsText" dxfId="318" priority="226" operator="containsText" text="Yet to be approved">
      <formula>NOT(ISERROR(SEARCH("Yet to be approved",C4753)))</formula>
    </cfRule>
  </conditionalFormatting>
  <conditionalFormatting sqref="C4754:C4755">
    <cfRule type="containsText" dxfId="317" priority="325" operator="containsText" text="DPR not submitted">
      <formula>NOT(ISERROR(SEARCH("DPR not submitted",C4754)))</formula>
    </cfRule>
    <cfRule type="containsText" dxfId="316" priority="326" operator="containsText" text="Yet to be approved">
      <formula>NOT(ISERROR(SEARCH("Yet to be approved",C4754)))</formula>
    </cfRule>
  </conditionalFormatting>
  <conditionalFormatting sqref="C4756">
    <cfRule type="containsText" dxfId="315" priority="223" operator="containsText" text="DPR not submitted">
      <formula>NOT(ISERROR(SEARCH("DPR not submitted",C4756)))</formula>
    </cfRule>
    <cfRule type="containsText" dxfId="314" priority="224" operator="containsText" text="Yet to be approved">
      <formula>NOT(ISERROR(SEARCH("Yet to be approved",C4756)))</formula>
    </cfRule>
  </conditionalFormatting>
  <conditionalFormatting sqref="C4757:C4760">
    <cfRule type="containsText" dxfId="313" priority="323" operator="containsText" text="DPR not submitted">
      <formula>NOT(ISERROR(SEARCH("DPR not submitted",C4757)))</formula>
    </cfRule>
    <cfRule type="containsText" dxfId="312" priority="324" operator="containsText" text="Yet to be approved">
      <formula>NOT(ISERROR(SEARCH("Yet to be approved",C4757)))</formula>
    </cfRule>
  </conditionalFormatting>
  <conditionalFormatting sqref="C4761">
    <cfRule type="containsText" dxfId="311" priority="221" operator="containsText" text="DPR not submitted">
      <formula>NOT(ISERROR(SEARCH("DPR not submitted",C4761)))</formula>
    </cfRule>
    <cfRule type="containsText" dxfId="310" priority="222" operator="containsText" text="Yet to be approved">
      <formula>NOT(ISERROR(SEARCH("Yet to be approved",C4761)))</formula>
    </cfRule>
  </conditionalFormatting>
  <conditionalFormatting sqref="C4762:C4771">
    <cfRule type="containsText" dxfId="309" priority="321" operator="containsText" text="DPR not submitted">
      <formula>NOT(ISERROR(SEARCH("DPR not submitted",C4762)))</formula>
    </cfRule>
    <cfRule type="containsText" dxfId="308" priority="322" operator="containsText" text="Yet to be approved">
      <formula>NOT(ISERROR(SEARCH("Yet to be approved",C4762)))</formula>
    </cfRule>
  </conditionalFormatting>
  <conditionalFormatting sqref="C4772">
    <cfRule type="containsText" dxfId="307" priority="219" operator="containsText" text="DPR not submitted">
      <formula>NOT(ISERROR(SEARCH("DPR not submitted",C4772)))</formula>
    </cfRule>
    <cfRule type="containsText" dxfId="306" priority="220" operator="containsText" text="Yet to be approved">
      <formula>NOT(ISERROR(SEARCH("Yet to be approved",C4772)))</formula>
    </cfRule>
  </conditionalFormatting>
  <conditionalFormatting sqref="C4773 C4775">
    <cfRule type="containsText" dxfId="305" priority="319" operator="containsText" text="DPR not submitted">
      <formula>NOT(ISERROR(SEARCH("DPR not submitted",C4773)))</formula>
    </cfRule>
    <cfRule type="containsText" dxfId="304" priority="320" operator="containsText" text="Yet to be approved">
      <formula>NOT(ISERROR(SEARCH("Yet to be approved",C4773)))</formula>
    </cfRule>
  </conditionalFormatting>
  <conditionalFormatting sqref="C4774">
    <cfRule type="containsText" dxfId="303" priority="73" operator="containsText" text="DPR not submitted">
      <formula>NOT(ISERROR(SEARCH("DPR not submitted",C4774)))</formula>
    </cfRule>
    <cfRule type="containsText" dxfId="302" priority="74" operator="containsText" text="Yet to be approved">
      <formula>NOT(ISERROR(SEARCH("Yet to be approved",C4774)))</formula>
    </cfRule>
  </conditionalFormatting>
  <conditionalFormatting sqref="C4776">
    <cfRule type="containsText" dxfId="301" priority="217" operator="containsText" text="DPR not submitted">
      <formula>NOT(ISERROR(SEARCH("DPR not submitted",C4776)))</formula>
    </cfRule>
    <cfRule type="containsText" dxfId="300" priority="218" operator="containsText" text="Yet to be approved">
      <formula>NOT(ISERROR(SEARCH("Yet to be approved",C4776)))</formula>
    </cfRule>
  </conditionalFormatting>
  <conditionalFormatting sqref="C4777:C4783">
    <cfRule type="containsText" dxfId="299" priority="317" operator="containsText" text="DPR not submitted">
      <formula>NOT(ISERROR(SEARCH("DPR not submitted",C4777)))</formula>
    </cfRule>
    <cfRule type="containsText" dxfId="298" priority="318" operator="containsText" text="Yet to be approved">
      <formula>NOT(ISERROR(SEARCH("Yet to be approved",C4777)))</formula>
    </cfRule>
  </conditionalFormatting>
  <conditionalFormatting sqref="C4784">
    <cfRule type="containsText" dxfId="297" priority="215" operator="containsText" text="DPR not submitted">
      <formula>NOT(ISERROR(SEARCH("DPR not submitted",C4784)))</formula>
    </cfRule>
    <cfRule type="containsText" dxfId="296" priority="216" operator="containsText" text="Yet to be approved">
      <formula>NOT(ISERROR(SEARCH("Yet to be approved",C4784)))</formula>
    </cfRule>
  </conditionalFormatting>
  <conditionalFormatting sqref="C4785:C4786">
    <cfRule type="containsText" dxfId="295" priority="315" operator="containsText" text="DPR not submitted">
      <formula>NOT(ISERROR(SEARCH("DPR not submitted",C4785)))</formula>
    </cfRule>
    <cfRule type="containsText" dxfId="294" priority="316" operator="containsText" text="Yet to be approved">
      <formula>NOT(ISERROR(SEARCH("Yet to be approved",C4785)))</formula>
    </cfRule>
  </conditionalFormatting>
  <conditionalFormatting sqref="C4787">
    <cfRule type="containsText" dxfId="293" priority="213" operator="containsText" text="DPR not submitted">
      <formula>NOT(ISERROR(SEARCH("DPR not submitted",C4787)))</formula>
    </cfRule>
    <cfRule type="containsText" dxfId="292" priority="214" operator="containsText" text="Yet to be approved">
      <formula>NOT(ISERROR(SEARCH("Yet to be approved",C4787)))</formula>
    </cfRule>
  </conditionalFormatting>
  <conditionalFormatting sqref="C4788:C4790">
    <cfRule type="containsText" dxfId="291" priority="313" operator="containsText" text="DPR not submitted">
      <formula>NOT(ISERROR(SEARCH("DPR not submitted",C4788)))</formula>
    </cfRule>
    <cfRule type="containsText" dxfId="290" priority="314" operator="containsText" text="Yet to be approved">
      <formula>NOT(ISERROR(SEARCH("Yet to be approved",C4788)))</formula>
    </cfRule>
  </conditionalFormatting>
  <conditionalFormatting sqref="C4791">
    <cfRule type="containsText" dxfId="289" priority="211" operator="containsText" text="DPR not submitted">
      <formula>NOT(ISERROR(SEARCH("DPR not submitted",C4791)))</formula>
    </cfRule>
    <cfRule type="containsText" dxfId="288" priority="212" operator="containsText" text="Yet to be approved">
      <formula>NOT(ISERROR(SEARCH("Yet to be approved",C4791)))</formula>
    </cfRule>
  </conditionalFormatting>
  <conditionalFormatting sqref="C4792:C4794">
    <cfRule type="containsText" dxfId="287" priority="311" operator="containsText" text="DPR not submitted">
      <formula>NOT(ISERROR(SEARCH("DPR not submitted",C4792)))</formula>
    </cfRule>
    <cfRule type="containsText" dxfId="286" priority="312" operator="containsText" text="Yet to be approved">
      <formula>NOT(ISERROR(SEARCH("Yet to be approved",C4792)))</formula>
    </cfRule>
  </conditionalFormatting>
  <conditionalFormatting sqref="C4795">
    <cfRule type="containsText" dxfId="285" priority="209" operator="containsText" text="DPR not submitted">
      <formula>NOT(ISERROR(SEARCH("DPR not submitted",C4795)))</formula>
    </cfRule>
    <cfRule type="containsText" dxfId="284" priority="210" operator="containsText" text="Yet to be approved">
      <formula>NOT(ISERROR(SEARCH("Yet to be approved",C4795)))</formula>
    </cfRule>
  </conditionalFormatting>
  <conditionalFormatting sqref="C4796">
    <cfRule type="containsText" dxfId="283" priority="129" operator="containsText" text="DPR not submitted">
      <formula>NOT(ISERROR(SEARCH("DPR not submitted",C4796)))</formula>
    </cfRule>
    <cfRule type="containsText" dxfId="282" priority="130" operator="containsText" text="Yet to be approved">
      <formula>NOT(ISERROR(SEARCH("Yet to be approved",C4796)))</formula>
    </cfRule>
  </conditionalFormatting>
  <conditionalFormatting sqref="C4797">
    <cfRule type="containsText" dxfId="281" priority="127" operator="containsText" text="DPR not submitted">
      <formula>NOT(ISERROR(SEARCH("DPR not submitted",C4797)))</formula>
    </cfRule>
    <cfRule type="containsText" dxfId="280" priority="128" operator="containsText" text="Yet to be approved">
      <formula>NOT(ISERROR(SEARCH("Yet to be approved",C4797)))</formula>
    </cfRule>
  </conditionalFormatting>
  <conditionalFormatting sqref="C4798">
    <cfRule type="containsText" dxfId="279" priority="309" operator="containsText" text="DPR not submitted">
      <formula>NOT(ISERROR(SEARCH("DPR not submitted",C4798)))</formula>
    </cfRule>
    <cfRule type="containsText" dxfId="278" priority="310" operator="containsText" text="Yet to be approved">
      <formula>NOT(ISERROR(SEARCH("Yet to be approved",C4798)))</formula>
    </cfRule>
  </conditionalFormatting>
  <conditionalFormatting sqref="C4799">
    <cfRule type="containsText" dxfId="277" priority="207" operator="containsText" text="DPR not submitted">
      <formula>NOT(ISERROR(SEARCH("DPR not submitted",C4799)))</formula>
    </cfRule>
    <cfRule type="containsText" dxfId="276" priority="208" operator="containsText" text="Yet to be approved">
      <formula>NOT(ISERROR(SEARCH("Yet to be approved",C4799)))</formula>
    </cfRule>
  </conditionalFormatting>
  <conditionalFormatting sqref="C4800:C4803">
    <cfRule type="containsText" dxfId="275" priority="307" operator="containsText" text="DPR not submitted">
      <formula>NOT(ISERROR(SEARCH("DPR not submitted",C4800)))</formula>
    </cfRule>
    <cfRule type="containsText" dxfId="274" priority="308" operator="containsText" text="Yet to be approved">
      <formula>NOT(ISERROR(SEARCH("Yet to be approved",C4800)))</formula>
    </cfRule>
  </conditionalFormatting>
  <conditionalFormatting sqref="C4804">
    <cfRule type="containsText" dxfId="273" priority="205" operator="containsText" text="DPR not submitted">
      <formula>NOT(ISERROR(SEARCH("DPR not submitted",C4804)))</formula>
    </cfRule>
    <cfRule type="containsText" dxfId="272" priority="206" operator="containsText" text="Yet to be approved">
      <formula>NOT(ISERROR(SEARCH("Yet to be approved",C4804)))</formula>
    </cfRule>
  </conditionalFormatting>
  <conditionalFormatting sqref="C4805:C4807">
    <cfRule type="containsText" dxfId="271" priority="305" operator="containsText" text="DPR not submitted">
      <formula>NOT(ISERROR(SEARCH("DPR not submitted",C4805)))</formula>
    </cfRule>
    <cfRule type="containsText" dxfId="270" priority="306" operator="containsText" text="Yet to be approved">
      <formula>NOT(ISERROR(SEARCH("Yet to be approved",C4805)))</formula>
    </cfRule>
  </conditionalFormatting>
  <conditionalFormatting sqref="C4808">
    <cfRule type="containsText" dxfId="269" priority="203" operator="containsText" text="DPR not submitted">
      <formula>NOT(ISERROR(SEARCH("DPR not submitted",C4808)))</formula>
    </cfRule>
    <cfRule type="containsText" dxfId="268" priority="204" operator="containsText" text="Yet to be approved">
      <formula>NOT(ISERROR(SEARCH("Yet to be approved",C4808)))</formula>
    </cfRule>
  </conditionalFormatting>
  <conditionalFormatting sqref="C4809:C4813">
    <cfRule type="containsText" dxfId="267" priority="303" operator="containsText" text="DPR not submitted">
      <formula>NOT(ISERROR(SEARCH("DPR not submitted",C4809)))</formula>
    </cfRule>
    <cfRule type="containsText" dxfId="266" priority="304" operator="containsText" text="Yet to be approved">
      <formula>NOT(ISERROR(SEARCH("Yet to be approved",C4809)))</formula>
    </cfRule>
  </conditionalFormatting>
  <conditionalFormatting sqref="C4814">
    <cfRule type="containsText" dxfId="265" priority="201" operator="containsText" text="DPR not submitted">
      <formula>NOT(ISERROR(SEARCH("DPR not submitted",C4814)))</formula>
    </cfRule>
    <cfRule type="containsText" dxfId="264" priority="202" operator="containsText" text="Yet to be approved">
      <formula>NOT(ISERROR(SEARCH("Yet to be approved",C4814)))</formula>
    </cfRule>
  </conditionalFormatting>
  <conditionalFormatting sqref="C4815:C4820">
    <cfRule type="containsText" dxfId="263" priority="301" operator="containsText" text="DPR not submitted">
      <formula>NOT(ISERROR(SEARCH("DPR not submitted",C4815)))</formula>
    </cfRule>
    <cfRule type="containsText" dxfId="262" priority="302" operator="containsText" text="Yet to be approved">
      <formula>NOT(ISERROR(SEARCH("Yet to be approved",C4815)))</formula>
    </cfRule>
  </conditionalFormatting>
  <conditionalFormatting sqref="C4821">
    <cfRule type="containsText" dxfId="261" priority="199" operator="containsText" text="DPR not submitted">
      <formula>NOT(ISERROR(SEARCH("DPR not submitted",C4821)))</formula>
    </cfRule>
    <cfRule type="containsText" dxfId="260" priority="200" operator="containsText" text="Yet to be approved">
      <formula>NOT(ISERROR(SEARCH("Yet to be approved",C4821)))</formula>
    </cfRule>
  </conditionalFormatting>
  <conditionalFormatting sqref="C4822 C4826 C4824">
    <cfRule type="containsText" dxfId="259" priority="299" operator="containsText" text="DPR not submitted">
      <formula>NOT(ISERROR(SEARCH("DPR not submitted",C4822)))</formula>
    </cfRule>
    <cfRule type="containsText" dxfId="258" priority="300" operator="containsText" text="Yet to be approved">
      <formula>NOT(ISERROR(SEARCH("Yet to be approved",C4822)))</formula>
    </cfRule>
  </conditionalFormatting>
  <conditionalFormatting sqref="C4823">
    <cfRule type="containsText" dxfId="257" priority="71" operator="containsText" text="DPR not submitted">
      <formula>NOT(ISERROR(SEARCH("DPR not submitted",C4823)))</formula>
    </cfRule>
    <cfRule type="containsText" dxfId="256" priority="72" operator="containsText" text="Yet to be approved">
      <formula>NOT(ISERROR(SEARCH("Yet to be approved",C4823)))</formula>
    </cfRule>
  </conditionalFormatting>
  <conditionalFormatting sqref="C4825">
    <cfRule type="containsText" dxfId="255" priority="69" operator="containsText" text="DPR not submitted">
      <formula>NOT(ISERROR(SEARCH("DPR not submitted",C4825)))</formula>
    </cfRule>
    <cfRule type="containsText" dxfId="254" priority="70" operator="containsText" text="Yet to be approved">
      <formula>NOT(ISERROR(SEARCH("Yet to be approved",C4825)))</formula>
    </cfRule>
  </conditionalFormatting>
  <conditionalFormatting sqref="C4827">
    <cfRule type="containsText" dxfId="253" priority="197" operator="containsText" text="DPR not submitted">
      <formula>NOT(ISERROR(SEARCH("DPR not submitted",C4827)))</formula>
    </cfRule>
    <cfRule type="containsText" dxfId="252" priority="198" operator="containsText" text="Yet to be approved">
      <formula>NOT(ISERROR(SEARCH("Yet to be approved",C4827)))</formula>
    </cfRule>
  </conditionalFormatting>
  <conditionalFormatting sqref="C4828:C4831">
    <cfRule type="containsText" dxfId="251" priority="297" operator="containsText" text="DPR not submitted">
      <formula>NOT(ISERROR(SEARCH("DPR not submitted",C4828)))</formula>
    </cfRule>
    <cfRule type="containsText" dxfId="250" priority="298" operator="containsText" text="Yet to be approved">
      <formula>NOT(ISERROR(SEARCH("Yet to be approved",C4828)))</formula>
    </cfRule>
  </conditionalFormatting>
  <conditionalFormatting sqref="C4832">
    <cfRule type="containsText" dxfId="249" priority="195" operator="containsText" text="DPR not submitted">
      <formula>NOT(ISERROR(SEARCH("DPR not submitted",C4832)))</formula>
    </cfRule>
    <cfRule type="containsText" dxfId="248" priority="196" operator="containsText" text="Yet to be approved">
      <formula>NOT(ISERROR(SEARCH("Yet to be approved",C4832)))</formula>
    </cfRule>
  </conditionalFormatting>
  <conditionalFormatting sqref="C4833:C4836">
    <cfRule type="containsText" dxfId="247" priority="295" operator="containsText" text="DPR not submitted">
      <formula>NOT(ISERROR(SEARCH("DPR not submitted",C4833)))</formula>
    </cfRule>
    <cfRule type="containsText" dxfId="246" priority="296" operator="containsText" text="Yet to be approved">
      <formula>NOT(ISERROR(SEARCH("Yet to be approved",C4833)))</formula>
    </cfRule>
  </conditionalFormatting>
  <conditionalFormatting sqref="C4837">
    <cfRule type="containsText" dxfId="245" priority="193" operator="containsText" text="DPR not submitted">
      <formula>NOT(ISERROR(SEARCH("DPR not submitted",C4837)))</formula>
    </cfRule>
    <cfRule type="containsText" dxfId="244" priority="194" operator="containsText" text="Yet to be approved">
      <formula>NOT(ISERROR(SEARCH("Yet to be approved",C4837)))</formula>
    </cfRule>
  </conditionalFormatting>
  <conditionalFormatting sqref="C4838">
    <cfRule type="containsText" dxfId="243" priority="293" operator="containsText" text="DPR not submitted">
      <formula>NOT(ISERROR(SEARCH("DPR not submitted",C4838)))</formula>
    </cfRule>
    <cfRule type="containsText" dxfId="242" priority="294" operator="containsText" text="Yet to be approved">
      <formula>NOT(ISERROR(SEARCH("Yet to be approved",C4838)))</formula>
    </cfRule>
  </conditionalFormatting>
  <conditionalFormatting sqref="C4839">
    <cfRule type="containsText" dxfId="241" priority="191" operator="containsText" text="DPR not submitted">
      <formula>NOT(ISERROR(SEARCH("DPR not submitted",C4839)))</formula>
    </cfRule>
    <cfRule type="containsText" dxfId="240" priority="192" operator="containsText" text="Yet to be approved">
      <formula>NOT(ISERROR(SEARCH("Yet to be approved",C4839)))</formula>
    </cfRule>
  </conditionalFormatting>
  <conditionalFormatting sqref="C4840">
    <cfRule type="containsText" dxfId="239" priority="291" operator="containsText" text="DPR not submitted">
      <formula>NOT(ISERROR(SEARCH("DPR not submitted",C4840)))</formula>
    </cfRule>
    <cfRule type="containsText" dxfId="238" priority="292" operator="containsText" text="Yet to be approved">
      <formula>NOT(ISERROR(SEARCH("Yet to be approved",C4840)))</formula>
    </cfRule>
  </conditionalFormatting>
  <conditionalFormatting sqref="C4841">
    <cfRule type="containsText" dxfId="237" priority="189" operator="containsText" text="DPR not submitted">
      <formula>NOT(ISERROR(SEARCH("DPR not submitted",C4841)))</formula>
    </cfRule>
    <cfRule type="containsText" dxfId="236" priority="190" operator="containsText" text="Yet to be approved">
      <formula>NOT(ISERROR(SEARCH("Yet to be approved",C4841)))</formula>
    </cfRule>
  </conditionalFormatting>
  <conditionalFormatting sqref="C4842:C4844">
    <cfRule type="containsText" dxfId="235" priority="289" operator="containsText" text="DPR not submitted">
      <formula>NOT(ISERROR(SEARCH("DPR not submitted",C4842)))</formula>
    </cfRule>
    <cfRule type="containsText" dxfId="234" priority="290" operator="containsText" text="Yet to be approved">
      <formula>NOT(ISERROR(SEARCH("Yet to be approved",C4842)))</formula>
    </cfRule>
  </conditionalFormatting>
  <conditionalFormatting sqref="C4845">
    <cfRule type="containsText" dxfId="233" priority="187" operator="containsText" text="DPR not submitted">
      <formula>NOT(ISERROR(SEARCH("DPR not submitted",C4845)))</formula>
    </cfRule>
    <cfRule type="containsText" dxfId="232" priority="188" operator="containsText" text="Yet to be approved">
      <formula>NOT(ISERROR(SEARCH("Yet to be approved",C4845)))</formula>
    </cfRule>
  </conditionalFormatting>
  <conditionalFormatting sqref="C4846 C4848:C4849">
    <cfRule type="containsText" dxfId="231" priority="287" operator="containsText" text="DPR not submitted">
      <formula>NOT(ISERROR(SEARCH("DPR not submitted",C4846)))</formula>
    </cfRule>
    <cfRule type="containsText" dxfId="230" priority="288" operator="containsText" text="Yet to be approved">
      <formula>NOT(ISERROR(SEARCH("Yet to be approved",C4846)))</formula>
    </cfRule>
  </conditionalFormatting>
  <conditionalFormatting sqref="C4847">
    <cfRule type="containsText" dxfId="229" priority="67" operator="containsText" text="DPR not submitted">
      <formula>NOT(ISERROR(SEARCH("DPR not submitted",C4847)))</formula>
    </cfRule>
    <cfRule type="containsText" dxfId="228" priority="68" operator="containsText" text="Yet to be approved">
      <formula>NOT(ISERROR(SEARCH("Yet to be approved",C4847)))</formula>
    </cfRule>
  </conditionalFormatting>
  <conditionalFormatting sqref="C4850">
    <cfRule type="containsText" dxfId="227" priority="185" operator="containsText" text="DPR not submitted">
      <formula>NOT(ISERROR(SEARCH("DPR not submitted",C4850)))</formula>
    </cfRule>
    <cfRule type="containsText" dxfId="226" priority="186" operator="containsText" text="Yet to be approved">
      <formula>NOT(ISERROR(SEARCH("Yet to be approved",C4850)))</formula>
    </cfRule>
  </conditionalFormatting>
  <conditionalFormatting sqref="C4851:C4854">
    <cfRule type="containsText" dxfId="225" priority="285" operator="containsText" text="DPR not submitted">
      <formula>NOT(ISERROR(SEARCH("DPR not submitted",C4851)))</formula>
    </cfRule>
    <cfRule type="containsText" dxfId="224" priority="286" operator="containsText" text="Yet to be approved">
      <formula>NOT(ISERROR(SEARCH("Yet to be approved",C4851)))</formula>
    </cfRule>
  </conditionalFormatting>
  <conditionalFormatting sqref="C4855">
    <cfRule type="containsText" dxfId="223" priority="183" operator="containsText" text="DPR not submitted">
      <formula>NOT(ISERROR(SEARCH("DPR not submitted",C4855)))</formula>
    </cfRule>
    <cfRule type="containsText" dxfId="222" priority="184" operator="containsText" text="Yet to be approved">
      <formula>NOT(ISERROR(SEARCH("Yet to be approved",C4855)))</formula>
    </cfRule>
  </conditionalFormatting>
  <conditionalFormatting sqref="C4856:C4857 C4860">
    <cfRule type="containsText" dxfId="221" priority="283" operator="containsText" text="DPR not submitted">
      <formula>NOT(ISERROR(SEARCH("DPR not submitted",C4856)))</formula>
    </cfRule>
    <cfRule type="containsText" dxfId="220" priority="284" operator="containsText" text="Yet to be approved">
      <formula>NOT(ISERROR(SEARCH("Yet to be approved",C4856)))</formula>
    </cfRule>
  </conditionalFormatting>
  <conditionalFormatting sqref="C4858">
    <cfRule type="containsText" dxfId="219" priority="65" operator="containsText" text="DPR not submitted">
      <formula>NOT(ISERROR(SEARCH("DPR not submitted",C4858)))</formula>
    </cfRule>
    <cfRule type="containsText" dxfId="218" priority="66" operator="containsText" text="Yet to be approved">
      <formula>NOT(ISERROR(SEARCH("Yet to be approved",C4858)))</formula>
    </cfRule>
  </conditionalFormatting>
  <conditionalFormatting sqref="C4859">
    <cfRule type="containsText" dxfId="217" priority="63" operator="containsText" text="DPR not submitted">
      <formula>NOT(ISERROR(SEARCH("DPR not submitted",C4859)))</formula>
    </cfRule>
    <cfRule type="containsText" dxfId="216" priority="64" operator="containsText" text="Yet to be approved">
      <formula>NOT(ISERROR(SEARCH("Yet to be approved",C4859)))</formula>
    </cfRule>
  </conditionalFormatting>
  <conditionalFormatting sqref="C4861">
    <cfRule type="containsText" dxfId="215" priority="181" operator="containsText" text="DPR not submitted">
      <formula>NOT(ISERROR(SEARCH("DPR not submitted",C4861)))</formula>
    </cfRule>
    <cfRule type="containsText" dxfId="214" priority="182" operator="containsText" text="Yet to be approved">
      <formula>NOT(ISERROR(SEARCH("Yet to be approved",C4861)))</formula>
    </cfRule>
  </conditionalFormatting>
  <conditionalFormatting sqref="C4862">
    <cfRule type="containsText" dxfId="213" priority="61" operator="containsText" text="DPR not submitted">
      <formula>NOT(ISERROR(SEARCH("DPR not submitted",C4862)))</formula>
    </cfRule>
    <cfRule type="containsText" dxfId="212" priority="62" operator="containsText" text="Yet to be approved">
      <formula>NOT(ISERROR(SEARCH("Yet to be approved",C4862)))</formula>
    </cfRule>
  </conditionalFormatting>
  <conditionalFormatting sqref="C4863">
    <cfRule type="containsText" dxfId="211" priority="59" operator="containsText" text="DPR not submitted">
      <formula>NOT(ISERROR(SEARCH("DPR not submitted",C4863)))</formula>
    </cfRule>
    <cfRule type="containsText" dxfId="210" priority="60" operator="containsText" text="Yet to be approved">
      <formula>NOT(ISERROR(SEARCH("Yet to be approved",C4863)))</formula>
    </cfRule>
  </conditionalFormatting>
  <conditionalFormatting sqref="C4864">
    <cfRule type="containsText" dxfId="209" priority="125" operator="containsText" text="DPR not submitted">
      <formula>NOT(ISERROR(SEARCH("DPR not submitted",C4864)))</formula>
    </cfRule>
    <cfRule type="containsText" dxfId="208" priority="126" operator="containsText" text="Yet to be approved">
      <formula>NOT(ISERROR(SEARCH("Yet to be approved",C4864)))</formula>
    </cfRule>
  </conditionalFormatting>
  <conditionalFormatting sqref="C4865">
    <cfRule type="containsText" dxfId="207" priority="123" operator="containsText" text="DPR not submitted">
      <formula>NOT(ISERROR(SEARCH("DPR not submitted",C4865)))</formula>
    </cfRule>
    <cfRule type="containsText" dxfId="206" priority="124" operator="containsText" text="Yet to be approved">
      <formula>NOT(ISERROR(SEARCH("Yet to be approved",C4865)))</formula>
    </cfRule>
  </conditionalFormatting>
  <conditionalFormatting sqref="C4866">
    <cfRule type="containsText" dxfId="205" priority="121" operator="containsText" text="DPR not submitted">
      <formula>NOT(ISERROR(SEARCH("DPR not submitted",C4866)))</formula>
    </cfRule>
    <cfRule type="containsText" dxfId="204" priority="122" operator="containsText" text="Yet to be approved">
      <formula>NOT(ISERROR(SEARCH("Yet to be approved",C4866)))</formula>
    </cfRule>
  </conditionalFormatting>
  <conditionalFormatting sqref="C4867">
    <cfRule type="containsText" dxfId="203" priority="119" operator="containsText" text="DPR not submitted">
      <formula>NOT(ISERROR(SEARCH("DPR not submitted",C4867)))</formula>
    </cfRule>
    <cfRule type="containsText" dxfId="202" priority="120" operator="containsText" text="Yet to be approved">
      <formula>NOT(ISERROR(SEARCH("Yet to be approved",C4867)))</formula>
    </cfRule>
  </conditionalFormatting>
  <conditionalFormatting sqref="C4868">
    <cfRule type="containsText" dxfId="201" priority="117" operator="containsText" text="DPR not submitted">
      <formula>NOT(ISERROR(SEARCH("DPR not submitted",C4868)))</formula>
    </cfRule>
    <cfRule type="containsText" dxfId="200" priority="118" operator="containsText" text="Yet to be approved">
      <formula>NOT(ISERROR(SEARCH("Yet to be approved",C4868)))</formula>
    </cfRule>
  </conditionalFormatting>
  <conditionalFormatting sqref="C4869">
    <cfRule type="containsText" dxfId="199" priority="115" operator="containsText" text="DPR not submitted">
      <formula>NOT(ISERROR(SEARCH("DPR not submitted",C4869)))</formula>
    </cfRule>
    <cfRule type="containsText" dxfId="198" priority="116" operator="containsText" text="Yet to be approved">
      <formula>NOT(ISERROR(SEARCH("Yet to be approved",C4869)))</formula>
    </cfRule>
  </conditionalFormatting>
  <conditionalFormatting sqref="C4870">
    <cfRule type="containsText" dxfId="197" priority="113" operator="containsText" text="DPR not submitted">
      <formula>NOT(ISERROR(SEARCH("DPR not submitted",C4870)))</formula>
    </cfRule>
    <cfRule type="containsText" dxfId="196" priority="114" operator="containsText" text="Yet to be approved">
      <formula>NOT(ISERROR(SEARCH("Yet to be approved",C4870)))</formula>
    </cfRule>
  </conditionalFormatting>
  <conditionalFormatting sqref="C4871">
    <cfRule type="containsText" dxfId="195" priority="111" operator="containsText" text="DPR not submitted">
      <formula>NOT(ISERROR(SEARCH("DPR not submitted",C4871)))</formula>
    </cfRule>
    <cfRule type="containsText" dxfId="194" priority="112" operator="containsText" text="Yet to be approved">
      <formula>NOT(ISERROR(SEARCH("Yet to be approved",C4871)))</formula>
    </cfRule>
  </conditionalFormatting>
  <conditionalFormatting sqref="C4872">
    <cfRule type="containsText" dxfId="193" priority="109" operator="containsText" text="DPR not submitted">
      <formula>NOT(ISERROR(SEARCH("DPR not submitted",C4872)))</formula>
    </cfRule>
    <cfRule type="containsText" dxfId="192" priority="110" operator="containsText" text="Yet to be approved">
      <formula>NOT(ISERROR(SEARCH("Yet to be approved",C4872)))</formula>
    </cfRule>
  </conditionalFormatting>
  <conditionalFormatting sqref="C4873">
    <cfRule type="containsText" dxfId="191" priority="107" operator="containsText" text="DPR not submitted">
      <formula>NOT(ISERROR(SEARCH("DPR not submitted",C4873)))</formula>
    </cfRule>
    <cfRule type="containsText" dxfId="190" priority="108" operator="containsText" text="Yet to be approved">
      <formula>NOT(ISERROR(SEARCH("Yet to be approved",C4873)))</formula>
    </cfRule>
  </conditionalFormatting>
  <conditionalFormatting sqref="C4874">
    <cfRule type="containsText" dxfId="189" priority="179" operator="containsText" text="DPR not submitted">
      <formula>NOT(ISERROR(SEARCH("DPR not submitted",C4874)))</formula>
    </cfRule>
    <cfRule type="containsText" dxfId="188" priority="180" operator="containsText" text="Yet to be approved">
      <formula>NOT(ISERROR(SEARCH("Yet to be approved",C4874)))</formula>
    </cfRule>
  </conditionalFormatting>
  <conditionalFormatting sqref="C4875">
    <cfRule type="containsText" dxfId="187" priority="105" operator="containsText" text="DPR not submitted">
      <formula>NOT(ISERROR(SEARCH("DPR not submitted",C4875)))</formula>
    </cfRule>
    <cfRule type="containsText" dxfId="186" priority="106" operator="containsText" text="Yet to be approved">
      <formula>NOT(ISERROR(SEARCH("Yet to be approved",C4875)))</formula>
    </cfRule>
  </conditionalFormatting>
  <conditionalFormatting sqref="C4876">
    <cfRule type="containsText" dxfId="185" priority="103" operator="containsText" text="DPR not submitted">
      <formula>NOT(ISERROR(SEARCH("DPR not submitted",C4876)))</formula>
    </cfRule>
    <cfRule type="containsText" dxfId="184" priority="104" operator="containsText" text="Yet to be approved">
      <formula>NOT(ISERROR(SEARCH("Yet to be approved",C4876)))</formula>
    </cfRule>
  </conditionalFormatting>
  <conditionalFormatting sqref="C4877">
    <cfRule type="containsText" dxfId="183" priority="281" operator="containsText" text="DPR not submitted">
      <formula>NOT(ISERROR(SEARCH("DPR not submitted",C4877)))</formula>
    </cfRule>
    <cfRule type="containsText" dxfId="182" priority="282" operator="containsText" text="Yet to be approved">
      <formula>NOT(ISERROR(SEARCH("Yet to be approved",C4877)))</formula>
    </cfRule>
  </conditionalFormatting>
  <conditionalFormatting sqref="C4878">
    <cfRule type="containsText" dxfId="181" priority="177" operator="containsText" text="DPR not submitted">
      <formula>NOT(ISERROR(SEARCH("DPR not submitted",C4878)))</formula>
    </cfRule>
    <cfRule type="containsText" dxfId="180" priority="178" operator="containsText" text="Yet to be approved">
      <formula>NOT(ISERROR(SEARCH("Yet to be approved",C4878)))</formula>
    </cfRule>
  </conditionalFormatting>
  <conditionalFormatting sqref="C4879">
    <cfRule type="containsText" dxfId="179" priority="101" operator="containsText" text="DPR not submitted">
      <formula>NOT(ISERROR(SEARCH("DPR not submitted",C4879)))</formula>
    </cfRule>
    <cfRule type="containsText" dxfId="178" priority="102" operator="containsText" text="Yet to be approved">
      <formula>NOT(ISERROR(SEARCH("Yet to be approved",C4879)))</formula>
    </cfRule>
  </conditionalFormatting>
  <conditionalFormatting sqref="C4880">
    <cfRule type="containsText" dxfId="177" priority="279" operator="containsText" text="DPR not submitted">
      <formula>NOT(ISERROR(SEARCH("DPR not submitted",C4880)))</formula>
    </cfRule>
    <cfRule type="containsText" dxfId="176" priority="280" operator="containsText" text="Yet to be approved">
      <formula>NOT(ISERROR(SEARCH("Yet to be approved",C4880)))</formula>
    </cfRule>
  </conditionalFormatting>
  <conditionalFormatting sqref="C4881">
    <cfRule type="containsText" dxfId="175" priority="175" operator="containsText" text="DPR not submitted">
      <formula>NOT(ISERROR(SEARCH("DPR not submitted",C4881)))</formula>
    </cfRule>
    <cfRule type="containsText" dxfId="174" priority="176" operator="containsText" text="Yet to be approved">
      <formula>NOT(ISERROR(SEARCH("Yet to be approved",C4881)))</formula>
    </cfRule>
  </conditionalFormatting>
  <conditionalFormatting sqref="C4882">
    <cfRule type="containsText" dxfId="173" priority="57" operator="containsText" text="DPR not submitted">
      <formula>NOT(ISERROR(SEARCH("DPR not submitted",C4882)))</formula>
    </cfRule>
    <cfRule type="containsText" dxfId="172" priority="58" operator="containsText" text="Yet to be approved">
      <formula>NOT(ISERROR(SEARCH("Yet to be approved",C4882)))</formula>
    </cfRule>
  </conditionalFormatting>
  <conditionalFormatting sqref="C4883">
    <cfRule type="containsText" dxfId="171" priority="277" operator="containsText" text="DPR not submitted">
      <formula>NOT(ISERROR(SEARCH("DPR not submitted",C4883)))</formula>
    </cfRule>
    <cfRule type="containsText" dxfId="170" priority="278" operator="containsText" text="Yet to be approved">
      <formula>NOT(ISERROR(SEARCH("Yet to be approved",C4883)))</formula>
    </cfRule>
  </conditionalFormatting>
  <conditionalFormatting sqref="C4884">
    <cfRule type="containsText" dxfId="169" priority="173" operator="containsText" text="DPR not submitted">
      <formula>NOT(ISERROR(SEARCH("DPR not submitted",C4884)))</formula>
    </cfRule>
    <cfRule type="containsText" dxfId="168" priority="174" operator="containsText" text="Yet to be approved">
      <formula>NOT(ISERROR(SEARCH("Yet to be approved",C4884)))</formula>
    </cfRule>
  </conditionalFormatting>
  <conditionalFormatting sqref="C4885">
    <cfRule type="containsText" dxfId="167" priority="99" operator="containsText" text="DPR not submitted">
      <formula>NOT(ISERROR(SEARCH("DPR not submitted",C4885)))</formula>
    </cfRule>
    <cfRule type="containsText" dxfId="166" priority="100" operator="containsText" text="Yet to be approved">
      <formula>NOT(ISERROR(SEARCH("Yet to be approved",C4885)))</formula>
    </cfRule>
  </conditionalFormatting>
  <conditionalFormatting sqref="C4886">
    <cfRule type="containsText" dxfId="165" priority="275" operator="containsText" text="DPR not submitted">
      <formula>NOT(ISERROR(SEARCH("DPR not submitted",C4886)))</formula>
    </cfRule>
    <cfRule type="containsText" dxfId="164" priority="276" operator="containsText" text="Yet to be approved">
      <formula>NOT(ISERROR(SEARCH("Yet to be approved",C4886)))</formula>
    </cfRule>
  </conditionalFormatting>
  <conditionalFormatting sqref="C4887">
    <cfRule type="containsText" dxfId="163" priority="171" operator="containsText" text="DPR not submitted">
      <formula>NOT(ISERROR(SEARCH("DPR not submitted",C4887)))</formula>
    </cfRule>
    <cfRule type="containsText" dxfId="162" priority="172" operator="containsText" text="Yet to be approved">
      <formula>NOT(ISERROR(SEARCH("Yet to be approved",C4887)))</formula>
    </cfRule>
  </conditionalFormatting>
  <conditionalFormatting sqref="C4888">
    <cfRule type="containsText" dxfId="161" priority="55" operator="containsText" text="DPR not submitted">
      <formula>NOT(ISERROR(SEARCH("DPR not submitted",C4888)))</formula>
    </cfRule>
    <cfRule type="containsText" dxfId="160" priority="56" operator="containsText" text="Yet to be approved">
      <formula>NOT(ISERROR(SEARCH("Yet to be approved",C4888)))</formula>
    </cfRule>
  </conditionalFormatting>
  <conditionalFormatting sqref="C4889">
    <cfRule type="containsText" dxfId="159" priority="273" operator="containsText" text="DPR not submitted">
      <formula>NOT(ISERROR(SEARCH("DPR not submitted",C4889)))</formula>
    </cfRule>
    <cfRule type="containsText" dxfId="158" priority="274" operator="containsText" text="Yet to be approved">
      <formula>NOT(ISERROR(SEARCH("Yet to be approved",C4889)))</formula>
    </cfRule>
  </conditionalFormatting>
  <conditionalFormatting sqref="C4890">
    <cfRule type="containsText" dxfId="157" priority="169" operator="containsText" text="DPR not submitted">
      <formula>NOT(ISERROR(SEARCH("DPR not submitted",C4890)))</formula>
    </cfRule>
    <cfRule type="containsText" dxfId="156" priority="170" operator="containsText" text="Yet to be approved">
      <formula>NOT(ISERROR(SEARCH("Yet to be approved",C4890)))</formula>
    </cfRule>
  </conditionalFormatting>
  <conditionalFormatting sqref="C4891">
    <cfRule type="containsText" dxfId="155" priority="53" operator="containsText" text="DPR not submitted">
      <formula>NOT(ISERROR(SEARCH("DPR not submitted",C4891)))</formula>
    </cfRule>
    <cfRule type="containsText" dxfId="154" priority="54" operator="containsText" text="Yet to be approved">
      <formula>NOT(ISERROR(SEARCH("Yet to be approved",C4891)))</formula>
    </cfRule>
  </conditionalFormatting>
  <conditionalFormatting sqref="C4892">
    <cfRule type="containsText" dxfId="153" priority="271" operator="containsText" text="DPR not submitted">
      <formula>NOT(ISERROR(SEARCH("DPR not submitted",C4892)))</formula>
    </cfRule>
    <cfRule type="containsText" dxfId="152" priority="272" operator="containsText" text="Yet to be approved">
      <formula>NOT(ISERROR(SEARCH("Yet to be approved",C4892)))</formula>
    </cfRule>
  </conditionalFormatting>
  <conditionalFormatting sqref="C4893:C4895">
    <cfRule type="containsText" dxfId="151" priority="27" operator="containsText" text="DPR not submitted">
      <formula>NOT(ISERROR(SEARCH("DPR not submitted",C4893)))</formula>
    </cfRule>
    <cfRule type="containsText" dxfId="150" priority="28" operator="containsText" text="Yet to be approved">
      <formula>NOT(ISERROR(SEARCH("Yet to be approved",C4893)))</formula>
    </cfRule>
    <cfRule type="containsText" dxfId="149" priority="29" operator="containsText" text="DPR not submitted">
      <formula>NOT(ISERROR(SEARCH("DPR not submitted",C4893)))</formula>
    </cfRule>
    <cfRule type="containsText" dxfId="148" priority="30" operator="containsText" text="Yet to be approved">
      <formula>NOT(ISERROR(SEARCH("Yet to be approved",C4893)))</formula>
    </cfRule>
  </conditionalFormatting>
  <conditionalFormatting sqref="C4896">
    <cfRule type="containsText" dxfId="147" priority="167" operator="containsText" text="DPR not submitted">
      <formula>NOT(ISERROR(SEARCH("DPR not submitted",C4896)))</formula>
    </cfRule>
    <cfRule type="containsText" dxfId="146" priority="168" operator="containsText" text="Yet to be approved">
      <formula>NOT(ISERROR(SEARCH("Yet to be approved",C4896)))</formula>
    </cfRule>
  </conditionalFormatting>
  <conditionalFormatting sqref="C4897">
    <cfRule type="containsText" dxfId="145" priority="97" operator="containsText" text="DPR not submitted">
      <formula>NOT(ISERROR(SEARCH("DPR not submitted",C4897)))</formula>
    </cfRule>
    <cfRule type="containsText" dxfId="144" priority="98" operator="containsText" text="Yet to be approved">
      <formula>NOT(ISERROR(SEARCH("Yet to be approved",C4897)))</formula>
    </cfRule>
  </conditionalFormatting>
  <conditionalFormatting sqref="C4898">
    <cfRule type="containsText" dxfId="143" priority="269" operator="containsText" text="DPR not submitted">
      <formula>NOT(ISERROR(SEARCH("DPR not submitted",C4898)))</formula>
    </cfRule>
    <cfRule type="containsText" dxfId="142" priority="270" operator="containsText" text="Yet to be approved">
      <formula>NOT(ISERROR(SEARCH("Yet to be approved",C4898)))</formula>
    </cfRule>
  </conditionalFormatting>
  <conditionalFormatting sqref="C4899">
    <cfRule type="containsText" dxfId="141" priority="165" operator="containsText" text="DPR not submitted">
      <formula>NOT(ISERROR(SEARCH("DPR not submitted",C4899)))</formula>
    </cfRule>
    <cfRule type="containsText" dxfId="140" priority="166" operator="containsText" text="Yet to be approved">
      <formula>NOT(ISERROR(SEARCH("Yet to be approved",C4899)))</formula>
    </cfRule>
  </conditionalFormatting>
  <conditionalFormatting sqref="C4900">
    <cfRule type="containsText" dxfId="139" priority="267" operator="containsText" text="DPR not submitted">
      <formula>NOT(ISERROR(SEARCH("DPR not submitted",C4900)))</formula>
    </cfRule>
    <cfRule type="containsText" dxfId="138" priority="268" operator="containsText" text="Yet to be approved">
      <formula>NOT(ISERROR(SEARCH("Yet to be approved",C4900)))</formula>
    </cfRule>
  </conditionalFormatting>
  <conditionalFormatting sqref="C4901">
    <cfRule type="containsText" dxfId="137" priority="163" operator="containsText" text="DPR not submitted">
      <formula>NOT(ISERROR(SEARCH("DPR not submitted",C4901)))</formula>
    </cfRule>
    <cfRule type="containsText" dxfId="136" priority="164" operator="containsText" text="Yet to be approved">
      <formula>NOT(ISERROR(SEARCH("Yet to be approved",C4901)))</formula>
    </cfRule>
  </conditionalFormatting>
  <conditionalFormatting sqref="C4902">
    <cfRule type="containsText" dxfId="135" priority="265" operator="containsText" text="DPR not submitted">
      <formula>NOT(ISERROR(SEARCH("DPR not submitted",C4902)))</formula>
    </cfRule>
    <cfRule type="containsText" dxfId="134" priority="266" operator="containsText" text="Yet to be approved">
      <formula>NOT(ISERROR(SEARCH("Yet to be approved",C4902)))</formula>
    </cfRule>
  </conditionalFormatting>
  <conditionalFormatting sqref="C4903">
    <cfRule type="containsText" dxfId="133" priority="263" operator="containsText" text="DPR not submitted">
      <formula>NOT(ISERROR(SEARCH("DPR not submitted",C4903)))</formula>
    </cfRule>
    <cfRule type="containsText" dxfId="132" priority="264" operator="containsText" text="Yet to be approved">
      <formula>NOT(ISERROR(SEARCH("Yet to be approved",C4903)))</formula>
    </cfRule>
  </conditionalFormatting>
  <conditionalFormatting sqref="C4904">
    <cfRule type="containsText" dxfId="131" priority="161" operator="containsText" text="DPR not submitted">
      <formula>NOT(ISERROR(SEARCH("DPR not submitted",C4904)))</formula>
    </cfRule>
    <cfRule type="containsText" dxfId="130" priority="162" operator="containsText" text="Yet to be approved">
      <formula>NOT(ISERROR(SEARCH("Yet to be approved",C4904)))</formula>
    </cfRule>
  </conditionalFormatting>
  <conditionalFormatting sqref="C4905:C4906">
    <cfRule type="containsText" dxfId="129" priority="261" operator="containsText" text="DPR not submitted">
      <formula>NOT(ISERROR(SEARCH("DPR not submitted",C4905)))</formula>
    </cfRule>
    <cfRule type="containsText" dxfId="128" priority="262" operator="containsText" text="Yet to be approved">
      <formula>NOT(ISERROR(SEARCH("Yet to be approved",C4905)))</formula>
    </cfRule>
  </conditionalFormatting>
  <conditionalFormatting sqref="C4907">
    <cfRule type="containsText" dxfId="127" priority="159" operator="containsText" text="DPR not submitted">
      <formula>NOT(ISERROR(SEARCH("DPR not submitted",C4907)))</formula>
    </cfRule>
    <cfRule type="containsText" dxfId="126" priority="160" operator="containsText" text="Yet to be approved">
      <formula>NOT(ISERROR(SEARCH("Yet to be approved",C4907)))</formula>
    </cfRule>
  </conditionalFormatting>
  <conditionalFormatting sqref="C4908">
    <cfRule type="containsText" dxfId="125" priority="259" operator="containsText" text="DPR not submitted">
      <formula>NOT(ISERROR(SEARCH("DPR not submitted",C4908)))</formula>
    </cfRule>
    <cfRule type="containsText" dxfId="124" priority="260" operator="containsText" text="Yet to be approved">
      <formula>NOT(ISERROR(SEARCH("Yet to be approved",C4908)))</formula>
    </cfRule>
  </conditionalFormatting>
  <conditionalFormatting sqref="C4909">
    <cfRule type="containsText" dxfId="123" priority="157" operator="containsText" text="DPR not submitted">
      <formula>NOT(ISERROR(SEARCH("DPR not submitted",C4909)))</formula>
    </cfRule>
    <cfRule type="containsText" dxfId="122" priority="158" operator="containsText" text="Yet to be approved">
      <formula>NOT(ISERROR(SEARCH("Yet to be approved",C4909)))</formula>
    </cfRule>
  </conditionalFormatting>
  <conditionalFormatting sqref="C4910">
    <cfRule type="containsText" dxfId="121" priority="257" operator="containsText" text="DPR not submitted">
      <formula>NOT(ISERROR(SEARCH("DPR not submitted",C4910)))</formula>
    </cfRule>
    <cfRule type="containsText" dxfId="120" priority="258" operator="containsText" text="Yet to be approved">
      <formula>NOT(ISERROR(SEARCH("Yet to be approved",C4910)))</formula>
    </cfRule>
  </conditionalFormatting>
  <conditionalFormatting sqref="C4911">
    <cfRule type="containsText" dxfId="119" priority="155" operator="containsText" text="DPR not submitted">
      <formula>NOT(ISERROR(SEARCH("DPR not submitted",C4911)))</formula>
    </cfRule>
    <cfRule type="containsText" dxfId="118" priority="156" operator="containsText" text="Yet to be approved">
      <formula>NOT(ISERROR(SEARCH("Yet to be approved",C4911)))</formula>
    </cfRule>
  </conditionalFormatting>
  <conditionalFormatting sqref="C4912:C4914">
    <cfRule type="containsText" dxfId="117" priority="255" operator="containsText" text="DPR not submitted">
      <formula>NOT(ISERROR(SEARCH("DPR not submitted",C4912)))</formula>
    </cfRule>
    <cfRule type="containsText" dxfId="116" priority="256" operator="containsText" text="Yet to be approved">
      <formula>NOT(ISERROR(SEARCH("Yet to be approved",C4912)))</formula>
    </cfRule>
  </conditionalFormatting>
  <conditionalFormatting sqref="C4915">
    <cfRule type="containsText" dxfId="115" priority="153" operator="containsText" text="DPR not submitted">
      <formula>NOT(ISERROR(SEARCH("DPR not submitted",C4915)))</formula>
    </cfRule>
    <cfRule type="containsText" dxfId="114" priority="154" operator="containsText" text="Yet to be approved">
      <formula>NOT(ISERROR(SEARCH("Yet to be approved",C4915)))</formula>
    </cfRule>
  </conditionalFormatting>
  <conditionalFormatting sqref="C4916">
    <cfRule type="containsText" dxfId="113" priority="51" operator="containsText" text="DPR not submitted">
      <formula>NOT(ISERROR(SEARCH("DPR not submitted",C4916)))</formula>
    </cfRule>
    <cfRule type="containsText" dxfId="112" priority="52" operator="containsText" text="Yet to be approved">
      <formula>NOT(ISERROR(SEARCH("Yet to be approved",C4916)))</formula>
    </cfRule>
  </conditionalFormatting>
  <conditionalFormatting sqref="C4917">
    <cfRule type="containsText" dxfId="111" priority="151" operator="containsText" text="DPR not submitted">
      <formula>NOT(ISERROR(SEARCH("DPR not submitted",C4917)))</formula>
    </cfRule>
    <cfRule type="containsText" dxfId="110" priority="152" operator="containsText" text="Yet to be approved">
      <formula>NOT(ISERROR(SEARCH("Yet to be approved",C4917)))</formula>
    </cfRule>
  </conditionalFormatting>
  <conditionalFormatting sqref="C4918:C4920">
    <cfRule type="containsText" dxfId="109" priority="253" operator="containsText" text="DPR not submitted">
      <formula>NOT(ISERROR(SEARCH("DPR not submitted",C4918)))</formula>
    </cfRule>
    <cfRule type="containsText" dxfId="108" priority="254" operator="containsText" text="Yet to be approved">
      <formula>NOT(ISERROR(SEARCH("Yet to be approved",C4918)))</formula>
    </cfRule>
  </conditionalFormatting>
  <conditionalFormatting sqref="C4921">
    <cfRule type="containsText" dxfId="107" priority="149" operator="containsText" text="DPR not submitted">
      <formula>NOT(ISERROR(SEARCH("DPR not submitted",C4921)))</formula>
    </cfRule>
    <cfRule type="containsText" dxfId="106" priority="150" operator="containsText" text="Yet to be approved">
      <formula>NOT(ISERROR(SEARCH("Yet to be approved",C4921)))</formula>
    </cfRule>
  </conditionalFormatting>
  <conditionalFormatting sqref="C4922">
    <cfRule type="containsText" dxfId="105" priority="49" operator="containsText" text="DPR not submitted">
      <formula>NOT(ISERROR(SEARCH("DPR not submitted",C4922)))</formula>
    </cfRule>
    <cfRule type="containsText" dxfId="104" priority="50" operator="containsText" text="Yet to be approved">
      <formula>NOT(ISERROR(SEARCH("Yet to be approved",C4922)))</formula>
    </cfRule>
  </conditionalFormatting>
  <conditionalFormatting sqref="C4923">
    <cfRule type="containsText" dxfId="103" priority="47" operator="containsText" text="DPR not submitted">
      <formula>NOT(ISERROR(SEARCH("DPR not submitted",C4923)))</formula>
    </cfRule>
    <cfRule type="containsText" dxfId="102" priority="48" operator="containsText" text="Yet to be approved">
      <formula>NOT(ISERROR(SEARCH("Yet to be approved",C4923)))</formula>
    </cfRule>
  </conditionalFormatting>
  <conditionalFormatting sqref="C4924">
    <cfRule type="containsText" dxfId="101" priority="251" operator="containsText" text="DPR not submitted">
      <formula>NOT(ISERROR(SEARCH("DPR not submitted",C4924)))</formula>
    </cfRule>
    <cfRule type="containsText" dxfId="100" priority="252" operator="containsText" text="Yet to be approved">
      <formula>NOT(ISERROR(SEARCH("Yet to be approved",C4924)))</formula>
    </cfRule>
  </conditionalFormatting>
  <conditionalFormatting sqref="C4925">
    <cfRule type="containsText" dxfId="99" priority="147" operator="containsText" text="DPR not submitted">
      <formula>NOT(ISERROR(SEARCH("DPR not submitted",C4925)))</formula>
    </cfRule>
    <cfRule type="containsText" dxfId="98" priority="148" operator="containsText" text="Yet to be approved">
      <formula>NOT(ISERROR(SEARCH("Yet to be approved",C4925)))</formula>
    </cfRule>
  </conditionalFormatting>
  <conditionalFormatting sqref="C4926">
    <cfRule type="containsText" dxfId="97" priority="95" operator="containsText" text="DPR not submitted">
      <formula>NOT(ISERROR(SEARCH("DPR not submitted",C4926)))</formula>
    </cfRule>
    <cfRule type="containsText" dxfId="96" priority="96" operator="containsText" text="Yet to be approved">
      <formula>NOT(ISERROR(SEARCH("Yet to be approved",C4926)))</formula>
    </cfRule>
  </conditionalFormatting>
  <conditionalFormatting sqref="C4927">
    <cfRule type="containsText" dxfId="95" priority="93" operator="containsText" text="DPR not submitted">
      <formula>NOT(ISERROR(SEARCH("DPR not submitted",C4927)))</formula>
    </cfRule>
    <cfRule type="containsText" dxfId="94" priority="94" operator="containsText" text="Yet to be approved">
      <formula>NOT(ISERROR(SEARCH("Yet to be approved",C4927)))</formula>
    </cfRule>
  </conditionalFormatting>
  <conditionalFormatting sqref="C4928">
    <cfRule type="containsText" dxfId="93" priority="249" operator="containsText" text="DPR not submitted">
      <formula>NOT(ISERROR(SEARCH("DPR not submitted",C4928)))</formula>
    </cfRule>
    <cfRule type="containsText" dxfId="92" priority="250" operator="containsText" text="Yet to be approved">
      <formula>NOT(ISERROR(SEARCH("Yet to be approved",C4928)))</formula>
    </cfRule>
  </conditionalFormatting>
  <conditionalFormatting sqref="C4929">
    <cfRule type="containsText" dxfId="91" priority="145" operator="containsText" text="DPR not submitted">
      <formula>NOT(ISERROR(SEARCH("DPR not submitted",C4929)))</formula>
    </cfRule>
    <cfRule type="containsText" dxfId="90" priority="146" operator="containsText" text="Yet to be approved">
      <formula>NOT(ISERROR(SEARCH("Yet to be approved",C4929)))</formula>
    </cfRule>
  </conditionalFormatting>
  <conditionalFormatting sqref="C4930">
    <cfRule type="containsText" dxfId="89" priority="91" operator="containsText" text="DPR not submitted">
      <formula>NOT(ISERROR(SEARCH("DPR not submitted",C4930)))</formula>
    </cfRule>
    <cfRule type="containsText" dxfId="88" priority="92" operator="containsText" text="Yet to be approved">
      <formula>NOT(ISERROR(SEARCH("Yet to be approved",C4930)))</formula>
    </cfRule>
  </conditionalFormatting>
  <conditionalFormatting sqref="C4931">
    <cfRule type="containsText" dxfId="87" priority="89" operator="containsText" text="DPR not submitted">
      <formula>NOT(ISERROR(SEARCH("DPR not submitted",C4931)))</formula>
    </cfRule>
    <cfRule type="containsText" dxfId="86" priority="90" operator="containsText" text="Yet to be approved">
      <formula>NOT(ISERROR(SEARCH("Yet to be approved",C4931)))</formula>
    </cfRule>
  </conditionalFormatting>
  <conditionalFormatting sqref="C4932">
    <cfRule type="containsText" dxfId="85" priority="87" operator="containsText" text="DPR not submitted">
      <formula>NOT(ISERROR(SEARCH("DPR not submitted",C4932)))</formula>
    </cfRule>
    <cfRule type="containsText" dxfId="84" priority="88" operator="containsText" text="Yet to be approved">
      <formula>NOT(ISERROR(SEARCH("Yet to be approved",C4932)))</formula>
    </cfRule>
  </conditionalFormatting>
  <conditionalFormatting sqref="C4933">
    <cfRule type="containsText" dxfId="83" priority="247" operator="containsText" text="DPR not submitted">
      <formula>NOT(ISERROR(SEARCH("DPR not submitted",C4933)))</formula>
    </cfRule>
    <cfRule type="containsText" dxfId="82" priority="248" operator="containsText" text="Yet to be approved">
      <formula>NOT(ISERROR(SEARCH("Yet to be approved",C4933)))</formula>
    </cfRule>
  </conditionalFormatting>
  <conditionalFormatting sqref="C4934">
    <cfRule type="containsText" dxfId="81" priority="143" operator="containsText" text="DPR not submitted">
      <formula>NOT(ISERROR(SEARCH("DPR not submitted",C4934)))</formula>
    </cfRule>
    <cfRule type="containsText" dxfId="80" priority="144" operator="containsText" text="Yet to be approved">
      <formula>NOT(ISERROR(SEARCH("Yet to be approved",C4934)))</formula>
    </cfRule>
  </conditionalFormatting>
  <conditionalFormatting sqref="C4935">
    <cfRule type="containsText" dxfId="79" priority="85" operator="containsText" text="DPR not submitted">
      <formula>NOT(ISERROR(SEARCH("DPR not submitted",C4935)))</formula>
    </cfRule>
    <cfRule type="containsText" dxfId="78" priority="86" operator="containsText" text="Yet to be approved">
      <formula>NOT(ISERROR(SEARCH("Yet to be approved",C4935)))</formula>
    </cfRule>
  </conditionalFormatting>
  <conditionalFormatting sqref="C4936">
    <cfRule type="containsText" dxfId="77" priority="245" operator="containsText" text="DPR not submitted">
      <formula>NOT(ISERROR(SEARCH("DPR not submitted",C4936)))</formula>
    </cfRule>
    <cfRule type="containsText" dxfId="76" priority="246" operator="containsText" text="Yet to be approved">
      <formula>NOT(ISERROR(SEARCH("Yet to be approved",C4936)))</formula>
    </cfRule>
  </conditionalFormatting>
  <conditionalFormatting sqref="C4937">
    <cfRule type="containsText" dxfId="75" priority="45" operator="containsText" text="DPR not submitted">
      <formula>NOT(ISERROR(SEARCH("DPR not submitted",C4937)))</formula>
    </cfRule>
    <cfRule type="containsText" dxfId="74" priority="46" operator="containsText" text="Yet to be approved">
      <formula>NOT(ISERROR(SEARCH("Yet to be approved",C4937)))</formula>
    </cfRule>
  </conditionalFormatting>
  <conditionalFormatting sqref="C4938">
    <cfRule type="containsText" dxfId="73" priority="43" operator="containsText" text="DPR not submitted">
      <formula>NOT(ISERROR(SEARCH("DPR not submitted",C4938)))</formula>
    </cfRule>
    <cfRule type="containsText" dxfId="72" priority="44" operator="containsText" text="Yet to be approved">
      <formula>NOT(ISERROR(SEARCH("Yet to be approved",C4938)))</formula>
    </cfRule>
  </conditionalFormatting>
  <conditionalFormatting sqref="C4939">
    <cfRule type="containsText" dxfId="71" priority="41" operator="containsText" text="DPR not submitted">
      <formula>NOT(ISERROR(SEARCH("DPR not submitted",C4939)))</formula>
    </cfRule>
    <cfRule type="containsText" dxfId="70" priority="42" operator="containsText" text="Yet to be approved">
      <formula>NOT(ISERROR(SEARCH("Yet to be approved",C4939)))</formula>
    </cfRule>
  </conditionalFormatting>
  <conditionalFormatting sqref="C4940">
    <cfRule type="containsText" dxfId="69" priority="141" operator="containsText" text="DPR not submitted">
      <formula>NOT(ISERROR(SEARCH("DPR not submitted",C4940)))</formula>
    </cfRule>
    <cfRule type="containsText" dxfId="68" priority="142" operator="containsText" text="Yet to be approved">
      <formula>NOT(ISERROR(SEARCH("Yet to be approved",C4940)))</formula>
    </cfRule>
  </conditionalFormatting>
  <conditionalFormatting sqref="C4941">
    <cfRule type="containsText" dxfId="67" priority="83" operator="containsText" text="DPR not submitted">
      <formula>NOT(ISERROR(SEARCH("DPR not submitted",C4941)))</formula>
    </cfRule>
    <cfRule type="containsText" dxfId="66" priority="84" operator="containsText" text="Yet to be approved">
      <formula>NOT(ISERROR(SEARCH("Yet to be approved",C4941)))</formula>
    </cfRule>
  </conditionalFormatting>
  <conditionalFormatting sqref="C4942">
    <cfRule type="containsText" dxfId="65" priority="243" operator="containsText" text="DPR not submitted">
      <formula>NOT(ISERROR(SEARCH("DPR not submitted",C4942)))</formula>
    </cfRule>
    <cfRule type="containsText" dxfId="64" priority="244" operator="containsText" text="Yet to be approved">
      <formula>NOT(ISERROR(SEARCH("Yet to be approved",C4942)))</formula>
    </cfRule>
  </conditionalFormatting>
  <conditionalFormatting sqref="C4943">
    <cfRule type="containsText" dxfId="63" priority="139" operator="containsText" text="DPR not submitted">
      <formula>NOT(ISERROR(SEARCH("DPR not submitted",C4943)))</formula>
    </cfRule>
    <cfRule type="containsText" dxfId="62" priority="140" operator="containsText" text="Yet to be approved">
      <formula>NOT(ISERROR(SEARCH("Yet to be approved",C4943)))</formula>
    </cfRule>
  </conditionalFormatting>
  <conditionalFormatting sqref="C4944">
    <cfRule type="containsText" dxfId="61" priority="81" operator="containsText" text="DPR not submitted">
      <formula>NOT(ISERROR(SEARCH("DPR not submitted",C4944)))</formula>
    </cfRule>
    <cfRule type="containsText" dxfId="60" priority="82" operator="containsText" text="Yet to be approved">
      <formula>NOT(ISERROR(SEARCH("Yet to be approved",C4944)))</formula>
    </cfRule>
  </conditionalFormatting>
  <conditionalFormatting sqref="C4945:C4947">
    <cfRule type="containsText" dxfId="59" priority="79" operator="containsText" text="DPR not submitted">
      <formula>NOT(ISERROR(SEARCH("DPR not submitted",C4945)))</formula>
    </cfRule>
    <cfRule type="containsText" dxfId="58" priority="80" operator="containsText" text="Yet to be approved">
      <formula>NOT(ISERROR(SEARCH("Yet to be approved",C4945)))</formula>
    </cfRule>
  </conditionalFormatting>
  <conditionalFormatting sqref="C4948">
    <cfRule type="containsText" dxfId="57" priority="239" operator="containsText" text="DPR not submitted">
      <formula>NOT(ISERROR(SEARCH("DPR not submitted",C4948)))</formula>
    </cfRule>
    <cfRule type="containsText" dxfId="56" priority="240" operator="containsText" text="Yet to be approved">
      <formula>NOT(ISERROR(SEARCH("Yet to be approved",C4948)))</formula>
    </cfRule>
  </conditionalFormatting>
  <conditionalFormatting sqref="C4949">
    <cfRule type="containsText" dxfId="55" priority="135" operator="containsText" text="DPR not submitted">
      <formula>NOT(ISERROR(SEARCH("DPR not submitted",C4949)))</formula>
    </cfRule>
    <cfRule type="containsText" dxfId="54" priority="136" operator="containsText" text="Yet to be approved">
      <formula>NOT(ISERROR(SEARCH("Yet to be approved",C4949)))</formula>
    </cfRule>
  </conditionalFormatting>
  <conditionalFormatting sqref="C4950:C4951 C4953:C4961">
    <cfRule type="containsText" dxfId="53" priority="137" operator="containsText" text="DPR not submitted">
      <formula>NOT(ISERROR(SEARCH("DPR not submitted",C4950)))</formula>
    </cfRule>
    <cfRule type="containsText" dxfId="52" priority="138" operator="containsText" text="Yet to be approved">
      <formula>NOT(ISERROR(SEARCH("Yet to be approved",C4950)))</formula>
    </cfRule>
  </conditionalFormatting>
  <conditionalFormatting sqref="C4952">
    <cfRule type="containsText" dxfId="51" priority="39" operator="containsText" text="DPR not submitted">
      <formula>NOT(ISERROR(SEARCH("DPR not submitted",C4952)))</formula>
    </cfRule>
    <cfRule type="containsText" dxfId="50" priority="40" operator="containsText" text="Yet to be approved">
      <formula>NOT(ISERROR(SEARCH("Yet to be approved",C4952)))</formula>
    </cfRule>
  </conditionalFormatting>
  <conditionalFormatting sqref="C4962">
    <cfRule type="containsText" dxfId="49" priority="37" operator="containsText" text="DPR not submitted">
      <formula>NOT(ISERROR(SEARCH("DPR not submitted",C4962)))</formula>
    </cfRule>
    <cfRule type="containsText" dxfId="48" priority="38" operator="containsText" text="Yet to be approved">
      <formula>NOT(ISERROR(SEARCH("Yet to be approved",C4962)))</formula>
    </cfRule>
  </conditionalFormatting>
  <conditionalFormatting sqref="C4963:C4964">
    <cfRule type="containsText" dxfId="47" priority="35" operator="containsText" text="DPR not submitted">
      <formula>NOT(ISERROR(SEARCH("DPR not submitted",C4963)))</formula>
    </cfRule>
    <cfRule type="containsText" dxfId="46" priority="36" operator="containsText" text="Yet to be approved">
      <formula>NOT(ISERROR(SEARCH("Yet to be approved",C4963)))</formula>
    </cfRule>
  </conditionalFormatting>
  <conditionalFormatting sqref="C4965">
    <cfRule type="containsText" dxfId="45" priority="33" operator="containsText" text="DPR not submitted">
      <formula>NOT(ISERROR(SEARCH("DPR not submitted",C4965)))</formula>
    </cfRule>
    <cfRule type="containsText" dxfId="44" priority="34" operator="containsText" text="Yet to be approved">
      <formula>NOT(ISERROR(SEARCH("Yet to be approved",C4965)))</formula>
    </cfRule>
  </conditionalFormatting>
  <conditionalFormatting sqref="C4966:C4967 C5000:C5001">
    <cfRule type="containsText" dxfId="43" priority="31" operator="containsText" text="DPR not submitted">
      <formula>NOT(ISERROR(SEARCH("DPR not submitted",C4966)))</formula>
    </cfRule>
    <cfRule type="containsText" dxfId="42" priority="32" operator="containsText" text="Yet to be approved">
      <formula>NOT(ISERROR(SEARCH("Yet to be approved",C4966)))</formula>
    </cfRule>
  </conditionalFormatting>
  <conditionalFormatting sqref="C4968">
    <cfRule type="containsText" dxfId="41" priority="19" operator="containsText" text="DPR not submitted">
      <formula>NOT(ISERROR(SEARCH("DPR not submitted",C4968)))</formula>
    </cfRule>
    <cfRule type="containsText" dxfId="40" priority="20" operator="containsText" text="Yet to be approved">
      <formula>NOT(ISERROR(SEARCH("Yet to be approved",C4968)))</formula>
    </cfRule>
  </conditionalFormatting>
  <conditionalFormatting sqref="C4969:C4970">
    <cfRule type="containsText" dxfId="39" priority="23" operator="containsText" text="DPR not submitted">
      <formula>NOT(ISERROR(SEARCH("DPR not submitted",C4969)))</formula>
    </cfRule>
    <cfRule type="containsText" dxfId="38" priority="24" operator="containsText" text="Yet to be approved">
      <formula>NOT(ISERROR(SEARCH("Yet to be approved",C4969)))</formula>
    </cfRule>
  </conditionalFormatting>
  <conditionalFormatting sqref="C4971">
    <cfRule type="containsText" dxfId="37" priority="17" operator="containsText" text="DPR not submitted">
      <formula>NOT(ISERROR(SEARCH("DPR not submitted",C4971)))</formula>
    </cfRule>
    <cfRule type="containsText" dxfId="36" priority="18" operator="containsText" text="Yet to be approved">
      <formula>NOT(ISERROR(SEARCH("Yet to be approved",C4971)))</formula>
    </cfRule>
  </conditionalFormatting>
  <conditionalFormatting sqref="C4972:C4977">
    <cfRule type="containsText" dxfId="35" priority="25" operator="containsText" text="DPR not submitted">
      <formula>NOT(ISERROR(SEARCH("DPR not submitted",C4972)))</formula>
    </cfRule>
    <cfRule type="containsText" dxfId="34" priority="26" operator="containsText" text="Yet to be approved">
      <formula>NOT(ISERROR(SEARCH("Yet to be approved",C4972)))</formula>
    </cfRule>
  </conditionalFormatting>
  <conditionalFormatting sqref="C4978">
    <cfRule type="containsText" dxfId="33" priority="15" operator="containsText" text="DPR not submitted">
      <formula>NOT(ISERROR(SEARCH("DPR not submitted",C4978)))</formula>
    </cfRule>
    <cfRule type="containsText" dxfId="32" priority="16" operator="containsText" text="Yet to be approved">
      <formula>NOT(ISERROR(SEARCH("Yet to be approved",C4978)))</formula>
    </cfRule>
  </conditionalFormatting>
  <conditionalFormatting sqref="C4979:C4980">
    <cfRule type="containsText" dxfId="31" priority="21" operator="containsText" text="DPR not submitted">
      <formula>NOT(ISERROR(SEARCH("DPR not submitted",C4979)))</formula>
    </cfRule>
    <cfRule type="containsText" dxfId="30" priority="22" operator="containsText" text="Yet to be approved">
      <formula>NOT(ISERROR(SEARCH("Yet to be approved",C4979)))</formula>
    </cfRule>
  </conditionalFormatting>
  <conditionalFormatting sqref="C4981:C4989">
    <cfRule type="containsText" dxfId="29" priority="13" operator="containsText" text="DPR not submitted">
      <formula>NOT(ISERROR(SEARCH("DPR not submitted",C4981)))</formula>
    </cfRule>
    <cfRule type="containsText" dxfId="28" priority="14" operator="containsText" text="Yet to be approved">
      <formula>NOT(ISERROR(SEARCH("Yet to be approved",C4981)))</formula>
    </cfRule>
  </conditionalFormatting>
  <conditionalFormatting sqref="C4990:C4999">
    <cfRule type="containsText" dxfId="27" priority="11" operator="containsText" text="DPR not submitted">
      <formula>NOT(ISERROR(SEARCH("DPR not submitted",C4990)))</formula>
    </cfRule>
    <cfRule type="containsText" dxfId="26" priority="12" operator="containsText" text="Yet to be approved">
      <formula>NOT(ISERROR(SEARCH("Yet to be approved",C4990)))</formula>
    </cfRule>
  </conditionalFormatting>
  <conditionalFormatting sqref="C5002 C5036">
    <cfRule type="containsText" dxfId="25" priority="241" operator="containsText" text="DPR not submitted">
      <formula>NOT(ISERROR(SEARCH("DPR not submitted",C5002)))</formula>
    </cfRule>
    <cfRule type="containsText" dxfId="24" priority="242" operator="containsText" text="Yet to be approved">
      <formula>NOT(ISERROR(SEARCH("Yet to be approved",C5002)))</formula>
    </cfRule>
  </conditionalFormatting>
  <conditionalFormatting sqref="C5004">
    <cfRule type="containsText" dxfId="23" priority="9" operator="containsText" text="DPR not submitted">
      <formula>NOT(ISERROR(SEARCH("DPR not submitted",C5004)))</formula>
    </cfRule>
    <cfRule type="containsText" dxfId="22" priority="10" operator="containsText" text="Yet to be approved">
      <formula>NOT(ISERROR(SEARCH("Yet to be approved",C5004)))</formula>
    </cfRule>
  </conditionalFormatting>
  <conditionalFormatting sqref="C5005:C5009">
    <cfRule type="containsText" dxfId="21" priority="7" operator="containsText" text="DPR not submitted">
      <formula>NOT(ISERROR(SEARCH("DPR not submitted",C5005)))</formula>
    </cfRule>
    <cfRule type="containsText" dxfId="20" priority="8" operator="containsText" text="Yet to be approved">
      <formula>NOT(ISERROR(SEARCH("Yet to be approved",C5005)))</formula>
    </cfRule>
  </conditionalFormatting>
  <conditionalFormatting sqref="C5056:C5086 C5088:C5327">
    <cfRule type="containsText" dxfId="19" priority="5" operator="containsText" text="DPR not submitted">
      <formula>NOT(ISERROR(SEARCH("DPR not submitted",C5056)))</formula>
    </cfRule>
    <cfRule type="containsText" dxfId="18" priority="6" operator="containsText" text="Yet to be approved">
      <formula>NOT(ISERROR(SEARCH("Yet to be approved",C5056)))</formula>
    </cfRule>
  </conditionalFormatting>
  <conditionalFormatting sqref="C5332:C5364">
    <cfRule type="containsText" dxfId="17" priority="3" operator="containsText" text="DPR not submitted">
      <formula>NOT(ISERROR(SEARCH("DPR not submitted",C5332)))</formula>
    </cfRule>
    <cfRule type="containsText" dxfId="16" priority="4" operator="containsText" text="Yet to be approved">
      <formula>NOT(ISERROR(SEARCH("Yet to be approved",C5332)))</formula>
    </cfRule>
  </conditionalFormatting>
  <conditionalFormatting sqref="D260:D261">
    <cfRule type="containsText" dxfId="15" priority="1574" operator="containsText" text="DPR not submitted">
      <formula>NOT(ISERROR(SEARCH("DPR not submitted",D260)))</formula>
    </cfRule>
    <cfRule type="containsText" dxfId="14" priority="1575" operator="containsText" text="Yet to be approved">
      <formula>NOT(ISERROR(SEARCH("Yet to be approved",D260)))</formula>
    </cfRule>
  </conditionalFormatting>
  <conditionalFormatting sqref="D930:D931">
    <cfRule type="containsText" dxfId="13" priority="1396" operator="containsText" text="DPR not submitted">
      <formula>NOT(ISERROR(SEARCH("DPR not submitted",D930)))</formula>
    </cfRule>
    <cfRule type="containsText" dxfId="12" priority="1397" operator="containsText" text="Yet to be approved">
      <formula>NOT(ISERROR(SEARCH("Yet to be approved",D930)))</formula>
    </cfRule>
  </conditionalFormatting>
  <conditionalFormatting sqref="D1600:D1601">
    <cfRule type="containsText" dxfId="11" priority="1218" operator="containsText" text="DPR not submitted">
      <formula>NOT(ISERROR(SEARCH("DPR not submitted",D1600)))</formula>
    </cfRule>
    <cfRule type="containsText" dxfId="10" priority="1219" operator="containsText" text="Yet to be approved">
      <formula>NOT(ISERROR(SEARCH("Yet to be approved",D1600)))</formula>
    </cfRule>
  </conditionalFormatting>
  <conditionalFormatting sqref="D2270:D2271">
    <cfRule type="containsText" dxfId="9" priority="1040" operator="containsText" text="DPR not submitted">
      <formula>NOT(ISERROR(SEARCH("DPR not submitted",D2270)))</formula>
    </cfRule>
    <cfRule type="containsText" dxfId="8" priority="1041" operator="containsText" text="Yet to be approved">
      <formula>NOT(ISERROR(SEARCH("Yet to be approved",D2270)))</formula>
    </cfRule>
  </conditionalFormatting>
  <conditionalFormatting sqref="D2940:D2941">
    <cfRule type="containsText" dxfId="7" priority="862" operator="containsText" text="DPR not submitted">
      <formula>NOT(ISERROR(SEARCH("DPR not submitted",D2940)))</formula>
    </cfRule>
    <cfRule type="containsText" dxfId="6" priority="863" operator="containsText" text="Yet to be approved">
      <formula>NOT(ISERROR(SEARCH("Yet to be approved",D2940)))</formula>
    </cfRule>
  </conditionalFormatting>
  <conditionalFormatting sqref="D3610:D3611">
    <cfRule type="containsText" dxfId="5" priority="684" operator="containsText" text="DPR not submitted">
      <formula>NOT(ISERROR(SEARCH("DPR not submitted",D3610)))</formula>
    </cfRule>
    <cfRule type="containsText" dxfId="4" priority="685" operator="containsText" text="Yet to be approved">
      <formula>NOT(ISERROR(SEARCH("Yet to be approved",D3610)))</formula>
    </cfRule>
  </conditionalFormatting>
  <conditionalFormatting sqref="D4280:D4281">
    <cfRule type="containsText" dxfId="3" priority="343" operator="containsText" text="DPR not submitted">
      <formula>NOT(ISERROR(SEARCH("DPR not submitted",D4280)))</formula>
    </cfRule>
    <cfRule type="containsText" dxfId="2" priority="344" operator="containsText" text="Yet to be approved">
      <formula>NOT(ISERROR(SEARCH("Yet to be approved",D4280)))</formula>
    </cfRule>
  </conditionalFormatting>
  <conditionalFormatting sqref="D4950:D4951">
    <cfRule type="containsText" dxfId="1" priority="1" operator="containsText" text="DPR not submitted">
      <formula>NOT(ISERROR(SEARCH("DPR not submitted",D4950)))</formula>
    </cfRule>
    <cfRule type="containsText" dxfId="0" priority="2" operator="containsText" text="Yet to be approved">
      <formula>NOT(ISERROR(SEARCH("Yet to be approved",D4950)))</formula>
    </cfRule>
  </conditionalFormatting>
  <printOptions verticalCentered="1"/>
  <pageMargins left="0.39370078740157483" right="0.39370078740157483" top="0.39370078740157483" bottom="0.39370078740157483" header="0.23622047244094491" footer="0.23622047244094491"/>
  <pageSetup paperSize="9" scale="51" fitToHeight="200" pageOrder="overThenDown" orientation="landscape" blackAndWhite="1" r:id="rId1"/>
  <headerFooter alignWithMargins="0">
    <oddHeader>&amp;F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A32" zoomScale="70" zoomScaleNormal="50" workbookViewId="0">
      <selection activeCell="E40" sqref="E40"/>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1105" t="str">
        <f>Index!B2</f>
        <v xml:space="preserve">      Maharashtra State Power Generation Company Ltd.</v>
      </c>
      <c r="L4" s="1105"/>
      <c r="M4" s="18"/>
      <c r="N4" s="18"/>
      <c r="O4" s="18"/>
      <c r="P4" s="18"/>
      <c r="Q4" s="18"/>
      <c r="R4" s="18"/>
    </row>
    <row r="5" spans="1:23" x14ac:dyDescent="0.3">
      <c r="B5" s="19"/>
      <c r="I5" s="65"/>
      <c r="J5" s="65"/>
      <c r="K5" s="1105" t="str">
        <f>Index!B3</f>
        <v>MYT Petition Formats for Chandrapur Unit 3-7</v>
      </c>
      <c r="L5" s="1105"/>
      <c r="M5" s="65"/>
      <c r="N5" s="65"/>
      <c r="O5" s="65"/>
      <c r="P5" s="65"/>
      <c r="Q5" s="65"/>
      <c r="R5" s="65"/>
    </row>
    <row r="6" spans="1:23" x14ac:dyDescent="0.3">
      <c r="B6" s="18"/>
      <c r="I6" s="66"/>
      <c r="J6" s="67"/>
      <c r="K6" s="130" t="s">
        <v>1478</v>
      </c>
      <c r="L6" s="72"/>
      <c r="M6" s="67"/>
      <c r="N6" s="19"/>
      <c r="O6" s="18"/>
      <c r="P6" s="18"/>
      <c r="Q6" s="18"/>
      <c r="R6" s="18"/>
    </row>
    <row r="7" spans="1:23" x14ac:dyDescent="0.3">
      <c r="C7" s="19"/>
      <c r="D7" s="19"/>
      <c r="E7" s="19"/>
      <c r="F7" s="19"/>
      <c r="G7" s="19"/>
      <c r="H7" s="19"/>
      <c r="J7" s="6"/>
      <c r="M7" s="6"/>
      <c r="N7" s="6"/>
    </row>
    <row r="8" spans="1:23" x14ac:dyDescent="0.3">
      <c r="A8" s="5" t="s">
        <v>265</v>
      </c>
      <c r="B8" s="1107" t="s">
        <v>266</v>
      </c>
      <c r="C8" s="1107"/>
      <c r="D8" s="1107"/>
      <c r="E8" s="1107"/>
      <c r="F8" s="1107"/>
      <c r="G8" s="1107"/>
      <c r="H8" s="1107"/>
      <c r="I8" s="1"/>
      <c r="J8" s="44"/>
      <c r="K8" s="1"/>
      <c r="L8" s="1"/>
      <c r="M8" s="44"/>
      <c r="N8" s="44"/>
      <c r="O8" s="1"/>
      <c r="P8" s="1"/>
      <c r="Q8" s="1"/>
      <c r="R8" s="251"/>
    </row>
    <row r="9" spans="1:23" x14ac:dyDescent="0.3">
      <c r="B9" s="258"/>
      <c r="C9" s="8"/>
      <c r="D9" s="8"/>
      <c r="E9" s="8"/>
      <c r="F9" s="8"/>
      <c r="G9" s="8"/>
      <c r="H9" s="8"/>
      <c r="I9" s="1"/>
      <c r="J9" s="44"/>
      <c r="K9" s="1"/>
      <c r="L9" s="1"/>
      <c r="M9" s="259" t="s">
        <v>10</v>
      </c>
      <c r="N9" s="44"/>
      <c r="O9" s="1"/>
      <c r="P9" s="1"/>
      <c r="Q9" s="1"/>
    </row>
    <row r="10" spans="1:23" ht="15.75" customHeight="1" x14ac:dyDescent="0.3">
      <c r="B10" s="1699" t="s">
        <v>340</v>
      </c>
      <c r="C10" s="1699" t="s">
        <v>37</v>
      </c>
      <c r="D10" s="1841" t="s">
        <v>506</v>
      </c>
      <c r="E10" s="1841"/>
      <c r="F10" s="1841"/>
      <c r="G10" s="1841"/>
      <c r="H10" s="1841"/>
      <c r="I10" s="1841" t="s">
        <v>507</v>
      </c>
      <c r="J10" s="1841"/>
      <c r="K10" s="1841"/>
      <c r="L10" s="1841"/>
      <c r="M10" s="1841"/>
      <c r="N10" s="1838" t="s">
        <v>508</v>
      </c>
      <c r="O10" s="1838"/>
      <c r="P10" s="1838"/>
      <c r="Q10" s="1838"/>
      <c r="R10" s="1838"/>
      <c r="S10" s="1838" t="s">
        <v>969</v>
      </c>
      <c r="T10" s="1838"/>
      <c r="U10" s="1838"/>
      <c r="V10" s="1838"/>
      <c r="W10" s="1838"/>
    </row>
    <row r="11" spans="1:23" ht="15.75" customHeight="1" x14ac:dyDescent="0.3">
      <c r="B11" s="1699"/>
      <c r="C11" s="1699"/>
      <c r="D11" s="1839" t="s">
        <v>7</v>
      </c>
      <c r="E11" s="1840"/>
      <c r="F11" s="1840"/>
      <c r="G11" s="1840"/>
      <c r="H11" s="1840"/>
      <c r="I11" s="1839" t="s">
        <v>7</v>
      </c>
      <c r="J11" s="1840"/>
      <c r="K11" s="1840"/>
      <c r="L11" s="1840"/>
      <c r="M11" s="1840"/>
      <c r="N11" s="1839" t="s">
        <v>12</v>
      </c>
      <c r="O11" s="1840"/>
      <c r="P11" s="1840"/>
      <c r="Q11" s="1840"/>
      <c r="R11" s="1840"/>
      <c r="S11" s="1841" t="s">
        <v>21</v>
      </c>
      <c r="T11" s="1842"/>
      <c r="U11" s="1842"/>
      <c r="V11" s="1842"/>
      <c r="W11" s="1842"/>
    </row>
    <row r="12" spans="1:23" s="35" customFormat="1" ht="42" x14ac:dyDescent="0.3">
      <c r="B12" s="1699"/>
      <c r="C12" s="1699"/>
      <c r="D12" s="1106" t="s">
        <v>267</v>
      </c>
      <c r="E12" s="1106" t="s">
        <v>268</v>
      </c>
      <c r="F12" s="1106" t="s">
        <v>269</v>
      </c>
      <c r="G12" s="1106" t="s">
        <v>587</v>
      </c>
      <c r="H12" s="1106" t="s">
        <v>270</v>
      </c>
      <c r="I12" s="1106" t="s">
        <v>267</v>
      </c>
      <c r="J12" s="1106" t="s">
        <v>268</v>
      </c>
      <c r="K12" s="1106" t="s">
        <v>269</v>
      </c>
      <c r="L12" s="1106" t="s">
        <v>587</v>
      </c>
      <c r="M12" s="1106" t="s">
        <v>270</v>
      </c>
      <c r="N12" s="1108" t="s">
        <v>267</v>
      </c>
      <c r="O12" s="1108" t="s">
        <v>268</v>
      </c>
      <c r="P12" s="1108" t="s">
        <v>269</v>
      </c>
      <c r="Q12" s="1106" t="s">
        <v>587</v>
      </c>
      <c r="R12" s="1108" t="s">
        <v>270</v>
      </c>
      <c r="S12" s="1108" t="s">
        <v>267</v>
      </c>
      <c r="T12" s="1108" t="s">
        <v>268</v>
      </c>
      <c r="U12" s="1108" t="s">
        <v>269</v>
      </c>
      <c r="V12" s="1106" t="s">
        <v>587</v>
      </c>
      <c r="W12" s="1108" t="s">
        <v>270</v>
      </c>
    </row>
    <row r="13" spans="1:23" s="36" customFormat="1" ht="28" x14ac:dyDescent="0.25">
      <c r="B13" s="260"/>
      <c r="C13" s="260"/>
      <c r="D13" s="260" t="s">
        <v>81</v>
      </c>
      <c r="E13" s="260" t="s">
        <v>82</v>
      </c>
      <c r="F13" s="260" t="s">
        <v>459</v>
      </c>
      <c r="G13" s="260" t="s">
        <v>391</v>
      </c>
      <c r="H13" s="260" t="s">
        <v>588</v>
      </c>
      <c r="I13" s="260" t="s">
        <v>409</v>
      </c>
      <c r="J13" s="260" t="s">
        <v>509</v>
      </c>
      <c r="K13" s="260" t="s">
        <v>410</v>
      </c>
      <c r="L13" s="260" t="s">
        <v>411</v>
      </c>
      <c r="M13" s="260" t="s">
        <v>651</v>
      </c>
      <c r="N13" s="260" t="s">
        <v>589</v>
      </c>
      <c r="O13" s="260" t="s">
        <v>652</v>
      </c>
      <c r="P13" s="260" t="s">
        <v>590</v>
      </c>
      <c r="Q13" s="260" t="s">
        <v>591</v>
      </c>
      <c r="R13" s="260" t="s">
        <v>1095</v>
      </c>
      <c r="S13" s="260" t="s">
        <v>592</v>
      </c>
      <c r="T13" s="260" t="s">
        <v>593</v>
      </c>
      <c r="U13" s="260" t="s">
        <v>1094</v>
      </c>
      <c r="V13" s="260" t="s">
        <v>1093</v>
      </c>
      <c r="W13" s="260" t="s">
        <v>1092</v>
      </c>
    </row>
    <row r="14" spans="1:23" s="420" customFormat="1" x14ac:dyDescent="0.3">
      <c r="B14" s="467">
        <v>1</v>
      </c>
      <c r="C14" s="469" t="s">
        <v>842</v>
      </c>
      <c r="D14" s="894">
        <f>'F5'!D14</f>
        <v>50.821687901156309</v>
      </c>
      <c r="E14" s="894">
        <f>'F5'!E14</f>
        <v>0</v>
      </c>
      <c r="F14" s="894">
        <f>'F5'!F14</f>
        <v>0</v>
      </c>
      <c r="G14" s="894">
        <f>'F5'!G14</f>
        <v>0</v>
      </c>
      <c r="H14" s="894">
        <f>D14+E14-F14-G14</f>
        <v>50.821687901156309</v>
      </c>
      <c r="I14" s="842">
        <f>H14</f>
        <v>50.821687901156309</v>
      </c>
      <c r="J14" s="894">
        <f>'F5'!J14</f>
        <v>0</v>
      </c>
      <c r="K14" s="894">
        <f>'F5'!K14</f>
        <v>0</v>
      </c>
      <c r="L14" s="894">
        <f>'F5'!L14</f>
        <v>0</v>
      </c>
      <c r="M14" s="842">
        <f>I14+J14-K14-L14</f>
        <v>50.821687901156309</v>
      </c>
      <c r="N14" s="894">
        <f t="shared" ref="N14:N30" si="0">M14</f>
        <v>50.821687901156309</v>
      </c>
      <c r="O14" s="894">
        <f>'F5'!O14</f>
        <v>0</v>
      </c>
      <c r="P14" s="894">
        <f>'F5'!P14</f>
        <v>0</v>
      </c>
      <c r="Q14" s="894">
        <f>'F5'!Q14</f>
        <v>0</v>
      </c>
      <c r="R14" s="894">
        <f>N14+O14-P14-Q14</f>
        <v>50.821687901156309</v>
      </c>
      <c r="S14" s="842">
        <f>'F5'!S14+'F5.1 (N)'!D16</f>
        <v>50.821687901156309</v>
      </c>
      <c r="T14" s="894">
        <f>'F5'!T14+'F5.1 (N)'!E16</f>
        <v>0</v>
      </c>
      <c r="U14" s="894">
        <f>'F5'!U14+'F5.1 (N)'!F16</f>
        <v>0</v>
      </c>
      <c r="V14" s="894">
        <f>'F5'!V14+'F5.1 (N)'!G16</f>
        <v>0</v>
      </c>
      <c r="W14" s="842">
        <f>S14+T14-U14-V14</f>
        <v>50.821687901156309</v>
      </c>
    </row>
    <row r="15" spans="1:23" s="420" customFormat="1" x14ac:dyDescent="0.3">
      <c r="B15" s="467">
        <f>B14+1</f>
        <v>2</v>
      </c>
      <c r="C15" s="469" t="s">
        <v>843</v>
      </c>
      <c r="D15" s="894">
        <f>'F5'!D15</f>
        <v>435.35721077134019</v>
      </c>
      <c r="E15" s="894">
        <f>'F5'!E15</f>
        <v>12.932060349</v>
      </c>
      <c r="F15" s="894">
        <f>'F5'!F15</f>
        <v>0</v>
      </c>
      <c r="G15" s="894">
        <f>'F5'!G15</f>
        <v>0</v>
      </c>
      <c r="H15" s="894">
        <f t="shared" ref="H15:H30" si="1">D15+E15-F15-G15</f>
        <v>448.28927112034017</v>
      </c>
      <c r="I15" s="842">
        <f t="shared" ref="I15:I30" si="2">H15</f>
        <v>448.28927112034017</v>
      </c>
      <c r="J15" s="894">
        <f>'F5'!J15</f>
        <v>13.235295303000001</v>
      </c>
      <c r="K15" s="894">
        <f>'F5'!K15</f>
        <v>0</v>
      </c>
      <c r="L15" s="894">
        <f>'F5'!L15</f>
        <v>0</v>
      </c>
      <c r="M15" s="842">
        <f t="shared" ref="M15:M30" si="3">I15+J15-K15-L15</f>
        <v>461.52456642334016</v>
      </c>
      <c r="N15" s="894">
        <f t="shared" si="0"/>
        <v>461.52456642334016</v>
      </c>
      <c r="O15" s="894">
        <f>'F5'!O15</f>
        <v>2.5</v>
      </c>
      <c r="P15" s="894">
        <f>'F5'!P15</f>
        <v>0</v>
      </c>
      <c r="Q15" s="894">
        <f>'F5'!Q15</f>
        <v>0</v>
      </c>
      <c r="R15" s="894">
        <f t="shared" ref="R15:R30" si="4">N15+O15-P15-Q15</f>
        <v>464.02456642334016</v>
      </c>
      <c r="S15" s="842">
        <f>'F5'!S15+'F5.1 (N)'!D17</f>
        <v>464.02456642334016</v>
      </c>
      <c r="T15" s="894">
        <f>'F5'!T15+'F5.1 (N)'!E17</f>
        <v>3.4533675559999963</v>
      </c>
      <c r="U15" s="894">
        <f>'F5'!U15+'F5.1 (N)'!F17</f>
        <v>0</v>
      </c>
      <c r="V15" s="894">
        <f>'F5'!V15+'F5.1 (N)'!G17</f>
        <v>0</v>
      </c>
      <c r="W15" s="842">
        <f t="shared" ref="W15:W30" si="5">S15+T15-U15-V15</f>
        <v>467.47793397934015</v>
      </c>
    </row>
    <row r="16" spans="1:23" s="420" customFormat="1" x14ac:dyDescent="0.3">
      <c r="B16" s="467">
        <f t="shared" ref="B16:B30" si="6">B15+1</f>
        <v>3</v>
      </c>
      <c r="C16" s="469" t="s">
        <v>844</v>
      </c>
      <c r="D16" s="894">
        <f>'F5'!D16</f>
        <v>0</v>
      </c>
      <c r="E16" s="894">
        <f>'F5'!E16</f>
        <v>0</v>
      </c>
      <c r="F16" s="894">
        <f>'F5'!F16</f>
        <v>0</v>
      </c>
      <c r="G16" s="894">
        <f>'F5'!G16</f>
        <v>0</v>
      </c>
      <c r="H16" s="894">
        <f t="shared" si="1"/>
        <v>0</v>
      </c>
      <c r="I16" s="842">
        <f t="shared" si="2"/>
        <v>0</v>
      </c>
      <c r="J16" s="894">
        <f>'F5'!J16</f>
        <v>0</v>
      </c>
      <c r="K16" s="894">
        <f>'F5'!K16</f>
        <v>0</v>
      </c>
      <c r="L16" s="894">
        <f>'F5'!L16</f>
        <v>0</v>
      </c>
      <c r="M16" s="842">
        <f t="shared" si="3"/>
        <v>0</v>
      </c>
      <c r="N16" s="894">
        <f t="shared" si="0"/>
        <v>0</v>
      </c>
      <c r="O16" s="894">
        <f>'F5'!O16</f>
        <v>0</v>
      </c>
      <c r="P16" s="894">
        <f>'F5'!P16</f>
        <v>0</v>
      </c>
      <c r="Q16" s="894">
        <f>'F5'!Q16</f>
        <v>0</v>
      </c>
      <c r="R16" s="894">
        <f t="shared" si="4"/>
        <v>0</v>
      </c>
      <c r="S16" s="842">
        <f>'F5'!S16+'F5.1 (N)'!D18</f>
        <v>0</v>
      </c>
      <c r="T16" s="894">
        <f>'F5'!T16+'F5.1 (N)'!E18</f>
        <v>5</v>
      </c>
      <c r="U16" s="894">
        <f>'F5'!U16+'F5.1 (N)'!F18</f>
        <v>0</v>
      </c>
      <c r="V16" s="894">
        <f>'F5'!V16+'F5.1 (N)'!G18</f>
        <v>0</v>
      </c>
      <c r="W16" s="842">
        <f t="shared" si="5"/>
        <v>5</v>
      </c>
    </row>
    <row r="17" spans="2:23" s="420" customFormat="1" x14ac:dyDescent="0.3">
      <c r="B17" s="467">
        <f t="shared" si="6"/>
        <v>4</v>
      </c>
      <c r="C17" s="469" t="s">
        <v>845</v>
      </c>
      <c r="D17" s="894">
        <f>'F5'!D17</f>
        <v>347.40510740068009</v>
      </c>
      <c r="E17" s="894">
        <f>'F5'!E17</f>
        <v>3.6793280730000002</v>
      </c>
      <c r="F17" s="894">
        <f>'F5'!F17</f>
        <v>0</v>
      </c>
      <c r="G17" s="894">
        <f>'F5'!G17</f>
        <v>0</v>
      </c>
      <c r="H17" s="894">
        <f t="shared" si="1"/>
        <v>351.08443547368012</v>
      </c>
      <c r="I17" s="842">
        <f t="shared" si="2"/>
        <v>351.08443547368012</v>
      </c>
      <c r="J17" s="894">
        <f>'F5'!J17</f>
        <v>41.157774959000001</v>
      </c>
      <c r="K17" s="894">
        <f>'F5'!K17</f>
        <v>0</v>
      </c>
      <c r="L17" s="894">
        <f>'F5'!L17</f>
        <v>0</v>
      </c>
      <c r="M17" s="842">
        <f t="shared" si="3"/>
        <v>392.24221043268011</v>
      </c>
      <c r="N17" s="894">
        <f t="shared" si="0"/>
        <v>392.24221043268011</v>
      </c>
      <c r="O17" s="894">
        <f>'F5'!O17</f>
        <v>5.2</v>
      </c>
      <c r="P17" s="894">
        <f>'F5'!P17</f>
        <v>0</v>
      </c>
      <c r="Q17" s="894">
        <f>'F5'!Q17</f>
        <v>0</v>
      </c>
      <c r="R17" s="894">
        <f t="shared" si="4"/>
        <v>397.4422104326801</v>
      </c>
      <c r="S17" s="842">
        <f>'F5'!S17+'F5.1 (N)'!D19</f>
        <v>397.4422104326801</v>
      </c>
      <c r="T17" s="894">
        <f>'F5'!T17+'F5.1 (N)'!E19</f>
        <v>0</v>
      </c>
      <c r="U17" s="894">
        <f>'F5'!U17+'F5.1 (N)'!F19</f>
        <v>0</v>
      </c>
      <c r="V17" s="894">
        <f>'F5'!V17+'F5.1 (N)'!G19</f>
        <v>0</v>
      </c>
      <c r="W17" s="842">
        <f t="shared" si="5"/>
        <v>397.4422104326801</v>
      </c>
    </row>
    <row r="18" spans="2:23" s="420" customFormat="1" x14ac:dyDescent="0.3">
      <c r="B18" s="467">
        <f t="shared" si="6"/>
        <v>5</v>
      </c>
      <c r="C18" s="469" t="s">
        <v>846</v>
      </c>
      <c r="D18" s="894">
        <f>'F5'!D18</f>
        <v>232.05534413508619</v>
      </c>
      <c r="E18" s="894">
        <f>'F5'!E18</f>
        <v>0.50840066799999994</v>
      </c>
      <c r="F18" s="894">
        <f>'F5'!F18</f>
        <v>0</v>
      </c>
      <c r="G18" s="894">
        <f>'F5'!G18</f>
        <v>0</v>
      </c>
      <c r="H18" s="894">
        <f t="shared" si="1"/>
        <v>232.56374480308619</v>
      </c>
      <c r="I18" s="842">
        <f t="shared" si="2"/>
        <v>232.56374480308619</v>
      </c>
      <c r="J18" s="894">
        <f>'F5'!J18</f>
        <v>4.3865478660000008</v>
      </c>
      <c r="K18" s="894">
        <f>'F5'!K18</f>
        <v>0</v>
      </c>
      <c r="L18" s="894">
        <f>'F5'!L18</f>
        <v>0</v>
      </c>
      <c r="M18" s="842">
        <f t="shared" si="3"/>
        <v>236.9502926690862</v>
      </c>
      <c r="N18" s="894">
        <f t="shared" si="0"/>
        <v>236.9502926690862</v>
      </c>
      <c r="O18" s="894">
        <f>'F5'!O18</f>
        <v>49.5</v>
      </c>
      <c r="P18" s="894">
        <f>'F5'!P18</f>
        <v>0</v>
      </c>
      <c r="Q18" s="894">
        <f>'F5'!Q18</f>
        <v>0</v>
      </c>
      <c r="R18" s="894">
        <f t="shared" si="4"/>
        <v>286.4502926690862</v>
      </c>
      <c r="S18" s="842">
        <f>'F5'!S18+'F5.1 (N)'!D20</f>
        <v>286.4502926690862</v>
      </c>
      <c r="T18" s="894">
        <f>'F5'!T18+'F5.1 (N)'!E20</f>
        <v>72.796666666666653</v>
      </c>
      <c r="U18" s="894">
        <f>'F5'!U18+'F5.1 (N)'!F20</f>
        <v>0</v>
      </c>
      <c r="V18" s="894">
        <f>'F5'!V18+'F5.1 (N)'!G20</f>
        <v>0</v>
      </c>
      <c r="W18" s="842">
        <f t="shared" si="5"/>
        <v>359.24695933575288</v>
      </c>
    </row>
    <row r="19" spans="2:23" s="11" customFormat="1" x14ac:dyDescent="0.3">
      <c r="B19" s="467">
        <f t="shared" si="6"/>
        <v>6</v>
      </c>
      <c r="C19" s="469" t="s">
        <v>256</v>
      </c>
      <c r="D19" s="894">
        <f>'F5'!D19</f>
        <v>3013.4725050838529</v>
      </c>
      <c r="E19" s="894">
        <f>'F5'!E19</f>
        <v>96.446789251999988</v>
      </c>
      <c r="F19" s="894">
        <f>'F5'!F19</f>
        <v>0</v>
      </c>
      <c r="G19" s="894">
        <f>'F5'!G19</f>
        <v>0</v>
      </c>
      <c r="H19" s="894">
        <f t="shared" si="1"/>
        <v>3109.919294335853</v>
      </c>
      <c r="I19" s="842">
        <f t="shared" si="2"/>
        <v>3109.919294335853</v>
      </c>
      <c r="J19" s="894">
        <f>'F5'!J19</f>
        <v>47.878822821</v>
      </c>
      <c r="K19" s="894">
        <f>'F5'!K19</f>
        <v>0</v>
      </c>
      <c r="L19" s="894">
        <f>'F5'!L19</f>
        <v>0</v>
      </c>
      <c r="M19" s="842">
        <f t="shared" si="3"/>
        <v>3157.7981171568531</v>
      </c>
      <c r="N19" s="894">
        <f t="shared" si="0"/>
        <v>3157.7981171568531</v>
      </c>
      <c r="O19" s="894">
        <f>'F5'!O19</f>
        <v>380.97</v>
      </c>
      <c r="P19" s="894">
        <f>'F5'!P19</f>
        <v>0</v>
      </c>
      <c r="Q19" s="894">
        <f>'F5'!Q19</f>
        <v>0</v>
      </c>
      <c r="R19" s="894">
        <f t="shared" si="4"/>
        <v>3538.7681171568529</v>
      </c>
      <c r="S19" s="842">
        <f>'F5'!S19+'F5.1 (N)'!D21</f>
        <v>3538.7681171568529</v>
      </c>
      <c r="T19" s="894">
        <f>'F5'!T19+'F5.1 (N)'!E21</f>
        <v>563.09187366666652</v>
      </c>
      <c r="U19" s="894">
        <f>'F5'!U19+'F5.1 (N)'!F21</f>
        <v>0</v>
      </c>
      <c r="V19" s="894">
        <f>'F5'!V19+'F5.1 (N)'!G21</f>
        <v>0</v>
      </c>
      <c r="W19" s="842">
        <f t="shared" si="5"/>
        <v>4101.8599908235192</v>
      </c>
    </row>
    <row r="20" spans="2:23" s="11" customFormat="1" x14ac:dyDescent="0.3">
      <c r="B20" s="467">
        <f t="shared" si="6"/>
        <v>7</v>
      </c>
      <c r="C20" s="469" t="s">
        <v>847</v>
      </c>
      <c r="D20" s="894">
        <f>'F5'!D20</f>
        <v>0</v>
      </c>
      <c r="E20" s="894">
        <f>'F5'!E20</f>
        <v>0</v>
      </c>
      <c r="F20" s="894">
        <f>'F5'!F20</f>
        <v>0</v>
      </c>
      <c r="G20" s="894">
        <f>'F5'!G20</f>
        <v>0</v>
      </c>
      <c r="H20" s="894">
        <f t="shared" si="1"/>
        <v>0</v>
      </c>
      <c r="I20" s="842">
        <f t="shared" si="2"/>
        <v>0</v>
      </c>
      <c r="J20" s="894">
        <f>'F5'!J20</f>
        <v>0</v>
      </c>
      <c r="K20" s="894">
        <f>'F5'!K20</f>
        <v>0</v>
      </c>
      <c r="L20" s="894">
        <f>'F5'!L20</f>
        <v>0</v>
      </c>
      <c r="M20" s="842">
        <f t="shared" si="3"/>
        <v>0</v>
      </c>
      <c r="N20" s="894">
        <f t="shared" si="0"/>
        <v>0</v>
      </c>
      <c r="O20" s="894">
        <f>'F5'!O20</f>
        <v>0</v>
      </c>
      <c r="P20" s="894">
        <f>'F5'!P20</f>
        <v>0</v>
      </c>
      <c r="Q20" s="894">
        <f>'F5'!Q20</f>
        <v>0</v>
      </c>
      <c r="R20" s="894">
        <f t="shared" si="4"/>
        <v>0</v>
      </c>
      <c r="S20" s="842">
        <f>'F5'!S20+'F5.1 (N)'!D22</f>
        <v>0</v>
      </c>
      <c r="T20" s="894">
        <f>'F5'!T20+'F5.1 (N)'!E22</f>
        <v>4.9999999999999991</v>
      </c>
      <c r="U20" s="894">
        <f>'F5'!U20+'F5.1 (N)'!F22</f>
        <v>0</v>
      </c>
      <c r="V20" s="894">
        <f>'F5'!V20+'F5.1 (N)'!G22</f>
        <v>0</v>
      </c>
      <c r="W20" s="842">
        <f t="shared" si="5"/>
        <v>4.9999999999999991</v>
      </c>
    </row>
    <row r="21" spans="2:23" s="11" customFormat="1" x14ac:dyDescent="0.3">
      <c r="B21" s="467">
        <f t="shared" si="6"/>
        <v>8</v>
      </c>
      <c r="C21" s="469" t="s">
        <v>848</v>
      </c>
      <c r="D21" s="894">
        <f>'F5'!D21</f>
        <v>0</v>
      </c>
      <c r="E21" s="894">
        <f>'F5'!E21</f>
        <v>0</v>
      </c>
      <c r="F21" s="894">
        <f>'F5'!F21</f>
        <v>0</v>
      </c>
      <c r="G21" s="894">
        <f>'F5'!G21</f>
        <v>0</v>
      </c>
      <c r="H21" s="894">
        <f t="shared" si="1"/>
        <v>0</v>
      </c>
      <c r="I21" s="842">
        <f t="shared" si="2"/>
        <v>0</v>
      </c>
      <c r="J21" s="894">
        <f>'F5'!J21</f>
        <v>0</v>
      </c>
      <c r="K21" s="894">
        <f>'F5'!K21</f>
        <v>0</v>
      </c>
      <c r="L21" s="894">
        <f>'F5'!L21</f>
        <v>0</v>
      </c>
      <c r="M21" s="842">
        <f t="shared" si="3"/>
        <v>0</v>
      </c>
      <c r="N21" s="894">
        <f t="shared" si="0"/>
        <v>0</v>
      </c>
      <c r="O21" s="894">
        <f>'F5'!O21</f>
        <v>0</v>
      </c>
      <c r="P21" s="894">
        <f>'F5'!P21</f>
        <v>0</v>
      </c>
      <c r="Q21" s="894">
        <f>'F5'!Q21</f>
        <v>0</v>
      </c>
      <c r="R21" s="894">
        <f t="shared" si="4"/>
        <v>0</v>
      </c>
      <c r="S21" s="842">
        <f>'F5'!S21+'F5.1 (N)'!D23</f>
        <v>0</v>
      </c>
      <c r="T21" s="894">
        <f>'F5'!T21+'F5.1 (N)'!E23</f>
        <v>0</v>
      </c>
      <c r="U21" s="894">
        <f>'F5'!U21+'F5.1 (N)'!F23</f>
        <v>0</v>
      </c>
      <c r="V21" s="894">
        <f>'F5'!V21+'F5.1 (N)'!G23</f>
        <v>0</v>
      </c>
      <c r="W21" s="842">
        <f t="shared" si="5"/>
        <v>0</v>
      </c>
    </row>
    <row r="22" spans="2:23" s="11" customFormat="1" x14ac:dyDescent="0.3">
      <c r="B22" s="467">
        <f t="shared" si="6"/>
        <v>9</v>
      </c>
      <c r="C22" s="469" t="s">
        <v>849</v>
      </c>
      <c r="D22" s="894">
        <f>'F5'!D22</f>
        <v>118.10088485300545</v>
      </c>
      <c r="E22" s="894">
        <f>'F5'!E22</f>
        <v>0</v>
      </c>
      <c r="F22" s="894">
        <f>'F5'!F22</f>
        <v>0</v>
      </c>
      <c r="G22" s="894">
        <f>'F5'!G22</f>
        <v>0</v>
      </c>
      <c r="H22" s="894">
        <f t="shared" si="1"/>
        <v>118.10088485300545</v>
      </c>
      <c r="I22" s="842">
        <f t="shared" si="2"/>
        <v>118.10088485300545</v>
      </c>
      <c r="J22" s="894">
        <f>'F5'!J22</f>
        <v>2.9193972000000001</v>
      </c>
      <c r="K22" s="894">
        <f>'F5'!K22</f>
        <v>0</v>
      </c>
      <c r="L22" s="894">
        <f>'F5'!L22</f>
        <v>0</v>
      </c>
      <c r="M22" s="842">
        <f t="shared" si="3"/>
        <v>121.02028205300546</v>
      </c>
      <c r="N22" s="894">
        <f t="shared" si="0"/>
        <v>121.02028205300546</v>
      </c>
      <c r="O22" s="894">
        <f>'F5'!O22</f>
        <v>0</v>
      </c>
      <c r="P22" s="894">
        <f>'F5'!P22</f>
        <v>0</v>
      </c>
      <c r="Q22" s="894">
        <f>'F5'!Q22</f>
        <v>0</v>
      </c>
      <c r="R22" s="894">
        <f t="shared" si="4"/>
        <v>121.02028205300546</v>
      </c>
      <c r="S22" s="842">
        <f>'F5'!S22+'F5.1 (N)'!D24</f>
        <v>121.02028205300546</v>
      </c>
      <c r="T22" s="894">
        <f>'F5'!T22+'F5.1 (N)'!E24</f>
        <v>0</v>
      </c>
      <c r="U22" s="894">
        <f>'F5'!U22+'F5.1 (N)'!F24</f>
        <v>0</v>
      </c>
      <c r="V22" s="894">
        <f>'F5'!V22+'F5.1 (N)'!G24</f>
        <v>0</v>
      </c>
      <c r="W22" s="842">
        <f t="shared" si="5"/>
        <v>121.02028205300546</v>
      </c>
    </row>
    <row r="23" spans="2:23" s="11" customFormat="1" x14ac:dyDescent="0.3">
      <c r="B23" s="467">
        <f t="shared" si="6"/>
        <v>10</v>
      </c>
      <c r="C23" s="469" t="s">
        <v>259</v>
      </c>
      <c r="D23" s="894">
        <f>'F5'!D23</f>
        <v>1.4735980717499835</v>
      </c>
      <c r="E23" s="894">
        <f>'F5'!E23</f>
        <v>2.6398891010000001</v>
      </c>
      <c r="F23" s="894">
        <f>'F5'!F23</f>
        <v>0</v>
      </c>
      <c r="G23" s="894">
        <f>'F5'!G23</f>
        <v>0</v>
      </c>
      <c r="H23" s="894">
        <f t="shared" si="1"/>
        <v>4.1134871727499833</v>
      </c>
      <c r="I23" s="842">
        <f t="shared" si="2"/>
        <v>4.1134871727499833</v>
      </c>
      <c r="J23" s="894">
        <f>'F5'!J23</f>
        <v>0</v>
      </c>
      <c r="K23" s="894">
        <f>'F5'!K23</f>
        <v>0</v>
      </c>
      <c r="L23" s="894">
        <f>'F5'!L23</f>
        <v>0</v>
      </c>
      <c r="M23" s="842">
        <f t="shared" si="3"/>
        <v>4.1134871727499833</v>
      </c>
      <c r="N23" s="894">
        <f t="shared" si="0"/>
        <v>4.1134871727499833</v>
      </c>
      <c r="O23" s="894">
        <f>'F5'!O23</f>
        <v>0</v>
      </c>
      <c r="P23" s="894">
        <f>'F5'!P23</f>
        <v>0</v>
      </c>
      <c r="Q23" s="894">
        <f>'F5'!Q23</f>
        <v>0</v>
      </c>
      <c r="R23" s="894">
        <f t="shared" si="4"/>
        <v>4.1134871727499833</v>
      </c>
      <c r="S23" s="842">
        <f>'F5'!S23+'F5.1 (N)'!D25</f>
        <v>4.1134871727499833</v>
      </c>
      <c r="T23" s="894">
        <f>'F5'!T23+'F5.1 (N)'!E25</f>
        <v>19.493333333333332</v>
      </c>
      <c r="U23" s="894">
        <f>'F5'!U23+'F5.1 (N)'!F25</f>
        <v>0</v>
      </c>
      <c r="V23" s="894">
        <f>'F5'!V23+'F5.1 (N)'!G25</f>
        <v>0</v>
      </c>
      <c r="W23" s="842">
        <f t="shared" si="5"/>
        <v>23.606820506083317</v>
      </c>
    </row>
    <row r="24" spans="2:23" s="11" customFormat="1" x14ac:dyDescent="0.3">
      <c r="B24" s="467">
        <f t="shared" si="6"/>
        <v>11</v>
      </c>
      <c r="C24" s="469" t="s">
        <v>260</v>
      </c>
      <c r="D24" s="894">
        <f>'F5'!D24</f>
        <v>2.7369682558230788</v>
      </c>
      <c r="E24" s="894">
        <f>'F5'!E24</f>
        <v>0</v>
      </c>
      <c r="F24" s="894">
        <f>'F5'!F24</f>
        <v>0</v>
      </c>
      <c r="G24" s="894">
        <f>'F5'!G24</f>
        <v>0</v>
      </c>
      <c r="H24" s="894">
        <f t="shared" si="1"/>
        <v>2.7369682558230788</v>
      </c>
      <c r="I24" s="842">
        <f t="shared" si="2"/>
        <v>2.7369682558230788</v>
      </c>
      <c r="J24" s="894">
        <f>'F5'!J24</f>
        <v>0.24435810600000002</v>
      </c>
      <c r="K24" s="894">
        <f>'F5'!K24</f>
        <v>0</v>
      </c>
      <c r="L24" s="894">
        <f>'F5'!L24</f>
        <v>0</v>
      </c>
      <c r="M24" s="842">
        <f t="shared" si="3"/>
        <v>2.9813263618230788</v>
      </c>
      <c r="N24" s="894">
        <f t="shared" si="0"/>
        <v>2.9813263618230788</v>
      </c>
      <c r="O24" s="894">
        <f>'F5'!O24</f>
        <v>0.75</v>
      </c>
      <c r="P24" s="894">
        <f>'F5'!P24</f>
        <v>0</v>
      </c>
      <c r="Q24" s="894">
        <f>'F5'!Q24</f>
        <v>0</v>
      </c>
      <c r="R24" s="894">
        <f t="shared" si="4"/>
        <v>3.7313263618230788</v>
      </c>
      <c r="S24" s="842">
        <f>'F5'!S24+'F5.1 (N)'!D26</f>
        <v>3.7313263618230788</v>
      </c>
      <c r="T24" s="894">
        <f>'F5'!T24+'F5.1 (N)'!E26</f>
        <v>0</v>
      </c>
      <c r="U24" s="894">
        <f>'F5'!U24+'F5.1 (N)'!F26</f>
        <v>0</v>
      </c>
      <c r="V24" s="894">
        <f>'F5'!V24+'F5.1 (N)'!G26</f>
        <v>0</v>
      </c>
      <c r="W24" s="842">
        <f t="shared" si="5"/>
        <v>3.7313263618230788</v>
      </c>
    </row>
    <row r="25" spans="2:23" s="11" customFormat="1" x14ac:dyDescent="0.3">
      <c r="B25" s="467">
        <f t="shared" si="6"/>
        <v>12</v>
      </c>
      <c r="C25" s="469" t="s">
        <v>261</v>
      </c>
      <c r="D25" s="894">
        <f>'F5'!D25</f>
        <v>10.336254823475114</v>
      </c>
      <c r="E25" s="894">
        <f>'F5'!E25</f>
        <v>1.1161035909999999</v>
      </c>
      <c r="F25" s="894">
        <f>'F5'!F25</f>
        <v>2.654029424</v>
      </c>
      <c r="G25" s="894">
        <f>'F5'!G25</f>
        <v>0</v>
      </c>
      <c r="H25" s="894">
        <f t="shared" si="1"/>
        <v>8.7983289904751132</v>
      </c>
      <c r="I25" s="842">
        <f t="shared" si="2"/>
        <v>8.7983289904751132</v>
      </c>
      <c r="J25" s="894">
        <f>'F5'!J25</f>
        <v>0.97199127799999996</v>
      </c>
      <c r="K25" s="894">
        <f>'F5'!K25</f>
        <v>2.9710539279999999</v>
      </c>
      <c r="L25" s="894">
        <f>'F5'!L25</f>
        <v>0</v>
      </c>
      <c r="M25" s="842">
        <f t="shared" si="3"/>
        <v>6.7992663404751141</v>
      </c>
      <c r="N25" s="894">
        <f t="shared" si="0"/>
        <v>6.7992663404751141</v>
      </c>
      <c r="O25" s="894">
        <f>'F5'!O25</f>
        <v>0.75</v>
      </c>
      <c r="P25" s="894">
        <f>'F5'!P25</f>
        <v>0</v>
      </c>
      <c r="Q25" s="894">
        <f>'F5'!Q25</f>
        <v>0</v>
      </c>
      <c r="R25" s="894">
        <f t="shared" si="4"/>
        <v>7.5492663404751141</v>
      </c>
      <c r="S25" s="842">
        <f>'F5'!S25+'F5.1 (N)'!D27</f>
        <v>7.5492663404751141</v>
      </c>
      <c r="T25" s="894">
        <f>'F5'!T25+'F5.1 (N)'!E27</f>
        <v>0.5</v>
      </c>
      <c r="U25" s="894">
        <f>'F5'!U25+'F5.1 (N)'!F27</f>
        <v>0</v>
      </c>
      <c r="V25" s="894">
        <f>'F5'!V25+'F5.1 (N)'!G27</f>
        <v>0</v>
      </c>
      <c r="W25" s="842">
        <f t="shared" si="5"/>
        <v>8.0492663404751141</v>
      </c>
    </row>
    <row r="26" spans="2:23" s="11" customFormat="1" x14ac:dyDescent="0.3">
      <c r="B26" s="467">
        <f t="shared" si="6"/>
        <v>13</v>
      </c>
      <c r="C26" s="469" t="s">
        <v>897</v>
      </c>
      <c r="D26" s="894">
        <f>'F5'!D26</f>
        <v>0</v>
      </c>
      <c r="E26" s="894">
        <f>'F5'!E26</f>
        <v>0</v>
      </c>
      <c r="F26" s="894">
        <f>'F5'!F26</f>
        <v>0</v>
      </c>
      <c r="G26" s="894">
        <f>'F5'!G26</f>
        <v>0</v>
      </c>
      <c r="H26" s="894">
        <f t="shared" si="1"/>
        <v>0</v>
      </c>
      <c r="I26" s="842">
        <f t="shared" si="2"/>
        <v>0</v>
      </c>
      <c r="J26" s="894">
        <f>'F5'!J26</f>
        <v>0</v>
      </c>
      <c r="K26" s="894">
        <f>'F5'!K26</f>
        <v>0</v>
      </c>
      <c r="L26" s="894">
        <f>'F5'!L26</f>
        <v>0</v>
      </c>
      <c r="M26" s="842">
        <f t="shared" si="3"/>
        <v>0</v>
      </c>
      <c r="N26" s="894">
        <f t="shared" si="0"/>
        <v>0</v>
      </c>
      <c r="O26" s="894">
        <f>'F5'!O26</f>
        <v>0</v>
      </c>
      <c r="P26" s="894">
        <f>'F5'!P26</f>
        <v>0</v>
      </c>
      <c r="Q26" s="894">
        <f>'F5'!Q26</f>
        <v>0</v>
      </c>
      <c r="R26" s="894">
        <f t="shared" si="4"/>
        <v>0</v>
      </c>
      <c r="S26" s="842">
        <f>'F5'!S26+'F5.1 (N)'!D28</f>
        <v>0</v>
      </c>
      <c r="T26" s="894">
        <f>'F5'!T26+'F5.1 (N)'!E28</f>
        <v>0</v>
      </c>
      <c r="U26" s="894">
        <f>'F5'!U26+'F5.1 (N)'!F28</f>
        <v>0</v>
      </c>
      <c r="V26" s="894">
        <f>'F5'!V26+'F5.1 (N)'!G28</f>
        <v>0</v>
      </c>
      <c r="W26" s="842">
        <f t="shared" si="5"/>
        <v>0</v>
      </c>
    </row>
    <row r="27" spans="2:23" s="11" customFormat="1" x14ac:dyDescent="0.3">
      <c r="B27" s="467">
        <f t="shared" si="6"/>
        <v>14</v>
      </c>
      <c r="C27" s="469" t="s">
        <v>898</v>
      </c>
      <c r="D27" s="894">
        <f>'F5'!D27</f>
        <v>0</v>
      </c>
      <c r="E27" s="894">
        <f>'F5'!E27</f>
        <v>0</v>
      </c>
      <c r="F27" s="894">
        <f>'F5'!F27</f>
        <v>0</v>
      </c>
      <c r="G27" s="894">
        <f>'F5'!G27</f>
        <v>0</v>
      </c>
      <c r="H27" s="894">
        <f t="shared" si="1"/>
        <v>0</v>
      </c>
      <c r="I27" s="842">
        <f t="shared" si="2"/>
        <v>0</v>
      </c>
      <c r="J27" s="894">
        <f>'F5'!J27</f>
        <v>0</v>
      </c>
      <c r="K27" s="894">
        <f>'F5'!K27</f>
        <v>0</v>
      </c>
      <c r="L27" s="894">
        <f>'F5'!L27</f>
        <v>0</v>
      </c>
      <c r="M27" s="842">
        <f t="shared" si="3"/>
        <v>0</v>
      </c>
      <c r="N27" s="894">
        <f t="shared" si="0"/>
        <v>0</v>
      </c>
      <c r="O27" s="894">
        <f>'F5'!O27</f>
        <v>0</v>
      </c>
      <c r="P27" s="894">
        <f>'F5'!P27</f>
        <v>0</v>
      </c>
      <c r="Q27" s="894">
        <f>'F5'!Q27</f>
        <v>0</v>
      </c>
      <c r="R27" s="894">
        <f t="shared" si="4"/>
        <v>0</v>
      </c>
      <c r="S27" s="842">
        <f>'F5'!S27+'F5.1 (N)'!D29</f>
        <v>0</v>
      </c>
      <c r="T27" s="894">
        <f>'F5'!T27+'F5.1 (N)'!E29</f>
        <v>0</v>
      </c>
      <c r="U27" s="894">
        <f>'F5'!U27+'F5.1 (N)'!F29</f>
        <v>0</v>
      </c>
      <c r="V27" s="894">
        <f>'F5'!V27+'F5.1 (N)'!G29</f>
        <v>0</v>
      </c>
      <c r="W27" s="842">
        <f t="shared" si="5"/>
        <v>0</v>
      </c>
    </row>
    <row r="28" spans="2:23" s="11" customFormat="1" x14ac:dyDescent="0.3">
      <c r="B28" s="467">
        <f t="shared" si="6"/>
        <v>15</v>
      </c>
      <c r="C28" s="469" t="s">
        <v>899</v>
      </c>
      <c r="D28" s="894">
        <f>'F5'!D28</f>
        <v>0</v>
      </c>
      <c r="E28" s="894">
        <f>'F5'!E28</f>
        <v>0</v>
      </c>
      <c r="F28" s="894">
        <f>'F5'!F28</f>
        <v>0</v>
      </c>
      <c r="G28" s="894">
        <f>'F5'!G28</f>
        <v>0</v>
      </c>
      <c r="H28" s="894">
        <f t="shared" si="1"/>
        <v>0</v>
      </c>
      <c r="I28" s="842">
        <f t="shared" si="2"/>
        <v>0</v>
      </c>
      <c r="J28" s="894">
        <f>'F5'!J28</f>
        <v>0</v>
      </c>
      <c r="K28" s="894">
        <f>'F5'!K28</f>
        <v>0</v>
      </c>
      <c r="L28" s="894">
        <f>'F5'!L28</f>
        <v>0</v>
      </c>
      <c r="M28" s="842">
        <f t="shared" si="3"/>
        <v>0</v>
      </c>
      <c r="N28" s="894">
        <f t="shared" si="0"/>
        <v>0</v>
      </c>
      <c r="O28" s="894">
        <f>'F5'!O28</f>
        <v>0</v>
      </c>
      <c r="P28" s="894">
        <f>'F5'!P28</f>
        <v>0</v>
      </c>
      <c r="Q28" s="894">
        <f>'F5'!Q28</f>
        <v>0</v>
      </c>
      <c r="R28" s="894">
        <f t="shared" si="4"/>
        <v>0</v>
      </c>
      <c r="S28" s="842">
        <f>'F5'!S28+'F5.1 (N)'!D30</f>
        <v>0</v>
      </c>
      <c r="T28" s="894">
        <f>'F5'!T28+'F5.1 (N)'!E30</f>
        <v>66.666666666666657</v>
      </c>
      <c r="U28" s="894">
        <f>'F5'!U28+'F5.1 (N)'!F30</f>
        <v>0</v>
      </c>
      <c r="V28" s="894">
        <f>'F5'!V28+'F5.1 (N)'!G30</f>
        <v>0</v>
      </c>
      <c r="W28" s="842">
        <f t="shared" si="5"/>
        <v>66.666666666666657</v>
      </c>
    </row>
    <row r="29" spans="2:23" s="11" customFormat="1" x14ac:dyDescent="0.3">
      <c r="B29" s="467">
        <f t="shared" si="6"/>
        <v>16</v>
      </c>
      <c r="C29" s="469" t="s">
        <v>850</v>
      </c>
      <c r="D29" s="894">
        <f>'F5'!D29</f>
        <v>0</v>
      </c>
      <c r="E29" s="894">
        <f>'F5'!E29</f>
        <v>0</v>
      </c>
      <c r="F29" s="894">
        <f>'F5'!F29</f>
        <v>0</v>
      </c>
      <c r="G29" s="894">
        <f>'F5'!G29</f>
        <v>0</v>
      </c>
      <c r="H29" s="894">
        <f t="shared" si="1"/>
        <v>0</v>
      </c>
      <c r="I29" s="842">
        <f t="shared" si="2"/>
        <v>0</v>
      </c>
      <c r="J29" s="894">
        <f>'F5'!J29</f>
        <v>0</v>
      </c>
      <c r="K29" s="894">
        <f>'F5'!K29</f>
        <v>0</v>
      </c>
      <c r="L29" s="894">
        <f>'F5'!L29</f>
        <v>0</v>
      </c>
      <c r="M29" s="842">
        <f t="shared" si="3"/>
        <v>0</v>
      </c>
      <c r="N29" s="894">
        <f t="shared" si="0"/>
        <v>0</v>
      </c>
      <c r="O29" s="894">
        <f>'F5'!O29</f>
        <v>0</v>
      </c>
      <c r="P29" s="894">
        <f>'F5'!P29</f>
        <v>0</v>
      </c>
      <c r="Q29" s="894">
        <f>'F5'!Q29</f>
        <v>0</v>
      </c>
      <c r="R29" s="894">
        <f t="shared" si="4"/>
        <v>0</v>
      </c>
      <c r="S29" s="842">
        <f>'F5'!S29+'F5.1 (N)'!D31</f>
        <v>0</v>
      </c>
      <c r="T29" s="894">
        <f>'F5'!T29+'F5.1 (N)'!E31</f>
        <v>0</v>
      </c>
      <c r="U29" s="894">
        <f>'F5'!U29+'F5.1 (N)'!F31</f>
        <v>0</v>
      </c>
      <c r="V29" s="894">
        <f>'F5'!V29+'F5.1 (N)'!G31</f>
        <v>0</v>
      </c>
      <c r="W29" s="842">
        <f t="shared" si="5"/>
        <v>0</v>
      </c>
    </row>
    <row r="30" spans="2:23" s="11" customFormat="1" x14ac:dyDescent="0.3">
      <c r="B30" s="467">
        <f t="shared" si="6"/>
        <v>17</v>
      </c>
      <c r="C30" s="469" t="s">
        <v>900</v>
      </c>
      <c r="D30" s="894">
        <f>'F5'!D30</f>
        <v>0</v>
      </c>
      <c r="E30" s="894">
        <f>'F5'!E30</f>
        <v>0</v>
      </c>
      <c r="F30" s="894">
        <f>'F5'!F30</f>
        <v>0</v>
      </c>
      <c r="G30" s="894">
        <f>'F5'!G30</f>
        <v>0</v>
      </c>
      <c r="H30" s="894">
        <f t="shared" si="1"/>
        <v>0</v>
      </c>
      <c r="I30" s="842">
        <f t="shared" si="2"/>
        <v>0</v>
      </c>
      <c r="J30" s="894">
        <f>'F5'!J30</f>
        <v>0</v>
      </c>
      <c r="K30" s="894">
        <f>'F5'!K30</f>
        <v>0</v>
      </c>
      <c r="L30" s="894">
        <f>'F5'!L30</f>
        <v>0</v>
      </c>
      <c r="M30" s="842">
        <f t="shared" si="3"/>
        <v>0</v>
      </c>
      <c r="N30" s="894">
        <f t="shared" si="0"/>
        <v>0</v>
      </c>
      <c r="O30" s="894">
        <f>'F5'!O30</f>
        <v>0</v>
      </c>
      <c r="P30" s="894">
        <f>'F5'!P30</f>
        <v>0</v>
      </c>
      <c r="Q30" s="894">
        <f>'F5'!Q30</f>
        <v>0</v>
      </c>
      <c r="R30" s="894">
        <f t="shared" si="4"/>
        <v>0</v>
      </c>
      <c r="S30" s="842">
        <f>'F5'!S30+'F5.1 (N)'!D32</f>
        <v>0</v>
      </c>
      <c r="T30" s="894">
        <f>'F5'!T30+'F5.1 (N)'!E32</f>
        <v>0</v>
      </c>
      <c r="U30" s="894">
        <f>'F5'!U30+'F5.1 (N)'!F32</f>
        <v>0</v>
      </c>
      <c r="V30" s="894">
        <f>'F5'!V30+'F5.1 (N)'!G32</f>
        <v>0</v>
      </c>
      <c r="W30" s="842">
        <f t="shared" si="5"/>
        <v>0</v>
      </c>
    </row>
    <row r="31" spans="2:23" s="1" customFormat="1" ht="16" x14ac:dyDescent="0.3">
      <c r="B31" s="83"/>
      <c r="C31" s="97" t="s">
        <v>271</v>
      </c>
      <c r="D31" s="886">
        <f>SUM(D14:D30)</f>
        <v>4211.7595612961686</v>
      </c>
      <c r="E31" s="886">
        <f>SUM(E14:E30)</f>
        <v>117.32257103399998</v>
      </c>
      <c r="F31" s="886">
        <f t="shared" ref="F31:W31" si="7">SUM(F14:F30)</f>
        <v>2.654029424</v>
      </c>
      <c r="G31" s="886">
        <f t="shared" si="7"/>
        <v>0</v>
      </c>
      <c r="H31" s="886">
        <f t="shared" si="7"/>
        <v>4326.4281029061685</v>
      </c>
      <c r="I31" s="886">
        <f t="shared" si="7"/>
        <v>4326.4281029061685</v>
      </c>
      <c r="J31" s="886">
        <f t="shared" si="7"/>
        <v>110.79418753300003</v>
      </c>
      <c r="K31" s="886">
        <f t="shared" si="7"/>
        <v>2.9710539279999999</v>
      </c>
      <c r="L31" s="886">
        <f t="shared" si="7"/>
        <v>0</v>
      </c>
      <c r="M31" s="886">
        <f t="shared" si="7"/>
        <v>4434.2512365111697</v>
      </c>
      <c r="N31" s="886">
        <f t="shared" si="7"/>
        <v>4434.2512365111697</v>
      </c>
      <c r="O31" s="886">
        <f t="shared" si="7"/>
        <v>439.67</v>
      </c>
      <c r="P31" s="886">
        <f t="shared" si="7"/>
        <v>0</v>
      </c>
      <c r="Q31" s="886">
        <f t="shared" si="7"/>
        <v>0</v>
      </c>
      <c r="R31" s="886">
        <f t="shared" si="7"/>
        <v>4873.9212365111698</v>
      </c>
      <c r="S31" s="886">
        <f t="shared" si="7"/>
        <v>4873.9212365111698</v>
      </c>
      <c r="T31" s="886">
        <f t="shared" si="7"/>
        <v>736.0019078893331</v>
      </c>
      <c r="U31" s="886">
        <f t="shared" si="7"/>
        <v>0</v>
      </c>
      <c r="V31" s="886">
        <f t="shared" si="7"/>
        <v>0</v>
      </c>
      <c r="W31" s="886">
        <f t="shared" si="7"/>
        <v>5609.9231444005036</v>
      </c>
    </row>
    <row r="32" spans="2:23" s="1" customFormat="1" x14ac:dyDescent="0.3">
      <c r="B32" s="1107"/>
      <c r="C32" s="8"/>
      <c r="D32" s="8"/>
      <c r="E32" s="8"/>
      <c r="F32" s="8"/>
      <c r="G32" s="8"/>
      <c r="H32" s="8"/>
      <c r="J32" s="44"/>
      <c r="M32" s="44"/>
      <c r="N32" s="44"/>
      <c r="T32" s="605"/>
    </row>
    <row r="33" spans="1:33" x14ac:dyDescent="0.3">
      <c r="B33" s="1843" t="s">
        <v>597</v>
      </c>
      <c r="C33" s="1843"/>
      <c r="D33" s="1843"/>
      <c r="E33" s="1843"/>
      <c r="F33" s="1843"/>
      <c r="G33" s="1843"/>
      <c r="H33" s="8"/>
      <c r="I33" s="1"/>
      <c r="J33" s="44"/>
      <c r="K33" s="1"/>
      <c r="L33" s="1"/>
      <c r="M33" s="44"/>
      <c r="N33" s="44"/>
      <c r="O33" s="1"/>
      <c r="P33" s="1"/>
      <c r="Q33" s="1"/>
      <c r="R33" s="1"/>
    </row>
    <row r="34" spans="1:33" x14ac:dyDescent="0.3">
      <c r="B34" s="1107"/>
      <c r="C34" s="8"/>
      <c r="D34" s="8"/>
      <c r="E34" s="8"/>
      <c r="F34" s="8"/>
      <c r="G34" s="8"/>
      <c r="H34" s="8"/>
      <c r="I34" s="1"/>
      <c r="J34" s="44"/>
      <c r="K34" s="1"/>
      <c r="L34" s="1"/>
      <c r="M34" s="44"/>
      <c r="N34" s="44"/>
      <c r="O34" s="1"/>
      <c r="P34" s="1"/>
      <c r="Q34" s="1"/>
      <c r="R34" s="1"/>
    </row>
    <row r="35" spans="1:33" ht="15.75" customHeight="1" x14ac:dyDescent="0.3">
      <c r="B35" s="1107"/>
      <c r="C35" s="8"/>
      <c r="D35" s="8"/>
      <c r="E35" s="8"/>
      <c r="F35" s="8"/>
      <c r="G35" s="8"/>
      <c r="H35" s="8"/>
      <c r="I35" s="1"/>
      <c r="J35" s="44"/>
      <c r="K35" s="1"/>
      <c r="L35" s="1"/>
      <c r="M35" s="44"/>
      <c r="N35" s="44"/>
      <c r="O35" s="1"/>
      <c r="P35" s="1"/>
      <c r="Q35" s="1"/>
      <c r="AG35" s="259" t="s">
        <v>10</v>
      </c>
    </row>
    <row r="36" spans="1:33" ht="15.75" customHeight="1" x14ac:dyDescent="0.3">
      <c r="B36" s="1699" t="s">
        <v>340</v>
      </c>
      <c r="C36" s="1699" t="s">
        <v>37</v>
      </c>
      <c r="D36" s="1844" t="s">
        <v>970</v>
      </c>
      <c r="E36" s="1845"/>
      <c r="F36" s="1845"/>
      <c r="G36" s="1845"/>
      <c r="H36" s="1846"/>
      <c r="I36" s="1844" t="s">
        <v>971</v>
      </c>
      <c r="J36" s="1845"/>
      <c r="K36" s="1845"/>
      <c r="L36" s="1845"/>
      <c r="M36" s="1846"/>
      <c r="N36" s="1838" t="s">
        <v>972</v>
      </c>
      <c r="O36" s="1838"/>
      <c r="P36" s="1838"/>
      <c r="Q36" s="1838"/>
      <c r="R36" s="1838"/>
      <c r="S36" s="1838" t="s">
        <v>973</v>
      </c>
      <c r="T36" s="1838"/>
      <c r="U36" s="1838"/>
      <c r="V36" s="1838"/>
      <c r="W36" s="1838"/>
    </row>
    <row r="37" spans="1:33" s="35" customFormat="1" x14ac:dyDescent="0.3">
      <c r="B37" s="1699"/>
      <c r="C37" s="1699"/>
      <c r="D37" s="1847" t="s">
        <v>21</v>
      </c>
      <c r="E37" s="1848"/>
      <c r="F37" s="1848"/>
      <c r="G37" s="1848"/>
      <c r="H37" s="1849"/>
      <c r="I37" s="1847" t="s">
        <v>21</v>
      </c>
      <c r="J37" s="1848"/>
      <c r="K37" s="1848"/>
      <c r="L37" s="1848"/>
      <c r="M37" s="1849"/>
      <c r="N37" s="1841" t="s">
        <v>21</v>
      </c>
      <c r="O37" s="1842"/>
      <c r="P37" s="1842"/>
      <c r="Q37" s="1842"/>
      <c r="R37" s="1842"/>
      <c r="S37" s="1841" t="s">
        <v>21</v>
      </c>
      <c r="T37" s="1842"/>
      <c r="U37" s="1842"/>
      <c r="V37" s="1842"/>
      <c r="W37" s="1842"/>
    </row>
    <row r="38" spans="1:33" s="36" customFormat="1" ht="42" x14ac:dyDescent="0.25">
      <c r="B38" s="1699"/>
      <c r="C38" s="1699"/>
      <c r="D38" s="1108" t="s">
        <v>267</v>
      </c>
      <c r="E38" s="1108" t="s">
        <v>268</v>
      </c>
      <c r="F38" s="1108" t="s">
        <v>269</v>
      </c>
      <c r="G38" s="1106" t="s">
        <v>587</v>
      </c>
      <c r="H38" s="1108" t="s">
        <v>270</v>
      </c>
      <c r="I38" s="1108" t="s">
        <v>267</v>
      </c>
      <c r="J38" s="1108" t="s">
        <v>268</v>
      </c>
      <c r="K38" s="1108" t="s">
        <v>269</v>
      </c>
      <c r="L38" s="1106" t="s">
        <v>587</v>
      </c>
      <c r="M38" s="1108" t="s">
        <v>270</v>
      </c>
      <c r="N38" s="1108" t="s">
        <v>267</v>
      </c>
      <c r="O38" s="1108" t="s">
        <v>268</v>
      </c>
      <c r="P38" s="1108" t="s">
        <v>269</v>
      </c>
      <c r="Q38" s="1106" t="s">
        <v>587</v>
      </c>
      <c r="R38" s="1108" t="s">
        <v>270</v>
      </c>
      <c r="S38" s="1108" t="s">
        <v>267</v>
      </c>
      <c r="T38" s="1108" t="s">
        <v>268</v>
      </c>
      <c r="U38" s="1108" t="s">
        <v>269</v>
      </c>
      <c r="V38" s="1106" t="s">
        <v>587</v>
      </c>
      <c r="W38" s="1108" t="s">
        <v>270</v>
      </c>
    </row>
    <row r="39" spans="1:33" s="6" customFormat="1" ht="28" x14ac:dyDescent="0.3">
      <c r="B39" s="260"/>
      <c r="C39" s="260"/>
      <c r="D39" s="260" t="s">
        <v>594</v>
      </c>
      <c r="E39" s="260" t="s">
        <v>595</v>
      </c>
      <c r="F39" s="260" t="s">
        <v>596</v>
      </c>
      <c r="G39" s="260" t="s">
        <v>653</v>
      </c>
      <c r="H39" s="260" t="s">
        <v>654</v>
      </c>
      <c r="I39" s="260" t="s">
        <v>655</v>
      </c>
      <c r="J39" s="260" t="s">
        <v>656</v>
      </c>
      <c r="K39" s="260" t="s">
        <v>657</v>
      </c>
      <c r="L39" s="260" t="s">
        <v>658</v>
      </c>
      <c r="M39" s="260" t="s">
        <v>659</v>
      </c>
      <c r="N39" s="260" t="s">
        <v>660</v>
      </c>
      <c r="O39" s="260" t="s">
        <v>661</v>
      </c>
      <c r="P39" s="260" t="s">
        <v>662</v>
      </c>
      <c r="Q39" s="260" t="s">
        <v>663</v>
      </c>
      <c r="R39" s="260" t="s">
        <v>664</v>
      </c>
      <c r="S39" s="260" t="s">
        <v>1091</v>
      </c>
      <c r="T39" s="260" t="s">
        <v>1090</v>
      </c>
      <c r="U39" s="260" t="s">
        <v>1089</v>
      </c>
      <c r="V39" s="260" t="s">
        <v>1088</v>
      </c>
      <c r="W39" s="260" t="s">
        <v>1087</v>
      </c>
    </row>
    <row r="40" spans="1:33" s="420" customFormat="1" x14ac:dyDescent="0.3">
      <c r="B40" s="467">
        <v>1</v>
      </c>
      <c r="C40" s="469" t="s">
        <v>842</v>
      </c>
      <c r="D40" s="842">
        <f>W14</f>
        <v>50.821687901156309</v>
      </c>
      <c r="E40" s="894">
        <f>'F5'!E40+'F5.1 (N)'!J16</f>
        <v>0</v>
      </c>
      <c r="F40" s="894">
        <f>'F5'!F40+'F5.1 (N)'!K16</f>
        <v>0</v>
      </c>
      <c r="G40" s="894">
        <f>'F5'!G40+'F5.1 (N)'!L16</f>
        <v>0</v>
      </c>
      <c r="H40" s="842">
        <f>D40+E40-F40-G40</f>
        <v>50.821687901156309</v>
      </c>
      <c r="I40" s="842">
        <f>H40</f>
        <v>50.821687901156309</v>
      </c>
      <c r="J40" s="894">
        <f>'F5'!J40+'F5.1 (N)'!O16</f>
        <v>0</v>
      </c>
      <c r="K40" s="894">
        <f>'F5'!K40+'F5.1 (N)'!P16</f>
        <v>0</v>
      </c>
      <c r="L40" s="894">
        <f>'F5'!L40+'F5.1 (N)'!Q16</f>
        <v>0</v>
      </c>
      <c r="M40" s="842">
        <f>I40+J40-K40-L40</f>
        <v>50.821687901156309</v>
      </c>
      <c r="N40" s="842">
        <f>M40</f>
        <v>50.821687901156309</v>
      </c>
      <c r="O40" s="894">
        <f>'F5'!O40+'F5.1 (N)'!T16</f>
        <v>0</v>
      </c>
      <c r="P40" s="894">
        <f>'F5'!P40+'F5.1 (N)'!U16</f>
        <v>0</v>
      </c>
      <c r="Q40" s="894">
        <f>'F5'!Q40+'F5.1 (N)'!V16</f>
        <v>0</v>
      </c>
      <c r="R40" s="842">
        <f>N40+O40-P40-Q40</f>
        <v>50.821687901156309</v>
      </c>
      <c r="S40" s="842">
        <f>R40</f>
        <v>50.821687901156309</v>
      </c>
      <c r="T40" s="894">
        <f>'F5'!T40+'F5.1 (N)'!Y16</f>
        <v>0</v>
      </c>
      <c r="U40" s="894">
        <f>'F5'!U40+'F5.1 (N)'!Z16</f>
        <v>0</v>
      </c>
      <c r="V40" s="894">
        <f>'F5'!V40+'F5.1 (N)'!AA16</f>
        <v>0</v>
      </c>
      <c r="W40" s="842">
        <f>S40+T40-U40-V40</f>
        <v>50.821687901156309</v>
      </c>
    </row>
    <row r="41" spans="1:33" s="420" customFormat="1" x14ac:dyDescent="0.3">
      <c r="B41" s="467">
        <f>B40+1</f>
        <v>2</v>
      </c>
      <c r="C41" s="469" t="s">
        <v>843</v>
      </c>
      <c r="D41" s="842">
        <f t="shared" ref="D41:D56" si="8">W15</f>
        <v>467.47793397934015</v>
      </c>
      <c r="E41" s="894">
        <f>'F5'!E41+'F5.1 (N)'!J17</f>
        <v>42.381666666666668</v>
      </c>
      <c r="F41" s="894">
        <f>'F5'!F41+'F5.1 (N)'!K17</f>
        <v>0</v>
      </c>
      <c r="G41" s="894">
        <f>'F5'!G41+'F5.1 (N)'!L17</f>
        <v>0</v>
      </c>
      <c r="H41" s="842">
        <f t="shared" ref="H41:H56" si="9">D41+E41-F41-G41</f>
        <v>509.85960064600681</v>
      </c>
      <c r="I41" s="842">
        <f t="shared" ref="I41:I56" si="10">H41</f>
        <v>509.85960064600681</v>
      </c>
      <c r="J41" s="894">
        <f>'F5'!J41+'F5.1 (N)'!O17</f>
        <v>15.4</v>
      </c>
      <c r="K41" s="894">
        <f>'F5'!K41+'F5.1 (N)'!P17</f>
        <v>0</v>
      </c>
      <c r="L41" s="894">
        <f>'F5'!L41+'F5.1 (N)'!Q17</f>
        <v>0</v>
      </c>
      <c r="M41" s="842">
        <f t="shared" ref="M41:M56" si="11">I41+J41-K41-L41</f>
        <v>525.25960064600679</v>
      </c>
      <c r="N41" s="842">
        <f t="shared" ref="N41:N56" si="12">M41</f>
        <v>525.25960064600679</v>
      </c>
      <c r="O41" s="894">
        <f>'F5'!O41+'F5.1 (N)'!T17</f>
        <v>57</v>
      </c>
      <c r="P41" s="894">
        <f>'F5'!P41+'F5.1 (N)'!U17</f>
        <v>0</v>
      </c>
      <c r="Q41" s="894">
        <f>'F5'!Q41+'F5.1 (N)'!V17</f>
        <v>0</v>
      </c>
      <c r="R41" s="842">
        <f t="shared" ref="R41:R56" si="13">N41+O41-P41-Q41</f>
        <v>582.25960064600679</v>
      </c>
      <c r="S41" s="842">
        <f t="shared" ref="S41:S56" si="14">R41</f>
        <v>582.25960064600679</v>
      </c>
      <c r="T41" s="894">
        <f>'F5'!T41+'F5.1 (N)'!Y17</f>
        <v>0</v>
      </c>
      <c r="U41" s="894">
        <f>'F5'!U41+'F5.1 (N)'!Z17</f>
        <v>0</v>
      </c>
      <c r="V41" s="894">
        <f>'F5'!V41+'F5.1 (N)'!AA17</f>
        <v>0</v>
      </c>
      <c r="W41" s="842">
        <f t="shared" ref="W41:W56" si="15">S41+T41-U41-V41</f>
        <v>582.25960064600679</v>
      </c>
    </row>
    <row r="42" spans="1:33" s="11" customFormat="1" x14ac:dyDescent="0.3">
      <c r="A42" s="420"/>
      <c r="B42" s="467">
        <f t="shared" ref="B42:B56" si="16">B41+1</f>
        <v>3</v>
      </c>
      <c r="C42" s="469" t="s">
        <v>844</v>
      </c>
      <c r="D42" s="842">
        <f t="shared" si="8"/>
        <v>5</v>
      </c>
      <c r="E42" s="894">
        <f>'F5'!E42+'F5.1 (N)'!J18</f>
        <v>19.25</v>
      </c>
      <c r="F42" s="894">
        <f>'F5'!F42+'F5.1 (N)'!K18</f>
        <v>0</v>
      </c>
      <c r="G42" s="894">
        <f>'F5'!G42+'F5.1 (N)'!L18</f>
        <v>0</v>
      </c>
      <c r="H42" s="842">
        <f t="shared" si="9"/>
        <v>24.25</v>
      </c>
      <c r="I42" s="842">
        <f t="shared" si="10"/>
        <v>24.25</v>
      </c>
      <c r="J42" s="894">
        <f>'F5'!J42+'F5.1 (N)'!O18</f>
        <v>7.7</v>
      </c>
      <c r="K42" s="894">
        <f>'F5'!K42+'F5.1 (N)'!P18</f>
        <v>0</v>
      </c>
      <c r="L42" s="894">
        <f>'F5'!L42+'F5.1 (N)'!Q18</f>
        <v>0</v>
      </c>
      <c r="M42" s="842">
        <f t="shared" si="11"/>
        <v>31.95</v>
      </c>
      <c r="N42" s="842">
        <f t="shared" si="12"/>
        <v>31.95</v>
      </c>
      <c r="O42" s="894">
        <f>'F5'!O42+'F5.1 (N)'!T18</f>
        <v>57.019959999999998</v>
      </c>
      <c r="P42" s="894">
        <f>'F5'!P42+'F5.1 (N)'!U18</f>
        <v>0</v>
      </c>
      <c r="Q42" s="894">
        <f>'F5'!Q42+'F5.1 (N)'!V18</f>
        <v>0</v>
      </c>
      <c r="R42" s="842">
        <f t="shared" si="13"/>
        <v>88.96996</v>
      </c>
      <c r="S42" s="842">
        <f t="shared" si="14"/>
        <v>88.96996</v>
      </c>
      <c r="T42" s="894">
        <f>'F5'!T42+'F5.1 (N)'!Y18</f>
        <v>0</v>
      </c>
      <c r="U42" s="894">
        <f>'F5'!U42+'F5.1 (N)'!Z18</f>
        <v>0</v>
      </c>
      <c r="V42" s="894">
        <f>'F5'!V42+'F5.1 (N)'!AA18</f>
        <v>0</v>
      </c>
      <c r="W42" s="842">
        <f t="shared" si="15"/>
        <v>88.96996</v>
      </c>
    </row>
    <row r="43" spans="1:33" s="11" customFormat="1" x14ac:dyDescent="0.3">
      <c r="A43" s="420"/>
      <c r="B43" s="467">
        <f t="shared" si="16"/>
        <v>4</v>
      </c>
      <c r="C43" s="469" t="s">
        <v>845</v>
      </c>
      <c r="D43" s="842">
        <f t="shared" si="8"/>
        <v>397.4422104326801</v>
      </c>
      <c r="E43" s="894">
        <f>'F5'!E43+'F5.1 (N)'!J19</f>
        <v>0</v>
      </c>
      <c r="F43" s="894">
        <f>'F5'!F43+'F5.1 (N)'!K19</f>
        <v>0</v>
      </c>
      <c r="G43" s="894">
        <f>'F5'!G43+'F5.1 (N)'!L19</f>
        <v>0</v>
      </c>
      <c r="H43" s="842">
        <f t="shared" si="9"/>
        <v>397.4422104326801</v>
      </c>
      <c r="I43" s="842">
        <f t="shared" si="10"/>
        <v>397.4422104326801</v>
      </c>
      <c r="J43" s="894">
        <f>'F5'!J43+'F5.1 (N)'!O19</f>
        <v>0</v>
      </c>
      <c r="K43" s="894">
        <f>'F5'!K43+'F5.1 (N)'!P19</f>
        <v>0</v>
      </c>
      <c r="L43" s="894">
        <f>'F5'!L43+'F5.1 (N)'!Q19</f>
        <v>0</v>
      </c>
      <c r="M43" s="842">
        <f t="shared" si="11"/>
        <v>397.4422104326801</v>
      </c>
      <c r="N43" s="842">
        <f t="shared" si="12"/>
        <v>397.4422104326801</v>
      </c>
      <c r="O43" s="894">
        <f>'F5'!O43+'F5.1 (N)'!T19</f>
        <v>0</v>
      </c>
      <c r="P43" s="894">
        <f>'F5'!P43+'F5.1 (N)'!U19</f>
        <v>0</v>
      </c>
      <c r="Q43" s="894">
        <f>'F5'!Q43+'F5.1 (N)'!V19</f>
        <v>0</v>
      </c>
      <c r="R43" s="842">
        <f t="shared" si="13"/>
        <v>397.4422104326801</v>
      </c>
      <c r="S43" s="842">
        <f t="shared" si="14"/>
        <v>397.4422104326801</v>
      </c>
      <c r="T43" s="894">
        <f>'F5'!T43+'F5.1 (N)'!Y19</f>
        <v>0</v>
      </c>
      <c r="U43" s="894">
        <f>'F5'!U43+'F5.1 (N)'!Z19</f>
        <v>0</v>
      </c>
      <c r="V43" s="894">
        <f>'F5'!V43+'F5.1 (N)'!AA19</f>
        <v>0</v>
      </c>
      <c r="W43" s="842">
        <f t="shared" si="15"/>
        <v>397.4422104326801</v>
      </c>
    </row>
    <row r="44" spans="1:33" s="11" customFormat="1" x14ac:dyDescent="0.3">
      <c r="A44" s="420"/>
      <c r="B44" s="467">
        <f t="shared" si="16"/>
        <v>5</v>
      </c>
      <c r="C44" s="469" t="s">
        <v>846</v>
      </c>
      <c r="D44" s="842">
        <f t="shared" si="8"/>
        <v>359.24695933575288</v>
      </c>
      <c r="E44" s="894">
        <f>'F5'!E44+'F5.1 (N)'!J20</f>
        <v>22.666666666666664</v>
      </c>
      <c r="F44" s="894">
        <f>'F5'!F44+'F5.1 (N)'!K20</f>
        <v>0</v>
      </c>
      <c r="G44" s="894">
        <f>'F5'!G44+'F5.1 (N)'!L20</f>
        <v>0</v>
      </c>
      <c r="H44" s="842">
        <f t="shared" si="9"/>
        <v>381.91362600241956</v>
      </c>
      <c r="I44" s="842">
        <f t="shared" si="10"/>
        <v>381.91362600241956</v>
      </c>
      <c r="J44" s="894">
        <f>'F5'!J44+'F5.1 (N)'!O20</f>
        <v>33</v>
      </c>
      <c r="K44" s="894">
        <f>'F5'!K44+'F5.1 (N)'!P20</f>
        <v>0</v>
      </c>
      <c r="L44" s="894">
        <f>'F5'!L44+'F5.1 (N)'!Q20</f>
        <v>0</v>
      </c>
      <c r="M44" s="842">
        <f t="shared" si="11"/>
        <v>414.91362600241956</v>
      </c>
      <c r="N44" s="842">
        <f t="shared" si="12"/>
        <v>414.91362600241956</v>
      </c>
      <c r="O44" s="894">
        <f>'F5'!O44+'F5.1 (N)'!T20</f>
        <v>110</v>
      </c>
      <c r="P44" s="894">
        <f>'F5'!P44+'F5.1 (N)'!U20</f>
        <v>0</v>
      </c>
      <c r="Q44" s="894">
        <f>'F5'!Q44+'F5.1 (N)'!V20</f>
        <v>0</v>
      </c>
      <c r="R44" s="842">
        <f t="shared" si="13"/>
        <v>524.91362600241951</v>
      </c>
      <c r="S44" s="842">
        <f t="shared" si="14"/>
        <v>524.91362600241951</v>
      </c>
      <c r="T44" s="894">
        <f>'F5'!T44+'F5.1 (N)'!Y20</f>
        <v>0</v>
      </c>
      <c r="U44" s="894">
        <f>'F5'!U44+'F5.1 (N)'!Z20</f>
        <v>0</v>
      </c>
      <c r="V44" s="894">
        <f>'F5'!V44+'F5.1 (N)'!AA20</f>
        <v>0</v>
      </c>
      <c r="W44" s="842">
        <f t="shared" si="15"/>
        <v>524.91362600241951</v>
      </c>
    </row>
    <row r="45" spans="1:33" s="11" customFormat="1" x14ac:dyDescent="0.3">
      <c r="A45" s="420"/>
      <c r="B45" s="467">
        <f t="shared" si="16"/>
        <v>6</v>
      </c>
      <c r="C45" s="469" t="s">
        <v>256</v>
      </c>
      <c r="D45" s="842">
        <f t="shared" si="8"/>
        <v>4101.8599908235192</v>
      </c>
      <c r="E45" s="894">
        <f>'F5'!E45+'F5.1 (N)'!J21</f>
        <v>574.14615981735153</v>
      </c>
      <c r="F45" s="894">
        <f>'F5'!F45+'F5.1 (N)'!K21</f>
        <v>0</v>
      </c>
      <c r="G45" s="894">
        <f>'F5'!G45+'F5.1 (N)'!L21</f>
        <v>0</v>
      </c>
      <c r="H45" s="842">
        <f t="shared" si="9"/>
        <v>4676.0061506408711</v>
      </c>
      <c r="I45" s="842">
        <f t="shared" si="10"/>
        <v>4676.0061506408711</v>
      </c>
      <c r="J45" s="894">
        <f>'F5'!J45+'F5.1 (N)'!O21</f>
        <v>338.80680000000001</v>
      </c>
      <c r="K45" s="894">
        <f>'F5'!K45+'F5.1 (N)'!P21</f>
        <v>0</v>
      </c>
      <c r="L45" s="894">
        <f>'F5'!L45+'F5.1 (N)'!Q21</f>
        <v>0</v>
      </c>
      <c r="M45" s="842">
        <f t="shared" si="11"/>
        <v>5014.8129506408713</v>
      </c>
      <c r="N45" s="842">
        <f t="shared" si="12"/>
        <v>5014.8129506408713</v>
      </c>
      <c r="O45" s="894">
        <f>'F5'!O45+'F5.1 (N)'!T21</f>
        <v>362.08666666666664</v>
      </c>
      <c r="P45" s="894">
        <f>'F5'!P45+'F5.1 (N)'!U21</f>
        <v>0</v>
      </c>
      <c r="Q45" s="894">
        <f>'F5'!Q45+'F5.1 (N)'!V21</f>
        <v>0</v>
      </c>
      <c r="R45" s="842">
        <f t="shared" si="13"/>
        <v>5376.8996173075384</v>
      </c>
      <c r="S45" s="842">
        <f t="shared" si="14"/>
        <v>5376.8996173075384</v>
      </c>
      <c r="T45" s="894">
        <f>'F5'!T45+'F5.1 (N)'!Y21</f>
        <v>211.02</v>
      </c>
      <c r="U45" s="894">
        <f>'F5'!U45+'F5.1 (N)'!Z21</f>
        <v>0</v>
      </c>
      <c r="V45" s="894">
        <f>'F5'!V45+'F5.1 (N)'!AA21</f>
        <v>0</v>
      </c>
      <c r="W45" s="842">
        <f t="shared" si="15"/>
        <v>5587.9196173075388</v>
      </c>
    </row>
    <row r="46" spans="1:33" s="11" customFormat="1" x14ac:dyDescent="0.3">
      <c r="A46" s="420"/>
      <c r="B46" s="467">
        <f t="shared" si="16"/>
        <v>7</v>
      </c>
      <c r="C46" s="469" t="s">
        <v>847</v>
      </c>
      <c r="D46" s="842">
        <f t="shared" si="8"/>
        <v>4.9999999999999991</v>
      </c>
      <c r="E46" s="894">
        <f>'F5'!E46+'F5.1 (N)'!J22</f>
        <v>0</v>
      </c>
      <c r="F46" s="894">
        <f>'F5'!F46+'F5.1 (N)'!K22</f>
        <v>0</v>
      </c>
      <c r="G46" s="894">
        <f>'F5'!G46+'F5.1 (N)'!L22</f>
        <v>0</v>
      </c>
      <c r="H46" s="842">
        <f t="shared" si="9"/>
        <v>4.9999999999999991</v>
      </c>
      <c r="I46" s="842">
        <f t="shared" si="10"/>
        <v>4.9999999999999991</v>
      </c>
      <c r="J46" s="894">
        <f>'F5'!J46+'F5.1 (N)'!O22</f>
        <v>0</v>
      </c>
      <c r="K46" s="894">
        <f>'F5'!K46+'F5.1 (N)'!P22</f>
        <v>0</v>
      </c>
      <c r="L46" s="894">
        <f>'F5'!L46+'F5.1 (N)'!Q22</f>
        <v>0</v>
      </c>
      <c r="M46" s="842">
        <f t="shared" si="11"/>
        <v>4.9999999999999991</v>
      </c>
      <c r="N46" s="842">
        <f t="shared" si="12"/>
        <v>4.9999999999999991</v>
      </c>
      <c r="O46" s="894">
        <f>'F5'!O46+'F5.1 (N)'!T22</f>
        <v>0</v>
      </c>
      <c r="P46" s="894">
        <f>'F5'!P46+'F5.1 (N)'!U22</f>
        <v>0</v>
      </c>
      <c r="Q46" s="894">
        <f>'F5'!Q46+'F5.1 (N)'!V22</f>
        <v>0</v>
      </c>
      <c r="R46" s="842">
        <f t="shared" si="13"/>
        <v>4.9999999999999991</v>
      </c>
      <c r="S46" s="842">
        <f t="shared" si="14"/>
        <v>4.9999999999999991</v>
      </c>
      <c r="T46" s="894">
        <f>'F5'!T46+'F5.1 (N)'!Y22</f>
        <v>0</v>
      </c>
      <c r="U46" s="894">
        <f>'F5'!U46+'F5.1 (N)'!Z22</f>
        <v>0</v>
      </c>
      <c r="V46" s="894">
        <f>'F5'!V46+'F5.1 (N)'!AA22</f>
        <v>0</v>
      </c>
      <c r="W46" s="842">
        <f t="shared" si="15"/>
        <v>4.9999999999999991</v>
      </c>
    </row>
    <row r="47" spans="1:33" s="11" customFormat="1" x14ac:dyDescent="0.3">
      <c r="A47" s="420"/>
      <c r="B47" s="467">
        <f t="shared" si="16"/>
        <v>8</v>
      </c>
      <c r="C47" s="469" t="s">
        <v>848</v>
      </c>
      <c r="D47" s="842">
        <f t="shared" si="8"/>
        <v>0</v>
      </c>
      <c r="E47" s="894">
        <f>'F5'!E47+'F5.1 (N)'!J23</f>
        <v>0</v>
      </c>
      <c r="F47" s="894">
        <f>'F5'!F47+'F5.1 (N)'!K23</f>
        <v>0</v>
      </c>
      <c r="G47" s="894">
        <f>'F5'!G47+'F5.1 (N)'!L23</f>
        <v>0</v>
      </c>
      <c r="H47" s="842">
        <f t="shared" si="9"/>
        <v>0</v>
      </c>
      <c r="I47" s="842">
        <f t="shared" si="10"/>
        <v>0</v>
      </c>
      <c r="J47" s="894">
        <f>'F5'!J47+'F5.1 (N)'!O23</f>
        <v>0</v>
      </c>
      <c r="K47" s="894">
        <f>'F5'!K47+'F5.1 (N)'!P23</f>
        <v>0</v>
      </c>
      <c r="L47" s="894">
        <f>'F5'!L47+'F5.1 (N)'!Q23</f>
        <v>0</v>
      </c>
      <c r="M47" s="842">
        <f t="shared" si="11"/>
        <v>0</v>
      </c>
      <c r="N47" s="842">
        <f t="shared" si="12"/>
        <v>0</v>
      </c>
      <c r="O47" s="894">
        <f>'F5'!O47+'F5.1 (N)'!T23</f>
        <v>0</v>
      </c>
      <c r="P47" s="894">
        <f>'F5'!P47+'F5.1 (N)'!U23</f>
        <v>0</v>
      </c>
      <c r="Q47" s="894">
        <f>'F5'!Q47+'F5.1 (N)'!V23</f>
        <v>0</v>
      </c>
      <c r="R47" s="842">
        <f t="shared" si="13"/>
        <v>0</v>
      </c>
      <c r="S47" s="842">
        <f t="shared" si="14"/>
        <v>0</v>
      </c>
      <c r="T47" s="894">
        <f>'F5'!T47+'F5.1 (N)'!Y23</f>
        <v>0</v>
      </c>
      <c r="U47" s="894">
        <f>'F5'!U47+'F5.1 (N)'!Z23</f>
        <v>0</v>
      </c>
      <c r="V47" s="894">
        <f>'F5'!V47+'F5.1 (N)'!AA23</f>
        <v>0</v>
      </c>
      <c r="W47" s="842">
        <f t="shared" si="15"/>
        <v>0</v>
      </c>
    </row>
    <row r="48" spans="1:33" s="11" customFormat="1" x14ac:dyDescent="0.3">
      <c r="A48" s="420"/>
      <c r="B48" s="467">
        <f t="shared" si="16"/>
        <v>9</v>
      </c>
      <c r="C48" s="469" t="s">
        <v>849</v>
      </c>
      <c r="D48" s="842">
        <f t="shared" si="8"/>
        <v>121.02028205300546</v>
      </c>
      <c r="E48" s="894">
        <f>'F5'!E48+'F5.1 (N)'!J24</f>
        <v>0</v>
      </c>
      <c r="F48" s="894">
        <f>'F5'!F48+'F5.1 (N)'!K24</f>
        <v>0</v>
      </c>
      <c r="G48" s="894">
        <f>'F5'!G48+'F5.1 (N)'!L24</f>
        <v>0</v>
      </c>
      <c r="H48" s="842">
        <f t="shared" si="9"/>
        <v>121.02028205300546</v>
      </c>
      <c r="I48" s="842">
        <f t="shared" si="10"/>
        <v>121.02028205300546</v>
      </c>
      <c r="J48" s="894">
        <f>'F5'!J48+'F5.1 (N)'!O24</f>
        <v>0</v>
      </c>
      <c r="K48" s="894">
        <f>'F5'!K48+'F5.1 (N)'!P24</f>
        <v>0</v>
      </c>
      <c r="L48" s="894">
        <f>'F5'!L48+'F5.1 (N)'!Q24</f>
        <v>0</v>
      </c>
      <c r="M48" s="842">
        <f t="shared" si="11"/>
        <v>121.02028205300546</v>
      </c>
      <c r="N48" s="842">
        <f t="shared" si="12"/>
        <v>121.02028205300546</v>
      </c>
      <c r="O48" s="894">
        <f>'F5'!O48+'F5.1 (N)'!T24</f>
        <v>0</v>
      </c>
      <c r="P48" s="894">
        <f>'F5'!P48+'F5.1 (N)'!U24</f>
        <v>0</v>
      </c>
      <c r="Q48" s="894">
        <f>'F5'!Q48+'F5.1 (N)'!V24</f>
        <v>0</v>
      </c>
      <c r="R48" s="842">
        <f t="shared" si="13"/>
        <v>121.02028205300546</v>
      </c>
      <c r="S48" s="842">
        <f t="shared" si="14"/>
        <v>121.02028205300546</v>
      </c>
      <c r="T48" s="894">
        <f>'F5'!T48+'F5.1 (N)'!Y24</f>
        <v>0</v>
      </c>
      <c r="U48" s="894">
        <f>'F5'!U48+'F5.1 (N)'!Z24</f>
        <v>0</v>
      </c>
      <c r="V48" s="894">
        <f>'F5'!V48+'F5.1 (N)'!AA24</f>
        <v>0</v>
      </c>
      <c r="W48" s="842">
        <f t="shared" si="15"/>
        <v>121.02028205300546</v>
      </c>
    </row>
    <row r="49" spans="1:23" s="11" customFormat="1" x14ac:dyDescent="0.3">
      <c r="A49" s="420"/>
      <c r="B49" s="467">
        <f t="shared" si="16"/>
        <v>10</v>
      </c>
      <c r="C49" s="469" t="s">
        <v>259</v>
      </c>
      <c r="D49" s="842">
        <f t="shared" si="8"/>
        <v>23.606820506083317</v>
      </c>
      <c r="E49" s="894">
        <f>'F5'!E49+'F5.1 (N)'!J25</f>
        <v>0</v>
      </c>
      <c r="F49" s="894">
        <f>'F5'!F49+'F5.1 (N)'!K25</f>
        <v>0</v>
      </c>
      <c r="G49" s="894">
        <f>'F5'!G49+'F5.1 (N)'!L25</f>
        <v>0</v>
      </c>
      <c r="H49" s="842">
        <f t="shared" si="9"/>
        <v>23.606820506083317</v>
      </c>
      <c r="I49" s="842">
        <f t="shared" si="10"/>
        <v>23.606820506083317</v>
      </c>
      <c r="J49" s="894">
        <f>'F5'!J49+'F5.1 (N)'!O25</f>
        <v>0</v>
      </c>
      <c r="K49" s="894">
        <f>'F5'!K49+'F5.1 (N)'!P25</f>
        <v>0</v>
      </c>
      <c r="L49" s="894">
        <f>'F5'!L49+'F5.1 (N)'!Q25</f>
        <v>0</v>
      </c>
      <c r="M49" s="842">
        <f t="shared" si="11"/>
        <v>23.606820506083317</v>
      </c>
      <c r="N49" s="842">
        <f t="shared" si="12"/>
        <v>23.606820506083317</v>
      </c>
      <c r="O49" s="894">
        <f>'F5'!O49+'F5.1 (N)'!T25</f>
        <v>0</v>
      </c>
      <c r="P49" s="894">
        <f>'F5'!P49+'F5.1 (N)'!U25</f>
        <v>0</v>
      </c>
      <c r="Q49" s="894">
        <f>'F5'!Q49+'F5.1 (N)'!V25</f>
        <v>0</v>
      </c>
      <c r="R49" s="842">
        <f t="shared" si="13"/>
        <v>23.606820506083317</v>
      </c>
      <c r="S49" s="842">
        <f t="shared" si="14"/>
        <v>23.606820506083317</v>
      </c>
      <c r="T49" s="894">
        <f>'F5'!T49+'F5.1 (N)'!Y25</f>
        <v>0</v>
      </c>
      <c r="U49" s="894">
        <f>'F5'!U49+'F5.1 (N)'!Z25</f>
        <v>0</v>
      </c>
      <c r="V49" s="894">
        <f>'F5'!V49+'F5.1 (N)'!AA25</f>
        <v>0</v>
      </c>
      <c r="W49" s="842">
        <f t="shared" si="15"/>
        <v>23.606820506083317</v>
      </c>
    </row>
    <row r="50" spans="1:23" s="11" customFormat="1" x14ac:dyDescent="0.3">
      <c r="A50" s="420"/>
      <c r="B50" s="467">
        <f t="shared" si="16"/>
        <v>11</v>
      </c>
      <c r="C50" s="469" t="s">
        <v>260</v>
      </c>
      <c r="D50" s="842">
        <f t="shared" si="8"/>
        <v>3.7313263618230788</v>
      </c>
      <c r="E50" s="894">
        <f>'F5'!E50+'F5.1 (N)'!J26</f>
        <v>0</v>
      </c>
      <c r="F50" s="894">
        <f>'F5'!F50+'F5.1 (N)'!K26</f>
        <v>0</v>
      </c>
      <c r="G50" s="894">
        <f>'F5'!G50+'F5.1 (N)'!L26</f>
        <v>0</v>
      </c>
      <c r="H50" s="842">
        <f t="shared" si="9"/>
        <v>3.7313263618230788</v>
      </c>
      <c r="I50" s="842">
        <f t="shared" si="10"/>
        <v>3.7313263618230788</v>
      </c>
      <c r="J50" s="894">
        <f>'F5'!J50+'F5.1 (N)'!O26</f>
        <v>0</v>
      </c>
      <c r="K50" s="894">
        <f>'F5'!K50+'F5.1 (N)'!P26</f>
        <v>0</v>
      </c>
      <c r="L50" s="894">
        <f>'F5'!L50+'F5.1 (N)'!Q26</f>
        <v>0</v>
      </c>
      <c r="M50" s="842">
        <f t="shared" si="11"/>
        <v>3.7313263618230788</v>
      </c>
      <c r="N50" s="842">
        <f t="shared" si="12"/>
        <v>3.7313263618230788</v>
      </c>
      <c r="O50" s="894">
        <f>'F5'!O50+'F5.1 (N)'!T26</f>
        <v>0</v>
      </c>
      <c r="P50" s="894">
        <f>'F5'!P50+'F5.1 (N)'!U26</f>
        <v>0</v>
      </c>
      <c r="Q50" s="894">
        <f>'F5'!Q50+'F5.1 (N)'!V26</f>
        <v>0</v>
      </c>
      <c r="R50" s="842">
        <f t="shared" si="13"/>
        <v>3.7313263618230788</v>
      </c>
      <c r="S50" s="842">
        <f t="shared" si="14"/>
        <v>3.7313263618230788</v>
      </c>
      <c r="T50" s="894">
        <f>'F5'!T50+'F5.1 (N)'!Y26</f>
        <v>0</v>
      </c>
      <c r="U50" s="894">
        <f>'F5'!U50+'F5.1 (N)'!Z26</f>
        <v>0</v>
      </c>
      <c r="V50" s="894">
        <f>'F5'!V50+'F5.1 (N)'!AA26</f>
        <v>0</v>
      </c>
      <c r="W50" s="842">
        <f t="shared" si="15"/>
        <v>3.7313263618230788</v>
      </c>
    </row>
    <row r="51" spans="1:23" s="2" customFormat="1" x14ac:dyDescent="0.3">
      <c r="A51" s="420"/>
      <c r="B51" s="467">
        <f t="shared" si="16"/>
        <v>12</v>
      </c>
      <c r="C51" s="469" t="s">
        <v>261</v>
      </c>
      <c r="D51" s="842">
        <f t="shared" si="8"/>
        <v>8.0492663404751141</v>
      </c>
      <c r="E51" s="894">
        <f>'F5'!E51+'F5.1 (N)'!J27</f>
        <v>0</v>
      </c>
      <c r="F51" s="894">
        <f>'F5'!F51+'F5.1 (N)'!K27</f>
        <v>0</v>
      </c>
      <c r="G51" s="894">
        <f>'F5'!G51+'F5.1 (N)'!L27</f>
        <v>0</v>
      </c>
      <c r="H51" s="842">
        <f t="shared" si="9"/>
        <v>8.0492663404751141</v>
      </c>
      <c r="I51" s="842">
        <f t="shared" si="10"/>
        <v>8.0492663404751141</v>
      </c>
      <c r="J51" s="894">
        <f>'F5'!J51+'F5.1 (N)'!O27</f>
        <v>0</v>
      </c>
      <c r="K51" s="894">
        <f>'F5'!K51+'F5.1 (N)'!P27</f>
        <v>0</v>
      </c>
      <c r="L51" s="894">
        <f>'F5'!L51+'F5.1 (N)'!Q27</f>
        <v>0</v>
      </c>
      <c r="M51" s="842">
        <f t="shared" si="11"/>
        <v>8.0492663404751141</v>
      </c>
      <c r="N51" s="842">
        <f t="shared" si="12"/>
        <v>8.0492663404751141</v>
      </c>
      <c r="O51" s="894">
        <f>'F5'!O51+'F5.1 (N)'!T27</f>
        <v>0</v>
      </c>
      <c r="P51" s="894">
        <f>'F5'!P51+'F5.1 (N)'!U27</f>
        <v>0</v>
      </c>
      <c r="Q51" s="894">
        <f>'F5'!Q51+'F5.1 (N)'!V27</f>
        <v>0</v>
      </c>
      <c r="R51" s="842">
        <f t="shared" si="13"/>
        <v>8.0492663404751141</v>
      </c>
      <c r="S51" s="842">
        <f t="shared" si="14"/>
        <v>8.0492663404751141</v>
      </c>
      <c r="T51" s="894">
        <f>'F5'!T51+'F5.1 (N)'!Y27</f>
        <v>0</v>
      </c>
      <c r="U51" s="894">
        <f>'F5'!U51+'F5.1 (N)'!Z27</f>
        <v>0</v>
      </c>
      <c r="V51" s="894">
        <f>'F5'!V51+'F5.1 (N)'!AA27</f>
        <v>0</v>
      </c>
      <c r="W51" s="842">
        <f t="shared" si="15"/>
        <v>8.0492663404751141</v>
      </c>
    </row>
    <row r="52" spans="1:23" s="2" customFormat="1" x14ac:dyDescent="0.3">
      <c r="A52" s="420"/>
      <c r="B52" s="467">
        <f t="shared" si="16"/>
        <v>13</v>
      </c>
      <c r="C52" s="469" t="s">
        <v>897</v>
      </c>
      <c r="D52" s="842">
        <f t="shared" si="8"/>
        <v>0</v>
      </c>
      <c r="E52" s="894">
        <f>'F5'!E52+'F5.1 (N)'!J28</f>
        <v>0</v>
      </c>
      <c r="F52" s="894">
        <f>'F5'!F52+'F5.1 (N)'!K28</f>
        <v>0</v>
      </c>
      <c r="G52" s="894">
        <f>'F5'!G52+'F5.1 (N)'!L28</f>
        <v>0</v>
      </c>
      <c r="H52" s="842">
        <f t="shared" si="9"/>
        <v>0</v>
      </c>
      <c r="I52" s="842">
        <f t="shared" si="10"/>
        <v>0</v>
      </c>
      <c r="J52" s="894">
        <f>'F5'!J52+'F5.1 (N)'!O28</f>
        <v>0</v>
      </c>
      <c r="K52" s="894">
        <f>'F5'!K52+'F5.1 (N)'!P28</f>
        <v>0</v>
      </c>
      <c r="L52" s="894">
        <f>'F5'!L52+'F5.1 (N)'!Q28</f>
        <v>0</v>
      </c>
      <c r="M52" s="842">
        <f t="shared" si="11"/>
        <v>0</v>
      </c>
      <c r="N52" s="842">
        <f t="shared" si="12"/>
        <v>0</v>
      </c>
      <c r="O52" s="894">
        <f>'F5'!O52+'F5.1 (N)'!T28</f>
        <v>0</v>
      </c>
      <c r="P52" s="894">
        <f>'F5'!P52+'F5.1 (N)'!U28</f>
        <v>0</v>
      </c>
      <c r="Q52" s="894">
        <f>'F5'!Q52+'F5.1 (N)'!V28</f>
        <v>0</v>
      </c>
      <c r="R52" s="842">
        <f t="shared" si="13"/>
        <v>0</v>
      </c>
      <c r="S52" s="842">
        <f t="shared" si="14"/>
        <v>0</v>
      </c>
      <c r="T52" s="894">
        <f>'F5'!T52+'F5.1 (N)'!Y28</f>
        <v>0</v>
      </c>
      <c r="U52" s="894">
        <f>'F5'!U52+'F5.1 (N)'!Z28</f>
        <v>0</v>
      </c>
      <c r="V52" s="894">
        <f>'F5'!V52+'F5.1 (N)'!AA28</f>
        <v>0</v>
      </c>
      <c r="W52" s="842">
        <f t="shared" si="15"/>
        <v>0</v>
      </c>
    </row>
    <row r="53" spans="1:23" s="2" customFormat="1" x14ac:dyDescent="0.3">
      <c r="A53" s="420"/>
      <c r="B53" s="467">
        <f t="shared" si="16"/>
        <v>14</v>
      </c>
      <c r="C53" s="469" t="s">
        <v>898</v>
      </c>
      <c r="D53" s="842">
        <f t="shared" si="8"/>
        <v>0</v>
      </c>
      <c r="E53" s="894">
        <f>'F5'!E53+'F5.1 (N)'!J29</f>
        <v>0</v>
      </c>
      <c r="F53" s="894">
        <f>'F5'!F53+'F5.1 (N)'!K29</f>
        <v>0</v>
      </c>
      <c r="G53" s="894">
        <f>'F5'!G53+'F5.1 (N)'!L29</f>
        <v>0</v>
      </c>
      <c r="H53" s="842">
        <f t="shared" si="9"/>
        <v>0</v>
      </c>
      <c r="I53" s="842">
        <f t="shared" si="10"/>
        <v>0</v>
      </c>
      <c r="J53" s="894">
        <f>'F5'!J53+'F5.1 (N)'!O29</f>
        <v>0</v>
      </c>
      <c r="K53" s="894">
        <f>'F5'!K53+'F5.1 (N)'!P29</f>
        <v>0</v>
      </c>
      <c r="L53" s="894">
        <f>'F5'!L53+'F5.1 (N)'!Q29</f>
        <v>0</v>
      </c>
      <c r="M53" s="842">
        <f t="shared" si="11"/>
        <v>0</v>
      </c>
      <c r="N53" s="842">
        <f t="shared" si="12"/>
        <v>0</v>
      </c>
      <c r="O53" s="894">
        <f>'F5'!O53+'F5.1 (N)'!T29</f>
        <v>0</v>
      </c>
      <c r="P53" s="894">
        <f>'F5'!P53+'F5.1 (N)'!U29</f>
        <v>0</v>
      </c>
      <c r="Q53" s="894">
        <f>'F5'!Q53+'F5.1 (N)'!V29</f>
        <v>0</v>
      </c>
      <c r="R53" s="842">
        <f t="shared" si="13"/>
        <v>0</v>
      </c>
      <c r="S53" s="842">
        <f t="shared" si="14"/>
        <v>0</v>
      </c>
      <c r="T53" s="894">
        <f>'F5'!T53+'F5.1 (N)'!Y29</f>
        <v>0</v>
      </c>
      <c r="U53" s="894">
        <f>'F5'!U53+'F5.1 (N)'!Z29</f>
        <v>0</v>
      </c>
      <c r="V53" s="894">
        <f>'F5'!V53+'F5.1 (N)'!AA29</f>
        <v>0</v>
      </c>
      <c r="W53" s="842">
        <f t="shared" si="15"/>
        <v>0</v>
      </c>
    </row>
    <row r="54" spans="1:23" s="2" customFormat="1" x14ac:dyDescent="0.3">
      <c r="A54" s="420"/>
      <c r="B54" s="467">
        <f t="shared" si="16"/>
        <v>15</v>
      </c>
      <c r="C54" s="469" t="s">
        <v>899</v>
      </c>
      <c r="D54" s="842">
        <f t="shared" si="8"/>
        <v>66.666666666666657</v>
      </c>
      <c r="E54" s="894">
        <f>'F5'!E54+'F5.1 (N)'!J30</f>
        <v>0</v>
      </c>
      <c r="F54" s="894">
        <f>'F5'!F54+'F5.1 (N)'!K30</f>
        <v>0</v>
      </c>
      <c r="G54" s="894">
        <f>'F5'!G54+'F5.1 (N)'!L30</f>
        <v>0</v>
      </c>
      <c r="H54" s="842">
        <f t="shared" si="9"/>
        <v>66.666666666666657</v>
      </c>
      <c r="I54" s="842">
        <f t="shared" si="10"/>
        <v>66.666666666666657</v>
      </c>
      <c r="J54" s="894">
        <f>'F5'!J54+'F5.1 (N)'!O30</f>
        <v>0</v>
      </c>
      <c r="K54" s="894">
        <f>'F5'!K54+'F5.1 (N)'!P30</f>
        <v>0</v>
      </c>
      <c r="L54" s="894">
        <f>'F5'!L54+'F5.1 (N)'!Q30</f>
        <v>0</v>
      </c>
      <c r="M54" s="842">
        <f t="shared" si="11"/>
        <v>66.666666666666657</v>
      </c>
      <c r="N54" s="842">
        <f t="shared" si="12"/>
        <v>66.666666666666657</v>
      </c>
      <c r="O54" s="894">
        <f>'F5'!O54+'F5.1 (N)'!T30</f>
        <v>0</v>
      </c>
      <c r="P54" s="894">
        <f>'F5'!P54+'F5.1 (N)'!U30</f>
        <v>0</v>
      </c>
      <c r="Q54" s="894">
        <f>'F5'!Q54+'F5.1 (N)'!V30</f>
        <v>0</v>
      </c>
      <c r="R54" s="842">
        <f t="shared" si="13"/>
        <v>66.666666666666657</v>
      </c>
      <c r="S54" s="842">
        <f t="shared" si="14"/>
        <v>66.666666666666657</v>
      </c>
      <c r="T54" s="894">
        <f>'F5'!T54+'F5.1 (N)'!Y30</f>
        <v>0</v>
      </c>
      <c r="U54" s="894">
        <f>'F5'!U54+'F5.1 (N)'!Z30</f>
        <v>0</v>
      </c>
      <c r="V54" s="894">
        <f>'F5'!V54+'F5.1 (N)'!AA30</f>
        <v>0</v>
      </c>
      <c r="W54" s="842">
        <f t="shared" si="15"/>
        <v>66.666666666666657</v>
      </c>
    </row>
    <row r="55" spans="1:23" s="2" customFormat="1" x14ac:dyDescent="0.3">
      <c r="A55" s="420"/>
      <c r="B55" s="467">
        <f t="shared" si="16"/>
        <v>16</v>
      </c>
      <c r="C55" s="469" t="s">
        <v>850</v>
      </c>
      <c r="D55" s="842">
        <f t="shared" si="8"/>
        <v>0</v>
      </c>
      <c r="E55" s="894">
        <f>'F5'!E55+'F5.1 (N)'!J31</f>
        <v>0</v>
      </c>
      <c r="F55" s="894">
        <f>'F5'!F55+'F5.1 (N)'!K31</f>
        <v>0</v>
      </c>
      <c r="G55" s="894">
        <f>'F5'!G55+'F5.1 (N)'!L31</f>
        <v>0</v>
      </c>
      <c r="H55" s="842">
        <f t="shared" si="9"/>
        <v>0</v>
      </c>
      <c r="I55" s="842">
        <f t="shared" si="10"/>
        <v>0</v>
      </c>
      <c r="J55" s="894">
        <f>'F5'!J55+'F5.1 (N)'!O31</f>
        <v>0</v>
      </c>
      <c r="K55" s="894">
        <f>'F5'!K55+'F5.1 (N)'!P31</f>
        <v>0</v>
      </c>
      <c r="L55" s="894">
        <f>'F5'!L55+'F5.1 (N)'!Q31</f>
        <v>0</v>
      </c>
      <c r="M55" s="842">
        <f t="shared" si="11"/>
        <v>0</v>
      </c>
      <c r="N55" s="842">
        <f t="shared" si="12"/>
        <v>0</v>
      </c>
      <c r="O55" s="894">
        <f>'F5'!O55+'F5.1 (N)'!T31</f>
        <v>0</v>
      </c>
      <c r="P55" s="894">
        <f>'F5'!P55+'F5.1 (N)'!U31</f>
        <v>0</v>
      </c>
      <c r="Q55" s="894">
        <f>'F5'!Q55+'F5.1 (N)'!V31</f>
        <v>0</v>
      </c>
      <c r="R55" s="842">
        <f t="shared" si="13"/>
        <v>0</v>
      </c>
      <c r="S55" s="842">
        <f t="shared" si="14"/>
        <v>0</v>
      </c>
      <c r="T55" s="894">
        <f>'F5'!T55+'F5.1 (N)'!Y31</f>
        <v>0</v>
      </c>
      <c r="U55" s="894">
        <f>'F5'!U55+'F5.1 (N)'!Z31</f>
        <v>0</v>
      </c>
      <c r="V55" s="894">
        <f>'F5'!V55+'F5.1 (N)'!AA31</f>
        <v>0</v>
      </c>
      <c r="W55" s="842">
        <f t="shared" si="15"/>
        <v>0</v>
      </c>
    </row>
    <row r="56" spans="1:23" s="2" customFormat="1" x14ac:dyDescent="0.3">
      <c r="A56" s="420"/>
      <c r="B56" s="467">
        <f t="shared" si="16"/>
        <v>17</v>
      </c>
      <c r="C56" s="469" t="s">
        <v>900</v>
      </c>
      <c r="D56" s="842">
        <f t="shared" si="8"/>
        <v>0</v>
      </c>
      <c r="E56" s="894">
        <f>'F5'!E56+'F5.1 (N)'!J32</f>
        <v>0</v>
      </c>
      <c r="F56" s="894">
        <f>'F5'!F56+'F5.1 (N)'!K32</f>
        <v>0</v>
      </c>
      <c r="G56" s="894">
        <f>'F5'!G56+'F5.1 (N)'!L32</f>
        <v>0</v>
      </c>
      <c r="H56" s="842">
        <f t="shared" si="9"/>
        <v>0</v>
      </c>
      <c r="I56" s="842">
        <f t="shared" si="10"/>
        <v>0</v>
      </c>
      <c r="J56" s="894">
        <f>'F5'!J56+'F5.1 (N)'!O32</f>
        <v>0</v>
      </c>
      <c r="K56" s="894">
        <f>'F5'!K56+'F5.1 (N)'!P32</f>
        <v>0</v>
      </c>
      <c r="L56" s="894">
        <f>'F5'!L56+'F5.1 (N)'!Q32</f>
        <v>0</v>
      </c>
      <c r="M56" s="842">
        <f t="shared" si="11"/>
        <v>0</v>
      </c>
      <c r="N56" s="842">
        <f t="shared" si="12"/>
        <v>0</v>
      </c>
      <c r="O56" s="894">
        <f>'F5'!O56+'F5.1 (N)'!T32</f>
        <v>0</v>
      </c>
      <c r="P56" s="894">
        <f>'F5'!P56+'F5.1 (N)'!U32</f>
        <v>0</v>
      </c>
      <c r="Q56" s="894">
        <f>'F5'!Q56+'F5.1 (N)'!V32</f>
        <v>0</v>
      </c>
      <c r="R56" s="842">
        <f t="shared" si="13"/>
        <v>0</v>
      </c>
      <c r="S56" s="842">
        <f t="shared" si="14"/>
        <v>0</v>
      </c>
      <c r="T56" s="894">
        <f>'F5'!T56+'F5.1 (N)'!Y32</f>
        <v>0</v>
      </c>
      <c r="U56" s="894">
        <f>'F5'!U56+'F5.1 (N)'!Z32</f>
        <v>0</v>
      </c>
      <c r="V56" s="894">
        <f>'F5'!V56+'F5.1 (N)'!AA32</f>
        <v>0</v>
      </c>
      <c r="W56" s="842">
        <f t="shared" si="15"/>
        <v>0</v>
      </c>
    </row>
    <row r="57" spans="1:23" s="1" customFormat="1" ht="16" x14ac:dyDescent="0.3">
      <c r="B57" s="83"/>
      <c r="C57" s="97" t="s">
        <v>271</v>
      </c>
      <c r="D57" s="886">
        <f>SUM(D40:D56)</f>
        <v>5609.9231444005036</v>
      </c>
      <c r="E57" s="886">
        <f>SUM(E40:E56)</f>
        <v>658.44449315068482</v>
      </c>
      <c r="F57" s="886">
        <f>SUM(F40:F56)</f>
        <v>0</v>
      </c>
      <c r="G57" s="886">
        <f>SUM(G40:G56)</f>
        <v>0</v>
      </c>
      <c r="H57" s="886">
        <f>SUM(H40:H56)</f>
        <v>6268.3676375511886</v>
      </c>
      <c r="I57" s="886">
        <f t="shared" ref="I57:W57" si="17">SUM(I40:I56)</f>
        <v>6268.3676375511886</v>
      </c>
      <c r="J57" s="886">
        <f t="shared" si="17"/>
        <v>394.90680000000003</v>
      </c>
      <c r="K57" s="886">
        <f t="shared" si="17"/>
        <v>0</v>
      </c>
      <c r="L57" s="886">
        <f t="shared" si="17"/>
        <v>0</v>
      </c>
      <c r="M57" s="886">
        <f t="shared" si="17"/>
        <v>6663.2744375511884</v>
      </c>
      <c r="N57" s="886">
        <f t="shared" si="17"/>
        <v>6663.2744375511884</v>
      </c>
      <c r="O57" s="886">
        <f t="shared" si="17"/>
        <v>586.10662666666667</v>
      </c>
      <c r="P57" s="886">
        <f t="shared" si="17"/>
        <v>0</v>
      </c>
      <c r="Q57" s="886">
        <f t="shared" si="17"/>
        <v>0</v>
      </c>
      <c r="R57" s="886">
        <f t="shared" si="17"/>
        <v>7249.381064217856</v>
      </c>
      <c r="S57" s="886">
        <f t="shared" si="17"/>
        <v>7249.381064217856</v>
      </c>
      <c r="T57" s="886">
        <f t="shared" si="17"/>
        <v>211.02</v>
      </c>
      <c r="U57" s="886">
        <f t="shared" si="17"/>
        <v>0</v>
      </c>
      <c r="V57" s="886">
        <f t="shared" si="17"/>
        <v>0</v>
      </c>
      <c r="W57" s="886">
        <f t="shared" si="17"/>
        <v>7460.4010642178564</v>
      </c>
    </row>
    <row r="58" spans="1:23" s="1" customFormat="1" ht="16" x14ac:dyDescent="0.3">
      <c r="B58" s="262"/>
      <c r="C58" s="262"/>
      <c r="D58" s="262"/>
      <c r="E58" s="262"/>
      <c r="F58" s="262"/>
      <c r="G58" s="262"/>
      <c r="H58" s="262"/>
      <c r="I58" s="262"/>
      <c r="J58" s="262"/>
      <c r="K58" s="262"/>
      <c r="L58" s="262"/>
      <c r="M58" s="262"/>
      <c r="N58" s="262"/>
      <c r="O58" s="262"/>
    </row>
    <row r="59" spans="1:23" ht="16" x14ac:dyDescent="0.3">
      <c r="B59" s="262"/>
      <c r="C59" s="262"/>
      <c r="D59" s="262"/>
      <c r="E59" s="262"/>
      <c r="F59" s="262"/>
      <c r="G59" s="262"/>
      <c r="H59" s="262"/>
      <c r="I59" s="262"/>
      <c r="J59" s="262"/>
      <c r="K59" s="262"/>
      <c r="L59" s="262"/>
      <c r="M59" s="262"/>
      <c r="N59" s="262"/>
      <c r="O59" s="262"/>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1107" t="s">
        <v>272</v>
      </c>
      <c r="C61" s="1"/>
      <c r="D61" s="1"/>
      <c r="E61" s="1"/>
      <c r="F61" s="1"/>
      <c r="G61" s="1"/>
      <c r="H61" s="1"/>
      <c r="I61" s="1"/>
      <c r="J61" s="1"/>
      <c r="K61" s="1"/>
      <c r="L61" s="1"/>
      <c r="M61" s="1"/>
      <c r="N61" s="1"/>
      <c r="O61" s="1"/>
      <c r="P61" s="1"/>
      <c r="Q61" s="1"/>
      <c r="R61" s="1"/>
    </row>
    <row r="62" spans="1:23" x14ac:dyDescent="0.3">
      <c r="B62" s="1107"/>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59" t="s">
        <v>10</v>
      </c>
      <c r="N63" s="44"/>
      <c r="O63" s="1"/>
      <c r="P63" s="1"/>
      <c r="Q63" s="1"/>
    </row>
    <row r="64" spans="1:23" ht="15" customHeight="1" x14ac:dyDescent="0.3">
      <c r="B64" s="1699" t="s">
        <v>340</v>
      </c>
      <c r="C64" s="1699" t="s">
        <v>37</v>
      </c>
      <c r="D64" s="1847" t="s">
        <v>506</v>
      </c>
      <c r="E64" s="1848"/>
      <c r="F64" s="1848"/>
      <c r="G64" s="1848"/>
      <c r="H64" s="1849"/>
      <c r="I64" s="1841" t="s">
        <v>507</v>
      </c>
      <c r="J64" s="1841"/>
      <c r="K64" s="1841"/>
      <c r="L64" s="1841"/>
      <c r="M64" s="1841"/>
      <c r="N64" s="1838" t="s">
        <v>508</v>
      </c>
      <c r="O64" s="1838"/>
      <c r="P64" s="1838"/>
      <c r="Q64" s="1838"/>
      <c r="R64" s="1838"/>
      <c r="S64" s="1838" t="s">
        <v>969</v>
      </c>
      <c r="T64" s="1838"/>
      <c r="U64" s="1838"/>
      <c r="V64" s="1838"/>
      <c r="W64" s="1838"/>
    </row>
    <row r="65" spans="1:25" x14ac:dyDescent="0.3">
      <c r="B65" s="1699"/>
      <c r="C65" s="1699"/>
      <c r="D65" s="1839" t="s">
        <v>7</v>
      </c>
      <c r="E65" s="1840"/>
      <c r="F65" s="1840"/>
      <c r="G65" s="1840"/>
      <c r="H65" s="1840"/>
      <c r="I65" s="1839" t="s">
        <v>7</v>
      </c>
      <c r="J65" s="1840"/>
      <c r="K65" s="1840"/>
      <c r="L65" s="1840"/>
      <c r="M65" s="1840"/>
      <c r="N65" s="1839" t="s">
        <v>12</v>
      </c>
      <c r="O65" s="1840"/>
      <c r="P65" s="1840"/>
      <c r="Q65" s="1840"/>
      <c r="R65" s="1840"/>
      <c r="S65" s="1841" t="s">
        <v>21</v>
      </c>
      <c r="T65" s="1842"/>
      <c r="U65" s="1842"/>
      <c r="V65" s="1842"/>
      <c r="W65" s="1842"/>
    </row>
    <row r="66" spans="1:25" ht="56" x14ac:dyDescent="0.3">
      <c r="A66" s="5" t="s">
        <v>808</v>
      </c>
      <c r="B66" s="1699"/>
      <c r="C66" s="1699"/>
      <c r="D66" s="1108" t="s">
        <v>273</v>
      </c>
      <c r="E66" s="1108" t="s">
        <v>268</v>
      </c>
      <c r="F66" s="263" t="s">
        <v>274</v>
      </c>
      <c r="G66" s="1106" t="s">
        <v>587</v>
      </c>
      <c r="H66" s="1108" t="s">
        <v>275</v>
      </c>
      <c r="I66" s="1108" t="s">
        <v>273</v>
      </c>
      <c r="J66" s="1108" t="s">
        <v>268</v>
      </c>
      <c r="K66" s="263" t="s">
        <v>274</v>
      </c>
      <c r="L66" s="1106" t="s">
        <v>587</v>
      </c>
      <c r="M66" s="1108" t="s">
        <v>275</v>
      </c>
      <c r="N66" s="1108" t="s">
        <v>273</v>
      </c>
      <c r="O66" s="1108" t="s">
        <v>268</v>
      </c>
      <c r="P66" s="263" t="s">
        <v>274</v>
      </c>
      <c r="Q66" s="1106" t="s">
        <v>587</v>
      </c>
      <c r="R66" s="1108" t="s">
        <v>275</v>
      </c>
      <c r="S66" s="1108" t="s">
        <v>273</v>
      </c>
      <c r="T66" s="1108" t="s">
        <v>268</v>
      </c>
      <c r="U66" s="263" t="s">
        <v>274</v>
      </c>
      <c r="V66" s="1106" t="s">
        <v>587</v>
      </c>
      <c r="W66" s="1108" t="s">
        <v>275</v>
      </c>
    </row>
    <row r="67" spans="1:25" ht="28" x14ac:dyDescent="0.3">
      <c r="B67" s="260"/>
      <c r="C67" s="260"/>
      <c r="D67" s="260" t="s">
        <v>81</v>
      </c>
      <c r="E67" s="260" t="s">
        <v>82</v>
      </c>
      <c r="F67" s="260" t="s">
        <v>459</v>
      </c>
      <c r="G67" s="260" t="s">
        <v>391</v>
      </c>
      <c r="H67" s="260" t="s">
        <v>588</v>
      </c>
      <c r="I67" s="260" t="s">
        <v>409</v>
      </c>
      <c r="J67" s="260" t="s">
        <v>509</v>
      </c>
      <c r="K67" s="260" t="s">
        <v>410</v>
      </c>
      <c r="L67" s="260" t="s">
        <v>411</v>
      </c>
      <c r="M67" s="260" t="s">
        <v>651</v>
      </c>
      <c r="N67" s="260" t="s">
        <v>589</v>
      </c>
      <c r="O67" s="260" t="s">
        <v>652</v>
      </c>
      <c r="P67" s="260" t="s">
        <v>590</v>
      </c>
      <c r="Q67" s="260" t="s">
        <v>591</v>
      </c>
      <c r="R67" s="260" t="s">
        <v>1095</v>
      </c>
      <c r="S67" s="260" t="s">
        <v>592</v>
      </c>
      <c r="T67" s="260" t="s">
        <v>593</v>
      </c>
      <c r="U67" s="260" t="s">
        <v>1094</v>
      </c>
      <c r="V67" s="260" t="s">
        <v>1093</v>
      </c>
      <c r="W67" s="260" t="s">
        <v>1092</v>
      </c>
    </row>
    <row r="68" spans="1:25" x14ac:dyDescent="0.3">
      <c r="A68" s="686">
        <v>0</v>
      </c>
      <c r="B68" s="95">
        <v>1</v>
      </c>
      <c r="C68" s="448" t="s">
        <v>842</v>
      </c>
      <c r="D68" s="687">
        <f>'F5'!D68</f>
        <v>0</v>
      </c>
      <c r="E68" s="687">
        <f>'F5'!E68</f>
        <v>0</v>
      </c>
      <c r="F68" s="687">
        <f>'F5'!F68</f>
        <v>0</v>
      </c>
      <c r="G68" s="687">
        <f>'F5'!G68</f>
        <v>0</v>
      </c>
      <c r="H68" s="687">
        <f t="shared" ref="H68:H84" si="18">D68+E68-F68-G68</f>
        <v>0</v>
      </c>
      <c r="I68" s="892">
        <f>H68</f>
        <v>0</v>
      </c>
      <c r="J68" s="687">
        <f>'F5'!J68</f>
        <v>0</v>
      </c>
      <c r="K68" s="687">
        <f>'F5'!K68</f>
        <v>0</v>
      </c>
      <c r="L68" s="687">
        <f>'F5'!L68</f>
        <v>0</v>
      </c>
      <c r="M68" s="892">
        <f t="shared" ref="M68:M84" si="19">I68+J68-K68-L68</f>
        <v>0</v>
      </c>
      <c r="N68" s="687">
        <f>M68</f>
        <v>0</v>
      </c>
      <c r="O68" s="687">
        <f>'F5'!O68</f>
        <v>0</v>
      </c>
      <c r="P68" s="687">
        <f>'F5'!P68</f>
        <v>0</v>
      </c>
      <c r="Q68" s="687">
        <f>'F5'!Q68</f>
        <v>0</v>
      </c>
      <c r="R68" s="687">
        <f t="shared" ref="R68:R84" si="20">N68+O68-P68-Q68</f>
        <v>0</v>
      </c>
      <c r="S68" s="892">
        <f>R68</f>
        <v>0</v>
      </c>
      <c r="T68" s="892">
        <f>'F5'!T68+'F5.1 (N)'!E44</f>
        <v>0</v>
      </c>
      <c r="U68" s="892">
        <f>'F5'!U68+'F5.1 (N)'!F44</f>
        <v>0</v>
      </c>
      <c r="V68" s="892">
        <f>'F5'!V68+'F5.1 (N)'!G44</f>
        <v>0</v>
      </c>
      <c r="W68" s="892">
        <f t="shared" ref="W68:W84" si="21">S68+T68-U68-V68</f>
        <v>0</v>
      </c>
      <c r="Y68" s="686">
        <v>0</v>
      </c>
    </row>
    <row r="69" spans="1:25" x14ac:dyDescent="0.3">
      <c r="A69" s="686">
        <v>3.3399999999999999E-2</v>
      </c>
      <c r="B69" s="95">
        <f>B68+1</f>
        <v>2</v>
      </c>
      <c r="C69" s="448" t="s">
        <v>843</v>
      </c>
      <c r="D69" s="687">
        <f>'F5'!D69</f>
        <v>330.4917951214216</v>
      </c>
      <c r="E69" s="687">
        <f>'F5'!E69</f>
        <v>8.8009782379594395</v>
      </c>
      <c r="F69" s="687">
        <f>'F5'!F69</f>
        <v>0</v>
      </c>
      <c r="G69" s="687">
        <f>'F5'!G69</f>
        <v>0</v>
      </c>
      <c r="H69" s="1109">
        <f t="shared" si="18"/>
        <v>339.29277335938104</v>
      </c>
      <c r="I69" s="892">
        <f t="shared" ref="I69:I84" si="22">H69</f>
        <v>339.29277335938104</v>
      </c>
      <c r="J69" s="687">
        <f>'F5'!J69</f>
        <v>10.434750411052592</v>
      </c>
      <c r="K69" s="687">
        <f>'F5'!K69</f>
        <v>0</v>
      </c>
      <c r="L69" s="687">
        <f>'F5'!L69</f>
        <v>0</v>
      </c>
      <c r="M69" s="892">
        <f t="shared" si="19"/>
        <v>349.72752377043366</v>
      </c>
      <c r="N69" s="687">
        <f t="shared" ref="N69:N84" si="23">M69</f>
        <v>349.72752377043366</v>
      </c>
      <c r="O69" s="687">
        <f>'F5'!O69</f>
        <v>10.792406538567612</v>
      </c>
      <c r="P69" s="687">
        <f>'F5'!P69</f>
        <v>0</v>
      </c>
      <c r="Q69" s="687">
        <f>'F5'!Q69</f>
        <v>0</v>
      </c>
      <c r="R69" s="687">
        <f t="shared" si="20"/>
        <v>360.51993030900127</v>
      </c>
      <c r="S69" s="892">
        <f t="shared" ref="S69:S84" si="24">R69</f>
        <v>360.51993030900127</v>
      </c>
      <c r="T69" s="892">
        <f>'F5'!T69+'F5.1 (N)'!E45</f>
        <v>11.288555622528889</v>
      </c>
      <c r="U69" s="892">
        <f>'F5'!U69+'F5.1 (N)'!F45</f>
        <v>0</v>
      </c>
      <c r="V69" s="892">
        <f>'F5'!V69+'F5.1 (N)'!G45</f>
        <v>0</v>
      </c>
      <c r="W69" s="892">
        <f t="shared" si="21"/>
        <v>371.80848593153019</v>
      </c>
      <c r="Y69" s="686">
        <v>3.3399999999999999E-2</v>
      </c>
    </row>
    <row r="70" spans="1:25" x14ac:dyDescent="0.3">
      <c r="A70" s="686">
        <v>5.28E-2</v>
      </c>
      <c r="B70" s="95">
        <f t="shared" ref="B70:B84" si="25">B69+1</f>
        <v>3</v>
      </c>
      <c r="C70" s="448" t="s">
        <v>844</v>
      </c>
      <c r="D70" s="687">
        <f>'F5'!D70</f>
        <v>0</v>
      </c>
      <c r="E70" s="687">
        <f>'F5'!E70</f>
        <v>0</v>
      </c>
      <c r="F70" s="687">
        <f>'F5'!F70</f>
        <v>0</v>
      </c>
      <c r="G70" s="687">
        <f>'F5'!G70</f>
        <v>0</v>
      </c>
      <c r="H70" s="687">
        <f t="shared" si="18"/>
        <v>0</v>
      </c>
      <c r="I70" s="892">
        <f t="shared" si="22"/>
        <v>0</v>
      </c>
      <c r="J70" s="687">
        <f>'F5'!J70</f>
        <v>0</v>
      </c>
      <c r="K70" s="687">
        <f>'F5'!K70</f>
        <v>0</v>
      </c>
      <c r="L70" s="687">
        <f>'F5'!L70</f>
        <v>0</v>
      </c>
      <c r="M70" s="892">
        <f t="shared" si="19"/>
        <v>0</v>
      </c>
      <c r="N70" s="687">
        <f t="shared" si="23"/>
        <v>0</v>
      </c>
      <c r="O70" s="687">
        <f>'F5'!O70</f>
        <v>0</v>
      </c>
      <c r="P70" s="687">
        <f>'F5'!P70</f>
        <v>0</v>
      </c>
      <c r="Q70" s="687">
        <f>'F5'!Q70</f>
        <v>0</v>
      </c>
      <c r="R70" s="687">
        <f t="shared" si="20"/>
        <v>0</v>
      </c>
      <c r="S70" s="892">
        <f t="shared" si="24"/>
        <v>0</v>
      </c>
      <c r="T70" s="892">
        <f>'F5'!T70+'F5.1 (N)'!E46</f>
        <v>0.10550000000000001</v>
      </c>
      <c r="U70" s="892">
        <f>'F5'!U70+'F5.1 (N)'!F46</f>
        <v>0</v>
      </c>
      <c r="V70" s="892">
        <f>'F5'!V70+'F5.1 (N)'!G46</f>
        <v>0</v>
      </c>
      <c r="W70" s="892">
        <f t="shared" si="21"/>
        <v>0.10550000000000001</v>
      </c>
      <c r="Y70" s="686">
        <v>5.28E-2</v>
      </c>
    </row>
    <row r="71" spans="1:25" x14ac:dyDescent="0.3">
      <c r="A71" s="686">
        <v>5.28E-2</v>
      </c>
      <c r="B71" s="95">
        <f t="shared" si="25"/>
        <v>4</v>
      </c>
      <c r="C71" s="448" t="s">
        <v>845</v>
      </c>
      <c r="D71" s="687">
        <f>'F5'!D71</f>
        <v>300.21692675938345</v>
      </c>
      <c r="E71" s="687">
        <f>'F5'!E71</f>
        <v>1.9007530189442094</v>
      </c>
      <c r="F71" s="687">
        <f>'F5'!F71</f>
        <v>0</v>
      </c>
      <c r="G71" s="687">
        <f>'F5'!G71</f>
        <v>0</v>
      </c>
      <c r="H71" s="687">
        <f t="shared" si="18"/>
        <v>302.11767977832767</v>
      </c>
      <c r="I71" s="892">
        <f t="shared" si="22"/>
        <v>302.11767977832767</v>
      </c>
      <c r="J71" s="687">
        <f>'F5'!J71</f>
        <v>6.9812915256447505</v>
      </c>
      <c r="K71" s="687">
        <f>'F5'!K71</f>
        <v>0</v>
      </c>
      <c r="L71" s="687">
        <f>'F5'!L71</f>
        <v>0</v>
      </c>
      <c r="M71" s="892">
        <f t="shared" si="19"/>
        <v>309.09897130397241</v>
      </c>
      <c r="N71" s="687">
        <f t="shared" si="23"/>
        <v>309.09897130397241</v>
      </c>
      <c r="O71" s="687">
        <f>'F5'!O71</f>
        <v>7.7252162708760057</v>
      </c>
      <c r="P71" s="687">
        <f>'F5'!P71</f>
        <v>0</v>
      </c>
      <c r="Q71" s="687">
        <f>'F5'!Q71</f>
        <v>0</v>
      </c>
      <c r="R71" s="687">
        <f t="shared" si="20"/>
        <v>316.82418757484839</v>
      </c>
      <c r="S71" s="892">
        <f t="shared" si="24"/>
        <v>316.82418757484839</v>
      </c>
      <c r="T71" s="892">
        <f>'F5'!T71+'F5.1 (N)'!E47</f>
        <v>7.7252162708760093</v>
      </c>
      <c r="U71" s="892">
        <f>'F5'!U71+'F5.1 (N)'!F47</f>
        <v>0</v>
      </c>
      <c r="V71" s="892">
        <f>'F5'!V71+'F5.1 (N)'!G47</f>
        <v>0</v>
      </c>
      <c r="W71" s="892">
        <f t="shared" si="21"/>
        <v>324.54940384572438</v>
      </c>
      <c r="Y71" s="686">
        <v>5.28E-2</v>
      </c>
    </row>
    <row r="72" spans="1:25" x14ac:dyDescent="0.3">
      <c r="A72" s="686">
        <v>3.3399999999999999E-2</v>
      </c>
      <c r="B72" s="95">
        <f t="shared" si="25"/>
        <v>5</v>
      </c>
      <c r="C72" s="448" t="s">
        <v>846</v>
      </c>
      <c r="D72" s="687">
        <f>'F5'!D72</f>
        <v>197.10034299376628</v>
      </c>
      <c r="E72" s="687">
        <f>'F5'!E72</f>
        <v>1.4723299765676847</v>
      </c>
      <c r="F72" s="687">
        <f>'F5'!F72</f>
        <v>0</v>
      </c>
      <c r="G72" s="687">
        <f>'F5'!G72</f>
        <v>0</v>
      </c>
      <c r="H72" s="687">
        <f t="shared" si="18"/>
        <v>198.57267297033397</v>
      </c>
      <c r="I72" s="892">
        <f t="shared" si="22"/>
        <v>198.57267297033397</v>
      </c>
      <c r="J72" s="687">
        <f>'F5'!J72</f>
        <v>2.0138078714951586</v>
      </c>
      <c r="K72" s="687">
        <f>'F5'!K72</f>
        <v>0</v>
      </c>
      <c r="L72" s="687">
        <f>'F5'!L72</f>
        <v>0</v>
      </c>
      <c r="M72" s="892">
        <f t="shared" si="19"/>
        <v>200.58648084182911</v>
      </c>
      <c r="N72" s="687">
        <f t="shared" si="23"/>
        <v>200.58648084182911</v>
      </c>
      <c r="O72" s="687">
        <f>'F5'!O72</f>
        <v>9.0953991962926466</v>
      </c>
      <c r="P72" s="687">
        <f>'F5'!P72</f>
        <v>0</v>
      </c>
      <c r="Q72" s="687">
        <f>'F5'!Q72</f>
        <v>0</v>
      </c>
      <c r="R72" s="687">
        <f t="shared" si="20"/>
        <v>209.68188003812176</v>
      </c>
      <c r="S72" s="892">
        <f t="shared" si="24"/>
        <v>209.68188003812176</v>
      </c>
      <c r="T72" s="892">
        <f>'F5'!T72+'F5.1 (N)'!E48</f>
        <v>10.311103529625981</v>
      </c>
      <c r="U72" s="892">
        <f>'F5'!U72+'F5.1 (N)'!F48</f>
        <v>0</v>
      </c>
      <c r="V72" s="892">
        <f>'F5'!V72+'F5.1 (N)'!G48</f>
        <v>0</v>
      </c>
      <c r="W72" s="892">
        <f t="shared" si="21"/>
        <v>219.99298356774773</v>
      </c>
      <c r="Y72" s="686">
        <v>3.3399999999999999E-2</v>
      </c>
    </row>
    <row r="73" spans="1:25" x14ac:dyDescent="0.3">
      <c r="A73" s="686">
        <v>5.28E-2</v>
      </c>
      <c r="B73" s="95">
        <f t="shared" si="25"/>
        <v>6</v>
      </c>
      <c r="C73" s="448" t="s">
        <v>256</v>
      </c>
      <c r="D73" s="687">
        <f>'F5'!D73</f>
        <v>2266.142823740654</v>
      </c>
      <c r="E73" s="687">
        <f>'F5'!E73</f>
        <v>64.2609072513347</v>
      </c>
      <c r="F73" s="687">
        <f>'F5'!F73</f>
        <v>0</v>
      </c>
      <c r="G73" s="687">
        <f>'F5'!G73</f>
        <v>0</v>
      </c>
      <c r="H73" s="687">
        <f t="shared" si="18"/>
        <v>2330.4037309919886</v>
      </c>
      <c r="I73" s="892">
        <f t="shared" si="22"/>
        <v>2330.4037309919886</v>
      </c>
      <c r="J73" s="687">
        <f>'F5'!J73</f>
        <v>70.171095623760095</v>
      </c>
      <c r="K73" s="687">
        <f>'F5'!K73</f>
        <v>0</v>
      </c>
      <c r="L73" s="687">
        <f>'F5'!L73</f>
        <v>0</v>
      </c>
      <c r="M73" s="892">
        <f t="shared" si="19"/>
        <v>2400.5748266157489</v>
      </c>
      <c r="N73" s="687">
        <f t="shared" si="23"/>
        <v>2400.5748266157489</v>
      </c>
      <c r="O73" s="687">
        <f>'F5'!O73</f>
        <v>124.67359758351965</v>
      </c>
      <c r="P73" s="687">
        <f>'F5'!P73</f>
        <v>0</v>
      </c>
      <c r="Q73" s="687">
        <f>'F5'!Q73</f>
        <v>0</v>
      </c>
      <c r="R73" s="687">
        <f t="shared" si="20"/>
        <v>2525.2484241992684</v>
      </c>
      <c r="S73" s="892">
        <f t="shared" si="24"/>
        <v>2525.2484241992684</v>
      </c>
      <c r="T73" s="892">
        <f>'F5'!T73+'F5.1 (N)'!E49</f>
        <v>161.60102430557501</v>
      </c>
      <c r="U73" s="892">
        <f>'F5'!U73+'F5.1 (N)'!F49</f>
        <v>0</v>
      </c>
      <c r="V73" s="892">
        <f>'F5'!V73+'F5.1 (N)'!G49</f>
        <v>0</v>
      </c>
      <c r="W73" s="892">
        <f t="shared" si="21"/>
        <v>2686.8494485048432</v>
      </c>
      <c r="Y73" s="686">
        <v>5.28E-2</v>
      </c>
    </row>
    <row r="74" spans="1:25" x14ac:dyDescent="0.3">
      <c r="A74" s="686">
        <v>0.18</v>
      </c>
      <c r="B74" s="95">
        <f t="shared" si="25"/>
        <v>7</v>
      </c>
      <c r="C74" s="448" t="s">
        <v>847</v>
      </c>
      <c r="D74" s="687">
        <f>'F5'!D74</f>
        <v>0</v>
      </c>
      <c r="E74" s="687">
        <f>'F5'!E74</f>
        <v>0</v>
      </c>
      <c r="F74" s="687">
        <f>'F5'!F74</f>
        <v>0</v>
      </c>
      <c r="G74" s="687">
        <f>'F5'!G74</f>
        <v>0</v>
      </c>
      <c r="H74" s="687">
        <f t="shared" si="18"/>
        <v>0</v>
      </c>
      <c r="I74" s="892">
        <f t="shared" si="22"/>
        <v>0</v>
      </c>
      <c r="J74" s="687">
        <f>'F5'!J74</f>
        <v>0</v>
      </c>
      <c r="K74" s="687">
        <f>'F5'!K74</f>
        <v>0</v>
      </c>
      <c r="L74" s="687">
        <f>'F5'!L74</f>
        <v>0</v>
      </c>
      <c r="M74" s="892">
        <f t="shared" si="19"/>
        <v>0</v>
      </c>
      <c r="N74" s="687">
        <f t="shared" si="23"/>
        <v>0</v>
      </c>
      <c r="O74" s="687">
        <f>'F5'!O74</f>
        <v>0</v>
      </c>
      <c r="P74" s="687">
        <f>'F5'!P74</f>
        <v>0</v>
      </c>
      <c r="Q74" s="687">
        <f>'F5'!Q74</f>
        <v>0</v>
      </c>
      <c r="R74" s="687">
        <f t="shared" si="20"/>
        <v>0</v>
      </c>
      <c r="S74" s="892">
        <f t="shared" si="24"/>
        <v>0</v>
      </c>
      <c r="T74" s="892">
        <f>'F5'!T74+'F5.1 (N)'!E50</f>
        <v>0.25166666666666665</v>
      </c>
      <c r="U74" s="892">
        <f>'F5'!U74+'F5.1 (N)'!F50</f>
        <v>0</v>
      </c>
      <c r="V74" s="892">
        <f>'F5'!V74+'F5.1 (N)'!G50</f>
        <v>0</v>
      </c>
      <c r="W74" s="892">
        <f t="shared" si="21"/>
        <v>0.25166666666666665</v>
      </c>
      <c r="Y74" s="686">
        <v>0.18</v>
      </c>
    </row>
    <row r="75" spans="1:25" x14ac:dyDescent="0.3">
      <c r="A75" s="686">
        <v>5.28E-2</v>
      </c>
      <c r="B75" s="95">
        <f t="shared" si="25"/>
        <v>8</v>
      </c>
      <c r="C75" s="448" t="s">
        <v>848</v>
      </c>
      <c r="D75" s="687">
        <f>'F5'!D75</f>
        <v>0</v>
      </c>
      <c r="E75" s="687">
        <f>'F5'!E75</f>
        <v>0</v>
      </c>
      <c r="F75" s="687">
        <f>'F5'!F75</f>
        <v>0</v>
      </c>
      <c r="G75" s="687">
        <f>'F5'!G75</f>
        <v>0</v>
      </c>
      <c r="H75" s="687">
        <f t="shared" si="18"/>
        <v>0</v>
      </c>
      <c r="I75" s="892">
        <f t="shared" si="22"/>
        <v>0</v>
      </c>
      <c r="J75" s="687">
        <f>'F5'!J75</f>
        <v>0</v>
      </c>
      <c r="K75" s="687">
        <f>'F5'!K75</f>
        <v>0</v>
      </c>
      <c r="L75" s="687">
        <f>'F5'!L75</f>
        <v>0</v>
      </c>
      <c r="M75" s="892">
        <f t="shared" si="19"/>
        <v>0</v>
      </c>
      <c r="N75" s="687">
        <f t="shared" si="23"/>
        <v>0</v>
      </c>
      <c r="O75" s="687">
        <f>'F5'!O75</f>
        <v>0</v>
      </c>
      <c r="P75" s="687">
        <f>'F5'!P75</f>
        <v>0</v>
      </c>
      <c r="Q75" s="687">
        <f>'F5'!Q75</f>
        <v>0</v>
      </c>
      <c r="R75" s="687">
        <f t="shared" si="20"/>
        <v>0</v>
      </c>
      <c r="S75" s="892">
        <f t="shared" si="24"/>
        <v>0</v>
      </c>
      <c r="T75" s="892">
        <f>'F5'!T75+'F5.1 (N)'!E51</f>
        <v>0</v>
      </c>
      <c r="U75" s="892">
        <f>'F5'!U75+'F5.1 (N)'!F51</f>
        <v>0</v>
      </c>
      <c r="V75" s="892">
        <f>'F5'!V75+'F5.1 (N)'!G51</f>
        <v>0</v>
      </c>
      <c r="W75" s="892">
        <f t="shared" si="21"/>
        <v>0</v>
      </c>
      <c r="Y75" s="686">
        <v>5.28E-2</v>
      </c>
    </row>
    <row r="76" spans="1:25" x14ac:dyDescent="0.3">
      <c r="A76" s="686">
        <v>5.28E-2</v>
      </c>
      <c r="B76" s="95">
        <f t="shared" si="25"/>
        <v>9</v>
      </c>
      <c r="C76" s="448" t="s">
        <v>849</v>
      </c>
      <c r="D76" s="687">
        <f>'F5'!D76</f>
        <v>104.1053427674851</v>
      </c>
      <c r="E76" s="687">
        <f>'F5'!E76</f>
        <v>0.26359479349687154</v>
      </c>
      <c r="F76" s="687">
        <f>'F5'!F76</f>
        <v>0</v>
      </c>
      <c r="G76" s="687">
        <f>'F5'!G76</f>
        <v>0</v>
      </c>
      <c r="H76" s="687">
        <f t="shared" si="18"/>
        <v>104.36893756098198</v>
      </c>
      <c r="I76" s="892">
        <f t="shared" si="22"/>
        <v>104.36893756098198</v>
      </c>
      <c r="J76" s="687">
        <f>'F5'!J76</f>
        <v>0.6239667986825016</v>
      </c>
      <c r="K76" s="687">
        <f>'F5'!K76</f>
        <v>0</v>
      </c>
      <c r="L76" s="687">
        <f>'F5'!L76</f>
        <v>0</v>
      </c>
      <c r="M76" s="892">
        <f t="shared" si="19"/>
        <v>104.99290435966448</v>
      </c>
      <c r="N76" s="687">
        <f t="shared" si="23"/>
        <v>104.99290435966448</v>
      </c>
      <c r="O76" s="687">
        <f>'F5'!O76</f>
        <v>0.62396679868250149</v>
      </c>
      <c r="P76" s="687">
        <f>'F5'!P76</f>
        <v>0</v>
      </c>
      <c r="Q76" s="687">
        <f>'F5'!Q76</f>
        <v>0</v>
      </c>
      <c r="R76" s="687">
        <f t="shared" si="20"/>
        <v>105.61687115834698</v>
      </c>
      <c r="S76" s="892">
        <f t="shared" si="24"/>
        <v>105.61687115834698</v>
      </c>
      <c r="T76" s="892">
        <f>'F5'!T76+'F5.1 (N)'!E52</f>
        <v>0.62396679868250127</v>
      </c>
      <c r="U76" s="892">
        <f>'F5'!U76+'F5.1 (N)'!F52</f>
        <v>0</v>
      </c>
      <c r="V76" s="892">
        <f>'F5'!V76+'F5.1 (N)'!G52</f>
        <v>0</v>
      </c>
      <c r="W76" s="892">
        <f t="shared" si="21"/>
        <v>106.24083795702948</v>
      </c>
      <c r="Y76" s="686">
        <v>5.28E-2</v>
      </c>
    </row>
    <row r="77" spans="1:25" x14ac:dyDescent="0.3">
      <c r="A77" s="686">
        <v>9.5000000000000001E-2</v>
      </c>
      <c r="B77" s="95">
        <f t="shared" si="25"/>
        <v>10</v>
      </c>
      <c r="C77" s="448" t="s">
        <v>259</v>
      </c>
      <c r="D77" s="687">
        <f>'F5'!D77</f>
        <v>1.3320675224038629</v>
      </c>
      <c r="E77" s="687">
        <f>'F5'!E77</f>
        <v>0.26538654911374843</v>
      </c>
      <c r="F77" s="687">
        <f>'F5'!F77</f>
        <v>0</v>
      </c>
      <c r="G77" s="687">
        <f>'F5'!G77</f>
        <v>0</v>
      </c>
      <c r="H77" s="687">
        <f t="shared" si="18"/>
        <v>1.5974540715176113</v>
      </c>
      <c r="I77" s="892">
        <f t="shared" si="22"/>
        <v>1.5974540715176113</v>
      </c>
      <c r="J77" s="687">
        <f>'F5'!J77</f>
        <v>0.3907812814112484</v>
      </c>
      <c r="K77" s="687">
        <f>'F5'!K77</f>
        <v>0</v>
      </c>
      <c r="L77" s="687">
        <f>'F5'!L77</f>
        <v>0</v>
      </c>
      <c r="M77" s="892">
        <f t="shared" si="19"/>
        <v>1.9882353529288597</v>
      </c>
      <c r="N77" s="687">
        <f t="shared" si="23"/>
        <v>1.9882353529288597</v>
      </c>
      <c r="O77" s="687">
        <f>'F5'!O77</f>
        <v>0.3907812814112484</v>
      </c>
      <c r="P77" s="687">
        <f>'F5'!P77</f>
        <v>0</v>
      </c>
      <c r="Q77" s="687">
        <f>'F5'!Q77</f>
        <v>0</v>
      </c>
      <c r="R77" s="687">
        <f t="shared" si="20"/>
        <v>2.379016634340108</v>
      </c>
      <c r="S77" s="892">
        <f t="shared" si="24"/>
        <v>2.379016634340108</v>
      </c>
      <c r="T77" s="892">
        <f>'F5'!T77+'F5.1 (N)'!E53</f>
        <v>1.3167146147445816</v>
      </c>
      <c r="U77" s="892">
        <f>'F5'!U77+'F5.1 (N)'!F53</f>
        <v>0</v>
      </c>
      <c r="V77" s="892">
        <f>'F5'!V77+'F5.1 (N)'!G53</f>
        <v>0</v>
      </c>
      <c r="W77" s="892">
        <f t="shared" si="21"/>
        <v>3.6957312490846896</v>
      </c>
      <c r="Y77" s="686">
        <v>9.5000000000000001E-2</v>
      </c>
    </row>
    <row r="78" spans="1:25" x14ac:dyDescent="0.3">
      <c r="A78" s="686">
        <v>6.3299999999999995E-2</v>
      </c>
      <c r="B78" s="95">
        <f t="shared" si="25"/>
        <v>11</v>
      </c>
      <c r="C78" s="448" t="s">
        <v>260</v>
      </c>
      <c r="D78" s="687">
        <f>'F5'!D78</f>
        <v>2.1222874192657524</v>
      </c>
      <c r="E78" s="687">
        <f>'F5'!E78</f>
        <v>4.1127210364774867E-2</v>
      </c>
      <c r="F78" s="687">
        <f>'F5'!F78</f>
        <v>0</v>
      </c>
      <c r="G78" s="687">
        <f>'F5'!G78</f>
        <v>0</v>
      </c>
      <c r="H78" s="687">
        <f t="shared" si="18"/>
        <v>2.1634146296305272</v>
      </c>
      <c r="I78" s="892">
        <f t="shared" si="22"/>
        <v>2.1634146296305272</v>
      </c>
      <c r="J78" s="687">
        <f>'F5'!J78</f>
        <v>7.1290910132173022E-2</v>
      </c>
      <c r="K78" s="687">
        <f>'F5'!K78</f>
        <v>0</v>
      </c>
      <c r="L78" s="687">
        <f>'F5'!L78</f>
        <v>0</v>
      </c>
      <c r="M78" s="892">
        <f t="shared" si="19"/>
        <v>2.2347055397627003</v>
      </c>
      <c r="N78" s="687">
        <f t="shared" si="23"/>
        <v>2.2347055397627003</v>
      </c>
      <c r="O78" s="687">
        <f>'F5'!O78</f>
        <v>0.21245545870340088</v>
      </c>
      <c r="P78" s="687">
        <f>'F5'!P78</f>
        <v>0</v>
      </c>
      <c r="Q78" s="687">
        <f>'F5'!Q78</f>
        <v>0</v>
      </c>
      <c r="R78" s="687">
        <f t="shared" si="20"/>
        <v>2.4471609984661011</v>
      </c>
      <c r="S78" s="892">
        <f t="shared" si="24"/>
        <v>2.4471609984661011</v>
      </c>
      <c r="T78" s="892">
        <f>'F5'!T78+'F5.1 (N)'!E54</f>
        <v>0.17218669501799627</v>
      </c>
      <c r="U78" s="892">
        <f>'F5'!U78+'F5.1 (N)'!F54</f>
        <v>0</v>
      </c>
      <c r="V78" s="892">
        <f>'F5'!V78+'F5.1 (N)'!G54</f>
        <v>0</v>
      </c>
      <c r="W78" s="892">
        <f t="shared" si="21"/>
        <v>2.6193476934840976</v>
      </c>
      <c r="Y78" s="686">
        <v>6.3299999999999995E-2</v>
      </c>
    </row>
    <row r="79" spans="1:25" x14ac:dyDescent="0.3">
      <c r="A79" s="686">
        <v>6.3299999999999995E-2</v>
      </c>
      <c r="B79" s="95">
        <f t="shared" si="25"/>
        <v>12</v>
      </c>
      <c r="C79" s="448" t="s">
        <v>261</v>
      </c>
      <c r="D79" s="687">
        <f>'F5'!D79</f>
        <v>6.1594489795952709</v>
      </c>
      <c r="E79" s="687">
        <f>'F5'!E79</f>
        <v>0.68960960898112478</v>
      </c>
      <c r="F79" s="687">
        <f>'F5'!F79</f>
        <v>1.5815553221796963</v>
      </c>
      <c r="G79" s="687">
        <f>'F5'!G79</f>
        <v>0</v>
      </c>
      <c r="H79" s="687">
        <f t="shared" si="18"/>
        <v>5.2675032663966999</v>
      </c>
      <c r="I79" s="892">
        <f t="shared" si="22"/>
        <v>5.2675032663966999</v>
      </c>
      <c r="J79" s="687">
        <f>'F5'!J79</f>
        <v>0.58769774904577465</v>
      </c>
      <c r="K79" s="687">
        <f>'F5'!K79</f>
        <v>1.7787509750230013</v>
      </c>
      <c r="L79" s="687">
        <f>'F5'!L79</f>
        <v>0</v>
      </c>
      <c r="M79" s="892">
        <f t="shared" si="19"/>
        <v>4.0764500404194735</v>
      </c>
      <c r="N79" s="687">
        <f t="shared" si="23"/>
        <v>4.0764500404194735</v>
      </c>
      <c r="O79" s="687">
        <f>'F5'!O79</f>
        <v>0.45413105935207471</v>
      </c>
      <c r="P79" s="687">
        <f>'F5'!P79</f>
        <v>0</v>
      </c>
      <c r="Q79" s="687">
        <f>'F5'!Q79</f>
        <v>0</v>
      </c>
      <c r="R79" s="687">
        <f t="shared" si="20"/>
        <v>4.5305810997715481</v>
      </c>
      <c r="S79" s="892">
        <f t="shared" si="24"/>
        <v>4.5305810997715481</v>
      </c>
      <c r="T79" s="892">
        <f>'F5'!T79+'F5.1 (N)'!E55</f>
        <v>0.49369355935207471</v>
      </c>
      <c r="U79" s="892">
        <f>'F5'!U79+'F5.1 (N)'!F55</f>
        <v>0</v>
      </c>
      <c r="V79" s="892">
        <f>'F5'!V79+'F5.1 (N)'!G55</f>
        <v>0</v>
      </c>
      <c r="W79" s="892">
        <f t="shared" si="21"/>
        <v>5.0242746591236225</v>
      </c>
      <c r="Y79" s="686">
        <v>6.3299999999999995E-2</v>
      </c>
    </row>
    <row r="80" spans="1:25" x14ac:dyDescent="0.3">
      <c r="A80" s="686">
        <v>6.3299999999999995E-2</v>
      </c>
      <c r="B80" s="95">
        <f t="shared" si="25"/>
        <v>13</v>
      </c>
      <c r="C80" s="469" t="s">
        <v>897</v>
      </c>
      <c r="D80" s="687">
        <f>'F5'!D80</f>
        <v>0</v>
      </c>
      <c r="E80" s="687">
        <f>'F5'!E80</f>
        <v>0</v>
      </c>
      <c r="F80" s="687">
        <f>'F5'!F80</f>
        <v>0</v>
      </c>
      <c r="G80" s="687">
        <f>'F5'!G80</f>
        <v>0</v>
      </c>
      <c r="H80" s="687">
        <f t="shared" si="18"/>
        <v>0</v>
      </c>
      <c r="I80" s="892">
        <f t="shared" si="22"/>
        <v>0</v>
      </c>
      <c r="J80" s="687">
        <f>'F5'!J80</f>
        <v>0</v>
      </c>
      <c r="K80" s="687">
        <f>'F5'!K80</f>
        <v>0</v>
      </c>
      <c r="L80" s="687">
        <f>'F5'!L80</f>
        <v>0</v>
      </c>
      <c r="M80" s="892">
        <f t="shared" si="19"/>
        <v>0</v>
      </c>
      <c r="N80" s="687">
        <f t="shared" si="23"/>
        <v>0</v>
      </c>
      <c r="O80" s="687">
        <f>'F5'!O80</f>
        <v>0</v>
      </c>
      <c r="P80" s="687">
        <f>'F5'!P80</f>
        <v>0</v>
      </c>
      <c r="Q80" s="687">
        <f>'F5'!Q80</f>
        <v>0</v>
      </c>
      <c r="R80" s="687">
        <f t="shared" si="20"/>
        <v>0</v>
      </c>
      <c r="S80" s="892">
        <f t="shared" si="24"/>
        <v>0</v>
      </c>
      <c r="T80" s="892">
        <f>'F5'!T80+'F5.1 (N)'!E56</f>
        <v>0</v>
      </c>
      <c r="U80" s="892">
        <f>'F5'!U80+'F5.1 (N)'!F56</f>
        <v>0</v>
      </c>
      <c r="V80" s="892">
        <f>'F5'!V80+'F5.1 (N)'!G56</f>
        <v>0</v>
      </c>
      <c r="W80" s="892">
        <f t="shared" si="21"/>
        <v>0</v>
      </c>
      <c r="Y80" s="686">
        <v>6.3299999999999995E-2</v>
      </c>
    </row>
    <row r="81" spans="1:33" x14ac:dyDescent="0.3">
      <c r="A81" s="686">
        <v>0.15</v>
      </c>
      <c r="B81" s="95">
        <f t="shared" si="25"/>
        <v>14</v>
      </c>
      <c r="C81" s="469" t="s">
        <v>898</v>
      </c>
      <c r="D81" s="687">
        <f>'F5'!D81</f>
        <v>0</v>
      </c>
      <c r="E81" s="687">
        <f>'F5'!E81</f>
        <v>0</v>
      </c>
      <c r="F81" s="687">
        <f>'F5'!F81</f>
        <v>0</v>
      </c>
      <c r="G81" s="687">
        <f>'F5'!G81</f>
        <v>0</v>
      </c>
      <c r="H81" s="687">
        <f t="shared" si="18"/>
        <v>0</v>
      </c>
      <c r="I81" s="892">
        <f t="shared" si="22"/>
        <v>0</v>
      </c>
      <c r="J81" s="687">
        <f>'F5'!J81</f>
        <v>0</v>
      </c>
      <c r="K81" s="687">
        <f>'F5'!K81</f>
        <v>0</v>
      </c>
      <c r="L81" s="687">
        <f>'F5'!L81</f>
        <v>0</v>
      </c>
      <c r="M81" s="892">
        <f t="shared" si="19"/>
        <v>0</v>
      </c>
      <c r="N81" s="687">
        <f t="shared" si="23"/>
        <v>0</v>
      </c>
      <c r="O81" s="687">
        <f>'F5'!O81</f>
        <v>0</v>
      </c>
      <c r="P81" s="687">
        <f>'F5'!P81</f>
        <v>0</v>
      </c>
      <c r="Q81" s="687">
        <f>'F5'!Q81</f>
        <v>0</v>
      </c>
      <c r="R81" s="687">
        <f t="shared" si="20"/>
        <v>0</v>
      </c>
      <c r="S81" s="892">
        <f t="shared" si="24"/>
        <v>0</v>
      </c>
      <c r="T81" s="892">
        <f>'F5'!T81+'F5.1 (N)'!E57</f>
        <v>0</v>
      </c>
      <c r="U81" s="892">
        <f>'F5'!U81+'F5.1 (N)'!F57</f>
        <v>0</v>
      </c>
      <c r="V81" s="892">
        <f>'F5'!V81+'F5.1 (N)'!G57</f>
        <v>0</v>
      </c>
      <c r="W81" s="892">
        <f t="shared" si="21"/>
        <v>0</v>
      </c>
      <c r="Y81" s="686">
        <v>0.15</v>
      </c>
    </row>
    <row r="82" spans="1:33" x14ac:dyDescent="0.3">
      <c r="A82" s="686">
        <v>0.3</v>
      </c>
      <c r="B82" s="95">
        <f t="shared" si="25"/>
        <v>15</v>
      </c>
      <c r="C82" s="469" t="s">
        <v>899</v>
      </c>
      <c r="D82" s="687">
        <f>'F5'!D82</f>
        <v>0</v>
      </c>
      <c r="E82" s="687">
        <f>'F5'!E82</f>
        <v>0</v>
      </c>
      <c r="F82" s="687">
        <f>'F5'!F82</f>
        <v>0</v>
      </c>
      <c r="G82" s="687">
        <f>'F5'!G82</f>
        <v>0</v>
      </c>
      <c r="H82" s="687">
        <f t="shared" si="18"/>
        <v>0</v>
      </c>
      <c r="I82" s="892">
        <f t="shared" si="22"/>
        <v>0</v>
      </c>
      <c r="J82" s="687">
        <f>'F5'!J82</f>
        <v>0</v>
      </c>
      <c r="K82" s="687">
        <f>'F5'!K82</f>
        <v>0</v>
      </c>
      <c r="L82" s="687">
        <f>'F5'!L82</f>
        <v>0</v>
      </c>
      <c r="M82" s="892">
        <f t="shared" si="19"/>
        <v>0</v>
      </c>
      <c r="N82" s="687">
        <f t="shared" si="23"/>
        <v>0</v>
      </c>
      <c r="O82" s="687">
        <f>'F5'!O82</f>
        <v>0</v>
      </c>
      <c r="P82" s="687">
        <f>'F5'!P82</f>
        <v>0</v>
      </c>
      <c r="Q82" s="687">
        <f>'F5'!Q82</f>
        <v>0</v>
      </c>
      <c r="R82" s="687">
        <f t="shared" si="20"/>
        <v>0</v>
      </c>
      <c r="S82" s="892">
        <f t="shared" si="24"/>
        <v>0</v>
      </c>
      <c r="T82" s="892">
        <f>'F5'!T82+'F5.1 (N)'!E58</f>
        <v>4.9999999999999991</v>
      </c>
      <c r="U82" s="892">
        <f>'F5'!U82+'F5.1 (N)'!F58</f>
        <v>0</v>
      </c>
      <c r="V82" s="892">
        <f>'F5'!V82+'F5.1 (N)'!G58</f>
        <v>0</v>
      </c>
      <c r="W82" s="892">
        <f t="shared" si="21"/>
        <v>4.9999999999999991</v>
      </c>
      <c r="Y82" s="686">
        <v>0.3</v>
      </c>
    </row>
    <row r="83" spans="1:33" x14ac:dyDescent="0.3">
      <c r="A83" s="686">
        <v>0.3</v>
      </c>
      <c r="B83" s="95">
        <f t="shared" si="25"/>
        <v>16</v>
      </c>
      <c r="C83" s="469" t="s">
        <v>850</v>
      </c>
      <c r="D83" s="687">
        <f>'F5'!D83</f>
        <v>0</v>
      </c>
      <c r="E83" s="687">
        <f>'F5'!E83</f>
        <v>0</v>
      </c>
      <c r="F83" s="687">
        <f>'F5'!F83</f>
        <v>0</v>
      </c>
      <c r="G83" s="687">
        <f>'F5'!G83</f>
        <v>0</v>
      </c>
      <c r="H83" s="687">
        <f t="shared" si="18"/>
        <v>0</v>
      </c>
      <c r="I83" s="892">
        <f t="shared" si="22"/>
        <v>0</v>
      </c>
      <c r="J83" s="687">
        <f>'F5'!J83</f>
        <v>0</v>
      </c>
      <c r="K83" s="687">
        <f>'F5'!K83</f>
        <v>0</v>
      </c>
      <c r="L83" s="687">
        <f>'F5'!L83</f>
        <v>0</v>
      </c>
      <c r="M83" s="892">
        <f t="shared" si="19"/>
        <v>0</v>
      </c>
      <c r="N83" s="687">
        <f t="shared" si="23"/>
        <v>0</v>
      </c>
      <c r="O83" s="687">
        <f>'F5'!O83</f>
        <v>0</v>
      </c>
      <c r="P83" s="687">
        <f>'F5'!P83</f>
        <v>0</v>
      </c>
      <c r="Q83" s="687">
        <f>'F5'!Q83</f>
        <v>0</v>
      </c>
      <c r="R83" s="687">
        <f t="shared" si="20"/>
        <v>0</v>
      </c>
      <c r="S83" s="892">
        <f t="shared" si="24"/>
        <v>0</v>
      </c>
      <c r="T83" s="892">
        <f>'F5'!T83+'F5.1 (N)'!E59</f>
        <v>0</v>
      </c>
      <c r="U83" s="892">
        <f>'F5'!U83+'F5.1 (N)'!F59</f>
        <v>0</v>
      </c>
      <c r="V83" s="892">
        <f>'F5'!V83+'F5.1 (N)'!G59</f>
        <v>0</v>
      </c>
      <c r="W83" s="892">
        <f t="shared" si="21"/>
        <v>0</v>
      </c>
      <c r="Y83" s="686">
        <v>0.3</v>
      </c>
    </row>
    <row r="84" spans="1:33" x14ac:dyDescent="0.3">
      <c r="A84" s="686">
        <v>3.3399999999999999E-2</v>
      </c>
      <c r="B84" s="95">
        <f t="shared" si="25"/>
        <v>17</v>
      </c>
      <c r="C84" s="469" t="s">
        <v>900</v>
      </c>
      <c r="D84" s="687">
        <f>'F5'!D84</f>
        <v>0</v>
      </c>
      <c r="E84" s="687">
        <f>'F5'!E84</f>
        <v>0</v>
      </c>
      <c r="F84" s="687">
        <f>'F5'!F84</f>
        <v>0</v>
      </c>
      <c r="G84" s="687">
        <f>'F5'!G84</f>
        <v>0</v>
      </c>
      <c r="H84" s="687">
        <f t="shared" si="18"/>
        <v>0</v>
      </c>
      <c r="I84" s="892">
        <f t="shared" si="22"/>
        <v>0</v>
      </c>
      <c r="J84" s="687">
        <f>'F5'!J84</f>
        <v>0</v>
      </c>
      <c r="K84" s="687">
        <f>'F5'!K84</f>
        <v>0</v>
      </c>
      <c r="L84" s="687">
        <f>'F5'!L84</f>
        <v>0</v>
      </c>
      <c r="M84" s="892">
        <f t="shared" si="19"/>
        <v>0</v>
      </c>
      <c r="N84" s="687">
        <f t="shared" si="23"/>
        <v>0</v>
      </c>
      <c r="O84" s="687">
        <f>'F5'!O84</f>
        <v>0</v>
      </c>
      <c r="P84" s="687">
        <f>'F5'!P84</f>
        <v>0</v>
      </c>
      <c r="Q84" s="687">
        <f>'F5'!Q84</f>
        <v>0</v>
      </c>
      <c r="R84" s="687">
        <f t="shared" si="20"/>
        <v>0</v>
      </c>
      <c r="S84" s="892">
        <f t="shared" si="24"/>
        <v>0</v>
      </c>
      <c r="T84" s="892">
        <f>'F5'!T84+'F5.1 (N)'!E60</f>
        <v>0</v>
      </c>
      <c r="U84" s="892">
        <f>'F5'!U84+'F5.1 (N)'!F60</f>
        <v>0</v>
      </c>
      <c r="V84" s="892">
        <f>'F5'!V84+'F5.1 (N)'!G60</f>
        <v>0</v>
      </c>
      <c r="W84" s="892">
        <f t="shared" si="21"/>
        <v>0</v>
      </c>
      <c r="Y84" s="686">
        <v>3.3399999999999999E-2</v>
      </c>
    </row>
    <row r="85" spans="1:33" ht="16" x14ac:dyDescent="0.3">
      <c r="A85" s="978"/>
      <c r="B85" s="83"/>
      <c r="C85" s="97" t="s">
        <v>271</v>
      </c>
      <c r="D85" s="886">
        <f t="shared" ref="D85:W85" si="26">SUM(D68:D84)</f>
        <v>3207.6710353039757</v>
      </c>
      <c r="E85" s="886">
        <f t="shared" si="26"/>
        <v>77.694686646762563</v>
      </c>
      <c r="F85" s="886">
        <f t="shared" si="26"/>
        <v>1.5815553221796963</v>
      </c>
      <c r="G85" s="886">
        <f t="shared" si="26"/>
        <v>0</v>
      </c>
      <c r="H85" s="886">
        <f t="shared" si="26"/>
        <v>3283.7841666285576</v>
      </c>
      <c r="I85" s="886">
        <f t="shared" si="26"/>
        <v>3283.7841666285576</v>
      </c>
      <c r="J85" s="886">
        <f>SUM(J68:J84)</f>
        <v>91.274682171224299</v>
      </c>
      <c r="K85" s="886">
        <f t="shared" si="26"/>
        <v>1.7787509750230013</v>
      </c>
      <c r="L85" s="886">
        <f t="shared" si="26"/>
        <v>0</v>
      </c>
      <c r="M85" s="886">
        <f t="shared" si="26"/>
        <v>3373.2800978247592</v>
      </c>
      <c r="N85" s="886">
        <f t="shared" si="26"/>
        <v>3373.2800978247592</v>
      </c>
      <c r="O85" s="886">
        <f t="shared" si="26"/>
        <v>153.96795418740513</v>
      </c>
      <c r="P85" s="886">
        <f t="shared" si="26"/>
        <v>0</v>
      </c>
      <c r="Q85" s="886">
        <f t="shared" si="26"/>
        <v>0</v>
      </c>
      <c r="R85" s="886">
        <f t="shared" si="26"/>
        <v>3527.2480520121644</v>
      </c>
      <c r="S85" s="886">
        <f t="shared" si="26"/>
        <v>3527.2480520121644</v>
      </c>
      <c r="T85" s="886">
        <f t="shared" si="26"/>
        <v>198.88962806306967</v>
      </c>
      <c r="U85" s="886">
        <f t="shared" si="26"/>
        <v>0</v>
      </c>
      <c r="V85" s="886">
        <f t="shared" si="26"/>
        <v>0</v>
      </c>
      <c r="W85" s="886">
        <f t="shared" si="26"/>
        <v>3726.1376800752332</v>
      </c>
    </row>
    <row r="86" spans="1:33" ht="16" x14ac:dyDescent="0.3">
      <c r="A86" s="978"/>
      <c r="B86" s="262"/>
      <c r="C86" s="264" t="s">
        <v>809</v>
      </c>
      <c r="D86" s="1110"/>
      <c r="E86" s="1111">
        <v>3</v>
      </c>
      <c r="F86" s="1110">
        <f>E85-F85</f>
        <v>76.113131324582866</v>
      </c>
      <c r="G86" s="1110"/>
      <c r="H86" s="1110"/>
      <c r="I86" s="1112"/>
      <c r="J86" s="1111">
        <f>E86-1</f>
        <v>2</v>
      </c>
      <c r="K86" s="1112"/>
      <c r="L86" s="1112"/>
      <c r="M86" s="1112"/>
      <c r="N86" s="1110"/>
      <c r="O86" s="1111">
        <f>J86-1</f>
        <v>1</v>
      </c>
      <c r="P86" s="1110"/>
      <c r="Q86" s="1110"/>
      <c r="R86" s="1110"/>
      <c r="S86" s="1112"/>
      <c r="T86" s="1111">
        <v>5.2909589041095906</v>
      </c>
      <c r="U86" s="1112"/>
      <c r="V86" s="1112"/>
      <c r="W86" s="1112"/>
      <c r="X86" s="45"/>
      <c r="Y86" s="45"/>
      <c r="Z86" s="45"/>
      <c r="AA86" s="45"/>
      <c r="AB86" s="45"/>
      <c r="AC86" s="45"/>
      <c r="AD86" s="45"/>
      <c r="AE86" s="45"/>
      <c r="AF86" s="45"/>
      <c r="AG86" s="45"/>
    </row>
    <row r="87" spans="1:33" ht="16" x14ac:dyDescent="0.3">
      <c r="A87" s="978"/>
      <c r="B87" s="261" t="s">
        <v>598</v>
      </c>
      <c r="C87" s="265"/>
      <c r="D87" s="266"/>
      <c r="E87" s="266"/>
      <c r="F87" s="266"/>
      <c r="G87" s="266"/>
      <c r="H87" s="266"/>
      <c r="I87" s="267"/>
      <c r="J87" s="267"/>
      <c r="K87" s="262"/>
      <c r="L87" s="262"/>
      <c r="M87" s="262"/>
      <c r="N87" s="262"/>
      <c r="O87" s="262"/>
      <c r="P87" s="262"/>
      <c r="Q87" s="262"/>
      <c r="R87" s="262"/>
      <c r="S87" s="45"/>
      <c r="T87" s="45"/>
      <c r="U87" s="45"/>
      <c r="V87" s="45"/>
      <c r="W87" s="45"/>
      <c r="X87" s="45"/>
      <c r="Y87" s="45"/>
      <c r="Z87" s="45"/>
      <c r="AA87" s="45"/>
      <c r="AB87" s="45"/>
      <c r="AC87" s="45"/>
      <c r="AD87" s="45"/>
      <c r="AE87" s="45"/>
      <c r="AF87" s="45"/>
      <c r="AG87" s="45"/>
    </row>
    <row r="88" spans="1:33" ht="16" x14ac:dyDescent="0.3">
      <c r="A88" s="978"/>
      <c r="B88" s="261" t="s">
        <v>713</v>
      </c>
      <c r="C88" s="265"/>
      <c r="D88" s="266"/>
      <c r="E88" s="266"/>
      <c r="F88" s="266"/>
      <c r="G88" s="266"/>
      <c r="H88" s="266"/>
      <c r="I88" s="267"/>
      <c r="J88" s="267"/>
      <c r="K88" s="262"/>
      <c r="L88" s="262"/>
      <c r="M88" s="262"/>
      <c r="N88" s="262"/>
      <c r="O88" s="262"/>
      <c r="P88" s="262"/>
      <c r="Q88" s="262"/>
      <c r="R88" s="262"/>
      <c r="S88" s="45"/>
      <c r="T88" s="45"/>
      <c r="U88" s="45"/>
      <c r="V88" s="45"/>
      <c r="W88" s="45"/>
      <c r="X88" s="45"/>
      <c r="Y88" s="45"/>
      <c r="Z88" s="45"/>
      <c r="AA88" s="45"/>
      <c r="AB88" s="45"/>
      <c r="AC88" s="45"/>
      <c r="AD88" s="45"/>
      <c r="AE88" s="45"/>
      <c r="AF88" s="45"/>
      <c r="AG88" s="45"/>
    </row>
    <row r="89" spans="1:33" ht="15" customHeight="1" x14ac:dyDescent="0.3">
      <c r="A89" s="978"/>
      <c r="B89" s="262"/>
      <c r="C89" s="264"/>
      <c r="D89" s="264"/>
      <c r="E89" s="264"/>
      <c r="F89" s="264"/>
      <c r="G89" s="264"/>
      <c r="H89" s="264"/>
      <c r="I89" s="262"/>
      <c r="J89" s="262"/>
      <c r="K89" s="262"/>
      <c r="L89" s="262"/>
      <c r="M89" s="262"/>
      <c r="N89" s="262"/>
      <c r="O89" s="262"/>
      <c r="P89" s="262"/>
      <c r="Q89" s="262"/>
      <c r="R89" s="262"/>
    </row>
    <row r="90" spans="1:33" ht="16" x14ac:dyDescent="0.3">
      <c r="A90" s="978"/>
      <c r="B90" s="262"/>
      <c r="C90" s="264"/>
      <c r="D90" s="8"/>
      <c r="E90" s="8"/>
      <c r="F90" s="8"/>
      <c r="G90" s="8"/>
      <c r="H90" s="8"/>
      <c r="I90" s="1"/>
      <c r="J90" s="44"/>
      <c r="K90" s="1"/>
      <c r="L90" s="1"/>
      <c r="M90" s="44"/>
      <c r="N90" s="44"/>
      <c r="O90" s="1"/>
      <c r="P90" s="1"/>
      <c r="Q90" s="1"/>
      <c r="AG90" s="259" t="s">
        <v>10</v>
      </c>
    </row>
    <row r="91" spans="1:33" ht="13.75" customHeight="1" x14ac:dyDescent="0.3">
      <c r="A91" s="978"/>
      <c r="B91" s="1699" t="s">
        <v>340</v>
      </c>
      <c r="C91" s="1699" t="s">
        <v>37</v>
      </c>
      <c r="D91" s="1844" t="s">
        <v>970</v>
      </c>
      <c r="E91" s="1845"/>
      <c r="F91" s="1845"/>
      <c r="G91" s="1845"/>
      <c r="H91" s="1846"/>
      <c r="I91" s="1844" t="s">
        <v>971</v>
      </c>
      <c r="J91" s="1845"/>
      <c r="K91" s="1845"/>
      <c r="L91" s="1845"/>
      <c r="M91" s="1846"/>
      <c r="N91" s="1838" t="s">
        <v>972</v>
      </c>
      <c r="O91" s="1838"/>
      <c r="P91" s="1838"/>
      <c r="Q91" s="1838"/>
      <c r="R91" s="1838"/>
      <c r="S91" s="1838" t="s">
        <v>973</v>
      </c>
      <c r="T91" s="1838"/>
      <c r="U91" s="1838"/>
      <c r="V91" s="1838"/>
      <c r="W91" s="1838"/>
    </row>
    <row r="92" spans="1:33" x14ac:dyDescent="0.3">
      <c r="A92" s="978"/>
      <c r="B92" s="1699"/>
      <c r="C92" s="1699"/>
      <c r="D92" s="1847" t="s">
        <v>21</v>
      </c>
      <c r="E92" s="1848"/>
      <c r="F92" s="1848"/>
      <c r="G92" s="1848"/>
      <c r="H92" s="1849"/>
      <c r="I92" s="1847" t="s">
        <v>21</v>
      </c>
      <c r="J92" s="1848"/>
      <c r="K92" s="1848"/>
      <c r="L92" s="1848"/>
      <c r="M92" s="1849"/>
      <c r="N92" s="1841" t="s">
        <v>21</v>
      </c>
      <c r="O92" s="1842"/>
      <c r="P92" s="1842"/>
      <c r="Q92" s="1842"/>
      <c r="R92" s="1842"/>
      <c r="S92" s="1841" t="s">
        <v>21</v>
      </c>
      <c r="T92" s="1842"/>
      <c r="U92" s="1842"/>
      <c r="V92" s="1842"/>
      <c r="W92" s="1842"/>
    </row>
    <row r="93" spans="1:33" ht="56" x14ac:dyDescent="0.3">
      <c r="A93" s="978"/>
      <c r="B93" s="1699"/>
      <c r="C93" s="1699"/>
      <c r="D93" s="1108" t="s">
        <v>273</v>
      </c>
      <c r="E93" s="1108" t="s">
        <v>268</v>
      </c>
      <c r="F93" s="263" t="s">
        <v>274</v>
      </c>
      <c r="G93" s="1106" t="s">
        <v>587</v>
      </c>
      <c r="H93" s="1108" t="s">
        <v>275</v>
      </c>
      <c r="I93" s="1108" t="s">
        <v>267</v>
      </c>
      <c r="J93" s="1108" t="s">
        <v>268</v>
      </c>
      <c r="K93" s="1108" t="s">
        <v>269</v>
      </c>
      <c r="L93" s="1106" t="s">
        <v>587</v>
      </c>
      <c r="M93" s="1108" t="s">
        <v>270</v>
      </c>
      <c r="N93" s="1108" t="s">
        <v>267</v>
      </c>
      <c r="O93" s="1108" t="s">
        <v>268</v>
      </c>
      <c r="P93" s="1108" t="s">
        <v>269</v>
      </c>
      <c r="Q93" s="1106" t="s">
        <v>587</v>
      </c>
      <c r="R93" s="1108" t="s">
        <v>270</v>
      </c>
      <c r="S93" s="1108" t="s">
        <v>267</v>
      </c>
      <c r="T93" s="1108" t="s">
        <v>268</v>
      </c>
      <c r="U93" s="1108" t="s">
        <v>269</v>
      </c>
      <c r="V93" s="1106" t="s">
        <v>587</v>
      </c>
      <c r="W93" s="1108" t="s">
        <v>270</v>
      </c>
    </row>
    <row r="94" spans="1:33" ht="28" x14ac:dyDescent="0.3">
      <c r="A94" s="978"/>
      <c r="B94" s="260"/>
      <c r="C94" s="260"/>
      <c r="D94" s="260" t="s">
        <v>660</v>
      </c>
      <c r="E94" s="260" t="s">
        <v>661</v>
      </c>
      <c r="F94" s="260" t="s">
        <v>662</v>
      </c>
      <c r="G94" s="260" t="s">
        <v>663</v>
      </c>
      <c r="H94" s="260" t="s">
        <v>664</v>
      </c>
      <c r="I94" s="260" t="s">
        <v>660</v>
      </c>
      <c r="J94" s="260" t="s">
        <v>661</v>
      </c>
      <c r="K94" s="260" t="s">
        <v>662</v>
      </c>
      <c r="L94" s="260" t="s">
        <v>663</v>
      </c>
      <c r="M94" s="260" t="s">
        <v>664</v>
      </c>
      <c r="N94" s="260" t="s">
        <v>660</v>
      </c>
      <c r="O94" s="260" t="s">
        <v>661</v>
      </c>
      <c r="P94" s="260" t="s">
        <v>662</v>
      </c>
      <c r="Q94" s="260" t="s">
        <v>663</v>
      </c>
      <c r="R94" s="260" t="s">
        <v>664</v>
      </c>
      <c r="S94" s="260" t="s">
        <v>660</v>
      </c>
      <c r="T94" s="260" t="s">
        <v>661</v>
      </c>
      <c r="U94" s="260" t="s">
        <v>662</v>
      </c>
      <c r="V94" s="260" t="s">
        <v>663</v>
      </c>
      <c r="W94" s="260" t="s">
        <v>664</v>
      </c>
    </row>
    <row r="95" spans="1:33" x14ac:dyDescent="0.3">
      <c r="A95" s="686">
        <f>A68</f>
        <v>0</v>
      </c>
      <c r="B95" s="95">
        <v>1</v>
      </c>
      <c r="C95" s="448" t="s">
        <v>842</v>
      </c>
      <c r="D95" s="892">
        <f t="shared" ref="D95:D111" si="27">W68</f>
        <v>0</v>
      </c>
      <c r="E95" s="687">
        <f>'F5'!E95+'F5.1 (N)'!J44</f>
        <v>0</v>
      </c>
      <c r="F95" s="687">
        <f>'F5'!F95+'F5.1 (N)'!K44</f>
        <v>0</v>
      </c>
      <c r="G95" s="687">
        <f>'F5'!G95+'F5.1 (N)'!L44</f>
        <v>0</v>
      </c>
      <c r="H95" s="892">
        <f>D95+E95-F95-G95</f>
        <v>0</v>
      </c>
      <c r="I95" s="842">
        <f>H95</f>
        <v>0</v>
      </c>
      <c r="J95" s="894">
        <f>'F5'!J95+'F5.1 (N)'!O44</f>
        <v>0</v>
      </c>
      <c r="K95" s="894">
        <f>'F5'!K95+'F5.1 (N)'!P44</f>
        <v>0</v>
      </c>
      <c r="L95" s="894">
        <f>'F5'!L95+'F5.1 (N)'!Q44</f>
        <v>0</v>
      </c>
      <c r="M95" s="842">
        <f>I95+J95-K95-L95</f>
        <v>0</v>
      </c>
      <c r="N95" s="842">
        <f>M95</f>
        <v>0</v>
      </c>
      <c r="O95" s="894">
        <f>'F5'!O95+'F5.1 (N)'!T44</f>
        <v>0</v>
      </c>
      <c r="P95" s="894">
        <f>'F5'!P95+'F5.1 (N)'!U44</f>
        <v>0</v>
      </c>
      <c r="Q95" s="894">
        <f>'F5'!Q95+'F5.1 (N)'!V44</f>
        <v>0</v>
      </c>
      <c r="R95" s="842">
        <f>N95+O95-P95-Q95</f>
        <v>0</v>
      </c>
      <c r="S95" s="842">
        <f>R95</f>
        <v>0</v>
      </c>
      <c r="T95" s="894">
        <f>'F5'!T95+'F5.1 (N)'!Y44</f>
        <v>0</v>
      </c>
      <c r="U95" s="894">
        <f>'F5'!U95+'F5.1 (N)'!Z44</f>
        <v>0</v>
      </c>
      <c r="V95" s="894">
        <f>'F5'!V95+'F5.1 (N)'!AA44</f>
        <v>0</v>
      </c>
      <c r="W95" s="842">
        <f>S95+T95-U95-V95</f>
        <v>0</v>
      </c>
    </row>
    <row r="96" spans="1:33" x14ac:dyDescent="0.3">
      <c r="A96" s="686">
        <f t="shared" ref="A96:A111" si="28">A69</f>
        <v>3.3399999999999999E-2</v>
      </c>
      <c r="B96" s="95">
        <f>B95+1</f>
        <v>2</v>
      </c>
      <c r="C96" s="448" t="s">
        <v>843</v>
      </c>
      <c r="D96" s="892">
        <f t="shared" si="27"/>
        <v>371.80848593153019</v>
      </c>
      <c r="E96" s="687">
        <f>'F5'!E96+'F5.1 (N)'!J45</f>
        <v>17.241601005791981</v>
      </c>
      <c r="F96" s="687">
        <f>'F5'!F96+'F5.1 (N)'!K45</f>
        <v>0</v>
      </c>
      <c r="G96" s="687">
        <f>'F5'!G96+'F5.1 (N)'!L45</f>
        <v>0</v>
      </c>
      <c r="H96" s="892">
        <f t="shared" ref="H96:H111" si="29">D96+E96-F96-G96</f>
        <v>389.05008693732219</v>
      </c>
      <c r="I96" s="842">
        <f t="shared" ref="I96:I111" si="30">H96</f>
        <v>389.05008693732219</v>
      </c>
      <c r="J96" s="894">
        <f>'F5'!J96+'F5.1 (N)'!O45</f>
        <v>17.753650839125307</v>
      </c>
      <c r="K96" s="894">
        <f>'F5'!K96+'F5.1 (N)'!P45</f>
        <v>0</v>
      </c>
      <c r="L96" s="894">
        <f>'F5'!L96+'F5.1 (N)'!Q45</f>
        <v>0</v>
      </c>
      <c r="M96" s="842">
        <f t="shared" ref="M96:M111" si="31">I96+J96-K96-L96</f>
        <v>406.80373777644752</v>
      </c>
      <c r="N96" s="842">
        <f t="shared" ref="N96:N111" si="32">M96</f>
        <v>406.80373777644752</v>
      </c>
      <c r="O96" s="894">
        <f>'F5'!O96+'F5.1 (N)'!T45</f>
        <v>18.962730839125314</v>
      </c>
      <c r="P96" s="894">
        <f>'F5'!P96+'F5.1 (N)'!U45</f>
        <v>0</v>
      </c>
      <c r="Q96" s="894">
        <f>'F5'!Q96+'F5.1 (N)'!V45</f>
        <v>0</v>
      </c>
      <c r="R96" s="842">
        <f t="shared" ref="R96:R111" si="33">N96+O96-P96-Q96</f>
        <v>425.76646861557282</v>
      </c>
      <c r="S96" s="842">
        <f t="shared" ref="S96:S111" si="34">R96</f>
        <v>425.76646861557282</v>
      </c>
      <c r="T96" s="894">
        <f>'F5'!T96+'F5.1 (N)'!Y45</f>
        <v>19.914630839125294</v>
      </c>
      <c r="U96" s="894">
        <f>'F5'!U96+'F5.1 (N)'!Z45</f>
        <v>0</v>
      </c>
      <c r="V96" s="894">
        <f>'F5'!V96+'F5.1 (N)'!AA45</f>
        <v>0</v>
      </c>
      <c r="W96" s="842">
        <f t="shared" ref="W96:W111" si="35">S96+T96-U96-V96</f>
        <v>445.68109945469814</v>
      </c>
    </row>
    <row r="97" spans="1:23" x14ac:dyDescent="0.3">
      <c r="A97" s="686">
        <f t="shared" si="28"/>
        <v>5.28E-2</v>
      </c>
      <c r="B97" s="95">
        <f t="shared" ref="B97:B111" si="36">B96+1</f>
        <v>3</v>
      </c>
      <c r="C97" s="448" t="s">
        <v>844</v>
      </c>
      <c r="D97" s="892">
        <f t="shared" si="27"/>
        <v>0.10550000000000001</v>
      </c>
      <c r="E97" s="687">
        <f>'F5'!E97+'F5.1 (N)'!J46</f>
        <v>0.61717500000000003</v>
      </c>
      <c r="F97" s="687">
        <f>'F5'!F97+'F5.1 (N)'!K46</f>
        <v>0</v>
      </c>
      <c r="G97" s="687">
        <f>'F5'!G97+'F5.1 (N)'!L46</f>
        <v>0</v>
      </c>
      <c r="H97" s="892">
        <f t="shared" si="29"/>
        <v>0.72267500000000007</v>
      </c>
      <c r="I97" s="842">
        <f t="shared" si="30"/>
        <v>0.72267500000000007</v>
      </c>
      <c r="J97" s="894">
        <f>'F5'!J97+'F5.1 (N)'!O46</f>
        <v>1.1858200000000001</v>
      </c>
      <c r="K97" s="894">
        <f>'F5'!K97+'F5.1 (N)'!P46</f>
        <v>0</v>
      </c>
      <c r="L97" s="894">
        <f>'F5'!L97+'F5.1 (N)'!Q46</f>
        <v>0</v>
      </c>
      <c r="M97" s="842">
        <f t="shared" si="31"/>
        <v>1.9084950000000003</v>
      </c>
      <c r="N97" s="842">
        <f t="shared" si="32"/>
        <v>1.9084950000000003</v>
      </c>
      <c r="O97" s="894">
        <f>'F5'!O97+'F5.1 (N)'!T46</f>
        <v>2.5514111560000003</v>
      </c>
      <c r="P97" s="894">
        <f>'F5'!P97+'F5.1 (N)'!U46</f>
        <v>0</v>
      </c>
      <c r="Q97" s="894">
        <f>'F5'!Q97+'F5.1 (N)'!V46</f>
        <v>0</v>
      </c>
      <c r="R97" s="842">
        <f t="shared" si="33"/>
        <v>4.4599061560000006</v>
      </c>
      <c r="S97" s="842">
        <f t="shared" si="34"/>
        <v>4.4599061560000006</v>
      </c>
      <c r="T97" s="894">
        <f>'F5'!T97+'F5.1 (N)'!Y46</f>
        <v>3.7545323120000003</v>
      </c>
      <c r="U97" s="894">
        <f>'F5'!U97+'F5.1 (N)'!Z46</f>
        <v>0</v>
      </c>
      <c r="V97" s="894">
        <f>'F5'!V97+'F5.1 (N)'!AA46</f>
        <v>0</v>
      </c>
      <c r="W97" s="842">
        <f t="shared" si="35"/>
        <v>8.2144384680000009</v>
      </c>
    </row>
    <row r="98" spans="1:23" x14ac:dyDescent="0.3">
      <c r="A98" s="686">
        <f t="shared" si="28"/>
        <v>5.28E-2</v>
      </c>
      <c r="B98" s="95">
        <f t="shared" si="36"/>
        <v>4</v>
      </c>
      <c r="C98" s="448" t="s">
        <v>845</v>
      </c>
      <c r="D98" s="892">
        <f t="shared" si="27"/>
        <v>324.54940384572438</v>
      </c>
      <c r="E98" s="687">
        <f>'F5'!E98+'F5.1 (N)'!J47</f>
        <v>7.7252162708760137</v>
      </c>
      <c r="F98" s="687">
        <f>'F5'!F98+'F5.1 (N)'!K47</f>
        <v>0</v>
      </c>
      <c r="G98" s="687">
        <f>'F5'!G98+'F5.1 (N)'!L47</f>
        <v>0</v>
      </c>
      <c r="H98" s="892">
        <f t="shared" si="29"/>
        <v>332.27462011660037</v>
      </c>
      <c r="I98" s="842">
        <f t="shared" si="30"/>
        <v>332.27462011660037</v>
      </c>
      <c r="J98" s="894">
        <f>'F5'!J98+'F5.1 (N)'!O47</f>
        <v>7.7252162708760208</v>
      </c>
      <c r="K98" s="894">
        <f>'F5'!K98+'F5.1 (N)'!P47</f>
        <v>0</v>
      </c>
      <c r="L98" s="894">
        <f>'F5'!L98+'F5.1 (N)'!Q47</f>
        <v>0</v>
      </c>
      <c r="M98" s="842">
        <f t="shared" si="31"/>
        <v>339.99983638747642</v>
      </c>
      <c r="N98" s="842">
        <f t="shared" si="32"/>
        <v>339.99983638747642</v>
      </c>
      <c r="O98" s="894">
        <f>'F5'!O98+'F5.1 (N)'!T47</f>
        <v>7.7252162708760093</v>
      </c>
      <c r="P98" s="894">
        <f>'F5'!P98+'F5.1 (N)'!U47</f>
        <v>0</v>
      </c>
      <c r="Q98" s="894">
        <f>'F5'!Q98+'F5.1 (N)'!V47</f>
        <v>0</v>
      </c>
      <c r="R98" s="842">
        <f t="shared" si="33"/>
        <v>347.72505265835241</v>
      </c>
      <c r="S98" s="842">
        <f t="shared" si="34"/>
        <v>347.72505265835241</v>
      </c>
      <c r="T98" s="894">
        <f>'F5'!T98+'F5.1 (N)'!Y47</f>
        <v>7.7252162708760244</v>
      </c>
      <c r="U98" s="894">
        <f>'F5'!U98+'F5.1 (N)'!Z47</f>
        <v>0</v>
      </c>
      <c r="V98" s="894">
        <f>'F5'!V98+'F5.1 (N)'!AA47</f>
        <v>0</v>
      </c>
      <c r="W98" s="842">
        <f t="shared" si="35"/>
        <v>355.45026892922846</v>
      </c>
    </row>
    <row r="99" spans="1:23" x14ac:dyDescent="0.3">
      <c r="A99" s="686">
        <f t="shared" si="28"/>
        <v>3.3399999999999999E-2</v>
      </c>
      <c r="B99" s="95">
        <f t="shared" si="36"/>
        <v>5</v>
      </c>
      <c r="C99" s="448" t="s">
        <v>846</v>
      </c>
      <c r="D99" s="892">
        <f t="shared" si="27"/>
        <v>219.99298356774773</v>
      </c>
      <c r="E99" s="687">
        <f>'F5'!E99+'F5.1 (N)'!J48</f>
        <v>11.905341196292648</v>
      </c>
      <c r="F99" s="687">
        <f>'F5'!F99+'F5.1 (N)'!K48</f>
        <v>0</v>
      </c>
      <c r="G99" s="687">
        <f>'F5'!G99+'F5.1 (N)'!L48</f>
        <v>0</v>
      </c>
      <c r="H99" s="892">
        <f t="shared" si="29"/>
        <v>231.89832476404038</v>
      </c>
      <c r="I99" s="842">
        <f t="shared" si="30"/>
        <v>231.89832476404038</v>
      </c>
      <c r="J99" s="894">
        <f>'F5'!J99+'F5.1 (N)'!O48</f>
        <v>12.834974529625981</v>
      </c>
      <c r="K99" s="894">
        <f>'F5'!K99+'F5.1 (N)'!P48</f>
        <v>0</v>
      </c>
      <c r="L99" s="894">
        <f>'F5'!L99+'F5.1 (N)'!Q48</f>
        <v>0</v>
      </c>
      <c r="M99" s="842">
        <f t="shared" si="31"/>
        <v>244.73329929366636</v>
      </c>
      <c r="N99" s="842">
        <f t="shared" si="32"/>
        <v>244.73329929366636</v>
      </c>
      <c r="O99" s="894">
        <f>'F5'!O99+'F5.1 (N)'!T48</f>
        <v>15.223074529625981</v>
      </c>
      <c r="P99" s="894">
        <f>'F5'!P99+'F5.1 (N)'!U48</f>
        <v>0</v>
      </c>
      <c r="Q99" s="894">
        <f>'F5'!Q99+'F5.1 (N)'!V48</f>
        <v>0</v>
      </c>
      <c r="R99" s="842">
        <f t="shared" si="33"/>
        <v>259.95637382329232</v>
      </c>
      <c r="S99" s="842">
        <f t="shared" si="34"/>
        <v>259.95637382329232</v>
      </c>
      <c r="T99" s="894">
        <f>'F5'!T99+'F5.1 (N)'!Y48</f>
        <v>17.060074529625982</v>
      </c>
      <c r="U99" s="894">
        <f>'F5'!U99+'F5.1 (N)'!Z48</f>
        <v>0</v>
      </c>
      <c r="V99" s="894">
        <f>'F5'!V99+'F5.1 (N)'!AA48</f>
        <v>0</v>
      </c>
      <c r="W99" s="842">
        <f t="shared" si="35"/>
        <v>277.0164483529183</v>
      </c>
    </row>
    <row r="100" spans="1:23" x14ac:dyDescent="0.3">
      <c r="A100" s="686">
        <f t="shared" si="28"/>
        <v>5.28E-2</v>
      </c>
      <c r="B100" s="95">
        <f t="shared" si="36"/>
        <v>6</v>
      </c>
      <c r="C100" s="448" t="s">
        <v>256</v>
      </c>
      <c r="D100" s="892">
        <f t="shared" si="27"/>
        <v>2686.8494485048432</v>
      </c>
      <c r="E100" s="687">
        <f>'F5'!E100+'F5.1 (N)'!J49</f>
        <v>195.54045356047652</v>
      </c>
      <c r="F100" s="687">
        <f>'F5'!F100+'F5.1 (N)'!K49</f>
        <v>0</v>
      </c>
      <c r="G100" s="687">
        <f>'F5'!G100+'F5.1 (N)'!L49</f>
        <v>0</v>
      </c>
      <c r="H100" s="892">
        <f t="shared" si="29"/>
        <v>2882.3899020653198</v>
      </c>
      <c r="I100" s="842">
        <f t="shared" si="30"/>
        <v>2882.3899020653198</v>
      </c>
      <c r="J100" s="894">
        <f>'F5'!J100+'F5.1 (N)'!O49</f>
        <v>273.69206867973725</v>
      </c>
      <c r="K100" s="894">
        <f>'F5'!K100+'F5.1 (N)'!P49</f>
        <v>0</v>
      </c>
      <c r="L100" s="894">
        <f>'F5'!L100+'F5.1 (N)'!Q49</f>
        <v>0</v>
      </c>
      <c r="M100" s="842">
        <f t="shared" si="31"/>
        <v>3156.0819707450569</v>
      </c>
      <c r="N100" s="842">
        <f t="shared" si="32"/>
        <v>3156.0819707450569</v>
      </c>
      <c r="O100" s="894">
        <f>'F5'!O100+'F5.1 (N)'!T49</f>
        <v>283.43139542640387</v>
      </c>
      <c r="P100" s="894">
        <f>'F5'!P100+'F5.1 (N)'!U49</f>
        <v>0</v>
      </c>
      <c r="Q100" s="894">
        <f>'F5'!Q100+'F5.1 (N)'!V49</f>
        <v>0</v>
      </c>
      <c r="R100" s="842">
        <f t="shared" si="33"/>
        <v>3439.5133661714608</v>
      </c>
      <c r="S100" s="842">
        <f t="shared" si="34"/>
        <v>3439.5133661714608</v>
      </c>
      <c r="T100" s="894">
        <f>'F5'!T100+'F5.1 (N)'!Y49</f>
        <v>295.52394609307055</v>
      </c>
      <c r="U100" s="894">
        <f>'F5'!U100+'F5.1 (N)'!Z49</f>
        <v>0</v>
      </c>
      <c r="V100" s="894">
        <f>'F5'!V100+'F5.1 (N)'!AA49</f>
        <v>0</v>
      </c>
      <c r="W100" s="842">
        <f t="shared" si="35"/>
        <v>3735.0373122645315</v>
      </c>
    </row>
    <row r="101" spans="1:23" x14ac:dyDescent="0.3">
      <c r="A101" s="686">
        <f t="shared" si="28"/>
        <v>0.18</v>
      </c>
      <c r="B101" s="95">
        <f t="shared" si="36"/>
        <v>7</v>
      </c>
      <c r="C101" s="448" t="s">
        <v>847</v>
      </c>
      <c r="D101" s="892">
        <f t="shared" si="27"/>
        <v>0.25166666666666665</v>
      </c>
      <c r="E101" s="687">
        <f>'F5'!E101+'F5.1 (N)'!J50</f>
        <v>0.5033333333333333</v>
      </c>
      <c r="F101" s="687">
        <f>'F5'!F101+'F5.1 (N)'!K50</f>
        <v>0</v>
      </c>
      <c r="G101" s="687">
        <f>'F5'!G101+'F5.1 (N)'!L50</f>
        <v>0</v>
      </c>
      <c r="H101" s="892">
        <f t="shared" si="29"/>
        <v>0.75499999999999989</v>
      </c>
      <c r="I101" s="842">
        <f t="shared" si="30"/>
        <v>0.75499999999999989</v>
      </c>
      <c r="J101" s="894">
        <f>'F5'!J101+'F5.1 (N)'!O50</f>
        <v>0.5033333333333333</v>
      </c>
      <c r="K101" s="894">
        <f>'F5'!K101+'F5.1 (N)'!P50</f>
        <v>0</v>
      </c>
      <c r="L101" s="894">
        <f>'F5'!L101+'F5.1 (N)'!Q50</f>
        <v>0</v>
      </c>
      <c r="M101" s="842">
        <f t="shared" si="31"/>
        <v>1.2583333333333333</v>
      </c>
      <c r="N101" s="842">
        <f t="shared" si="32"/>
        <v>1.2583333333333333</v>
      </c>
      <c r="O101" s="894">
        <f>'F5'!O101+'F5.1 (N)'!T50</f>
        <v>0.5033333333333333</v>
      </c>
      <c r="P101" s="894">
        <f>'F5'!P101+'F5.1 (N)'!U50</f>
        <v>0</v>
      </c>
      <c r="Q101" s="894">
        <f>'F5'!Q101+'F5.1 (N)'!V50</f>
        <v>0</v>
      </c>
      <c r="R101" s="842">
        <f t="shared" si="33"/>
        <v>1.7616666666666667</v>
      </c>
      <c r="S101" s="842">
        <f t="shared" si="34"/>
        <v>1.7616666666666667</v>
      </c>
      <c r="T101" s="894">
        <f>'F5'!T101+'F5.1 (N)'!Y50</f>
        <v>0.51304895302773046</v>
      </c>
      <c r="U101" s="894">
        <f>'F5'!U101+'F5.1 (N)'!Z50</f>
        <v>0</v>
      </c>
      <c r="V101" s="894">
        <f>'F5'!V101+'F5.1 (N)'!AA50</f>
        <v>0</v>
      </c>
      <c r="W101" s="842">
        <f t="shared" si="35"/>
        <v>2.2747156196943972</v>
      </c>
    </row>
    <row r="102" spans="1:23" x14ac:dyDescent="0.3">
      <c r="A102" s="686">
        <f t="shared" si="28"/>
        <v>5.28E-2</v>
      </c>
      <c r="B102" s="95">
        <f t="shared" si="36"/>
        <v>8</v>
      </c>
      <c r="C102" s="448" t="s">
        <v>848</v>
      </c>
      <c r="D102" s="892">
        <f t="shared" si="27"/>
        <v>0</v>
      </c>
      <c r="E102" s="687">
        <f>'F5'!E102+'F5.1 (N)'!J51</f>
        <v>0</v>
      </c>
      <c r="F102" s="687">
        <f>'F5'!F102+'F5.1 (N)'!K51</f>
        <v>0</v>
      </c>
      <c r="G102" s="687">
        <f>'F5'!G102+'F5.1 (N)'!L51</f>
        <v>0</v>
      </c>
      <c r="H102" s="892">
        <f t="shared" si="29"/>
        <v>0</v>
      </c>
      <c r="I102" s="842">
        <f t="shared" si="30"/>
        <v>0</v>
      </c>
      <c r="J102" s="894">
        <f>'F5'!J102+'F5.1 (N)'!O51</f>
        <v>0</v>
      </c>
      <c r="K102" s="894">
        <f>'F5'!K102+'F5.1 (N)'!P51</f>
        <v>0</v>
      </c>
      <c r="L102" s="894">
        <f>'F5'!L102+'F5.1 (N)'!Q51</f>
        <v>0</v>
      </c>
      <c r="M102" s="842">
        <f t="shared" si="31"/>
        <v>0</v>
      </c>
      <c r="N102" s="842">
        <f t="shared" si="32"/>
        <v>0</v>
      </c>
      <c r="O102" s="894">
        <f>'F5'!O102+'F5.1 (N)'!T51</f>
        <v>0</v>
      </c>
      <c r="P102" s="894">
        <f>'F5'!P102+'F5.1 (N)'!U51</f>
        <v>0</v>
      </c>
      <c r="Q102" s="894">
        <f>'F5'!Q102+'F5.1 (N)'!V51</f>
        <v>0</v>
      </c>
      <c r="R102" s="842">
        <f t="shared" si="33"/>
        <v>0</v>
      </c>
      <c r="S102" s="842">
        <f t="shared" si="34"/>
        <v>0</v>
      </c>
      <c r="T102" s="894">
        <f>'F5'!T102+'F5.1 (N)'!Y51</f>
        <v>0</v>
      </c>
      <c r="U102" s="894">
        <f>'F5'!U102+'F5.1 (N)'!Z51</f>
        <v>0</v>
      </c>
      <c r="V102" s="894">
        <f>'F5'!V102+'F5.1 (N)'!AA51</f>
        <v>0</v>
      </c>
      <c r="W102" s="842">
        <f t="shared" si="35"/>
        <v>0</v>
      </c>
    </row>
    <row r="103" spans="1:23" x14ac:dyDescent="0.3">
      <c r="A103" s="686">
        <f t="shared" si="28"/>
        <v>5.28E-2</v>
      </c>
      <c r="B103" s="95">
        <f t="shared" si="36"/>
        <v>9</v>
      </c>
      <c r="C103" s="448" t="s">
        <v>849</v>
      </c>
      <c r="D103" s="892">
        <f t="shared" si="27"/>
        <v>106.24083795702948</v>
      </c>
      <c r="E103" s="687">
        <f>'F5'!E103+'F5.1 (N)'!J52</f>
        <v>0.62396679868250093</v>
      </c>
      <c r="F103" s="687">
        <f>'F5'!F103+'F5.1 (N)'!K52</f>
        <v>0</v>
      </c>
      <c r="G103" s="687">
        <f>'F5'!G103+'F5.1 (N)'!L52</f>
        <v>0</v>
      </c>
      <c r="H103" s="892">
        <f t="shared" si="29"/>
        <v>106.86480475571199</v>
      </c>
      <c r="I103" s="842">
        <f t="shared" si="30"/>
        <v>106.86480475571199</v>
      </c>
      <c r="J103" s="894">
        <f>'F5'!J103+'F5.1 (N)'!O52</f>
        <v>0.62396679868250038</v>
      </c>
      <c r="K103" s="894">
        <f>'F5'!K103+'F5.1 (N)'!P52</f>
        <v>0</v>
      </c>
      <c r="L103" s="894">
        <f>'F5'!L103+'F5.1 (N)'!Q52</f>
        <v>0</v>
      </c>
      <c r="M103" s="842">
        <f t="shared" si="31"/>
        <v>107.48877155439449</v>
      </c>
      <c r="N103" s="842">
        <f t="shared" si="32"/>
        <v>107.48877155439449</v>
      </c>
      <c r="O103" s="894">
        <f>'F5'!O103+'F5.1 (N)'!T52</f>
        <v>0.62396679868249949</v>
      </c>
      <c r="P103" s="894">
        <f>'F5'!P103+'F5.1 (N)'!U52</f>
        <v>0</v>
      </c>
      <c r="Q103" s="894">
        <f>'F5'!Q103+'F5.1 (N)'!V52</f>
        <v>0</v>
      </c>
      <c r="R103" s="842">
        <f t="shared" si="33"/>
        <v>108.11273835307699</v>
      </c>
      <c r="S103" s="842">
        <f t="shared" si="34"/>
        <v>108.11273835307699</v>
      </c>
      <c r="T103" s="894">
        <f>'F5'!T103+'F5.1 (N)'!Y52</f>
        <v>0.62396679868249705</v>
      </c>
      <c r="U103" s="894">
        <f>'F5'!U103+'F5.1 (N)'!Z52</f>
        <v>0</v>
      </c>
      <c r="V103" s="894">
        <f>'F5'!V103+'F5.1 (N)'!AA52</f>
        <v>0</v>
      </c>
      <c r="W103" s="842">
        <f t="shared" si="35"/>
        <v>108.73670515175949</v>
      </c>
    </row>
    <row r="104" spans="1:23" x14ac:dyDescent="0.3">
      <c r="A104" s="686">
        <f t="shared" si="28"/>
        <v>9.5000000000000001E-2</v>
      </c>
      <c r="B104" s="95">
        <f t="shared" si="36"/>
        <v>10</v>
      </c>
      <c r="C104" s="448" t="s">
        <v>259</v>
      </c>
      <c r="D104" s="892">
        <f t="shared" si="27"/>
        <v>3.6957312490846896</v>
      </c>
      <c r="E104" s="687">
        <f>'F5'!E104+'F5.1 (N)'!J53</f>
        <v>2.2426479480779147</v>
      </c>
      <c r="F104" s="687">
        <f>'F5'!F104+'F5.1 (N)'!K53</f>
        <v>0</v>
      </c>
      <c r="G104" s="687">
        <f>'F5'!G104+'F5.1 (N)'!L53</f>
        <v>0</v>
      </c>
      <c r="H104" s="892">
        <f t="shared" si="29"/>
        <v>5.9383791971626039</v>
      </c>
      <c r="I104" s="842">
        <f t="shared" si="30"/>
        <v>5.9383791971626039</v>
      </c>
      <c r="J104" s="894">
        <f>'F5'!J104+'F5.1 (N)'!O53</f>
        <v>2.2426479480779147</v>
      </c>
      <c r="K104" s="894">
        <f>'F5'!K104+'F5.1 (N)'!P53</f>
        <v>0</v>
      </c>
      <c r="L104" s="894">
        <f>'F5'!L104+'F5.1 (N)'!Q53</f>
        <v>0</v>
      </c>
      <c r="M104" s="842">
        <f t="shared" si="31"/>
        <v>8.1810271452405185</v>
      </c>
      <c r="N104" s="842">
        <f t="shared" si="32"/>
        <v>8.1810271452405185</v>
      </c>
      <c r="O104" s="894">
        <f>'F5'!O104+'F5.1 (N)'!T53</f>
        <v>2.2426479480779147</v>
      </c>
      <c r="P104" s="894">
        <f>'F5'!P104+'F5.1 (N)'!U53</f>
        <v>0</v>
      </c>
      <c r="Q104" s="894">
        <f>'F5'!Q104+'F5.1 (N)'!V53</f>
        <v>0</v>
      </c>
      <c r="R104" s="842">
        <f t="shared" si="33"/>
        <v>10.423675093318433</v>
      </c>
      <c r="S104" s="842">
        <f t="shared" si="34"/>
        <v>10.423675093318433</v>
      </c>
      <c r="T104" s="894">
        <f>'F5'!T104+'F5.1 (N)'!Y53</f>
        <v>2.2426479480779147</v>
      </c>
      <c r="U104" s="894">
        <f>'F5'!U104+'F5.1 (N)'!Z53</f>
        <v>0</v>
      </c>
      <c r="V104" s="894">
        <f>'F5'!V104+'F5.1 (N)'!AA53</f>
        <v>0</v>
      </c>
      <c r="W104" s="842">
        <f t="shared" si="35"/>
        <v>12.666323041396348</v>
      </c>
    </row>
    <row r="105" spans="1:23" x14ac:dyDescent="0.3">
      <c r="A105" s="686">
        <f t="shared" si="28"/>
        <v>6.3299999999999995E-2</v>
      </c>
      <c r="B105" s="95">
        <f t="shared" si="36"/>
        <v>11</v>
      </c>
      <c r="C105" s="448" t="s">
        <v>260</v>
      </c>
      <c r="D105" s="892">
        <f t="shared" si="27"/>
        <v>2.6193476934840976</v>
      </c>
      <c r="E105" s="687">
        <f>'F5'!E105+'F5.1 (N)'!J54</f>
        <v>0.17218669501799624</v>
      </c>
      <c r="F105" s="687">
        <f>'F5'!F105+'F5.1 (N)'!K54</f>
        <v>0</v>
      </c>
      <c r="G105" s="687">
        <f>'F5'!G105+'F5.1 (N)'!L54</f>
        <v>0</v>
      </c>
      <c r="H105" s="892">
        <f t="shared" si="29"/>
        <v>2.791534388502094</v>
      </c>
      <c r="I105" s="842">
        <f t="shared" si="30"/>
        <v>2.791534388502094</v>
      </c>
      <c r="J105" s="894">
        <f>'F5'!J105+'F5.1 (N)'!O54</f>
        <v>0.17218669501799619</v>
      </c>
      <c r="K105" s="894">
        <f>'F5'!K105+'F5.1 (N)'!P54</f>
        <v>0</v>
      </c>
      <c r="L105" s="894">
        <f>'F5'!L105+'F5.1 (N)'!Q54</f>
        <v>0</v>
      </c>
      <c r="M105" s="842">
        <f t="shared" si="31"/>
        <v>2.96372108352009</v>
      </c>
      <c r="N105" s="842">
        <f t="shared" si="32"/>
        <v>2.96372108352009</v>
      </c>
      <c r="O105" s="894">
        <f>'F5'!O105+'F5.1 (N)'!T54</f>
        <v>0.17218669501799624</v>
      </c>
      <c r="P105" s="894">
        <f>'F5'!P105+'F5.1 (N)'!U54</f>
        <v>0</v>
      </c>
      <c r="Q105" s="894">
        <f>'F5'!Q105+'F5.1 (N)'!V54</f>
        <v>0</v>
      </c>
      <c r="R105" s="842">
        <f t="shared" si="33"/>
        <v>3.1359077785380864</v>
      </c>
      <c r="S105" s="842">
        <f t="shared" si="34"/>
        <v>3.1359077785380864</v>
      </c>
      <c r="T105" s="894">
        <f>'F5'!T105+'F5.1 (N)'!Y54</f>
        <v>0.17218669501799611</v>
      </c>
      <c r="U105" s="894">
        <f>'F5'!U105+'F5.1 (N)'!Z54</f>
        <v>0</v>
      </c>
      <c r="V105" s="894">
        <f>'F5'!V105+'F5.1 (N)'!AA54</f>
        <v>0</v>
      </c>
      <c r="W105" s="842">
        <f t="shared" si="35"/>
        <v>3.3080944735560824</v>
      </c>
    </row>
    <row r="106" spans="1:23" x14ac:dyDescent="0.3">
      <c r="A106" s="686">
        <f t="shared" si="28"/>
        <v>6.3299999999999995E-2</v>
      </c>
      <c r="B106" s="95">
        <f t="shared" si="36"/>
        <v>12</v>
      </c>
      <c r="C106" s="448" t="s">
        <v>261</v>
      </c>
      <c r="D106" s="892">
        <f t="shared" si="27"/>
        <v>5.0242746591236225</v>
      </c>
      <c r="E106" s="687">
        <f>'F5'!E106+'F5.1 (N)'!J55</f>
        <v>0.50951855935207468</v>
      </c>
      <c r="F106" s="687">
        <f>'F5'!F106+'F5.1 (N)'!K55</f>
        <v>0</v>
      </c>
      <c r="G106" s="687">
        <f>'F5'!G106+'F5.1 (N)'!L55</f>
        <v>0</v>
      </c>
      <c r="H106" s="892">
        <f t="shared" si="29"/>
        <v>5.5337932184756973</v>
      </c>
      <c r="I106" s="842">
        <f t="shared" si="30"/>
        <v>5.5337932184756973</v>
      </c>
      <c r="J106" s="894">
        <f>'F5'!J106+'F5.1 (N)'!O55</f>
        <v>0.51977145196673757</v>
      </c>
      <c r="K106" s="894">
        <f>'F5'!K106+'F5.1 (N)'!P55</f>
        <v>0</v>
      </c>
      <c r="L106" s="894">
        <f>'F5'!L106+'F5.1 (N)'!Q55</f>
        <v>0</v>
      </c>
      <c r="M106" s="842">
        <f t="shared" si="31"/>
        <v>6.0535646704424346</v>
      </c>
      <c r="N106" s="842">
        <f t="shared" si="32"/>
        <v>6.0535646704424346</v>
      </c>
      <c r="O106" s="894">
        <f>'F5'!O106+'F5.1 (N)'!T55</f>
        <v>0.51977145196673769</v>
      </c>
      <c r="P106" s="894">
        <f>'F5'!P106+'F5.1 (N)'!U55</f>
        <v>0</v>
      </c>
      <c r="Q106" s="894">
        <f>'F5'!Q106+'F5.1 (N)'!V55</f>
        <v>0</v>
      </c>
      <c r="R106" s="842">
        <f t="shared" si="33"/>
        <v>6.573336122409172</v>
      </c>
      <c r="S106" s="842">
        <f t="shared" si="34"/>
        <v>6.573336122409172</v>
      </c>
      <c r="T106" s="894">
        <f>'F5'!T106+'F5.1 (N)'!Y55</f>
        <v>0.51977145196673802</v>
      </c>
      <c r="U106" s="894">
        <f>'F5'!U106+'F5.1 (N)'!Z55</f>
        <v>0</v>
      </c>
      <c r="V106" s="894">
        <f>'F5'!V106+'F5.1 (N)'!AA55</f>
        <v>0</v>
      </c>
      <c r="W106" s="842">
        <f t="shared" si="35"/>
        <v>7.0931075743759102</v>
      </c>
    </row>
    <row r="107" spans="1:23" x14ac:dyDescent="0.3">
      <c r="A107" s="686">
        <f t="shared" si="28"/>
        <v>6.3299999999999995E-2</v>
      </c>
      <c r="B107" s="95">
        <f t="shared" si="36"/>
        <v>13</v>
      </c>
      <c r="C107" s="469" t="s">
        <v>897</v>
      </c>
      <c r="D107" s="892">
        <f t="shared" si="27"/>
        <v>0</v>
      </c>
      <c r="E107" s="687">
        <f>'F5'!E107+'F5.1 (N)'!J56</f>
        <v>0</v>
      </c>
      <c r="F107" s="687">
        <f>'F5'!F107+'F5.1 (N)'!K56</f>
        <v>0</v>
      </c>
      <c r="G107" s="687">
        <f>'F5'!G107+'F5.1 (N)'!L56</f>
        <v>0</v>
      </c>
      <c r="H107" s="892">
        <f t="shared" si="29"/>
        <v>0</v>
      </c>
      <c r="I107" s="842">
        <f t="shared" si="30"/>
        <v>0</v>
      </c>
      <c r="J107" s="894">
        <f>'F5'!J107+'F5.1 (N)'!O56</f>
        <v>0</v>
      </c>
      <c r="K107" s="894">
        <f>'F5'!K107+'F5.1 (N)'!P56</f>
        <v>0</v>
      </c>
      <c r="L107" s="894">
        <f>'F5'!L107+'F5.1 (N)'!Q56</f>
        <v>0</v>
      </c>
      <c r="M107" s="842">
        <f t="shared" si="31"/>
        <v>0</v>
      </c>
      <c r="N107" s="842">
        <f t="shared" si="32"/>
        <v>0</v>
      </c>
      <c r="O107" s="894">
        <f>'F5'!O107+'F5.1 (N)'!T56</f>
        <v>0</v>
      </c>
      <c r="P107" s="894">
        <f>'F5'!P107+'F5.1 (N)'!U56</f>
        <v>0</v>
      </c>
      <c r="Q107" s="894">
        <f>'F5'!Q107+'F5.1 (N)'!V56</f>
        <v>0</v>
      </c>
      <c r="R107" s="842">
        <f t="shared" si="33"/>
        <v>0</v>
      </c>
      <c r="S107" s="842">
        <f t="shared" si="34"/>
        <v>0</v>
      </c>
      <c r="T107" s="894">
        <f>'F5'!T107+'F5.1 (N)'!Y56</f>
        <v>0</v>
      </c>
      <c r="U107" s="894">
        <f>'F5'!U107+'F5.1 (N)'!Z56</f>
        <v>0</v>
      </c>
      <c r="V107" s="894">
        <f>'F5'!V107+'F5.1 (N)'!AA56</f>
        <v>0</v>
      </c>
      <c r="W107" s="842">
        <f t="shared" si="35"/>
        <v>0</v>
      </c>
    </row>
    <row r="108" spans="1:23" x14ac:dyDescent="0.3">
      <c r="A108" s="686">
        <f t="shared" si="28"/>
        <v>0.15</v>
      </c>
      <c r="B108" s="95">
        <f t="shared" si="36"/>
        <v>14</v>
      </c>
      <c r="C108" s="469" t="s">
        <v>898</v>
      </c>
      <c r="D108" s="892">
        <f t="shared" si="27"/>
        <v>0</v>
      </c>
      <c r="E108" s="687">
        <f>'F5'!E108+'F5.1 (N)'!J57</f>
        <v>0</v>
      </c>
      <c r="F108" s="687">
        <f>'F5'!F108+'F5.1 (N)'!K57</f>
        <v>0</v>
      </c>
      <c r="G108" s="687">
        <f>'F5'!G108+'F5.1 (N)'!L57</f>
        <v>0</v>
      </c>
      <c r="H108" s="892">
        <f t="shared" si="29"/>
        <v>0</v>
      </c>
      <c r="I108" s="842">
        <f t="shared" si="30"/>
        <v>0</v>
      </c>
      <c r="J108" s="894">
        <f>'F5'!J108+'F5.1 (N)'!O57</f>
        <v>0</v>
      </c>
      <c r="K108" s="894">
        <f>'F5'!K108+'F5.1 (N)'!P57</f>
        <v>0</v>
      </c>
      <c r="L108" s="894">
        <f>'F5'!L108+'F5.1 (N)'!Q57</f>
        <v>0</v>
      </c>
      <c r="M108" s="842">
        <f t="shared" si="31"/>
        <v>0</v>
      </c>
      <c r="N108" s="842">
        <f t="shared" si="32"/>
        <v>0</v>
      </c>
      <c r="O108" s="894">
        <f>'F5'!O108+'F5.1 (N)'!T57</f>
        <v>0</v>
      </c>
      <c r="P108" s="894">
        <f>'F5'!P108+'F5.1 (N)'!U57</f>
        <v>0</v>
      </c>
      <c r="Q108" s="894">
        <f>'F5'!Q108+'F5.1 (N)'!V57</f>
        <v>0</v>
      </c>
      <c r="R108" s="842">
        <f t="shared" si="33"/>
        <v>0</v>
      </c>
      <c r="S108" s="842">
        <f t="shared" si="34"/>
        <v>0</v>
      </c>
      <c r="T108" s="894">
        <f>'F5'!T108+'F5.1 (N)'!Y57</f>
        <v>0</v>
      </c>
      <c r="U108" s="894">
        <f>'F5'!U108+'F5.1 (N)'!Z57</f>
        <v>0</v>
      </c>
      <c r="V108" s="894">
        <f>'F5'!V108+'F5.1 (N)'!AA57</f>
        <v>0</v>
      </c>
      <c r="W108" s="842">
        <f t="shared" si="35"/>
        <v>0</v>
      </c>
    </row>
    <row r="109" spans="1:23" x14ac:dyDescent="0.3">
      <c r="A109" s="686">
        <f t="shared" si="28"/>
        <v>0.3</v>
      </c>
      <c r="B109" s="95">
        <f t="shared" si="36"/>
        <v>15</v>
      </c>
      <c r="C109" s="469" t="s">
        <v>899</v>
      </c>
      <c r="D109" s="892">
        <f t="shared" si="27"/>
        <v>4.9999999999999991</v>
      </c>
      <c r="E109" s="687">
        <f>'F5'!E109+'F5.1 (N)'!J58</f>
        <v>9.9999999999999982</v>
      </c>
      <c r="F109" s="687">
        <f>'F5'!F109+'F5.1 (N)'!K58</f>
        <v>0</v>
      </c>
      <c r="G109" s="687">
        <f>'F5'!G109+'F5.1 (N)'!L58</f>
        <v>0</v>
      </c>
      <c r="H109" s="892">
        <f t="shared" si="29"/>
        <v>14.999999999999996</v>
      </c>
      <c r="I109" s="842">
        <f t="shared" si="30"/>
        <v>14.999999999999996</v>
      </c>
      <c r="J109" s="894">
        <f>'F5'!J109+'F5.1 (N)'!O58</f>
        <v>9.9999999999999982</v>
      </c>
      <c r="K109" s="894">
        <f>'F5'!K109+'F5.1 (N)'!P58</f>
        <v>0</v>
      </c>
      <c r="L109" s="894">
        <f>'F5'!L109+'F5.1 (N)'!Q58</f>
        <v>0</v>
      </c>
      <c r="M109" s="842">
        <f t="shared" si="31"/>
        <v>24.999999999999993</v>
      </c>
      <c r="N109" s="842">
        <f t="shared" si="32"/>
        <v>24.999999999999993</v>
      </c>
      <c r="O109" s="894">
        <f>'F5'!O109+'F5.1 (N)'!T58</f>
        <v>9.9999999999999982</v>
      </c>
      <c r="P109" s="894">
        <f>'F5'!P109+'F5.1 (N)'!U58</f>
        <v>0</v>
      </c>
      <c r="Q109" s="894">
        <f>'F5'!Q109+'F5.1 (N)'!V58</f>
        <v>0</v>
      </c>
      <c r="R109" s="842">
        <f t="shared" si="33"/>
        <v>34.999999999999993</v>
      </c>
      <c r="S109" s="842">
        <f t="shared" si="34"/>
        <v>34.999999999999993</v>
      </c>
      <c r="T109" s="894">
        <f>'F5'!T109+'F5.1 (N)'!Y58</f>
        <v>9.9999999999999982</v>
      </c>
      <c r="U109" s="894">
        <f>'F5'!U109+'F5.1 (N)'!Z58</f>
        <v>0</v>
      </c>
      <c r="V109" s="894">
        <f>'F5'!V109+'F5.1 (N)'!AA58</f>
        <v>0</v>
      </c>
      <c r="W109" s="842">
        <f t="shared" si="35"/>
        <v>44.999999999999993</v>
      </c>
    </row>
    <row r="110" spans="1:23" x14ac:dyDescent="0.3">
      <c r="A110" s="686">
        <f t="shared" si="28"/>
        <v>0.3</v>
      </c>
      <c r="B110" s="95">
        <f t="shared" si="36"/>
        <v>16</v>
      </c>
      <c r="C110" s="469" t="s">
        <v>850</v>
      </c>
      <c r="D110" s="892">
        <f t="shared" si="27"/>
        <v>0</v>
      </c>
      <c r="E110" s="687">
        <f>'F5'!E110+'F5.1 (N)'!J59</f>
        <v>0</v>
      </c>
      <c r="F110" s="687">
        <f>'F5'!F110+'F5.1 (N)'!K59</f>
        <v>0</v>
      </c>
      <c r="G110" s="687">
        <f>'F5'!G110+'F5.1 (N)'!L59</f>
        <v>0</v>
      </c>
      <c r="H110" s="892">
        <f t="shared" si="29"/>
        <v>0</v>
      </c>
      <c r="I110" s="842">
        <f t="shared" si="30"/>
        <v>0</v>
      </c>
      <c r="J110" s="894">
        <f>'F5'!J110+'F5.1 (N)'!O59</f>
        <v>0</v>
      </c>
      <c r="K110" s="894">
        <f>'F5'!K110+'F5.1 (N)'!P59</f>
        <v>0</v>
      </c>
      <c r="L110" s="894">
        <f>'F5'!L110+'F5.1 (N)'!Q59</f>
        <v>0</v>
      </c>
      <c r="M110" s="842">
        <f t="shared" si="31"/>
        <v>0</v>
      </c>
      <c r="N110" s="842">
        <f t="shared" si="32"/>
        <v>0</v>
      </c>
      <c r="O110" s="894">
        <f>'F5'!O110+'F5.1 (N)'!T59</f>
        <v>0</v>
      </c>
      <c r="P110" s="894">
        <f>'F5'!P110+'F5.1 (N)'!U59</f>
        <v>0</v>
      </c>
      <c r="Q110" s="894">
        <f>'F5'!Q110+'F5.1 (N)'!V59</f>
        <v>0</v>
      </c>
      <c r="R110" s="842">
        <f t="shared" si="33"/>
        <v>0</v>
      </c>
      <c r="S110" s="842">
        <f t="shared" si="34"/>
        <v>0</v>
      </c>
      <c r="T110" s="894">
        <f>'F5'!T110+'F5.1 (N)'!Y59</f>
        <v>0</v>
      </c>
      <c r="U110" s="894">
        <f>'F5'!U110+'F5.1 (N)'!Z59</f>
        <v>0</v>
      </c>
      <c r="V110" s="894">
        <f>'F5'!V110+'F5.1 (N)'!AA59</f>
        <v>0</v>
      </c>
      <c r="W110" s="842">
        <f t="shared" si="35"/>
        <v>0</v>
      </c>
    </row>
    <row r="111" spans="1:23" x14ac:dyDescent="0.3">
      <c r="A111" s="686">
        <f t="shared" si="28"/>
        <v>3.3399999999999999E-2</v>
      </c>
      <c r="B111" s="95">
        <f t="shared" si="36"/>
        <v>17</v>
      </c>
      <c r="C111" s="469" t="s">
        <v>900</v>
      </c>
      <c r="D111" s="892">
        <f t="shared" si="27"/>
        <v>0</v>
      </c>
      <c r="E111" s="687">
        <f>'F5'!E111+'F5.1 (N)'!J60</f>
        <v>0</v>
      </c>
      <c r="F111" s="687">
        <f>'F5'!F111+'F5.1 (N)'!K60</f>
        <v>0</v>
      </c>
      <c r="G111" s="687">
        <f>'F5'!G111+'F5.1 (N)'!L60</f>
        <v>0</v>
      </c>
      <c r="H111" s="892">
        <f t="shared" si="29"/>
        <v>0</v>
      </c>
      <c r="I111" s="842">
        <f t="shared" si="30"/>
        <v>0</v>
      </c>
      <c r="J111" s="894">
        <f>'F5'!J111+'F5.1 (N)'!O60</f>
        <v>0</v>
      </c>
      <c r="K111" s="894">
        <f>'F5'!K111+'F5.1 (N)'!P60</f>
        <v>0</v>
      </c>
      <c r="L111" s="894">
        <f>'F5'!L111+'F5.1 (N)'!Q60</f>
        <v>0</v>
      </c>
      <c r="M111" s="842">
        <f t="shared" si="31"/>
        <v>0</v>
      </c>
      <c r="N111" s="842">
        <f t="shared" si="32"/>
        <v>0</v>
      </c>
      <c r="O111" s="894">
        <f>'F5'!O111+'F5.1 (N)'!T60</f>
        <v>0</v>
      </c>
      <c r="P111" s="894">
        <f>'F5'!P111+'F5.1 (N)'!U60</f>
        <v>0</v>
      </c>
      <c r="Q111" s="894">
        <f>'F5'!Q111+'F5.1 (N)'!V60</f>
        <v>0</v>
      </c>
      <c r="R111" s="842">
        <f t="shared" si="33"/>
        <v>0</v>
      </c>
      <c r="S111" s="842">
        <f t="shared" si="34"/>
        <v>0</v>
      </c>
      <c r="T111" s="894">
        <f>'F5'!T111+'F5.1 (N)'!Y60</f>
        <v>0</v>
      </c>
      <c r="U111" s="894">
        <f>'F5'!U111+'F5.1 (N)'!Z60</f>
        <v>0</v>
      </c>
      <c r="V111" s="894">
        <f>'F5'!V111+'F5.1 (N)'!AA60</f>
        <v>0</v>
      </c>
      <c r="W111" s="842">
        <f t="shared" si="35"/>
        <v>0</v>
      </c>
    </row>
    <row r="112" spans="1:23" ht="16" x14ac:dyDescent="0.3">
      <c r="B112" s="83"/>
      <c r="C112" s="97" t="s">
        <v>271</v>
      </c>
      <c r="D112" s="886">
        <f t="shared" ref="D112:W112" si="37">SUM(D95:D111)</f>
        <v>3726.1376800752332</v>
      </c>
      <c r="E112" s="886">
        <f t="shared" si="37"/>
        <v>247.08144036790097</v>
      </c>
      <c r="F112" s="886">
        <f t="shared" si="37"/>
        <v>0</v>
      </c>
      <c r="G112" s="886">
        <f t="shared" si="37"/>
        <v>0</v>
      </c>
      <c r="H112" s="886">
        <f t="shared" si="37"/>
        <v>3973.2191204431351</v>
      </c>
      <c r="I112" s="886">
        <f t="shared" si="37"/>
        <v>3973.2191204431351</v>
      </c>
      <c r="J112" s="886">
        <f t="shared" si="37"/>
        <v>327.25363654644298</v>
      </c>
      <c r="K112" s="886">
        <f t="shared" si="37"/>
        <v>0</v>
      </c>
      <c r="L112" s="886">
        <f t="shared" si="37"/>
        <v>0</v>
      </c>
      <c r="M112" s="886">
        <f t="shared" si="37"/>
        <v>4300.4727569895776</v>
      </c>
      <c r="N112" s="886">
        <f t="shared" si="37"/>
        <v>4300.4727569895776</v>
      </c>
      <c r="O112" s="886">
        <f t="shared" si="37"/>
        <v>341.95573444910963</v>
      </c>
      <c r="P112" s="886">
        <f t="shared" si="37"/>
        <v>0</v>
      </c>
      <c r="Q112" s="886">
        <f t="shared" si="37"/>
        <v>0</v>
      </c>
      <c r="R112" s="886">
        <f t="shared" si="37"/>
        <v>4642.4284914386872</v>
      </c>
      <c r="S112" s="886">
        <f t="shared" si="37"/>
        <v>4642.4284914386872</v>
      </c>
      <c r="T112" s="886">
        <f t="shared" si="37"/>
        <v>358.05002189147075</v>
      </c>
      <c r="U112" s="886">
        <f t="shared" si="37"/>
        <v>0</v>
      </c>
      <c r="V112" s="886">
        <f t="shared" si="37"/>
        <v>0</v>
      </c>
      <c r="W112" s="886">
        <f t="shared" si="37"/>
        <v>5000.4785133301575</v>
      </c>
    </row>
    <row r="113" spans="2:23" ht="16" x14ac:dyDescent="0.3">
      <c r="B113" s="262"/>
      <c r="C113" s="264"/>
      <c r="D113" s="1112"/>
      <c r="E113" s="1111">
        <f>T86-1</f>
        <v>4.2909589041095906</v>
      </c>
      <c r="F113" s="1112"/>
      <c r="G113" s="1112"/>
      <c r="H113" s="1112"/>
    </row>
    <row r="114" spans="2:23" x14ac:dyDescent="0.3">
      <c r="B114" s="1"/>
      <c r="C114" s="1"/>
      <c r="D114" s="1"/>
      <c r="E114" s="1"/>
      <c r="F114" s="1"/>
      <c r="G114" s="1"/>
      <c r="H114" s="1"/>
      <c r="I114" s="1"/>
      <c r="J114" s="1"/>
      <c r="K114" s="1"/>
      <c r="L114" s="1"/>
      <c r="M114" s="1"/>
      <c r="N114" s="1"/>
      <c r="O114" s="1"/>
      <c r="P114" s="1"/>
      <c r="Q114" s="1"/>
      <c r="R114" s="1"/>
    </row>
    <row r="115" spans="2:23" x14ac:dyDescent="0.3">
      <c r="B115" s="1107" t="s">
        <v>341</v>
      </c>
      <c r="C115" s="1"/>
      <c r="D115" s="1"/>
      <c r="E115" s="1"/>
      <c r="F115" s="1"/>
      <c r="G115" s="1"/>
      <c r="H115" s="1"/>
      <c r="I115" s="1"/>
      <c r="J115" s="1"/>
      <c r="K115" s="1"/>
      <c r="L115" s="1"/>
      <c r="M115" s="1"/>
      <c r="N115" s="1"/>
      <c r="O115" s="1"/>
      <c r="P115" s="1"/>
      <c r="Q115" s="1"/>
      <c r="R115" s="1"/>
    </row>
    <row r="116" spans="2:23" x14ac:dyDescent="0.3">
      <c r="B116" s="1107"/>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59" t="s">
        <v>10</v>
      </c>
      <c r="O117" s="1"/>
      <c r="P117" s="1"/>
      <c r="Q117" s="1"/>
    </row>
    <row r="118" spans="2:23" ht="15" customHeight="1" x14ac:dyDescent="0.3">
      <c r="B118" s="1699" t="s">
        <v>340</v>
      </c>
      <c r="C118" s="1699" t="s">
        <v>37</v>
      </c>
      <c r="D118" s="1847" t="s">
        <v>506</v>
      </c>
      <c r="E118" s="1848"/>
      <c r="F118" s="1848"/>
      <c r="G118" s="1848"/>
      <c r="H118" s="1849"/>
      <c r="I118" s="1841" t="s">
        <v>507</v>
      </c>
      <c r="J118" s="1841"/>
      <c r="K118" s="1841"/>
      <c r="L118" s="1841"/>
      <c r="M118" s="1841"/>
      <c r="N118" s="1838" t="s">
        <v>508</v>
      </c>
      <c r="O118" s="1838"/>
      <c r="P118" s="1838"/>
      <c r="Q118" s="1838"/>
      <c r="R118" s="1838"/>
      <c r="S118" s="1838" t="s">
        <v>969</v>
      </c>
      <c r="T118" s="1838"/>
      <c r="U118" s="1838"/>
      <c r="V118" s="1838"/>
      <c r="W118" s="1838"/>
    </row>
    <row r="119" spans="2:23" x14ac:dyDescent="0.3">
      <c r="B119" s="1699"/>
      <c r="C119" s="1699"/>
      <c r="D119" s="1839" t="s">
        <v>7</v>
      </c>
      <c r="E119" s="1840"/>
      <c r="F119" s="1840"/>
      <c r="G119" s="1840"/>
      <c r="H119" s="1840"/>
      <c r="I119" s="1839" t="s">
        <v>7</v>
      </c>
      <c r="J119" s="1840"/>
      <c r="K119" s="1840"/>
      <c r="L119" s="1840"/>
      <c r="M119" s="1840"/>
      <c r="N119" s="1841" t="s">
        <v>12</v>
      </c>
      <c r="O119" s="1842"/>
      <c r="P119" s="1842"/>
      <c r="Q119" s="1842"/>
      <c r="R119" s="1842"/>
      <c r="S119" s="1841" t="s">
        <v>21</v>
      </c>
      <c r="T119" s="1842"/>
      <c r="U119" s="1842"/>
      <c r="V119" s="1842"/>
      <c r="W119" s="1842"/>
    </row>
    <row r="120" spans="2:23" ht="42" x14ac:dyDescent="0.3">
      <c r="B120" s="1699"/>
      <c r="C120" s="1699"/>
      <c r="D120" s="1108" t="s">
        <v>267</v>
      </c>
      <c r="E120" s="1108" t="s">
        <v>268</v>
      </c>
      <c r="F120" s="263" t="s">
        <v>274</v>
      </c>
      <c r="G120" s="1106" t="s">
        <v>587</v>
      </c>
      <c r="H120" s="1108" t="s">
        <v>270</v>
      </c>
      <c r="I120" s="1108" t="s">
        <v>267</v>
      </c>
      <c r="J120" s="1108" t="s">
        <v>268</v>
      </c>
      <c r="K120" s="263" t="s">
        <v>274</v>
      </c>
      <c r="L120" s="1106" t="s">
        <v>587</v>
      </c>
      <c r="M120" s="1108" t="s">
        <v>270</v>
      </c>
      <c r="N120" s="1108" t="s">
        <v>267</v>
      </c>
      <c r="O120" s="1108" t="s">
        <v>268</v>
      </c>
      <c r="P120" s="263" t="s">
        <v>274</v>
      </c>
      <c r="Q120" s="1106" t="s">
        <v>587</v>
      </c>
      <c r="R120" s="1108" t="s">
        <v>270</v>
      </c>
      <c r="S120" s="1108" t="s">
        <v>267</v>
      </c>
      <c r="T120" s="1108" t="s">
        <v>268</v>
      </c>
      <c r="U120" s="263" t="s">
        <v>274</v>
      </c>
      <c r="V120" s="1106" t="s">
        <v>587</v>
      </c>
      <c r="W120" s="1108" t="s">
        <v>270</v>
      </c>
    </row>
    <row r="121" spans="2:23" ht="28" x14ac:dyDescent="0.3">
      <c r="B121" s="260"/>
      <c r="C121" s="260"/>
      <c r="D121" s="260" t="s">
        <v>81</v>
      </c>
      <c r="E121" s="260" t="s">
        <v>82</v>
      </c>
      <c r="F121" s="260" t="s">
        <v>459</v>
      </c>
      <c r="G121" s="260" t="s">
        <v>391</v>
      </c>
      <c r="H121" s="260" t="s">
        <v>588</v>
      </c>
      <c r="I121" s="260" t="s">
        <v>409</v>
      </c>
      <c r="J121" s="260" t="s">
        <v>509</v>
      </c>
      <c r="K121" s="260" t="s">
        <v>410</v>
      </c>
      <c r="L121" s="260" t="s">
        <v>411</v>
      </c>
      <c r="M121" s="260" t="s">
        <v>651</v>
      </c>
      <c r="N121" s="260" t="s">
        <v>594</v>
      </c>
      <c r="O121" s="260" t="s">
        <v>595</v>
      </c>
      <c r="P121" s="260" t="s">
        <v>596</v>
      </c>
      <c r="Q121" s="260" t="s">
        <v>653</v>
      </c>
      <c r="R121" s="260" t="s">
        <v>654</v>
      </c>
      <c r="S121" s="260" t="s">
        <v>655</v>
      </c>
      <c r="T121" s="260" t="s">
        <v>656</v>
      </c>
      <c r="U121" s="260" t="s">
        <v>657</v>
      </c>
      <c r="V121" s="260" t="s">
        <v>658</v>
      </c>
      <c r="W121" s="260" t="s">
        <v>659</v>
      </c>
    </row>
    <row r="122" spans="2:23" x14ac:dyDescent="0.3">
      <c r="B122" s="95">
        <v>1</v>
      </c>
      <c r="C122" s="448" t="s">
        <v>842</v>
      </c>
      <c r="D122" s="687">
        <f>D14-D68</f>
        <v>50.821687901156309</v>
      </c>
      <c r="E122" s="687">
        <f>E14-E68</f>
        <v>0</v>
      </c>
      <c r="F122" s="687">
        <f>F14-F68</f>
        <v>0</v>
      </c>
      <c r="G122" s="687">
        <f>G14-G68</f>
        <v>0</v>
      </c>
      <c r="H122" s="687">
        <f>D122+E122-F122-G122</f>
        <v>50.821687901156309</v>
      </c>
      <c r="I122" s="687">
        <f t="shared" ref="I122:L137" si="38">I14-I68</f>
        <v>50.821687901156309</v>
      </c>
      <c r="J122" s="687">
        <f t="shared" si="38"/>
        <v>0</v>
      </c>
      <c r="K122" s="687">
        <f t="shared" si="38"/>
        <v>0</v>
      </c>
      <c r="L122" s="687">
        <f t="shared" si="38"/>
        <v>0</v>
      </c>
      <c r="M122" s="892">
        <f>I122+J122-K122-L122</f>
        <v>50.821687901156309</v>
      </c>
      <c r="N122" s="687">
        <f t="shared" ref="N122:Q137" si="39">N14-N68</f>
        <v>50.821687901156309</v>
      </c>
      <c r="O122" s="687">
        <f t="shared" si="39"/>
        <v>0</v>
      </c>
      <c r="P122" s="687">
        <f t="shared" si="39"/>
        <v>0</v>
      </c>
      <c r="Q122" s="687">
        <f t="shared" si="39"/>
        <v>0</v>
      </c>
      <c r="R122" s="687">
        <f>N122+O122-P122-Q122</f>
        <v>50.821687901156309</v>
      </c>
      <c r="S122" s="687">
        <f t="shared" ref="S122:V137" si="40">S14-S68</f>
        <v>50.821687901156309</v>
      </c>
      <c r="T122" s="687">
        <f t="shared" si="40"/>
        <v>0</v>
      </c>
      <c r="U122" s="687">
        <f t="shared" si="40"/>
        <v>0</v>
      </c>
      <c r="V122" s="687">
        <f t="shared" si="40"/>
        <v>0</v>
      </c>
      <c r="W122" s="892">
        <f>S122+T122-U122-V122</f>
        <v>50.821687901156309</v>
      </c>
    </row>
    <row r="123" spans="2:23" x14ac:dyDescent="0.3">
      <c r="B123" s="95">
        <f>B122+1</f>
        <v>2</v>
      </c>
      <c r="C123" s="448" t="s">
        <v>843</v>
      </c>
      <c r="D123" s="687">
        <f t="shared" ref="D123:G138" si="41">D15-D69</f>
        <v>104.86541564991859</v>
      </c>
      <c r="E123" s="687">
        <f t="shared" si="41"/>
        <v>4.1310821110405609</v>
      </c>
      <c r="F123" s="687">
        <f t="shared" si="41"/>
        <v>0</v>
      </c>
      <c r="G123" s="687">
        <f t="shared" si="41"/>
        <v>0</v>
      </c>
      <c r="H123" s="687">
        <f t="shared" ref="H123:H138" si="42">D123+E123-F123-G123</f>
        <v>108.99649776095914</v>
      </c>
      <c r="I123" s="687">
        <f t="shared" si="38"/>
        <v>108.99649776095913</v>
      </c>
      <c r="J123" s="687">
        <f t="shared" si="38"/>
        <v>2.8005448919474087</v>
      </c>
      <c r="K123" s="687">
        <f t="shared" si="38"/>
        <v>0</v>
      </c>
      <c r="L123" s="687">
        <f t="shared" si="38"/>
        <v>0</v>
      </c>
      <c r="M123" s="892">
        <f t="shared" ref="M123:M138" si="43">I123+J123-K123-L123</f>
        <v>111.79704265290654</v>
      </c>
      <c r="N123" s="687">
        <f t="shared" si="39"/>
        <v>111.7970426529065</v>
      </c>
      <c r="O123" s="687">
        <f t="shared" si="39"/>
        <v>-8.2924065385676116</v>
      </c>
      <c r="P123" s="687">
        <f t="shared" si="39"/>
        <v>0</v>
      </c>
      <c r="Q123" s="687">
        <f t="shared" si="39"/>
        <v>0</v>
      </c>
      <c r="R123" s="687">
        <f t="shared" ref="R123:R138" si="44">N123+O123-P123-Q123</f>
        <v>103.50463611433889</v>
      </c>
      <c r="S123" s="687">
        <f t="shared" si="40"/>
        <v>103.50463611433889</v>
      </c>
      <c r="T123" s="1109">
        <f t="shared" si="40"/>
        <v>-7.8351880665288931</v>
      </c>
      <c r="U123" s="687">
        <f t="shared" si="40"/>
        <v>0</v>
      </c>
      <c r="V123" s="687">
        <f t="shared" si="40"/>
        <v>0</v>
      </c>
      <c r="W123" s="892">
        <f t="shared" ref="W123:W138" si="45">S123+T123-U123-V123</f>
        <v>95.669448047809993</v>
      </c>
    </row>
    <row r="124" spans="2:23" x14ac:dyDescent="0.3">
      <c r="B124" s="95">
        <f t="shared" ref="B124:B138" si="46">B123+1</f>
        <v>3</v>
      </c>
      <c r="C124" s="448" t="s">
        <v>844</v>
      </c>
      <c r="D124" s="687">
        <f t="shared" si="41"/>
        <v>0</v>
      </c>
      <c r="E124" s="687">
        <f t="shared" si="41"/>
        <v>0</v>
      </c>
      <c r="F124" s="687">
        <f t="shared" si="41"/>
        <v>0</v>
      </c>
      <c r="G124" s="687">
        <f t="shared" si="41"/>
        <v>0</v>
      </c>
      <c r="H124" s="687">
        <f t="shared" si="42"/>
        <v>0</v>
      </c>
      <c r="I124" s="687">
        <f t="shared" si="38"/>
        <v>0</v>
      </c>
      <c r="J124" s="687">
        <f t="shared" si="38"/>
        <v>0</v>
      </c>
      <c r="K124" s="687">
        <f t="shared" si="38"/>
        <v>0</v>
      </c>
      <c r="L124" s="687">
        <f t="shared" si="38"/>
        <v>0</v>
      </c>
      <c r="M124" s="892">
        <f t="shared" si="43"/>
        <v>0</v>
      </c>
      <c r="N124" s="687">
        <f t="shared" si="39"/>
        <v>0</v>
      </c>
      <c r="O124" s="687">
        <f t="shared" si="39"/>
        <v>0</v>
      </c>
      <c r="P124" s="687">
        <f t="shared" si="39"/>
        <v>0</v>
      </c>
      <c r="Q124" s="687">
        <f t="shared" si="39"/>
        <v>0</v>
      </c>
      <c r="R124" s="687">
        <f t="shared" si="44"/>
        <v>0</v>
      </c>
      <c r="S124" s="687">
        <f t="shared" si="40"/>
        <v>0</v>
      </c>
      <c r="T124" s="687">
        <f t="shared" si="40"/>
        <v>4.8944999999999999</v>
      </c>
      <c r="U124" s="687">
        <f t="shared" si="40"/>
        <v>0</v>
      </c>
      <c r="V124" s="687">
        <f t="shared" si="40"/>
        <v>0</v>
      </c>
      <c r="W124" s="892">
        <f t="shared" si="45"/>
        <v>4.8944999999999999</v>
      </c>
    </row>
    <row r="125" spans="2:23" x14ac:dyDescent="0.3">
      <c r="B125" s="95">
        <f t="shared" si="46"/>
        <v>4</v>
      </c>
      <c r="C125" s="448" t="s">
        <v>845</v>
      </c>
      <c r="D125" s="687">
        <f t="shared" si="41"/>
        <v>47.18818064129664</v>
      </c>
      <c r="E125" s="687">
        <f t="shared" si="41"/>
        <v>1.7785750540557907</v>
      </c>
      <c r="F125" s="687">
        <f t="shared" si="41"/>
        <v>0</v>
      </c>
      <c r="G125" s="687">
        <f t="shared" si="41"/>
        <v>0</v>
      </c>
      <c r="H125" s="687">
        <f t="shared" si="42"/>
        <v>48.966755695352433</v>
      </c>
      <c r="I125" s="687">
        <f t="shared" si="38"/>
        <v>48.966755695352447</v>
      </c>
      <c r="J125" s="687">
        <f t="shared" si="38"/>
        <v>34.176483433355251</v>
      </c>
      <c r="K125" s="687">
        <f t="shared" si="38"/>
        <v>0</v>
      </c>
      <c r="L125" s="687">
        <f t="shared" si="38"/>
        <v>0</v>
      </c>
      <c r="M125" s="892">
        <f t="shared" si="43"/>
        <v>83.143239128707705</v>
      </c>
      <c r="N125" s="687">
        <f t="shared" si="39"/>
        <v>83.143239128707705</v>
      </c>
      <c r="O125" s="687">
        <f t="shared" si="39"/>
        <v>-2.5252162708760055</v>
      </c>
      <c r="P125" s="687">
        <f t="shared" si="39"/>
        <v>0</v>
      </c>
      <c r="Q125" s="687">
        <f t="shared" si="39"/>
        <v>0</v>
      </c>
      <c r="R125" s="687">
        <f t="shared" si="44"/>
        <v>80.618022857831704</v>
      </c>
      <c r="S125" s="687">
        <f t="shared" si="40"/>
        <v>80.618022857831704</v>
      </c>
      <c r="T125" s="687">
        <f t="shared" si="40"/>
        <v>-7.7252162708760093</v>
      </c>
      <c r="U125" s="687">
        <f t="shared" si="40"/>
        <v>0</v>
      </c>
      <c r="V125" s="687">
        <f t="shared" si="40"/>
        <v>0</v>
      </c>
      <c r="W125" s="892">
        <f t="shared" si="45"/>
        <v>72.8928065869557</v>
      </c>
    </row>
    <row r="126" spans="2:23" x14ac:dyDescent="0.3">
      <c r="B126" s="95">
        <f t="shared" si="46"/>
        <v>5</v>
      </c>
      <c r="C126" s="448" t="s">
        <v>846</v>
      </c>
      <c r="D126" s="687">
        <f t="shared" si="41"/>
        <v>34.955001141319912</v>
      </c>
      <c r="E126" s="687">
        <f t="shared" si="41"/>
        <v>-0.96392930856768477</v>
      </c>
      <c r="F126" s="687">
        <f t="shared" si="41"/>
        <v>0</v>
      </c>
      <c r="G126" s="687">
        <f t="shared" si="41"/>
        <v>0</v>
      </c>
      <c r="H126" s="687">
        <f t="shared" si="42"/>
        <v>33.991071832752226</v>
      </c>
      <c r="I126" s="687">
        <f t="shared" si="38"/>
        <v>33.991071832752226</v>
      </c>
      <c r="J126" s="687">
        <f t="shared" si="38"/>
        <v>2.3727399945048422</v>
      </c>
      <c r="K126" s="687">
        <f t="shared" si="38"/>
        <v>0</v>
      </c>
      <c r="L126" s="687">
        <f t="shared" si="38"/>
        <v>0</v>
      </c>
      <c r="M126" s="892">
        <f t="shared" si="43"/>
        <v>36.363811827257067</v>
      </c>
      <c r="N126" s="687">
        <f t="shared" si="39"/>
        <v>36.363811827257081</v>
      </c>
      <c r="O126" s="687">
        <f t="shared" si="39"/>
        <v>40.404600803707353</v>
      </c>
      <c r="P126" s="687">
        <f t="shared" si="39"/>
        <v>0</v>
      </c>
      <c r="Q126" s="687">
        <f t="shared" si="39"/>
        <v>0</v>
      </c>
      <c r="R126" s="687">
        <f t="shared" si="44"/>
        <v>76.768412630964434</v>
      </c>
      <c r="S126" s="687">
        <f t="shared" si="40"/>
        <v>76.768412630964434</v>
      </c>
      <c r="T126" s="687">
        <f t="shared" si="40"/>
        <v>62.485563137040671</v>
      </c>
      <c r="U126" s="687">
        <f t="shared" si="40"/>
        <v>0</v>
      </c>
      <c r="V126" s="687">
        <f t="shared" si="40"/>
        <v>0</v>
      </c>
      <c r="W126" s="892">
        <f t="shared" si="45"/>
        <v>139.25397576800509</v>
      </c>
    </row>
    <row r="127" spans="2:23" x14ac:dyDescent="0.3">
      <c r="B127" s="95">
        <f t="shared" si="46"/>
        <v>6</v>
      </c>
      <c r="C127" s="448" t="s">
        <v>256</v>
      </c>
      <c r="D127" s="687">
        <f t="shared" si="41"/>
        <v>747.3296813431989</v>
      </c>
      <c r="E127" s="687">
        <f t="shared" si="41"/>
        <v>32.185882000665288</v>
      </c>
      <c r="F127" s="687">
        <f t="shared" si="41"/>
        <v>0</v>
      </c>
      <c r="G127" s="687">
        <f t="shared" si="41"/>
        <v>0</v>
      </c>
      <c r="H127" s="687">
        <f t="shared" si="42"/>
        <v>779.51556334386419</v>
      </c>
      <c r="I127" s="687">
        <f t="shared" si="38"/>
        <v>779.51556334386441</v>
      </c>
      <c r="J127" s="687">
        <f t="shared" si="38"/>
        <v>-22.292272802760095</v>
      </c>
      <c r="K127" s="687">
        <f t="shared" si="38"/>
        <v>0</v>
      </c>
      <c r="L127" s="687">
        <f t="shared" si="38"/>
        <v>0</v>
      </c>
      <c r="M127" s="892">
        <f t="shared" si="43"/>
        <v>757.22329054110435</v>
      </c>
      <c r="N127" s="687">
        <f t="shared" si="39"/>
        <v>757.22329054110423</v>
      </c>
      <c r="O127" s="687">
        <f t="shared" si="39"/>
        <v>256.29640241648036</v>
      </c>
      <c r="P127" s="687">
        <f t="shared" si="39"/>
        <v>0</v>
      </c>
      <c r="Q127" s="687">
        <f t="shared" si="39"/>
        <v>0</v>
      </c>
      <c r="R127" s="687">
        <f t="shared" si="44"/>
        <v>1013.5196929575845</v>
      </c>
      <c r="S127" s="687">
        <f t="shared" si="40"/>
        <v>1013.5196929575845</v>
      </c>
      <c r="T127" s="687">
        <f t="shared" si="40"/>
        <v>401.49084936109148</v>
      </c>
      <c r="U127" s="687">
        <f t="shared" si="40"/>
        <v>0</v>
      </c>
      <c r="V127" s="687">
        <f t="shared" si="40"/>
        <v>0</v>
      </c>
      <c r="W127" s="892">
        <f t="shared" si="45"/>
        <v>1415.010542318676</v>
      </c>
    </row>
    <row r="128" spans="2:23" x14ac:dyDescent="0.3">
      <c r="B128" s="95">
        <f t="shared" si="46"/>
        <v>7</v>
      </c>
      <c r="C128" s="448" t="s">
        <v>847</v>
      </c>
      <c r="D128" s="687">
        <f t="shared" si="41"/>
        <v>0</v>
      </c>
      <c r="E128" s="687">
        <f t="shared" si="41"/>
        <v>0</v>
      </c>
      <c r="F128" s="687">
        <f t="shared" si="41"/>
        <v>0</v>
      </c>
      <c r="G128" s="687">
        <f t="shared" si="41"/>
        <v>0</v>
      </c>
      <c r="H128" s="687">
        <f t="shared" si="42"/>
        <v>0</v>
      </c>
      <c r="I128" s="687">
        <f t="shared" si="38"/>
        <v>0</v>
      </c>
      <c r="J128" s="687">
        <f t="shared" si="38"/>
        <v>0</v>
      </c>
      <c r="K128" s="687">
        <f t="shared" si="38"/>
        <v>0</v>
      </c>
      <c r="L128" s="687">
        <f t="shared" si="38"/>
        <v>0</v>
      </c>
      <c r="M128" s="892">
        <f t="shared" si="43"/>
        <v>0</v>
      </c>
      <c r="N128" s="687">
        <f t="shared" si="39"/>
        <v>0</v>
      </c>
      <c r="O128" s="687">
        <f t="shared" si="39"/>
        <v>0</v>
      </c>
      <c r="P128" s="687">
        <f t="shared" si="39"/>
        <v>0</v>
      </c>
      <c r="Q128" s="687">
        <f t="shared" si="39"/>
        <v>0</v>
      </c>
      <c r="R128" s="687">
        <f t="shared" si="44"/>
        <v>0</v>
      </c>
      <c r="S128" s="687">
        <f t="shared" si="40"/>
        <v>0</v>
      </c>
      <c r="T128" s="687">
        <f t="shared" si="40"/>
        <v>4.7483333333333322</v>
      </c>
      <c r="U128" s="687">
        <f t="shared" si="40"/>
        <v>0</v>
      </c>
      <c r="V128" s="687">
        <f t="shared" si="40"/>
        <v>0</v>
      </c>
      <c r="W128" s="892">
        <f t="shared" si="45"/>
        <v>4.7483333333333322</v>
      </c>
    </row>
    <row r="129" spans="2:33" x14ac:dyDescent="0.3">
      <c r="B129" s="95">
        <f t="shared" si="46"/>
        <v>8</v>
      </c>
      <c r="C129" s="448" t="s">
        <v>848</v>
      </c>
      <c r="D129" s="687">
        <f t="shared" si="41"/>
        <v>0</v>
      </c>
      <c r="E129" s="687">
        <f t="shared" si="41"/>
        <v>0</v>
      </c>
      <c r="F129" s="687">
        <f t="shared" si="41"/>
        <v>0</v>
      </c>
      <c r="G129" s="687">
        <f t="shared" si="41"/>
        <v>0</v>
      </c>
      <c r="H129" s="687">
        <f t="shared" si="42"/>
        <v>0</v>
      </c>
      <c r="I129" s="687">
        <f t="shared" si="38"/>
        <v>0</v>
      </c>
      <c r="J129" s="687">
        <f t="shared" si="38"/>
        <v>0</v>
      </c>
      <c r="K129" s="687">
        <f t="shared" si="38"/>
        <v>0</v>
      </c>
      <c r="L129" s="687">
        <f t="shared" si="38"/>
        <v>0</v>
      </c>
      <c r="M129" s="892">
        <f t="shared" si="43"/>
        <v>0</v>
      </c>
      <c r="N129" s="687">
        <f t="shared" si="39"/>
        <v>0</v>
      </c>
      <c r="O129" s="687">
        <f t="shared" si="39"/>
        <v>0</v>
      </c>
      <c r="P129" s="687">
        <f t="shared" si="39"/>
        <v>0</v>
      </c>
      <c r="Q129" s="687">
        <f t="shared" si="39"/>
        <v>0</v>
      </c>
      <c r="R129" s="687">
        <f t="shared" si="44"/>
        <v>0</v>
      </c>
      <c r="S129" s="687">
        <f t="shared" si="40"/>
        <v>0</v>
      </c>
      <c r="T129" s="687">
        <f t="shared" si="40"/>
        <v>0</v>
      </c>
      <c r="U129" s="687">
        <f t="shared" si="40"/>
        <v>0</v>
      </c>
      <c r="V129" s="687">
        <f t="shared" si="40"/>
        <v>0</v>
      </c>
      <c r="W129" s="892">
        <f t="shared" si="45"/>
        <v>0</v>
      </c>
    </row>
    <row r="130" spans="2:33" x14ac:dyDescent="0.3">
      <c r="B130" s="95">
        <f t="shared" si="46"/>
        <v>9</v>
      </c>
      <c r="C130" s="448" t="s">
        <v>849</v>
      </c>
      <c r="D130" s="687">
        <f t="shared" si="41"/>
        <v>13.995542085520356</v>
      </c>
      <c r="E130" s="687">
        <f t="shared" si="41"/>
        <v>-0.26359479349687154</v>
      </c>
      <c r="F130" s="687">
        <f t="shared" si="41"/>
        <v>0</v>
      </c>
      <c r="G130" s="687">
        <f t="shared" si="41"/>
        <v>0</v>
      </c>
      <c r="H130" s="687">
        <f t="shared" si="42"/>
        <v>13.731947292023484</v>
      </c>
      <c r="I130" s="687">
        <f t="shared" si="38"/>
        <v>13.731947292023477</v>
      </c>
      <c r="J130" s="687">
        <f t="shared" si="38"/>
        <v>2.2954304013174984</v>
      </c>
      <c r="K130" s="687">
        <f t="shared" si="38"/>
        <v>0</v>
      </c>
      <c r="L130" s="687">
        <f t="shared" si="38"/>
        <v>0</v>
      </c>
      <c r="M130" s="892">
        <f t="shared" si="43"/>
        <v>16.027377693340977</v>
      </c>
      <c r="N130" s="687">
        <f t="shared" si="39"/>
        <v>16.027377693340981</v>
      </c>
      <c r="O130" s="687">
        <f t="shared" si="39"/>
        <v>-0.62396679868250149</v>
      </c>
      <c r="P130" s="687">
        <f t="shared" si="39"/>
        <v>0</v>
      </c>
      <c r="Q130" s="687">
        <f t="shared" si="39"/>
        <v>0</v>
      </c>
      <c r="R130" s="687">
        <f t="shared" si="44"/>
        <v>15.40341089465848</v>
      </c>
      <c r="S130" s="687">
        <f t="shared" si="40"/>
        <v>15.403410894658478</v>
      </c>
      <c r="T130" s="687">
        <f t="shared" si="40"/>
        <v>-0.62396679868250127</v>
      </c>
      <c r="U130" s="687">
        <f t="shared" si="40"/>
        <v>0</v>
      </c>
      <c r="V130" s="687">
        <f t="shared" si="40"/>
        <v>0</v>
      </c>
      <c r="W130" s="892">
        <f t="shared" si="45"/>
        <v>14.779444095975977</v>
      </c>
    </row>
    <row r="131" spans="2:33" x14ac:dyDescent="0.3">
      <c r="B131" s="95">
        <f t="shared" si="46"/>
        <v>10</v>
      </c>
      <c r="C131" s="448" t="s">
        <v>259</v>
      </c>
      <c r="D131" s="687">
        <f t="shared" si="41"/>
        <v>0.14153054934612053</v>
      </c>
      <c r="E131" s="687">
        <f t="shared" si="41"/>
        <v>2.3745025518862515</v>
      </c>
      <c r="F131" s="687">
        <f t="shared" si="41"/>
        <v>0</v>
      </c>
      <c r="G131" s="687">
        <f t="shared" si="41"/>
        <v>0</v>
      </c>
      <c r="H131" s="687">
        <f t="shared" si="42"/>
        <v>2.516033101232372</v>
      </c>
      <c r="I131" s="687">
        <f t="shared" si="38"/>
        <v>2.516033101232372</v>
      </c>
      <c r="J131" s="687">
        <f t="shared" si="38"/>
        <v>-0.3907812814112484</v>
      </c>
      <c r="K131" s="687">
        <f t="shared" si="38"/>
        <v>0</v>
      </c>
      <c r="L131" s="687">
        <f t="shared" si="38"/>
        <v>0</v>
      </c>
      <c r="M131" s="892">
        <f t="shared" si="43"/>
        <v>2.1252518198211234</v>
      </c>
      <c r="N131" s="687">
        <f t="shared" si="39"/>
        <v>2.1252518198211234</v>
      </c>
      <c r="O131" s="687">
        <f t="shared" si="39"/>
        <v>-0.3907812814112484</v>
      </c>
      <c r="P131" s="687">
        <f t="shared" si="39"/>
        <v>0</v>
      </c>
      <c r="Q131" s="687">
        <f t="shared" si="39"/>
        <v>0</v>
      </c>
      <c r="R131" s="687">
        <f t="shared" si="44"/>
        <v>1.7344705384098751</v>
      </c>
      <c r="S131" s="687">
        <f t="shared" si="40"/>
        <v>1.7344705384098753</v>
      </c>
      <c r="T131" s="687">
        <f t="shared" si="40"/>
        <v>18.176618718588749</v>
      </c>
      <c r="U131" s="687">
        <f t="shared" si="40"/>
        <v>0</v>
      </c>
      <c r="V131" s="687">
        <f t="shared" si="40"/>
        <v>0</v>
      </c>
      <c r="W131" s="892">
        <f t="shared" si="45"/>
        <v>19.911089256998626</v>
      </c>
    </row>
    <row r="132" spans="2:33" x14ac:dyDescent="0.3">
      <c r="B132" s="95">
        <f t="shared" si="46"/>
        <v>11</v>
      </c>
      <c r="C132" s="448" t="s">
        <v>260</v>
      </c>
      <c r="D132" s="687">
        <f t="shared" si="41"/>
        <v>0.61468083655732642</v>
      </c>
      <c r="E132" s="687">
        <f t="shared" si="41"/>
        <v>-4.1127210364774867E-2</v>
      </c>
      <c r="F132" s="687">
        <f t="shared" si="41"/>
        <v>0</v>
      </c>
      <c r="G132" s="687">
        <f t="shared" si="41"/>
        <v>0</v>
      </c>
      <c r="H132" s="687">
        <f t="shared" si="42"/>
        <v>0.57355362619255157</v>
      </c>
      <c r="I132" s="687">
        <f t="shared" si="38"/>
        <v>0.57355362619255157</v>
      </c>
      <c r="J132" s="687">
        <f t="shared" si="38"/>
        <v>0.17306719586782698</v>
      </c>
      <c r="K132" s="687">
        <f t="shared" si="38"/>
        <v>0</v>
      </c>
      <c r="L132" s="687">
        <f t="shared" si="38"/>
        <v>0</v>
      </c>
      <c r="M132" s="892">
        <f t="shared" si="43"/>
        <v>0.7466208220603785</v>
      </c>
      <c r="N132" s="687">
        <f t="shared" si="39"/>
        <v>0.7466208220603785</v>
      </c>
      <c r="O132" s="687">
        <f t="shared" si="39"/>
        <v>0.53754454129659912</v>
      </c>
      <c r="P132" s="687">
        <f t="shared" si="39"/>
        <v>0</v>
      </c>
      <c r="Q132" s="687">
        <f t="shared" si="39"/>
        <v>0</v>
      </c>
      <c r="R132" s="687">
        <f t="shared" si="44"/>
        <v>1.2841653633569776</v>
      </c>
      <c r="S132" s="687">
        <f t="shared" si="40"/>
        <v>1.2841653633569776</v>
      </c>
      <c r="T132" s="687">
        <f t="shared" si="40"/>
        <v>-0.17218669501799627</v>
      </c>
      <c r="U132" s="687">
        <f t="shared" si="40"/>
        <v>0</v>
      </c>
      <c r="V132" s="687">
        <f t="shared" si="40"/>
        <v>0</v>
      </c>
      <c r="W132" s="892">
        <f t="shared" si="45"/>
        <v>1.1119786683389814</v>
      </c>
    </row>
    <row r="133" spans="2:33" x14ac:dyDescent="0.3">
      <c r="B133" s="95">
        <f t="shared" si="46"/>
        <v>12</v>
      </c>
      <c r="C133" s="448" t="s">
        <v>261</v>
      </c>
      <c r="D133" s="687">
        <f t="shared" si="41"/>
        <v>4.1768058438798432</v>
      </c>
      <c r="E133" s="687">
        <f t="shared" si="41"/>
        <v>0.42649398201887512</v>
      </c>
      <c r="F133" s="687">
        <f t="shared" si="41"/>
        <v>1.0724741018203037</v>
      </c>
      <c r="G133" s="687">
        <f t="shared" si="41"/>
        <v>0</v>
      </c>
      <c r="H133" s="687">
        <f t="shared" si="42"/>
        <v>3.5308257240784142</v>
      </c>
      <c r="I133" s="687">
        <f t="shared" si="38"/>
        <v>3.5308257240784133</v>
      </c>
      <c r="J133" s="687">
        <f t="shared" si="38"/>
        <v>0.38429352895422531</v>
      </c>
      <c r="K133" s="687">
        <f t="shared" si="38"/>
        <v>1.1923029529769986</v>
      </c>
      <c r="L133" s="687">
        <f t="shared" si="38"/>
        <v>0</v>
      </c>
      <c r="M133" s="892">
        <f t="shared" si="43"/>
        <v>2.7228163000556398</v>
      </c>
      <c r="N133" s="687">
        <f t="shared" si="39"/>
        <v>2.7228163000556407</v>
      </c>
      <c r="O133" s="687">
        <f t="shared" si="39"/>
        <v>0.29586894064792529</v>
      </c>
      <c r="P133" s="687">
        <f t="shared" si="39"/>
        <v>0</v>
      </c>
      <c r="Q133" s="687">
        <f t="shared" si="39"/>
        <v>0</v>
      </c>
      <c r="R133" s="687">
        <f t="shared" si="44"/>
        <v>3.018685240703566</v>
      </c>
      <c r="S133" s="687">
        <f t="shared" si="40"/>
        <v>3.018685240703566</v>
      </c>
      <c r="T133" s="687">
        <f t="shared" si="40"/>
        <v>6.3064406479252932E-3</v>
      </c>
      <c r="U133" s="687">
        <f t="shared" si="40"/>
        <v>0</v>
      </c>
      <c r="V133" s="687">
        <f t="shared" si="40"/>
        <v>0</v>
      </c>
      <c r="W133" s="892">
        <f t="shared" si="45"/>
        <v>3.0249916813514912</v>
      </c>
    </row>
    <row r="134" spans="2:33" x14ac:dyDescent="0.3">
      <c r="B134" s="95">
        <f t="shared" si="46"/>
        <v>13</v>
      </c>
      <c r="C134" s="469" t="s">
        <v>897</v>
      </c>
      <c r="D134" s="687">
        <f t="shared" si="41"/>
        <v>0</v>
      </c>
      <c r="E134" s="687">
        <f t="shared" si="41"/>
        <v>0</v>
      </c>
      <c r="F134" s="687">
        <f t="shared" si="41"/>
        <v>0</v>
      </c>
      <c r="G134" s="687">
        <f t="shared" si="41"/>
        <v>0</v>
      </c>
      <c r="H134" s="687">
        <f t="shared" si="42"/>
        <v>0</v>
      </c>
      <c r="I134" s="687">
        <f t="shared" si="38"/>
        <v>0</v>
      </c>
      <c r="J134" s="687">
        <f t="shared" si="38"/>
        <v>0</v>
      </c>
      <c r="K134" s="687">
        <f t="shared" si="38"/>
        <v>0</v>
      </c>
      <c r="L134" s="687">
        <f t="shared" si="38"/>
        <v>0</v>
      </c>
      <c r="M134" s="892">
        <f t="shared" si="43"/>
        <v>0</v>
      </c>
      <c r="N134" s="687">
        <f t="shared" si="39"/>
        <v>0</v>
      </c>
      <c r="O134" s="687">
        <f t="shared" si="39"/>
        <v>0</v>
      </c>
      <c r="P134" s="687">
        <f t="shared" si="39"/>
        <v>0</v>
      </c>
      <c r="Q134" s="687">
        <f t="shared" si="39"/>
        <v>0</v>
      </c>
      <c r="R134" s="687">
        <f t="shared" si="44"/>
        <v>0</v>
      </c>
      <c r="S134" s="687">
        <f t="shared" si="40"/>
        <v>0</v>
      </c>
      <c r="T134" s="687">
        <f t="shared" si="40"/>
        <v>0</v>
      </c>
      <c r="U134" s="687">
        <f t="shared" si="40"/>
        <v>0</v>
      </c>
      <c r="V134" s="687">
        <f t="shared" si="40"/>
        <v>0</v>
      </c>
      <c r="W134" s="892">
        <f t="shared" si="45"/>
        <v>0</v>
      </c>
    </row>
    <row r="135" spans="2:33" x14ac:dyDescent="0.3">
      <c r="B135" s="95">
        <f t="shared" si="46"/>
        <v>14</v>
      </c>
      <c r="C135" s="469" t="s">
        <v>898</v>
      </c>
      <c r="D135" s="687">
        <f t="shared" si="41"/>
        <v>0</v>
      </c>
      <c r="E135" s="687">
        <f t="shared" si="41"/>
        <v>0</v>
      </c>
      <c r="F135" s="687">
        <f t="shared" si="41"/>
        <v>0</v>
      </c>
      <c r="G135" s="687">
        <f t="shared" si="41"/>
        <v>0</v>
      </c>
      <c r="H135" s="687">
        <f t="shared" si="42"/>
        <v>0</v>
      </c>
      <c r="I135" s="687">
        <f t="shared" si="38"/>
        <v>0</v>
      </c>
      <c r="J135" s="687">
        <f t="shared" si="38"/>
        <v>0</v>
      </c>
      <c r="K135" s="687">
        <f t="shared" si="38"/>
        <v>0</v>
      </c>
      <c r="L135" s="687">
        <f t="shared" si="38"/>
        <v>0</v>
      </c>
      <c r="M135" s="892">
        <f t="shared" si="43"/>
        <v>0</v>
      </c>
      <c r="N135" s="687">
        <f t="shared" si="39"/>
        <v>0</v>
      </c>
      <c r="O135" s="687">
        <f t="shared" si="39"/>
        <v>0</v>
      </c>
      <c r="P135" s="687">
        <f t="shared" si="39"/>
        <v>0</v>
      </c>
      <c r="Q135" s="687">
        <f t="shared" si="39"/>
        <v>0</v>
      </c>
      <c r="R135" s="687">
        <f t="shared" si="44"/>
        <v>0</v>
      </c>
      <c r="S135" s="687">
        <f t="shared" si="40"/>
        <v>0</v>
      </c>
      <c r="T135" s="687">
        <f t="shared" si="40"/>
        <v>0</v>
      </c>
      <c r="U135" s="687">
        <f t="shared" si="40"/>
        <v>0</v>
      </c>
      <c r="V135" s="687">
        <f t="shared" si="40"/>
        <v>0</v>
      </c>
      <c r="W135" s="892">
        <f t="shared" si="45"/>
        <v>0</v>
      </c>
    </row>
    <row r="136" spans="2:33" x14ac:dyDescent="0.3">
      <c r="B136" s="95">
        <f t="shared" si="46"/>
        <v>15</v>
      </c>
      <c r="C136" s="469" t="s">
        <v>899</v>
      </c>
      <c r="D136" s="687">
        <f t="shared" si="41"/>
        <v>0</v>
      </c>
      <c r="E136" s="687">
        <f t="shared" si="41"/>
        <v>0</v>
      </c>
      <c r="F136" s="687">
        <f t="shared" si="41"/>
        <v>0</v>
      </c>
      <c r="G136" s="687">
        <f t="shared" si="41"/>
        <v>0</v>
      </c>
      <c r="H136" s="687">
        <f t="shared" si="42"/>
        <v>0</v>
      </c>
      <c r="I136" s="687">
        <f t="shared" si="38"/>
        <v>0</v>
      </c>
      <c r="J136" s="687">
        <f t="shared" si="38"/>
        <v>0</v>
      </c>
      <c r="K136" s="687">
        <f t="shared" si="38"/>
        <v>0</v>
      </c>
      <c r="L136" s="687">
        <f t="shared" si="38"/>
        <v>0</v>
      </c>
      <c r="M136" s="892">
        <f t="shared" si="43"/>
        <v>0</v>
      </c>
      <c r="N136" s="687">
        <f t="shared" si="39"/>
        <v>0</v>
      </c>
      <c r="O136" s="687">
        <f t="shared" si="39"/>
        <v>0</v>
      </c>
      <c r="P136" s="687">
        <f t="shared" si="39"/>
        <v>0</v>
      </c>
      <c r="Q136" s="687">
        <f t="shared" si="39"/>
        <v>0</v>
      </c>
      <c r="R136" s="687">
        <f t="shared" si="44"/>
        <v>0</v>
      </c>
      <c r="S136" s="687">
        <f t="shared" si="40"/>
        <v>0</v>
      </c>
      <c r="T136" s="687">
        <f t="shared" si="40"/>
        <v>61.666666666666657</v>
      </c>
      <c r="U136" s="687">
        <f t="shared" si="40"/>
        <v>0</v>
      </c>
      <c r="V136" s="687">
        <f t="shared" si="40"/>
        <v>0</v>
      </c>
      <c r="W136" s="892">
        <f t="shared" si="45"/>
        <v>61.666666666666657</v>
      </c>
    </row>
    <row r="137" spans="2:33" x14ac:dyDescent="0.3">
      <c r="B137" s="95">
        <f t="shared" si="46"/>
        <v>16</v>
      </c>
      <c r="C137" s="469" t="s">
        <v>850</v>
      </c>
      <c r="D137" s="687">
        <f t="shared" si="41"/>
        <v>0</v>
      </c>
      <c r="E137" s="687">
        <f t="shared" si="41"/>
        <v>0</v>
      </c>
      <c r="F137" s="687">
        <f t="shared" si="41"/>
        <v>0</v>
      </c>
      <c r="G137" s="687">
        <f t="shared" si="41"/>
        <v>0</v>
      </c>
      <c r="H137" s="687">
        <f t="shared" si="42"/>
        <v>0</v>
      </c>
      <c r="I137" s="687">
        <f t="shared" si="38"/>
        <v>0</v>
      </c>
      <c r="J137" s="687">
        <f t="shared" si="38"/>
        <v>0</v>
      </c>
      <c r="K137" s="687">
        <f t="shared" si="38"/>
        <v>0</v>
      </c>
      <c r="L137" s="687">
        <f t="shared" si="38"/>
        <v>0</v>
      </c>
      <c r="M137" s="892">
        <f t="shared" si="43"/>
        <v>0</v>
      </c>
      <c r="N137" s="687">
        <f t="shared" si="39"/>
        <v>0</v>
      </c>
      <c r="O137" s="687">
        <f t="shared" si="39"/>
        <v>0</v>
      </c>
      <c r="P137" s="687">
        <f t="shared" si="39"/>
        <v>0</v>
      </c>
      <c r="Q137" s="687">
        <f t="shared" si="39"/>
        <v>0</v>
      </c>
      <c r="R137" s="687">
        <f t="shared" si="44"/>
        <v>0</v>
      </c>
      <c r="S137" s="687">
        <f t="shared" si="40"/>
        <v>0</v>
      </c>
      <c r="T137" s="687">
        <f t="shared" si="40"/>
        <v>0</v>
      </c>
      <c r="U137" s="687">
        <f t="shared" si="40"/>
        <v>0</v>
      </c>
      <c r="V137" s="687">
        <f t="shared" si="40"/>
        <v>0</v>
      </c>
      <c r="W137" s="892">
        <f t="shared" si="45"/>
        <v>0</v>
      </c>
    </row>
    <row r="138" spans="2:33" x14ac:dyDescent="0.3">
      <c r="B138" s="95">
        <f t="shared" si="46"/>
        <v>17</v>
      </c>
      <c r="C138" s="469" t="s">
        <v>900</v>
      </c>
      <c r="D138" s="687">
        <f t="shared" si="41"/>
        <v>0</v>
      </c>
      <c r="E138" s="687">
        <f t="shared" si="41"/>
        <v>0</v>
      </c>
      <c r="F138" s="687">
        <f t="shared" si="41"/>
        <v>0</v>
      </c>
      <c r="G138" s="687">
        <f t="shared" si="41"/>
        <v>0</v>
      </c>
      <c r="H138" s="687">
        <f t="shared" si="42"/>
        <v>0</v>
      </c>
      <c r="I138" s="687">
        <f t="shared" ref="I138:L138" si="47">I30-I84</f>
        <v>0</v>
      </c>
      <c r="J138" s="687">
        <f t="shared" si="47"/>
        <v>0</v>
      </c>
      <c r="K138" s="687">
        <f t="shared" si="47"/>
        <v>0</v>
      </c>
      <c r="L138" s="687">
        <f t="shared" si="47"/>
        <v>0</v>
      </c>
      <c r="M138" s="892">
        <f t="shared" si="43"/>
        <v>0</v>
      </c>
      <c r="N138" s="687">
        <f t="shared" ref="N138:Q138" si="48">N30-N84</f>
        <v>0</v>
      </c>
      <c r="O138" s="687">
        <f t="shared" si="48"/>
        <v>0</v>
      </c>
      <c r="P138" s="687">
        <f t="shared" si="48"/>
        <v>0</v>
      </c>
      <c r="Q138" s="687">
        <f t="shared" si="48"/>
        <v>0</v>
      </c>
      <c r="R138" s="687">
        <f t="shared" si="44"/>
        <v>0</v>
      </c>
      <c r="S138" s="687">
        <f t="shared" ref="S138:V138" si="49">S30-S84</f>
        <v>0</v>
      </c>
      <c r="T138" s="687">
        <f t="shared" si="49"/>
        <v>0</v>
      </c>
      <c r="U138" s="687">
        <f t="shared" si="49"/>
        <v>0</v>
      </c>
      <c r="V138" s="687">
        <f t="shared" si="49"/>
        <v>0</v>
      </c>
      <c r="W138" s="892">
        <f t="shared" si="45"/>
        <v>0</v>
      </c>
    </row>
    <row r="139" spans="2:33" ht="16" x14ac:dyDescent="0.3">
      <c r="B139" s="83"/>
      <c r="C139" s="97" t="s">
        <v>271</v>
      </c>
      <c r="D139" s="886">
        <f>SUM(D122:D137)</f>
        <v>1004.088525992194</v>
      </c>
      <c r="E139" s="886">
        <f t="shared" ref="E139:W139" si="50">SUM(E122:E137)</f>
        <v>39.627884387237437</v>
      </c>
      <c r="F139" s="886">
        <f t="shared" si="50"/>
        <v>1.0724741018203037</v>
      </c>
      <c r="G139" s="886">
        <f t="shared" si="50"/>
        <v>0</v>
      </c>
      <c r="H139" s="886">
        <f t="shared" si="50"/>
        <v>1042.6439362776109</v>
      </c>
      <c r="I139" s="886">
        <f t="shared" si="50"/>
        <v>1042.6439362776111</v>
      </c>
      <c r="J139" s="886">
        <f t="shared" si="50"/>
        <v>19.51950536177571</v>
      </c>
      <c r="K139" s="886">
        <f t="shared" si="50"/>
        <v>1.1923029529769986</v>
      </c>
      <c r="L139" s="886">
        <f t="shared" si="50"/>
        <v>0</v>
      </c>
      <c r="M139" s="886">
        <f t="shared" si="50"/>
        <v>1060.9711386864101</v>
      </c>
      <c r="N139" s="886">
        <f t="shared" si="50"/>
        <v>1060.9711386864099</v>
      </c>
      <c r="O139" s="886">
        <f t="shared" si="50"/>
        <v>285.70204581259492</v>
      </c>
      <c r="P139" s="886">
        <f t="shared" si="50"/>
        <v>0</v>
      </c>
      <c r="Q139" s="886">
        <f t="shared" si="50"/>
        <v>0</v>
      </c>
      <c r="R139" s="886">
        <f t="shared" si="50"/>
        <v>1346.6731844990047</v>
      </c>
      <c r="S139" s="886">
        <f t="shared" si="50"/>
        <v>1346.6731844990047</v>
      </c>
      <c r="T139" s="886">
        <f t="shared" si="50"/>
        <v>537.11227982626338</v>
      </c>
      <c r="U139" s="886">
        <f t="shared" si="50"/>
        <v>0</v>
      </c>
      <c r="V139" s="886">
        <f t="shared" si="50"/>
        <v>0</v>
      </c>
      <c r="W139" s="886">
        <f t="shared" si="50"/>
        <v>1883.7854643252681</v>
      </c>
    </row>
    <row r="140" spans="2:33" ht="16" x14ac:dyDescent="0.3">
      <c r="B140" s="262"/>
      <c r="C140" s="264"/>
      <c r="D140" s="264"/>
      <c r="E140" s="264"/>
      <c r="F140" s="264"/>
      <c r="G140" s="264"/>
      <c r="H140" s="264"/>
      <c r="I140" s="262"/>
      <c r="J140" s="262"/>
      <c r="K140" s="262"/>
      <c r="L140" s="262"/>
      <c r="M140" s="262"/>
      <c r="N140" s="262"/>
      <c r="O140" s="262"/>
      <c r="P140" s="262"/>
      <c r="Q140" s="262"/>
      <c r="R140" s="262"/>
      <c r="S140" s="45"/>
      <c r="T140" s="45"/>
      <c r="U140" s="45"/>
      <c r="V140" s="45"/>
      <c r="W140" s="45"/>
      <c r="X140" s="45"/>
      <c r="Y140" s="45"/>
      <c r="Z140" s="45"/>
      <c r="AA140" s="45"/>
      <c r="AB140" s="45"/>
      <c r="AC140" s="45"/>
      <c r="AD140" s="45"/>
      <c r="AE140" s="45"/>
      <c r="AF140" s="45"/>
      <c r="AG140" s="45"/>
    </row>
    <row r="141" spans="2:33" ht="16" x14ac:dyDescent="0.3">
      <c r="B141" s="261" t="s">
        <v>599</v>
      </c>
      <c r="C141" s="266"/>
      <c r="D141" s="266"/>
      <c r="E141" s="266"/>
      <c r="F141" s="266"/>
      <c r="G141" s="264"/>
      <c r="H141" s="264"/>
      <c r="I141" s="262"/>
      <c r="J141" s="262"/>
      <c r="K141" s="262"/>
      <c r="L141" s="262"/>
      <c r="M141" s="262"/>
      <c r="N141" s="262"/>
      <c r="O141" s="262"/>
      <c r="P141" s="262"/>
      <c r="Q141" s="262"/>
      <c r="R141" s="262"/>
      <c r="S141" s="45"/>
      <c r="T141" s="45"/>
      <c r="U141" s="45"/>
      <c r="V141" s="45"/>
      <c r="W141" s="45"/>
      <c r="X141" s="45"/>
      <c r="Y141" s="45"/>
      <c r="Z141" s="45"/>
      <c r="AA141" s="45"/>
      <c r="AB141" s="45"/>
      <c r="AC141" s="45"/>
      <c r="AD141" s="45"/>
      <c r="AE141" s="45"/>
      <c r="AF141" s="45"/>
      <c r="AG141" s="45"/>
    </row>
    <row r="142" spans="2:33" ht="16" x14ac:dyDescent="0.3">
      <c r="B142" s="262"/>
      <c r="C142" s="264"/>
      <c r="D142" s="264"/>
      <c r="E142" s="264"/>
      <c r="F142" s="264"/>
      <c r="G142" s="264"/>
      <c r="H142" s="264"/>
      <c r="I142" s="262"/>
      <c r="J142" s="262"/>
      <c r="K142" s="262"/>
      <c r="L142" s="262"/>
      <c r="M142" s="262"/>
      <c r="N142" s="262"/>
      <c r="O142" s="262"/>
      <c r="P142" s="262"/>
      <c r="Q142" s="262"/>
      <c r="R142" s="262"/>
      <c r="S142" s="45"/>
      <c r="T142" s="45"/>
      <c r="U142" s="45"/>
      <c r="V142" s="45"/>
      <c r="W142" s="45"/>
      <c r="X142" s="45"/>
      <c r="Y142" s="45"/>
      <c r="Z142" s="45"/>
      <c r="AA142" s="45"/>
      <c r="AB142" s="45"/>
      <c r="AC142" s="45"/>
      <c r="AD142" s="45"/>
      <c r="AE142" s="45"/>
      <c r="AF142" s="45"/>
      <c r="AG142" s="45"/>
    </row>
    <row r="143" spans="2:33" ht="15" customHeight="1" x14ac:dyDescent="0.3">
      <c r="B143" s="262"/>
      <c r="C143" s="264"/>
      <c r="D143" s="8"/>
      <c r="E143" s="8"/>
      <c r="F143" s="8"/>
      <c r="G143" s="8"/>
      <c r="H143" s="8"/>
      <c r="I143" s="1"/>
      <c r="J143" s="44"/>
      <c r="K143" s="1"/>
      <c r="L143" s="1"/>
      <c r="M143" s="44"/>
      <c r="N143" s="44"/>
      <c r="O143" s="1"/>
      <c r="P143" s="1"/>
      <c r="Q143" s="1"/>
      <c r="AG143" s="259" t="s">
        <v>10</v>
      </c>
    </row>
    <row r="144" spans="2:33" ht="13.75" customHeight="1" x14ac:dyDescent="0.3">
      <c r="B144" s="1699" t="s">
        <v>340</v>
      </c>
      <c r="C144" s="1699" t="s">
        <v>37</v>
      </c>
      <c r="D144" s="1844" t="s">
        <v>970</v>
      </c>
      <c r="E144" s="1845"/>
      <c r="F144" s="1845"/>
      <c r="G144" s="1845"/>
      <c r="H144" s="1846"/>
      <c r="I144" s="1844" t="s">
        <v>971</v>
      </c>
      <c r="J144" s="1845"/>
      <c r="K144" s="1845"/>
      <c r="L144" s="1845"/>
      <c r="M144" s="1846"/>
      <c r="N144" s="1838" t="s">
        <v>972</v>
      </c>
      <c r="O144" s="1838"/>
      <c r="P144" s="1838"/>
      <c r="Q144" s="1838"/>
      <c r="R144" s="1838"/>
      <c r="S144" s="1838" t="s">
        <v>973</v>
      </c>
      <c r="T144" s="1838"/>
      <c r="U144" s="1838"/>
      <c r="V144" s="1838"/>
      <c r="W144" s="1838"/>
    </row>
    <row r="145" spans="2:23" x14ac:dyDescent="0.3">
      <c r="B145" s="1699"/>
      <c r="C145" s="1699"/>
      <c r="D145" s="1847" t="s">
        <v>21</v>
      </c>
      <c r="E145" s="1848"/>
      <c r="F145" s="1848"/>
      <c r="G145" s="1848"/>
      <c r="H145" s="1849"/>
      <c r="I145" s="1847" t="s">
        <v>21</v>
      </c>
      <c r="J145" s="1848"/>
      <c r="K145" s="1848"/>
      <c r="L145" s="1848"/>
      <c r="M145" s="1849"/>
      <c r="N145" s="1841" t="s">
        <v>21</v>
      </c>
      <c r="O145" s="1842"/>
      <c r="P145" s="1842"/>
      <c r="Q145" s="1842"/>
      <c r="R145" s="1842"/>
      <c r="S145" s="1841" t="s">
        <v>21</v>
      </c>
      <c r="T145" s="1842"/>
      <c r="U145" s="1842"/>
      <c r="V145" s="1842"/>
      <c r="W145" s="1842"/>
    </row>
    <row r="146" spans="2:23" ht="42" x14ac:dyDescent="0.3">
      <c r="B146" s="1699"/>
      <c r="C146" s="1699"/>
      <c r="D146" s="1108" t="s">
        <v>267</v>
      </c>
      <c r="E146" s="1108" t="s">
        <v>268</v>
      </c>
      <c r="F146" s="263" t="s">
        <v>274</v>
      </c>
      <c r="G146" s="1106" t="s">
        <v>587</v>
      </c>
      <c r="H146" s="1108" t="s">
        <v>270</v>
      </c>
      <c r="I146" s="1108" t="s">
        <v>267</v>
      </c>
      <c r="J146" s="1108" t="s">
        <v>268</v>
      </c>
      <c r="K146" s="1108" t="s">
        <v>269</v>
      </c>
      <c r="L146" s="1106" t="s">
        <v>587</v>
      </c>
      <c r="M146" s="1108" t="s">
        <v>270</v>
      </c>
      <c r="N146" s="1108" t="s">
        <v>267</v>
      </c>
      <c r="O146" s="1108" t="s">
        <v>268</v>
      </c>
      <c r="P146" s="1108" t="s">
        <v>269</v>
      </c>
      <c r="Q146" s="1106" t="s">
        <v>587</v>
      </c>
      <c r="R146" s="1108" t="s">
        <v>270</v>
      </c>
      <c r="S146" s="1108" t="s">
        <v>267</v>
      </c>
      <c r="T146" s="1108" t="s">
        <v>268</v>
      </c>
      <c r="U146" s="1108" t="s">
        <v>269</v>
      </c>
      <c r="V146" s="1106" t="s">
        <v>587</v>
      </c>
      <c r="W146" s="1108" t="s">
        <v>270</v>
      </c>
    </row>
    <row r="147" spans="2:23" ht="28" x14ac:dyDescent="0.3">
      <c r="B147" s="260"/>
      <c r="C147" s="260"/>
      <c r="D147" s="260" t="s">
        <v>660</v>
      </c>
      <c r="E147" s="260" t="s">
        <v>661</v>
      </c>
      <c r="F147" s="260" t="s">
        <v>662</v>
      </c>
      <c r="G147" s="260" t="s">
        <v>663</v>
      </c>
      <c r="H147" s="260" t="s">
        <v>664</v>
      </c>
      <c r="I147" s="260" t="s">
        <v>660</v>
      </c>
      <c r="J147" s="260" t="s">
        <v>661</v>
      </c>
      <c r="K147" s="260" t="s">
        <v>662</v>
      </c>
      <c r="L147" s="260" t="s">
        <v>663</v>
      </c>
      <c r="M147" s="260" t="s">
        <v>664</v>
      </c>
      <c r="N147" s="260" t="s">
        <v>660</v>
      </c>
      <c r="O147" s="260" t="s">
        <v>661</v>
      </c>
      <c r="P147" s="260" t="s">
        <v>662</v>
      </c>
      <c r="Q147" s="260" t="s">
        <v>663</v>
      </c>
      <c r="R147" s="260" t="s">
        <v>664</v>
      </c>
      <c r="S147" s="260" t="s">
        <v>660</v>
      </c>
      <c r="T147" s="260" t="s">
        <v>661</v>
      </c>
      <c r="U147" s="260" t="s">
        <v>662</v>
      </c>
      <c r="V147" s="260" t="s">
        <v>663</v>
      </c>
      <c r="W147" s="260" t="s">
        <v>664</v>
      </c>
    </row>
    <row r="148" spans="2:23" x14ac:dyDescent="0.3">
      <c r="B148" s="95">
        <v>1</v>
      </c>
      <c r="C148" s="448" t="s">
        <v>842</v>
      </c>
      <c r="D148" s="687">
        <f t="shared" ref="D148:G163" si="51">D40-D95</f>
        <v>50.821687901156309</v>
      </c>
      <c r="E148" s="687">
        <f t="shared" si="51"/>
        <v>0</v>
      </c>
      <c r="F148" s="687">
        <f t="shared" si="51"/>
        <v>0</v>
      </c>
      <c r="G148" s="687">
        <f t="shared" si="51"/>
        <v>0</v>
      </c>
      <c r="H148" s="892">
        <f>D148+E148-F148-G148</f>
        <v>50.821687901156309</v>
      </c>
      <c r="I148" s="842">
        <f>H148</f>
        <v>50.821687901156309</v>
      </c>
      <c r="J148" s="894"/>
      <c r="K148" s="842"/>
      <c r="L148" s="894"/>
      <c r="M148" s="842">
        <f>I148+J148-K148-L148</f>
        <v>50.821687901156309</v>
      </c>
      <c r="N148" s="842">
        <f>M148</f>
        <v>50.821687901156309</v>
      </c>
      <c r="O148" s="894"/>
      <c r="P148" s="842"/>
      <c r="Q148" s="894"/>
      <c r="R148" s="842">
        <f>N148+O148-P148-Q148</f>
        <v>50.821687901156309</v>
      </c>
      <c r="S148" s="842">
        <f>R148</f>
        <v>50.821687901156309</v>
      </c>
      <c r="T148" s="894"/>
      <c r="U148" s="842"/>
      <c r="V148" s="894"/>
      <c r="W148" s="842">
        <f>S148+T148-U148-V148</f>
        <v>50.821687901156309</v>
      </c>
    </row>
    <row r="149" spans="2:23" x14ac:dyDescent="0.3">
      <c r="B149" s="95">
        <f>B148+1</f>
        <v>2</v>
      </c>
      <c r="C149" s="448" t="s">
        <v>843</v>
      </c>
      <c r="D149" s="687">
        <f t="shared" si="51"/>
        <v>95.669448047809965</v>
      </c>
      <c r="E149" s="687">
        <f t="shared" si="51"/>
        <v>25.140065660874686</v>
      </c>
      <c r="F149" s="687">
        <f t="shared" si="51"/>
        <v>0</v>
      </c>
      <c r="G149" s="687">
        <f t="shared" si="51"/>
        <v>0</v>
      </c>
      <c r="H149" s="892">
        <f t="shared" ref="H149:H164" si="52">D149+E149-F149-G149</f>
        <v>120.80951370868465</v>
      </c>
      <c r="I149" s="842">
        <f t="shared" ref="I149:I164" si="53">H149</f>
        <v>120.80951370868465</v>
      </c>
      <c r="J149" s="894"/>
      <c r="K149" s="842"/>
      <c r="L149" s="894"/>
      <c r="M149" s="842">
        <f t="shared" ref="M149:M164" si="54">I149+J149-K149-L149</f>
        <v>120.80951370868465</v>
      </c>
      <c r="N149" s="842">
        <f t="shared" ref="N149:N164" si="55">M149</f>
        <v>120.80951370868465</v>
      </c>
      <c r="O149" s="894"/>
      <c r="P149" s="842"/>
      <c r="Q149" s="894"/>
      <c r="R149" s="842">
        <f t="shared" ref="R149:R164" si="56">N149+O149-P149-Q149</f>
        <v>120.80951370868465</v>
      </c>
      <c r="S149" s="842">
        <f t="shared" ref="S149:S164" si="57">R149</f>
        <v>120.80951370868465</v>
      </c>
      <c r="T149" s="894"/>
      <c r="U149" s="842"/>
      <c r="V149" s="894"/>
      <c r="W149" s="842">
        <f t="shared" ref="W149:W164" si="58">S149+T149-U149-V149</f>
        <v>120.80951370868465</v>
      </c>
    </row>
    <row r="150" spans="2:23" x14ac:dyDescent="0.3">
      <c r="B150" s="95">
        <f t="shared" ref="B150:B164" si="59">B149+1</f>
        <v>3</v>
      </c>
      <c r="C150" s="448" t="s">
        <v>844</v>
      </c>
      <c r="D150" s="687">
        <f t="shared" si="51"/>
        <v>4.8944999999999999</v>
      </c>
      <c r="E150" s="687">
        <f t="shared" si="51"/>
        <v>18.632825</v>
      </c>
      <c r="F150" s="687">
        <f t="shared" si="51"/>
        <v>0</v>
      </c>
      <c r="G150" s="687">
        <f t="shared" si="51"/>
        <v>0</v>
      </c>
      <c r="H150" s="892">
        <f t="shared" si="52"/>
        <v>23.527325000000001</v>
      </c>
      <c r="I150" s="842">
        <f t="shared" si="53"/>
        <v>23.527325000000001</v>
      </c>
      <c r="J150" s="894"/>
      <c r="K150" s="842"/>
      <c r="L150" s="894"/>
      <c r="M150" s="842">
        <f t="shared" si="54"/>
        <v>23.527325000000001</v>
      </c>
      <c r="N150" s="842">
        <f t="shared" si="55"/>
        <v>23.527325000000001</v>
      </c>
      <c r="O150" s="894"/>
      <c r="P150" s="842"/>
      <c r="Q150" s="894"/>
      <c r="R150" s="842">
        <f t="shared" si="56"/>
        <v>23.527325000000001</v>
      </c>
      <c r="S150" s="842">
        <f t="shared" si="57"/>
        <v>23.527325000000001</v>
      </c>
      <c r="T150" s="894"/>
      <c r="U150" s="842"/>
      <c r="V150" s="894"/>
      <c r="W150" s="842">
        <f t="shared" si="58"/>
        <v>23.527325000000001</v>
      </c>
    </row>
    <row r="151" spans="2:23" x14ac:dyDescent="0.3">
      <c r="B151" s="95">
        <f t="shared" si="59"/>
        <v>4</v>
      </c>
      <c r="C151" s="448" t="s">
        <v>845</v>
      </c>
      <c r="D151" s="687">
        <f t="shared" si="51"/>
        <v>72.892806586955714</v>
      </c>
      <c r="E151" s="687">
        <f t="shared" si="51"/>
        <v>-7.7252162708760137</v>
      </c>
      <c r="F151" s="687">
        <f t="shared" si="51"/>
        <v>0</v>
      </c>
      <c r="G151" s="687">
        <f t="shared" si="51"/>
        <v>0</v>
      </c>
      <c r="H151" s="892">
        <f t="shared" si="52"/>
        <v>65.167590316079696</v>
      </c>
      <c r="I151" s="842">
        <f t="shared" si="53"/>
        <v>65.167590316079696</v>
      </c>
      <c r="J151" s="894"/>
      <c r="K151" s="842"/>
      <c r="L151" s="894"/>
      <c r="M151" s="842">
        <f t="shared" si="54"/>
        <v>65.167590316079696</v>
      </c>
      <c r="N151" s="842">
        <f t="shared" si="55"/>
        <v>65.167590316079696</v>
      </c>
      <c r="O151" s="894"/>
      <c r="P151" s="842"/>
      <c r="Q151" s="894"/>
      <c r="R151" s="842">
        <f t="shared" si="56"/>
        <v>65.167590316079696</v>
      </c>
      <c r="S151" s="842">
        <f t="shared" si="57"/>
        <v>65.167590316079696</v>
      </c>
      <c r="T151" s="894"/>
      <c r="U151" s="842"/>
      <c r="V151" s="894"/>
      <c r="W151" s="842">
        <f t="shared" si="58"/>
        <v>65.167590316079696</v>
      </c>
    </row>
    <row r="152" spans="2:23" x14ac:dyDescent="0.3">
      <c r="B152" s="95">
        <f t="shared" si="59"/>
        <v>5</v>
      </c>
      <c r="C152" s="448" t="s">
        <v>846</v>
      </c>
      <c r="D152" s="687">
        <f t="shared" si="51"/>
        <v>139.25397576800515</v>
      </c>
      <c r="E152" s="687">
        <f t="shared" si="51"/>
        <v>10.761325470374016</v>
      </c>
      <c r="F152" s="687">
        <f t="shared" si="51"/>
        <v>0</v>
      </c>
      <c r="G152" s="687">
        <f t="shared" si="51"/>
        <v>0</v>
      </c>
      <c r="H152" s="892">
        <f t="shared" si="52"/>
        <v>150.01530123837915</v>
      </c>
      <c r="I152" s="842">
        <f t="shared" si="53"/>
        <v>150.01530123837915</v>
      </c>
      <c r="J152" s="894"/>
      <c r="K152" s="842"/>
      <c r="L152" s="894"/>
      <c r="M152" s="842">
        <f t="shared" si="54"/>
        <v>150.01530123837915</v>
      </c>
      <c r="N152" s="842">
        <f t="shared" si="55"/>
        <v>150.01530123837915</v>
      </c>
      <c r="O152" s="894"/>
      <c r="P152" s="842"/>
      <c r="Q152" s="894"/>
      <c r="R152" s="842">
        <f t="shared" si="56"/>
        <v>150.01530123837915</v>
      </c>
      <c r="S152" s="842">
        <f t="shared" si="57"/>
        <v>150.01530123837915</v>
      </c>
      <c r="T152" s="894"/>
      <c r="U152" s="842"/>
      <c r="V152" s="894"/>
      <c r="W152" s="842">
        <f t="shared" si="58"/>
        <v>150.01530123837915</v>
      </c>
    </row>
    <row r="153" spans="2:23" x14ac:dyDescent="0.3">
      <c r="B153" s="95">
        <f t="shared" si="59"/>
        <v>6</v>
      </c>
      <c r="C153" s="448" t="s">
        <v>256</v>
      </c>
      <c r="D153" s="687">
        <f t="shared" si="51"/>
        <v>1415.010542318676</v>
      </c>
      <c r="E153" s="687">
        <f t="shared" si="51"/>
        <v>378.60570625687501</v>
      </c>
      <c r="F153" s="687">
        <f t="shared" si="51"/>
        <v>0</v>
      </c>
      <c r="G153" s="687">
        <f t="shared" si="51"/>
        <v>0</v>
      </c>
      <c r="H153" s="892">
        <f t="shared" si="52"/>
        <v>1793.616248575551</v>
      </c>
      <c r="I153" s="842">
        <f t="shared" si="53"/>
        <v>1793.616248575551</v>
      </c>
      <c r="J153" s="894"/>
      <c r="K153" s="842"/>
      <c r="L153" s="894"/>
      <c r="M153" s="842">
        <f t="shared" si="54"/>
        <v>1793.616248575551</v>
      </c>
      <c r="N153" s="842">
        <f t="shared" si="55"/>
        <v>1793.616248575551</v>
      </c>
      <c r="O153" s="894"/>
      <c r="P153" s="842"/>
      <c r="Q153" s="894"/>
      <c r="R153" s="842">
        <f t="shared" si="56"/>
        <v>1793.616248575551</v>
      </c>
      <c r="S153" s="842">
        <f t="shared" si="57"/>
        <v>1793.616248575551</v>
      </c>
      <c r="T153" s="894"/>
      <c r="U153" s="842"/>
      <c r="V153" s="894"/>
      <c r="W153" s="842">
        <f t="shared" si="58"/>
        <v>1793.616248575551</v>
      </c>
    </row>
    <row r="154" spans="2:23" x14ac:dyDescent="0.3">
      <c r="B154" s="95">
        <f t="shared" si="59"/>
        <v>7</v>
      </c>
      <c r="C154" s="448" t="s">
        <v>847</v>
      </c>
      <c r="D154" s="687">
        <f t="shared" si="51"/>
        <v>4.7483333333333322</v>
      </c>
      <c r="E154" s="687">
        <f t="shared" si="51"/>
        <v>-0.5033333333333333</v>
      </c>
      <c r="F154" s="687">
        <f t="shared" si="51"/>
        <v>0</v>
      </c>
      <c r="G154" s="687">
        <f t="shared" si="51"/>
        <v>0</v>
      </c>
      <c r="H154" s="892">
        <f t="shared" si="52"/>
        <v>4.2449999999999992</v>
      </c>
      <c r="I154" s="842">
        <f t="shared" si="53"/>
        <v>4.2449999999999992</v>
      </c>
      <c r="J154" s="894"/>
      <c r="K154" s="842"/>
      <c r="L154" s="894"/>
      <c r="M154" s="842">
        <f t="shared" si="54"/>
        <v>4.2449999999999992</v>
      </c>
      <c r="N154" s="842">
        <f t="shared" si="55"/>
        <v>4.2449999999999992</v>
      </c>
      <c r="O154" s="894"/>
      <c r="P154" s="842"/>
      <c r="Q154" s="894"/>
      <c r="R154" s="842">
        <f t="shared" si="56"/>
        <v>4.2449999999999992</v>
      </c>
      <c r="S154" s="842">
        <f t="shared" si="57"/>
        <v>4.2449999999999992</v>
      </c>
      <c r="T154" s="894"/>
      <c r="U154" s="842"/>
      <c r="V154" s="894"/>
      <c r="W154" s="842">
        <f t="shared" si="58"/>
        <v>4.2449999999999992</v>
      </c>
    </row>
    <row r="155" spans="2:23" x14ac:dyDescent="0.3">
      <c r="B155" s="95">
        <f t="shared" si="59"/>
        <v>8</v>
      </c>
      <c r="C155" s="448" t="s">
        <v>848</v>
      </c>
      <c r="D155" s="687">
        <f t="shared" si="51"/>
        <v>0</v>
      </c>
      <c r="E155" s="687">
        <f t="shared" si="51"/>
        <v>0</v>
      </c>
      <c r="F155" s="687">
        <f t="shared" si="51"/>
        <v>0</v>
      </c>
      <c r="G155" s="687">
        <f t="shared" si="51"/>
        <v>0</v>
      </c>
      <c r="H155" s="892">
        <f t="shared" si="52"/>
        <v>0</v>
      </c>
      <c r="I155" s="842">
        <f t="shared" si="53"/>
        <v>0</v>
      </c>
      <c r="J155" s="894"/>
      <c r="K155" s="842"/>
      <c r="L155" s="894"/>
      <c r="M155" s="842">
        <f t="shared" si="54"/>
        <v>0</v>
      </c>
      <c r="N155" s="842">
        <f t="shared" si="55"/>
        <v>0</v>
      </c>
      <c r="O155" s="894"/>
      <c r="P155" s="842"/>
      <c r="Q155" s="894"/>
      <c r="R155" s="842">
        <f t="shared" si="56"/>
        <v>0</v>
      </c>
      <c r="S155" s="842">
        <f t="shared" si="57"/>
        <v>0</v>
      </c>
      <c r="T155" s="894"/>
      <c r="U155" s="842"/>
      <c r="V155" s="894"/>
      <c r="W155" s="842">
        <f t="shared" si="58"/>
        <v>0</v>
      </c>
    </row>
    <row r="156" spans="2:23" x14ac:dyDescent="0.3">
      <c r="B156" s="95">
        <f t="shared" si="59"/>
        <v>9</v>
      </c>
      <c r="C156" s="448" t="s">
        <v>849</v>
      </c>
      <c r="D156" s="687">
        <f t="shared" si="51"/>
        <v>14.779444095975975</v>
      </c>
      <c r="E156" s="687">
        <f t="shared" si="51"/>
        <v>-0.62396679868250093</v>
      </c>
      <c r="F156" s="687">
        <f t="shared" si="51"/>
        <v>0</v>
      </c>
      <c r="G156" s="687">
        <f t="shared" si="51"/>
        <v>0</v>
      </c>
      <c r="H156" s="892">
        <f t="shared" si="52"/>
        <v>14.155477297293475</v>
      </c>
      <c r="I156" s="842">
        <f t="shared" si="53"/>
        <v>14.155477297293475</v>
      </c>
      <c r="J156" s="894"/>
      <c r="K156" s="842"/>
      <c r="L156" s="894"/>
      <c r="M156" s="842">
        <f t="shared" si="54"/>
        <v>14.155477297293475</v>
      </c>
      <c r="N156" s="842">
        <f t="shared" si="55"/>
        <v>14.155477297293475</v>
      </c>
      <c r="O156" s="894"/>
      <c r="P156" s="842"/>
      <c r="Q156" s="894"/>
      <c r="R156" s="842">
        <f t="shared" si="56"/>
        <v>14.155477297293475</v>
      </c>
      <c r="S156" s="842">
        <f t="shared" si="57"/>
        <v>14.155477297293475</v>
      </c>
      <c r="T156" s="894"/>
      <c r="U156" s="842"/>
      <c r="V156" s="894"/>
      <c r="W156" s="842">
        <f t="shared" si="58"/>
        <v>14.155477297293475</v>
      </c>
    </row>
    <row r="157" spans="2:23" x14ac:dyDescent="0.3">
      <c r="B157" s="95">
        <f t="shared" si="59"/>
        <v>10</v>
      </c>
      <c r="C157" s="448" t="s">
        <v>259</v>
      </c>
      <c r="D157" s="687">
        <f t="shared" si="51"/>
        <v>19.911089256998626</v>
      </c>
      <c r="E157" s="687">
        <f t="shared" si="51"/>
        <v>-2.2426479480779147</v>
      </c>
      <c r="F157" s="687">
        <f t="shared" si="51"/>
        <v>0</v>
      </c>
      <c r="G157" s="687">
        <f t="shared" si="51"/>
        <v>0</v>
      </c>
      <c r="H157" s="892">
        <f t="shared" si="52"/>
        <v>17.668441308920713</v>
      </c>
      <c r="I157" s="842">
        <f t="shared" si="53"/>
        <v>17.668441308920713</v>
      </c>
      <c r="J157" s="894"/>
      <c r="K157" s="842"/>
      <c r="L157" s="894"/>
      <c r="M157" s="842">
        <f t="shared" si="54"/>
        <v>17.668441308920713</v>
      </c>
      <c r="N157" s="842">
        <f t="shared" si="55"/>
        <v>17.668441308920713</v>
      </c>
      <c r="O157" s="894"/>
      <c r="P157" s="842"/>
      <c r="Q157" s="894"/>
      <c r="R157" s="842">
        <f t="shared" si="56"/>
        <v>17.668441308920713</v>
      </c>
      <c r="S157" s="842">
        <f t="shared" si="57"/>
        <v>17.668441308920713</v>
      </c>
      <c r="T157" s="894"/>
      <c r="U157" s="842"/>
      <c r="V157" s="894"/>
      <c r="W157" s="842">
        <f t="shared" si="58"/>
        <v>17.668441308920713</v>
      </c>
    </row>
    <row r="158" spans="2:23" x14ac:dyDescent="0.3">
      <c r="B158" s="95">
        <f t="shared" si="59"/>
        <v>11</v>
      </c>
      <c r="C158" s="448" t="s">
        <v>260</v>
      </c>
      <c r="D158" s="687">
        <f t="shared" si="51"/>
        <v>1.1119786683389812</v>
      </c>
      <c r="E158" s="687">
        <f t="shared" si="51"/>
        <v>-0.17218669501799624</v>
      </c>
      <c r="F158" s="687">
        <f t="shared" si="51"/>
        <v>0</v>
      </c>
      <c r="G158" s="687">
        <f t="shared" si="51"/>
        <v>0</v>
      </c>
      <c r="H158" s="892">
        <f t="shared" si="52"/>
        <v>0.93979197332098496</v>
      </c>
      <c r="I158" s="842">
        <f t="shared" si="53"/>
        <v>0.93979197332098496</v>
      </c>
      <c r="J158" s="894"/>
      <c r="K158" s="842"/>
      <c r="L158" s="894"/>
      <c r="M158" s="842">
        <f t="shared" si="54"/>
        <v>0.93979197332098496</v>
      </c>
      <c r="N158" s="842">
        <f t="shared" si="55"/>
        <v>0.93979197332098496</v>
      </c>
      <c r="O158" s="894"/>
      <c r="P158" s="842"/>
      <c r="Q158" s="894"/>
      <c r="R158" s="842">
        <f t="shared" si="56"/>
        <v>0.93979197332098496</v>
      </c>
      <c r="S158" s="842">
        <f t="shared" si="57"/>
        <v>0.93979197332098496</v>
      </c>
      <c r="T158" s="894"/>
      <c r="U158" s="842"/>
      <c r="V158" s="894"/>
      <c r="W158" s="842">
        <f t="shared" si="58"/>
        <v>0.93979197332098496</v>
      </c>
    </row>
    <row r="159" spans="2:23" x14ac:dyDescent="0.3">
      <c r="B159" s="95">
        <f t="shared" si="59"/>
        <v>12</v>
      </c>
      <c r="C159" s="448" t="s">
        <v>261</v>
      </c>
      <c r="D159" s="687">
        <f t="shared" si="51"/>
        <v>3.0249916813514917</v>
      </c>
      <c r="E159" s="687">
        <f t="shared" si="51"/>
        <v>-0.50951855935207468</v>
      </c>
      <c r="F159" s="687">
        <f t="shared" si="51"/>
        <v>0</v>
      </c>
      <c r="G159" s="687">
        <f t="shared" si="51"/>
        <v>0</v>
      </c>
      <c r="H159" s="892">
        <f t="shared" si="52"/>
        <v>2.5154731219994169</v>
      </c>
      <c r="I159" s="842">
        <f t="shared" si="53"/>
        <v>2.5154731219994169</v>
      </c>
      <c r="J159" s="894"/>
      <c r="K159" s="842"/>
      <c r="L159" s="894"/>
      <c r="M159" s="842">
        <f t="shared" si="54"/>
        <v>2.5154731219994169</v>
      </c>
      <c r="N159" s="842">
        <f t="shared" si="55"/>
        <v>2.5154731219994169</v>
      </c>
      <c r="O159" s="894"/>
      <c r="P159" s="842"/>
      <c r="Q159" s="894"/>
      <c r="R159" s="842">
        <f t="shared" si="56"/>
        <v>2.5154731219994169</v>
      </c>
      <c r="S159" s="842">
        <f t="shared" si="57"/>
        <v>2.5154731219994169</v>
      </c>
      <c r="T159" s="894"/>
      <c r="U159" s="842"/>
      <c r="V159" s="894"/>
      <c r="W159" s="842">
        <f t="shared" si="58"/>
        <v>2.5154731219994169</v>
      </c>
    </row>
    <row r="160" spans="2:23" x14ac:dyDescent="0.3">
      <c r="B160" s="95">
        <f t="shared" si="59"/>
        <v>13</v>
      </c>
      <c r="C160" s="469" t="s">
        <v>897</v>
      </c>
      <c r="D160" s="687">
        <f t="shared" si="51"/>
        <v>0</v>
      </c>
      <c r="E160" s="687">
        <f t="shared" si="51"/>
        <v>0</v>
      </c>
      <c r="F160" s="687">
        <f t="shared" si="51"/>
        <v>0</v>
      </c>
      <c r="G160" s="687">
        <f t="shared" si="51"/>
        <v>0</v>
      </c>
      <c r="H160" s="892">
        <f t="shared" si="52"/>
        <v>0</v>
      </c>
      <c r="I160" s="842">
        <f t="shared" si="53"/>
        <v>0</v>
      </c>
      <c r="J160" s="894"/>
      <c r="K160" s="842"/>
      <c r="L160" s="894"/>
      <c r="M160" s="842">
        <f t="shared" si="54"/>
        <v>0</v>
      </c>
      <c r="N160" s="842">
        <f t="shared" si="55"/>
        <v>0</v>
      </c>
      <c r="O160" s="894"/>
      <c r="P160" s="842"/>
      <c r="Q160" s="894"/>
      <c r="R160" s="842">
        <f t="shared" si="56"/>
        <v>0</v>
      </c>
      <c r="S160" s="842">
        <f t="shared" si="57"/>
        <v>0</v>
      </c>
      <c r="T160" s="894"/>
      <c r="U160" s="842"/>
      <c r="V160" s="894"/>
      <c r="W160" s="842">
        <f t="shared" si="58"/>
        <v>0</v>
      </c>
    </row>
    <row r="161" spans="2:23" x14ac:dyDescent="0.3">
      <c r="B161" s="95">
        <f t="shared" si="59"/>
        <v>14</v>
      </c>
      <c r="C161" s="469" t="s">
        <v>898</v>
      </c>
      <c r="D161" s="687">
        <f t="shared" si="51"/>
        <v>0</v>
      </c>
      <c r="E161" s="687">
        <f t="shared" si="51"/>
        <v>0</v>
      </c>
      <c r="F161" s="687">
        <f t="shared" si="51"/>
        <v>0</v>
      </c>
      <c r="G161" s="687">
        <f t="shared" si="51"/>
        <v>0</v>
      </c>
      <c r="H161" s="892">
        <f t="shared" si="52"/>
        <v>0</v>
      </c>
      <c r="I161" s="842">
        <f t="shared" si="53"/>
        <v>0</v>
      </c>
      <c r="J161" s="894"/>
      <c r="K161" s="842"/>
      <c r="L161" s="894"/>
      <c r="M161" s="842">
        <f t="shared" si="54"/>
        <v>0</v>
      </c>
      <c r="N161" s="842">
        <f t="shared" si="55"/>
        <v>0</v>
      </c>
      <c r="O161" s="894"/>
      <c r="P161" s="842"/>
      <c r="Q161" s="894"/>
      <c r="R161" s="842">
        <f t="shared" si="56"/>
        <v>0</v>
      </c>
      <c r="S161" s="842">
        <f t="shared" si="57"/>
        <v>0</v>
      </c>
      <c r="T161" s="894"/>
      <c r="U161" s="842"/>
      <c r="V161" s="894"/>
      <c r="W161" s="842">
        <f t="shared" si="58"/>
        <v>0</v>
      </c>
    </row>
    <row r="162" spans="2:23" x14ac:dyDescent="0.3">
      <c r="B162" s="95">
        <f t="shared" si="59"/>
        <v>15</v>
      </c>
      <c r="C162" s="469" t="s">
        <v>899</v>
      </c>
      <c r="D162" s="687">
        <f t="shared" si="51"/>
        <v>61.666666666666657</v>
      </c>
      <c r="E162" s="687">
        <f t="shared" si="51"/>
        <v>-9.9999999999999982</v>
      </c>
      <c r="F162" s="687">
        <f t="shared" si="51"/>
        <v>0</v>
      </c>
      <c r="G162" s="687">
        <f t="shared" si="51"/>
        <v>0</v>
      </c>
      <c r="H162" s="892">
        <f t="shared" si="52"/>
        <v>51.666666666666657</v>
      </c>
      <c r="I162" s="842">
        <f t="shared" si="53"/>
        <v>51.666666666666657</v>
      </c>
      <c r="J162" s="894"/>
      <c r="K162" s="842"/>
      <c r="L162" s="894"/>
      <c r="M162" s="842">
        <f t="shared" si="54"/>
        <v>51.666666666666657</v>
      </c>
      <c r="N162" s="842">
        <f t="shared" si="55"/>
        <v>51.666666666666657</v>
      </c>
      <c r="O162" s="894"/>
      <c r="P162" s="842"/>
      <c r="Q162" s="894"/>
      <c r="R162" s="842">
        <f t="shared" si="56"/>
        <v>51.666666666666657</v>
      </c>
      <c r="S162" s="842">
        <f t="shared" si="57"/>
        <v>51.666666666666657</v>
      </c>
      <c r="T162" s="894"/>
      <c r="U162" s="842"/>
      <c r="V162" s="894"/>
      <c r="W162" s="842">
        <f t="shared" si="58"/>
        <v>51.666666666666657</v>
      </c>
    </row>
    <row r="163" spans="2:23" x14ac:dyDescent="0.3">
      <c r="B163" s="95">
        <f t="shared" si="59"/>
        <v>16</v>
      </c>
      <c r="C163" s="469" t="s">
        <v>850</v>
      </c>
      <c r="D163" s="687">
        <f t="shared" si="51"/>
        <v>0</v>
      </c>
      <c r="E163" s="687">
        <f t="shared" si="51"/>
        <v>0</v>
      </c>
      <c r="F163" s="687">
        <f t="shared" si="51"/>
        <v>0</v>
      </c>
      <c r="G163" s="687">
        <f t="shared" si="51"/>
        <v>0</v>
      </c>
      <c r="H163" s="892">
        <f t="shared" si="52"/>
        <v>0</v>
      </c>
      <c r="I163" s="842">
        <f t="shared" si="53"/>
        <v>0</v>
      </c>
      <c r="J163" s="894"/>
      <c r="K163" s="842"/>
      <c r="L163" s="894"/>
      <c r="M163" s="842">
        <f t="shared" si="54"/>
        <v>0</v>
      </c>
      <c r="N163" s="842">
        <f t="shared" si="55"/>
        <v>0</v>
      </c>
      <c r="O163" s="894"/>
      <c r="P163" s="842"/>
      <c r="Q163" s="894"/>
      <c r="R163" s="842">
        <f t="shared" si="56"/>
        <v>0</v>
      </c>
      <c r="S163" s="842">
        <f t="shared" si="57"/>
        <v>0</v>
      </c>
      <c r="T163" s="894"/>
      <c r="U163" s="842"/>
      <c r="V163" s="894"/>
      <c r="W163" s="842">
        <f t="shared" si="58"/>
        <v>0</v>
      </c>
    </row>
    <row r="164" spans="2:23" x14ac:dyDescent="0.3">
      <c r="B164" s="95">
        <f t="shared" si="59"/>
        <v>17</v>
      </c>
      <c r="C164" s="469" t="s">
        <v>900</v>
      </c>
      <c r="D164" s="687">
        <f t="shared" ref="D164:G164" si="60">D56-D111</f>
        <v>0</v>
      </c>
      <c r="E164" s="687">
        <f t="shared" si="60"/>
        <v>0</v>
      </c>
      <c r="F164" s="687">
        <f t="shared" si="60"/>
        <v>0</v>
      </c>
      <c r="G164" s="687">
        <f t="shared" si="60"/>
        <v>0</v>
      </c>
      <c r="H164" s="892">
        <f t="shared" si="52"/>
        <v>0</v>
      </c>
      <c r="I164" s="842">
        <f t="shared" si="53"/>
        <v>0</v>
      </c>
      <c r="J164" s="894"/>
      <c r="K164" s="842"/>
      <c r="L164" s="894"/>
      <c r="M164" s="842">
        <f t="shared" si="54"/>
        <v>0</v>
      </c>
      <c r="N164" s="842">
        <f t="shared" si="55"/>
        <v>0</v>
      </c>
      <c r="O164" s="894"/>
      <c r="P164" s="842"/>
      <c r="Q164" s="894"/>
      <c r="R164" s="842">
        <f t="shared" si="56"/>
        <v>0</v>
      </c>
      <c r="S164" s="842">
        <f t="shared" si="57"/>
        <v>0</v>
      </c>
      <c r="T164" s="894"/>
      <c r="U164" s="842"/>
      <c r="V164" s="894"/>
      <c r="W164" s="842">
        <f t="shared" si="58"/>
        <v>0</v>
      </c>
    </row>
    <row r="165" spans="2:23" ht="16" x14ac:dyDescent="0.3">
      <c r="B165" s="83"/>
      <c r="C165" s="97" t="s">
        <v>271</v>
      </c>
      <c r="D165" s="886">
        <f>SUM(D148:D163)</f>
        <v>1883.7854643252681</v>
      </c>
      <c r="E165" s="886">
        <f>SUM(E148:E163)</f>
        <v>411.36305278278388</v>
      </c>
      <c r="F165" s="886">
        <f>SUM(F148:F163)</f>
        <v>0</v>
      </c>
      <c r="G165" s="886">
        <f>SUM(G148:G163)</f>
        <v>0</v>
      </c>
      <c r="H165" s="886">
        <f>SUM(H148:H163)</f>
        <v>2295.1485171080521</v>
      </c>
      <c r="I165" s="886">
        <f t="shared" ref="I165:W165" si="61">SUM(I148:I164)</f>
        <v>2295.1485171080521</v>
      </c>
      <c r="J165" s="886">
        <f t="shared" si="61"/>
        <v>0</v>
      </c>
      <c r="K165" s="886">
        <f t="shared" si="61"/>
        <v>0</v>
      </c>
      <c r="L165" s="886">
        <f t="shared" si="61"/>
        <v>0</v>
      </c>
      <c r="M165" s="886">
        <f t="shared" si="61"/>
        <v>2295.1485171080521</v>
      </c>
      <c r="N165" s="886">
        <f t="shared" si="61"/>
        <v>2295.1485171080521</v>
      </c>
      <c r="O165" s="886">
        <f t="shared" si="61"/>
        <v>0</v>
      </c>
      <c r="P165" s="886">
        <f t="shared" si="61"/>
        <v>0</v>
      </c>
      <c r="Q165" s="886">
        <f t="shared" si="61"/>
        <v>0</v>
      </c>
      <c r="R165" s="886">
        <f t="shared" si="61"/>
        <v>2295.1485171080521</v>
      </c>
      <c r="S165" s="886">
        <f t="shared" si="61"/>
        <v>2295.1485171080521</v>
      </c>
      <c r="T165" s="886">
        <f t="shared" si="61"/>
        <v>0</v>
      </c>
      <c r="U165" s="886">
        <f t="shared" si="61"/>
        <v>0</v>
      </c>
      <c r="V165" s="886">
        <f t="shared" si="61"/>
        <v>0</v>
      </c>
      <c r="W165" s="886">
        <f t="shared" si="61"/>
        <v>2295.1485171080521</v>
      </c>
    </row>
    <row r="166" spans="2:23" x14ac:dyDescent="0.3">
      <c r="B166" s="268"/>
      <c r="C166" s="79"/>
      <c r="D166" s="79"/>
      <c r="E166" s="79"/>
      <c r="F166" s="79"/>
    </row>
  </sheetData>
  <mergeCells count="61">
    <mergeCell ref="S144:W144"/>
    <mergeCell ref="D145:H145"/>
    <mergeCell ref="I145:M145"/>
    <mergeCell ref="N145:R145"/>
    <mergeCell ref="S145:W145"/>
    <mergeCell ref="S118:W118"/>
    <mergeCell ref="D119:H119"/>
    <mergeCell ref="I119:M119"/>
    <mergeCell ref="N119:R119"/>
    <mergeCell ref="S119:W119"/>
    <mergeCell ref="B144:B146"/>
    <mergeCell ref="C144:C146"/>
    <mergeCell ref="D144:H144"/>
    <mergeCell ref="I144:M144"/>
    <mergeCell ref="N144:R144"/>
    <mergeCell ref="S91:W91"/>
    <mergeCell ref="D92:H92"/>
    <mergeCell ref="I92:M92"/>
    <mergeCell ref="N92:R92"/>
    <mergeCell ref="S92:W92"/>
    <mergeCell ref="B118:B120"/>
    <mergeCell ref="C118:C120"/>
    <mergeCell ref="D118:H118"/>
    <mergeCell ref="I118:M118"/>
    <mergeCell ref="N118:R118"/>
    <mergeCell ref="S64:W64"/>
    <mergeCell ref="D65:H65"/>
    <mergeCell ref="I65:M65"/>
    <mergeCell ref="N65:R65"/>
    <mergeCell ref="S65:W65"/>
    <mergeCell ref="B91:B93"/>
    <mergeCell ref="C91:C93"/>
    <mergeCell ref="D91:H91"/>
    <mergeCell ref="I91:M91"/>
    <mergeCell ref="N91:R91"/>
    <mergeCell ref="S36:W36"/>
    <mergeCell ref="D37:H37"/>
    <mergeCell ref="I37:M37"/>
    <mergeCell ref="N37:R37"/>
    <mergeCell ref="S37:W37"/>
    <mergeCell ref="N36:R36"/>
    <mergeCell ref="B64:B66"/>
    <mergeCell ref="C64:C66"/>
    <mergeCell ref="D64:H64"/>
    <mergeCell ref="I64:M64"/>
    <mergeCell ref="N64:R64"/>
    <mergeCell ref="B33:G33"/>
    <mergeCell ref="B36:B38"/>
    <mergeCell ref="C36:C38"/>
    <mergeCell ref="D36:H36"/>
    <mergeCell ref="I36:M36"/>
    <mergeCell ref="B10:B12"/>
    <mergeCell ref="C10:C12"/>
    <mergeCell ref="D10:H10"/>
    <mergeCell ref="I10:M10"/>
    <mergeCell ref="N10:R10"/>
    <mergeCell ref="S10:W10"/>
    <mergeCell ref="D11:H11"/>
    <mergeCell ref="I11:M11"/>
    <mergeCell ref="N11:R11"/>
    <mergeCell ref="S11:W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B26" zoomScale="56" zoomScaleNormal="68" zoomScaleSheetLayoutView="70" workbookViewId="0">
      <selection activeCell="E41" sqref="E41"/>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368" t="str">
        <f>Index!B2</f>
        <v xml:space="preserve">      Maharashtra State Power Generation Company Ltd.</v>
      </c>
      <c r="L4" s="364"/>
      <c r="M4" s="18"/>
      <c r="N4" s="18"/>
      <c r="O4" s="18"/>
      <c r="P4" s="18"/>
      <c r="Q4" s="18"/>
      <c r="R4" s="18"/>
    </row>
    <row r="5" spans="1:23" x14ac:dyDescent="0.3">
      <c r="B5" s="19"/>
      <c r="I5" s="65"/>
      <c r="J5" s="65"/>
      <c r="K5" s="364" t="str">
        <f>Index!B3</f>
        <v>MYT Petition Formats for Chandrapur Unit 3-7</v>
      </c>
      <c r="L5" s="364"/>
      <c r="M5" s="65"/>
      <c r="N5" s="65"/>
      <c r="O5" s="65"/>
      <c r="P5" s="65"/>
      <c r="Q5" s="65"/>
      <c r="R5" s="65"/>
    </row>
    <row r="6" spans="1:23" x14ac:dyDescent="0.3">
      <c r="B6" s="18"/>
      <c r="I6" s="66"/>
      <c r="J6" s="67"/>
      <c r="K6" s="130" t="s">
        <v>1098</v>
      </c>
      <c r="L6" s="72"/>
      <c r="M6" s="67"/>
      <c r="N6" s="19"/>
      <c r="O6" s="18"/>
      <c r="P6" s="18"/>
      <c r="Q6" s="18"/>
      <c r="R6" s="18"/>
    </row>
    <row r="7" spans="1:23" x14ac:dyDescent="0.3">
      <c r="C7" s="19"/>
      <c r="D7" s="19"/>
      <c r="E7" s="19"/>
      <c r="F7" s="19"/>
      <c r="G7" s="19"/>
      <c r="H7" s="19"/>
      <c r="J7" s="6"/>
      <c r="M7" s="6"/>
      <c r="N7" s="6"/>
    </row>
    <row r="8" spans="1:23" x14ac:dyDescent="0.3">
      <c r="A8" s="5" t="s">
        <v>265</v>
      </c>
      <c r="B8" s="366" t="s">
        <v>266</v>
      </c>
      <c r="C8" s="366"/>
      <c r="D8" s="366"/>
      <c r="E8" s="366"/>
      <c r="F8" s="366"/>
      <c r="G8" s="366"/>
      <c r="H8" s="366"/>
      <c r="I8" s="1"/>
      <c r="J8" s="44"/>
      <c r="K8" s="1"/>
      <c r="L8" s="1"/>
      <c r="M8" s="44"/>
      <c r="N8" s="44"/>
      <c r="O8" s="1"/>
      <c r="P8" s="1"/>
      <c r="Q8" s="1"/>
      <c r="R8" s="251"/>
    </row>
    <row r="9" spans="1:23" x14ac:dyDescent="0.3">
      <c r="B9" s="258"/>
      <c r="C9" s="8"/>
      <c r="D9" s="8"/>
      <c r="E9" s="8"/>
      <c r="F9" s="8"/>
      <c r="G9" s="8"/>
      <c r="H9" s="8"/>
      <c r="I9" s="1"/>
      <c r="J9" s="44"/>
      <c r="K9" s="1"/>
      <c r="L9" s="1"/>
      <c r="M9" s="259" t="s">
        <v>10</v>
      </c>
      <c r="N9" s="44"/>
      <c r="O9" s="1"/>
      <c r="P9" s="1"/>
      <c r="Q9" s="1"/>
    </row>
    <row r="10" spans="1:23" ht="15.75" customHeight="1" x14ac:dyDescent="0.3">
      <c r="B10" s="1699" t="s">
        <v>340</v>
      </c>
      <c r="C10" s="1699" t="s">
        <v>37</v>
      </c>
      <c r="D10" s="1841" t="s">
        <v>506</v>
      </c>
      <c r="E10" s="1841"/>
      <c r="F10" s="1841"/>
      <c r="G10" s="1841"/>
      <c r="H10" s="1841"/>
      <c r="I10" s="1841" t="s">
        <v>507</v>
      </c>
      <c r="J10" s="1841"/>
      <c r="K10" s="1841"/>
      <c r="L10" s="1841"/>
      <c r="M10" s="1841"/>
      <c r="N10" s="1838" t="s">
        <v>508</v>
      </c>
      <c r="O10" s="1838"/>
      <c r="P10" s="1838"/>
      <c r="Q10" s="1838"/>
      <c r="R10" s="1838"/>
      <c r="S10" s="1838" t="s">
        <v>969</v>
      </c>
      <c r="T10" s="1838"/>
      <c r="U10" s="1838"/>
      <c r="V10" s="1838"/>
      <c r="W10" s="1838"/>
    </row>
    <row r="11" spans="1:23" ht="15.75" customHeight="1" x14ac:dyDescent="0.3">
      <c r="B11" s="1699"/>
      <c r="C11" s="1699"/>
      <c r="D11" s="1839" t="s">
        <v>7</v>
      </c>
      <c r="E11" s="1840"/>
      <c r="F11" s="1840"/>
      <c r="G11" s="1840"/>
      <c r="H11" s="1840"/>
      <c r="I11" s="1839" t="s">
        <v>7</v>
      </c>
      <c r="J11" s="1840"/>
      <c r="K11" s="1840"/>
      <c r="L11" s="1840"/>
      <c r="M11" s="1840"/>
      <c r="N11" s="1839" t="s">
        <v>12</v>
      </c>
      <c r="O11" s="1840"/>
      <c r="P11" s="1840"/>
      <c r="Q11" s="1840"/>
      <c r="R11" s="1840"/>
      <c r="S11" s="1841" t="s">
        <v>21</v>
      </c>
      <c r="T11" s="1842"/>
      <c r="U11" s="1842"/>
      <c r="V11" s="1842"/>
      <c r="W11" s="1842"/>
    </row>
    <row r="12" spans="1:23" s="35" customFormat="1" ht="42" x14ac:dyDescent="0.3">
      <c r="B12" s="1699"/>
      <c r="C12" s="1699"/>
      <c r="D12" s="365" t="s">
        <v>267</v>
      </c>
      <c r="E12" s="365" t="s">
        <v>268</v>
      </c>
      <c r="F12" s="365" t="s">
        <v>269</v>
      </c>
      <c r="G12" s="797" t="s">
        <v>587</v>
      </c>
      <c r="H12" s="365" t="s">
        <v>270</v>
      </c>
      <c r="I12" s="690" t="s">
        <v>267</v>
      </c>
      <c r="J12" s="690" t="s">
        <v>268</v>
      </c>
      <c r="K12" s="690" t="s">
        <v>269</v>
      </c>
      <c r="L12" s="690" t="s">
        <v>587</v>
      </c>
      <c r="M12" s="690" t="s">
        <v>270</v>
      </c>
      <c r="N12" s="367" t="s">
        <v>267</v>
      </c>
      <c r="O12" s="367" t="s">
        <v>268</v>
      </c>
      <c r="P12" s="367" t="s">
        <v>269</v>
      </c>
      <c r="Q12" s="365" t="s">
        <v>587</v>
      </c>
      <c r="R12" s="367" t="s">
        <v>270</v>
      </c>
      <c r="S12" s="367" t="s">
        <v>267</v>
      </c>
      <c r="T12" s="367" t="s">
        <v>268</v>
      </c>
      <c r="U12" s="367" t="s">
        <v>269</v>
      </c>
      <c r="V12" s="365" t="s">
        <v>587</v>
      </c>
      <c r="W12" s="367" t="s">
        <v>270</v>
      </c>
    </row>
    <row r="13" spans="1:23" s="36" customFormat="1" ht="28" x14ac:dyDescent="0.25">
      <c r="B13" s="260"/>
      <c r="C13" s="260"/>
      <c r="D13" s="260" t="s">
        <v>81</v>
      </c>
      <c r="E13" s="260" t="s">
        <v>82</v>
      </c>
      <c r="F13" s="260" t="s">
        <v>459</v>
      </c>
      <c r="G13" s="260" t="s">
        <v>391</v>
      </c>
      <c r="H13" s="260" t="s">
        <v>588</v>
      </c>
      <c r="I13" s="260" t="s">
        <v>409</v>
      </c>
      <c r="J13" s="260" t="s">
        <v>509</v>
      </c>
      <c r="K13" s="260" t="s">
        <v>410</v>
      </c>
      <c r="L13" s="260" t="s">
        <v>411</v>
      </c>
      <c r="M13" s="260" t="s">
        <v>651</v>
      </c>
      <c r="N13" s="260" t="s">
        <v>594</v>
      </c>
      <c r="O13" s="260" t="s">
        <v>595</v>
      </c>
      <c r="P13" s="260" t="s">
        <v>596</v>
      </c>
      <c r="Q13" s="260" t="s">
        <v>653</v>
      </c>
      <c r="R13" s="260" t="s">
        <v>654</v>
      </c>
      <c r="S13" s="260" t="s">
        <v>655</v>
      </c>
      <c r="T13" s="260" t="s">
        <v>656</v>
      </c>
      <c r="U13" s="260" t="s">
        <v>657</v>
      </c>
      <c r="V13" s="260" t="s">
        <v>658</v>
      </c>
      <c r="W13" s="260" t="s">
        <v>659</v>
      </c>
    </row>
    <row r="14" spans="1:23" s="420" customFormat="1" x14ac:dyDescent="0.3">
      <c r="B14" s="467">
        <v>1</v>
      </c>
      <c r="C14" s="469" t="s">
        <v>842</v>
      </c>
      <c r="D14" s="470">
        <v>50.821687901156309</v>
      </c>
      <c r="E14" s="470">
        <v>0</v>
      </c>
      <c r="F14" s="470">
        <v>0</v>
      </c>
      <c r="G14" s="470"/>
      <c r="H14" s="470">
        <f>D14+E14-F14-G14</f>
        <v>50.821687901156309</v>
      </c>
      <c r="I14" s="444">
        <f>H14</f>
        <v>50.821687901156309</v>
      </c>
      <c r="J14" s="470">
        <v>0</v>
      </c>
      <c r="K14" s="470">
        <v>0</v>
      </c>
      <c r="L14" s="470"/>
      <c r="M14" s="444">
        <f>I14+J14-K14-L14</f>
        <v>50.821687901156309</v>
      </c>
      <c r="N14" s="470">
        <f t="shared" ref="N14:N30" si="0">M14</f>
        <v>50.821687901156309</v>
      </c>
      <c r="O14" s="470">
        <v>0</v>
      </c>
      <c r="P14" s="470">
        <v>0</v>
      </c>
      <c r="Q14" s="470"/>
      <c r="R14" s="470">
        <f>N14+O14-P14-Q14</f>
        <v>50.821687901156309</v>
      </c>
      <c r="S14" s="444">
        <f t="shared" ref="S14:S30" si="1">R14</f>
        <v>50.821687901156309</v>
      </c>
      <c r="T14" s="894">
        <v>0</v>
      </c>
      <c r="U14" s="842">
        <v>0</v>
      </c>
      <c r="V14" s="470"/>
      <c r="W14" s="444">
        <f>S14+T14-U14-V14</f>
        <v>50.821687901156309</v>
      </c>
    </row>
    <row r="15" spans="1:23" s="420" customFormat="1" x14ac:dyDescent="0.3">
      <c r="B15" s="467">
        <f>B14+1</f>
        <v>2</v>
      </c>
      <c r="C15" s="469" t="s">
        <v>843</v>
      </c>
      <c r="D15" s="470">
        <v>435.35721077134019</v>
      </c>
      <c r="E15" s="470">
        <v>12.932060349</v>
      </c>
      <c r="F15" s="470">
        <v>0</v>
      </c>
      <c r="G15" s="470"/>
      <c r="H15" s="470">
        <f t="shared" ref="H15:H30" si="2">D15+E15-F15-G15</f>
        <v>448.28927112034017</v>
      </c>
      <c r="I15" s="444">
        <f t="shared" ref="I15:I30" si="3">H15</f>
        <v>448.28927112034017</v>
      </c>
      <c r="J15" s="470">
        <v>13.235295303000001</v>
      </c>
      <c r="K15" s="470">
        <v>0</v>
      </c>
      <c r="L15" s="470"/>
      <c r="M15" s="444">
        <f t="shared" ref="M15:M30" si="4">I15+J15-K15-L15</f>
        <v>461.52456642334016</v>
      </c>
      <c r="N15" s="470">
        <f t="shared" si="0"/>
        <v>461.52456642334016</v>
      </c>
      <c r="O15" s="470">
        <v>2.5</v>
      </c>
      <c r="P15" s="470">
        <v>0</v>
      </c>
      <c r="Q15" s="470"/>
      <c r="R15" s="470">
        <f t="shared" ref="R15:R30" si="5">N15+O15-P15-Q15</f>
        <v>464.02456642334016</v>
      </c>
      <c r="S15" s="444">
        <f t="shared" si="1"/>
        <v>464.02456642334016</v>
      </c>
      <c r="T15" s="894">
        <v>2.8583675559999966</v>
      </c>
      <c r="U15" s="842">
        <v>0</v>
      </c>
      <c r="V15" s="470"/>
      <c r="W15" s="444">
        <f t="shared" ref="W15:W25" si="6">S15+T15-U15-V15</f>
        <v>466.88293397934018</v>
      </c>
    </row>
    <row r="16" spans="1:23" s="420" customFormat="1" x14ac:dyDescent="0.3">
      <c r="B16" s="467">
        <f t="shared" ref="B16:B30" si="7">B15+1</f>
        <v>3</v>
      </c>
      <c r="C16" s="469" t="s">
        <v>844</v>
      </c>
      <c r="D16" s="470">
        <v>0</v>
      </c>
      <c r="E16" s="470">
        <v>0</v>
      </c>
      <c r="F16" s="471">
        <v>0</v>
      </c>
      <c r="G16" s="471"/>
      <c r="H16" s="470">
        <f t="shared" si="2"/>
        <v>0</v>
      </c>
      <c r="I16" s="444">
        <f t="shared" si="3"/>
        <v>0</v>
      </c>
      <c r="J16" s="470">
        <v>0</v>
      </c>
      <c r="K16" s="471">
        <v>0</v>
      </c>
      <c r="L16" s="471"/>
      <c r="M16" s="444">
        <f t="shared" si="4"/>
        <v>0</v>
      </c>
      <c r="N16" s="470">
        <f t="shared" si="0"/>
        <v>0</v>
      </c>
      <c r="O16" s="470">
        <v>0</v>
      </c>
      <c r="P16" s="471">
        <v>0</v>
      </c>
      <c r="Q16" s="470"/>
      <c r="R16" s="470">
        <f t="shared" si="5"/>
        <v>0</v>
      </c>
      <c r="S16" s="444">
        <f t="shared" si="1"/>
        <v>0</v>
      </c>
      <c r="T16" s="894">
        <v>0</v>
      </c>
      <c r="U16" s="842">
        <v>0</v>
      </c>
      <c r="V16" s="470"/>
      <c r="W16" s="444">
        <f t="shared" si="6"/>
        <v>0</v>
      </c>
    </row>
    <row r="17" spans="2:23" s="420" customFormat="1" x14ac:dyDescent="0.3">
      <c r="B17" s="467">
        <f t="shared" si="7"/>
        <v>4</v>
      </c>
      <c r="C17" s="469" t="s">
        <v>845</v>
      </c>
      <c r="D17" s="470">
        <v>347.40510740068009</v>
      </c>
      <c r="E17" s="470">
        <v>3.6793280730000002</v>
      </c>
      <c r="F17" s="471">
        <v>0</v>
      </c>
      <c r="G17" s="471"/>
      <c r="H17" s="470">
        <f t="shared" si="2"/>
        <v>351.08443547368012</v>
      </c>
      <c r="I17" s="444">
        <f t="shared" si="3"/>
        <v>351.08443547368012</v>
      </c>
      <c r="J17" s="470">
        <v>41.157774959000001</v>
      </c>
      <c r="K17" s="471">
        <v>0</v>
      </c>
      <c r="L17" s="471"/>
      <c r="M17" s="444">
        <f t="shared" si="4"/>
        <v>392.24221043268011</v>
      </c>
      <c r="N17" s="470">
        <f t="shared" si="0"/>
        <v>392.24221043268011</v>
      </c>
      <c r="O17" s="470">
        <v>5.2</v>
      </c>
      <c r="P17" s="471">
        <v>0</v>
      </c>
      <c r="Q17" s="470"/>
      <c r="R17" s="470">
        <f t="shared" si="5"/>
        <v>397.4422104326801</v>
      </c>
      <c r="S17" s="444">
        <f t="shared" si="1"/>
        <v>397.4422104326801</v>
      </c>
      <c r="T17" s="894">
        <v>0</v>
      </c>
      <c r="U17" s="842">
        <v>0</v>
      </c>
      <c r="V17" s="470"/>
      <c r="W17" s="444">
        <f t="shared" si="6"/>
        <v>397.4422104326801</v>
      </c>
    </row>
    <row r="18" spans="2:23" s="420" customFormat="1" x14ac:dyDescent="0.3">
      <c r="B18" s="467">
        <f t="shared" si="7"/>
        <v>5</v>
      </c>
      <c r="C18" s="469" t="s">
        <v>846</v>
      </c>
      <c r="D18" s="470">
        <v>232.05534413508619</v>
      </c>
      <c r="E18" s="470">
        <v>0.50840066799999994</v>
      </c>
      <c r="F18" s="471">
        <v>0</v>
      </c>
      <c r="G18" s="471"/>
      <c r="H18" s="470">
        <f t="shared" si="2"/>
        <v>232.56374480308619</v>
      </c>
      <c r="I18" s="444">
        <f t="shared" si="3"/>
        <v>232.56374480308619</v>
      </c>
      <c r="J18" s="470">
        <v>4.3865478660000008</v>
      </c>
      <c r="K18" s="471">
        <v>0</v>
      </c>
      <c r="L18" s="471"/>
      <c r="M18" s="444">
        <f t="shared" si="4"/>
        <v>236.9502926690862</v>
      </c>
      <c r="N18" s="470">
        <f t="shared" si="0"/>
        <v>236.9502926690862</v>
      </c>
      <c r="O18" s="470">
        <v>49.5</v>
      </c>
      <c r="P18" s="471">
        <v>0</v>
      </c>
      <c r="Q18" s="470"/>
      <c r="R18" s="470">
        <f t="shared" si="5"/>
        <v>286.4502926690862</v>
      </c>
      <c r="S18" s="444">
        <f t="shared" si="1"/>
        <v>286.4502926690862</v>
      </c>
      <c r="T18" s="894">
        <v>0</v>
      </c>
      <c r="U18" s="842">
        <v>0</v>
      </c>
      <c r="V18" s="470"/>
      <c r="W18" s="444">
        <f t="shared" si="6"/>
        <v>286.4502926690862</v>
      </c>
    </row>
    <row r="19" spans="2:23" s="11" customFormat="1" x14ac:dyDescent="0.3">
      <c r="B19" s="467">
        <f t="shared" si="7"/>
        <v>6</v>
      </c>
      <c r="C19" s="469" t="s">
        <v>256</v>
      </c>
      <c r="D19" s="470">
        <v>3013.4725050838529</v>
      </c>
      <c r="E19" s="470">
        <v>96.446789251999988</v>
      </c>
      <c r="F19" s="470">
        <v>0</v>
      </c>
      <c r="G19" s="470"/>
      <c r="H19" s="470">
        <f t="shared" si="2"/>
        <v>3109.919294335853</v>
      </c>
      <c r="I19" s="444">
        <f t="shared" si="3"/>
        <v>3109.919294335853</v>
      </c>
      <c r="J19" s="470">
        <v>47.878822821</v>
      </c>
      <c r="K19" s="470">
        <v>0</v>
      </c>
      <c r="L19" s="470"/>
      <c r="M19" s="444">
        <f t="shared" si="4"/>
        <v>3157.7981171568531</v>
      </c>
      <c r="N19" s="470">
        <f t="shared" si="0"/>
        <v>3157.7981171568531</v>
      </c>
      <c r="O19" s="470">
        <v>380.97</v>
      </c>
      <c r="P19" s="470">
        <v>0</v>
      </c>
      <c r="Q19" s="470"/>
      <c r="R19" s="470">
        <f t="shared" si="5"/>
        <v>3538.7681171568529</v>
      </c>
      <c r="S19" s="444">
        <f t="shared" si="1"/>
        <v>3538.7681171568529</v>
      </c>
      <c r="T19" s="894">
        <v>168.09354033333332</v>
      </c>
      <c r="U19" s="842">
        <v>0</v>
      </c>
      <c r="V19" s="470"/>
      <c r="W19" s="444">
        <f t="shared" si="6"/>
        <v>3706.8616574901862</v>
      </c>
    </row>
    <row r="20" spans="2:23" s="11" customFormat="1" x14ac:dyDescent="0.3">
      <c r="B20" s="467">
        <f t="shared" si="7"/>
        <v>7</v>
      </c>
      <c r="C20" s="469" t="s">
        <v>847</v>
      </c>
      <c r="D20" s="470">
        <v>0</v>
      </c>
      <c r="E20" s="470">
        <v>0</v>
      </c>
      <c r="F20" s="806">
        <v>0</v>
      </c>
      <c r="G20" s="470"/>
      <c r="H20" s="470">
        <f t="shared" si="2"/>
        <v>0</v>
      </c>
      <c r="I20" s="444">
        <f t="shared" si="3"/>
        <v>0</v>
      </c>
      <c r="J20" s="470">
        <v>0</v>
      </c>
      <c r="K20" s="806">
        <v>0</v>
      </c>
      <c r="L20" s="470"/>
      <c r="M20" s="444">
        <f t="shared" si="4"/>
        <v>0</v>
      </c>
      <c r="N20" s="470">
        <f t="shared" si="0"/>
        <v>0</v>
      </c>
      <c r="O20" s="470">
        <v>0</v>
      </c>
      <c r="P20" s="806">
        <v>0</v>
      </c>
      <c r="Q20" s="470"/>
      <c r="R20" s="470">
        <f t="shared" si="5"/>
        <v>0</v>
      </c>
      <c r="S20" s="444">
        <f t="shared" si="1"/>
        <v>0</v>
      </c>
      <c r="T20" s="894">
        <v>0.33333333333333331</v>
      </c>
      <c r="U20" s="842">
        <v>0</v>
      </c>
      <c r="V20" s="470"/>
      <c r="W20" s="444">
        <f t="shared" si="6"/>
        <v>0.33333333333333331</v>
      </c>
    </row>
    <row r="21" spans="2:23" s="11" customFormat="1" x14ac:dyDescent="0.3">
      <c r="B21" s="467">
        <f t="shared" si="7"/>
        <v>8</v>
      </c>
      <c r="C21" s="469" t="s">
        <v>848</v>
      </c>
      <c r="D21" s="470">
        <v>0</v>
      </c>
      <c r="E21" s="470">
        <v>0</v>
      </c>
      <c r="F21" s="470">
        <v>0</v>
      </c>
      <c r="G21" s="470"/>
      <c r="H21" s="470">
        <f t="shared" si="2"/>
        <v>0</v>
      </c>
      <c r="I21" s="444">
        <f t="shared" si="3"/>
        <v>0</v>
      </c>
      <c r="J21" s="470">
        <v>0</v>
      </c>
      <c r="K21" s="470">
        <v>0</v>
      </c>
      <c r="L21" s="470"/>
      <c r="M21" s="444">
        <f t="shared" si="4"/>
        <v>0</v>
      </c>
      <c r="N21" s="470">
        <f t="shared" si="0"/>
        <v>0</v>
      </c>
      <c r="O21" s="470">
        <v>0</v>
      </c>
      <c r="P21" s="470">
        <v>0</v>
      </c>
      <c r="Q21" s="470"/>
      <c r="R21" s="470">
        <f t="shared" si="5"/>
        <v>0</v>
      </c>
      <c r="S21" s="444">
        <f t="shared" si="1"/>
        <v>0</v>
      </c>
      <c r="T21" s="894">
        <v>0</v>
      </c>
      <c r="U21" s="842">
        <v>0</v>
      </c>
      <c r="V21" s="470"/>
      <c r="W21" s="444">
        <f t="shared" si="6"/>
        <v>0</v>
      </c>
    </row>
    <row r="22" spans="2:23" s="11" customFormat="1" x14ac:dyDescent="0.3">
      <c r="B22" s="467">
        <f t="shared" si="7"/>
        <v>9</v>
      </c>
      <c r="C22" s="469" t="s">
        <v>849</v>
      </c>
      <c r="D22" s="470">
        <v>118.10088485300545</v>
      </c>
      <c r="E22" s="470">
        <v>0</v>
      </c>
      <c r="F22" s="470">
        <v>0</v>
      </c>
      <c r="G22" s="470"/>
      <c r="H22" s="470">
        <f t="shared" si="2"/>
        <v>118.10088485300545</v>
      </c>
      <c r="I22" s="444">
        <f t="shared" si="3"/>
        <v>118.10088485300545</v>
      </c>
      <c r="J22" s="470">
        <v>2.9193972000000001</v>
      </c>
      <c r="K22" s="470">
        <v>0</v>
      </c>
      <c r="L22" s="470"/>
      <c r="M22" s="444">
        <f t="shared" si="4"/>
        <v>121.02028205300546</v>
      </c>
      <c r="N22" s="470">
        <f t="shared" si="0"/>
        <v>121.02028205300546</v>
      </c>
      <c r="O22" s="470">
        <v>0</v>
      </c>
      <c r="P22" s="470">
        <v>0</v>
      </c>
      <c r="Q22" s="470"/>
      <c r="R22" s="470">
        <f t="shared" si="5"/>
        <v>121.02028205300546</v>
      </c>
      <c r="S22" s="444">
        <f t="shared" si="1"/>
        <v>121.02028205300546</v>
      </c>
      <c r="T22" s="894">
        <v>0</v>
      </c>
      <c r="U22" s="842">
        <v>0</v>
      </c>
      <c r="V22" s="470"/>
      <c r="W22" s="444">
        <f t="shared" si="6"/>
        <v>121.02028205300546</v>
      </c>
    </row>
    <row r="23" spans="2:23" s="11" customFormat="1" x14ac:dyDescent="0.3">
      <c r="B23" s="467">
        <f t="shared" si="7"/>
        <v>10</v>
      </c>
      <c r="C23" s="469" t="s">
        <v>259</v>
      </c>
      <c r="D23" s="470">
        <v>1.4735980717499835</v>
      </c>
      <c r="E23" s="470">
        <v>2.6398891010000001</v>
      </c>
      <c r="F23" s="470">
        <v>0</v>
      </c>
      <c r="G23" s="470"/>
      <c r="H23" s="470">
        <f t="shared" si="2"/>
        <v>4.1134871727499833</v>
      </c>
      <c r="I23" s="444">
        <f t="shared" si="3"/>
        <v>4.1134871727499833</v>
      </c>
      <c r="J23" s="470">
        <v>0</v>
      </c>
      <c r="K23" s="470">
        <v>0</v>
      </c>
      <c r="L23" s="470"/>
      <c r="M23" s="444">
        <f t="shared" si="4"/>
        <v>4.1134871727499833</v>
      </c>
      <c r="N23" s="470">
        <f t="shared" si="0"/>
        <v>4.1134871727499833</v>
      </c>
      <c r="O23" s="470">
        <v>0</v>
      </c>
      <c r="P23" s="470">
        <v>0</v>
      </c>
      <c r="Q23" s="470"/>
      <c r="R23" s="470">
        <f t="shared" si="5"/>
        <v>4.1134871727499833</v>
      </c>
      <c r="S23" s="444">
        <f t="shared" si="1"/>
        <v>4.1134871727499833</v>
      </c>
      <c r="T23" s="894">
        <v>6.8266666666666662</v>
      </c>
      <c r="U23" s="842">
        <v>0</v>
      </c>
      <c r="V23" s="470"/>
      <c r="W23" s="444">
        <f t="shared" si="6"/>
        <v>10.940153839416649</v>
      </c>
    </row>
    <row r="24" spans="2:23" s="11" customFormat="1" x14ac:dyDescent="0.3">
      <c r="B24" s="467">
        <f t="shared" si="7"/>
        <v>11</v>
      </c>
      <c r="C24" s="469" t="s">
        <v>260</v>
      </c>
      <c r="D24" s="470">
        <v>2.7369682558230788</v>
      </c>
      <c r="E24" s="470">
        <v>0</v>
      </c>
      <c r="F24" s="470">
        <v>0</v>
      </c>
      <c r="G24" s="470"/>
      <c r="H24" s="470">
        <f t="shared" si="2"/>
        <v>2.7369682558230788</v>
      </c>
      <c r="I24" s="444">
        <f t="shared" si="3"/>
        <v>2.7369682558230788</v>
      </c>
      <c r="J24" s="470">
        <v>0.24435810600000002</v>
      </c>
      <c r="K24" s="470">
        <v>0</v>
      </c>
      <c r="L24" s="470"/>
      <c r="M24" s="444">
        <f t="shared" si="4"/>
        <v>2.9813263618230788</v>
      </c>
      <c r="N24" s="470">
        <f t="shared" si="0"/>
        <v>2.9813263618230788</v>
      </c>
      <c r="O24" s="470">
        <v>0.75</v>
      </c>
      <c r="P24" s="470">
        <v>0</v>
      </c>
      <c r="Q24" s="470"/>
      <c r="R24" s="470">
        <f t="shared" si="5"/>
        <v>3.7313263618230788</v>
      </c>
      <c r="S24" s="444">
        <f t="shared" si="1"/>
        <v>3.7313263618230788</v>
      </c>
      <c r="T24" s="894">
        <v>0</v>
      </c>
      <c r="U24" s="842">
        <v>0</v>
      </c>
      <c r="V24" s="470"/>
      <c r="W24" s="444">
        <f t="shared" si="6"/>
        <v>3.7313263618230788</v>
      </c>
    </row>
    <row r="25" spans="2:23" s="11" customFormat="1" x14ac:dyDescent="0.3">
      <c r="B25" s="467">
        <f t="shared" si="7"/>
        <v>12</v>
      </c>
      <c r="C25" s="469" t="s">
        <v>261</v>
      </c>
      <c r="D25" s="470">
        <v>10.336254823475114</v>
      </c>
      <c r="E25" s="470">
        <v>1.1161035909999999</v>
      </c>
      <c r="F25" s="470">
        <v>2.654029424</v>
      </c>
      <c r="G25" s="470"/>
      <c r="H25" s="470">
        <f t="shared" si="2"/>
        <v>8.7983289904751132</v>
      </c>
      <c r="I25" s="444">
        <f t="shared" si="3"/>
        <v>8.7983289904751132</v>
      </c>
      <c r="J25" s="470">
        <v>0.97199127799999996</v>
      </c>
      <c r="K25" s="470">
        <v>2.9710539279999999</v>
      </c>
      <c r="L25" s="470"/>
      <c r="M25" s="444">
        <f t="shared" si="4"/>
        <v>6.7992663404751141</v>
      </c>
      <c r="N25" s="470">
        <f t="shared" si="0"/>
        <v>6.7992663404751141</v>
      </c>
      <c r="O25" s="470">
        <v>0.75</v>
      </c>
      <c r="P25" s="470">
        <v>0</v>
      </c>
      <c r="Q25" s="470"/>
      <c r="R25" s="470">
        <f t="shared" si="5"/>
        <v>7.5492663404751141</v>
      </c>
      <c r="S25" s="444">
        <f t="shared" si="1"/>
        <v>7.5492663404751141</v>
      </c>
      <c r="T25" s="894">
        <v>0.5</v>
      </c>
      <c r="U25" s="842">
        <v>0</v>
      </c>
      <c r="V25" s="470"/>
      <c r="W25" s="444">
        <f t="shared" si="6"/>
        <v>8.0492663404751141</v>
      </c>
    </row>
    <row r="26" spans="2:23" s="11" customFormat="1" x14ac:dyDescent="0.3">
      <c r="B26" s="467">
        <f t="shared" si="7"/>
        <v>13</v>
      </c>
      <c r="C26" s="469" t="s">
        <v>897</v>
      </c>
      <c r="D26" s="470">
        <v>0</v>
      </c>
      <c r="E26" s="470">
        <v>0</v>
      </c>
      <c r="F26" s="470">
        <v>0</v>
      </c>
      <c r="G26" s="470"/>
      <c r="H26" s="470">
        <f t="shared" si="2"/>
        <v>0</v>
      </c>
      <c r="I26" s="444">
        <f t="shared" si="3"/>
        <v>0</v>
      </c>
      <c r="J26" s="470">
        <v>0</v>
      </c>
      <c r="K26" s="470">
        <v>0</v>
      </c>
      <c r="L26" s="470"/>
      <c r="M26" s="444">
        <f t="shared" si="4"/>
        <v>0</v>
      </c>
      <c r="N26" s="470">
        <f t="shared" si="0"/>
        <v>0</v>
      </c>
      <c r="O26" s="470">
        <v>0</v>
      </c>
      <c r="P26" s="470">
        <v>0</v>
      </c>
      <c r="Q26" s="470"/>
      <c r="R26" s="470">
        <f t="shared" si="5"/>
        <v>0</v>
      </c>
      <c r="S26" s="444">
        <f t="shared" si="1"/>
        <v>0</v>
      </c>
      <c r="T26" s="894">
        <v>0</v>
      </c>
      <c r="U26" s="842">
        <v>0</v>
      </c>
      <c r="V26" s="470"/>
      <c r="W26" s="444">
        <f t="shared" ref="W26:W30" si="8">S26+T26-U26-V26</f>
        <v>0</v>
      </c>
    </row>
    <row r="27" spans="2:23" s="11" customFormat="1" x14ac:dyDescent="0.3">
      <c r="B27" s="467">
        <f t="shared" si="7"/>
        <v>14</v>
      </c>
      <c r="C27" s="469" t="s">
        <v>898</v>
      </c>
      <c r="D27" s="470">
        <v>0</v>
      </c>
      <c r="E27" s="470">
        <v>0</v>
      </c>
      <c r="F27" s="470">
        <v>0</v>
      </c>
      <c r="G27" s="470"/>
      <c r="H27" s="470">
        <f t="shared" si="2"/>
        <v>0</v>
      </c>
      <c r="I27" s="444">
        <f t="shared" si="3"/>
        <v>0</v>
      </c>
      <c r="J27" s="470">
        <v>0</v>
      </c>
      <c r="K27" s="470">
        <v>0</v>
      </c>
      <c r="L27" s="470"/>
      <c r="M27" s="444">
        <f t="shared" si="4"/>
        <v>0</v>
      </c>
      <c r="N27" s="470">
        <f t="shared" si="0"/>
        <v>0</v>
      </c>
      <c r="O27" s="470">
        <v>0</v>
      </c>
      <c r="P27" s="470">
        <v>0</v>
      </c>
      <c r="Q27" s="470"/>
      <c r="R27" s="470">
        <f t="shared" si="5"/>
        <v>0</v>
      </c>
      <c r="S27" s="444">
        <f t="shared" si="1"/>
        <v>0</v>
      </c>
      <c r="T27" s="894">
        <v>0</v>
      </c>
      <c r="U27" s="842">
        <v>0</v>
      </c>
      <c r="V27" s="470"/>
      <c r="W27" s="444">
        <f t="shared" si="8"/>
        <v>0</v>
      </c>
    </row>
    <row r="28" spans="2:23" s="11" customFormat="1" x14ac:dyDescent="0.3">
      <c r="B28" s="467">
        <f t="shared" si="7"/>
        <v>15</v>
      </c>
      <c r="C28" s="469" t="s">
        <v>899</v>
      </c>
      <c r="D28" s="470">
        <v>0</v>
      </c>
      <c r="E28" s="470">
        <v>0</v>
      </c>
      <c r="F28" s="470">
        <v>0</v>
      </c>
      <c r="G28" s="470"/>
      <c r="H28" s="470">
        <f t="shared" si="2"/>
        <v>0</v>
      </c>
      <c r="I28" s="444">
        <f t="shared" si="3"/>
        <v>0</v>
      </c>
      <c r="J28" s="470">
        <v>0</v>
      </c>
      <c r="K28" s="470">
        <v>0</v>
      </c>
      <c r="L28" s="470"/>
      <c r="M28" s="444">
        <f t="shared" si="4"/>
        <v>0</v>
      </c>
      <c r="N28" s="470">
        <f t="shared" si="0"/>
        <v>0</v>
      </c>
      <c r="O28" s="470">
        <v>0</v>
      </c>
      <c r="P28" s="470">
        <v>0</v>
      </c>
      <c r="Q28" s="470"/>
      <c r="R28" s="470">
        <f t="shared" si="5"/>
        <v>0</v>
      </c>
      <c r="S28" s="444">
        <f t="shared" si="1"/>
        <v>0</v>
      </c>
      <c r="T28" s="894">
        <v>0</v>
      </c>
      <c r="U28" s="842">
        <v>0</v>
      </c>
      <c r="V28" s="470"/>
      <c r="W28" s="444">
        <f t="shared" si="8"/>
        <v>0</v>
      </c>
    </row>
    <row r="29" spans="2:23" s="11" customFormat="1" x14ac:dyDescent="0.3">
      <c r="B29" s="467">
        <f t="shared" si="7"/>
        <v>16</v>
      </c>
      <c r="C29" s="469" t="s">
        <v>850</v>
      </c>
      <c r="D29" s="470">
        <v>0</v>
      </c>
      <c r="E29" s="470">
        <v>0</v>
      </c>
      <c r="F29" s="470">
        <v>0</v>
      </c>
      <c r="G29" s="470"/>
      <c r="H29" s="470">
        <f t="shared" si="2"/>
        <v>0</v>
      </c>
      <c r="I29" s="444">
        <f t="shared" si="3"/>
        <v>0</v>
      </c>
      <c r="J29" s="470">
        <v>0</v>
      </c>
      <c r="K29" s="470">
        <v>0</v>
      </c>
      <c r="L29" s="470"/>
      <c r="M29" s="444">
        <f t="shared" si="4"/>
        <v>0</v>
      </c>
      <c r="N29" s="470">
        <f t="shared" si="0"/>
        <v>0</v>
      </c>
      <c r="O29" s="470">
        <v>0</v>
      </c>
      <c r="P29" s="470">
        <v>0</v>
      </c>
      <c r="Q29" s="470"/>
      <c r="R29" s="470">
        <f t="shared" si="5"/>
        <v>0</v>
      </c>
      <c r="S29" s="444">
        <f t="shared" si="1"/>
        <v>0</v>
      </c>
      <c r="T29" s="894">
        <v>0</v>
      </c>
      <c r="U29" s="842">
        <v>0</v>
      </c>
      <c r="V29" s="470"/>
      <c r="W29" s="444">
        <f t="shared" si="8"/>
        <v>0</v>
      </c>
    </row>
    <row r="30" spans="2:23" s="11" customFormat="1" x14ac:dyDescent="0.3">
      <c r="B30" s="467">
        <f t="shared" si="7"/>
        <v>17</v>
      </c>
      <c r="C30" s="469" t="s">
        <v>900</v>
      </c>
      <c r="D30" s="470">
        <v>0</v>
      </c>
      <c r="E30" s="470">
        <v>0</v>
      </c>
      <c r="F30" s="470">
        <v>0</v>
      </c>
      <c r="G30" s="470"/>
      <c r="H30" s="470">
        <f t="shared" si="2"/>
        <v>0</v>
      </c>
      <c r="I30" s="444">
        <f t="shared" si="3"/>
        <v>0</v>
      </c>
      <c r="J30" s="470">
        <v>0</v>
      </c>
      <c r="K30" s="470">
        <v>0</v>
      </c>
      <c r="L30" s="470"/>
      <c r="M30" s="444">
        <f t="shared" si="4"/>
        <v>0</v>
      </c>
      <c r="N30" s="470">
        <f t="shared" si="0"/>
        <v>0</v>
      </c>
      <c r="O30" s="470">
        <v>0</v>
      </c>
      <c r="P30" s="470">
        <v>0</v>
      </c>
      <c r="Q30" s="470"/>
      <c r="R30" s="470">
        <f t="shared" si="5"/>
        <v>0</v>
      </c>
      <c r="S30" s="444">
        <f t="shared" si="1"/>
        <v>0</v>
      </c>
      <c r="T30" s="894">
        <v>0</v>
      </c>
      <c r="U30" s="842">
        <v>0</v>
      </c>
      <c r="V30" s="470"/>
      <c r="W30" s="444">
        <f t="shared" si="8"/>
        <v>0</v>
      </c>
    </row>
    <row r="31" spans="2:23" s="1" customFormat="1" ht="16" x14ac:dyDescent="0.3">
      <c r="B31" s="83"/>
      <c r="C31" s="97" t="s">
        <v>271</v>
      </c>
      <c r="D31" s="349">
        <f>SUM(D14:D30)</f>
        <v>4211.7595612961686</v>
      </c>
      <c r="E31" s="349">
        <f>SUM(E14:E30)</f>
        <v>117.32257103399998</v>
      </c>
      <c r="F31" s="349">
        <f>SUM(F14:F30)</f>
        <v>2.654029424</v>
      </c>
      <c r="G31" s="349">
        <f t="shared" ref="G31:M31" si="9">SUM(G14:G30)</f>
        <v>0</v>
      </c>
      <c r="H31" s="349">
        <f t="shared" si="9"/>
        <v>4326.4281029061685</v>
      </c>
      <c r="I31" s="349">
        <f t="shared" si="9"/>
        <v>4326.4281029061685</v>
      </c>
      <c r="J31" s="349">
        <f t="shared" si="9"/>
        <v>110.79418753300003</v>
      </c>
      <c r="K31" s="349">
        <f t="shared" si="9"/>
        <v>2.9710539279999999</v>
      </c>
      <c r="L31" s="349">
        <f t="shared" si="9"/>
        <v>0</v>
      </c>
      <c r="M31" s="349">
        <f t="shared" si="9"/>
        <v>4434.2512365111697</v>
      </c>
      <c r="N31" s="349">
        <f t="shared" ref="N31:W31" si="10">SUM(N14:N30)</f>
        <v>4434.2512365111697</v>
      </c>
      <c r="O31" s="349">
        <f t="shared" si="10"/>
        <v>439.67</v>
      </c>
      <c r="P31" s="349">
        <f t="shared" si="10"/>
        <v>0</v>
      </c>
      <c r="Q31" s="349">
        <f t="shared" si="10"/>
        <v>0</v>
      </c>
      <c r="R31" s="349">
        <f t="shared" si="10"/>
        <v>4873.9212365111698</v>
      </c>
      <c r="S31" s="349">
        <f t="shared" si="10"/>
        <v>4873.9212365111698</v>
      </c>
      <c r="T31" s="349">
        <f t="shared" si="10"/>
        <v>178.61190788933331</v>
      </c>
      <c r="U31" s="349">
        <f t="shared" si="10"/>
        <v>0</v>
      </c>
      <c r="V31" s="349">
        <f t="shared" si="10"/>
        <v>0</v>
      </c>
      <c r="W31" s="349">
        <f t="shared" si="10"/>
        <v>5052.5331444005033</v>
      </c>
    </row>
    <row r="32" spans="2:23" s="1" customFormat="1" x14ac:dyDescent="0.3">
      <c r="B32" s="366"/>
      <c r="C32" s="8"/>
      <c r="D32" s="8"/>
      <c r="E32" s="8"/>
      <c r="F32" s="8"/>
      <c r="G32" s="8"/>
      <c r="H32" s="8"/>
      <c r="J32" s="44"/>
      <c r="M32" s="44"/>
      <c r="N32" s="44"/>
    </row>
    <row r="33" spans="1:33" x14ac:dyDescent="0.3">
      <c r="B33" s="1843" t="s">
        <v>597</v>
      </c>
      <c r="C33" s="1843"/>
      <c r="D33" s="1843"/>
      <c r="E33" s="1843"/>
      <c r="F33" s="1843"/>
      <c r="G33" s="1843"/>
      <c r="H33" s="8"/>
      <c r="I33" s="1"/>
      <c r="J33" s="44"/>
      <c r="K33" s="1"/>
      <c r="L33" s="1"/>
      <c r="M33" s="44"/>
      <c r="N33" s="44"/>
      <c r="O33" s="1"/>
      <c r="P33" s="1"/>
      <c r="Q33" s="1"/>
      <c r="R33" s="1"/>
    </row>
    <row r="34" spans="1:33" x14ac:dyDescent="0.3">
      <c r="B34" s="366"/>
      <c r="C34" s="8"/>
      <c r="D34" s="8"/>
      <c r="E34" s="8"/>
      <c r="F34" s="8"/>
      <c r="G34" s="8"/>
      <c r="H34" s="8"/>
      <c r="I34" s="1"/>
      <c r="J34" s="44"/>
      <c r="K34" s="1"/>
      <c r="L34" s="1"/>
      <c r="M34" s="44"/>
      <c r="N34" s="44"/>
      <c r="O34" s="1"/>
      <c r="P34" s="1"/>
      <c r="Q34" s="1"/>
      <c r="R34" s="1"/>
    </row>
    <row r="35" spans="1:33" ht="15.75" customHeight="1" x14ac:dyDescent="0.3">
      <c r="B35" s="366"/>
      <c r="C35" s="8"/>
      <c r="D35" s="8"/>
      <c r="E35" s="8"/>
      <c r="F35" s="8"/>
      <c r="G35" s="8"/>
      <c r="H35" s="8"/>
      <c r="I35" s="1"/>
      <c r="J35" s="44"/>
      <c r="K35" s="1"/>
      <c r="L35" s="1"/>
      <c r="M35" s="44"/>
      <c r="N35" s="44"/>
      <c r="O35" s="1"/>
      <c r="P35" s="1"/>
      <c r="Q35" s="1"/>
      <c r="AG35" s="259" t="s">
        <v>10</v>
      </c>
    </row>
    <row r="36" spans="1:33" ht="15.75" customHeight="1" x14ac:dyDescent="0.3">
      <c r="B36" s="1699" t="s">
        <v>340</v>
      </c>
      <c r="C36" s="1699" t="s">
        <v>37</v>
      </c>
      <c r="D36" s="1844" t="s">
        <v>970</v>
      </c>
      <c r="E36" s="1845"/>
      <c r="F36" s="1845"/>
      <c r="G36" s="1845"/>
      <c r="H36" s="1846"/>
      <c r="I36" s="1844" t="s">
        <v>971</v>
      </c>
      <c r="J36" s="1845"/>
      <c r="K36" s="1845"/>
      <c r="L36" s="1845"/>
      <c r="M36" s="1846"/>
      <c r="N36" s="1838" t="s">
        <v>972</v>
      </c>
      <c r="O36" s="1838"/>
      <c r="P36" s="1838"/>
      <c r="Q36" s="1838"/>
      <c r="R36" s="1838"/>
      <c r="S36" s="1838" t="s">
        <v>973</v>
      </c>
      <c r="T36" s="1838"/>
      <c r="U36" s="1838"/>
      <c r="V36" s="1838"/>
      <c r="W36" s="1838"/>
    </row>
    <row r="37" spans="1:33" s="35" customFormat="1" x14ac:dyDescent="0.3">
      <c r="B37" s="1699"/>
      <c r="C37" s="1699"/>
      <c r="D37" s="1847" t="s">
        <v>21</v>
      </c>
      <c r="E37" s="1848"/>
      <c r="F37" s="1848"/>
      <c r="G37" s="1848"/>
      <c r="H37" s="1849"/>
      <c r="I37" s="1847" t="s">
        <v>21</v>
      </c>
      <c r="J37" s="1848"/>
      <c r="K37" s="1848"/>
      <c r="L37" s="1848"/>
      <c r="M37" s="1849"/>
      <c r="N37" s="1841" t="s">
        <v>21</v>
      </c>
      <c r="O37" s="1842"/>
      <c r="P37" s="1842"/>
      <c r="Q37" s="1842"/>
      <c r="R37" s="1842"/>
      <c r="S37" s="1841" t="s">
        <v>21</v>
      </c>
      <c r="T37" s="1842"/>
      <c r="U37" s="1842"/>
      <c r="V37" s="1842"/>
      <c r="W37" s="1842"/>
    </row>
    <row r="38" spans="1:33" s="36" customFormat="1" ht="42" x14ac:dyDescent="0.25">
      <c r="B38" s="1699"/>
      <c r="C38" s="1699"/>
      <c r="D38" s="1104" t="s">
        <v>267</v>
      </c>
      <c r="E38" s="1104" t="s">
        <v>268</v>
      </c>
      <c r="F38" s="1104" t="s">
        <v>269</v>
      </c>
      <c r="G38" s="1102" t="s">
        <v>587</v>
      </c>
      <c r="H38" s="1104" t="s">
        <v>270</v>
      </c>
      <c r="I38" s="1104" t="s">
        <v>267</v>
      </c>
      <c r="J38" s="1104" t="s">
        <v>268</v>
      </c>
      <c r="K38" s="1104" t="s">
        <v>269</v>
      </c>
      <c r="L38" s="1102" t="s">
        <v>587</v>
      </c>
      <c r="M38" s="1104" t="s">
        <v>270</v>
      </c>
      <c r="N38" s="695" t="s">
        <v>267</v>
      </c>
      <c r="O38" s="695" t="s">
        <v>268</v>
      </c>
      <c r="P38" s="695" t="s">
        <v>269</v>
      </c>
      <c r="Q38" s="690" t="s">
        <v>587</v>
      </c>
      <c r="R38" s="695" t="s">
        <v>270</v>
      </c>
      <c r="S38" s="695" t="s">
        <v>267</v>
      </c>
      <c r="T38" s="695" t="s">
        <v>268</v>
      </c>
      <c r="U38" s="695" t="s">
        <v>269</v>
      </c>
      <c r="V38" s="690" t="s">
        <v>587</v>
      </c>
      <c r="W38" s="695" t="s">
        <v>270</v>
      </c>
    </row>
    <row r="39" spans="1:33" s="6" customFormat="1" ht="28" x14ac:dyDescent="0.3">
      <c r="B39" s="260"/>
      <c r="C39" s="260"/>
      <c r="D39" s="260" t="s">
        <v>660</v>
      </c>
      <c r="E39" s="260" t="s">
        <v>661</v>
      </c>
      <c r="F39" s="260" t="s">
        <v>662</v>
      </c>
      <c r="G39" s="260" t="s">
        <v>663</v>
      </c>
      <c r="H39" s="260" t="s">
        <v>664</v>
      </c>
      <c r="I39" s="260" t="s">
        <v>660</v>
      </c>
      <c r="J39" s="260" t="s">
        <v>661</v>
      </c>
      <c r="K39" s="260" t="s">
        <v>662</v>
      </c>
      <c r="L39" s="260" t="s">
        <v>663</v>
      </c>
      <c r="M39" s="260" t="s">
        <v>664</v>
      </c>
      <c r="N39" s="260" t="s">
        <v>660</v>
      </c>
      <c r="O39" s="260" t="s">
        <v>661</v>
      </c>
      <c r="P39" s="260" t="s">
        <v>662</v>
      </c>
      <c r="Q39" s="260" t="s">
        <v>663</v>
      </c>
      <c r="R39" s="260" t="s">
        <v>664</v>
      </c>
      <c r="S39" s="260" t="s">
        <v>660</v>
      </c>
      <c r="T39" s="260" t="s">
        <v>661</v>
      </c>
      <c r="U39" s="260" t="s">
        <v>662</v>
      </c>
      <c r="V39" s="260" t="s">
        <v>663</v>
      </c>
      <c r="W39" s="260" t="s">
        <v>664</v>
      </c>
    </row>
    <row r="40" spans="1:33" s="420" customFormat="1" x14ac:dyDescent="0.3">
      <c r="B40" s="467">
        <v>1</v>
      </c>
      <c r="C40" s="469" t="s">
        <v>842</v>
      </c>
      <c r="D40" s="444">
        <f t="shared" ref="D40:D56" si="11">W14</f>
        <v>50.821687901156309</v>
      </c>
      <c r="E40" s="894">
        <v>0</v>
      </c>
      <c r="F40" s="842">
        <v>0</v>
      </c>
      <c r="G40" s="470"/>
      <c r="H40" s="444">
        <f>D40+E40-F40-G40</f>
        <v>50.821687901156309</v>
      </c>
      <c r="I40" s="444">
        <f>H40</f>
        <v>50.821687901156309</v>
      </c>
      <c r="J40" s="894">
        <v>0</v>
      </c>
      <c r="K40" s="842">
        <v>0</v>
      </c>
      <c r="L40" s="470"/>
      <c r="M40" s="444">
        <f>I40+J40-K40-L40</f>
        <v>50.821687901156309</v>
      </c>
      <c r="N40" s="444">
        <f>M40</f>
        <v>50.821687901156309</v>
      </c>
      <c r="O40" s="894">
        <v>0</v>
      </c>
      <c r="P40" s="842">
        <v>0</v>
      </c>
      <c r="Q40" s="470"/>
      <c r="R40" s="444">
        <f>N40+O40-P40-Q40</f>
        <v>50.821687901156309</v>
      </c>
      <c r="S40" s="444">
        <f>R40</f>
        <v>50.821687901156309</v>
      </c>
      <c r="T40" s="894">
        <v>0</v>
      </c>
      <c r="U40" s="842">
        <v>0</v>
      </c>
      <c r="V40" s="470"/>
      <c r="W40" s="444">
        <f>S40+T40-U40-V40</f>
        <v>50.821687901156309</v>
      </c>
    </row>
    <row r="41" spans="1:33" s="420" customFormat="1" x14ac:dyDescent="0.3">
      <c r="B41" s="467">
        <f>B40+1</f>
        <v>2</v>
      </c>
      <c r="C41" s="469" t="s">
        <v>843</v>
      </c>
      <c r="D41" s="444">
        <f t="shared" si="11"/>
        <v>466.88293397934018</v>
      </c>
      <c r="E41" s="894">
        <v>27.12</v>
      </c>
      <c r="F41" s="842">
        <v>0</v>
      </c>
      <c r="G41" s="470"/>
      <c r="H41" s="444">
        <f t="shared" ref="H41:H56" si="12">D41+E41-F41-G41</f>
        <v>494.00293397934018</v>
      </c>
      <c r="I41" s="444">
        <f t="shared" ref="I41:I56" si="13">H41</f>
        <v>494.00293397934018</v>
      </c>
      <c r="J41" s="894">
        <v>0</v>
      </c>
      <c r="K41" s="842">
        <v>0</v>
      </c>
      <c r="L41" s="470"/>
      <c r="M41" s="444">
        <f t="shared" ref="M41:M56" si="14">I41+J41-K41-L41</f>
        <v>494.00293397934018</v>
      </c>
      <c r="N41" s="444">
        <f t="shared" ref="N41:N56" si="15">M41</f>
        <v>494.00293397934018</v>
      </c>
      <c r="O41" s="894">
        <v>0</v>
      </c>
      <c r="P41" s="842">
        <v>0</v>
      </c>
      <c r="Q41" s="470"/>
      <c r="R41" s="444">
        <f t="shared" ref="R41:R56" si="16">N41+O41-P41-Q41</f>
        <v>494.00293397934018</v>
      </c>
      <c r="S41" s="444">
        <f t="shared" ref="S41:S56" si="17">R41</f>
        <v>494.00293397934018</v>
      </c>
      <c r="T41" s="894">
        <v>0</v>
      </c>
      <c r="U41" s="842">
        <v>0</v>
      </c>
      <c r="V41" s="470"/>
      <c r="W41" s="444">
        <f t="shared" ref="W41:W56" si="18">S41+T41-U41-V41</f>
        <v>494.00293397934018</v>
      </c>
    </row>
    <row r="42" spans="1:33" s="11" customFormat="1" x14ac:dyDescent="0.3">
      <c r="A42" s="420"/>
      <c r="B42" s="467">
        <f t="shared" ref="B42:B56" si="19">B41+1</f>
        <v>3</v>
      </c>
      <c r="C42" s="469" t="s">
        <v>844</v>
      </c>
      <c r="D42" s="444">
        <f t="shared" si="11"/>
        <v>0</v>
      </c>
      <c r="E42" s="894">
        <v>0</v>
      </c>
      <c r="F42" s="842">
        <v>0</v>
      </c>
      <c r="G42" s="470"/>
      <c r="H42" s="444">
        <f t="shared" si="12"/>
        <v>0</v>
      </c>
      <c r="I42" s="444">
        <f t="shared" si="13"/>
        <v>0</v>
      </c>
      <c r="J42" s="894">
        <v>0</v>
      </c>
      <c r="K42" s="842">
        <v>0</v>
      </c>
      <c r="L42" s="470"/>
      <c r="M42" s="444">
        <f t="shared" si="14"/>
        <v>0</v>
      </c>
      <c r="N42" s="444">
        <f t="shared" si="15"/>
        <v>0</v>
      </c>
      <c r="O42" s="894">
        <v>0</v>
      </c>
      <c r="P42" s="842">
        <v>0</v>
      </c>
      <c r="Q42" s="470"/>
      <c r="R42" s="444">
        <f t="shared" si="16"/>
        <v>0</v>
      </c>
      <c r="S42" s="444">
        <f t="shared" si="17"/>
        <v>0</v>
      </c>
      <c r="T42" s="894">
        <v>0</v>
      </c>
      <c r="U42" s="842">
        <v>0</v>
      </c>
      <c r="V42" s="470"/>
      <c r="W42" s="444">
        <f t="shared" si="18"/>
        <v>0</v>
      </c>
    </row>
    <row r="43" spans="1:33" s="11" customFormat="1" x14ac:dyDescent="0.3">
      <c r="A43" s="420"/>
      <c r="B43" s="467">
        <f t="shared" si="19"/>
        <v>4</v>
      </c>
      <c r="C43" s="469" t="s">
        <v>845</v>
      </c>
      <c r="D43" s="444">
        <f t="shared" si="11"/>
        <v>397.4422104326801</v>
      </c>
      <c r="E43" s="894">
        <v>0</v>
      </c>
      <c r="F43" s="842">
        <v>0</v>
      </c>
      <c r="G43" s="470"/>
      <c r="H43" s="444">
        <f t="shared" si="12"/>
        <v>397.4422104326801</v>
      </c>
      <c r="I43" s="444">
        <f t="shared" si="13"/>
        <v>397.4422104326801</v>
      </c>
      <c r="J43" s="894">
        <v>0</v>
      </c>
      <c r="K43" s="842">
        <v>0</v>
      </c>
      <c r="L43" s="470"/>
      <c r="M43" s="444">
        <f t="shared" si="14"/>
        <v>397.4422104326801</v>
      </c>
      <c r="N43" s="444">
        <f t="shared" si="15"/>
        <v>397.4422104326801</v>
      </c>
      <c r="O43" s="894">
        <v>0</v>
      </c>
      <c r="P43" s="842">
        <v>0</v>
      </c>
      <c r="Q43" s="470"/>
      <c r="R43" s="444">
        <f t="shared" si="16"/>
        <v>397.4422104326801</v>
      </c>
      <c r="S43" s="444">
        <f t="shared" si="17"/>
        <v>397.4422104326801</v>
      </c>
      <c r="T43" s="894">
        <v>0</v>
      </c>
      <c r="U43" s="842">
        <v>0</v>
      </c>
      <c r="V43" s="470"/>
      <c r="W43" s="444">
        <f t="shared" si="18"/>
        <v>397.4422104326801</v>
      </c>
    </row>
    <row r="44" spans="1:33" s="11" customFormat="1" x14ac:dyDescent="0.3">
      <c r="A44" s="420"/>
      <c r="B44" s="467">
        <f t="shared" si="19"/>
        <v>5</v>
      </c>
      <c r="C44" s="469" t="s">
        <v>846</v>
      </c>
      <c r="D44" s="444">
        <f t="shared" si="11"/>
        <v>286.4502926690862</v>
      </c>
      <c r="E44" s="894">
        <v>0</v>
      </c>
      <c r="F44" s="842">
        <v>0</v>
      </c>
      <c r="G44" s="470"/>
      <c r="H44" s="444">
        <f t="shared" si="12"/>
        <v>286.4502926690862</v>
      </c>
      <c r="I44" s="444">
        <f t="shared" si="13"/>
        <v>286.4502926690862</v>
      </c>
      <c r="J44" s="894">
        <v>0</v>
      </c>
      <c r="K44" s="842">
        <v>0</v>
      </c>
      <c r="L44" s="470"/>
      <c r="M44" s="444">
        <f t="shared" si="14"/>
        <v>286.4502926690862</v>
      </c>
      <c r="N44" s="444">
        <f t="shared" si="15"/>
        <v>286.4502926690862</v>
      </c>
      <c r="O44" s="894">
        <v>0</v>
      </c>
      <c r="P44" s="842">
        <v>0</v>
      </c>
      <c r="Q44" s="470"/>
      <c r="R44" s="444">
        <f t="shared" si="16"/>
        <v>286.4502926690862</v>
      </c>
      <c r="S44" s="444">
        <f t="shared" si="17"/>
        <v>286.4502926690862</v>
      </c>
      <c r="T44" s="894">
        <v>0</v>
      </c>
      <c r="U44" s="842">
        <v>0</v>
      </c>
      <c r="V44" s="470"/>
      <c r="W44" s="444">
        <f t="shared" si="18"/>
        <v>286.4502926690862</v>
      </c>
    </row>
    <row r="45" spans="1:33" s="11" customFormat="1" x14ac:dyDescent="0.3">
      <c r="A45" s="420"/>
      <c r="B45" s="467">
        <f t="shared" si="19"/>
        <v>6</v>
      </c>
      <c r="C45" s="469" t="s">
        <v>256</v>
      </c>
      <c r="D45" s="444">
        <f t="shared" si="11"/>
        <v>3706.8616574901862</v>
      </c>
      <c r="E45" s="894">
        <v>71.513159817351635</v>
      </c>
      <c r="F45" s="842">
        <v>0</v>
      </c>
      <c r="G45" s="470"/>
      <c r="H45" s="444">
        <f t="shared" si="12"/>
        <v>3778.3748173075378</v>
      </c>
      <c r="I45" s="444">
        <f t="shared" si="13"/>
        <v>3778.3748173075378</v>
      </c>
      <c r="J45" s="894">
        <v>239.31399999999999</v>
      </c>
      <c r="K45" s="842">
        <v>0</v>
      </c>
      <c r="L45" s="470"/>
      <c r="M45" s="444">
        <f t="shared" si="14"/>
        <v>4017.6888173075376</v>
      </c>
      <c r="N45" s="444">
        <f t="shared" si="15"/>
        <v>4017.6888173075376</v>
      </c>
      <c r="O45" s="894">
        <v>0</v>
      </c>
      <c r="P45" s="842">
        <v>0</v>
      </c>
      <c r="Q45" s="470"/>
      <c r="R45" s="444">
        <f t="shared" si="16"/>
        <v>4017.6888173075376</v>
      </c>
      <c r="S45" s="444">
        <f t="shared" si="17"/>
        <v>4017.6888173075376</v>
      </c>
      <c r="T45" s="894">
        <v>0</v>
      </c>
      <c r="U45" s="842">
        <v>0</v>
      </c>
      <c r="V45" s="470"/>
      <c r="W45" s="444">
        <f t="shared" si="18"/>
        <v>4017.6888173075376</v>
      </c>
    </row>
    <row r="46" spans="1:33" s="11" customFormat="1" x14ac:dyDescent="0.3">
      <c r="A46" s="420"/>
      <c r="B46" s="467">
        <f t="shared" si="19"/>
        <v>7</v>
      </c>
      <c r="C46" s="469" t="s">
        <v>847</v>
      </c>
      <c r="D46" s="444">
        <f t="shared" si="11"/>
        <v>0.33333333333333331</v>
      </c>
      <c r="E46" s="894">
        <v>0</v>
      </c>
      <c r="F46" s="842">
        <v>0</v>
      </c>
      <c r="G46" s="470"/>
      <c r="H46" s="444">
        <f t="shared" si="12"/>
        <v>0.33333333333333331</v>
      </c>
      <c r="I46" s="444">
        <f t="shared" si="13"/>
        <v>0.33333333333333331</v>
      </c>
      <c r="J46" s="894">
        <v>0</v>
      </c>
      <c r="K46" s="842">
        <v>0</v>
      </c>
      <c r="L46" s="470"/>
      <c r="M46" s="444">
        <f t="shared" si="14"/>
        <v>0.33333333333333331</v>
      </c>
      <c r="N46" s="444">
        <f t="shared" si="15"/>
        <v>0.33333333333333331</v>
      </c>
      <c r="O46" s="894">
        <v>0</v>
      </c>
      <c r="P46" s="842">
        <v>0</v>
      </c>
      <c r="Q46" s="470"/>
      <c r="R46" s="444">
        <f t="shared" si="16"/>
        <v>0.33333333333333331</v>
      </c>
      <c r="S46" s="444">
        <f t="shared" si="17"/>
        <v>0.33333333333333331</v>
      </c>
      <c r="T46" s="894">
        <v>0</v>
      </c>
      <c r="U46" s="842">
        <v>0</v>
      </c>
      <c r="V46" s="470"/>
      <c r="W46" s="444">
        <f t="shared" si="18"/>
        <v>0.33333333333333331</v>
      </c>
    </row>
    <row r="47" spans="1:33" s="11" customFormat="1" x14ac:dyDescent="0.3">
      <c r="A47" s="420"/>
      <c r="B47" s="467">
        <f t="shared" si="19"/>
        <v>8</v>
      </c>
      <c r="C47" s="469" t="s">
        <v>848</v>
      </c>
      <c r="D47" s="444">
        <f t="shared" si="11"/>
        <v>0</v>
      </c>
      <c r="E47" s="894">
        <v>0</v>
      </c>
      <c r="F47" s="842">
        <v>0</v>
      </c>
      <c r="G47" s="470"/>
      <c r="H47" s="444">
        <f t="shared" si="12"/>
        <v>0</v>
      </c>
      <c r="I47" s="444">
        <f t="shared" si="13"/>
        <v>0</v>
      </c>
      <c r="J47" s="894">
        <v>0</v>
      </c>
      <c r="K47" s="842">
        <v>0</v>
      </c>
      <c r="L47" s="470"/>
      <c r="M47" s="444">
        <f t="shared" si="14"/>
        <v>0</v>
      </c>
      <c r="N47" s="444">
        <f t="shared" si="15"/>
        <v>0</v>
      </c>
      <c r="O47" s="894">
        <v>0</v>
      </c>
      <c r="P47" s="842">
        <v>0</v>
      </c>
      <c r="Q47" s="470"/>
      <c r="R47" s="444">
        <f t="shared" si="16"/>
        <v>0</v>
      </c>
      <c r="S47" s="444">
        <f t="shared" si="17"/>
        <v>0</v>
      </c>
      <c r="T47" s="894">
        <v>0</v>
      </c>
      <c r="U47" s="842">
        <v>0</v>
      </c>
      <c r="V47" s="470"/>
      <c r="W47" s="444">
        <f t="shared" si="18"/>
        <v>0</v>
      </c>
    </row>
    <row r="48" spans="1:33" s="11" customFormat="1" x14ac:dyDescent="0.3">
      <c r="A48" s="420"/>
      <c r="B48" s="467">
        <f t="shared" si="19"/>
        <v>9</v>
      </c>
      <c r="C48" s="469" t="s">
        <v>849</v>
      </c>
      <c r="D48" s="444">
        <f t="shared" si="11"/>
        <v>121.02028205300546</v>
      </c>
      <c r="E48" s="894">
        <v>0</v>
      </c>
      <c r="F48" s="842">
        <v>0</v>
      </c>
      <c r="G48" s="470"/>
      <c r="H48" s="444">
        <f t="shared" si="12"/>
        <v>121.02028205300546</v>
      </c>
      <c r="I48" s="444">
        <f t="shared" si="13"/>
        <v>121.02028205300546</v>
      </c>
      <c r="J48" s="894">
        <v>0</v>
      </c>
      <c r="K48" s="842">
        <v>0</v>
      </c>
      <c r="L48" s="470"/>
      <c r="M48" s="444">
        <f t="shared" si="14"/>
        <v>121.02028205300546</v>
      </c>
      <c r="N48" s="444">
        <f t="shared" si="15"/>
        <v>121.02028205300546</v>
      </c>
      <c r="O48" s="894">
        <v>0</v>
      </c>
      <c r="P48" s="842">
        <v>0</v>
      </c>
      <c r="Q48" s="470"/>
      <c r="R48" s="444">
        <f t="shared" si="16"/>
        <v>121.02028205300546</v>
      </c>
      <c r="S48" s="444">
        <f t="shared" si="17"/>
        <v>121.02028205300546</v>
      </c>
      <c r="T48" s="894">
        <v>0</v>
      </c>
      <c r="U48" s="842">
        <v>0</v>
      </c>
      <c r="V48" s="470"/>
      <c r="W48" s="444">
        <f t="shared" si="18"/>
        <v>121.02028205300546</v>
      </c>
    </row>
    <row r="49" spans="1:23" s="11" customFormat="1" x14ac:dyDescent="0.3">
      <c r="A49" s="420"/>
      <c r="B49" s="467">
        <f t="shared" si="19"/>
        <v>10</v>
      </c>
      <c r="C49" s="469" t="s">
        <v>259</v>
      </c>
      <c r="D49" s="444">
        <f t="shared" si="11"/>
        <v>10.940153839416649</v>
      </c>
      <c r="E49" s="894">
        <v>0</v>
      </c>
      <c r="F49" s="842">
        <v>0</v>
      </c>
      <c r="G49" s="470"/>
      <c r="H49" s="444">
        <f t="shared" si="12"/>
        <v>10.940153839416649</v>
      </c>
      <c r="I49" s="444">
        <f t="shared" si="13"/>
        <v>10.940153839416649</v>
      </c>
      <c r="J49" s="894">
        <v>0</v>
      </c>
      <c r="K49" s="842">
        <v>0</v>
      </c>
      <c r="L49" s="470"/>
      <c r="M49" s="444">
        <f t="shared" si="14"/>
        <v>10.940153839416649</v>
      </c>
      <c r="N49" s="444">
        <f t="shared" si="15"/>
        <v>10.940153839416649</v>
      </c>
      <c r="O49" s="894">
        <v>0</v>
      </c>
      <c r="P49" s="842">
        <v>0</v>
      </c>
      <c r="Q49" s="470"/>
      <c r="R49" s="444">
        <f t="shared" si="16"/>
        <v>10.940153839416649</v>
      </c>
      <c r="S49" s="444">
        <f t="shared" si="17"/>
        <v>10.940153839416649</v>
      </c>
      <c r="T49" s="894">
        <v>0</v>
      </c>
      <c r="U49" s="842">
        <v>0</v>
      </c>
      <c r="V49" s="470"/>
      <c r="W49" s="444">
        <f t="shared" si="18"/>
        <v>10.940153839416649</v>
      </c>
    </row>
    <row r="50" spans="1:23" s="11" customFormat="1" x14ac:dyDescent="0.3">
      <c r="A50" s="420"/>
      <c r="B50" s="467">
        <f t="shared" si="19"/>
        <v>11</v>
      </c>
      <c r="C50" s="469" t="s">
        <v>260</v>
      </c>
      <c r="D50" s="444">
        <f t="shared" si="11"/>
        <v>3.7313263618230788</v>
      </c>
      <c r="E50" s="894">
        <v>0</v>
      </c>
      <c r="F50" s="842">
        <v>0</v>
      </c>
      <c r="G50" s="470"/>
      <c r="H50" s="444">
        <f t="shared" si="12"/>
        <v>3.7313263618230788</v>
      </c>
      <c r="I50" s="444">
        <f t="shared" si="13"/>
        <v>3.7313263618230788</v>
      </c>
      <c r="J50" s="894">
        <v>0</v>
      </c>
      <c r="K50" s="842">
        <v>0</v>
      </c>
      <c r="L50" s="470"/>
      <c r="M50" s="444">
        <f t="shared" si="14"/>
        <v>3.7313263618230788</v>
      </c>
      <c r="N50" s="444">
        <f t="shared" si="15"/>
        <v>3.7313263618230788</v>
      </c>
      <c r="O50" s="894">
        <v>0</v>
      </c>
      <c r="P50" s="842">
        <v>0</v>
      </c>
      <c r="Q50" s="470"/>
      <c r="R50" s="444">
        <f t="shared" si="16"/>
        <v>3.7313263618230788</v>
      </c>
      <c r="S50" s="444">
        <f t="shared" si="17"/>
        <v>3.7313263618230788</v>
      </c>
      <c r="T50" s="894">
        <v>0</v>
      </c>
      <c r="U50" s="842">
        <v>0</v>
      </c>
      <c r="V50" s="470"/>
      <c r="W50" s="444">
        <f t="shared" si="18"/>
        <v>3.7313263618230788</v>
      </c>
    </row>
    <row r="51" spans="1:23" s="2" customFormat="1" x14ac:dyDescent="0.3">
      <c r="A51" s="420"/>
      <c r="B51" s="467">
        <f t="shared" si="19"/>
        <v>12</v>
      </c>
      <c r="C51" s="469" t="s">
        <v>261</v>
      </c>
      <c r="D51" s="444">
        <f t="shared" si="11"/>
        <v>8.0492663404751141</v>
      </c>
      <c r="E51" s="894">
        <v>0</v>
      </c>
      <c r="F51" s="842">
        <v>0</v>
      </c>
      <c r="G51" s="470"/>
      <c r="H51" s="444">
        <f t="shared" si="12"/>
        <v>8.0492663404751141</v>
      </c>
      <c r="I51" s="444">
        <f t="shared" si="13"/>
        <v>8.0492663404751141</v>
      </c>
      <c r="J51" s="894">
        <v>0</v>
      </c>
      <c r="K51" s="842">
        <v>0</v>
      </c>
      <c r="L51" s="470"/>
      <c r="M51" s="444">
        <f t="shared" si="14"/>
        <v>8.0492663404751141</v>
      </c>
      <c r="N51" s="444">
        <f t="shared" si="15"/>
        <v>8.0492663404751141</v>
      </c>
      <c r="O51" s="894">
        <v>0</v>
      </c>
      <c r="P51" s="842">
        <v>0</v>
      </c>
      <c r="Q51" s="470"/>
      <c r="R51" s="444">
        <f t="shared" si="16"/>
        <v>8.0492663404751141</v>
      </c>
      <c r="S51" s="444">
        <f t="shared" si="17"/>
        <v>8.0492663404751141</v>
      </c>
      <c r="T51" s="894">
        <v>0</v>
      </c>
      <c r="U51" s="842">
        <v>0</v>
      </c>
      <c r="V51" s="470"/>
      <c r="W51" s="444">
        <f t="shared" si="18"/>
        <v>8.0492663404751141</v>
      </c>
    </row>
    <row r="52" spans="1:23" s="2" customFormat="1" x14ac:dyDescent="0.3">
      <c r="A52" s="420"/>
      <c r="B52" s="467">
        <f t="shared" si="19"/>
        <v>13</v>
      </c>
      <c r="C52" s="469" t="s">
        <v>897</v>
      </c>
      <c r="D52" s="444">
        <f t="shared" si="11"/>
        <v>0</v>
      </c>
      <c r="E52" s="894">
        <v>0</v>
      </c>
      <c r="F52" s="842">
        <v>0</v>
      </c>
      <c r="G52" s="470"/>
      <c r="H52" s="444">
        <f t="shared" si="12"/>
        <v>0</v>
      </c>
      <c r="I52" s="444">
        <f t="shared" si="13"/>
        <v>0</v>
      </c>
      <c r="J52" s="894">
        <v>0</v>
      </c>
      <c r="K52" s="842">
        <v>0</v>
      </c>
      <c r="L52" s="470"/>
      <c r="M52" s="444">
        <f t="shared" si="14"/>
        <v>0</v>
      </c>
      <c r="N52" s="444">
        <f t="shared" si="15"/>
        <v>0</v>
      </c>
      <c r="O52" s="894">
        <v>0</v>
      </c>
      <c r="P52" s="842">
        <v>0</v>
      </c>
      <c r="Q52" s="470"/>
      <c r="R52" s="444">
        <f t="shared" si="16"/>
        <v>0</v>
      </c>
      <c r="S52" s="444">
        <f t="shared" si="17"/>
        <v>0</v>
      </c>
      <c r="T52" s="894">
        <v>0</v>
      </c>
      <c r="U52" s="842">
        <v>0</v>
      </c>
      <c r="V52" s="470"/>
      <c r="W52" s="444">
        <f t="shared" si="18"/>
        <v>0</v>
      </c>
    </row>
    <row r="53" spans="1:23" s="2" customFormat="1" x14ac:dyDescent="0.3">
      <c r="A53" s="420"/>
      <c r="B53" s="467">
        <f t="shared" si="19"/>
        <v>14</v>
      </c>
      <c r="C53" s="469" t="s">
        <v>898</v>
      </c>
      <c r="D53" s="444">
        <f t="shared" si="11"/>
        <v>0</v>
      </c>
      <c r="E53" s="894">
        <v>0</v>
      </c>
      <c r="F53" s="842">
        <v>0</v>
      </c>
      <c r="G53" s="470"/>
      <c r="H53" s="444">
        <f t="shared" si="12"/>
        <v>0</v>
      </c>
      <c r="I53" s="444">
        <f t="shared" si="13"/>
        <v>0</v>
      </c>
      <c r="J53" s="894">
        <v>0</v>
      </c>
      <c r="K53" s="842">
        <v>0</v>
      </c>
      <c r="L53" s="470"/>
      <c r="M53" s="444">
        <f t="shared" si="14"/>
        <v>0</v>
      </c>
      <c r="N53" s="444">
        <f t="shared" si="15"/>
        <v>0</v>
      </c>
      <c r="O53" s="894">
        <v>0</v>
      </c>
      <c r="P53" s="842">
        <v>0</v>
      </c>
      <c r="Q53" s="470"/>
      <c r="R53" s="444">
        <f t="shared" si="16"/>
        <v>0</v>
      </c>
      <c r="S53" s="444">
        <f t="shared" si="17"/>
        <v>0</v>
      </c>
      <c r="T53" s="894">
        <v>0</v>
      </c>
      <c r="U53" s="842">
        <v>0</v>
      </c>
      <c r="V53" s="470"/>
      <c r="W53" s="444">
        <f t="shared" si="18"/>
        <v>0</v>
      </c>
    </row>
    <row r="54" spans="1:23" s="2" customFormat="1" x14ac:dyDescent="0.3">
      <c r="A54" s="420"/>
      <c r="B54" s="467">
        <f t="shared" si="19"/>
        <v>15</v>
      </c>
      <c r="C54" s="469" t="s">
        <v>899</v>
      </c>
      <c r="D54" s="444">
        <f t="shared" si="11"/>
        <v>0</v>
      </c>
      <c r="E54" s="894">
        <v>0</v>
      </c>
      <c r="F54" s="842">
        <v>0</v>
      </c>
      <c r="G54" s="470"/>
      <c r="H54" s="444">
        <f t="shared" si="12"/>
        <v>0</v>
      </c>
      <c r="I54" s="444">
        <f t="shared" si="13"/>
        <v>0</v>
      </c>
      <c r="J54" s="894">
        <v>0</v>
      </c>
      <c r="K54" s="842">
        <v>0</v>
      </c>
      <c r="L54" s="470"/>
      <c r="M54" s="444">
        <f t="shared" si="14"/>
        <v>0</v>
      </c>
      <c r="N54" s="444">
        <f t="shared" si="15"/>
        <v>0</v>
      </c>
      <c r="O54" s="894">
        <v>0</v>
      </c>
      <c r="P54" s="842">
        <v>0</v>
      </c>
      <c r="Q54" s="470"/>
      <c r="R54" s="444">
        <f t="shared" si="16"/>
        <v>0</v>
      </c>
      <c r="S54" s="444">
        <f t="shared" si="17"/>
        <v>0</v>
      </c>
      <c r="T54" s="894">
        <v>0</v>
      </c>
      <c r="U54" s="842">
        <v>0</v>
      </c>
      <c r="V54" s="470"/>
      <c r="W54" s="444">
        <f t="shared" si="18"/>
        <v>0</v>
      </c>
    </row>
    <row r="55" spans="1:23" s="2" customFormat="1" x14ac:dyDescent="0.3">
      <c r="A55" s="420"/>
      <c r="B55" s="467">
        <f t="shared" si="19"/>
        <v>16</v>
      </c>
      <c r="C55" s="469" t="s">
        <v>850</v>
      </c>
      <c r="D55" s="444">
        <f t="shared" si="11"/>
        <v>0</v>
      </c>
      <c r="E55" s="894">
        <v>0</v>
      </c>
      <c r="F55" s="842">
        <v>0</v>
      </c>
      <c r="G55" s="470"/>
      <c r="H55" s="444">
        <f t="shared" si="12"/>
        <v>0</v>
      </c>
      <c r="I55" s="444">
        <f t="shared" si="13"/>
        <v>0</v>
      </c>
      <c r="J55" s="894">
        <v>0</v>
      </c>
      <c r="K55" s="842">
        <v>0</v>
      </c>
      <c r="L55" s="470"/>
      <c r="M55" s="444">
        <f t="shared" si="14"/>
        <v>0</v>
      </c>
      <c r="N55" s="444">
        <f t="shared" si="15"/>
        <v>0</v>
      </c>
      <c r="O55" s="894">
        <v>0</v>
      </c>
      <c r="P55" s="842">
        <v>0</v>
      </c>
      <c r="Q55" s="470"/>
      <c r="R55" s="444">
        <f t="shared" si="16"/>
        <v>0</v>
      </c>
      <c r="S55" s="444">
        <f t="shared" si="17"/>
        <v>0</v>
      </c>
      <c r="T55" s="894">
        <v>0</v>
      </c>
      <c r="U55" s="842">
        <v>0</v>
      </c>
      <c r="V55" s="470"/>
      <c r="W55" s="444">
        <f t="shared" si="18"/>
        <v>0</v>
      </c>
    </row>
    <row r="56" spans="1:23" s="2" customFormat="1" x14ac:dyDescent="0.3">
      <c r="A56" s="420"/>
      <c r="B56" s="467">
        <f t="shared" si="19"/>
        <v>17</v>
      </c>
      <c r="C56" s="469" t="s">
        <v>900</v>
      </c>
      <c r="D56" s="444">
        <f t="shared" si="11"/>
        <v>0</v>
      </c>
      <c r="E56" s="894">
        <v>0</v>
      </c>
      <c r="F56" s="842">
        <v>0</v>
      </c>
      <c r="G56" s="470"/>
      <c r="H56" s="444">
        <f t="shared" si="12"/>
        <v>0</v>
      </c>
      <c r="I56" s="444">
        <f t="shared" si="13"/>
        <v>0</v>
      </c>
      <c r="J56" s="894">
        <v>0</v>
      </c>
      <c r="K56" s="842">
        <v>0</v>
      </c>
      <c r="L56" s="470"/>
      <c r="M56" s="444">
        <f t="shared" si="14"/>
        <v>0</v>
      </c>
      <c r="N56" s="444">
        <f t="shared" si="15"/>
        <v>0</v>
      </c>
      <c r="O56" s="894">
        <v>0</v>
      </c>
      <c r="P56" s="842">
        <v>0</v>
      </c>
      <c r="Q56" s="470"/>
      <c r="R56" s="444">
        <f t="shared" si="16"/>
        <v>0</v>
      </c>
      <c r="S56" s="444">
        <f t="shared" si="17"/>
        <v>0</v>
      </c>
      <c r="T56" s="894">
        <v>0</v>
      </c>
      <c r="U56" s="842">
        <v>0</v>
      </c>
      <c r="V56" s="470"/>
      <c r="W56" s="444">
        <f t="shared" si="18"/>
        <v>0</v>
      </c>
    </row>
    <row r="57" spans="1:23" s="1" customFormat="1" ht="16" x14ac:dyDescent="0.3">
      <c r="B57" s="83"/>
      <c r="C57" s="97" t="s">
        <v>271</v>
      </c>
      <c r="D57" s="349">
        <f>SUM(D40:D56)</f>
        <v>5052.5331444005033</v>
      </c>
      <c r="E57" s="349">
        <f>SUM(E40:E56)</f>
        <v>98.63315981735164</v>
      </c>
      <c r="F57" s="349">
        <f>SUM(F40:F56)</f>
        <v>0</v>
      </c>
      <c r="G57" s="349">
        <f>SUM(G40:G56)</f>
        <v>0</v>
      </c>
      <c r="H57" s="349">
        <f>SUM(H40:H56)</f>
        <v>5151.1663042178543</v>
      </c>
      <c r="I57" s="349">
        <f t="shared" ref="I57:M57" si="20">SUM(I40:I56)</f>
        <v>5151.1663042178543</v>
      </c>
      <c r="J57" s="349">
        <f t="shared" si="20"/>
        <v>239.31399999999999</v>
      </c>
      <c r="K57" s="349">
        <f t="shared" si="20"/>
        <v>0</v>
      </c>
      <c r="L57" s="349">
        <f t="shared" si="20"/>
        <v>0</v>
      </c>
      <c r="M57" s="349">
        <f t="shared" si="20"/>
        <v>5390.4803042178546</v>
      </c>
      <c r="N57" s="349">
        <f t="shared" ref="N57:W57" si="21">SUM(N40:N56)</f>
        <v>5390.4803042178546</v>
      </c>
      <c r="O57" s="349">
        <f t="shared" si="21"/>
        <v>0</v>
      </c>
      <c r="P57" s="349">
        <f t="shared" si="21"/>
        <v>0</v>
      </c>
      <c r="Q57" s="349">
        <f t="shared" si="21"/>
        <v>0</v>
      </c>
      <c r="R57" s="349">
        <f t="shared" si="21"/>
        <v>5390.4803042178546</v>
      </c>
      <c r="S57" s="349">
        <f t="shared" si="21"/>
        <v>5390.4803042178546</v>
      </c>
      <c r="T57" s="349">
        <f t="shared" si="21"/>
        <v>0</v>
      </c>
      <c r="U57" s="349">
        <f t="shared" si="21"/>
        <v>0</v>
      </c>
      <c r="V57" s="349">
        <f t="shared" si="21"/>
        <v>0</v>
      </c>
      <c r="W57" s="349">
        <f t="shared" si="21"/>
        <v>5390.4803042178546</v>
      </c>
    </row>
    <row r="58" spans="1:23" s="1" customFormat="1" ht="16" x14ac:dyDescent="0.3">
      <c r="B58" s="262"/>
      <c r="C58" s="262"/>
      <c r="D58" s="262"/>
      <c r="E58" s="262"/>
      <c r="F58" s="262"/>
      <c r="G58" s="262"/>
      <c r="H58" s="262"/>
      <c r="I58" s="262"/>
      <c r="J58" s="262"/>
      <c r="K58" s="262"/>
      <c r="L58" s="262"/>
      <c r="M58" s="262"/>
      <c r="N58" s="262"/>
      <c r="O58" s="262"/>
    </row>
    <row r="59" spans="1:23" ht="16" x14ac:dyDescent="0.3">
      <c r="B59" s="262"/>
      <c r="C59" s="262"/>
      <c r="D59" s="262"/>
      <c r="E59" s="262"/>
      <c r="F59" s="262"/>
      <c r="G59" s="262"/>
      <c r="H59" s="262"/>
      <c r="I59" s="262"/>
      <c r="J59" s="262"/>
      <c r="K59" s="262"/>
      <c r="L59" s="262"/>
      <c r="M59" s="262"/>
      <c r="N59" s="262"/>
      <c r="O59" s="262"/>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366" t="s">
        <v>272</v>
      </c>
      <c r="C61" s="1"/>
      <c r="D61" s="1"/>
      <c r="E61" s="1"/>
      <c r="F61" s="1"/>
      <c r="G61" s="1"/>
      <c r="H61" s="1"/>
      <c r="I61" s="1"/>
      <c r="J61" s="1"/>
      <c r="K61" s="1"/>
      <c r="L61" s="1"/>
      <c r="M61" s="1"/>
      <c r="N61" s="1"/>
      <c r="O61" s="1"/>
      <c r="P61" s="1"/>
      <c r="Q61" s="1"/>
      <c r="R61" s="1"/>
    </row>
    <row r="62" spans="1:23" x14ac:dyDescent="0.3">
      <c r="B62" s="366"/>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59" t="s">
        <v>10</v>
      </c>
      <c r="N63" s="44"/>
      <c r="O63" s="1"/>
      <c r="P63" s="1"/>
      <c r="Q63" s="1"/>
    </row>
    <row r="64" spans="1:23" ht="15" customHeight="1" x14ac:dyDescent="0.3">
      <c r="B64" s="1699" t="s">
        <v>340</v>
      </c>
      <c r="C64" s="1699" t="s">
        <v>37</v>
      </c>
      <c r="D64" s="1847" t="s">
        <v>506</v>
      </c>
      <c r="E64" s="1848"/>
      <c r="F64" s="1848"/>
      <c r="G64" s="1848"/>
      <c r="H64" s="1849"/>
      <c r="I64" s="1841" t="s">
        <v>507</v>
      </c>
      <c r="J64" s="1841"/>
      <c r="K64" s="1841"/>
      <c r="L64" s="1841"/>
      <c r="M64" s="1841"/>
      <c r="N64" s="1838" t="s">
        <v>508</v>
      </c>
      <c r="O64" s="1838"/>
      <c r="P64" s="1838"/>
      <c r="Q64" s="1838"/>
      <c r="R64" s="1838"/>
      <c r="S64" s="1838" t="s">
        <v>969</v>
      </c>
      <c r="T64" s="1838"/>
      <c r="U64" s="1838"/>
      <c r="V64" s="1838"/>
      <c r="W64" s="1838"/>
    </row>
    <row r="65" spans="1:25" x14ac:dyDescent="0.3">
      <c r="B65" s="1699"/>
      <c r="C65" s="1699"/>
      <c r="D65" s="1839" t="s">
        <v>7</v>
      </c>
      <c r="E65" s="1840"/>
      <c r="F65" s="1840"/>
      <c r="G65" s="1840"/>
      <c r="H65" s="1840"/>
      <c r="I65" s="1839" t="s">
        <v>7</v>
      </c>
      <c r="J65" s="1840"/>
      <c r="K65" s="1840"/>
      <c r="L65" s="1840"/>
      <c r="M65" s="1840"/>
      <c r="N65" s="1839" t="s">
        <v>12</v>
      </c>
      <c r="O65" s="1840"/>
      <c r="P65" s="1840"/>
      <c r="Q65" s="1840"/>
      <c r="R65" s="1840"/>
      <c r="S65" s="1841" t="s">
        <v>21</v>
      </c>
      <c r="T65" s="1842"/>
      <c r="U65" s="1842"/>
      <c r="V65" s="1842"/>
      <c r="W65" s="1842"/>
    </row>
    <row r="66" spans="1:25" ht="56" x14ac:dyDescent="0.3">
      <c r="A66" s="5" t="s">
        <v>808</v>
      </c>
      <c r="B66" s="1699"/>
      <c r="C66" s="1699"/>
      <c r="D66" s="367" t="s">
        <v>273</v>
      </c>
      <c r="E66" s="367" t="s">
        <v>268</v>
      </c>
      <c r="F66" s="263" t="s">
        <v>274</v>
      </c>
      <c r="G66" s="365" t="s">
        <v>587</v>
      </c>
      <c r="H66" s="367" t="s">
        <v>275</v>
      </c>
      <c r="I66" s="695" t="s">
        <v>273</v>
      </c>
      <c r="J66" s="695" t="s">
        <v>268</v>
      </c>
      <c r="K66" s="263" t="s">
        <v>274</v>
      </c>
      <c r="L66" s="690" t="s">
        <v>587</v>
      </c>
      <c r="M66" s="695" t="s">
        <v>275</v>
      </c>
      <c r="N66" s="367" t="s">
        <v>273</v>
      </c>
      <c r="O66" s="367" t="s">
        <v>268</v>
      </c>
      <c r="P66" s="263" t="s">
        <v>274</v>
      </c>
      <c r="Q66" s="365" t="s">
        <v>587</v>
      </c>
      <c r="R66" s="367" t="s">
        <v>275</v>
      </c>
      <c r="S66" s="367" t="s">
        <v>273</v>
      </c>
      <c r="T66" s="367" t="s">
        <v>268</v>
      </c>
      <c r="U66" s="263" t="s">
        <v>274</v>
      </c>
      <c r="V66" s="365" t="s">
        <v>587</v>
      </c>
      <c r="W66" s="367" t="s">
        <v>275</v>
      </c>
    </row>
    <row r="67" spans="1:25" ht="28" x14ac:dyDescent="0.3">
      <c r="B67" s="260"/>
      <c r="C67" s="260"/>
      <c r="D67" s="260" t="s">
        <v>81</v>
      </c>
      <c r="E67" s="260" t="s">
        <v>82</v>
      </c>
      <c r="F67" s="260" t="s">
        <v>459</v>
      </c>
      <c r="G67" s="260" t="s">
        <v>391</v>
      </c>
      <c r="H67" s="260" t="s">
        <v>588</v>
      </c>
      <c r="I67" s="260" t="s">
        <v>409</v>
      </c>
      <c r="J67" s="260" t="s">
        <v>509</v>
      </c>
      <c r="K67" s="260" t="s">
        <v>410</v>
      </c>
      <c r="L67" s="260" t="s">
        <v>411</v>
      </c>
      <c r="M67" s="260" t="s">
        <v>651</v>
      </c>
      <c r="N67" s="260" t="s">
        <v>594</v>
      </c>
      <c r="O67" s="260" t="s">
        <v>595</v>
      </c>
      <c r="P67" s="260" t="s">
        <v>596</v>
      </c>
      <c r="Q67" s="260" t="s">
        <v>653</v>
      </c>
      <c r="R67" s="260" t="s">
        <v>654</v>
      </c>
      <c r="S67" s="260" t="s">
        <v>655</v>
      </c>
      <c r="T67" s="260" t="s">
        <v>656</v>
      </c>
      <c r="U67" s="260" t="s">
        <v>657</v>
      </c>
      <c r="V67" s="260" t="s">
        <v>658</v>
      </c>
      <c r="W67" s="260" t="s">
        <v>659</v>
      </c>
    </row>
    <row r="68" spans="1:25" x14ac:dyDescent="0.3">
      <c r="A68" s="458">
        <v>0</v>
      </c>
      <c r="B68" s="95">
        <v>1</v>
      </c>
      <c r="C68" s="448" t="s">
        <v>842</v>
      </c>
      <c r="D68" s="350">
        <v>0</v>
      </c>
      <c r="E68" s="687">
        <f t="shared" ref="E68:E84" si="22">IF((IFERROR(D68/((D14+E14)*90%),0))&lt;70%,MIN((MAX((D14+E14)*90%-D68,0)),(D14+E14/2)*$Y68),MAX((E14+D14)*90%-D68,0)/E$86)</f>
        <v>0</v>
      </c>
      <c r="F68" s="350">
        <f>IFERROR(IF(D68=0,0,D68/D14*F14),0)</f>
        <v>0</v>
      </c>
      <c r="G68" s="351"/>
      <c r="H68" s="350">
        <f>D68+E68-F68-G68</f>
        <v>0</v>
      </c>
      <c r="I68" s="347">
        <f>H68</f>
        <v>0</v>
      </c>
      <c r="J68" s="687">
        <f>IF((IFERROR(I68/((I14+J14)*90%),0))&lt;70%,MIN((MAX((I14+J14)*90%-I68,0)),(I14+J14/2)*$A68),MAX((J14+I14)*90%-I68,0)/J$86)</f>
        <v>0</v>
      </c>
      <c r="K68" s="350">
        <f>IFERROR(IF(I68=0,0,I68/I14*K14),0)</f>
        <v>0</v>
      </c>
      <c r="L68" s="351"/>
      <c r="M68" s="347">
        <f t="shared" ref="M68:M78" si="23">I68+J68-K68-L68</f>
        <v>0</v>
      </c>
      <c r="N68" s="350">
        <f>M68</f>
        <v>0</v>
      </c>
      <c r="O68" s="687">
        <f t="shared" ref="O68:O84" si="24">IF((IFERROR(N68/((N14+O14)*90%),0))&lt;70%,MIN((MAX((N14+O14)*90%-N68,0)),(N14+O14/2)*$A95),MAX((O14+N14)*90%-N68,0)/O$86)</f>
        <v>0</v>
      </c>
      <c r="P68" s="350">
        <f t="shared" ref="P68:P84" si="25">IFERROR(IF(N68=0,0,N68/N14*P14),0)</f>
        <v>0</v>
      </c>
      <c r="Q68" s="351"/>
      <c r="R68" s="350">
        <f>N68+O68-P68-Q68</f>
        <v>0</v>
      </c>
      <c r="S68" s="347">
        <f>R68</f>
        <v>0</v>
      </c>
      <c r="T68" s="687">
        <f t="shared" ref="T68:T84" si="26">IF((IFERROR(S68/((S14+T14)*90%),0))&lt;70%,MIN((MAX((S14+T14)*90%-S68,0)),(S14+T14/2)*$A95),MAX((T14+S14)*90%-S68,0)/T$86)</f>
        <v>0</v>
      </c>
      <c r="U68" s="350">
        <f t="shared" ref="U68:U84" si="27">IFERROR(IF(S68=0,0,S68/S14*U14),0)</f>
        <v>0</v>
      </c>
      <c r="V68" s="351"/>
      <c r="W68" s="347">
        <f>S68+T68-U68-V68</f>
        <v>0</v>
      </c>
      <c r="Y68" s="686">
        <v>0</v>
      </c>
    </row>
    <row r="69" spans="1:25" x14ac:dyDescent="0.3">
      <c r="A69" s="458">
        <v>3.3399999999999999E-2</v>
      </c>
      <c r="B69" s="95">
        <f>B68+1</f>
        <v>2</v>
      </c>
      <c r="C69" s="448" t="s">
        <v>843</v>
      </c>
      <c r="D69" s="350">
        <v>330.4917951214216</v>
      </c>
      <c r="E69" s="687">
        <f t="shared" si="22"/>
        <v>8.8009782379594395</v>
      </c>
      <c r="F69" s="350">
        <f t="shared" ref="F69:F84" si="28">IFERROR(IF(D69=0,0,D69/D15*F15),0)</f>
        <v>0</v>
      </c>
      <c r="G69" s="351"/>
      <c r="H69" s="800">
        <f>D69+E69-F69-G69</f>
        <v>339.29277335938104</v>
      </c>
      <c r="I69" s="347">
        <f t="shared" ref="I69:I78" si="29">H69</f>
        <v>339.29277335938104</v>
      </c>
      <c r="J69" s="687">
        <f t="shared" ref="J69:J84" si="30">IF((IFERROR(I69/((I15+J15)*90%),0))&lt;70%,MIN((MAX((I15+J15)*90%-I69,0)),(I15+J15/2)*$A69),MAX((J15+I15)*90%-I69,0)/J$86)</f>
        <v>10.434750411052592</v>
      </c>
      <c r="K69" s="350">
        <f t="shared" ref="K69:K84" si="31">IFERROR(IF(I69=0,0,I69/I15*K15),0)</f>
        <v>0</v>
      </c>
      <c r="L69" s="351"/>
      <c r="M69" s="347">
        <f t="shared" si="23"/>
        <v>349.72752377043366</v>
      </c>
      <c r="N69" s="350">
        <f t="shared" ref="N69:N84" si="32">M69</f>
        <v>349.72752377043366</v>
      </c>
      <c r="O69" s="687">
        <f t="shared" si="24"/>
        <v>10.792406538567612</v>
      </c>
      <c r="P69" s="350">
        <f t="shared" si="25"/>
        <v>0</v>
      </c>
      <c r="Q69" s="351"/>
      <c r="R69" s="350">
        <f t="shared" ref="R69:R79" si="33">N69+O69-P69-Q69</f>
        <v>360.51993030900127</v>
      </c>
      <c r="S69" s="347">
        <f t="shared" ref="S69:S79" si="34">R69</f>
        <v>360.51993030900127</v>
      </c>
      <c r="T69" s="687">
        <f t="shared" si="26"/>
        <v>11.278619122528889</v>
      </c>
      <c r="U69" s="350">
        <f t="shared" si="27"/>
        <v>0</v>
      </c>
      <c r="V69" s="351"/>
      <c r="W69" s="347">
        <f t="shared" ref="W69:W79" si="35">S69+T69-U69-V69</f>
        <v>371.79854943153015</v>
      </c>
      <c r="Y69" s="686">
        <v>3.3399999999999999E-2</v>
      </c>
    </row>
    <row r="70" spans="1:25" x14ac:dyDescent="0.3">
      <c r="A70" s="458">
        <v>5.28E-2</v>
      </c>
      <c r="B70" s="95">
        <f t="shared" ref="B70:B84" si="36">B69+1</f>
        <v>3</v>
      </c>
      <c r="C70" s="448" t="s">
        <v>844</v>
      </c>
      <c r="D70" s="350">
        <v>0</v>
      </c>
      <c r="E70" s="687">
        <f t="shared" si="22"/>
        <v>0</v>
      </c>
      <c r="F70" s="350">
        <f t="shared" si="28"/>
        <v>0</v>
      </c>
      <c r="G70" s="351"/>
      <c r="H70" s="350">
        <f t="shared" ref="H70:H84" si="37">D70+E70-F70-G70</f>
        <v>0</v>
      </c>
      <c r="I70" s="347">
        <f t="shared" si="29"/>
        <v>0</v>
      </c>
      <c r="J70" s="687">
        <f t="shared" si="30"/>
        <v>0</v>
      </c>
      <c r="K70" s="350">
        <f t="shared" si="31"/>
        <v>0</v>
      </c>
      <c r="L70" s="351"/>
      <c r="M70" s="347">
        <f t="shared" si="23"/>
        <v>0</v>
      </c>
      <c r="N70" s="350">
        <f t="shared" si="32"/>
        <v>0</v>
      </c>
      <c r="O70" s="687">
        <f t="shared" si="24"/>
        <v>0</v>
      </c>
      <c r="P70" s="350">
        <f t="shared" si="25"/>
        <v>0</v>
      </c>
      <c r="Q70" s="351"/>
      <c r="R70" s="350">
        <f t="shared" si="33"/>
        <v>0</v>
      </c>
      <c r="S70" s="347">
        <f t="shared" si="34"/>
        <v>0</v>
      </c>
      <c r="T70" s="687">
        <f t="shared" si="26"/>
        <v>0</v>
      </c>
      <c r="U70" s="350">
        <f t="shared" si="27"/>
        <v>0</v>
      </c>
      <c r="V70" s="351"/>
      <c r="W70" s="347">
        <f t="shared" si="35"/>
        <v>0</v>
      </c>
      <c r="Y70" s="686">
        <v>5.28E-2</v>
      </c>
    </row>
    <row r="71" spans="1:25" x14ac:dyDescent="0.3">
      <c r="A71" s="458">
        <v>5.28E-2</v>
      </c>
      <c r="B71" s="95">
        <f t="shared" si="36"/>
        <v>4</v>
      </c>
      <c r="C71" s="448" t="s">
        <v>845</v>
      </c>
      <c r="D71" s="350">
        <v>300.21692675938345</v>
      </c>
      <c r="E71" s="687">
        <f t="shared" si="22"/>
        <v>1.9007530189442094</v>
      </c>
      <c r="F71" s="350">
        <f t="shared" si="28"/>
        <v>0</v>
      </c>
      <c r="G71" s="351"/>
      <c r="H71" s="350">
        <f t="shared" si="37"/>
        <v>302.11767977832767</v>
      </c>
      <c r="I71" s="347">
        <f t="shared" si="29"/>
        <v>302.11767977832767</v>
      </c>
      <c r="J71" s="687">
        <f t="shared" si="30"/>
        <v>6.9812915256447505</v>
      </c>
      <c r="K71" s="350">
        <f t="shared" si="31"/>
        <v>0</v>
      </c>
      <c r="L71" s="351"/>
      <c r="M71" s="347">
        <f t="shared" si="23"/>
        <v>309.09897130397241</v>
      </c>
      <c r="N71" s="350">
        <f t="shared" si="32"/>
        <v>309.09897130397241</v>
      </c>
      <c r="O71" s="687">
        <f t="shared" si="24"/>
        <v>7.7252162708760057</v>
      </c>
      <c r="P71" s="350">
        <f t="shared" si="25"/>
        <v>0</v>
      </c>
      <c r="Q71" s="351"/>
      <c r="R71" s="350">
        <f t="shared" si="33"/>
        <v>316.82418757484839</v>
      </c>
      <c r="S71" s="347">
        <f t="shared" si="34"/>
        <v>316.82418757484839</v>
      </c>
      <c r="T71" s="687">
        <f t="shared" si="26"/>
        <v>7.7252162708760093</v>
      </c>
      <c r="U71" s="350">
        <f t="shared" si="27"/>
        <v>0</v>
      </c>
      <c r="V71" s="351"/>
      <c r="W71" s="347">
        <f t="shared" si="35"/>
        <v>324.54940384572438</v>
      </c>
      <c r="Y71" s="686">
        <v>5.28E-2</v>
      </c>
    </row>
    <row r="72" spans="1:25" x14ac:dyDescent="0.3">
      <c r="A72" s="458">
        <v>3.3399999999999999E-2</v>
      </c>
      <c r="B72" s="95">
        <f t="shared" si="36"/>
        <v>5</v>
      </c>
      <c r="C72" s="448" t="s">
        <v>846</v>
      </c>
      <c r="D72" s="350">
        <v>197.10034299376628</v>
      </c>
      <c r="E72" s="687">
        <f t="shared" si="22"/>
        <v>1.4723299765676847</v>
      </c>
      <c r="F72" s="350">
        <f t="shared" si="28"/>
        <v>0</v>
      </c>
      <c r="G72" s="351"/>
      <c r="H72" s="350">
        <f t="shared" si="37"/>
        <v>198.57267297033397</v>
      </c>
      <c r="I72" s="347">
        <f t="shared" si="29"/>
        <v>198.57267297033397</v>
      </c>
      <c r="J72" s="687">
        <f t="shared" si="30"/>
        <v>2.0138078714951586</v>
      </c>
      <c r="K72" s="350">
        <f t="shared" si="31"/>
        <v>0</v>
      </c>
      <c r="L72" s="351"/>
      <c r="M72" s="347">
        <f t="shared" si="23"/>
        <v>200.58648084182911</v>
      </c>
      <c r="N72" s="350">
        <f t="shared" si="32"/>
        <v>200.58648084182911</v>
      </c>
      <c r="O72" s="687">
        <f t="shared" si="24"/>
        <v>9.0953991962926466</v>
      </c>
      <c r="P72" s="350">
        <f t="shared" si="25"/>
        <v>0</v>
      </c>
      <c r="Q72" s="351"/>
      <c r="R72" s="350">
        <f t="shared" si="33"/>
        <v>209.68188003812176</v>
      </c>
      <c r="S72" s="347">
        <f t="shared" si="34"/>
        <v>209.68188003812176</v>
      </c>
      <c r="T72" s="687">
        <f>IF((IFERROR(S72/((S18+T18)*90%),0))&lt;70%,MIN((MAX((S18+T18)*90%-S72,0)),(S18+T18/2)*$A99),MAX((T18+S18)*90%-S72,0)/T$86)</f>
        <v>9.0953991962926484</v>
      </c>
      <c r="U72" s="350">
        <f t="shared" si="27"/>
        <v>0</v>
      </c>
      <c r="V72" s="351"/>
      <c r="W72" s="347">
        <f t="shared" si="35"/>
        <v>218.77727923441441</v>
      </c>
      <c r="Y72" s="686">
        <v>3.3399999999999999E-2</v>
      </c>
    </row>
    <row r="73" spans="1:25" x14ac:dyDescent="0.3">
      <c r="A73" s="458">
        <v>5.28E-2</v>
      </c>
      <c r="B73" s="95">
        <f t="shared" si="36"/>
        <v>6</v>
      </c>
      <c r="C73" s="448" t="s">
        <v>256</v>
      </c>
      <c r="D73" s="350">
        <v>2266.142823740654</v>
      </c>
      <c r="E73" s="687">
        <f t="shared" si="22"/>
        <v>64.2609072513347</v>
      </c>
      <c r="F73" s="350">
        <f>IFERROR(IF(D73=0,0,D73/D19*F19),0)</f>
        <v>0</v>
      </c>
      <c r="G73" s="351"/>
      <c r="H73" s="350">
        <f t="shared" si="37"/>
        <v>2330.4037309919886</v>
      </c>
      <c r="I73" s="347">
        <f t="shared" si="29"/>
        <v>2330.4037309919886</v>
      </c>
      <c r="J73" s="687">
        <f t="shared" si="30"/>
        <v>70.171095623760095</v>
      </c>
      <c r="K73" s="350">
        <f t="shared" si="31"/>
        <v>0</v>
      </c>
      <c r="L73" s="351"/>
      <c r="M73" s="347">
        <f t="shared" si="23"/>
        <v>2400.5748266157489</v>
      </c>
      <c r="N73" s="350">
        <f t="shared" si="32"/>
        <v>2400.5748266157489</v>
      </c>
      <c r="O73" s="687">
        <f t="shared" si="24"/>
        <v>124.67359758351965</v>
      </c>
      <c r="P73" s="350">
        <f t="shared" si="25"/>
        <v>0</v>
      </c>
      <c r="Q73" s="351"/>
      <c r="R73" s="350">
        <f t="shared" si="33"/>
        <v>2525.2484241992684</v>
      </c>
      <c r="S73" s="347">
        <f t="shared" si="34"/>
        <v>2525.2484241992684</v>
      </c>
      <c r="T73" s="687">
        <f t="shared" si="26"/>
        <v>153.26655947224168</v>
      </c>
      <c r="U73" s="350">
        <f t="shared" si="27"/>
        <v>0</v>
      </c>
      <c r="V73" s="351"/>
      <c r="W73" s="347">
        <f t="shared" si="35"/>
        <v>2678.51498367151</v>
      </c>
      <c r="Y73" s="686">
        <v>5.28E-2</v>
      </c>
    </row>
    <row r="74" spans="1:25" x14ac:dyDescent="0.3">
      <c r="A74" s="458">
        <v>0.18</v>
      </c>
      <c r="B74" s="95">
        <f t="shared" si="36"/>
        <v>7</v>
      </c>
      <c r="C74" s="448" t="s">
        <v>847</v>
      </c>
      <c r="D74" s="350">
        <v>0</v>
      </c>
      <c r="E74" s="687">
        <f t="shared" si="22"/>
        <v>0</v>
      </c>
      <c r="F74" s="350">
        <f t="shared" si="28"/>
        <v>0</v>
      </c>
      <c r="G74" s="351"/>
      <c r="H74" s="350">
        <f t="shared" si="37"/>
        <v>0</v>
      </c>
      <c r="I74" s="347">
        <f t="shared" si="29"/>
        <v>0</v>
      </c>
      <c r="J74" s="687">
        <f t="shared" si="30"/>
        <v>0</v>
      </c>
      <c r="K74" s="350">
        <f t="shared" si="31"/>
        <v>0</v>
      </c>
      <c r="L74" s="351"/>
      <c r="M74" s="347">
        <f t="shared" si="23"/>
        <v>0</v>
      </c>
      <c r="N74" s="350">
        <f t="shared" si="32"/>
        <v>0</v>
      </c>
      <c r="O74" s="687">
        <f t="shared" si="24"/>
        <v>0</v>
      </c>
      <c r="P74" s="350">
        <f t="shared" si="25"/>
        <v>0</v>
      </c>
      <c r="Q74" s="351"/>
      <c r="R74" s="350">
        <f t="shared" si="33"/>
        <v>0</v>
      </c>
      <c r="S74" s="347">
        <f t="shared" si="34"/>
        <v>0</v>
      </c>
      <c r="T74" s="687">
        <f t="shared" si="26"/>
        <v>0.03</v>
      </c>
      <c r="U74" s="350">
        <f t="shared" si="27"/>
        <v>0</v>
      </c>
      <c r="V74" s="351"/>
      <c r="W74" s="347">
        <f t="shared" si="35"/>
        <v>0.03</v>
      </c>
      <c r="Y74" s="686">
        <v>0.18</v>
      </c>
    </row>
    <row r="75" spans="1:25" x14ac:dyDescent="0.3">
      <c r="A75" s="458">
        <v>5.28E-2</v>
      </c>
      <c r="B75" s="95">
        <f t="shared" si="36"/>
        <v>8</v>
      </c>
      <c r="C75" s="448" t="s">
        <v>848</v>
      </c>
      <c r="D75" s="350">
        <v>0</v>
      </c>
      <c r="E75" s="687">
        <f t="shared" si="22"/>
        <v>0</v>
      </c>
      <c r="F75" s="350">
        <f t="shared" si="28"/>
        <v>0</v>
      </c>
      <c r="G75" s="351"/>
      <c r="H75" s="350">
        <f t="shared" si="37"/>
        <v>0</v>
      </c>
      <c r="I75" s="347">
        <f t="shared" si="29"/>
        <v>0</v>
      </c>
      <c r="J75" s="687">
        <f t="shared" si="30"/>
        <v>0</v>
      </c>
      <c r="K75" s="350">
        <f t="shared" si="31"/>
        <v>0</v>
      </c>
      <c r="L75" s="351"/>
      <c r="M75" s="347">
        <f t="shared" si="23"/>
        <v>0</v>
      </c>
      <c r="N75" s="350">
        <f t="shared" si="32"/>
        <v>0</v>
      </c>
      <c r="O75" s="687">
        <f t="shared" si="24"/>
        <v>0</v>
      </c>
      <c r="P75" s="350">
        <f t="shared" si="25"/>
        <v>0</v>
      </c>
      <c r="Q75" s="351"/>
      <c r="R75" s="350">
        <f t="shared" si="33"/>
        <v>0</v>
      </c>
      <c r="S75" s="347">
        <f t="shared" si="34"/>
        <v>0</v>
      </c>
      <c r="T75" s="687">
        <f t="shared" si="26"/>
        <v>0</v>
      </c>
      <c r="U75" s="350">
        <f t="shared" si="27"/>
        <v>0</v>
      </c>
      <c r="V75" s="351"/>
      <c r="W75" s="347">
        <f t="shared" si="35"/>
        <v>0</v>
      </c>
      <c r="Y75" s="686">
        <v>5.28E-2</v>
      </c>
    </row>
    <row r="76" spans="1:25" x14ac:dyDescent="0.3">
      <c r="A76" s="458">
        <v>5.28E-2</v>
      </c>
      <c r="B76" s="95">
        <f t="shared" si="36"/>
        <v>9</v>
      </c>
      <c r="C76" s="448" t="s">
        <v>849</v>
      </c>
      <c r="D76" s="350">
        <v>104.1053427674851</v>
      </c>
      <c r="E76" s="687">
        <f t="shared" si="22"/>
        <v>0.26359479349687154</v>
      </c>
      <c r="F76" s="350">
        <f t="shared" si="28"/>
        <v>0</v>
      </c>
      <c r="G76" s="351"/>
      <c r="H76" s="350">
        <f t="shared" si="37"/>
        <v>104.36893756098198</v>
      </c>
      <c r="I76" s="347">
        <f t="shared" si="29"/>
        <v>104.36893756098198</v>
      </c>
      <c r="J76" s="687">
        <f t="shared" si="30"/>
        <v>0.6239667986825016</v>
      </c>
      <c r="K76" s="350">
        <f t="shared" si="31"/>
        <v>0</v>
      </c>
      <c r="L76" s="351"/>
      <c r="M76" s="347">
        <f t="shared" si="23"/>
        <v>104.99290435966448</v>
      </c>
      <c r="N76" s="350">
        <f t="shared" si="32"/>
        <v>104.99290435966448</v>
      </c>
      <c r="O76" s="687">
        <f t="shared" si="24"/>
        <v>0.62396679868250149</v>
      </c>
      <c r="P76" s="350">
        <f t="shared" si="25"/>
        <v>0</v>
      </c>
      <c r="Q76" s="351"/>
      <c r="R76" s="350">
        <f t="shared" si="33"/>
        <v>105.61687115834698</v>
      </c>
      <c r="S76" s="347">
        <f t="shared" si="34"/>
        <v>105.61687115834698</v>
      </c>
      <c r="T76" s="687">
        <f t="shared" si="26"/>
        <v>0.62396679868250127</v>
      </c>
      <c r="U76" s="350">
        <f t="shared" si="27"/>
        <v>0</v>
      </c>
      <c r="V76" s="351"/>
      <c r="W76" s="347">
        <f t="shared" si="35"/>
        <v>106.24083795702948</v>
      </c>
      <c r="Y76" s="686">
        <v>5.28E-2</v>
      </c>
    </row>
    <row r="77" spans="1:25" x14ac:dyDescent="0.3">
      <c r="A77" s="458">
        <v>9.5000000000000001E-2</v>
      </c>
      <c r="B77" s="95">
        <f t="shared" si="36"/>
        <v>10</v>
      </c>
      <c r="C77" s="448" t="s">
        <v>259</v>
      </c>
      <c r="D77" s="350">
        <v>1.3320675224038629</v>
      </c>
      <c r="E77" s="687">
        <f t="shared" si="22"/>
        <v>0.26538654911374843</v>
      </c>
      <c r="F77" s="350">
        <f t="shared" si="28"/>
        <v>0</v>
      </c>
      <c r="G77" s="351"/>
      <c r="H77" s="350">
        <f t="shared" si="37"/>
        <v>1.5974540715176113</v>
      </c>
      <c r="I77" s="347">
        <f t="shared" si="29"/>
        <v>1.5974540715176113</v>
      </c>
      <c r="J77" s="687">
        <f t="shared" si="30"/>
        <v>0.3907812814112484</v>
      </c>
      <c r="K77" s="350">
        <f t="shared" si="31"/>
        <v>0</v>
      </c>
      <c r="L77" s="351"/>
      <c r="M77" s="347">
        <f t="shared" si="23"/>
        <v>1.9882353529288597</v>
      </c>
      <c r="N77" s="350">
        <f t="shared" si="32"/>
        <v>1.9882353529288597</v>
      </c>
      <c r="O77" s="687">
        <f t="shared" si="24"/>
        <v>0.3907812814112484</v>
      </c>
      <c r="P77" s="350">
        <f t="shared" si="25"/>
        <v>0</v>
      </c>
      <c r="Q77" s="351"/>
      <c r="R77" s="350">
        <f t="shared" si="33"/>
        <v>2.379016634340108</v>
      </c>
      <c r="S77" s="347">
        <f t="shared" si="34"/>
        <v>2.379016634340108</v>
      </c>
      <c r="T77" s="687">
        <f t="shared" si="26"/>
        <v>0.71504794807791505</v>
      </c>
      <c r="U77" s="350">
        <f t="shared" si="27"/>
        <v>0</v>
      </c>
      <c r="V77" s="351"/>
      <c r="W77" s="347">
        <f t="shared" si="35"/>
        <v>3.0940645824180231</v>
      </c>
      <c r="Y77" s="686">
        <v>9.5000000000000001E-2</v>
      </c>
    </row>
    <row r="78" spans="1:25" x14ac:dyDescent="0.3">
      <c r="A78" s="458">
        <v>6.3299999999999995E-2</v>
      </c>
      <c r="B78" s="95">
        <f t="shared" si="36"/>
        <v>11</v>
      </c>
      <c r="C78" s="448" t="s">
        <v>260</v>
      </c>
      <c r="D78" s="350">
        <v>2.1222874192657524</v>
      </c>
      <c r="E78" s="687">
        <f t="shared" si="22"/>
        <v>4.1127210364774867E-2</v>
      </c>
      <c r="F78" s="350">
        <f t="shared" si="28"/>
        <v>0</v>
      </c>
      <c r="G78" s="351"/>
      <c r="H78" s="350">
        <f>D78+E78-F78-G78</f>
        <v>2.1634146296305272</v>
      </c>
      <c r="I78" s="347">
        <f t="shared" si="29"/>
        <v>2.1634146296305272</v>
      </c>
      <c r="J78" s="687">
        <f t="shared" si="30"/>
        <v>7.1290910132173022E-2</v>
      </c>
      <c r="K78" s="350">
        <f t="shared" si="31"/>
        <v>0</v>
      </c>
      <c r="L78" s="351"/>
      <c r="M78" s="347">
        <f t="shared" si="23"/>
        <v>2.2347055397627003</v>
      </c>
      <c r="N78" s="350">
        <f t="shared" si="32"/>
        <v>2.2347055397627003</v>
      </c>
      <c r="O78" s="687">
        <f t="shared" si="24"/>
        <v>0.21245545870340088</v>
      </c>
      <c r="P78" s="350">
        <f t="shared" si="25"/>
        <v>0</v>
      </c>
      <c r="Q78" s="351"/>
      <c r="R78" s="350">
        <f t="shared" si="33"/>
        <v>2.4471609984661011</v>
      </c>
      <c r="S78" s="347">
        <f t="shared" si="34"/>
        <v>2.4471609984661011</v>
      </c>
      <c r="T78" s="687">
        <f t="shared" si="26"/>
        <v>0.17218669501799627</v>
      </c>
      <c r="U78" s="350">
        <f t="shared" si="27"/>
        <v>0</v>
      </c>
      <c r="V78" s="351"/>
      <c r="W78" s="347">
        <f t="shared" si="35"/>
        <v>2.6193476934840976</v>
      </c>
      <c r="Y78" s="686">
        <v>6.3299999999999995E-2</v>
      </c>
    </row>
    <row r="79" spans="1:25" x14ac:dyDescent="0.3">
      <c r="A79" s="458">
        <v>6.3299999999999995E-2</v>
      </c>
      <c r="B79" s="95">
        <f t="shared" si="36"/>
        <v>12</v>
      </c>
      <c r="C79" s="448" t="s">
        <v>261</v>
      </c>
      <c r="D79" s="350">
        <v>6.1594489795952709</v>
      </c>
      <c r="E79" s="687">
        <f>IF((IFERROR(D79/((D25+E25)*90%),0))&lt;70%,MIN((MAX((D25+E25)*90%-D79,0)),(D25+E25/2)*$Y79),MAX((E25+D25)*90%-D79,0)/E$86)</f>
        <v>0.68960960898112478</v>
      </c>
      <c r="F79" s="350">
        <f t="shared" si="28"/>
        <v>1.5815553221796963</v>
      </c>
      <c r="G79" s="352"/>
      <c r="H79" s="350">
        <f>D79+E79-F79-G79</f>
        <v>5.2675032663966999</v>
      </c>
      <c r="I79" s="347">
        <f>H79</f>
        <v>5.2675032663966999</v>
      </c>
      <c r="J79" s="687">
        <f>IF((IFERROR(I79/((I25+J25)*90%),0))&lt;70%,MIN((MAX((I25+J25)*90%-I79,0)),(I25+J25/2)*$A79),MAX((J25+I25)*90%-I79,0)/J$86)</f>
        <v>0.58769774904577465</v>
      </c>
      <c r="K79" s="350">
        <f t="shared" si="31"/>
        <v>1.7787509750230013</v>
      </c>
      <c r="L79" s="351"/>
      <c r="M79" s="347">
        <f>I79+J79-K79-L79</f>
        <v>4.0764500404194735</v>
      </c>
      <c r="N79" s="350">
        <f t="shared" si="32"/>
        <v>4.0764500404194735</v>
      </c>
      <c r="O79" s="687">
        <f t="shared" si="24"/>
        <v>0.45413105935207471</v>
      </c>
      <c r="P79" s="350">
        <f t="shared" si="25"/>
        <v>0</v>
      </c>
      <c r="Q79" s="351"/>
      <c r="R79" s="350">
        <f t="shared" si="33"/>
        <v>4.5305810997715481</v>
      </c>
      <c r="S79" s="347">
        <f t="shared" si="34"/>
        <v>4.5305810997715481</v>
      </c>
      <c r="T79" s="687">
        <f t="shared" si="26"/>
        <v>0.49369355935207471</v>
      </c>
      <c r="U79" s="350">
        <f t="shared" si="27"/>
        <v>0</v>
      </c>
      <c r="V79" s="351"/>
      <c r="W79" s="347">
        <f t="shared" si="35"/>
        <v>5.0242746591236225</v>
      </c>
      <c r="Y79" s="686">
        <v>6.3299999999999995E-2</v>
      </c>
    </row>
    <row r="80" spans="1:25" x14ac:dyDescent="0.3">
      <c r="A80" s="458">
        <v>6.3299999999999995E-2</v>
      </c>
      <c r="B80" s="95">
        <f t="shared" si="36"/>
        <v>13</v>
      </c>
      <c r="C80" s="469" t="s">
        <v>897</v>
      </c>
      <c r="D80" s="350">
        <v>0</v>
      </c>
      <c r="E80" s="687">
        <f t="shared" si="22"/>
        <v>0</v>
      </c>
      <c r="F80" s="350">
        <f t="shared" si="28"/>
        <v>0</v>
      </c>
      <c r="G80" s="352"/>
      <c r="H80" s="350">
        <f t="shared" si="37"/>
        <v>0</v>
      </c>
      <c r="I80" s="347">
        <f t="shared" ref="I80:I84" si="38">H80</f>
        <v>0</v>
      </c>
      <c r="J80" s="687">
        <f t="shared" si="30"/>
        <v>0</v>
      </c>
      <c r="K80" s="350">
        <f t="shared" si="31"/>
        <v>0</v>
      </c>
      <c r="L80" s="351"/>
      <c r="M80" s="347">
        <f t="shared" ref="M80:M84" si="39">I80+J80-K80-L80</f>
        <v>0</v>
      </c>
      <c r="N80" s="350">
        <f t="shared" si="32"/>
        <v>0</v>
      </c>
      <c r="O80" s="687">
        <f t="shared" si="24"/>
        <v>0</v>
      </c>
      <c r="P80" s="350">
        <f t="shared" si="25"/>
        <v>0</v>
      </c>
      <c r="Q80" s="351"/>
      <c r="R80" s="350">
        <f t="shared" ref="R80:R84" si="40">N80+O80-P80-Q80</f>
        <v>0</v>
      </c>
      <c r="S80" s="347">
        <f t="shared" ref="S80:S84" si="41">R80</f>
        <v>0</v>
      </c>
      <c r="T80" s="687">
        <f t="shared" si="26"/>
        <v>0</v>
      </c>
      <c r="U80" s="350">
        <f t="shared" si="27"/>
        <v>0</v>
      </c>
      <c r="V80" s="351"/>
      <c r="W80" s="347">
        <f t="shared" ref="W80:W84" si="42">S80+T80-U80-V80</f>
        <v>0</v>
      </c>
      <c r="Y80" s="686">
        <v>6.3299999999999995E-2</v>
      </c>
    </row>
    <row r="81" spans="1:33" x14ac:dyDescent="0.3">
      <c r="A81" s="458">
        <v>0.15</v>
      </c>
      <c r="B81" s="95">
        <f t="shared" si="36"/>
        <v>14</v>
      </c>
      <c r="C81" s="469" t="s">
        <v>898</v>
      </c>
      <c r="D81" s="350">
        <v>0</v>
      </c>
      <c r="E81" s="687">
        <f>IF((IFERROR(D81/((D27+E27)*100%),0))&lt;70%,MIN((MAX((D27+E27)*100%-D81,0)),(D27+E27/2)*$Y81),MAX((E27+D27)*100%-D81,0)/E$86)</f>
        <v>0</v>
      </c>
      <c r="F81" s="350">
        <f t="shared" si="28"/>
        <v>0</v>
      </c>
      <c r="G81" s="352"/>
      <c r="H81" s="350">
        <f t="shared" si="37"/>
        <v>0</v>
      </c>
      <c r="I81" s="347">
        <f t="shared" si="38"/>
        <v>0</v>
      </c>
      <c r="J81" s="687">
        <f>IF((IFERROR(I81/((I27+J27)*100%),0))&lt;70%,MIN((MAX((I27+J27)*100%-I81,0)),(I27+J27/2)*$A81),MAX((J27+I27)*100%-I81,0)/J$86)</f>
        <v>0</v>
      </c>
      <c r="K81" s="350">
        <f t="shared" si="31"/>
        <v>0</v>
      </c>
      <c r="L81" s="351"/>
      <c r="M81" s="347">
        <f t="shared" si="39"/>
        <v>0</v>
      </c>
      <c r="N81" s="350">
        <f t="shared" si="32"/>
        <v>0</v>
      </c>
      <c r="O81" s="687">
        <f>IF((IFERROR(N81/((N27+O27)*100%),0))&lt;70%,MIN((MAX((N27+O27)*100%-N81,0)),(N27+O27/2)*$A108),MAX((O27+N27)*100%-N81,0)/O$86)</f>
        <v>0</v>
      </c>
      <c r="P81" s="350">
        <f t="shared" si="25"/>
        <v>0</v>
      </c>
      <c r="Q81" s="351"/>
      <c r="R81" s="350">
        <f t="shared" si="40"/>
        <v>0</v>
      </c>
      <c r="S81" s="347">
        <f t="shared" si="41"/>
        <v>0</v>
      </c>
      <c r="T81" s="687">
        <f>IF((IFERROR(S81/((S27+T27)*100%),0))&lt;70%,MIN((MAX((S27+T27)*100%-S81,0)),(S27+T27/2)*$A108),MAX((T27+S27)*100%-S81,0)/T$86)</f>
        <v>0</v>
      </c>
      <c r="U81" s="350">
        <f t="shared" si="27"/>
        <v>0</v>
      </c>
      <c r="V81" s="351"/>
      <c r="W81" s="347">
        <f t="shared" si="42"/>
        <v>0</v>
      </c>
      <c r="Y81" s="686">
        <v>0.15</v>
      </c>
    </row>
    <row r="82" spans="1:33" x14ac:dyDescent="0.3">
      <c r="A82" s="458">
        <v>0.3</v>
      </c>
      <c r="B82" s="95">
        <f t="shared" si="36"/>
        <v>15</v>
      </c>
      <c r="C82" s="469" t="s">
        <v>899</v>
      </c>
      <c r="D82" s="350">
        <v>0</v>
      </c>
      <c r="E82" s="687">
        <f>IF((IFERROR(D82/((D28+E28)*100%),0))&lt;70%,MIN((MAX((D28+E28)*100%-D82,0)),(D28+E28/2)*$Y82),MAX((E28+D28)*100%-D82,0)/E$86)</f>
        <v>0</v>
      </c>
      <c r="F82" s="350">
        <f t="shared" si="28"/>
        <v>0</v>
      </c>
      <c r="G82" s="352"/>
      <c r="H82" s="350">
        <f t="shared" si="37"/>
        <v>0</v>
      </c>
      <c r="I82" s="347">
        <f t="shared" si="38"/>
        <v>0</v>
      </c>
      <c r="J82" s="687">
        <f>IF((IFERROR(I82/((I28+J28)*100%),0))&lt;70%,MIN((MAX((I28+J28)*100%-I82,0)),(I28+J28/2)*$A82),MAX((J28+I28)*100%-I82,0)/J$86)</f>
        <v>0</v>
      </c>
      <c r="K82" s="350">
        <f t="shared" si="31"/>
        <v>0</v>
      </c>
      <c r="L82" s="351"/>
      <c r="M82" s="347">
        <f t="shared" si="39"/>
        <v>0</v>
      </c>
      <c r="N82" s="350">
        <f t="shared" si="32"/>
        <v>0</v>
      </c>
      <c r="O82" s="687">
        <f>IF((IFERROR(N82/((N28+O28)*100%),0))&lt;70%,MIN((MAX((N28+O28)*100%-N82,0)),(N28+O28/2)*$A109),MAX((O28+N28)*100%-N82,0)/O$86)</f>
        <v>0</v>
      </c>
      <c r="P82" s="350">
        <f t="shared" si="25"/>
        <v>0</v>
      </c>
      <c r="Q82" s="351"/>
      <c r="R82" s="350">
        <f t="shared" si="40"/>
        <v>0</v>
      </c>
      <c r="S82" s="347">
        <f t="shared" si="41"/>
        <v>0</v>
      </c>
      <c r="T82" s="687">
        <f>IF((IFERROR(S82/((S28+T28)*100%),0))&lt;70%,MIN((MAX((S28+T28)*100%-S82,0)),(S28+T28/2)*$A109),MAX((T28+S28)*100%-S82,0)/T$86)</f>
        <v>0</v>
      </c>
      <c r="U82" s="350">
        <f t="shared" si="27"/>
        <v>0</v>
      </c>
      <c r="V82" s="351"/>
      <c r="W82" s="347">
        <f t="shared" si="42"/>
        <v>0</v>
      </c>
      <c r="Y82" s="686">
        <v>0.3</v>
      </c>
    </row>
    <row r="83" spans="1:33" x14ac:dyDescent="0.3">
      <c r="A83" s="458">
        <v>0.3</v>
      </c>
      <c r="B83" s="95">
        <f t="shared" si="36"/>
        <v>16</v>
      </c>
      <c r="C83" s="469" t="s">
        <v>850</v>
      </c>
      <c r="D83" s="470">
        <v>0</v>
      </c>
      <c r="E83" s="687">
        <f>IF((IFERROR(D83/((D29+E29)*100%),0))&lt;70%,MIN((MAX((D29+E29)*100%-D83,0)),(D29+E29/2)*$Y83),MAX((E29+D29)*100%-D83,0)/E$86)</f>
        <v>0</v>
      </c>
      <c r="F83" s="350">
        <f t="shared" si="28"/>
        <v>0</v>
      </c>
      <c r="G83" s="351"/>
      <c r="H83" s="350">
        <f t="shared" si="37"/>
        <v>0</v>
      </c>
      <c r="I83" s="347">
        <f t="shared" si="38"/>
        <v>0</v>
      </c>
      <c r="J83" s="687">
        <f>IF((IFERROR(I83/((I29+J29)*100%),0))&lt;70%,MIN((MAX((I29+J29)*100%-I83,0)),(I29+J29/2)*$A83),MAX((J29+I29)*100%-I83,0)/J$86)</f>
        <v>0</v>
      </c>
      <c r="K83" s="350">
        <f t="shared" si="31"/>
        <v>0</v>
      </c>
      <c r="L83" s="351"/>
      <c r="M83" s="347">
        <f t="shared" si="39"/>
        <v>0</v>
      </c>
      <c r="N83" s="350">
        <f t="shared" si="32"/>
        <v>0</v>
      </c>
      <c r="O83" s="687">
        <f>IF((IFERROR(N83/((N29+O29)*100%),0))&lt;70%,MIN((MAX((N29+O29)*100%-N83,0)),(N29+O29/2)*$A110),MAX((O29+N29)*100%-N83,0)/O$86)</f>
        <v>0</v>
      </c>
      <c r="P83" s="350">
        <f t="shared" si="25"/>
        <v>0</v>
      </c>
      <c r="Q83" s="351"/>
      <c r="R83" s="350">
        <f t="shared" si="40"/>
        <v>0</v>
      </c>
      <c r="S83" s="347">
        <f t="shared" si="41"/>
        <v>0</v>
      </c>
      <c r="T83" s="687">
        <f>IF((IFERROR(S83/((S29+T29)*100%),0))&lt;70%,MIN((MAX((S29+T29)*100%-S83,0)),(S29+T29/2)*$A110),MAX((T29+S29)*100%-S83,0)/T$86)</f>
        <v>0</v>
      </c>
      <c r="U83" s="350">
        <f t="shared" si="27"/>
        <v>0</v>
      </c>
      <c r="V83" s="351"/>
      <c r="W83" s="347">
        <f t="shared" si="42"/>
        <v>0</v>
      </c>
      <c r="Y83" s="686">
        <v>0.3</v>
      </c>
    </row>
    <row r="84" spans="1:33" x14ac:dyDescent="0.3">
      <c r="A84" s="458">
        <v>3.3399999999999999E-2</v>
      </c>
      <c r="B84" s="95">
        <f t="shared" si="36"/>
        <v>17</v>
      </c>
      <c r="C84" s="469" t="s">
        <v>900</v>
      </c>
      <c r="D84" s="350">
        <v>0</v>
      </c>
      <c r="E84" s="687">
        <f t="shared" si="22"/>
        <v>0</v>
      </c>
      <c r="F84" s="350">
        <f t="shared" si="28"/>
        <v>0</v>
      </c>
      <c r="G84" s="351"/>
      <c r="H84" s="350">
        <f t="shared" si="37"/>
        <v>0</v>
      </c>
      <c r="I84" s="347">
        <f t="shared" si="38"/>
        <v>0</v>
      </c>
      <c r="J84" s="687">
        <f t="shared" si="30"/>
        <v>0</v>
      </c>
      <c r="K84" s="350">
        <f t="shared" si="31"/>
        <v>0</v>
      </c>
      <c r="L84" s="351"/>
      <c r="M84" s="347">
        <f t="shared" si="39"/>
        <v>0</v>
      </c>
      <c r="N84" s="350">
        <f t="shared" si="32"/>
        <v>0</v>
      </c>
      <c r="O84" s="687">
        <f t="shared" si="24"/>
        <v>0</v>
      </c>
      <c r="P84" s="350">
        <f t="shared" si="25"/>
        <v>0</v>
      </c>
      <c r="Q84" s="351"/>
      <c r="R84" s="350">
        <f t="shared" si="40"/>
        <v>0</v>
      </c>
      <c r="S84" s="347">
        <f t="shared" si="41"/>
        <v>0</v>
      </c>
      <c r="T84" s="687">
        <f t="shared" si="26"/>
        <v>0</v>
      </c>
      <c r="U84" s="350">
        <f t="shared" si="27"/>
        <v>0</v>
      </c>
      <c r="V84" s="351"/>
      <c r="W84" s="347">
        <f t="shared" si="42"/>
        <v>0</v>
      </c>
      <c r="Y84" s="686">
        <v>3.3399999999999999E-2</v>
      </c>
    </row>
    <row r="85" spans="1:33" ht="16" x14ac:dyDescent="0.3">
      <c r="A85" s="459"/>
      <c r="B85" s="83"/>
      <c r="C85" s="97" t="s">
        <v>271</v>
      </c>
      <c r="D85" s="349">
        <f>SUM(D68:D84)</f>
        <v>3207.6710353039757</v>
      </c>
      <c r="E85" s="349">
        <f>SUM(E68:E84)</f>
        <v>77.694686646762563</v>
      </c>
      <c r="F85" s="349">
        <f t="shared" ref="F85:M85" si="43">SUM(F68:F84)</f>
        <v>1.5815553221796963</v>
      </c>
      <c r="G85" s="349">
        <f t="shared" si="43"/>
        <v>0</v>
      </c>
      <c r="H85" s="349">
        <f t="shared" si="43"/>
        <v>3283.7841666285576</v>
      </c>
      <c r="I85" s="349">
        <f t="shared" si="43"/>
        <v>3283.7841666285576</v>
      </c>
      <c r="J85" s="349">
        <f t="shared" si="43"/>
        <v>91.274682171224299</v>
      </c>
      <c r="K85" s="349">
        <f t="shared" si="43"/>
        <v>1.7787509750230013</v>
      </c>
      <c r="L85" s="349">
        <f t="shared" si="43"/>
        <v>0</v>
      </c>
      <c r="M85" s="349">
        <f t="shared" si="43"/>
        <v>3373.2800978247592</v>
      </c>
      <c r="N85" s="349">
        <f t="shared" ref="N85:W85" si="44">SUM(N68:N84)</f>
        <v>3373.2800978247592</v>
      </c>
      <c r="O85" s="349">
        <f t="shared" si="44"/>
        <v>153.96795418740513</v>
      </c>
      <c r="P85" s="349">
        <f t="shared" si="44"/>
        <v>0</v>
      </c>
      <c r="Q85" s="349">
        <f t="shared" si="44"/>
        <v>0</v>
      </c>
      <c r="R85" s="349">
        <f t="shared" si="44"/>
        <v>3527.2480520121644</v>
      </c>
      <c r="S85" s="349">
        <f t="shared" si="44"/>
        <v>3527.2480520121644</v>
      </c>
      <c r="T85" s="349">
        <f t="shared" si="44"/>
        <v>183.40068906306968</v>
      </c>
      <c r="U85" s="349">
        <f t="shared" si="44"/>
        <v>0</v>
      </c>
      <c r="V85" s="349">
        <f t="shared" si="44"/>
        <v>0</v>
      </c>
      <c r="W85" s="349">
        <f t="shared" si="44"/>
        <v>3710.6487410752338</v>
      </c>
    </row>
    <row r="86" spans="1:33" ht="16" x14ac:dyDescent="0.3">
      <c r="A86" s="459"/>
      <c r="B86" s="262"/>
      <c r="C86" s="264" t="s">
        <v>809</v>
      </c>
      <c r="D86" s="482"/>
      <c r="E86" s="1129">
        <v>8.2909589041095906</v>
      </c>
      <c r="F86" s="1130">
        <f>E85-F85</f>
        <v>76.113131324582866</v>
      </c>
      <c r="G86" s="1130"/>
      <c r="H86" s="1130"/>
      <c r="I86" s="1131"/>
      <c r="J86" s="1129">
        <v>7.2909589041095906</v>
      </c>
      <c r="K86" s="1131"/>
      <c r="L86" s="1131"/>
      <c r="M86" s="1131"/>
      <c r="N86" s="1130"/>
      <c r="O86" s="1291">
        <v>6.2909589041095906</v>
      </c>
      <c r="P86" s="1130"/>
      <c r="Q86" s="1130"/>
      <c r="R86" s="1130"/>
      <c r="S86" s="1131"/>
      <c r="T86" s="1129">
        <v>5.2909589041095906</v>
      </c>
      <c r="U86" s="483"/>
      <c r="V86" s="483"/>
      <c r="W86" s="483"/>
      <c r="X86" s="45"/>
      <c r="Y86" s="45"/>
      <c r="Z86" s="45"/>
      <c r="AA86" s="45"/>
      <c r="AB86" s="45"/>
      <c r="AC86" s="45"/>
      <c r="AD86" s="45"/>
      <c r="AE86" s="45"/>
      <c r="AF86" s="45"/>
      <c r="AG86" s="45"/>
    </row>
    <row r="87" spans="1:33" ht="16" x14ac:dyDescent="0.3">
      <c r="A87" s="459"/>
      <c r="B87" s="261" t="s">
        <v>598</v>
      </c>
      <c r="C87" s="265"/>
      <c r="D87" s="266"/>
      <c r="E87" s="266"/>
      <c r="F87" s="266"/>
      <c r="G87" s="266"/>
      <c r="H87" s="266"/>
      <c r="I87" s="267"/>
      <c r="J87" s="267"/>
      <c r="K87" s="262"/>
      <c r="L87" s="262"/>
      <c r="M87" s="262"/>
      <c r="N87" s="262"/>
      <c r="O87" s="262"/>
      <c r="P87" s="262"/>
      <c r="Q87" s="262"/>
      <c r="R87" s="262"/>
      <c r="S87" s="45"/>
      <c r="T87" s="45"/>
      <c r="U87" s="45"/>
      <c r="V87" s="45"/>
      <c r="W87" s="45"/>
      <c r="X87" s="45"/>
      <c r="Y87" s="45"/>
      <c r="Z87" s="45"/>
      <c r="AA87" s="45"/>
      <c r="AB87" s="45"/>
      <c r="AC87" s="45"/>
      <c r="AD87" s="45"/>
      <c r="AE87" s="45"/>
      <c r="AF87" s="45"/>
      <c r="AG87" s="45"/>
    </row>
    <row r="88" spans="1:33" ht="16" x14ac:dyDescent="0.3">
      <c r="A88" s="459"/>
      <c r="B88" s="261" t="s">
        <v>713</v>
      </c>
      <c r="C88" s="265"/>
      <c r="D88" s="266"/>
      <c r="E88" s="266"/>
      <c r="F88" s="266"/>
      <c r="G88" s="266"/>
      <c r="H88" s="266"/>
      <c r="I88" s="267"/>
      <c r="J88" s="267"/>
      <c r="K88" s="262"/>
      <c r="L88" s="262"/>
      <c r="M88" s="262"/>
      <c r="N88" s="262"/>
      <c r="O88" s="262"/>
      <c r="P88" s="262"/>
      <c r="Q88" s="262"/>
      <c r="R88" s="262"/>
      <c r="S88" s="45"/>
      <c r="T88" s="45"/>
      <c r="U88" s="45"/>
      <c r="V88" s="45"/>
      <c r="W88" s="45"/>
      <c r="X88" s="45"/>
      <c r="Y88" s="45"/>
      <c r="Z88" s="45"/>
      <c r="AA88" s="45"/>
      <c r="AB88" s="45"/>
      <c r="AC88" s="45"/>
      <c r="AD88" s="45"/>
      <c r="AE88" s="45"/>
      <c r="AF88" s="45"/>
      <c r="AG88" s="45"/>
    </row>
    <row r="89" spans="1:33" ht="15" customHeight="1" x14ac:dyDescent="0.3">
      <c r="A89" s="459"/>
      <c r="B89" s="262"/>
      <c r="C89" s="264"/>
      <c r="D89" s="264"/>
      <c r="E89" s="264"/>
      <c r="F89" s="264"/>
      <c r="G89" s="264"/>
      <c r="H89" s="264"/>
      <c r="I89" s="262"/>
      <c r="J89" s="262"/>
      <c r="K89" s="262"/>
      <c r="L89" s="262"/>
      <c r="M89" s="262"/>
      <c r="N89" s="262"/>
      <c r="O89" s="262"/>
      <c r="P89" s="262"/>
      <c r="Q89" s="262"/>
      <c r="R89" s="262"/>
    </row>
    <row r="90" spans="1:33" ht="16" x14ac:dyDescent="0.3">
      <c r="A90" s="459"/>
      <c r="B90" s="262"/>
      <c r="C90" s="264"/>
      <c r="D90" s="8"/>
      <c r="E90" s="8"/>
      <c r="F90" s="8"/>
      <c r="G90" s="8"/>
      <c r="H90" s="8"/>
      <c r="I90" s="1"/>
      <c r="J90" s="44"/>
      <c r="K90" s="1"/>
      <c r="L90" s="1"/>
      <c r="M90" s="44"/>
      <c r="N90" s="44"/>
      <c r="O90" s="1"/>
      <c r="P90" s="1"/>
      <c r="Q90" s="1"/>
      <c r="AG90" s="259" t="s">
        <v>10</v>
      </c>
    </row>
    <row r="91" spans="1:33" ht="13.75" customHeight="1" x14ac:dyDescent="0.3">
      <c r="A91" s="459"/>
      <c r="B91" s="1699" t="s">
        <v>340</v>
      </c>
      <c r="C91" s="1699" t="s">
        <v>37</v>
      </c>
      <c r="D91" s="1844" t="s">
        <v>970</v>
      </c>
      <c r="E91" s="1845"/>
      <c r="F91" s="1845"/>
      <c r="G91" s="1845"/>
      <c r="H91" s="1846"/>
      <c r="I91" s="1844" t="s">
        <v>971</v>
      </c>
      <c r="J91" s="1845"/>
      <c r="K91" s="1845"/>
      <c r="L91" s="1845"/>
      <c r="M91" s="1846"/>
      <c r="N91" s="1838" t="s">
        <v>972</v>
      </c>
      <c r="O91" s="1838"/>
      <c r="P91" s="1838"/>
      <c r="Q91" s="1838"/>
      <c r="R91" s="1838"/>
      <c r="S91" s="1838" t="s">
        <v>973</v>
      </c>
      <c r="T91" s="1838"/>
      <c r="U91" s="1838"/>
      <c r="V91" s="1838"/>
      <c r="W91" s="1838"/>
    </row>
    <row r="92" spans="1:33" x14ac:dyDescent="0.3">
      <c r="A92" s="459"/>
      <c r="B92" s="1699"/>
      <c r="C92" s="1699"/>
      <c r="D92" s="1847" t="s">
        <v>21</v>
      </c>
      <c r="E92" s="1848"/>
      <c r="F92" s="1848"/>
      <c r="G92" s="1848"/>
      <c r="H92" s="1849"/>
      <c r="I92" s="1847" t="s">
        <v>21</v>
      </c>
      <c r="J92" s="1848"/>
      <c r="K92" s="1848"/>
      <c r="L92" s="1848"/>
      <c r="M92" s="1849"/>
      <c r="N92" s="1841" t="s">
        <v>21</v>
      </c>
      <c r="O92" s="1842"/>
      <c r="P92" s="1842"/>
      <c r="Q92" s="1842"/>
      <c r="R92" s="1842"/>
      <c r="S92" s="1841" t="s">
        <v>21</v>
      </c>
      <c r="T92" s="1842"/>
      <c r="U92" s="1842"/>
      <c r="V92" s="1842"/>
      <c r="W92" s="1842"/>
    </row>
    <row r="93" spans="1:33" ht="56" x14ac:dyDescent="0.3">
      <c r="A93" s="459"/>
      <c r="B93" s="1699"/>
      <c r="C93" s="1699"/>
      <c r="D93" s="1104" t="s">
        <v>273</v>
      </c>
      <c r="E93" s="1104" t="s">
        <v>268</v>
      </c>
      <c r="F93" s="263" t="s">
        <v>274</v>
      </c>
      <c r="G93" s="1102" t="s">
        <v>587</v>
      </c>
      <c r="H93" s="1104" t="s">
        <v>275</v>
      </c>
      <c r="I93" s="1104" t="s">
        <v>267</v>
      </c>
      <c r="J93" s="1104" t="s">
        <v>268</v>
      </c>
      <c r="K93" s="1104" t="s">
        <v>269</v>
      </c>
      <c r="L93" s="1102" t="s">
        <v>587</v>
      </c>
      <c r="M93" s="1104" t="s">
        <v>270</v>
      </c>
      <c r="N93" s="695" t="s">
        <v>267</v>
      </c>
      <c r="O93" s="695" t="s">
        <v>268</v>
      </c>
      <c r="P93" s="695" t="s">
        <v>269</v>
      </c>
      <c r="Q93" s="690" t="s">
        <v>587</v>
      </c>
      <c r="R93" s="695" t="s">
        <v>270</v>
      </c>
      <c r="S93" s="695" t="s">
        <v>267</v>
      </c>
      <c r="T93" s="695" t="s">
        <v>268</v>
      </c>
      <c r="U93" s="695" t="s">
        <v>269</v>
      </c>
      <c r="V93" s="690" t="s">
        <v>587</v>
      </c>
      <c r="W93" s="695" t="s">
        <v>270</v>
      </c>
    </row>
    <row r="94" spans="1:33" ht="28" x14ac:dyDescent="0.3">
      <c r="A94" s="459"/>
      <c r="B94" s="260"/>
      <c r="C94" s="260"/>
      <c r="D94" s="260" t="s">
        <v>660</v>
      </c>
      <c r="E94" s="260" t="s">
        <v>661</v>
      </c>
      <c r="F94" s="260" t="s">
        <v>662</v>
      </c>
      <c r="G94" s="260" t="s">
        <v>663</v>
      </c>
      <c r="H94" s="260" t="s">
        <v>664</v>
      </c>
      <c r="I94" s="260" t="s">
        <v>660</v>
      </c>
      <c r="J94" s="260" t="s">
        <v>661</v>
      </c>
      <c r="K94" s="260" t="s">
        <v>662</v>
      </c>
      <c r="L94" s="260" t="s">
        <v>663</v>
      </c>
      <c r="M94" s="260" t="s">
        <v>664</v>
      </c>
      <c r="N94" s="260" t="s">
        <v>660</v>
      </c>
      <c r="O94" s="260" t="s">
        <v>661</v>
      </c>
      <c r="P94" s="260" t="s">
        <v>662</v>
      </c>
      <c r="Q94" s="260" t="s">
        <v>663</v>
      </c>
      <c r="R94" s="260" t="s">
        <v>664</v>
      </c>
      <c r="S94" s="260" t="s">
        <v>660</v>
      </c>
      <c r="T94" s="260" t="s">
        <v>661</v>
      </c>
      <c r="U94" s="260" t="s">
        <v>662</v>
      </c>
      <c r="V94" s="260" t="s">
        <v>663</v>
      </c>
      <c r="W94" s="260" t="s">
        <v>664</v>
      </c>
    </row>
    <row r="95" spans="1:33" x14ac:dyDescent="0.3">
      <c r="A95" s="458">
        <f>A68</f>
        <v>0</v>
      </c>
      <c r="B95" s="95">
        <v>1</v>
      </c>
      <c r="C95" s="448" t="s">
        <v>842</v>
      </c>
      <c r="D95" s="347">
        <f t="shared" ref="D95:D111" si="45">W68</f>
        <v>0</v>
      </c>
      <c r="E95" s="687">
        <f t="shared" ref="E95:E111" si="46">IF((IFERROR(D95/((D40+E40)*90%),0))&lt;70%,MIN((MAX((D40+E40)*90%-D95,0)),(D40+E40/2)*$A95),MAX((E40+D40)*90%-D95,0)/E$113)</f>
        <v>0</v>
      </c>
      <c r="F95" s="350">
        <f t="shared" ref="F95:F111" si="47">IFERROR(IF(D95=0,0,D95/D40*F40),0)</f>
        <v>0</v>
      </c>
      <c r="G95" s="351"/>
      <c r="H95" s="347">
        <f>D95+E95-F95-G95</f>
        <v>0</v>
      </c>
      <c r="I95" s="444">
        <f>H95</f>
        <v>0</v>
      </c>
      <c r="J95" s="687">
        <f t="shared" ref="J95:J107" si="48">IF((IFERROR(I95/((I40+J40)*90%),0))&lt;70%,MIN((MAX((I40+J40)*90%-I95,0)),(I40+J40/2)*$A95),MAX((J40+I40)*90%-I95,0)/J$113)</f>
        <v>0</v>
      </c>
      <c r="K95" s="350">
        <f t="shared" ref="K95:K111" si="49">IFERROR(IF(I95=0,0,I95/I40*K40),0)</f>
        <v>0</v>
      </c>
      <c r="L95" s="470"/>
      <c r="M95" s="444">
        <f>I95+J95-K95-L95</f>
        <v>0</v>
      </c>
      <c r="N95" s="444">
        <f>M95</f>
        <v>0</v>
      </c>
      <c r="O95" s="687">
        <f t="shared" ref="O95:O107" si="50">IF((IFERROR(N95/((N40+O40)*90%),0))&lt;70%,MIN((MAX((N40+O40)*90%-N95,0)),(N40+O40/2)*$A95),MAX((O40+N40)*90%-N95,0)/O$113)</f>
        <v>0</v>
      </c>
      <c r="P95" s="350">
        <f t="shared" ref="P95:P111" si="51">IFERROR(IF(N95=0,0,N95/N40*P40),0)</f>
        <v>0</v>
      </c>
      <c r="Q95" s="470"/>
      <c r="R95" s="444">
        <f>N95+O95-P95-Q95</f>
        <v>0</v>
      </c>
      <c r="S95" s="444">
        <f>R95</f>
        <v>0</v>
      </c>
      <c r="T95" s="687">
        <f t="shared" ref="T95:T107" si="52">IF((IFERROR(S95/((S40+T40)*90%),0))&lt;70%,MIN((MAX((S40+T40)*90%-S95,0)),(S40+T40/2)*$A95),MAX((T40+S40)*90%-S95,0)/T$113)</f>
        <v>0</v>
      </c>
      <c r="U95" s="350">
        <f t="shared" ref="U95:U111" si="53">IFERROR(IF(S95=0,0,S95/S40*U40),0)</f>
        <v>0</v>
      </c>
      <c r="V95" s="470"/>
      <c r="W95" s="444">
        <f>S95+T95-U95-V95</f>
        <v>0</v>
      </c>
    </row>
    <row r="96" spans="1:33" x14ac:dyDescent="0.3">
      <c r="A96" s="458">
        <f t="shared" ref="A96:A111" si="54">A69</f>
        <v>3.3399999999999999E-2</v>
      </c>
      <c r="B96" s="95">
        <f>B95+1</f>
        <v>2</v>
      </c>
      <c r="C96" s="448" t="s">
        <v>843</v>
      </c>
      <c r="D96" s="347">
        <f t="shared" si="45"/>
        <v>371.79854943153015</v>
      </c>
      <c r="E96" s="687">
        <f t="shared" si="46"/>
        <v>16.966858172458647</v>
      </c>
      <c r="F96" s="350">
        <f t="shared" si="47"/>
        <v>0</v>
      </c>
      <c r="G96" s="351"/>
      <c r="H96" s="347">
        <f t="shared" ref="H96:H106" si="55">D96+E96-F96-G96</f>
        <v>388.76540760398882</v>
      </c>
      <c r="I96" s="444">
        <f t="shared" ref="I96:I111" si="56">H96</f>
        <v>388.76540760398882</v>
      </c>
      <c r="J96" s="687">
        <f t="shared" si="48"/>
        <v>16.96685817245864</v>
      </c>
      <c r="K96" s="350">
        <f t="shared" si="49"/>
        <v>0</v>
      </c>
      <c r="L96" s="470"/>
      <c r="M96" s="444">
        <f t="shared" ref="M96:M111" si="57">I96+J96-K96-L96</f>
        <v>405.73226577644743</v>
      </c>
      <c r="N96" s="444">
        <f t="shared" ref="N96:N111" si="58">M96</f>
        <v>405.73226577644743</v>
      </c>
      <c r="O96" s="687">
        <f t="shared" si="50"/>
        <v>16.966858172458647</v>
      </c>
      <c r="P96" s="350">
        <f t="shared" si="51"/>
        <v>0</v>
      </c>
      <c r="Q96" s="470"/>
      <c r="R96" s="444">
        <f t="shared" ref="R96:R111" si="59">N96+O96-P96-Q96</f>
        <v>422.69912394890611</v>
      </c>
      <c r="S96" s="444">
        <f t="shared" ref="S96:S111" si="60">R96</f>
        <v>422.69912394890611</v>
      </c>
      <c r="T96" s="687">
        <f t="shared" si="52"/>
        <v>16.966858172458629</v>
      </c>
      <c r="U96" s="350">
        <f t="shared" si="53"/>
        <v>0</v>
      </c>
      <c r="V96" s="470"/>
      <c r="W96" s="444">
        <f t="shared" ref="W96:W111" si="61">S96+T96-U96-V96</f>
        <v>439.66598212136472</v>
      </c>
    </row>
    <row r="97" spans="1:23" x14ac:dyDescent="0.3">
      <c r="A97" s="458">
        <f t="shared" si="54"/>
        <v>5.28E-2</v>
      </c>
      <c r="B97" s="95">
        <f t="shared" ref="B97:B111" si="62">B96+1</f>
        <v>3</v>
      </c>
      <c r="C97" s="448" t="s">
        <v>844</v>
      </c>
      <c r="D97" s="347">
        <f t="shared" si="45"/>
        <v>0</v>
      </c>
      <c r="E97" s="687">
        <f t="shared" si="46"/>
        <v>0</v>
      </c>
      <c r="F97" s="350">
        <f t="shared" si="47"/>
        <v>0</v>
      </c>
      <c r="G97" s="351"/>
      <c r="H97" s="347">
        <f t="shared" si="55"/>
        <v>0</v>
      </c>
      <c r="I97" s="444">
        <f t="shared" si="56"/>
        <v>0</v>
      </c>
      <c r="J97" s="687">
        <f t="shared" si="48"/>
        <v>0</v>
      </c>
      <c r="K97" s="350">
        <f t="shared" si="49"/>
        <v>0</v>
      </c>
      <c r="L97" s="470"/>
      <c r="M97" s="444">
        <f t="shared" si="57"/>
        <v>0</v>
      </c>
      <c r="N97" s="444">
        <f t="shared" si="58"/>
        <v>0</v>
      </c>
      <c r="O97" s="687">
        <f t="shared" si="50"/>
        <v>0</v>
      </c>
      <c r="P97" s="350">
        <f t="shared" si="51"/>
        <v>0</v>
      </c>
      <c r="Q97" s="470"/>
      <c r="R97" s="444">
        <f t="shared" si="59"/>
        <v>0</v>
      </c>
      <c r="S97" s="444">
        <f t="shared" si="60"/>
        <v>0</v>
      </c>
      <c r="T97" s="687">
        <f t="shared" si="52"/>
        <v>0</v>
      </c>
      <c r="U97" s="350">
        <f t="shared" si="53"/>
        <v>0</v>
      </c>
      <c r="V97" s="470"/>
      <c r="W97" s="444">
        <f t="shared" si="61"/>
        <v>0</v>
      </c>
    </row>
    <row r="98" spans="1:23" x14ac:dyDescent="0.3">
      <c r="A98" s="458">
        <f t="shared" si="54"/>
        <v>5.28E-2</v>
      </c>
      <c r="B98" s="95">
        <f t="shared" si="62"/>
        <v>4</v>
      </c>
      <c r="C98" s="448" t="s">
        <v>845</v>
      </c>
      <c r="D98" s="347">
        <f t="shared" si="45"/>
        <v>324.54940384572438</v>
      </c>
      <c r="E98" s="687">
        <f t="shared" si="46"/>
        <v>7.7252162708760137</v>
      </c>
      <c r="F98" s="350">
        <f t="shared" si="47"/>
        <v>0</v>
      </c>
      <c r="G98" s="351"/>
      <c r="H98" s="347">
        <f t="shared" si="55"/>
        <v>332.27462011660037</v>
      </c>
      <c r="I98" s="444">
        <f t="shared" si="56"/>
        <v>332.27462011660037</v>
      </c>
      <c r="J98" s="687">
        <f t="shared" si="48"/>
        <v>7.7252162708760208</v>
      </c>
      <c r="K98" s="350">
        <f t="shared" si="49"/>
        <v>0</v>
      </c>
      <c r="L98" s="470"/>
      <c r="M98" s="444">
        <f t="shared" si="57"/>
        <v>339.99983638747642</v>
      </c>
      <c r="N98" s="444">
        <f t="shared" si="58"/>
        <v>339.99983638747642</v>
      </c>
      <c r="O98" s="687">
        <f t="shared" si="50"/>
        <v>7.7252162708760093</v>
      </c>
      <c r="P98" s="350">
        <f t="shared" si="51"/>
        <v>0</v>
      </c>
      <c r="Q98" s="470"/>
      <c r="R98" s="444">
        <f t="shared" si="59"/>
        <v>347.72505265835241</v>
      </c>
      <c r="S98" s="444">
        <f t="shared" si="60"/>
        <v>347.72505265835241</v>
      </c>
      <c r="T98" s="687">
        <f t="shared" si="52"/>
        <v>7.7252162708760244</v>
      </c>
      <c r="U98" s="350">
        <f t="shared" si="53"/>
        <v>0</v>
      </c>
      <c r="V98" s="470"/>
      <c r="W98" s="444">
        <f t="shared" si="61"/>
        <v>355.45026892922846</v>
      </c>
    </row>
    <row r="99" spans="1:23" x14ac:dyDescent="0.3">
      <c r="A99" s="458">
        <f t="shared" si="54"/>
        <v>3.3399999999999999E-2</v>
      </c>
      <c r="B99" s="95">
        <f t="shared" si="62"/>
        <v>5</v>
      </c>
      <c r="C99" s="448" t="s">
        <v>846</v>
      </c>
      <c r="D99" s="347">
        <f t="shared" si="45"/>
        <v>218.77727923441441</v>
      </c>
      <c r="E99" s="687">
        <f t="shared" si="46"/>
        <v>9.0953991962926484</v>
      </c>
      <c r="F99" s="350">
        <f t="shared" si="47"/>
        <v>0</v>
      </c>
      <c r="G99" s="351"/>
      <c r="H99" s="347">
        <f t="shared" si="55"/>
        <v>227.87267843070705</v>
      </c>
      <c r="I99" s="444">
        <f t="shared" si="56"/>
        <v>227.87267843070705</v>
      </c>
      <c r="J99" s="687">
        <f t="shared" si="48"/>
        <v>9.0953991962926484</v>
      </c>
      <c r="K99" s="350">
        <f t="shared" si="49"/>
        <v>0</v>
      </c>
      <c r="L99" s="470"/>
      <c r="M99" s="444">
        <f t="shared" si="57"/>
        <v>236.9680776269997</v>
      </c>
      <c r="N99" s="444">
        <f t="shared" si="58"/>
        <v>236.9680776269997</v>
      </c>
      <c r="O99" s="687">
        <f t="shared" si="50"/>
        <v>9.0953991962926484</v>
      </c>
      <c r="P99" s="350">
        <f t="shared" si="51"/>
        <v>0</v>
      </c>
      <c r="Q99" s="470"/>
      <c r="R99" s="444">
        <f t="shared" si="59"/>
        <v>246.06347682329235</v>
      </c>
      <c r="S99" s="444">
        <f t="shared" si="60"/>
        <v>246.06347682329235</v>
      </c>
      <c r="T99" s="687">
        <f t="shared" si="52"/>
        <v>9.0953991962926501</v>
      </c>
      <c r="U99" s="350">
        <f t="shared" si="53"/>
        <v>0</v>
      </c>
      <c r="V99" s="470"/>
      <c r="W99" s="444">
        <f t="shared" si="61"/>
        <v>255.15887601958499</v>
      </c>
    </row>
    <row r="100" spans="1:23" x14ac:dyDescent="0.3">
      <c r="A100" s="458">
        <f t="shared" si="54"/>
        <v>5.28E-2</v>
      </c>
      <c r="B100" s="95">
        <f t="shared" si="62"/>
        <v>6</v>
      </c>
      <c r="C100" s="448" t="s">
        <v>256</v>
      </c>
      <c r="D100" s="347">
        <f t="shared" si="45"/>
        <v>2678.51498367151</v>
      </c>
      <c r="E100" s="687">
        <f t="shared" si="46"/>
        <v>168.26596759380988</v>
      </c>
      <c r="F100" s="350">
        <f t="shared" si="47"/>
        <v>0</v>
      </c>
      <c r="G100" s="351"/>
      <c r="H100" s="347">
        <f t="shared" si="55"/>
        <v>2846.7809512653198</v>
      </c>
      <c r="I100" s="444">
        <f t="shared" si="56"/>
        <v>2846.7809512653198</v>
      </c>
      <c r="J100" s="687">
        <f t="shared" si="48"/>
        <v>233.71272833307057</v>
      </c>
      <c r="K100" s="350">
        <f t="shared" si="49"/>
        <v>0</v>
      </c>
      <c r="L100" s="470"/>
      <c r="M100" s="444">
        <f t="shared" si="57"/>
        <v>3080.4936795983904</v>
      </c>
      <c r="N100" s="444">
        <f t="shared" si="58"/>
        <v>3080.4936795983904</v>
      </c>
      <c r="O100" s="687">
        <f t="shared" si="50"/>
        <v>233.71272833307054</v>
      </c>
      <c r="P100" s="350">
        <f t="shared" si="51"/>
        <v>0</v>
      </c>
      <c r="Q100" s="470"/>
      <c r="R100" s="444">
        <f t="shared" si="59"/>
        <v>3314.2064079314609</v>
      </c>
      <c r="S100" s="444">
        <f t="shared" si="60"/>
        <v>3314.2064079314609</v>
      </c>
      <c r="T100" s="687">
        <f t="shared" si="52"/>
        <v>233.71272833307054</v>
      </c>
      <c r="U100" s="350">
        <f t="shared" si="53"/>
        <v>0</v>
      </c>
      <c r="V100" s="470"/>
      <c r="W100" s="444">
        <f t="shared" si="61"/>
        <v>3547.9191362645315</v>
      </c>
    </row>
    <row r="101" spans="1:23" x14ac:dyDescent="0.3">
      <c r="A101" s="458">
        <f t="shared" si="54"/>
        <v>0.18</v>
      </c>
      <c r="B101" s="95">
        <f t="shared" si="62"/>
        <v>7</v>
      </c>
      <c r="C101" s="448" t="s">
        <v>847</v>
      </c>
      <c r="D101" s="347">
        <f t="shared" si="45"/>
        <v>0.03</v>
      </c>
      <c r="E101" s="687">
        <f t="shared" si="46"/>
        <v>0.06</v>
      </c>
      <c r="F101" s="350">
        <f t="shared" si="47"/>
        <v>0</v>
      </c>
      <c r="G101" s="351"/>
      <c r="H101" s="347">
        <f t="shared" si="55"/>
        <v>0.09</v>
      </c>
      <c r="I101" s="444">
        <f t="shared" si="56"/>
        <v>0.09</v>
      </c>
      <c r="J101" s="687">
        <f t="shared" si="48"/>
        <v>0.06</v>
      </c>
      <c r="K101" s="350">
        <f t="shared" si="49"/>
        <v>0</v>
      </c>
      <c r="L101" s="470"/>
      <c r="M101" s="444">
        <f t="shared" si="57"/>
        <v>0.15</v>
      </c>
      <c r="N101" s="444">
        <f t="shared" si="58"/>
        <v>0.15</v>
      </c>
      <c r="O101" s="687">
        <f t="shared" si="50"/>
        <v>0.06</v>
      </c>
      <c r="P101" s="350">
        <f t="shared" si="51"/>
        <v>0</v>
      </c>
      <c r="Q101" s="470"/>
      <c r="R101" s="444">
        <f t="shared" si="59"/>
        <v>0.21</v>
      </c>
      <c r="S101" s="444">
        <f t="shared" si="60"/>
        <v>0.21</v>
      </c>
      <c r="T101" s="687">
        <f t="shared" si="52"/>
        <v>6.9715619694397199E-2</v>
      </c>
      <c r="U101" s="350">
        <f t="shared" si="53"/>
        <v>0</v>
      </c>
      <c r="V101" s="470"/>
      <c r="W101" s="444">
        <f t="shared" si="61"/>
        <v>0.27971561969439718</v>
      </c>
    </row>
    <row r="102" spans="1:23" x14ac:dyDescent="0.3">
      <c r="A102" s="458">
        <f t="shared" si="54"/>
        <v>5.28E-2</v>
      </c>
      <c r="B102" s="95">
        <f t="shared" si="62"/>
        <v>8</v>
      </c>
      <c r="C102" s="448" t="s">
        <v>848</v>
      </c>
      <c r="D102" s="347">
        <f t="shared" si="45"/>
        <v>0</v>
      </c>
      <c r="E102" s="687">
        <f t="shared" si="46"/>
        <v>0</v>
      </c>
      <c r="F102" s="350">
        <f t="shared" si="47"/>
        <v>0</v>
      </c>
      <c r="G102" s="351"/>
      <c r="H102" s="347">
        <f t="shared" si="55"/>
        <v>0</v>
      </c>
      <c r="I102" s="444">
        <f t="shared" si="56"/>
        <v>0</v>
      </c>
      <c r="J102" s="687">
        <f t="shared" si="48"/>
        <v>0</v>
      </c>
      <c r="K102" s="350">
        <f t="shared" si="49"/>
        <v>0</v>
      </c>
      <c r="L102" s="470"/>
      <c r="M102" s="444">
        <f t="shared" si="57"/>
        <v>0</v>
      </c>
      <c r="N102" s="444">
        <f t="shared" si="58"/>
        <v>0</v>
      </c>
      <c r="O102" s="687">
        <f t="shared" si="50"/>
        <v>0</v>
      </c>
      <c r="P102" s="350">
        <f t="shared" si="51"/>
        <v>0</v>
      </c>
      <c r="Q102" s="470"/>
      <c r="R102" s="444">
        <f t="shared" si="59"/>
        <v>0</v>
      </c>
      <c r="S102" s="444">
        <f t="shared" si="60"/>
        <v>0</v>
      </c>
      <c r="T102" s="687">
        <f t="shared" si="52"/>
        <v>0</v>
      </c>
      <c r="U102" s="350">
        <f t="shared" si="53"/>
        <v>0</v>
      </c>
      <c r="V102" s="470"/>
      <c r="W102" s="444">
        <f t="shared" si="61"/>
        <v>0</v>
      </c>
    </row>
    <row r="103" spans="1:23" x14ac:dyDescent="0.3">
      <c r="A103" s="458">
        <f t="shared" si="54"/>
        <v>5.28E-2</v>
      </c>
      <c r="B103" s="95">
        <f t="shared" si="62"/>
        <v>9</v>
      </c>
      <c r="C103" s="448" t="s">
        <v>849</v>
      </c>
      <c r="D103" s="347">
        <f t="shared" si="45"/>
        <v>106.24083795702948</v>
      </c>
      <c r="E103" s="687">
        <f t="shared" si="46"/>
        <v>0.62396679868250093</v>
      </c>
      <c r="F103" s="350">
        <f t="shared" si="47"/>
        <v>0</v>
      </c>
      <c r="G103" s="351"/>
      <c r="H103" s="347">
        <f t="shared" si="55"/>
        <v>106.86480475571199</v>
      </c>
      <c r="I103" s="444">
        <f t="shared" si="56"/>
        <v>106.86480475571199</v>
      </c>
      <c r="J103" s="687">
        <f t="shared" si="48"/>
        <v>0.62396679868250038</v>
      </c>
      <c r="K103" s="350">
        <f t="shared" si="49"/>
        <v>0</v>
      </c>
      <c r="L103" s="470"/>
      <c r="M103" s="444">
        <f t="shared" si="57"/>
        <v>107.48877155439449</v>
      </c>
      <c r="N103" s="444">
        <f t="shared" si="58"/>
        <v>107.48877155439449</v>
      </c>
      <c r="O103" s="687">
        <f t="shared" si="50"/>
        <v>0.62396679868249949</v>
      </c>
      <c r="P103" s="350">
        <f t="shared" si="51"/>
        <v>0</v>
      </c>
      <c r="Q103" s="470"/>
      <c r="R103" s="444">
        <f t="shared" si="59"/>
        <v>108.11273835307699</v>
      </c>
      <c r="S103" s="444">
        <f t="shared" si="60"/>
        <v>108.11273835307699</v>
      </c>
      <c r="T103" s="687">
        <f t="shared" si="52"/>
        <v>0.62396679868249705</v>
      </c>
      <c r="U103" s="350">
        <f t="shared" si="53"/>
        <v>0</v>
      </c>
      <c r="V103" s="470"/>
      <c r="W103" s="444">
        <f t="shared" si="61"/>
        <v>108.73670515175949</v>
      </c>
    </row>
    <row r="104" spans="1:23" x14ac:dyDescent="0.3">
      <c r="A104" s="458">
        <f t="shared" si="54"/>
        <v>9.5000000000000001E-2</v>
      </c>
      <c r="B104" s="95">
        <f t="shared" si="62"/>
        <v>10</v>
      </c>
      <c r="C104" s="448" t="s">
        <v>259</v>
      </c>
      <c r="D104" s="347">
        <f t="shared" si="45"/>
        <v>3.0940645824180231</v>
      </c>
      <c r="E104" s="687">
        <f t="shared" si="46"/>
        <v>1.0393146147445815</v>
      </c>
      <c r="F104" s="350">
        <f t="shared" si="47"/>
        <v>0</v>
      </c>
      <c r="G104" s="351"/>
      <c r="H104" s="347">
        <f t="shared" si="55"/>
        <v>4.1333791971626042</v>
      </c>
      <c r="I104" s="444">
        <f t="shared" si="56"/>
        <v>4.1333791971626042</v>
      </c>
      <c r="J104" s="687">
        <f t="shared" si="48"/>
        <v>1.0393146147445815</v>
      </c>
      <c r="K104" s="350">
        <f t="shared" si="49"/>
        <v>0</v>
      </c>
      <c r="L104" s="470"/>
      <c r="M104" s="444">
        <f t="shared" si="57"/>
        <v>5.1726938119071857</v>
      </c>
      <c r="N104" s="444">
        <f t="shared" si="58"/>
        <v>5.1726938119071857</v>
      </c>
      <c r="O104" s="687">
        <f t="shared" si="50"/>
        <v>1.0393146147445815</v>
      </c>
      <c r="P104" s="350">
        <f t="shared" si="51"/>
        <v>0</v>
      </c>
      <c r="Q104" s="470"/>
      <c r="R104" s="444">
        <f t="shared" si="59"/>
        <v>6.2120084266517672</v>
      </c>
      <c r="S104" s="444">
        <f t="shared" si="60"/>
        <v>6.2120084266517672</v>
      </c>
      <c r="T104" s="687">
        <f t="shared" si="52"/>
        <v>1.0393146147445815</v>
      </c>
      <c r="U104" s="350">
        <f t="shared" si="53"/>
        <v>0</v>
      </c>
      <c r="V104" s="470"/>
      <c r="W104" s="444">
        <f t="shared" si="61"/>
        <v>7.2513230413963488</v>
      </c>
    </row>
    <row r="105" spans="1:23" x14ac:dyDescent="0.3">
      <c r="A105" s="458">
        <f t="shared" si="54"/>
        <v>6.3299999999999995E-2</v>
      </c>
      <c r="B105" s="95">
        <f t="shared" si="62"/>
        <v>11</v>
      </c>
      <c r="C105" s="448" t="s">
        <v>260</v>
      </c>
      <c r="D105" s="347">
        <f t="shared" si="45"/>
        <v>2.6193476934840976</v>
      </c>
      <c r="E105" s="687">
        <f t="shared" si="46"/>
        <v>0.17218669501799624</v>
      </c>
      <c r="F105" s="350">
        <f t="shared" si="47"/>
        <v>0</v>
      </c>
      <c r="G105" s="351"/>
      <c r="H105" s="347">
        <f t="shared" si="55"/>
        <v>2.791534388502094</v>
      </c>
      <c r="I105" s="444">
        <f t="shared" si="56"/>
        <v>2.791534388502094</v>
      </c>
      <c r="J105" s="687">
        <f t="shared" si="48"/>
        <v>0.17218669501799619</v>
      </c>
      <c r="K105" s="350">
        <f t="shared" si="49"/>
        <v>0</v>
      </c>
      <c r="L105" s="470"/>
      <c r="M105" s="444">
        <f t="shared" si="57"/>
        <v>2.96372108352009</v>
      </c>
      <c r="N105" s="444">
        <f t="shared" si="58"/>
        <v>2.96372108352009</v>
      </c>
      <c r="O105" s="687">
        <f t="shared" si="50"/>
        <v>0.17218669501799624</v>
      </c>
      <c r="P105" s="350">
        <f t="shared" si="51"/>
        <v>0</v>
      </c>
      <c r="Q105" s="470"/>
      <c r="R105" s="444">
        <f t="shared" si="59"/>
        <v>3.1359077785380864</v>
      </c>
      <c r="S105" s="444">
        <f t="shared" si="60"/>
        <v>3.1359077785380864</v>
      </c>
      <c r="T105" s="687">
        <f t="shared" si="52"/>
        <v>0.17218669501799611</v>
      </c>
      <c r="U105" s="350">
        <f t="shared" si="53"/>
        <v>0</v>
      </c>
      <c r="V105" s="470"/>
      <c r="W105" s="444">
        <f t="shared" si="61"/>
        <v>3.3080944735560824</v>
      </c>
    </row>
    <row r="106" spans="1:23" x14ac:dyDescent="0.3">
      <c r="A106" s="458">
        <f t="shared" si="54"/>
        <v>6.3299999999999995E-2</v>
      </c>
      <c r="B106" s="95">
        <f t="shared" si="62"/>
        <v>12</v>
      </c>
      <c r="C106" s="448" t="s">
        <v>261</v>
      </c>
      <c r="D106" s="347">
        <f t="shared" si="45"/>
        <v>5.0242746591236225</v>
      </c>
      <c r="E106" s="687">
        <f t="shared" si="46"/>
        <v>0.50951855935207468</v>
      </c>
      <c r="F106" s="350">
        <f t="shared" si="47"/>
        <v>0</v>
      </c>
      <c r="G106" s="351"/>
      <c r="H106" s="347">
        <f t="shared" si="55"/>
        <v>5.5337932184756973</v>
      </c>
      <c r="I106" s="444">
        <f t="shared" si="56"/>
        <v>5.5337932184756973</v>
      </c>
      <c r="J106" s="687">
        <f t="shared" si="48"/>
        <v>0.51977145196673757</v>
      </c>
      <c r="K106" s="350">
        <f t="shared" si="49"/>
        <v>0</v>
      </c>
      <c r="L106" s="470"/>
      <c r="M106" s="444">
        <f t="shared" si="57"/>
        <v>6.0535646704424346</v>
      </c>
      <c r="N106" s="444">
        <f t="shared" si="58"/>
        <v>6.0535646704424346</v>
      </c>
      <c r="O106" s="687">
        <f t="shared" si="50"/>
        <v>0.51977145196673769</v>
      </c>
      <c r="P106" s="350">
        <f t="shared" si="51"/>
        <v>0</v>
      </c>
      <c r="Q106" s="470"/>
      <c r="R106" s="444">
        <f t="shared" si="59"/>
        <v>6.573336122409172</v>
      </c>
      <c r="S106" s="444">
        <f t="shared" si="60"/>
        <v>6.573336122409172</v>
      </c>
      <c r="T106" s="687">
        <f t="shared" si="52"/>
        <v>0.51977145196673802</v>
      </c>
      <c r="U106" s="350">
        <f t="shared" si="53"/>
        <v>0</v>
      </c>
      <c r="V106" s="470"/>
      <c r="W106" s="444">
        <f t="shared" si="61"/>
        <v>7.0931075743759102</v>
      </c>
    </row>
    <row r="107" spans="1:23" x14ac:dyDescent="0.3">
      <c r="A107" s="458">
        <f t="shared" si="54"/>
        <v>6.3299999999999995E-2</v>
      </c>
      <c r="B107" s="95">
        <f t="shared" si="62"/>
        <v>13</v>
      </c>
      <c r="C107" s="469" t="s">
        <v>897</v>
      </c>
      <c r="D107" s="347">
        <f t="shared" si="45"/>
        <v>0</v>
      </c>
      <c r="E107" s="687">
        <f t="shared" si="46"/>
        <v>0</v>
      </c>
      <c r="F107" s="350">
        <f t="shared" si="47"/>
        <v>0</v>
      </c>
      <c r="G107" s="351"/>
      <c r="H107" s="347">
        <f t="shared" ref="H107:H111" si="63">D107+E107-F107-G107</f>
        <v>0</v>
      </c>
      <c r="I107" s="444">
        <f t="shared" si="56"/>
        <v>0</v>
      </c>
      <c r="J107" s="687">
        <f t="shared" si="48"/>
        <v>0</v>
      </c>
      <c r="K107" s="350">
        <f t="shared" si="49"/>
        <v>0</v>
      </c>
      <c r="L107" s="470"/>
      <c r="M107" s="444">
        <f t="shared" si="57"/>
        <v>0</v>
      </c>
      <c r="N107" s="444">
        <f t="shared" si="58"/>
        <v>0</v>
      </c>
      <c r="O107" s="687">
        <f t="shared" si="50"/>
        <v>0</v>
      </c>
      <c r="P107" s="350">
        <f t="shared" si="51"/>
        <v>0</v>
      </c>
      <c r="Q107" s="470"/>
      <c r="R107" s="444">
        <f t="shared" si="59"/>
        <v>0</v>
      </c>
      <c r="S107" s="444">
        <f t="shared" si="60"/>
        <v>0</v>
      </c>
      <c r="T107" s="687">
        <f t="shared" si="52"/>
        <v>0</v>
      </c>
      <c r="U107" s="350">
        <f t="shared" si="53"/>
        <v>0</v>
      </c>
      <c r="V107" s="470"/>
      <c r="W107" s="444">
        <f t="shared" si="61"/>
        <v>0</v>
      </c>
    </row>
    <row r="108" spans="1:23" x14ac:dyDescent="0.3">
      <c r="A108" s="458">
        <f t="shared" si="54"/>
        <v>0.15</v>
      </c>
      <c r="B108" s="95">
        <f t="shared" si="62"/>
        <v>14</v>
      </c>
      <c r="C108" s="469" t="s">
        <v>898</v>
      </c>
      <c r="D108" s="347">
        <f t="shared" si="45"/>
        <v>0</v>
      </c>
      <c r="E108" s="687">
        <f>IF((IFERROR(D108/((D53+E53)*100%),0))&lt;70%,MIN((MAX((D53+E53)*100%-D108,0)),(D53+E53/2)*$A108),MAX((E53+D53)*100%-D108,0)/E$113)</f>
        <v>0</v>
      </c>
      <c r="F108" s="350">
        <f t="shared" si="47"/>
        <v>0</v>
      </c>
      <c r="G108" s="351"/>
      <c r="H108" s="347">
        <f t="shared" si="63"/>
        <v>0</v>
      </c>
      <c r="I108" s="444">
        <f t="shared" si="56"/>
        <v>0</v>
      </c>
      <c r="J108" s="687">
        <f>IF((IFERROR(I108/((I53+J53)*100%),0))&lt;70%,MIN((MAX((I53+J53)*100%-I108,0)),(I53+J53/2)*$A108),MAX((J53+I53)*100%-I108,0)/J$113)</f>
        <v>0</v>
      </c>
      <c r="K108" s="350">
        <f t="shared" si="49"/>
        <v>0</v>
      </c>
      <c r="L108" s="470"/>
      <c r="M108" s="444">
        <f t="shared" si="57"/>
        <v>0</v>
      </c>
      <c r="N108" s="444">
        <f t="shared" si="58"/>
        <v>0</v>
      </c>
      <c r="O108" s="687">
        <f>IF((IFERROR(N108/((N53+O53)*100%),0))&lt;70%,MIN((MAX((N53+O53)*100%-N108,0)),(N53+O53/2)*$A108),MAX((O53+N53)*100%-N108,0)/O$113)</f>
        <v>0</v>
      </c>
      <c r="P108" s="350">
        <f t="shared" si="51"/>
        <v>0</v>
      </c>
      <c r="Q108" s="470"/>
      <c r="R108" s="444">
        <f t="shared" si="59"/>
        <v>0</v>
      </c>
      <c r="S108" s="444">
        <f t="shared" si="60"/>
        <v>0</v>
      </c>
      <c r="T108" s="687">
        <f>IF((IFERROR(S108/((S53+T53)*100%),0))&lt;70%,MIN((MAX((S53+T53)*100%-S108,0)),(S53+T53/2)*$A108),MAX((T53+S53)*100%-S108,0)/T$113)</f>
        <v>0</v>
      </c>
      <c r="U108" s="350">
        <f t="shared" si="53"/>
        <v>0</v>
      </c>
      <c r="V108" s="470"/>
      <c r="W108" s="444">
        <f t="shared" si="61"/>
        <v>0</v>
      </c>
    </row>
    <row r="109" spans="1:23" x14ac:dyDescent="0.3">
      <c r="A109" s="458">
        <f t="shared" si="54"/>
        <v>0.3</v>
      </c>
      <c r="B109" s="95">
        <f t="shared" si="62"/>
        <v>15</v>
      </c>
      <c r="C109" s="469" t="s">
        <v>899</v>
      </c>
      <c r="D109" s="347">
        <f t="shared" si="45"/>
        <v>0</v>
      </c>
      <c r="E109" s="687">
        <f>IF((IFERROR(D109/((D54+E54)*100%),0))&lt;70%,MIN((MAX((D54+E54)*100%-D109,0)),(D54+E54/2)*$A109),MAX((E54+D54)*100%-D109,0)/E$113)</f>
        <v>0</v>
      </c>
      <c r="F109" s="350">
        <f t="shared" si="47"/>
        <v>0</v>
      </c>
      <c r="G109" s="351"/>
      <c r="H109" s="347">
        <f t="shared" si="63"/>
        <v>0</v>
      </c>
      <c r="I109" s="444">
        <f t="shared" si="56"/>
        <v>0</v>
      </c>
      <c r="J109" s="687">
        <f>IF((IFERROR(I109/((I54+J54)*100%),0))&lt;70%,MIN((MAX((I54+J54)*100%-I109,0)),(I54+J54/2)*$A109),MAX((J54+I54)*100%-I109,0)/J$113)</f>
        <v>0</v>
      </c>
      <c r="K109" s="350">
        <f t="shared" si="49"/>
        <v>0</v>
      </c>
      <c r="L109" s="470"/>
      <c r="M109" s="444">
        <f t="shared" si="57"/>
        <v>0</v>
      </c>
      <c r="N109" s="444">
        <f t="shared" si="58"/>
        <v>0</v>
      </c>
      <c r="O109" s="687">
        <f>IF((IFERROR(N109/((N54+O54)*100%),0))&lt;70%,MIN((MAX((N54+O54)*100%-N109,0)),(N54+O54/2)*$A109),MAX((O54+N54)*100%-N109,0)/O$113)</f>
        <v>0</v>
      </c>
      <c r="P109" s="350">
        <f t="shared" si="51"/>
        <v>0</v>
      </c>
      <c r="Q109" s="470"/>
      <c r="R109" s="444">
        <f t="shared" si="59"/>
        <v>0</v>
      </c>
      <c r="S109" s="444">
        <f t="shared" si="60"/>
        <v>0</v>
      </c>
      <c r="T109" s="687">
        <f>IF((IFERROR(S109/((S54+T54)*100%),0))&lt;70%,MIN((MAX((S54+T54)*100%-S109,0)),(S54+T54/2)*$A109),MAX((T54+S54)*100%-S109,0)/T$113)</f>
        <v>0</v>
      </c>
      <c r="U109" s="350">
        <f t="shared" si="53"/>
        <v>0</v>
      </c>
      <c r="V109" s="470"/>
      <c r="W109" s="444">
        <f t="shared" si="61"/>
        <v>0</v>
      </c>
    </row>
    <row r="110" spans="1:23" x14ac:dyDescent="0.3">
      <c r="A110" s="458">
        <f t="shared" si="54"/>
        <v>0.3</v>
      </c>
      <c r="B110" s="95">
        <f t="shared" si="62"/>
        <v>16</v>
      </c>
      <c r="C110" s="469" t="s">
        <v>850</v>
      </c>
      <c r="D110" s="347">
        <f t="shared" si="45"/>
        <v>0</v>
      </c>
      <c r="E110" s="687">
        <f>IF((IFERROR(D110/((D55+E55)*100%),0))&lt;70%,MIN((MAX((D55+E55)*100%-D110,0)),(D55+E55/2)*$A110),MAX((E55+D55)*100%-D110,0)/E$113)</f>
        <v>0</v>
      </c>
      <c r="F110" s="350">
        <f t="shared" si="47"/>
        <v>0</v>
      </c>
      <c r="G110" s="351"/>
      <c r="H110" s="347">
        <f t="shared" si="63"/>
        <v>0</v>
      </c>
      <c r="I110" s="444">
        <f t="shared" si="56"/>
        <v>0</v>
      </c>
      <c r="J110" s="687">
        <f t="shared" ref="J110:J111" si="64">IF((IFERROR(I110/((I55+J55)*90%),0))&lt;70%,MIN((MAX((I55+J55)*90%-I110,0)),(I55+J55/2)*$A110),MAX((J55+I55)*90%-I110,0)/J$113)</f>
        <v>0</v>
      </c>
      <c r="K110" s="350">
        <f t="shared" si="49"/>
        <v>0</v>
      </c>
      <c r="L110" s="470"/>
      <c r="M110" s="444">
        <f t="shared" si="57"/>
        <v>0</v>
      </c>
      <c r="N110" s="444">
        <f t="shared" si="58"/>
        <v>0</v>
      </c>
      <c r="O110" s="687">
        <f t="shared" ref="O110:O111" si="65">IF((IFERROR(N110/((N55+O55)*90%),0))&lt;70%,MIN((MAX((N55+O55)*90%-N110,0)),(N55+O55/2)*$A110),MAX((O55+N55)*90%-N110,0)/O$113)</f>
        <v>0</v>
      </c>
      <c r="P110" s="350">
        <f t="shared" si="51"/>
        <v>0</v>
      </c>
      <c r="Q110" s="470"/>
      <c r="R110" s="444">
        <f t="shared" si="59"/>
        <v>0</v>
      </c>
      <c r="S110" s="444">
        <f t="shared" si="60"/>
        <v>0</v>
      </c>
      <c r="T110" s="687">
        <f t="shared" ref="T110:T111" si="66">IF((IFERROR(S110/((S55+T55)*90%),0))&lt;70%,MIN((MAX((S55+T55)*90%-S110,0)),(S55+T55/2)*$A110),MAX((T55+S55)*90%-S110,0)/T$113)</f>
        <v>0</v>
      </c>
      <c r="U110" s="350">
        <f t="shared" si="53"/>
        <v>0</v>
      </c>
      <c r="V110" s="470"/>
      <c r="W110" s="444">
        <f t="shared" si="61"/>
        <v>0</v>
      </c>
    </row>
    <row r="111" spans="1:23" x14ac:dyDescent="0.3">
      <c r="A111" s="458">
        <f t="shared" si="54"/>
        <v>3.3399999999999999E-2</v>
      </c>
      <c r="B111" s="95">
        <f t="shared" si="62"/>
        <v>17</v>
      </c>
      <c r="C111" s="469" t="s">
        <v>900</v>
      </c>
      <c r="D111" s="347">
        <f t="shared" si="45"/>
        <v>0</v>
      </c>
      <c r="E111" s="687">
        <f t="shared" si="46"/>
        <v>0</v>
      </c>
      <c r="F111" s="350">
        <f t="shared" si="47"/>
        <v>0</v>
      </c>
      <c r="G111" s="351"/>
      <c r="H111" s="347">
        <f t="shared" si="63"/>
        <v>0</v>
      </c>
      <c r="I111" s="444">
        <f t="shared" si="56"/>
        <v>0</v>
      </c>
      <c r="J111" s="687">
        <f t="shared" si="64"/>
        <v>0</v>
      </c>
      <c r="K111" s="350">
        <f t="shared" si="49"/>
        <v>0</v>
      </c>
      <c r="L111" s="470"/>
      <c r="M111" s="444">
        <f t="shared" si="57"/>
        <v>0</v>
      </c>
      <c r="N111" s="444">
        <f t="shared" si="58"/>
        <v>0</v>
      </c>
      <c r="O111" s="687">
        <f t="shared" si="65"/>
        <v>0</v>
      </c>
      <c r="P111" s="350">
        <f t="shared" si="51"/>
        <v>0</v>
      </c>
      <c r="Q111" s="470"/>
      <c r="R111" s="444">
        <f t="shared" si="59"/>
        <v>0</v>
      </c>
      <c r="S111" s="444">
        <f t="shared" si="60"/>
        <v>0</v>
      </c>
      <c r="T111" s="687">
        <f t="shared" si="66"/>
        <v>0</v>
      </c>
      <c r="U111" s="350">
        <f t="shared" si="53"/>
        <v>0</v>
      </c>
      <c r="V111" s="470"/>
      <c r="W111" s="444">
        <f t="shared" si="61"/>
        <v>0</v>
      </c>
    </row>
    <row r="112" spans="1:23" ht="16" x14ac:dyDescent="0.3">
      <c r="B112" s="83"/>
      <c r="C112" s="97" t="s">
        <v>271</v>
      </c>
      <c r="D112" s="349">
        <f t="shared" ref="D112:W112" si="67">SUM(D95:D111)</f>
        <v>3710.6487410752338</v>
      </c>
      <c r="E112" s="349">
        <f t="shared" si="67"/>
        <v>204.4584279012343</v>
      </c>
      <c r="F112" s="349">
        <f t="shared" si="67"/>
        <v>0</v>
      </c>
      <c r="G112" s="349">
        <f t="shared" si="67"/>
        <v>0</v>
      </c>
      <c r="H112" s="349">
        <f t="shared" si="67"/>
        <v>3915.1071689764685</v>
      </c>
      <c r="I112" s="349">
        <f t="shared" si="67"/>
        <v>3915.1071689764685</v>
      </c>
      <c r="J112" s="349">
        <f t="shared" si="67"/>
        <v>269.91544153310969</v>
      </c>
      <c r="K112" s="349">
        <f t="shared" si="67"/>
        <v>0</v>
      </c>
      <c r="L112" s="349">
        <f t="shared" si="67"/>
        <v>0</v>
      </c>
      <c r="M112" s="349">
        <f t="shared" si="67"/>
        <v>4185.0226105095771</v>
      </c>
      <c r="N112" s="349">
        <f t="shared" si="67"/>
        <v>4185.0226105095771</v>
      </c>
      <c r="O112" s="349">
        <f t="shared" si="67"/>
        <v>269.91544153310963</v>
      </c>
      <c r="P112" s="349">
        <f t="shared" si="67"/>
        <v>0</v>
      </c>
      <c r="Q112" s="349">
        <f t="shared" si="67"/>
        <v>0</v>
      </c>
      <c r="R112" s="349">
        <f t="shared" si="67"/>
        <v>4454.9380520426876</v>
      </c>
      <c r="S112" s="349">
        <f t="shared" si="67"/>
        <v>4454.9380520426876</v>
      </c>
      <c r="T112" s="349">
        <f t="shared" si="67"/>
        <v>269.92515715280405</v>
      </c>
      <c r="U112" s="349">
        <f t="shared" si="67"/>
        <v>0</v>
      </c>
      <c r="V112" s="349">
        <f t="shared" si="67"/>
        <v>0</v>
      </c>
      <c r="W112" s="349">
        <f t="shared" si="67"/>
        <v>4724.8632091954914</v>
      </c>
    </row>
    <row r="113" spans="2:23" ht="16.5" x14ac:dyDescent="0.3">
      <c r="B113" s="262"/>
      <c r="C113" s="264"/>
      <c r="D113" s="483"/>
      <c r="E113" s="1126">
        <v>4.2909589041095906</v>
      </c>
      <c r="F113" s="1127"/>
      <c r="G113" s="1127"/>
      <c r="H113" s="1127"/>
      <c r="I113" s="1128"/>
      <c r="J113" s="1128">
        <v>3.2909589041095906</v>
      </c>
      <c r="K113" s="1128"/>
      <c r="L113" s="1128"/>
      <c r="M113" s="1128"/>
      <c r="N113" s="1128"/>
      <c r="O113" s="1128">
        <v>2.2909589041095906</v>
      </c>
      <c r="P113" s="1128"/>
      <c r="Q113" s="1128"/>
      <c r="R113" s="1128"/>
      <c r="S113" s="1128"/>
      <c r="T113" s="1128">
        <v>1.2909589041095906</v>
      </c>
    </row>
    <row r="114" spans="2:23" x14ac:dyDescent="0.3">
      <c r="B114" s="1"/>
      <c r="C114" s="1"/>
      <c r="D114" s="1"/>
      <c r="E114" s="1"/>
      <c r="F114" s="1"/>
      <c r="G114" s="1"/>
      <c r="H114" s="1"/>
      <c r="I114" s="1"/>
      <c r="J114" s="1"/>
      <c r="K114" s="1"/>
      <c r="L114" s="1"/>
      <c r="M114" s="1"/>
      <c r="N114" s="1"/>
      <c r="O114" s="1"/>
      <c r="P114" s="1"/>
      <c r="Q114" s="1"/>
      <c r="R114" s="1"/>
    </row>
    <row r="115" spans="2:23" x14ac:dyDescent="0.3">
      <c r="B115" s="366" t="s">
        <v>341</v>
      </c>
      <c r="C115" s="1"/>
      <c r="D115" s="1"/>
      <c r="E115" s="1"/>
      <c r="F115" s="1"/>
      <c r="G115" s="1"/>
      <c r="H115" s="1"/>
      <c r="I115" s="1"/>
      <c r="J115" s="1"/>
      <c r="K115" s="1"/>
      <c r="L115" s="1"/>
      <c r="M115" s="1"/>
      <c r="N115" s="1"/>
      <c r="O115" s="1"/>
      <c r="P115" s="1"/>
      <c r="Q115" s="1"/>
      <c r="R115" s="1"/>
    </row>
    <row r="116" spans="2:23" x14ac:dyDescent="0.3">
      <c r="B116" s="366"/>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59" t="s">
        <v>10</v>
      </c>
      <c r="O117" s="1"/>
      <c r="P117" s="1"/>
      <c r="Q117" s="1"/>
    </row>
    <row r="118" spans="2:23" ht="15" customHeight="1" x14ac:dyDescent="0.3">
      <c r="B118" s="1699" t="s">
        <v>340</v>
      </c>
      <c r="C118" s="1699" t="s">
        <v>37</v>
      </c>
      <c r="D118" s="1847" t="s">
        <v>506</v>
      </c>
      <c r="E118" s="1848"/>
      <c r="F118" s="1848"/>
      <c r="G118" s="1848"/>
      <c r="H118" s="1849"/>
      <c r="I118" s="1841" t="s">
        <v>507</v>
      </c>
      <c r="J118" s="1841"/>
      <c r="K118" s="1841"/>
      <c r="L118" s="1841"/>
      <c r="M118" s="1841"/>
      <c r="N118" s="1838" t="s">
        <v>508</v>
      </c>
      <c r="O118" s="1838"/>
      <c r="P118" s="1838"/>
      <c r="Q118" s="1838"/>
      <c r="R118" s="1838"/>
      <c r="S118" s="1838" t="s">
        <v>969</v>
      </c>
      <c r="T118" s="1838"/>
      <c r="U118" s="1838"/>
      <c r="V118" s="1838"/>
      <c r="W118" s="1838"/>
    </row>
    <row r="119" spans="2:23" x14ac:dyDescent="0.3">
      <c r="B119" s="1699"/>
      <c r="C119" s="1699"/>
      <c r="D119" s="1839" t="s">
        <v>7</v>
      </c>
      <c r="E119" s="1840"/>
      <c r="F119" s="1840"/>
      <c r="G119" s="1840"/>
      <c r="H119" s="1840"/>
      <c r="I119" s="1839" t="s">
        <v>7</v>
      </c>
      <c r="J119" s="1840"/>
      <c r="K119" s="1840"/>
      <c r="L119" s="1840"/>
      <c r="M119" s="1840"/>
      <c r="N119" s="1841" t="s">
        <v>12</v>
      </c>
      <c r="O119" s="1842"/>
      <c r="P119" s="1842"/>
      <c r="Q119" s="1842"/>
      <c r="R119" s="1842"/>
      <c r="S119" s="1841" t="s">
        <v>21</v>
      </c>
      <c r="T119" s="1842"/>
      <c r="U119" s="1842"/>
      <c r="V119" s="1842"/>
      <c r="W119" s="1842"/>
    </row>
    <row r="120" spans="2:23" ht="42" x14ac:dyDescent="0.3">
      <c r="B120" s="1699"/>
      <c r="C120" s="1699"/>
      <c r="D120" s="367" t="s">
        <v>267</v>
      </c>
      <c r="E120" s="367" t="s">
        <v>268</v>
      </c>
      <c r="F120" s="263" t="s">
        <v>274</v>
      </c>
      <c r="G120" s="365" t="s">
        <v>587</v>
      </c>
      <c r="H120" s="367" t="s">
        <v>270</v>
      </c>
      <c r="I120" s="695" t="s">
        <v>267</v>
      </c>
      <c r="J120" s="695" t="s">
        <v>268</v>
      </c>
      <c r="K120" s="263" t="s">
        <v>274</v>
      </c>
      <c r="L120" s="690" t="s">
        <v>587</v>
      </c>
      <c r="M120" s="695" t="s">
        <v>270</v>
      </c>
      <c r="N120" s="367" t="s">
        <v>267</v>
      </c>
      <c r="O120" s="367" t="s">
        <v>268</v>
      </c>
      <c r="P120" s="263" t="s">
        <v>274</v>
      </c>
      <c r="Q120" s="365" t="s">
        <v>587</v>
      </c>
      <c r="R120" s="367" t="s">
        <v>270</v>
      </c>
      <c r="S120" s="367" t="s">
        <v>267</v>
      </c>
      <c r="T120" s="367" t="s">
        <v>268</v>
      </c>
      <c r="U120" s="263" t="s">
        <v>274</v>
      </c>
      <c r="V120" s="365" t="s">
        <v>587</v>
      </c>
      <c r="W120" s="367" t="s">
        <v>270</v>
      </c>
    </row>
    <row r="121" spans="2:23" ht="28" x14ac:dyDescent="0.3">
      <c r="B121" s="260"/>
      <c r="C121" s="260"/>
      <c r="D121" s="260" t="s">
        <v>81</v>
      </c>
      <c r="E121" s="260" t="s">
        <v>82</v>
      </c>
      <c r="F121" s="260" t="s">
        <v>459</v>
      </c>
      <c r="G121" s="260" t="s">
        <v>391</v>
      </c>
      <c r="H121" s="260" t="s">
        <v>588</v>
      </c>
      <c r="I121" s="260" t="s">
        <v>409</v>
      </c>
      <c r="J121" s="260" t="s">
        <v>509</v>
      </c>
      <c r="K121" s="260" t="s">
        <v>410</v>
      </c>
      <c r="L121" s="260" t="s">
        <v>411</v>
      </c>
      <c r="M121" s="260" t="s">
        <v>651</v>
      </c>
      <c r="N121" s="260" t="s">
        <v>594</v>
      </c>
      <c r="O121" s="260" t="s">
        <v>595</v>
      </c>
      <c r="P121" s="260" t="s">
        <v>596</v>
      </c>
      <c r="Q121" s="260" t="s">
        <v>653</v>
      </c>
      <c r="R121" s="260" t="s">
        <v>654</v>
      </c>
      <c r="S121" s="260" t="s">
        <v>655</v>
      </c>
      <c r="T121" s="260" t="s">
        <v>656</v>
      </c>
      <c r="U121" s="260" t="s">
        <v>657</v>
      </c>
      <c r="V121" s="260" t="s">
        <v>658</v>
      </c>
      <c r="W121" s="260" t="s">
        <v>659</v>
      </c>
    </row>
    <row r="122" spans="2:23" x14ac:dyDescent="0.3">
      <c r="B122" s="95">
        <v>1</v>
      </c>
      <c r="C122" s="448" t="s">
        <v>842</v>
      </c>
      <c r="D122" s="350">
        <f t="shared" ref="D122:G133" si="68">D14-D68</f>
        <v>50.821687901156309</v>
      </c>
      <c r="E122" s="350">
        <f t="shared" si="68"/>
        <v>0</v>
      </c>
      <c r="F122" s="350">
        <f t="shared" si="68"/>
        <v>0</v>
      </c>
      <c r="G122" s="350">
        <f t="shared" si="68"/>
        <v>0</v>
      </c>
      <c r="H122" s="350">
        <f>D122+E122-F122-G122</f>
        <v>50.821687901156309</v>
      </c>
      <c r="I122" s="350">
        <f t="shared" ref="I122:L133" si="69">I14-I68</f>
        <v>50.821687901156309</v>
      </c>
      <c r="J122" s="350">
        <f t="shared" si="69"/>
        <v>0</v>
      </c>
      <c r="K122" s="350">
        <f t="shared" si="69"/>
        <v>0</v>
      </c>
      <c r="L122" s="350">
        <f t="shared" si="69"/>
        <v>0</v>
      </c>
      <c r="M122" s="347">
        <f>I122+J122-K122-L122</f>
        <v>50.821687901156309</v>
      </c>
      <c r="N122" s="350">
        <f t="shared" ref="N122:Q138" si="70">N14-N68</f>
        <v>50.821687901156309</v>
      </c>
      <c r="O122" s="350">
        <f t="shared" si="70"/>
        <v>0</v>
      </c>
      <c r="P122" s="350">
        <f t="shared" si="70"/>
        <v>0</v>
      </c>
      <c r="Q122" s="350">
        <f t="shared" si="70"/>
        <v>0</v>
      </c>
      <c r="R122" s="350">
        <f>N122+O122-P122-Q122</f>
        <v>50.821687901156309</v>
      </c>
      <c r="S122" s="350">
        <f t="shared" ref="S122:V138" si="71">S14-S68</f>
        <v>50.821687901156309</v>
      </c>
      <c r="T122" s="350">
        <f t="shared" si="71"/>
        <v>0</v>
      </c>
      <c r="U122" s="350">
        <f t="shared" si="71"/>
        <v>0</v>
      </c>
      <c r="V122" s="350">
        <f t="shared" si="71"/>
        <v>0</v>
      </c>
      <c r="W122" s="347">
        <f>S122+T122-U122-V122</f>
        <v>50.821687901156309</v>
      </c>
    </row>
    <row r="123" spans="2:23" x14ac:dyDescent="0.3">
      <c r="B123" s="95">
        <f>B122+1</f>
        <v>2</v>
      </c>
      <c r="C123" s="448" t="s">
        <v>843</v>
      </c>
      <c r="D123" s="350">
        <f t="shared" si="68"/>
        <v>104.86541564991859</v>
      </c>
      <c r="E123" s="350">
        <f t="shared" si="68"/>
        <v>4.1310821110405609</v>
      </c>
      <c r="F123" s="350">
        <f t="shared" si="68"/>
        <v>0</v>
      </c>
      <c r="G123" s="350">
        <f t="shared" si="68"/>
        <v>0</v>
      </c>
      <c r="H123" s="350">
        <f t="shared" ref="H123:H133" si="72">D123+E123-F123-G123</f>
        <v>108.99649776095914</v>
      </c>
      <c r="I123" s="350">
        <f t="shared" si="69"/>
        <v>108.99649776095913</v>
      </c>
      <c r="J123" s="350">
        <f t="shared" si="69"/>
        <v>2.8005448919474087</v>
      </c>
      <c r="K123" s="350">
        <f t="shared" si="69"/>
        <v>0</v>
      </c>
      <c r="L123" s="350">
        <f t="shared" si="69"/>
        <v>0</v>
      </c>
      <c r="M123" s="347">
        <f t="shared" ref="M123:M133" si="73">I123+J123-K123-L123</f>
        <v>111.79704265290654</v>
      </c>
      <c r="N123" s="350">
        <f t="shared" si="70"/>
        <v>111.7970426529065</v>
      </c>
      <c r="O123" s="350">
        <f t="shared" si="70"/>
        <v>-8.2924065385676116</v>
      </c>
      <c r="P123" s="350">
        <f t="shared" si="70"/>
        <v>0</v>
      </c>
      <c r="Q123" s="350">
        <f t="shared" si="70"/>
        <v>0</v>
      </c>
      <c r="R123" s="350">
        <f t="shared" ref="R123:R133" si="74">N123+O123-P123-Q123</f>
        <v>103.50463611433889</v>
      </c>
      <c r="S123" s="350">
        <f t="shared" si="71"/>
        <v>103.50463611433889</v>
      </c>
      <c r="T123" s="350">
        <f t="shared" si="71"/>
        <v>-8.4202515665288935</v>
      </c>
      <c r="U123" s="350">
        <f t="shared" si="71"/>
        <v>0</v>
      </c>
      <c r="V123" s="350">
        <f t="shared" si="71"/>
        <v>0</v>
      </c>
      <c r="W123" s="347">
        <f t="shared" ref="W123:W133" si="75">S123+T123-U123-V123</f>
        <v>95.084384547810004</v>
      </c>
    </row>
    <row r="124" spans="2:23" x14ac:dyDescent="0.3">
      <c r="B124" s="95">
        <f t="shared" ref="B124:B138" si="76">B123+1</f>
        <v>3</v>
      </c>
      <c r="C124" s="448" t="s">
        <v>844</v>
      </c>
      <c r="D124" s="350">
        <f t="shared" si="68"/>
        <v>0</v>
      </c>
      <c r="E124" s="350">
        <f t="shared" si="68"/>
        <v>0</v>
      </c>
      <c r="F124" s="350">
        <f t="shared" si="68"/>
        <v>0</v>
      </c>
      <c r="G124" s="350">
        <f t="shared" si="68"/>
        <v>0</v>
      </c>
      <c r="H124" s="350">
        <f t="shared" si="72"/>
        <v>0</v>
      </c>
      <c r="I124" s="350">
        <f t="shared" si="69"/>
        <v>0</v>
      </c>
      <c r="J124" s="350">
        <f t="shared" si="69"/>
        <v>0</v>
      </c>
      <c r="K124" s="350">
        <f t="shared" si="69"/>
        <v>0</v>
      </c>
      <c r="L124" s="350">
        <f t="shared" si="69"/>
        <v>0</v>
      </c>
      <c r="M124" s="347">
        <f t="shared" si="73"/>
        <v>0</v>
      </c>
      <c r="N124" s="350">
        <f t="shared" si="70"/>
        <v>0</v>
      </c>
      <c r="O124" s="350">
        <f t="shared" si="70"/>
        <v>0</v>
      </c>
      <c r="P124" s="350">
        <f t="shared" si="70"/>
        <v>0</v>
      </c>
      <c r="Q124" s="350">
        <f t="shared" si="70"/>
        <v>0</v>
      </c>
      <c r="R124" s="350">
        <f t="shared" si="74"/>
        <v>0</v>
      </c>
      <c r="S124" s="350">
        <f t="shared" si="71"/>
        <v>0</v>
      </c>
      <c r="T124" s="350">
        <f t="shared" si="71"/>
        <v>0</v>
      </c>
      <c r="U124" s="350">
        <f t="shared" si="71"/>
        <v>0</v>
      </c>
      <c r="V124" s="350">
        <f t="shared" si="71"/>
        <v>0</v>
      </c>
      <c r="W124" s="347">
        <f t="shared" si="75"/>
        <v>0</v>
      </c>
    </row>
    <row r="125" spans="2:23" x14ac:dyDescent="0.3">
      <c r="B125" s="95">
        <f t="shared" si="76"/>
        <v>4</v>
      </c>
      <c r="C125" s="448" t="s">
        <v>845</v>
      </c>
      <c r="D125" s="350">
        <f t="shared" si="68"/>
        <v>47.18818064129664</v>
      </c>
      <c r="E125" s="350">
        <f t="shared" si="68"/>
        <v>1.7785750540557907</v>
      </c>
      <c r="F125" s="350">
        <f t="shared" si="68"/>
        <v>0</v>
      </c>
      <c r="G125" s="350">
        <f t="shared" si="68"/>
        <v>0</v>
      </c>
      <c r="H125" s="350">
        <f t="shared" si="72"/>
        <v>48.966755695352433</v>
      </c>
      <c r="I125" s="350">
        <f t="shared" si="69"/>
        <v>48.966755695352447</v>
      </c>
      <c r="J125" s="350">
        <f t="shared" si="69"/>
        <v>34.176483433355251</v>
      </c>
      <c r="K125" s="350">
        <f t="shared" si="69"/>
        <v>0</v>
      </c>
      <c r="L125" s="350">
        <f t="shared" si="69"/>
        <v>0</v>
      </c>
      <c r="M125" s="347">
        <f t="shared" si="73"/>
        <v>83.143239128707705</v>
      </c>
      <c r="N125" s="350">
        <f t="shared" si="70"/>
        <v>83.143239128707705</v>
      </c>
      <c r="O125" s="350">
        <f t="shared" si="70"/>
        <v>-2.5252162708760055</v>
      </c>
      <c r="P125" s="350">
        <f t="shared" si="70"/>
        <v>0</v>
      </c>
      <c r="Q125" s="350">
        <f t="shared" si="70"/>
        <v>0</v>
      </c>
      <c r="R125" s="350">
        <f t="shared" si="74"/>
        <v>80.618022857831704</v>
      </c>
      <c r="S125" s="350">
        <f t="shared" si="71"/>
        <v>80.618022857831704</v>
      </c>
      <c r="T125" s="350">
        <f t="shared" si="71"/>
        <v>-7.7252162708760093</v>
      </c>
      <c r="U125" s="350">
        <f t="shared" si="71"/>
        <v>0</v>
      </c>
      <c r="V125" s="350">
        <f t="shared" si="71"/>
        <v>0</v>
      </c>
      <c r="W125" s="347">
        <f t="shared" si="75"/>
        <v>72.8928065869557</v>
      </c>
    </row>
    <row r="126" spans="2:23" x14ac:dyDescent="0.3">
      <c r="B126" s="95">
        <f t="shared" si="76"/>
        <v>5</v>
      </c>
      <c r="C126" s="448" t="s">
        <v>846</v>
      </c>
      <c r="D126" s="350">
        <f t="shared" si="68"/>
        <v>34.955001141319912</v>
      </c>
      <c r="E126" s="350">
        <f t="shared" si="68"/>
        <v>-0.96392930856768477</v>
      </c>
      <c r="F126" s="350">
        <f t="shared" si="68"/>
        <v>0</v>
      </c>
      <c r="G126" s="350">
        <f t="shared" si="68"/>
        <v>0</v>
      </c>
      <c r="H126" s="350">
        <f t="shared" si="72"/>
        <v>33.991071832752226</v>
      </c>
      <c r="I126" s="350">
        <f t="shared" si="69"/>
        <v>33.991071832752226</v>
      </c>
      <c r="J126" s="350">
        <f t="shared" si="69"/>
        <v>2.3727399945048422</v>
      </c>
      <c r="K126" s="350">
        <f t="shared" si="69"/>
        <v>0</v>
      </c>
      <c r="L126" s="350">
        <f t="shared" si="69"/>
        <v>0</v>
      </c>
      <c r="M126" s="347">
        <f t="shared" si="73"/>
        <v>36.363811827257067</v>
      </c>
      <c r="N126" s="350">
        <f t="shared" si="70"/>
        <v>36.363811827257081</v>
      </c>
      <c r="O126" s="350">
        <f t="shared" si="70"/>
        <v>40.404600803707353</v>
      </c>
      <c r="P126" s="350">
        <f t="shared" si="70"/>
        <v>0</v>
      </c>
      <c r="Q126" s="350">
        <f t="shared" si="70"/>
        <v>0</v>
      </c>
      <c r="R126" s="350">
        <f t="shared" si="74"/>
        <v>76.768412630964434</v>
      </c>
      <c r="S126" s="350">
        <f t="shared" si="71"/>
        <v>76.768412630964434</v>
      </c>
      <c r="T126" s="350">
        <f t="shared" si="71"/>
        <v>-9.0953991962926484</v>
      </c>
      <c r="U126" s="350">
        <f t="shared" si="71"/>
        <v>0</v>
      </c>
      <c r="V126" s="350">
        <f t="shared" si="71"/>
        <v>0</v>
      </c>
      <c r="W126" s="347">
        <f t="shared" si="75"/>
        <v>67.673013434671788</v>
      </c>
    </row>
    <row r="127" spans="2:23" x14ac:dyDescent="0.3">
      <c r="B127" s="95">
        <f t="shared" si="76"/>
        <v>6</v>
      </c>
      <c r="C127" s="448" t="s">
        <v>256</v>
      </c>
      <c r="D127" s="350">
        <f t="shared" si="68"/>
        <v>747.3296813431989</v>
      </c>
      <c r="E127" s="350">
        <f t="shared" si="68"/>
        <v>32.185882000665288</v>
      </c>
      <c r="F127" s="350">
        <f t="shared" si="68"/>
        <v>0</v>
      </c>
      <c r="G127" s="350">
        <f t="shared" si="68"/>
        <v>0</v>
      </c>
      <c r="H127" s="350">
        <f t="shared" si="72"/>
        <v>779.51556334386419</v>
      </c>
      <c r="I127" s="350">
        <f t="shared" si="69"/>
        <v>779.51556334386441</v>
      </c>
      <c r="J127" s="350">
        <f t="shared" si="69"/>
        <v>-22.292272802760095</v>
      </c>
      <c r="K127" s="350">
        <f t="shared" si="69"/>
        <v>0</v>
      </c>
      <c r="L127" s="350">
        <f t="shared" si="69"/>
        <v>0</v>
      </c>
      <c r="M127" s="347">
        <f t="shared" si="73"/>
        <v>757.22329054110435</v>
      </c>
      <c r="N127" s="350">
        <f t="shared" si="70"/>
        <v>757.22329054110423</v>
      </c>
      <c r="O127" s="350">
        <f t="shared" si="70"/>
        <v>256.29640241648036</v>
      </c>
      <c r="P127" s="350">
        <f t="shared" si="70"/>
        <v>0</v>
      </c>
      <c r="Q127" s="350">
        <f t="shared" si="70"/>
        <v>0</v>
      </c>
      <c r="R127" s="350">
        <f t="shared" si="74"/>
        <v>1013.5196929575845</v>
      </c>
      <c r="S127" s="350">
        <f t="shared" si="71"/>
        <v>1013.5196929575845</v>
      </c>
      <c r="T127" s="350">
        <f t="shared" si="71"/>
        <v>14.826980861091641</v>
      </c>
      <c r="U127" s="350">
        <f t="shared" si="71"/>
        <v>0</v>
      </c>
      <c r="V127" s="350">
        <f t="shared" si="71"/>
        <v>0</v>
      </c>
      <c r="W127" s="347">
        <f t="shared" si="75"/>
        <v>1028.3466738186762</v>
      </c>
    </row>
    <row r="128" spans="2:23" x14ac:dyDescent="0.3">
      <c r="B128" s="95">
        <f t="shared" si="76"/>
        <v>7</v>
      </c>
      <c r="C128" s="448" t="s">
        <v>847</v>
      </c>
      <c r="D128" s="350">
        <f t="shared" si="68"/>
        <v>0</v>
      </c>
      <c r="E128" s="350">
        <f t="shared" si="68"/>
        <v>0</v>
      </c>
      <c r="F128" s="350">
        <f t="shared" si="68"/>
        <v>0</v>
      </c>
      <c r="G128" s="350">
        <f t="shared" si="68"/>
        <v>0</v>
      </c>
      <c r="H128" s="350">
        <f t="shared" si="72"/>
        <v>0</v>
      </c>
      <c r="I128" s="350">
        <f t="shared" si="69"/>
        <v>0</v>
      </c>
      <c r="J128" s="350">
        <f t="shared" si="69"/>
        <v>0</v>
      </c>
      <c r="K128" s="350">
        <f t="shared" si="69"/>
        <v>0</v>
      </c>
      <c r="L128" s="350">
        <f t="shared" si="69"/>
        <v>0</v>
      </c>
      <c r="M128" s="347">
        <f t="shared" si="73"/>
        <v>0</v>
      </c>
      <c r="N128" s="350">
        <f t="shared" si="70"/>
        <v>0</v>
      </c>
      <c r="O128" s="350">
        <f t="shared" si="70"/>
        <v>0</v>
      </c>
      <c r="P128" s="350">
        <f t="shared" si="70"/>
        <v>0</v>
      </c>
      <c r="Q128" s="350">
        <f t="shared" si="70"/>
        <v>0</v>
      </c>
      <c r="R128" s="350">
        <f t="shared" si="74"/>
        <v>0</v>
      </c>
      <c r="S128" s="350">
        <f t="shared" si="71"/>
        <v>0</v>
      </c>
      <c r="T128" s="350">
        <f t="shared" si="71"/>
        <v>0.30333333333333334</v>
      </c>
      <c r="U128" s="350">
        <f t="shared" si="71"/>
        <v>0</v>
      </c>
      <c r="V128" s="350">
        <f t="shared" si="71"/>
        <v>0</v>
      </c>
      <c r="W128" s="347">
        <f t="shared" si="75"/>
        <v>0.30333333333333334</v>
      </c>
    </row>
    <row r="129" spans="2:33" x14ac:dyDescent="0.3">
      <c r="B129" s="95">
        <f t="shared" si="76"/>
        <v>8</v>
      </c>
      <c r="C129" s="448" t="s">
        <v>848</v>
      </c>
      <c r="D129" s="350">
        <f t="shared" si="68"/>
        <v>0</v>
      </c>
      <c r="E129" s="350">
        <f t="shared" si="68"/>
        <v>0</v>
      </c>
      <c r="F129" s="350">
        <f t="shared" si="68"/>
        <v>0</v>
      </c>
      <c r="G129" s="350">
        <f t="shared" si="68"/>
        <v>0</v>
      </c>
      <c r="H129" s="350">
        <f t="shared" si="72"/>
        <v>0</v>
      </c>
      <c r="I129" s="350">
        <f t="shared" si="69"/>
        <v>0</v>
      </c>
      <c r="J129" s="350">
        <f t="shared" si="69"/>
        <v>0</v>
      </c>
      <c r="K129" s="350">
        <f t="shared" si="69"/>
        <v>0</v>
      </c>
      <c r="L129" s="350">
        <f t="shared" si="69"/>
        <v>0</v>
      </c>
      <c r="M129" s="347">
        <f t="shared" si="73"/>
        <v>0</v>
      </c>
      <c r="N129" s="350">
        <f t="shared" si="70"/>
        <v>0</v>
      </c>
      <c r="O129" s="350">
        <f t="shared" si="70"/>
        <v>0</v>
      </c>
      <c r="P129" s="350">
        <f t="shared" si="70"/>
        <v>0</v>
      </c>
      <c r="Q129" s="350">
        <f t="shared" si="70"/>
        <v>0</v>
      </c>
      <c r="R129" s="350">
        <f t="shared" si="74"/>
        <v>0</v>
      </c>
      <c r="S129" s="350">
        <f t="shared" si="71"/>
        <v>0</v>
      </c>
      <c r="T129" s="350">
        <f t="shared" si="71"/>
        <v>0</v>
      </c>
      <c r="U129" s="350">
        <f t="shared" si="71"/>
        <v>0</v>
      </c>
      <c r="V129" s="350">
        <f t="shared" si="71"/>
        <v>0</v>
      </c>
      <c r="W129" s="347">
        <f t="shared" si="75"/>
        <v>0</v>
      </c>
    </row>
    <row r="130" spans="2:33" x14ac:dyDescent="0.3">
      <c r="B130" s="95">
        <f t="shared" si="76"/>
        <v>9</v>
      </c>
      <c r="C130" s="448" t="s">
        <v>849</v>
      </c>
      <c r="D130" s="350">
        <f t="shared" si="68"/>
        <v>13.995542085520356</v>
      </c>
      <c r="E130" s="350">
        <f t="shared" si="68"/>
        <v>-0.26359479349687154</v>
      </c>
      <c r="F130" s="350">
        <f t="shared" si="68"/>
        <v>0</v>
      </c>
      <c r="G130" s="350">
        <f t="shared" si="68"/>
        <v>0</v>
      </c>
      <c r="H130" s="350">
        <f t="shared" si="72"/>
        <v>13.731947292023484</v>
      </c>
      <c r="I130" s="350">
        <f t="shared" si="69"/>
        <v>13.731947292023477</v>
      </c>
      <c r="J130" s="350">
        <f t="shared" si="69"/>
        <v>2.2954304013174984</v>
      </c>
      <c r="K130" s="350">
        <f t="shared" si="69"/>
        <v>0</v>
      </c>
      <c r="L130" s="350">
        <f t="shared" si="69"/>
        <v>0</v>
      </c>
      <c r="M130" s="347">
        <f t="shared" si="73"/>
        <v>16.027377693340977</v>
      </c>
      <c r="N130" s="350">
        <f t="shared" si="70"/>
        <v>16.027377693340981</v>
      </c>
      <c r="O130" s="350">
        <f t="shared" si="70"/>
        <v>-0.62396679868250149</v>
      </c>
      <c r="P130" s="350">
        <f t="shared" si="70"/>
        <v>0</v>
      </c>
      <c r="Q130" s="350">
        <f t="shared" si="70"/>
        <v>0</v>
      </c>
      <c r="R130" s="350">
        <f t="shared" si="74"/>
        <v>15.40341089465848</v>
      </c>
      <c r="S130" s="350">
        <f t="shared" si="71"/>
        <v>15.403410894658478</v>
      </c>
      <c r="T130" s="350">
        <f t="shared" si="71"/>
        <v>-0.62396679868250127</v>
      </c>
      <c r="U130" s="350">
        <f t="shared" si="71"/>
        <v>0</v>
      </c>
      <c r="V130" s="350">
        <f t="shared" si="71"/>
        <v>0</v>
      </c>
      <c r="W130" s="347">
        <f t="shared" si="75"/>
        <v>14.779444095975977</v>
      </c>
    </row>
    <row r="131" spans="2:33" x14ac:dyDescent="0.3">
      <c r="B131" s="95">
        <f t="shared" si="76"/>
        <v>10</v>
      </c>
      <c r="C131" s="448" t="s">
        <v>259</v>
      </c>
      <c r="D131" s="350">
        <f t="shared" si="68"/>
        <v>0.14153054934612053</v>
      </c>
      <c r="E131" s="350">
        <f t="shared" si="68"/>
        <v>2.3745025518862515</v>
      </c>
      <c r="F131" s="350">
        <f t="shared" si="68"/>
        <v>0</v>
      </c>
      <c r="G131" s="350">
        <f t="shared" si="68"/>
        <v>0</v>
      </c>
      <c r="H131" s="350">
        <f t="shared" si="72"/>
        <v>2.516033101232372</v>
      </c>
      <c r="I131" s="350">
        <f t="shared" si="69"/>
        <v>2.516033101232372</v>
      </c>
      <c r="J131" s="350">
        <f t="shared" si="69"/>
        <v>-0.3907812814112484</v>
      </c>
      <c r="K131" s="350">
        <f t="shared" si="69"/>
        <v>0</v>
      </c>
      <c r="L131" s="350">
        <f t="shared" si="69"/>
        <v>0</v>
      </c>
      <c r="M131" s="347">
        <f t="shared" si="73"/>
        <v>2.1252518198211234</v>
      </c>
      <c r="N131" s="350">
        <f t="shared" si="70"/>
        <v>2.1252518198211234</v>
      </c>
      <c r="O131" s="350">
        <f t="shared" si="70"/>
        <v>-0.3907812814112484</v>
      </c>
      <c r="P131" s="350">
        <f t="shared" si="70"/>
        <v>0</v>
      </c>
      <c r="Q131" s="350">
        <f t="shared" si="70"/>
        <v>0</v>
      </c>
      <c r="R131" s="350">
        <f t="shared" si="74"/>
        <v>1.7344705384098751</v>
      </c>
      <c r="S131" s="350">
        <f t="shared" si="71"/>
        <v>1.7344705384098753</v>
      </c>
      <c r="T131" s="350">
        <f t="shared" si="71"/>
        <v>6.1116187185887512</v>
      </c>
      <c r="U131" s="350">
        <f t="shared" si="71"/>
        <v>0</v>
      </c>
      <c r="V131" s="350">
        <f t="shared" si="71"/>
        <v>0</v>
      </c>
      <c r="W131" s="347">
        <f t="shared" si="75"/>
        <v>7.846089256998626</v>
      </c>
    </row>
    <row r="132" spans="2:33" x14ac:dyDescent="0.3">
      <c r="B132" s="95">
        <f t="shared" si="76"/>
        <v>11</v>
      </c>
      <c r="C132" s="448" t="s">
        <v>260</v>
      </c>
      <c r="D132" s="350">
        <f t="shared" si="68"/>
        <v>0.61468083655732642</v>
      </c>
      <c r="E132" s="350">
        <f t="shared" si="68"/>
        <v>-4.1127210364774867E-2</v>
      </c>
      <c r="F132" s="350">
        <f t="shared" si="68"/>
        <v>0</v>
      </c>
      <c r="G132" s="350">
        <f t="shared" si="68"/>
        <v>0</v>
      </c>
      <c r="H132" s="350">
        <f t="shared" si="72"/>
        <v>0.57355362619255157</v>
      </c>
      <c r="I132" s="350">
        <f t="shared" si="69"/>
        <v>0.57355362619255157</v>
      </c>
      <c r="J132" s="350">
        <f t="shared" si="69"/>
        <v>0.17306719586782698</v>
      </c>
      <c r="K132" s="350">
        <f t="shared" si="69"/>
        <v>0</v>
      </c>
      <c r="L132" s="350">
        <f t="shared" si="69"/>
        <v>0</v>
      </c>
      <c r="M132" s="347">
        <f t="shared" si="73"/>
        <v>0.7466208220603785</v>
      </c>
      <c r="N132" s="350">
        <f t="shared" si="70"/>
        <v>0.7466208220603785</v>
      </c>
      <c r="O132" s="350">
        <f t="shared" si="70"/>
        <v>0.53754454129659912</v>
      </c>
      <c r="P132" s="350">
        <f t="shared" si="70"/>
        <v>0</v>
      </c>
      <c r="Q132" s="350">
        <f t="shared" si="70"/>
        <v>0</v>
      </c>
      <c r="R132" s="350">
        <f t="shared" si="74"/>
        <v>1.2841653633569776</v>
      </c>
      <c r="S132" s="350">
        <f t="shared" si="71"/>
        <v>1.2841653633569776</v>
      </c>
      <c r="T132" s="350">
        <f t="shared" si="71"/>
        <v>-0.17218669501799627</v>
      </c>
      <c r="U132" s="350">
        <f t="shared" si="71"/>
        <v>0</v>
      </c>
      <c r="V132" s="350">
        <f t="shared" si="71"/>
        <v>0</v>
      </c>
      <c r="W132" s="347">
        <f t="shared" si="75"/>
        <v>1.1119786683389814</v>
      </c>
    </row>
    <row r="133" spans="2:33" x14ac:dyDescent="0.3">
      <c r="B133" s="95">
        <f t="shared" si="76"/>
        <v>12</v>
      </c>
      <c r="C133" s="448" t="s">
        <v>261</v>
      </c>
      <c r="D133" s="350">
        <f t="shared" si="68"/>
        <v>4.1768058438798432</v>
      </c>
      <c r="E133" s="350">
        <f t="shared" si="68"/>
        <v>0.42649398201887512</v>
      </c>
      <c r="F133" s="350">
        <f t="shared" si="68"/>
        <v>1.0724741018203037</v>
      </c>
      <c r="G133" s="350">
        <f t="shared" si="68"/>
        <v>0</v>
      </c>
      <c r="H133" s="350">
        <f t="shared" si="72"/>
        <v>3.5308257240784142</v>
      </c>
      <c r="I133" s="350">
        <f t="shared" si="69"/>
        <v>3.5308257240784133</v>
      </c>
      <c r="J133" s="350">
        <f t="shared" si="69"/>
        <v>0.38429352895422531</v>
      </c>
      <c r="K133" s="350">
        <f t="shared" si="69"/>
        <v>1.1923029529769986</v>
      </c>
      <c r="L133" s="350">
        <f t="shared" si="69"/>
        <v>0</v>
      </c>
      <c r="M133" s="347">
        <f t="shared" si="73"/>
        <v>2.7228163000556398</v>
      </c>
      <c r="N133" s="350">
        <f t="shared" si="70"/>
        <v>2.7228163000556407</v>
      </c>
      <c r="O133" s="350">
        <f t="shared" si="70"/>
        <v>0.29586894064792529</v>
      </c>
      <c r="P133" s="350">
        <f t="shared" si="70"/>
        <v>0</v>
      </c>
      <c r="Q133" s="350">
        <f t="shared" si="70"/>
        <v>0</v>
      </c>
      <c r="R133" s="350">
        <f t="shared" si="74"/>
        <v>3.018685240703566</v>
      </c>
      <c r="S133" s="350">
        <f t="shared" si="71"/>
        <v>3.018685240703566</v>
      </c>
      <c r="T133" s="350">
        <f t="shared" si="71"/>
        <v>6.3064406479252932E-3</v>
      </c>
      <c r="U133" s="350">
        <f t="shared" si="71"/>
        <v>0</v>
      </c>
      <c r="V133" s="350">
        <f t="shared" si="71"/>
        <v>0</v>
      </c>
      <c r="W133" s="347">
        <f t="shared" si="75"/>
        <v>3.0249916813514912</v>
      </c>
    </row>
    <row r="134" spans="2:33" x14ac:dyDescent="0.3">
      <c r="B134" s="95">
        <f t="shared" si="76"/>
        <v>13</v>
      </c>
      <c r="C134" s="469" t="s">
        <v>897</v>
      </c>
      <c r="D134" s="350">
        <f t="shared" ref="D134:G134" si="77">D26-D80</f>
        <v>0</v>
      </c>
      <c r="E134" s="350">
        <f t="shared" si="77"/>
        <v>0</v>
      </c>
      <c r="F134" s="350">
        <f t="shared" si="77"/>
        <v>0</v>
      </c>
      <c r="G134" s="350">
        <f t="shared" si="77"/>
        <v>0</v>
      </c>
      <c r="H134" s="350">
        <f t="shared" ref="H134:H138" si="78">D134+E134-F134-G134</f>
        <v>0</v>
      </c>
      <c r="I134" s="350">
        <f t="shared" ref="I134:L134" si="79">I26-I80</f>
        <v>0</v>
      </c>
      <c r="J134" s="350">
        <f t="shared" si="79"/>
        <v>0</v>
      </c>
      <c r="K134" s="350">
        <f t="shared" si="79"/>
        <v>0</v>
      </c>
      <c r="L134" s="350">
        <f t="shared" si="79"/>
        <v>0</v>
      </c>
      <c r="M134" s="347">
        <f t="shared" ref="M134:M138" si="80">I134+J134-K134-L134</f>
        <v>0</v>
      </c>
      <c r="N134" s="350">
        <f t="shared" si="70"/>
        <v>0</v>
      </c>
      <c r="O134" s="350">
        <f t="shared" si="70"/>
        <v>0</v>
      </c>
      <c r="P134" s="350">
        <f t="shared" si="70"/>
        <v>0</v>
      </c>
      <c r="Q134" s="350">
        <f t="shared" si="70"/>
        <v>0</v>
      </c>
      <c r="R134" s="350">
        <f t="shared" ref="R134:R138" si="81">N134+O134-P134-Q134</f>
        <v>0</v>
      </c>
      <c r="S134" s="350">
        <f t="shared" si="71"/>
        <v>0</v>
      </c>
      <c r="T134" s="350">
        <f t="shared" si="71"/>
        <v>0</v>
      </c>
      <c r="U134" s="350">
        <f t="shared" si="71"/>
        <v>0</v>
      </c>
      <c r="V134" s="350">
        <f t="shared" si="71"/>
        <v>0</v>
      </c>
      <c r="W134" s="347">
        <f t="shared" ref="W134:W138" si="82">S134+T134-U134-V134</f>
        <v>0</v>
      </c>
    </row>
    <row r="135" spans="2:33" x14ac:dyDescent="0.3">
      <c r="B135" s="95">
        <f t="shared" si="76"/>
        <v>14</v>
      </c>
      <c r="C135" s="469" t="s">
        <v>898</v>
      </c>
      <c r="D135" s="350">
        <f t="shared" ref="D135:G135" si="83">D27-D81</f>
        <v>0</v>
      </c>
      <c r="E135" s="350">
        <f t="shared" si="83"/>
        <v>0</v>
      </c>
      <c r="F135" s="350">
        <f t="shared" si="83"/>
        <v>0</v>
      </c>
      <c r="G135" s="350">
        <f t="shared" si="83"/>
        <v>0</v>
      </c>
      <c r="H135" s="350">
        <f t="shared" si="78"/>
        <v>0</v>
      </c>
      <c r="I135" s="350">
        <f t="shared" ref="I135:L135" si="84">I27-I81</f>
        <v>0</v>
      </c>
      <c r="J135" s="350">
        <f t="shared" si="84"/>
        <v>0</v>
      </c>
      <c r="K135" s="350">
        <f t="shared" si="84"/>
        <v>0</v>
      </c>
      <c r="L135" s="350">
        <f t="shared" si="84"/>
        <v>0</v>
      </c>
      <c r="M135" s="347">
        <f t="shared" si="80"/>
        <v>0</v>
      </c>
      <c r="N135" s="350">
        <f t="shared" si="70"/>
        <v>0</v>
      </c>
      <c r="O135" s="350">
        <f t="shared" si="70"/>
        <v>0</v>
      </c>
      <c r="P135" s="350">
        <f t="shared" si="70"/>
        <v>0</v>
      </c>
      <c r="Q135" s="350">
        <f t="shared" si="70"/>
        <v>0</v>
      </c>
      <c r="R135" s="350">
        <f t="shared" si="81"/>
        <v>0</v>
      </c>
      <c r="S135" s="350">
        <f t="shared" si="71"/>
        <v>0</v>
      </c>
      <c r="T135" s="350">
        <f t="shared" si="71"/>
        <v>0</v>
      </c>
      <c r="U135" s="350">
        <f t="shared" si="71"/>
        <v>0</v>
      </c>
      <c r="V135" s="350">
        <f t="shared" si="71"/>
        <v>0</v>
      </c>
      <c r="W135" s="347">
        <f t="shared" si="82"/>
        <v>0</v>
      </c>
    </row>
    <row r="136" spans="2:33" x14ac:dyDescent="0.3">
      <c r="B136" s="95">
        <f t="shared" si="76"/>
        <v>15</v>
      </c>
      <c r="C136" s="469" t="s">
        <v>899</v>
      </c>
      <c r="D136" s="350">
        <f t="shared" ref="D136:G136" si="85">D28-D82</f>
        <v>0</v>
      </c>
      <c r="E136" s="350">
        <f t="shared" si="85"/>
        <v>0</v>
      </c>
      <c r="F136" s="350">
        <f t="shared" si="85"/>
        <v>0</v>
      </c>
      <c r="G136" s="350">
        <f t="shared" si="85"/>
        <v>0</v>
      </c>
      <c r="H136" s="350">
        <f t="shared" si="78"/>
        <v>0</v>
      </c>
      <c r="I136" s="350">
        <f t="shared" ref="I136:L136" si="86">I28-I82</f>
        <v>0</v>
      </c>
      <c r="J136" s="350">
        <f t="shared" si="86"/>
        <v>0</v>
      </c>
      <c r="K136" s="350">
        <f t="shared" si="86"/>
        <v>0</v>
      </c>
      <c r="L136" s="350">
        <f t="shared" si="86"/>
        <v>0</v>
      </c>
      <c r="M136" s="347">
        <f t="shared" si="80"/>
        <v>0</v>
      </c>
      <c r="N136" s="350">
        <f t="shared" si="70"/>
        <v>0</v>
      </c>
      <c r="O136" s="350">
        <f t="shared" si="70"/>
        <v>0</v>
      </c>
      <c r="P136" s="350">
        <f t="shared" si="70"/>
        <v>0</v>
      </c>
      <c r="Q136" s="350">
        <f t="shared" si="70"/>
        <v>0</v>
      </c>
      <c r="R136" s="350">
        <f t="shared" si="81"/>
        <v>0</v>
      </c>
      <c r="S136" s="350">
        <f t="shared" si="71"/>
        <v>0</v>
      </c>
      <c r="T136" s="350">
        <f t="shared" si="71"/>
        <v>0</v>
      </c>
      <c r="U136" s="350">
        <f t="shared" si="71"/>
        <v>0</v>
      </c>
      <c r="V136" s="350">
        <f t="shared" si="71"/>
        <v>0</v>
      </c>
      <c r="W136" s="347">
        <f t="shared" si="82"/>
        <v>0</v>
      </c>
    </row>
    <row r="137" spans="2:33" x14ac:dyDescent="0.3">
      <c r="B137" s="95">
        <f t="shared" si="76"/>
        <v>16</v>
      </c>
      <c r="C137" s="469" t="s">
        <v>850</v>
      </c>
      <c r="D137" s="350">
        <f t="shared" ref="D137:G137" si="87">D29-D83</f>
        <v>0</v>
      </c>
      <c r="E137" s="350">
        <f t="shared" si="87"/>
        <v>0</v>
      </c>
      <c r="F137" s="350">
        <f t="shared" si="87"/>
        <v>0</v>
      </c>
      <c r="G137" s="350">
        <f t="shared" si="87"/>
        <v>0</v>
      </c>
      <c r="H137" s="350">
        <f t="shared" si="78"/>
        <v>0</v>
      </c>
      <c r="I137" s="350">
        <f t="shared" ref="I137:L137" si="88">I29-I83</f>
        <v>0</v>
      </c>
      <c r="J137" s="350">
        <f t="shared" si="88"/>
        <v>0</v>
      </c>
      <c r="K137" s="350">
        <f t="shared" si="88"/>
        <v>0</v>
      </c>
      <c r="L137" s="350">
        <f t="shared" si="88"/>
        <v>0</v>
      </c>
      <c r="M137" s="347">
        <f t="shared" si="80"/>
        <v>0</v>
      </c>
      <c r="N137" s="350">
        <f t="shared" si="70"/>
        <v>0</v>
      </c>
      <c r="O137" s="350">
        <f t="shared" si="70"/>
        <v>0</v>
      </c>
      <c r="P137" s="350">
        <f t="shared" si="70"/>
        <v>0</v>
      </c>
      <c r="Q137" s="350">
        <f t="shared" si="70"/>
        <v>0</v>
      </c>
      <c r="R137" s="350">
        <f t="shared" si="81"/>
        <v>0</v>
      </c>
      <c r="S137" s="350">
        <f t="shared" si="71"/>
        <v>0</v>
      </c>
      <c r="T137" s="350">
        <f t="shared" si="71"/>
        <v>0</v>
      </c>
      <c r="U137" s="350">
        <f t="shared" si="71"/>
        <v>0</v>
      </c>
      <c r="V137" s="350">
        <f t="shared" si="71"/>
        <v>0</v>
      </c>
      <c r="W137" s="347">
        <f t="shared" si="82"/>
        <v>0</v>
      </c>
    </row>
    <row r="138" spans="2:33" x14ac:dyDescent="0.3">
      <c r="B138" s="95">
        <f t="shared" si="76"/>
        <v>17</v>
      </c>
      <c r="C138" s="469" t="s">
        <v>900</v>
      </c>
      <c r="D138" s="350">
        <f t="shared" ref="D138:G138" si="89">D30-D84</f>
        <v>0</v>
      </c>
      <c r="E138" s="350">
        <f t="shared" si="89"/>
        <v>0</v>
      </c>
      <c r="F138" s="350">
        <f t="shared" si="89"/>
        <v>0</v>
      </c>
      <c r="G138" s="350">
        <f t="shared" si="89"/>
        <v>0</v>
      </c>
      <c r="H138" s="350">
        <f t="shared" si="78"/>
        <v>0</v>
      </c>
      <c r="I138" s="350">
        <f t="shared" ref="I138:L138" si="90">I30-I84</f>
        <v>0</v>
      </c>
      <c r="J138" s="350">
        <f t="shared" si="90"/>
        <v>0</v>
      </c>
      <c r="K138" s="350">
        <f t="shared" si="90"/>
        <v>0</v>
      </c>
      <c r="L138" s="350">
        <f t="shared" si="90"/>
        <v>0</v>
      </c>
      <c r="M138" s="347">
        <f t="shared" si="80"/>
        <v>0</v>
      </c>
      <c r="N138" s="350">
        <f t="shared" si="70"/>
        <v>0</v>
      </c>
      <c r="O138" s="350">
        <f t="shared" si="70"/>
        <v>0</v>
      </c>
      <c r="P138" s="350">
        <f t="shared" si="70"/>
        <v>0</v>
      </c>
      <c r="Q138" s="350">
        <f t="shared" si="70"/>
        <v>0</v>
      </c>
      <c r="R138" s="350">
        <f t="shared" si="81"/>
        <v>0</v>
      </c>
      <c r="S138" s="350">
        <f t="shared" si="71"/>
        <v>0</v>
      </c>
      <c r="T138" s="350">
        <f t="shared" si="71"/>
        <v>0</v>
      </c>
      <c r="U138" s="350">
        <f t="shared" si="71"/>
        <v>0</v>
      </c>
      <c r="V138" s="350">
        <f t="shared" si="71"/>
        <v>0</v>
      </c>
      <c r="W138" s="347">
        <f t="shared" si="82"/>
        <v>0</v>
      </c>
    </row>
    <row r="139" spans="2:33" ht="16" x14ac:dyDescent="0.3">
      <c r="B139" s="83"/>
      <c r="C139" s="97" t="s">
        <v>271</v>
      </c>
      <c r="D139" s="349">
        <f>SUM(D122:D137)</f>
        <v>1004.088525992194</v>
      </c>
      <c r="E139" s="349">
        <f t="shared" ref="E139:M139" si="91">SUM(E122:E137)</f>
        <v>39.627884387237437</v>
      </c>
      <c r="F139" s="349">
        <f t="shared" si="91"/>
        <v>1.0724741018203037</v>
      </c>
      <c r="G139" s="349">
        <f t="shared" si="91"/>
        <v>0</v>
      </c>
      <c r="H139" s="349">
        <f t="shared" si="91"/>
        <v>1042.6439362776109</v>
      </c>
      <c r="I139" s="349">
        <f t="shared" si="91"/>
        <v>1042.6439362776111</v>
      </c>
      <c r="J139" s="349">
        <f t="shared" si="91"/>
        <v>19.51950536177571</v>
      </c>
      <c r="K139" s="349">
        <f t="shared" si="91"/>
        <v>1.1923029529769986</v>
      </c>
      <c r="L139" s="349">
        <f t="shared" si="91"/>
        <v>0</v>
      </c>
      <c r="M139" s="349">
        <f t="shared" si="91"/>
        <v>1060.9711386864101</v>
      </c>
      <c r="N139" s="349">
        <f t="shared" ref="N139:W139" si="92">SUM(N122:N137)</f>
        <v>1060.9711386864099</v>
      </c>
      <c r="O139" s="349">
        <f t="shared" si="92"/>
        <v>285.70204581259492</v>
      </c>
      <c r="P139" s="349">
        <f t="shared" si="92"/>
        <v>0</v>
      </c>
      <c r="Q139" s="349">
        <f t="shared" si="92"/>
        <v>0</v>
      </c>
      <c r="R139" s="349">
        <f t="shared" si="92"/>
        <v>1346.6731844990047</v>
      </c>
      <c r="S139" s="349">
        <f t="shared" si="92"/>
        <v>1346.6731844990047</v>
      </c>
      <c r="T139" s="349">
        <f t="shared" si="92"/>
        <v>-4.7887811737363934</v>
      </c>
      <c r="U139" s="349">
        <f t="shared" si="92"/>
        <v>0</v>
      </c>
      <c r="V139" s="349">
        <f t="shared" si="92"/>
        <v>0</v>
      </c>
      <c r="W139" s="349">
        <f t="shared" si="92"/>
        <v>1341.8844033252685</v>
      </c>
    </row>
    <row r="140" spans="2:33" ht="16" x14ac:dyDescent="0.3">
      <c r="B140" s="262"/>
      <c r="C140" s="264"/>
      <c r="D140" s="264"/>
      <c r="E140" s="264"/>
      <c r="F140" s="264"/>
      <c r="G140" s="264"/>
      <c r="H140" s="264"/>
      <c r="I140" s="262"/>
      <c r="J140" s="262"/>
      <c r="K140" s="262"/>
      <c r="L140" s="262"/>
      <c r="M140" s="262"/>
      <c r="N140" s="262"/>
      <c r="O140" s="262"/>
      <c r="P140" s="262"/>
      <c r="Q140" s="262"/>
      <c r="R140" s="262"/>
      <c r="S140" s="45"/>
      <c r="T140" s="45"/>
      <c r="U140" s="45"/>
      <c r="V140" s="45"/>
      <c r="W140" s="45"/>
      <c r="X140" s="45"/>
      <c r="Y140" s="45"/>
      <c r="Z140" s="45"/>
      <c r="AA140" s="45"/>
      <c r="AB140" s="45"/>
      <c r="AC140" s="45"/>
      <c r="AD140" s="45"/>
      <c r="AE140" s="45"/>
      <c r="AF140" s="45"/>
      <c r="AG140" s="45"/>
    </row>
    <row r="141" spans="2:33" ht="16" x14ac:dyDescent="0.3">
      <c r="B141" s="261" t="s">
        <v>599</v>
      </c>
      <c r="C141" s="266"/>
      <c r="D141" s="266"/>
      <c r="E141" s="266"/>
      <c r="F141" s="266"/>
      <c r="G141" s="264"/>
      <c r="H141" s="264"/>
      <c r="I141" s="262"/>
      <c r="J141" s="262"/>
      <c r="K141" s="262"/>
      <c r="L141" s="262"/>
      <c r="M141" s="262"/>
      <c r="N141" s="262"/>
      <c r="O141" s="262"/>
      <c r="P141" s="262"/>
      <c r="Q141" s="262"/>
      <c r="R141" s="262"/>
      <c r="S141" s="45"/>
      <c r="T141" s="45"/>
      <c r="U141" s="45"/>
      <c r="V141" s="45"/>
      <c r="W141" s="45"/>
      <c r="X141" s="45"/>
      <c r="Y141" s="45"/>
      <c r="Z141" s="45"/>
      <c r="AA141" s="45"/>
      <c r="AB141" s="45"/>
      <c r="AC141" s="45"/>
      <c r="AD141" s="45"/>
      <c r="AE141" s="45"/>
      <c r="AF141" s="45"/>
      <c r="AG141" s="45"/>
    </row>
    <row r="142" spans="2:33" ht="16" x14ac:dyDescent="0.3">
      <c r="B142" s="262"/>
      <c r="C142" s="264"/>
      <c r="D142" s="264"/>
      <c r="E142" s="264"/>
      <c r="F142" s="264"/>
      <c r="G142" s="264"/>
      <c r="H142" s="264"/>
      <c r="I142" s="262"/>
      <c r="J142" s="262"/>
      <c r="K142" s="262"/>
      <c r="L142" s="262"/>
      <c r="M142" s="262"/>
      <c r="N142" s="262"/>
      <c r="O142" s="262"/>
      <c r="P142" s="262"/>
      <c r="Q142" s="262"/>
      <c r="R142" s="262"/>
      <c r="S142" s="45"/>
      <c r="T142" s="45"/>
      <c r="U142" s="45"/>
      <c r="V142" s="45"/>
      <c r="W142" s="45"/>
      <c r="X142" s="45"/>
      <c r="Y142" s="45"/>
      <c r="Z142" s="45"/>
      <c r="AA142" s="45"/>
      <c r="AB142" s="45"/>
      <c r="AC142" s="45"/>
      <c r="AD142" s="45"/>
      <c r="AE142" s="45"/>
      <c r="AF142" s="45"/>
      <c r="AG142" s="45"/>
    </row>
    <row r="143" spans="2:33" ht="15" customHeight="1" x14ac:dyDescent="0.3">
      <c r="B143" s="262"/>
      <c r="C143" s="264"/>
      <c r="D143" s="8"/>
      <c r="E143" s="8"/>
      <c r="F143" s="8"/>
      <c r="G143" s="8"/>
      <c r="H143" s="8"/>
      <c r="I143" s="1"/>
      <c r="J143" s="44"/>
      <c r="K143" s="1"/>
      <c r="L143" s="1"/>
      <c r="M143" s="44"/>
      <c r="N143" s="44"/>
      <c r="O143" s="1"/>
      <c r="P143" s="1"/>
      <c r="Q143" s="1"/>
      <c r="AG143" s="259" t="s">
        <v>10</v>
      </c>
    </row>
    <row r="144" spans="2:33" ht="13.75" customHeight="1" x14ac:dyDescent="0.3">
      <c r="B144" s="1699" t="s">
        <v>340</v>
      </c>
      <c r="C144" s="1699" t="s">
        <v>37</v>
      </c>
      <c r="D144" s="1844" t="s">
        <v>970</v>
      </c>
      <c r="E144" s="1845"/>
      <c r="F144" s="1845"/>
      <c r="G144" s="1845"/>
      <c r="H144" s="1846"/>
      <c r="I144" s="1844" t="s">
        <v>971</v>
      </c>
      <c r="J144" s="1845"/>
      <c r="K144" s="1845"/>
      <c r="L144" s="1845"/>
      <c r="M144" s="1846"/>
      <c r="N144" s="1838" t="s">
        <v>972</v>
      </c>
      <c r="O144" s="1838"/>
      <c r="P144" s="1838"/>
      <c r="Q144" s="1838"/>
      <c r="R144" s="1838"/>
      <c r="S144" s="1838" t="s">
        <v>973</v>
      </c>
      <c r="T144" s="1838"/>
      <c r="U144" s="1838"/>
      <c r="V144" s="1838"/>
      <c r="W144" s="1838"/>
    </row>
    <row r="145" spans="2:23" x14ac:dyDescent="0.3">
      <c r="B145" s="1699"/>
      <c r="C145" s="1699"/>
      <c r="D145" s="1847" t="s">
        <v>21</v>
      </c>
      <c r="E145" s="1848"/>
      <c r="F145" s="1848"/>
      <c r="G145" s="1848"/>
      <c r="H145" s="1849"/>
      <c r="I145" s="1847" t="s">
        <v>21</v>
      </c>
      <c r="J145" s="1848"/>
      <c r="K145" s="1848"/>
      <c r="L145" s="1848"/>
      <c r="M145" s="1849"/>
      <c r="N145" s="1841" t="s">
        <v>21</v>
      </c>
      <c r="O145" s="1842"/>
      <c r="P145" s="1842"/>
      <c r="Q145" s="1842"/>
      <c r="R145" s="1842"/>
      <c r="S145" s="1841" t="s">
        <v>21</v>
      </c>
      <c r="T145" s="1842"/>
      <c r="U145" s="1842"/>
      <c r="V145" s="1842"/>
      <c r="W145" s="1842"/>
    </row>
    <row r="146" spans="2:23" ht="42" x14ac:dyDescent="0.3">
      <c r="B146" s="1699"/>
      <c r="C146" s="1699"/>
      <c r="D146" s="1104" t="s">
        <v>267</v>
      </c>
      <c r="E146" s="1104" t="s">
        <v>268</v>
      </c>
      <c r="F146" s="263" t="s">
        <v>274</v>
      </c>
      <c r="G146" s="1102" t="s">
        <v>587</v>
      </c>
      <c r="H146" s="1104" t="s">
        <v>270</v>
      </c>
      <c r="I146" s="1104" t="s">
        <v>267</v>
      </c>
      <c r="J146" s="1104" t="s">
        <v>268</v>
      </c>
      <c r="K146" s="1104" t="s">
        <v>269</v>
      </c>
      <c r="L146" s="1102" t="s">
        <v>587</v>
      </c>
      <c r="M146" s="1104" t="s">
        <v>270</v>
      </c>
      <c r="N146" s="695" t="s">
        <v>267</v>
      </c>
      <c r="O146" s="695" t="s">
        <v>268</v>
      </c>
      <c r="P146" s="695" t="s">
        <v>269</v>
      </c>
      <c r="Q146" s="690" t="s">
        <v>587</v>
      </c>
      <c r="R146" s="695" t="s">
        <v>270</v>
      </c>
      <c r="S146" s="695" t="s">
        <v>267</v>
      </c>
      <c r="T146" s="695" t="s">
        <v>268</v>
      </c>
      <c r="U146" s="695" t="s">
        <v>269</v>
      </c>
      <c r="V146" s="690" t="s">
        <v>587</v>
      </c>
      <c r="W146" s="695" t="s">
        <v>270</v>
      </c>
    </row>
    <row r="147" spans="2:23" ht="28" x14ac:dyDescent="0.3">
      <c r="B147" s="260"/>
      <c r="C147" s="260"/>
      <c r="D147" s="260" t="s">
        <v>660</v>
      </c>
      <c r="E147" s="260" t="s">
        <v>661</v>
      </c>
      <c r="F147" s="260" t="s">
        <v>662</v>
      </c>
      <c r="G147" s="260" t="s">
        <v>663</v>
      </c>
      <c r="H147" s="260" t="s">
        <v>664</v>
      </c>
      <c r="I147" s="260" t="s">
        <v>660</v>
      </c>
      <c r="J147" s="260" t="s">
        <v>661</v>
      </c>
      <c r="K147" s="260" t="s">
        <v>662</v>
      </c>
      <c r="L147" s="260" t="s">
        <v>663</v>
      </c>
      <c r="M147" s="260" t="s">
        <v>664</v>
      </c>
      <c r="N147" s="260" t="s">
        <v>660</v>
      </c>
      <c r="O147" s="260" t="s">
        <v>661</v>
      </c>
      <c r="P147" s="260" t="s">
        <v>662</v>
      </c>
      <c r="Q147" s="260" t="s">
        <v>663</v>
      </c>
      <c r="R147" s="260" t="s">
        <v>664</v>
      </c>
      <c r="S147" s="260" t="s">
        <v>660</v>
      </c>
      <c r="T147" s="260" t="s">
        <v>661</v>
      </c>
      <c r="U147" s="260" t="s">
        <v>662</v>
      </c>
      <c r="V147" s="260" t="s">
        <v>663</v>
      </c>
      <c r="W147" s="260" t="s">
        <v>664</v>
      </c>
    </row>
    <row r="148" spans="2:23" x14ac:dyDescent="0.3">
      <c r="B148" s="95">
        <v>1</v>
      </c>
      <c r="C148" s="448" t="s">
        <v>842</v>
      </c>
      <c r="D148" s="350">
        <f t="shared" ref="D148:G164" si="93">D40-D95</f>
        <v>50.821687901156309</v>
      </c>
      <c r="E148" s="350">
        <f t="shared" si="93"/>
        <v>0</v>
      </c>
      <c r="F148" s="350">
        <f t="shared" si="93"/>
        <v>0</v>
      </c>
      <c r="G148" s="350">
        <f t="shared" si="93"/>
        <v>0</v>
      </c>
      <c r="H148" s="347">
        <f>D148+E148-F148-G148</f>
        <v>50.821687901156309</v>
      </c>
      <c r="I148" s="444">
        <f>H148</f>
        <v>50.821687901156309</v>
      </c>
      <c r="J148" s="470"/>
      <c r="K148" s="444"/>
      <c r="L148" s="470"/>
      <c r="M148" s="444">
        <f>I148+J148-K148-L148</f>
        <v>50.821687901156309</v>
      </c>
      <c r="N148" s="444">
        <f>M148</f>
        <v>50.821687901156309</v>
      </c>
      <c r="O148" s="470"/>
      <c r="P148" s="444"/>
      <c r="Q148" s="470"/>
      <c r="R148" s="444">
        <f>N148+O148-P148-Q148</f>
        <v>50.821687901156309</v>
      </c>
      <c r="S148" s="444">
        <f>R148</f>
        <v>50.821687901156309</v>
      </c>
      <c r="T148" s="470"/>
      <c r="U148" s="444"/>
      <c r="V148" s="470"/>
      <c r="W148" s="444">
        <f>S148+T148-U148-V148</f>
        <v>50.821687901156309</v>
      </c>
    </row>
    <row r="149" spans="2:23" x14ac:dyDescent="0.3">
      <c r="B149" s="95">
        <f>B148+1</f>
        <v>2</v>
      </c>
      <c r="C149" s="448" t="s">
        <v>843</v>
      </c>
      <c r="D149" s="350">
        <f t="shared" si="93"/>
        <v>95.084384547810032</v>
      </c>
      <c r="E149" s="350">
        <f t="shared" si="93"/>
        <v>10.153141827541354</v>
      </c>
      <c r="F149" s="350">
        <f t="shared" si="93"/>
        <v>0</v>
      </c>
      <c r="G149" s="350">
        <f t="shared" si="93"/>
        <v>0</v>
      </c>
      <c r="H149" s="347">
        <f t="shared" ref="H149:H159" si="94">D149+E149-F149-G149</f>
        <v>105.23752637535139</v>
      </c>
      <c r="I149" s="444">
        <f t="shared" ref="I149:I164" si="95">H149</f>
        <v>105.23752637535139</v>
      </c>
      <c r="J149" s="470"/>
      <c r="K149" s="444"/>
      <c r="L149" s="470"/>
      <c r="M149" s="444">
        <f t="shared" ref="M149:M164" si="96">I149+J149-K149-L149</f>
        <v>105.23752637535139</v>
      </c>
      <c r="N149" s="444">
        <f t="shared" ref="N149:N164" si="97">M149</f>
        <v>105.23752637535139</v>
      </c>
      <c r="O149" s="470"/>
      <c r="P149" s="444"/>
      <c r="Q149" s="470"/>
      <c r="R149" s="444">
        <f t="shared" ref="R149:R164" si="98">N149+O149-P149-Q149</f>
        <v>105.23752637535139</v>
      </c>
      <c r="S149" s="444">
        <f t="shared" ref="S149:S164" si="99">R149</f>
        <v>105.23752637535139</v>
      </c>
      <c r="T149" s="470"/>
      <c r="U149" s="444"/>
      <c r="V149" s="470"/>
      <c r="W149" s="444">
        <f t="shared" ref="W149:W164" si="100">S149+T149-U149-V149</f>
        <v>105.23752637535139</v>
      </c>
    </row>
    <row r="150" spans="2:23" x14ac:dyDescent="0.3">
      <c r="B150" s="95">
        <f t="shared" ref="B150:B164" si="101">B149+1</f>
        <v>3</v>
      </c>
      <c r="C150" s="448" t="s">
        <v>844</v>
      </c>
      <c r="D150" s="350">
        <f t="shared" si="93"/>
        <v>0</v>
      </c>
      <c r="E150" s="350">
        <f t="shared" si="93"/>
        <v>0</v>
      </c>
      <c r="F150" s="350">
        <f t="shared" si="93"/>
        <v>0</v>
      </c>
      <c r="G150" s="350">
        <f t="shared" si="93"/>
        <v>0</v>
      </c>
      <c r="H150" s="347">
        <f t="shared" si="94"/>
        <v>0</v>
      </c>
      <c r="I150" s="444">
        <f t="shared" si="95"/>
        <v>0</v>
      </c>
      <c r="J150" s="470"/>
      <c r="K150" s="444"/>
      <c r="L150" s="470"/>
      <c r="M150" s="444">
        <f t="shared" si="96"/>
        <v>0</v>
      </c>
      <c r="N150" s="444">
        <f t="shared" si="97"/>
        <v>0</v>
      </c>
      <c r="O150" s="470"/>
      <c r="P150" s="444"/>
      <c r="Q150" s="470"/>
      <c r="R150" s="444">
        <f t="shared" si="98"/>
        <v>0</v>
      </c>
      <c r="S150" s="444">
        <f t="shared" si="99"/>
        <v>0</v>
      </c>
      <c r="T150" s="470"/>
      <c r="U150" s="444"/>
      <c r="V150" s="470"/>
      <c r="W150" s="444">
        <f t="shared" si="100"/>
        <v>0</v>
      </c>
    </row>
    <row r="151" spans="2:23" x14ac:dyDescent="0.3">
      <c r="B151" s="95">
        <f t="shared" si="101"/>
        <v>4</v>
      </c>
      <c r="C151" s="448" t="s">
        <v>845</v>
      </c>
      <c r="D151" s="350">
        <f t="shared" si="93"/>
        <v>72.892806586955714</v>
      </c>
      <c r="E151" s="350">
        <f t="shared" si="93"/>
        <v>-7.7252162708760137</v>
      </c>
      <c r="F151" s="350">
        <f t="shared" si="93"/>
        <v>0</v>
      </c>
      <c r="G151" s="350">
        <f t="shared" si="93"/>
        <v>0</v>
      </c>
      <c r="H151" s="347">
        <f t="shared" si="94"/>
        <v>65.167590316079696</v>
      </c>
      <c r="I151" s="444">
        <f t="shared" si="95"/>
        <v>65.167590316079696</v>
      </c>
      <c r="J151" s="470"/>
      <c r="K151" s="444"/>
      <c r="L151" s="470"/>
      <c r="M151" s="444">
        <f t="shared" si="96"/>
        <v>65.167590316079696</v>
      </c>
      <c r="N151" s="444">
        <f t="shared" si="97"/>
        <v>65.167590316079696</v>
      </c>
      <c r="O151" s="470"/>
      <c r="P151" s="444"/>
      <c r="Q151" s="470"/>
      <c r="R151" s="444">
        <f t="shared" si="98"/>
        <v>65.167590316079696</v>
      </c>
      <c r="S151" s="444">
        <f t="shared" si="99"/>
        <v>65.167590316079696</v>
      </c>
      <c r="T151" s="470"/>
      <c r="U151" s="444"/>
      <c r="V151" s="470"/>
      <c r="W151" s="444">
        <f t="shared" si="100"/>
        <v>65.167590316079696</v>
      </c>
    </row>
    <row r="152" spans="2:23" x14ac:dyDescent="0.3">
      <c r="B152" s="95">
        <f t="shared" si="101"/>
        <v>5</v>
      </c>
      <c r="C152" s="448" t="s">
        <v>846</v>
      </c>
      <c r="D152" s="350">
        <f t="shared" si="93"/>
        <v>67.673013434671788</v>
      </c>
      <c r="E152" s="350">
        <f t="shared" si="93"/>
        <v>-9.0953991962926484</v>
      </c>
      <c r="F152" s="350">
        <f t="shared" si="93"/>
        <v>0</v>
      </c>
      <c r="G152" s="350">
        <f t="shared" si="93"/>
        <v>0</v>
      </c>
      <c r="H152" s="347">
        <f t="shared" si="94"/>
        <v>58.577614238379141</v>
      </c>
      <c r="I152" s="444">
        <f t="shared" si="95"/>
        <v>58.577614238379141</v>
      </c>
      <c r="J152" s="470"/>
      <c r="K152" s="444"/>
      <c r="L152" s="470"/>
      <c r="M152" s="444">
        <f t="shared" si="96"/>
        <v>58.577614238379141</v>
      </c>
      <c r="N152" s="444">
        <f t="shared" si="97"/>
        <v>58.577614238379141</v>
      </c>
      <c r="O152" s="470"/>
      <c r="P152" s="444"/>
      <c r="Q152" s="470"/>
      <c r="R152" s="444">
        <f t="shared" si="98"/>
        <v>58.577614238379141</v>
      </c>
      <c r="S152" s="444">
        <f t="shared" si="99"/>
        <v>58.577614238379141</v>
      </c>
      <c r="T152" s="470"/>
      <c r="U152" s="444"/>
      <c r="V152" s="470"/>
      <c r="W152" s="444">
        <f t="shared" si="100"/>
        <v>58.577614238379141</v>
      </c>
    </row>
    <row r="153" spans="2:23" x14ac:dyDescent="0.3">
      <c r="B153" s="95">
        <f t="shared" si="101"/>
        <v>6</v>
      </c>
      <c r="C153" s="448" t="s">
        <v>256</v>
      </c>
      <c r="D153" s="350">
        <f t="shared" si="93"/>
        <v>1028.3466738186762</v>
      </c>
      <c r="E153" s="350">
        <f t="shared" si="93"/>
        <v>-96.752807776458241</v>
      </c>
      <c r="F153" s="350">
        <f t="shared" si="93"/>
        <v>0</v>
      </c>
      <c r="G153" s="350">
        <f t="shared" si="93"/>
        <v>0</v>
      </c>
      <c r="H153" s="347">
        <f t="shared" si="94"/>
        <v>931.593866042218</v>
      </c>
      <c r="I153" s="444">
        <f t="shared" si="95"/>
        <v>931.593866042218</v>
      </c>
      <c r="J153" s="470"/>
      <c r="K153" s="444"/>
      <c r="L153" s="470"/>
      <c r="M153" s="444">
        <f t="shared" si="96"/>
        <v>931.593866042218</v>
      </c>
      <c r="N153" s="444">
        <f t="shared" si="97"/>
        <v>931.593866042218</v>
      </c>
      <c r="O153" s="470"/>
      <c r="P153" s="444"/>
      <c r="Q153" s="470"/>
      <c r="R153" s="444">
        <f t="shared" si="98"/>
        <v>931.593866042218</v>
      </c>
      <c r="S153" s="444">
        <f t="shared" si="99"/>
        <v>931.593866042218</v>
      </c>
      <c r="T153" s="470"/>
      <c r="U153" s="444"/>
      <c r="V153" s="470"/>
      <c r="W153" s="444">
        <f t="shared" si="100"/>
        <v>931.593866042218</v>
      </c>
    </row>
    <row r="154" spans="2:23" x14ac:dyDescent="0.3">
      <c r="B154" s="95">
        <f t="shared" si="101"/>
        <v>7</v>
      </c>
      <c r="C154" s="448" t="s">
        <v>847</v>
      </c>
      <c r="D154" s="350">
        <f t="shared" si="93"/>
        <v>0.30333333333333334</v>
      </c>
      <c r="E154" s="350">
        <f t="shared" si="93"/>
        <v>-0.06</v>
      </c>
      <c r="F154" s="350">
        <f t="shared" si="93"/>
        <v>0</v>
      </c>
      <c r="G154" s="350">
        <f t="shared" si="93"/>
        <v>0</v>
      </c>
      <c r="H154" s="347">
        <f t="shared" si="94"/>
        <v>0.24333333333333335</v>
      </c>
      <c r="I154" s="444">
        <f t="shared" si="95"/>
        <v>0.24333333333333335</v>
      </c>
      <c r="J154" s="470"/>
      <c r="K154" s="444"/>
      <c r="L154" s="470"/>
      <c r="M154" s="444">
        <f t="shared" si="96"/>
        <v>0.24333333333333335</v>
      </c>
      <c r="N154" s="444">
        <f t="shared" si="97"/>
        <v>0.24333333333333335</v>
      </c>
      <c r="O154" s="470"/>
      <c r="P154" s="444"/>
      <c r="Q154" s="470"/>
      <c r="R154" s="444">
        <f t="shared" si="98"/>
        <v>0.24333333333333335</v>
      </c>
      <c r="S154" s="444">
        <f t="shared" si="99"/>
        <v>0.24333333333333335</v>
      </c>
      <c r="T154" s="470"/>
      <c r="U154" s="444"/>
      <c r="V154" s="470"/>
      <c r="W154" s="444">
        <f t="shared" si="100"/>
        <v>0.24333333333333335</v>
      </c>
    </row>
    <row r="155" spans="2:23" x14ac:dyDescent="0.3">
      <c r="B155" s="95">
        <f t="shared" si="101"/>
        <v>8</v>
      </c>
      <c r="C155" s="448" t="s">
        <v>848</v>
      </c>
      <c r="D155" s="350">
        <f t="shared" si="93"/>
        <v>0</v>
      </c>
      <c r="E155" s="350">
        <f t="shared" si="93"/>
        <v>0</v>
      </c>
      <c r="F155" s="350">
        <f t="shared" si="93"/>
        <v>0</v>
      </c>
      <c r="G155" s="350">
        <f t="shared" si="93"/>
        <v>0</v>
      </c>
      <c r="H155" s="347">
        <f t="shared" si="94"/>
        <v>0</v>
      </c>
      <c r="I155" s="444">
        <f t="shared" si="95"/>
        <v>0</v>
      </c>
      <c r="J155" s="470"/>
      <c r="K155" s="444"/>
      <c r="L155" s="470"/>
      <c r="M155" s="444">
        <f t="shared" si="96"/>
        <v>0</v>
      </c>
      <c r="N155" s="444">
        <f t="shared" si="97"/>
        <v>0</v>
      </c>
      <c r="O155" s="470"/>
      <c r="P155" s="444"/>
      <c r="Q155" s="470"/>
      <c r="R155" s="444">
        <f t="shared" si="98"/>
        <v>0</v>
      </c>
      <c r="S155" s="444">
        <f t="shared" si="99"/>
        <v>0</v>
      </c>
      <c r="T155" s="470"/>
      <c r="U155" s="444"/>
      <c r="V155" s="470"/>
      <c r="W155" s="444">
        <f t="shared" si="100"/>
        <v>0</v>
      </c>
    </row>
    <row r="156" spans="2:23" x14ac:dyDescent="0.3">
      <c r="B156" s="95">
        <f t="shared" si="101"/>
        <v>9</v>
      </c>
      <c r="C156" s="448" t="s">
        <v>849</v>
      </c>
      <c r="D156" s="350">
        <f t="shared" si="93"/>
        <v>14.779444095975975</v>
      </c>
      <c r="E156" s="350">
        <f t="shared" si="93"/>
        <v>-0.62396679868250093</v>
      </c>
      <c r="F156" s="350">
        <f t="shared" si="93"/>
        <v>0</v>
      </c>
      <c r="G156" s="350">
        <f t="shared" si="93"/>
        <v>0</v>
      </c>
      <c r="H156" s="347">
        <f t="shared" si="94"/>
        <v>14.155477297293475</v>
      </c>
      <c r="I156" s="444">
        <f t="shared" si="95"/>
        <v>14.155477297293475</v>
      </c>
      <c r="J156" s="470"/>
      <c r="K156" s="444"/>
      <c r="L156" s="470"/>
      <c r="M156" s="444">
        <f t="shared" si="96"/>
        <v>14.155477297293475</v>
      </c>
      <c r="N156" s="444">
        <f t="shared" si="97"/>
        <v>14.155477297293475</v>
      </c>
      <c r="O156" s="470"/>
      <c r="P156" s="444"/>
      <c r="Q156" s="470"/>
      <c r="R156" s="444">
        <f t="shared" si="98"/>
        <v>14.155477297293475</v>
      </c>
      <c r="S156" s="444">
        <f t="shared" si="99"/>
        <v>14.155477297293475</v>
      </c>
      <c r="T156" s="470"/>
      <c r="U156" s="444"/>
      <c r="V156" s="470"/>
      <c r="W156" s="444">
        <f t="shared" si="100"/>
        <v>14.155477297293475</v>
      </c>
    </row>
    <row r="157" spans="2:23" x14ac:dyDescent="0.3">
      <c r="B157" s="95">
        <f t="shared" si="101"/>
        <v>10</v>
      </c>
      <c r="C157" s="448" t="s">
        <v>259</v>
      </c>
      <c r="D157" s="350">
        <f t="shared" si="93"/>
        <v>7.846089256998626</v>
      </c>
      <c r="E157" s="350">
        <f t="shared" si="93"/>
        <v>-1.0393146147445815</v>
      </c>
      <c r="F157" s="350">
        <f t="shared" si="93"/>
        <v>0</v>
      </c>
      <c r="G157" s="350">
        <f t="shared" si="93"/>
        <v>0</v>
      </c>
      <c r="H157" s="347">
        <f t="shared" si="94"/>
        <v>6.8067746422540445</v>
      </c>
      <c r="I157" s="444">
        <f t="shared" si="95"/>
        <v>6.8067746422540445</v>
      </c>
      <c r="J157" s="470"/>
      <c r="K157" s="444"/>
      <c r="L157" s="470"/>
      <c r="M157" s="444">
        <f t="shared" si="96"/>
        <v>6.8067746422540445</v>
      </c>
      <c r="N157" s="444">
        <f t="shared" si="97"/>
        <v>6.8067746422540445</v>
      </c>
      <c r="O157" s="470"/>
      <c r="P157" s="444"/>
      <c r="Q157" s="470"/>
      <c r="R157" s="444">
        <f t="shared" si="98"/>
        <v>6.8067746422540445</v>
      </c>
      <c r="S157" s="444">
        <f t="shared" si="99"/>
        <v>6.8067746422540445</v>
      </c>
      <c r="T157" s="470"/>
      <c r="U157" s="444"/>
      <c r="V157" s="470"/>
      <c r="W157" s="444">
        <f t="shared" si="100"/>
        <v>6.8067746422540445</v>
      </c>
    </row>
    <row r="158" spans="2:23" x14ac:dyDescent="0.3">
      <c r="B158" s="95">
        <f t="shared" si="101"/>
        <v>11</v>
      </c>
      <c r="C158" s="448" t="s">
        <v>260</v>
      </c>
      <c r="D158" s="350">
        <f t="shared" si="93"/>
        <v>1.1119786683389812</v>
      </c>
      <c r="E158" s="350">
        <f t="shared" si="93"/>
        <v>-0.17218669501799624</v>
      </c>
      <c r="F158" s="350">
        <f t="shared" si="93"/>
        <v>0</v>
      </c>
      <c r="G158" s="350">
        <f t="shared" si="93"/>
        <v>0</v>
      </c>
      <c r="H158" s="347">
        <f t="shared" si="94"/>
        <v>0.93979197332098496</v>
      </c>
      <c r="I158" s="444">
        <f t="shared" si="95"/>
        <v>0.93979197332098496</v>
      </c>
      <c r="J158" s="470"/>
      <c r="K158" s="444"/>
      <c r="L158" s="470"/>
      <c r="M158" s="444">
        <f t="shared" si="96"/>
        <v>0.93979197332098496</v>
      </c>
      <c r="N158" s="444">
        <f t="shared" si="97"/>
        <v>0.93979197332098496</v>
      </c>
      <c r="O158" s="470"/>
      <c r="P158" s="444"/>
      <c r="Q158" s="470"/>
      <c r="R158" s="444">
        <f t="shared" si="98"/>
        <v>0.93979197332098496</v>
      </c>
      <c r="S158" s="444">
        <f t="shared" si="99"/>
        <v>0.93979197332098496</v>
      </c>
      <c r="T158" s="470"/>
      <c r="U158" s="444"/>
      <c r="V158" s="470"/>
      <c r="W158" s="444">
        <f t="shared" si="100"/>
        <v>0.93979197332098496</v>
      </c>
    </row>
    <row r="159" spans="2:23" x14ac:dyDescent="0.3">
      <c r="B159" s="95">
        <f t="shared" si="101"/>
        <v>12</v>
      </c>
      <c r="C159" s="448" t="s">
        <v>261</v>
      </c>
      <c r="D159" s="350">
        <f t="shared" si="93"/>
        <v>3.0249916813514917</v>
      </c>
      <c r="E159" s="350">
        <f t="shared" si="93"/>
        <v>-0.50951855935207468</v>
      </c>
      <c r="F159" s="350">
        <f t="shared" si="93"/>
        <v>0</v>
      </c>
      <c r="G159" s="350">
        <f t="shared" si="93"/>
        <v>0</v>
      </c>
      <c r="H159" s="347">
        <f t="shared" si="94"/>
        <v>2.5154731219994169</v>
      </c>
      <c r="I159" s="444">
        <f t="shared" si="95"/>
        <v>2.5154731219994169</v>
      </c>
      <c r="J159" s="470"/>
      <c r="K159" s="444"/>
      <c r="L159" s="470"/>
      <c r="M159" s="444">
        <f t="shared" si="96"/>
        <v>2.5154731219994169</v>
      </c>
      <c r="N159" s="444">
        <f t="shared" si="97"/>
        <v>2.5154731219994169</v>
      </c>
      <c r="O159" s="470"/>
      <c r="P159" s="444"/>
      <c r="Q159" s="470"/>
      <c r="R159" s="444">
        <f t="shared" si="98"/>
        <v>2.5154731219994169</v>
      </c>
      <c r="S159" s="444">
        <f t="shared" si="99"/>
        <v>2.5154731219994169</v>
      </c>
      <c r="T159" s="470"/>
      <c r="U159" s="444"/>
      <c r="V159" s="470"/>
      <c r="W159" s="444">
        <f t="shared" si="100"/>
        <v>2.5154731219994169</v>
      </c>
    </row>
    <row r="160" spans="2:23" x14ac:dyDescent="0.3">
      <c r="B160" s="95">
        <f t="shared" si="101"/>
        <v>13</v>
      </c>
      <c r="C160" s="469" t="s">
        <v>897</v>
      </c>
      <c r="D160" s="350">
        <f t="shared" si="93"/>
        <v>0</v>
      </c>
      <c r="E160" s="350">
        <f t="shared" si="93"/>
        <v>0</v>
      </c>
      <c r="F160" s="350">
        <f t="shared" si="93"/>
        <v>0</v>
      </c>
      <c r="G160" s="350">
        <f t="shared" si="93"/>
        <v>0</v>
      </c>
      <c r="H160" s="347">
        <f t="shared" ref="H160:H164" si="102">D160+E160-F160-G160</f>
        <v>0</v>
      </c>
      <c r="I160" s="444">
        <f t="shared" si="95"/>
        <v>0</v>
      </c>
      <c r="J160" s="470"/>
      <c r="K160" s="444"/>
      <c r="L160" s="470"/>
      <c r="M160" s="444">
        <f t="shared" si="96"/>
        <v>0</v>
      </c>
      <c r="N160" s="444">
        <f t="shared" si="97"/>
        <v>0</v>
      </c>
      <c r="O160" s="470"/>
      <c r="P160" s="444"/>
      <c r="Q160" s="470"/>
      <c r="R160" s="444">
        <f t="shared" si="98"/>
        <v>0</v>
      </c>
      <c r="S160" s="444">
        <f t="shared" si="99"/>
        <v>0</v>
      </c>
      <c r="T160" s="470"/>
      <c r="U160" s="444"/>
      <c r="V160" s="470"/>
      <c r="W160" s="444">
        <f t="shared" si="100"/>
        <v>0</v>
      </c>
    </row>
    <row r="161" spans="2:23" x14ac:dyDescent="0.3">
      <c r="B161" s="95">
        <f t="shared" si="101"/>
        <v>14</v>
      </c>
      <c r="C161" s="469" t="s">
        <v>898</v>
      </c>
      <c r="D161" s="350">
        <f t="shared" si="93"/>
        <v>0</v>
      </c>
      <c r="E161" s="350">
        <f t="shared" si="93"/>
        <v>0</v>
      </c>
      <c r="F161" s="350">
        <f t="shared" si="93"/>
        <v>0</v>
      </c>
      <c r="G161" s="350">
        <f t="shared" si="93"/>
        <v>0</v>
      </c>
      <c r="H161" s="347">
        <f t="shared" si="102"/>
        <v>0</v>
      </c>
      <c r="I161" s="444">
        <f t="shared" si="95"/>
        <v>0</v>
      </c>
      <c r="J161" s="470"/>
      <c r="K161" s="444"/>
      <c r="L161" s="470"/>
      <c r="M161" s="444">
        <f t="shared" si="96"/>
        <v>0</v>
      </c>
      <c r="N161" s="444">
        <f t="shared" si="97"/>
        <v>0</v>
      </c>
      <c r="O161" s="470"/>
      <c r="P161" s="444"/>
      <c r="Q161" s="470"/>
      <c r="R161" s="444">
        <f t="shared" si="98"/>
        <v>0</v>
      </c>
      <c r="S161" s="444">
        <f t="shared" si="99"/>
        <v>0</v>
      </c>
      <c r="T161" s="470"/>
      <c r="U161" s="444"/>
      <c r="V161" s="470"/>
      <c r="W161" s="444">
        <f t="shared" si="100"/>
        <v>0</v>
      </c>
    </row>
    <row r="162" spans="2:23" x14ac:dyDescent="0.3">
      <c r="B162" s="95">
        <f t="shared" si="101"/>
        <v>15</v>
      </c>
      <c r="C162" s="469" t="s">
        <v>899</v>
      </c>
      <c r="D162" s="350">
        <f t="shared" si="93"/>
        <v>0</v>
      </c>
      <c r="E162" s="350">
        <f t="shared" si="93"/>
        <v>0</v>
      </c>
      <c r="F162" s="350">
        <f t="shared" si="93"/>
        <v>0</v>
      </c>
      <c r="G162" s="350">
        <f t="shared" si="93"/>
        <v>0</v>
      </c>
      <c r="H162" s="347">
        <f t="shared" si="102"/>
        <v>0</v>
      </c>
      <c r="I162" s="444">
        <f t="shared" si="95"/>
        <v>0</v>
      </c>
      <c r="J162" s="470"/>
      <c r="K162" s="444"/>
      <c r="L162" s="470"/>
      <c r="M162" s="444">
        <f t="shared" si="96"/>
        <v>0</v>
      </c>
      <c r="N162" s="444">
        <f t="shared" si="97"/>
        <v>0</v>
      </c>
      <c r="O162" s="470"/>
      <c r="P162" s="444"/>
      <c r="Q162" s="470"/>
      <c r="R162" s="444">
        <f t="shared" si="98"/>
        <v>0</v>
      </c>
      <c r="S162" s="444">
        <f t="shared" si="99"/>
        <v>0</v>
      </c>
      <c r="T162" s="470"/>
      <c r="U162" s="444"/>
      <c r="V162" s="470"/>
      <c r="W162" s="444">
        <f t="shared" si="100"/>
        <v>0</v>
      </c>
    </row>
    <row r="163" spans="2:23" x14ac:dyDescent="0.3">
      <c r="B163" s="95">
        <f t="shared" si="101"/>
        <v>16</v>
      </c>
      <c r="C163" s="469" t="s">
        <v>850</v>
      </c>
      <c r="D163" s="350">
        <f t="shared" si="93"/>
        <v>0</v>
      </c>
      <c r="E163" s="350">
        <f t="shared" si="93"/>
        <v>0</v>
      </c>
      <c r="F163" s="350">
        <f t="shared" si="93"/>
        <v>0</v>
      </c>
      <c r="G163" s="350">
        <f t="shared" si="93"/>
        <v>0</v>
      </c>
      <c r="H163" s="347">
        <f t="shared" si="102"/>
        <v>0</v>
      </c>
      <c r="I163" s="444">
        <f t="shared" si="95"/>
        <v>0</v>
      </c>
      <c r="J163" s="470"/>
      <c r="K163" s="444"/>
      <c r="L163" s="470"/>
      <c r="M163" s="444">
        <f t="shared" si="96"/>
        <v>0</v>
      </c>
      <c r="N163" s="444">
        <f t="shared" si="97"/>
        <v>0</v>
      </c>
      <c r="O163" s="470"/>
      <c r="P163" s="444"/>
      <c r="Q163" s="470"/>
      <c r="R163" s="444">
        <f t="shared" si="98"/>
        <v>0</v>
      </c>
      <c r="S163" s="444">
        <f t="shared" si="99"/>
        <v>0</v>
      </c>
      <c r="T163" s="470"/>
      <c r="U163" s="444"/>
      <c r="V163" s="470"/>
      <c r="W163" s="444">
        <f t="shared" si="100"/>
        <v>0</v>
      </c>
    </row>
    <row r="164" spans="2:23" x14ac:dyDescent="0.3">
      <c r="B164" s="95">
        <f t="shared" si="101"/>
        <v>17</v>
      </c>
      <c r="C164" s="469" t="s">
        <v>900</v>
      </c>
      <c r="D164" s="350">
        <f t="shared" si="93"/>
        <v>0</v>
      </c>
      <c r="E164" s="350">
        <f t="shared" si="93"/>
        <v>0</v>
      </c>
      <c r="F164" s="350">
        <f t="shared" si="93"/>
        <v>0</v>
      </c>
      <c r="G164" s="350">
        <f t="shared" si="93"/>
        <v>0</v>
      </c>
      <c r="H164" s="347">
        <f t="shared" si="102"/>
        <v>0</v>
      </c>
      <c r="I164" s="444">
        <f t="shared" si="95"/>
        <v>0</v>
      </c>
      <c r="J164" s="470"/>
      <c r="K164" s="444"/>
      <c r="L164" s="470"/>
      <c r="M164" s="444">
        <f t="shared" si="96"/>
        <v>0</v>
      </c>
      <c r="N164" s="444">
        <f t="shared" si="97"/>
        <v>0</v>
      </c>
      <c r="O164" s="470"/>
      <c r="P164" s="444"/>
      <c r="Q164" s="470"/>
      <c r="R164" s="444">
        <f t="shared" si="98"/>
        <v>0</v>
      </c>
      <c r="S164" s="444">
        <f t="shared" si="99"/>
        <v>0</v>
      </c>
      <c r="T164" s="470"/>
      <c r="U164" s="444"/>
      <c r="V164" s="470"/>
      <c r="W164" s="444">
        <f t="shared" si="100"/>
        <v>0</v>
      </c>
    </row>
    <row r="165" spans="2:23" ht="16" x14ac:dyDescent="0.3">
      <c r="B165" s="83"/>
      <c r="C165" s="97" t="s">
        <v>271</v>
      </c>
      <c r="D165" s="349">
        <f>SUM(D148:D163)</f>
        <v>1341.8844033252685</v>
      </c>
      <c r="E165" s="349">
        <f>SUM(E148:E163)</f>
        <v>-105.8252680838827</v>
      </c>
      <c r="F165" s="349">
        <f>SUM(F148:F163)</f>
        <v>0</v>
      </c>
      <c r="G165" s="349">
        <f>SUM(G148:G163)</f>
        <v>0</v>
      </c>
      <c r="H165" s="349">
        <f>SUM(H148:H163)</f>
        <v>1236.0591352413858</v>
      </c>
      <c r="I165" s="349">
        <f t="shared" ref="I165:W165" si="103">SUM(I148:I164)</f>
        <v>1236.0591352413858</v>
      </c>
      <c r="J165" s="349">
        <f t="shared" si="103"/>
        <v>0</v>
      </c>
      <c r="K165" s="349">
        <f t="shared" si="103"/>
        <v>0</v>
      </c>
      <c r="L165" s="349">
        <f t="shared" si="103"/>
        <v>0</v>
      </c>
      <c r="M165" s="349">
        <f t="shared" si="103"/>
        <v>1236.0591352413858</v>
      </c>
      <c r="N165" s="349">
        <f t="shared" si="103"/>
        <v>1236.0591352413858</v>
      </c>
      <c r="O165" s="349">
        <f t="shared" si="103"/>
        <v>0</v>
      </c>
      <c r="P165" s="349">
        <f t="shared" si="103"/>
        <v>0</v>
      </c>
      <c r="Q165" s="349">
        <f t="shared" si="103"/>
        <v>0</v>
      </c>
      <c r="R165" s="349">
        <f t="shared" si="103"/>
        <v>1236.0591352413858</v>
      </c>
      <c r="S165" s="349">
        <f t="shared" si="103"/>
        <v>1236.0591352413858</v>
      </c>
      <c r="T165" s="349">
        <f t="shared" si="103"/>
        <v>0</v>
      </c>
      <c r="U165" s="349">
        <f t="shared" si="103"/>
        <v>0</v>
      </c>
      <c r="V165" s="349">
        <f t="shared" si="103"/>
        <v>0</v>
      </c>
      <c r="W165" s="349">
        <f t="shared" si="103"/>
        <v>1236.0591352413858</v>
      </c>
    </row>
    <row r="166" spans="2:23" x14ac:dyDescent="0.3">
      <c r="B166" s="268"/>
      <c r="C166" s="79"/>
      <c r="D166" s="79"/>
      <c r="E166" s="79"/>
      <c r="F166" s="79"/>
    </row>
  </sheetData>
  <mergeCells count="6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S118:W118"/>
    <mergeCell ref="I119:M119"/>
    <mergeCell ref="D119:H119"/>
    <mergeCell ref="D118:H118"/>
    <mergeCell ref="I64:M64"/>
    <mergeCell ref="B36:B38"/>
    <mergeCell ref="C36:C38"/>
    <mergeCell ref="B64:B66"/>
    <mergeCell ref="I118:M118"/>
    <mergeCell ref="B118:B120"/>
    <mergeCell ref="C118:C120"/>
    <mergeCell ref="B91:B93"/>
    <mergeCell ref="C91:C93"/>
    <mergeCell ref="D36:H36"/>
    <mergeCell ref="D37:H37"/>
    <mergeCell ref="I37:M37"/>
    <mergeCell ref="I36:M36"/>
    <mergeCell ref="D91:H91"/>
    <mergeCell ref="I91:M91"/>
    <mergeCell ref="N11:R11"/>
    <mergeCell ref="S11:W11"/>
    <mergeCell ref="S10:W10"/>
    <mergeCell ref="N10:R10"/>
    <mergeCell ref="C64:C66"/>
    <mergeCell ref="D65:H65"/>
    <mergeCell ref="D64:H64"/>
    <mergeCell ref="I65:M65"/>
    <mergeCell ref="N64:R64"/>
    <mergeCell ref="S64:W64"/>
    <mergeCell ref="S36:W36"/>
    <mergeCell ref="S37:W37"/>
    <mergeCell ref="N36:R36"/>
    <mergeCell ref="N37:R37"/>
    <mergeCell ref="B33:G33"/>
    <mergeCell ref="B10:B12"/>
    <mergeCell ref="C10:C12"/>
    <mergeCell ref="I10:M10"/>
    <mergeCell ref="I11:M11"/>
    <mergeCell ref="D10:H10"/>
    <mergeCell ref="D11:H11"/>
    <mergeCell ref="N145:R145"/>
    <mergeCell ref="S145:W145"/>
    <mergeCell ref="N91:R91"/>
    <mergeCell ref="S91:W91"/>
    <mergeCell ref="N92:R92"/>
    <mergeCell ref="S92:W92"/>
    <mergeCell ref="N144:R144"/>
    <mergeCell ref="S144:W144"/>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166"/>
  <sheetViews>
    <sheetView showGridLines="0" view="pageBreakPreview" topLeftCell="A5" zoomScale="70" zoomScaleNormal="68" zoomScaleSheetLayoutView="70" workbookViewId="0">
      <selection activeCell="P6" sqref="P6"/>
    </sheetView>
  </sheetViews>
  <sheetFormatPr defaultColWidth="9.08984375" defaultRowHeight="14" x14ac:dyDescent="0.3"/>
  <cols>
    <col min="1" max="1" width="4.08984375" style="1" customWidth="1"/>
    <col min="2" max="2" width="6.36328125" style="1" customWidth="1"/>
    <col min="3" max="3" width="36.08984375" style="1" customWidth="1"/>
    <col min="4" max="23" width="18.36328125" style="1" customWidth="1"/>
    <col min="24" max="28" width="18.6328125" style="1" customWidth="1"/>
    <col min="29" max="16384" width="9.08984375" style="1"/>
  </cols>
  <sheetData>
    <row r="1" spans="1:24" x14ac:dyDescent="0.3">
      <c r="B1" s="862"/>
    </row>
    <row r="2" spans="1:24" x14ac:dyDescent="0.3">
      <c r="B2" s="862"/>
    </row>
    <row r="3" spans="1:24" x14ac:dyDescent="0.3">
      <c r="B3" s="862"/>
    </row>
    <row r="4" spans="1:24" x14ac:dyDescent="0.3">
      <c r="B4" s="8"/>
      <c r="I4" s="901"/>
      <c r="J4" s="901"/>
      <c r="K4" s="860" t="e">
        <f>#REF!</f>
        <v>#REF!</v>
      </c>
      <c r="L4" s="903"/>
      <c r="M4" s="901"/>
      <c r="N4" s="901"/>
      <c r="O4" s="901"/>
      <c r="P4" s="901"/>
      <c r="Q4" s="901"/>
      <c r="R4" s="901"/>
      <c r="S4" s="901"/>
      <c r="T4" s="901"/>
      <c r="U4" s="901"/>
      <c r="V4" s="901"/>
      <c r="W4" s="901"/>
      <c r="X4" s="901"/>
    </row>
    <row r="5" spans="1:24" x14ac:dyDescent="0.3">
      <c r="B5" s="8"/>
      <c r="I5" s="902"/>
      <c r="J5" s="902"/>
      <c r="K5" s="860" t="str">
        <f>Index!B3</f>
        <v>MYT Petition Formats for Chandrapur Unit 3-7</v>
      </c>
      <c r="L5" s="903"/>
      <c r="M5" s="902"/>
      <c r="N5" s="902"/>
      <c r="O5" s="902"/>
      <c r="P5" s="902" t="str">
        <f>Index!B3</f>
        <v>MYT Petition Formats for Chandrapur Unit 3-7</v>
      </c>
      <c r="Q5" s="902"/>
      <c r="R5" s="902"/>
      <c r="S5" s="902"/>
      <c r="T5" s="902"/>
      <c r="U5" s="902"/>
      <c r="V5" s="902"/>
      <c r="W5" s="902"/>
      <c r="X5" s="901"/>
    </row>
    <row r="6" spans="1:24" x14ac:dyDescent="0.3">
      <c r="B6" s="901"/>
      <c r="I6" s="901"/>
      <c r="J6" s="8"/>
      <c r="K6" s="130" t="s">
        <v>1098</v>
      </c>
      <c r="L6" s="130"/>
      <c r="M6" s="8"/>
      <c r="N6" s="8"/>
      <c r="O6" s="901"/>
      <c r="P6" s="901"/>
      <c r="Q6" s="901"/>
      <c r="R6" s="901"/>
      <c r="S6" s="901"/>
      <c r="T6" s="901"/>
      <c r="U6" s="901"/>
      <c r="V6" s="901"/>
      <c r="W6" s="901"/>
      <c r="X6" s="901"/>
    </row>
    <row r="7" spans="1:24" x14ac:dyDescent="0.3">
      <c r="C7" s="8"/>
      <c r="D7" s="8"/>
      <c r="E7" s="8"/>
      <c r="F7" s="8"/>
      <c r="G7" s="8"/>
      <c r="H7" s="8"/>
      <c r="J7" s="44"/>
      <c r="M7" s="44"/>
      <c r="N7" s="44"/>
    </row>
    <row r="8" spans="1:24" x14ac:dyDescent="0.3">
      <c r="A8" s="1" t="s">
        <v>265</v>
      </c>
      <c r="B8" s="862" t="s">
        <v>266</v>
      </c>
      <c r="C8" s="862"/>
      <c r="D8" s="862"/>
      <c r="E8" s="862"/>
      <c r="F8" s="862"/>
      <c r="G8" s="862"/>
      <c r="H8" s="862"/>
      <c r="J8" s="44"/>
      <c r="M8" s="44"/>
      <c r="N8" s="44"/>
      <c r="R8" s="883"/>
    </row>
    <row r="9" spans="1:24" x14ac:dyDescent="0.3">
      <c r="B9" s="258"/>
      <c r="C9" s="8"/>
      <c r="D9" s="8"/>
      <c r="E9" s="8"/>
      <c r="F9" s="8"/>
      <c r="G9" s="8"/>
      <c r="H9" s="8"/>
      <c r="J9" s="44"/>
      <c r="M9" s="44"/>
      <c r="N9" s="44"/>
      <c r="R9" s="883"/>
      <c r="W9" s="259" t="s">
        <v>10</v>
      </c>
    </row>
    <row r="10" spans="1:24" ht="15.75" customHeight="1" x14ac:dyDescent="0.3">
      <c r="B10" s="1699" t="s">
        <v>340</v>
      </c>
      <c r="C10" s="1699" t="s">
        <v>37</v>
      </c>
      <c r="D10" s="1841" t="s">
        <v>506</v>
      </c>
      <c r="E10" s="1841"/>
      <c r="F10" s="1841"/>
      <c r="G10" s="1841"/>
      <c r="H10" s="1841"/>
      <c r="I10" s="1841" t="s">
        <v>507</v>
      </c>
      <c r="J10" s="1841"/>
      <c r="K10" s="1841"/>
      <c r="L10" s="1841"/>
      <c r="M10" s="1841"/>
      <c r="N10" s="1699" t="s">
        <v>508</v>
      </c>
      <c r="O10" s="1699"/>
      <c r="P10" s="1699"/>
      <c r="Q10" s="1699"/>
      <c r="R10" s="1699"/>
      <c r="S10" s="1699" t="s">
        <v>969</v>
      </c>
      <c r="T10" s="1699"/>
      <c r="U10" s="1699"/>
      <c r="V10" s="1699"/>
      <c r="W10" s="1699"/>
    </row>
    <row r="11" spans="1:24" ht="15.75" customHeight="1" x14ac:dyDescent="0.3">
      <c r="B11" s="1699"/>
      <c r="C11" s="1699"/>
      <c r="D11" s="1839" t="s">
        <v>7</v>
      </c>
      <c r="E11" s="1840"/>
      <c r="F11" s="1840"/>
      <c r="G11" s="1840"/>
      <c r="H11" s="1840"/>
      <c r="I11" s="1839" t="s">
        <v>7</v>
      </c>
      <c r="J11" s="1840"/>
      <c r="K11" s="1840"/>
      <c r="L11" s="1840"/>
      <c r="M11" s="1840"/>
      <c r="N11" s="1839" t="s">
        <v>12</v>
      </c>
      <c r="O11" s="1840"/>
      <c r="P11" s="1840"/>
      <c r="Q11" s="1840"/>
      <c r="R11" s="1840"/>
      <c r="S11" s="1839" t="s">
        <v>21</v>
      </c>
      <c r="T11" s="1840"/>
      <c r="U11" s="1840"/>
      <c r="V11" s="1840"/>
      <c r="W11" s="1840"/>
    </row>
    <row r="12" spans="1:24" ht="42" x14ac:dyDescent="0.3">
      <c r="B12" s="1699"/>
      <c r="C12" s="1699"/>
      <c r="D12" s="861" t="s">
        <v>267</v>
      </c>
      <c r="E12" s="861" t="s">
        <v>268</v>
      </c>
      <c r="F12" s="861" t="s">
        <v>269</v>
      </c>
      <c r="G12" s="861" t="s">
        <v>587</v>
      </c>
      <c r="H12" s="861" t="s">
        <v>270</v>
      </c>
      <c r="I12" s="861" t="s">
        <v>267</v>
      </c>
      <c r="J12" s="861" t="s">
        <v>268</v>
      </c>
      <c r="K12" s="861" t="s">
        <v>269</v>
      </c>
      <c r="L12" s="861" t="s">
        <v>587</v>
      </c>
      <c r="M12" s="861" t="s">
        <v>270</v>
      </c>
      <c r="N12" s="861" t="s">
        <v>267</v>
      </c>
      <c r="O12" s="861" t="s">
        <v>268</v>
      </c>
      <c r="P12" s="861" t="s">
        <v>269</v>
      </c>
      <c r="Q12" s="861" t="s">
        <v>587</v>
      </c>
      <c r="R12" s="861" t="s">
        <v>270</v>
      </c>
      <c r="S12" s="861" t="s">
        <v>267</v>
      </c>
      <c r="T12" s="861" t="s">
        <v>268</v>
      </c>
      <c r="U12" s="861" t="s">
        <v>269</v>
      </c>
      <c r="V12" s="861" t="s">
        <v>587</v>
      </c>
      <c r="W12" s="861" t="s">
        <v>270</v>
      </c>
    </row>
    <row r="13" spans="1:24" s="129" customFormat="1" x14ac:dyDescent="0.25">
      <c r="B13" s="260"/>
      <c r="C13" s="260"/>
      <c r="D13" s="260" t="s">
        <v>81</v>
      </c>
      <c r="E13" s="260" t="s">
        <v>82</v>
      </c>
      <c r="F13" s="260" t="s">
        <v>459</v>
      </c>
      <c r="G13" s="260" t="s">
        <v>391</v>
      </c>
      <c r="H13" s="260" t="s">
        <v>588</v>
      </c>
      <c r="I13" s="260" t="s">
        <v>409</v>
      </c>
      <c r="J13" s="260" t="s">
        <v>509</v>
      </c>
      <c r="K13" s="260" t="s">
        <v>410</v>
      </c>
      <c r="L13" s="260" t="s">
        <v>411</v>
      </c>
      <c r="M13" s="260" t="s">
        <v>651</v>
      </c>
      <c r="N13" s="260" t="s">
        <v>589</v>
      </c>
      <c r="O13" s="260" t="s">
        <v>652</v>
      </c>
      <c r="P13" s="260" t="s">
        <v>590</v>
      </c>
      <c r="Q13" s="260" t="s">
        <v>591</v>
      </c>
      <c r="R13" s="260" t="s">
        <v>1095</v>
      </c>
      <c r="S13" s="260" t="s">
        <v>592</v>
      </c>
      <c r="T13" s="260" t="s">
        <v>593</v>
      </c>
      <c r="U13" s="260" t="s">
        <v>1094</v>
      </c>
      <c r="V13" s="260" t="s">
        <v>1093</v>
      </c>
      <c r="W13" s="260" t="s">
        <v>1092</v>
      </c>
    </row>
    <row r="14" spans="1:24" s="44" customFormat="1" x14ac:dyDescent="0.3">
      <c r="B14" s="467">
        <v>1</v>
      </c>
      <c r="C14" s="879" t="s">
        <v>842</v>
      </c>
      <c r="D14" s="876"/>
      <c r="E14" s="876"/>
      <c r="F14" s="876"/>
      <c r="G14" s="880"/>
      <c r="H14" s="894">
        <f t="shared" ref="H14:H30" si="0">D14+E14-F14-G14</f>
        <v>0</v>
      </c>
      <c r="I14" s="842">
        <f t="shared" ref="I14:I30" si="1">H14</f>
        <v>0</v>
      </c>
      <c r="J14" s="9"/>
      <c r="K14" s="9"/>
      <c r="L14" s="880"/>
      <c r="M14" s="842">
        <f t="shared" ref="M14:M30" si="2">I14+J14-K14-L14</f>
        <v>0</v>
      </c>
      <c r="N14" s="888">
        <f t="shared" ref="N14:N30" si="3">M14</f>
        <v>0</v>
      </c>
      <c r="O14" s="9"/>
      <c r="P14" s="9"/>
      <c r="Q14" s="880"/>
      <c r="R14" s="899">
        <f t="shared" ref="R14:R30" si="4">N14+O14-P14-Q14</f>
        <v>0</v>
      </c>
      <c r="S14" s="899">
        <f t="shared" ref="S14:S30" si="5">R14</f>
        <v>0</v>
      </c>
      <c r="T14" s="9"/>
      <c r="U14" s="9"/>
      <c r="V14" s="880"/>
      <c r="W14" s="899">
        <f t="shared" ref="W14:W30" si="6">S14+T14-U14-V14</f>
        <v>0</v>
      </c>
    </row>
    <row r="15" spans="1:24" s="44" customFormat="1" x14ac:dyDescent="0.3">
      <c r="B15" s="467">
        <f t="shared" ref="B15:B30" si="7">B14+1</f>
        <v>2</v>
      </c>
      <c r="C15" s="879" t="s">
        <v>843</v>
      </c>
      <c r="D15" s="876"/>
      <c r="E15" s="876"/>
      <c r="F15" s="876"/>
      <c r="G15" s="880"/>
      <c r="H15" s="894">
        <f t="shared" si="0"/>
        <v>0</v>
      </c>
      <c r="I15" s="842">
        <f t="shared" si="1"/>
        <v>0</v>
      </c>
      <c r="J15" s="9"/>
      <c r="K15" s="9"/>
      <c r="L15" s="880"/>
      <c r="M15" s="842">
        <f t="shared" si="2"/>
        <v>0</v>
      </c>
      <c r="N15" s="888">
        <f t="shared" si="3"/>
        <v>0</v>
      </c>
      <c r="O15" s="9"/>
      <c r="P15" s="9"/>
      <c r="Q15" s="880"/>
      <c r="R15" s="899">
        <f t="shared" si="4"/>
        <v>0</v>
      </c>
      <c r="S15" s="899">
        <f t="shared" si="5"/>
        <v>0</v>
      </c>
      <c r="T15" s="9"/>
      <c r="U15" s="9"/>
      <c r="V15" s="880"/>
      <c r="W15" s="899">
        <f t="shared" si="6"/>
        <v>0</v>
      </c>
    </row>
    <row r="16" spans="1:24" s="44" customFormat="1" x14ac:dyDescent="0.3">
      <c r="B16" s="467">
        <f t="shared" si="7"/>
        <v>3</v>
      </c>
      <c r="C16" s="879" t="s">
        <v>844</v>
      </c>
      <c r="D16" s="896"/>
      <c r="E16" s="896"/>
      <c r="F16" s="896"/>
      <c r="G16" s="877"/>
      <c r="H16" s="894">
        <f t="shared" si="0"/>
        <v>0</v>
      </c>
      <c r="I16" s="842">
        <f t="shared" si="1"/>
        <v>0</v>
      </c>
      <c r="J16" s="9"/>
      <c r="K16" s="9"/>
      <c r="L16" s="877"/>
      <c r="M16" s="842">
        <f t="shared" si="2"/>
        <v>0</v>
      </c>
      <c r="N16" s="888">
        <f t="shared" si="3"/>
        <v>0</v>
      </c>
      <c r="O16" s="9"/>
      <c r="P16" s="9"/>
      <c r="Q16" s="877"/>
      <c r="R16" s="899">
        <f t="shared" si="4"/>
        <v>0</v>
      </c>
      <c r="S16" s="899">
        <f t="shared" si="5"/>
        <v>0</v>
      </c>
      <c r="T16" s="9"/>
      <c r="U16" s="9"/>
      <c r="V16" s="877"/>
      <c r="W16" s="899">
        <f t="shared" si="6"/>
        <v>0</v>
      </c>
    </row>
    <row r="17" spans="2:23" x14ac:dyDescent="0.3">
      <c r="B17" s="467">
        <f t="shared" si="7"/>
        <v>4</v>
      </c>
      <c r="C17" s="879" t="s">
        <v>845</v>
      </c>
      <c r="D17" s="876"/>
      <c r="E17" s="876"/>
      <c r="F17" s="876"/>
      <c r="G17" s="880"/>
      <c r="H17" s="894">
        <f t="shared" si="0"/>
        <v>0</v>
      </c>
      <c r="I17" s="842">
        <f t="shared" si="1"/>
        <v>0</v>
      </c>
      <c r="J17" s="9"/>
      <c r="K17" s="9"/>
      <c r="L17" s="880"/>
      <c r="M17" s="842">
        <f t="shared" si="2"/>
        <v>0</v>
      </c>
      <c r="N17" s="888">
        <f t="shared" si="3"/>
        <v>0</v>
      </c>
      <c r="O17" s="9"/>
      <c r="P17" s="9"/>
      <c r="Q17" s="880"/>
      <c r="R17" s="899">
        <f t="shared" si="4"/>
        <v>0</v>
      </c>
      <c r="S17" s="899">
        <f t="shared" si="5"/>
        <v>0</v>
      </c>
      <c r="T17" s="9"/>
      <c r="U17" s="9"/>
      <c r="V17" s="880"/>
      <c r="W17" s="899">
        <f t="shared" si="6"/>
        <v>0</v>
      </c>
    </row>
    <row r="18" spans="2:23" x14ac:dyDescent="0.3">
      <c r="B18" s="467">
        <f t="shared" si="7"/>
        <v>5</v>
      </c>
      <c r="C18" s="879" t="s">
        <v>846</v>
      </c>
      <c r="D18" s="876"/>
      <c r="E18" s="876"/>
      <c r="F18" s="876"/>
      <c r="G18" s="880"/>
      <c r="H18" s="894">
        <f t="shared" si="0"/>
        <v>0</v>
      </c>
      <c r="I18" s="842">
        <f t="shared" si="1"/>
        <v>0</v>
      </c>
      <c r="J18" s="9"/>
      <c r="K18" s="9"/>
      <c r="L18" s="880"/>
      <c r="M18" s="842">
        <f t="shared" si="2"/>
        <v>0</v>
      </c>
      <c r="N18" s="888">
        <f t="shared" si="3"/>
        <v>0</v>
      </c>
      <c r="O18" s="9"/>
      <c r="P18" s="9"/>
      <c r="Q18" s="880"/>
      <c r="R18" s="899">
        <f t="shared" si="4"/>
        <v>0</v>
      </c>
      <c r="S18" s="899">
        <f t="shared" si="5"/>
        <v>0</v>
      </c>
      <c r="T18" s="9"/>
      <c r="U18" s="9"/>
      <c r="V18" s="880"/>
      <c r="W18" s="899">
        <f t="shared" si="6"/>
        <v>0</v>
      </c>
    </row>
    <row r="19" spans="2:23" x14ac:dyDescent="0.3">
      <c r="B19" s="467">
        <f t="shared" si="7"/>
        <v>6</v>
      </c>
      <c r="C19" s="879" t="s">
        <v>256</v>
      </c>
      <c r="D19" s="876"/>
      <c r="E19" s="876"/>
      <c r="F19" s="876"/>
      <c r="G19" s="880"/>
      <c r="H19" s="894">
        <f t="shared" si="0"/>
        <v>0</v>
      </c>
      <c r="I19" s="842">
        <f t="shared" si="1"/>
        <v>0</v>
      </c>
      <c r="J19" s="9"/>
      <c r="K19" s="9"/>
      <c r="L19" s="880"/>
      <c r="M19" s="842">
        <f t="shared" si="2"/>
        <v>0</v>
      </c>
      <c r="N19" s="888">
        <f t="shared" si="3"/>
        <v>0</v>
      </c>
      <c r="O19" s="9"/>
      <c r="P19" s="9"/>
      <c r="Q19" s="880"/>
      <c r="R19" s="899">
        <f t="shared" si="4"/>
        <v>0</v>
      </c>
      <c r="S19" s="899">
        <f t="shared" si="5"/>
        <v>0</v>
      </c>
      <c r="T19" s="9"/>
      <c r="U19" s="9"/>
      <c r="V19" s="880"/>
      <c r="W19" s="899">
        <f t="shared" si="6"/>
        <v>0</v>
      </c>
    </row>
    <row r="20" spans="2:23" x14ac:dyDescent="0.3">
      <c r="B20" s="467">
        <f t="shared" si="7"/>
        <v>7</v>
      </c>
      <c r="C20" s="879" t="s">
        <v>847</v>
      </c>
      <c r="D20" s="37"/>
      <c r="E20" s="37"/>
      <c r="F20" s="37"/>
      <c r="G20" s="895"/>
      <c r="H20" s="894">
        <f t="shared" si="0"/>
        <v>0</v>
      </c>
      <c r="I20" s="842">
        <f t="shared" si="1"/>
        <v>0</v>
      </c>
      <c r="J20" s="900"/>
      <c r="K20" s="900"/>
      <c r="L20" s="895"/>
      <c r="M20" s="842">
        <f t="shared" si="2"/>
        <v>0</v>
      </c>
      <c r="N20" s="888">
        <f t="shared" si="3"/>
        <v>0</v>
      </c>
      <c r="O20" s="900"/>
      <c r="P20" s="900"/>
      <c r="Q20" s="895"/>
      <c r="R20" s="899">
        <f t="shared" si="4"/>
        <v>0</v>
      </c>
      <c r="S20" s="899">
        <f t="shared" si="5"/>
        <v>0</v>
      </c>
      <c r="T20" s="900"/>
      <c r="U20" s="900"/>
      <c r="V20" s="895"/>
      <c r="W20" s="899">
        <f t="shared" si="6"/>
        <v>0</v>
      </c>
    </row>
    <row r="21" spans="2:23" x14ac:dyDescent="0.3">
      <c r="B21" s="467">
        <f t="shared" si="7"/>
        <v>8</v>
      </c>
      <c r="C21" s="879" t="s">
        <v>848</v>
      </c>
      <c r="D21" s="37"/>
      <c r="E21" s="37"/>
      <c r="F21" s="37"/>
      <c r="G21" s="895"/>
      <c r="H21" s="894">
        <f t="shared" si="0"/>
        <v>0</v>
      </c>
      <c r="I21" s="842">
        <f t="shared" si="1"/>
        <v>0</v>
      </c>
      <c r="J21" s="900"/>
      <c r="K21" s="900"/>
      <c r="L21" s="895"/>
      <c r="M21" s="842">
        <f t="shared" si="2"/>
        <v>0</v>
      </c>
      <c r="N21" s="888">
        <f t="shared" si="3"/>
        <v>0</v>
      </c>
      <c r="O21" s="900"/>
      <c r="P21" s="900"/>
      <c r="Q21" s="895"/>
      <c r="R21" s="899">
        <f t="shared" si="4"/>
        <v>0</v>
      </c>
      <c r="S21" s="899">
        <f t="shared" si="5"/>
        <v>0</v>
      </c>
      <c r="T21" s="900"/>
      <c r="U21" s="900"/>
      <c r="V21" s="895"/>
      <c r="W21" s="899">
        <f t="shared" si="6"/>
        <v>0</v>
      </c>
    </row>
    <row r="22" spans="2:23" x14ac:dyDescent="0.3">
      <c r="B22" s="467">
        <f t="shared" si="7"/>
        <v>9</v>
      </c>
      <c r="C22" s="879" t="s">
        <v>849</v>
      </c>
      <c r="D22" s="37"/>
      <c r="E22" s="37"/>
      <c r="F22" s="37"/>
      <c r="G22" s="895"/>
      <c r="H22" s="894">
        <f t="shared" si="0"/>
        <v>0</v>
      </c>
      <c r="I22" s="842">
        <f t="shared" si="1"/>
        <v>0</v>
      </c>
      <c r="J22" s="900"/>
      <c r="K22" s="900"/>
      <c r="L22" s="895"/>
      <c r="M22" s="842">
        <f t="shared" si="2"/>
        <v>0</v>
      </c>
      <c r="N22" s="888">
        <f t="shared" si="3"/>
        <v>0</v>
      </c>
      <c r="O22" s="900"/>
      <c r="P22" s="900"/>
      <c r="Q22" s="895"/>
      <c r="R22" s="899">
        <f t="shared" si="4"/>
        <v>0</v>
      </c>
      <c r="S22" s="899">
        <f t="shared" si="5"/>
        <v>0</v>
      </c>
      <c r="T22" s="900"/>
      <c r="U22" s="900"/>
      <c r="V22" s="895"/>
      <c r="W22" s="899">
        <f t="shared" si="6"/>
        <v>0</v>
      </c>
    </row>
    <row r="23" spans="2:23" x14ac:dyDescent="0.3">
      <c r="B23" s="467">
        <f t="shared" si="7"/>
        <v>10</v>
      </c>
      <c r="C23" s="879" t="s">
        <v>259</v>
      </c>
      <c r="D23" s="37"/>
      <c r="E23" s="37"/>
      <c r="F23" s="37"/>
      <c r="G23" s="895"/>
      <c r="H23" s="894">
        <f t="shared" si="0"/>
        <v>0</v>
      </c>
      <c r="I23" s="842">
        <f t="shared" si="1"/>
        <v>0</v>
      </c>
      <c r="J23" s="900"/>
      <c r="K23" s="900"/>
      <c r="L23" s="895"/>
      <c r="M23" s="842">
        <f t="shared" si="2"/>
        <v>0</v>
      </c>
      <c r="N23" s="888">
        <f t="shared" si="3"/>
        <v>0</v>
      </c>
      <c r="O23" s="900"/>
      <c r="P23" s="900"/>
      <c r="Q23" s="895"/>
      <c r="R23" s="899">
        <f t="shared" si="4"/>
        <v>0</v>
      </c>
      <c r="S23" s="899">
        <f t="shared" si="5"/>
        <v>0</v>
      </c>
      <c r="T23" s="900"/>
      <c r="U23" s="900"/>
      <c r="V23" s="895"/>
      <c r="W23" s="899">
        <f t="shared" si="6"/>
        <v>0</v>
      </c>
    </row>
    <row r="24" spans="2:23" x14ac:dyDescent="0.3">
      <c r="B24" s="467">
        <f t="shared" si="7"/>
        <v>11</v>
      </c>
      <c r="C24" s="879" t="s">
        <v>260</v>
      </c>
      <c r="D24" s="37"/>
      <c r="E24" s="37"/>
      <c r="F24" s="37"/>
      <c r="G24" s="895"/>
      <c r="H24" s="894">
        <f t="shared" si="0"/>
        <v>0</v>
      </c>
      <c r="I24" s="842">
        <f t="shared" si="1"/>
        <v>0</v>
      </c>
      <c r="J24" s="900"/>
      <c r="K24" s="900"/>
      <c r="L24" s="895"/>
      <c r="M24" s="842">
        <f t="shared" si="2"/>
        <v>0</v>
      </c>
      <c r="N24" s="888">
        <f t="shared" si="3"/>
        <v>0</v>
      </c>
      <c r="O24" s="900"/>
      <c r="P24" s="900"/>
      <c r="Q24" s="895"/>
      <c r="R24" s="899">
        <f t="shared" si="4"/>
        <v>0</v>
      </c>
      <c r="S24" s="899">
        <f t="shared" si="5"/>
        <v>0</v>
      </c>
      <c r="T24" s="900"/>
      <c r="U24" s="900"/>
      <c r="V24" s="895"/>
      <c r="W24" s="899">
        <f t="shared" si="6"/>
        <v>0</v>
      </c>
    </row>
    <row r="25" spans="2:23" x14ac:dyDescent="0.3">
      <c r="B25" s="467">
        <f t="shared" si="7"/>
        <v>12</v>
      </c>
      <c r="C25" s="879" t="s">
        <v>261</v>
      </c>
      <c r="D25" s="37"/>
      <c r="E25" s="37"/>
      <c r="F25" s="37"/>
      <c r="G25" s="895"/>
      <c r="H25" s="894">
        <f t="shared" si="0"/>
        <v>0</v>
      </c>
      <c r="I25" s="842">
        <f t="shared" si="1"/>
        <v>0</v>
      </c>
      <c r="J25" s="900"/>
      <c r="K25" s="900"/>
      <c r="L25" s="895"/>
      <c r="M25" s="842">
        <f t="shared" si="2"/>
        <v>0</v>
      </c>
      <c r="N25" s="888">
        <f t="shared" si="3"/>
        <v>0</v>
      </c>
      <c r="O25" s="900"/>
      <c r="P25" s="900"/>
      <c r="Q25" s="895"/>
      <c r="R25" s="899">
        <f t="shared" si="4"/>
        <v>0</v>
      </c>
      <c r="S25" s="899">
        <f t="shared" si="5"/>
        <v>0</v>
      </c>
      <c r="T25" s="900"/>
      <c r="U25" s="900"/>
      <c r="V25" s="895"/>
      <c r="W25" s="899">
        <f t="shared" si="6"/>
        <v>0</v>
      </c>
    </row>
    <row r="26" spans="2:23" x14ac:dyDescent="0.3">
      <c r="B26" s="467">
        <f t="shared" si="7"/>
        <v>13</v>
      </c>
      <c r="C26" s="879" t="s">
        <v>897</v>
      </c>
      <c r="D26" s="37"/>
      <c r="E26" s="37"/>
      <c r="F26" s="37"/>
      <c r="G26" s="895"/>
      <c r="H26" s="894">
        <f t="shared" si="0"/>
        <v>0</v>
      </c>
      <c r="I26" s="842">
        <f t="shared" si="1"/>
        <v>0</v>
      </c>
      <c r="J26" s="900"/>
      <c r="K26" s="900"/>
      <c r="L26" s="895"/>
      <c r="M26" s="842">
        <f t="shared" si="2"/>
        <v>0</v>
      </c>
      <c r="N26" s="888">
        <f t="shared" si="3"/>
        <v>0</v>
      </c>
      <c r="O26" s="900"/>
      <c r="P26" s="900"/>
      <c r="Q26" s="895"/>
      <c r="R26" s="899">
        <f t="shared" si="4"/>
        <v>0</v>
      </c>
      <c r="S26" s="899">
        <f t="shared" si="5"/>
        <v>0</v>
      </c>
      <c r="T26" s="900"/>
      <c r="U26" s="900"/>
      <c r="V26" s="895"/>
      <c r="W26" s="899">
        <f t="shared" si="6"/>
        <v>0</v>
      </c>
    </row>
    <row r="27" spans="2:23" x14ac:dyDescent="0.3">
      <c r="B27" s="467">
        <f t="shared" si="7"/>
        <v>14</v>
      </c>
      <c r="C27" s="879" t="s">
        <v>898</v>
      </c>
      <c r="D27" s="37"/>
      <c r="E27" s="37"/>
      <c r="F27" s="37"/>
      <c r="G27" s="895"/>
      <c r="H27" s="894">
        <f t="shared" si="0"/>
        <v>0</v>
      </c>
      <c r="I27" s="842">
        <f t="shared" si="1"/>
        <v>0</v>
      </c>
      <c r="J27" s="900"/>
      <c r="K27" s="900"/>
      <c r="L27" s="895"/>
      <c r="M27" s="842">
        <f t="shared" si="2"/>
        <v>0</v>
      </c>
      <c r="N27" s="888">
        <f t="shared" si="3"/>
        <v>0</v>
      </c>
      <c r="O27" s="900"/>
      <c r="P27" s="900"/>
      <c r="Q27" s="895"/>
      <c r="R27" s="899">
        <f t="shared" si="4"/>
        <v>0</v>
      </c>
      <c r="S27" s="899">
        <f t="shared" si="5"/>
        <v>0</v>
      </c>
      <c r="T27" s="900"/>
      <c r="U27" s="900"/>
      <c r="V27" s="895"/>
      <c r="W27" s="899">
        <f t="shared" si="6"/>
        <v>0</v>
      </c>
    </row>
    <row r="28" spans="2:23" x14ac:dyDescent="0.3">
      <c r="B28" s="467">
        <f t="shared" si="7"/>
        <v>15</v>
      </c>
      <c r="C28" s="879" t="s">
        <v>899</v>
      </c>
      <c r="D28" s="37"/>
      <c r="E28" s="37"/>
      <c r="F28" s="37"/>
      <c r="G28" s="895"/>
      <c r="H28" s="894">
        <f t="shared" si="0"/>
        <v>0</v>
      </c>
      <c r="I28" s="842">
        <f t="shared" si="1"/>
        <v>0</v>
      </c>
      <c r="J28" s="900"/>
      <c r="K28" s="900"/>
      <c r="L28" s="895"/>
      <c r="M28" s="842">
        <f t="shared" si="2"/>
        <v>0</v>
      </c>
      <c r="N28" s="888">
        <f t="shared" si="3"/>
        <v>0</v>
      </c>
      <c r="O28" s="900"/>
      <c r="P28" s="900"/>
      <c r="Q28" s="895"/>
      <c r="R28" s="899">
        <f t="shared" si="4"/>
        <v>0</v>
      </c>
      <c r="S28" s="899">
        <f t="shared" si="5"/>
        <v>0</v>
      </c>
      <c r="T28" s="900"/>
      <c r="U28" s="900"/>
      <c r="V28" s="895"/>
      <c r="W28" s="899">
        <f t="shared" si="6"/>
        <v>0</v>
      </c>
    </row>
    <row r="29" spans="2:23" x14ac:dyDescent="0.3">
      <c r="B29" s="467">
        <f t="shared" si="7"/>
        <v>16</v>
      </c>
      <c r="C29" s="879" t="s">
        <v>850</v>
      </c>
      <c r="D29" s="37"/>
      <c r="E29" s="37"/>
      <c r="F29" s="37"/>
      <c r="G29" s="895"/>
      <c r="H29" s="894">
        <f t="shared" si="0"/>
        <v>0</v>
      </c>
      <c r="I29" s="842">
        <f t="shared" si="1"/>
        <v>0</v>
      </c>
      <c r="J29" s="900"/>
      <c r="K29" s="900"/>
      <c r="L29" s="895"/>
      <c r="M29" s="842">
        <f t="shared" si="2"/>
        <v>0</v>
      </c>
      <c r="N29" s="888">
        <f t="shared" si="3"/>
        <v>0</v>
      </c>
      <c r="O29" s="900"/>
      <c r="P29" s="900"/>
      <c r="Q29" s="895"/>
      <c r="R29" s="899">
        <f t="shared" si="4"/>
        <v>0</v>
      </c>
      <c r="S29" s="899">
        <f t="shared" si="5"/>
        <v>0</v>
      </c>
      <c r="T29" s="900"/>
      <c r="U29" s="900"/>
      <c r="V29" s="895"/>
      <c r="W29" s="899">
        <f t="shared" si="6"/>
        <v>0</v>
      </c>
    </row>
    <row r="30" spans="2:23" x14ac:dyDescent="0.3">
      <c r="B30" s="467">
        <f t="shared" si="7"/>
        <v>17</v>
      </c>
      <c r="C30" s="879" t="s">
        <v>900</v>
      </c>
      <c r="D30" s="37"/>
      <c r="E30" s="37"/>
      <c r="F30" s="37"/>
      <c r="G30" s="895"/>
      <c r="H30" s="894">
        <f t="shared" si="0"/>
        <v>0</v>
      </c>
      <c r="I30" s="842">
        <f t="shared" si="1"/>
        <v>0</v>
      </c>
      <c r="J30" s="900"/>
      <c r="K30" s="900"/>
      <c r="L30" s="895"/>
      <c r="M30" s="842">
        <f t="shared" si="2"/>
        <v>0</v>
      </c>
      <c r="N30" s="888">
        <f t="shared" si="3"/>
        <v>0</v>
      </c>
      <c r="O30" s="900"/>
      <c r="P30" s="900"/>
      <c r="Q30" s="895"/>
      <c r="R30" s="899">
        <f t="shared" si="4"/>
        <v>0</v>
      </c>
      <c r="S30" s="899">
        <f t="shared" si="5"/>
        <v>0</v>
      </c>
      <c r="T30" s="900"/>
      <c r="U30" s="900"/>
      <c r="V30" s="895"/>
      <c r="W30" s="899">
        <f t="shared" si="6"/>
        <v>0</v>
      </c>
    </row>
    <row r="31" spans="2:23" ht="16" x14ac:dyDescent="0.3">
      <c r="B31" s="83"/>
      <c r="C31" s="97" t="s">
        <v>271</v>
      </c>
      <c r="D31" s="97"/>
      <c r="E31" s="97"/>
      <c r="F31" s="97"/>
      <c r="G31" s="898"/>
      <c r="H31" s="893">
        <f t="shared" ref="H31:W31" si="8">SUM(H14:H30)</f>
        <v>0</v>
      </c>
      <c r="I31" s="893">
        <f t="shared" si="8"/>
        <v>0</v>
      </c>
      <c r="J31" s="893">
        <f t="shared" si="8"/>
        <v>0</v>
      </c>
      <c r="K31" s="893">
        <f t="shared" si="8"/>
        <v>0</v>
      </c>
      <c r="L31" s="893">
        <f t="shared" si="8"/>
        <v>0</v>
      </c>
      <c r="M31" s="893">
        <f t="shared" si="8"/>
        <v>0</v>
      </c>
      <c r="N31" s="893">
        <f t="shared" si="8"/>
        <v>0</v>
      </c>
      <c r="O31" s="893">
        <f t="shared" si="8"/>
        <v>0</v>
      </c>
      <c r="P31" s="893">
        <f t="shared" si="8"/>
        <v>0</v>
      </c>
      <c r="Q31" s="893">
        <f t="shared" si="8"/>
        <v>0</v>
      </c>
      <c r="R31" s="893">
        <f t="shared" si="8"/>
        <v>0</v>
      </c>
      <c r="S31" s="893">
        <f t="shared" si="8"/>
        <v>0</v>
      </c>
      <c r="T31" s="893">
        <f t="shared" si="8"/>
        <v>0</v>
      </c>
      <c r="U31" s="893">
        <f t="shared" si="8"/>
        <v>0</v>
      </c>
      <c r="V31" s="893">
        <f t="shared" si="8"/>
        <v>0</v>
      </c>
      <c r="W31" s="893">
        <f t="shared" si="8"/>
        <v>0</v>
      </c>
    </row>
    <row r="32" spans="2:23" x14ac:dyDescent="0.3">
      <c r="B32" s="862"/>
      <c r="C32" s="8"/>
      <c r="D32" s="8"/>
      <c r="E32" s="8"/>
      <c r="F32" s="8"/>
      <c r="G32" s="8"/>
      <c r="H32" s="8"/>
      <c r="J32" s="44"/>
      <c r="M32" s="44"/>
      <c r="N32" s="44"/>
    </row>
    <row r="33" spans="2:23" x14ac:dyDescent="0.3">
      <c r="B33" s="1843" t="s">
        <v>1097</v>
      </c>
      <c r="C33" s="1843"/>
      <c r="D33" s="1843"/>
      <c r="E33" s="1843"/>
      <c r="F33" s="1843"/>
      <c r="G33" s="1843"/>
      <c r="H33" s="8"/>
      <c r="J33" s="44"/>
      <c r="M33" s="44"/>
      <c r="N33" s="44"/>
    </row>
    <row r="34" spans="2:23" x14ac:dyDescent="0.3">
      <c r="B34" s="862"/>
      <c r="C34" s="8"/>
      <c r="D34" s="8"/>
      <c r="E34" s="8"/>
      <c r="F34" s="8"/>
      <c r="G34" s="8"/>
      <c r="H34" s="8"/>
      <c r="J34" s="44"/>
      <c r="M34" s="44"/>
      <c r="N34" s="44"/>
    </row>
    <row r="35" spans="2:23" ht="15.75" customHeight="1" x14ac:dyDescent="0.3">
      <c r="B35" s="862"/>
      <c r="C35" s="8"/>
      <c r="D35" s="8"/>
      <c r="E35" s="8"/>
      <c r="F35" s="8"/>
      <c r="G35" s="8"/>
      <c r="H35" s="8"/>
      <c r="J35" s="44"/>
      <c r="M35" s="44"/>
      <c r="N35" s="44"/>
      <c r="W35" s="259" t="s">
        <v>10</v>
      </c>
    </row>
    <row r="36" spans="2:23" ht="15.75" customHeight="1" x14ac:dyDescent="0.3">
      <c r="B36" s="1699" t="s">
        <v>340</v>
      </c>
      <c r="C36" s="1699" t="s">
        <v>37</v>
      </c>
      <c r="D36" s="1838" t="s">
        <v>970</v>
      </c>
      <c r="E36" s="1838"/>
      <c r="F36" s="1838"/>
      <c r="G36" s="1838"/>
      <c r="H36" s="1838"/>
      <c r="I36" s="1838" t="s">
        <v>971</v>
      </c>
      <c r="J36" s="1838"/>
      <c r="K36" s="1838"/>
      <c r="L36" s="1838"/>
      <c r="M36" s="1838"/>
      <c r="N36" s="1838" t="s">
        <v>972</v>
      </c>
      <c r="O36" s="1838"/>
      <c r="P36" s="1838"/>
      <c r="Q36" s="1838"/>
      <c r="R36" s="1838"/>
      <c r="S36" s="1838" t="s">
        <v>973</v>
      </c>
      <c r="T36" s="1838"/>
      <c r="U36" s="1838"/>
      <c r="V36" s="1838"/>
      <c r="W36" s="1838"/>
    </row>
    <row r="37" spans="2:23" x14ac:dyDescent="0.3">
      <c r="B37" s="1699"/>
      <c r="C37" s="1699"/>
      <c r="D37" s="1841" t="s">
        <v>21</v>
      </c>
      <c r="E37" s="1842"/>
      <c r="F37" s="1842"/>
      <c r="G37" s="1842"/>
      <c r="H37" s="1842"/>
      <c r="I37" s="1841" t="s">
        <v>21</v>
      </c>
      <c r="J37" s="1842"/>
      <c r="K37" s="1842"/>
      <c r="L37" s="1842"/>
      <c r="M37" s="1842"/>
      <c r="N37" s="1841" t="s">
        <v>21</v>
      </c>
      <c r="O37" s="1842"/>
      <c r="P37" s="1842"/>
      <c r="Q37" s="1842"/>
      <c r="R37" s="1842"/>
      <c r="S37" s="1841" t="s">
        <v>21</v>
      </c>
      <c r="T37" s="1842"/>
      <c r="U37" s="1842"/>
      <c r="V37" s="1842"/>
      <c r="W37" s="1842"/>
    </row>
    <row r="38" spans="2:23" s="129" customFormat="1" ht="42" x14ac:dyDescent="0.25">
      <c r="B38" s="1699"/>
      <c r="C38" s="1699"/>
      <c r="D38" s="863" t="s">
        <v>267</v>
      </c>
      <c r="E38" s="863" t="s">
        <v>268</v>
      </c>
      <c r="F38" s="863" t="s">
        <v>269</v>
      </c>
      <c r="G38" s="861" t="s">
        <v>587</v>
      </c>
      <c r="H38" s="863" t="s">
        <v>270</v>
      </c>
      <c r="I38" s="863" t="s">
        <v>267</v>
      </c>
      <c r="J38" s="863" t="s">
        <v>268</v>
      </c>
      <c r="K38" s="863" t="s">
        <v>269</v>
      </c>
      <c r="L38" s="861" t="s">
        <v>587</v>
      </c>
      <c r="M38" s="863" t="s">
        <v>270</v>
      </c>
      <c r="N38" s="863" t="s">
        <v>267</v>
      </c>
      <c r="O38" s="863" t="s">
        <v>268</v>
      </c>
      <c r="P38" s="863" t="s">
        <v>269</v>
      </c>
      <c r="Q38" s="861" t="s">
        <v>587</v>
      </c>
      <c r="R38" s="863" t="s">
        <v>270</v>
      </c>
      <c r="S38" s="863" t="s">
        <v>267</v>
      </c>
      <c r="T38" s="863" t="s">
        <v>268</v>
      </c>
      <c r="U38" s="863" t="s">
        <v>269</v>
      </c>
      <c r="V38" s="861" t="s">
        <v>587</v>
      </c>
      <c r="W38" s="863" t="s">
        <v>270</v>
      </c>
    </row>
    <row r="39" spans="2:23" s="44" customFormat="1" ht="29.4" customHeight="1" x14ac:dyDescent="0.3">
      <c r="B39" s="260"/>
      <c r="C39" s="897"/>
      <c r="D39" s="260" t="s">
        <v>594</v>
      </c>
      <c r="E39" s="260" t="s">
        <v>595</v>
      </c>
      <c r="F39" s="260" t="s">
        <v>596</v>
      </c>
      <c r="G39" s="260" t="s">
        <v>653</v>
      </c>
      <c r="H39" s="260" t="s">
        <v>654</v>
      </c>
      <c r="I39" s="260" t="s">
        <v>655</v>
      </c>
      <c r="J39" s="260" t="s">
        <v>656</v>
      </c>
      <c r="K39" s="260" t="s">
        <v>657</v>
      </c>
      <c r="L39" s="260" t="s">
        <v>658</v>
      </c>
      <c r="M39" s="260" t="s">
        <v>659</v>
      </c>
      <c r="N39" s="260" t="s">
        <v>660</v>
      </c>
      <c r="O39" s="260" t="s">
        <v>661</v>
      </c>
      <c r="P39" s="260" t="s">
        <v>662</v>
      </c>
      <c r="Q39" s="260" t="s">
        <v>663</v>
      </c>
      <c r="R39" s="260" t="s">
        <v>664</v>
      </c>
      <c r="S39" s="260" t="s">
        <v>1091</v>
      </c>
      <c r="T39" s="260" t="s">
        <v>1090</v>
      </c>
      <c r="U39" s="260" t="s">
        <v>1089</v>
      </c>
      <c r="V39" s="260" t="s">
        <v>1088</v>
      </c>
      <c r="W39" s="260" t="s">
        <v>1087</v>
      </c>
    </row>
    <row r="40" spans="2:23" s="44" customFormat="1" x14ac:dyDescent="0.3">
      <c r="B40" s="467">
        <v>1</v>
      </c>
      <c r="C40" s="879" t="s">
        <v>842</v>
      </c>
      <c r="D40" s="878">
        <f t="shared" ref="D40:D56" si="9">W14</f>
        <v>0</v>
      </c>
      <c r="E40" s="876"/>
      <c r="F40" s="876"/>
      <c r="G40" s="880"/>
      <c r="H40" s="878">
        <f t="shared" ref="H40:H56" si="10">D40+E40-F40-G40</f>
        <v>0</v>
      </c>
      <c r="I40" s="842">
        <f t="shared" ref="I40:I56" si="11">H40</f>
        <v>0</v>
      </c>
      <c r="J40" s="894"/>
      <c r="K40" s="842"/>
      <c r="L40" s="894"/>
      <c r="M40" s="842">
        <f t="shared" ref="M40:M56" si="12">I40+J40-K40-L40</f>
        <v>0</v>
      </c>
      <c r="N40" s="842">
        <f t="shared" ref="N40:N56" si="13">M40</f>
        <v>0</v>
      </c>
      <c r="O40" s="894"/>
      <c r="P40" s="842"/>
      <c r="Q40" s="894"/>
      <c r="R40" s="842">
        <f t="shared" ref="R40:R56" si="14">N40+O40-P40-Q40</f>
        <v>0</v>
      </c>
      <c r="S40" s="842">
        <f t="shared" ref="S40:S56" si="15">R40</f>
        <v>0</v>
      </c>
      <c r="T40" s="894"/>
      <c r="U40" s="842"/>
      <c r="V40" s="894"/>
      <c r="W40" s="842">
        <f t="shared" ref="W40:W56" si="16">S40+T40-U40-V40</f>
        <v>0</v>
      </c>
    </row>
    <row r="41" spans="2:23" s="44" customFormat="1" x14ac:dyDescent="0.3">
      <c r="B41" s="467">
        <f t="shared" ref="B41:B56" si="17">B40+1</f>
        <v>2</v>
      </c>
      <c r="C41" s="879" t="s">
        <v>843</v>
      </c>
      <c r="D41" s="878">
        <f t="shared" si="9"/>
        <v>0</v>
      </c>
      <c r="E41" s="876"/>
      <c r="F41" s="876"/>
      <c r="G41" s="880"/>
      <c r="H41" s="878">
        <f t="shared" si="10"/>
        <v>0</v>
      </c>
      <c r="I41" s="842">
        <f t="shared" si="11"/>
        <v>0</v>
      </c>
      <c r="J41" s="894"/>
      <c r="K41" s="842"/>
      <c r="L41" s="894"/>
      <c r="M41" s="842">
        <f t="shared" si="12"/>
        <v>0</v>
      </c>
      <c r="N41" s="842">
        <f t="shared" si="13"/>
        <v>0</v>
      </c>
      <c r="O41" s="894"/>
      <c r="P41" s="842"/>
      <c r="Q41" s="894"/>
      <c r="R41" s="842">
        <f t="shared" si="14"/>
        <v>0</v>
      </c>
      <c r="S41" s="842">
        <f t="shared" si="15"/>
        <v>0</v>
      </c>
      <c r="T41" s="894"/>
      <c r="U41" s="842"/>
      <c r="V41" s="894"/>
      <c r="W41" s="842">
        <f t="shared" si="16"/>
        <v>0</v>
      </c>
    </row>
    <row r="42" spans="2:23" x14ac:dyDescent="0.3">
      <c r="B42" s="467">
        <f t="shared" si="17"/>
        <v>3</v>
      </c>
      <c r="C42" s="879" t="s">
        <v>844</v>
      </c>
      <c r="D42" s="878">
        <f t="shared" si="9"/>
        <v>0</v>
      </c>
      <c r="E42" s="896"/>
      <c r="F42" s="896"/>
      <c r="G42" s="877"/>
      <c r="H42" s="878">
        <f t="shared" si="10"/>
        <v>0</v>
      </c>
      <c r="I42" s="842">
        <f t="shared" si="11"/>
        <v>0</v>
      </c>
      <c r="J42" s="894"/>
      <c r="K42" s="842"/>
      <c r="L42" s="894"/>
      <c r="M42" s="842">
        <f t="shared" si="12"/>
        <v>0</v>
      </c>
      <c r="N42" s="842">
        <f t="shared" si="13"/>
        <v>0</v>
      </c>
      <c r="O42" s="894"/>
      <c r="P42" s="842"/>
      <c r="Q42" s="894"/>
      <c r="R42" s="842">
        <f t="shared" si="14"/>
        <v>0</v>
      </c>
      <c r="S42" s="842">
        <f t="shared" si="15"/>
        <v>0</v>
      </c>
      <c r="T42" s="894"/>
      <c r="U42" s="842"/>
      <c r="V42" s="894"/>
      <c r="W42" s="842">
        <f t="shared" si="16"/>
        <v>0</v>
      </c>
    </row>
    <row r="43" spans="2:23" x14ac:dyDescent="0.3">
      <c r="B43" s="467">
        <f t="shared" si="17"/>
        <v>4</v>
      </c>
      <c r="C43" s="879" t="s">
        <v>845</v>
      </c>
      <c r="D43" s="878">
        <f t="shared" si="9"/>
        <v>0</v>
      </c>
      <c r="E43" s="876"/>
      <c r="F43" s="876"/>
      <c r="G43" s="880"/>
      <c r="H43" s="878">
        <f t="shared" si="10"/>
        <v>0</v>
      </c>
      <c r="I43" s="842">
        <f t="shared" si="11"/>
        <v>0</v>
      </c>
      <c r="J43" s="894"/>
      <c r="K43" s="842"/>
      <c r="L43" s="894"/>
      <c r="M43" s="842">
        <f t="shared" si="12"/>
        <v>0</v>
      </c>
      <c r="N43" s="842">
        <f t="shared" si="13"/>
        <v>0</v>
      </c>
      <c r="O43" s="894"/>
      <c r="P43" s="842"/>
      <c r="Q43" s="894"/>
      <c r="R43" s="842">
        <f t="shared" si="14"/>
        <v>0</v>
      </c>
      <c r="S43" s="842">
        <f t="shared" si="15"/>
        <v>0</v>
      </c>
      <c r="T43" s="894"/>
      <c r="U43" s="842"/>
      <c r="V43" s="894"/>
      <c r="W43" s="842">
        <f t="shared" si="16"/>
        <v>0</v>
      </c>
    </row>
    <row r="44" spans="2:23" x14ac:dyDescent="0.3">
      <c r="B44" s="467">
        <f t="shared" si="17"/>
        <v>5</v>
      </c>
      <c r="C44" s="879" t="s">
        <v>846</v>
      </c>
      <c r="D44" s="878">
        <f t="shared" si="9"/>
        <v>0</v>
      </c>
      <c r="E44" s="876"/>
      <c r="F44" s="876"/>
      <c r="G44" s="880"/>
      <c r="H44" s="878">
        <f t="shared" si="10"/>
        <v>0</v>
      </c>
      <c r="I44" s="842">
        <f t="shared" si="11"/>
        <v>0</v>
      </c>
      <c r="J44" s="894"/>
      <c r="K44" s="842"/>
      <c r="L44" s="894"/>
      <c r="M44" s="842">
        <f t="shared" si="12"/>
        <v>0</v>
      </c>
      <c r="N44" s="842">
        <f t="shared" si="13"/>
        <v>0</v>
      </c>
      <c r="O44" s="894"/>
      <c r="P44" s="842"/>
      <c r="Q44" s="894"/>
      <c r="R44" s="842">
        <f t="shared" si="14"/>
        <v>0</v>
      </c>
      <c r="S44" s="842">
        <f t="shared" si="15"/>
        <v>0</v>
      </c>
      <c r="T44" s="894"/>
      <c r="U44" s="842"/>
      <c r="V44" s="894"/>
      <c r="W44" s="842">
        <f t="shared" si="16"/>
        <v>0</v>
      </c>
    </row>
    <row r="45" spans="2:23" x14ac:dyDescent="0.3">
      <c r="B45" s="467">
        <f t="shared" si="17"/>
        <v>6</v>
      </c>
      <c r="C45" s="879" t="s">
        <v>256</v>
      </c>
      <c r="D45" s="878">
        <f t="shared" si="9"/>
        <v>0</v>
      </c>
      <c r="E45" s="876"/>
      <c r="F45" s="876"/>
      <c r="G45" s="880"/>
      <c r="H45" s="878">
        <f t="shared" si="10"/>
        <v>0</v>
      </c>
      <c r="I45" s="842">
        <f t="shared" si="11"/>
        <v>0</v>
      </c>
      <c r="J45" s="894"/>
      <c r="K45" s="842"/>
      <c r="L45" s="894"/>
      <c r="M45" s="842">
        <f t="shared" si="12"/>
        <v>0</v>
      </c>
      <c r="N45" s="842">
        <f t="shared" si="13"/>
        <v>0</v>
      </c>
      <c r="O45" s="894"/>
      <c r="P45" s="842"/>
      <c r="Q45" s="894"/>
      <c r="R45" s="842">
        <f t="shared" si="14"/>
        <v>0</v>
      </c>
      <c r="S45" s="842">
        <f t="shared" si="15"/>
        <v>0</v>
      </c>
      <c r="T45" s="894"/>
      <c r="U45" s="842"/>
      <c r="V45" s="894"/>
      <c r="W45" s="842">
        <f t="shared" si="16"/>
        <v>0</v>
      </c>
    </row>
    <row r="46" spans="2:23" x14ac:dyDescent="0.3">
      <c r="B46" s="467">
        <f t="shared" si="17"/>
        <v>7</v>
      </c>
      <c r="C46" s="879" t="s">
        <v>847</v>
      </c>
      <c r="D46" s="878">
        <f t="shared" si="9"/>
        <v>0</v>
      </c>
      <c r="E46" s="876"/>
      <c r="F46" s="876"/>
      <c r="G46" s="880"/>
      <c r="H46" s="878">
        <f t="shared" si="10"/>
        <v>0</v>
      </c>
      <c r="I46" s="842">
        <f t="shared" si="11"/>
        <v>0</v>
      </c>
      <c r="J46" s="894"/>
      <c r="K46" s="842"/>
      <c r="L46" s="894"/>
      <c r="M46" s="842">
        <f t="shared" si="12"/>
        <v>0</v>
      </c>
      <c r="N46" s="842">
        <f t="shared" si="13"/>
        <v>0</v>
      </c>
      <c r="O46" s="894"/>
      <c r="P46" s="842"/>
      <c r="Q46" s="894"/>
      <c r="R46" s="842">
        <f t="shared" si="14"/>
        <v>0</v>
      </c>
      <c r="S46" s="842">
        <f t="shared" si="15"/>
        <v>0</v>
      </c>
      <c r="T46" s="894"/>
      <c r="U46" s="842"/>
      <c r="V46" s="894"/>
      <c r="W46" s="842">
        <f t="shared" si="16"/>
        <v>0</v>
      </c>
    </row>
    <row r="47" spans="2:23" x14ac:dyDescent="0.3">
      <c r="B47" s="467">
        <f t="shared" si="17"/>
        <v>8</v>
      </c>
      <c r="C47" s="879" t="s">
        <v>848</v>
      </c>
      <c r="D47" s="878">
        <f t="shared" si="9"/>
        <v>0</v>
      </c>
      <c r="E47" s="876"/>
      <c r="F47" s="876"/>
      <c r="G47" s="880"/>
      <c r="H47" s="878">
        <f t="shared" si="10"/>
        <v>0</v>
      </c>
      <c r="I47" s="842">
        <f t="shared" si="11"/>
        <v>0</v>
      </c>
      <c r="J47" s="894"/>
      <c r="K47" s="842"/>
      <c r="L47" s="894"/>
      <c r="M47" s="842">
        <f t="shared" si="12"/>
        <v>0</v>
      </c>
      <c r="N47" s="842">
        <f t="shared" si="13"/>
        <v>0</v>
      </c>
      <c r="O47" s="894"/>
      <c r="P47" s="842"/>
      <c r="Q47" s="894"/>
      <c r="R47" s="842">
        <f t="shared" si="14"/>
        <v>0</v>
      </c>
      <c r="S47" s="842">
        <f t="shared" si="15"/>
        <v>0</v>
      </c>
      <c r="T47" s="894"/>
      <c r="U47" s="842"/>
      <c r="V47" s="894"/>
      <c r="W47" s="842">
        <f t="shared" si="16"/>
        <v>0</v>
      </c>
    </row>
    <row r="48" spans="2:23" x14ac:dyDescent="0.3">
      <c r="B48" s="467">
        <f t="shared" si="17"/>
        <v>9</v>
      </c>
      <c r="C48" s="879" t="s">
        <v>849</v>
      </c>
      <c r="D48" s="878">
        <f t="shared" si="9"/>
        <v>0</v>
      </c>
      <c r="E48" s="876"/>
      <c r="F48" s="876"/>
      <c r="G48" s="880"/>
      <c r="H48" s="878">
        <f t="shared" si="10"/>
        <v>0</v>
      </c>
      <c r="I48" s="842">
        <f t="shared" si="11"/>
        <v>0</v>
      </c>
      <c r="J48" s="894"/>
      <c r="K48" s="842"/>
      <c r="L48" s="894"/>
      <c r="M48" s="842">
        <f t="shared" si="12"/>
        <v>0</v>
      </c>
      <c r="N48" s="842">
        <f t="shared" si="13"/>
        <v>0</v>
      </c>
      <c r="O48" s="894"/>
      <c r="P48" s="842"/>
      <c r="Q48" s="894"/>
      <c r="R48" s="842">
        <f t="shared" si="14"/>
        <v>0</v>
      </c>
      <c r="S48" s="842">
        <f t="shared" si="15"/>
        <v>0</v>
      </c>
      <c r="T48" s="894"/>
      <c r="U48" s="842"/>
      <c r="V48" s="894"/>
      <c r="W48" s="842">
        <f t="shared" si="16"/>
        <v>0</v>
      </c>
    </row>
    <row r="49" spans="2:27" x14ac:dyDescent="0.3">
      <c r="B49" s="467">
        <f t="shared" si="17"/>
        <v>10</v>
      </c>
      <c r="C49" s="879" t="s">
        <v>259</v>
      </c>
      <c r="D49" s="878">
        <f t="shared" si="9"/>
        <v>0</v>
      </c>
      <c r="E49" s="876"/>
      <c r="F49" s="876"/>
      <c r="G49" s="880"/>
      <c r="H49" s="878">
        <f t="shared" si="10"/>
        <v>0</v>
      </c>
      <c r="I49" s="842">
        <f t="shared" si="11"/>
        <v>0</v>
      </c>
      <c r="J49" s="894"/>
      <c r="K49" s="842"/>
      <c r="L49" s="894"/>
      <c r="M49" s="842">
        <f t="shared" si="12"/>
        <v>0</v>
      </c>
      <c r="N49" s="842">
        <f t="shared" si="13"/>
        <v>0</v>
      </c>
      <c r="O49" s="894"/>
      <c r="P49" s="842"/>
      <c r="Q49" s="894"/>
      <c r="R49" s="842">
        <f t="shared" si="14"/>
        <v>0</v>
      </c>
      <c r="S49" s="842">
        <f t="shared" si="15"/>
        <v>0</v>
      </c>
      <c r="T49" s="894"/>
      <c r="U49" s="842"/>
      <c r="V49" s="894"/>
      <c r="W49" s="842">
        <f t="shared" si="16"/>
        <v>0</v>
      </c>
    </row>
    <row r="50" spans="2:27" x14ac:dyDescent="0.3">
      <c r="B50" s="467">
        <f t="shared" si="17"/>
        <v>11</v>
      </c>
      <c r="C50" s="879" t="s">
        <v>260</v>
      </c>
      <c r="D50" s="878">
        <f t="shared" si="9"/>
        <v>0</v>
      </c>
      <c r="E50" s="876"/>
      <c r="F50" s="876"/>
      <c r="G50" s="880"/>
      <c r="H50" s="878">
        <f t="shared" si="10"/>
        <v>0</v>
      </c>
      <c r="I50" s="842">
        <f t="shared" si="11"/>
        <v>0</v>
      </c>
      <c r="J50" s="894"/>
      <c r="K50" s="842"/>
      <c r="L50" s="894"/>
      <c r="M50" s="842">
        <f t="shared" si="12"/>
        <v>0</v>
      </c>
      <c r="N50" s="842">
        <f t="shared" si="13"/>
        <v>0</v>
      </c>
      <c r="O50" s="894"/>
      <c r="P50" s="842"/>
      <c r="Q50" s="894"/>
      <c r="R50" s="842">
        <f t="shared" si="14"/>
        <v>0</v>
      </c>
      <c r="S50" s="842">
        <f t="shared" si="15"/>
        <v>0</v>
      </c>
      <c r="T50" s="894"/>
      <c r="U50" s="842"/>
      <c r="V50" s="894"/>
      <c r="W50" s="842">
        <f t="shared" si="16"/>
        <v>0</v>
      </c>
    </row>
    <row r="51" spans="2:27" x14ac:dyDescent="0.3">
      <c r="B51" s="467">
        <f t="shared" si="17"/>
        <v>12</v>
      </c>
      <c r="C51" s="879" t="s">
        <v>261</v>
      </c>
      <c r="D51" s="878">
        <f t="shared" si="9"/>
        <v>0</v>
      </c>
      <c r="E51" s="876"/>
      <c r="F51" s="876"/>
      <c r="G51" s="880"/>
      <c r="H51" s="878">
        <f t="shared" si="10"/>
        <v>0</v>
      </c>
      <c r="I51" s="842">
        <f t="shared" si="11"/>
        <v>0</v>
      </c>
      <c r="J51" s="894"/>
      <c r="K51" s="842"/>
      <c r="L51" s="894"/>
      <c r="M51" s="842">
        <f t="shared" si="12"/>
        <v>0</v>
      </c>
      <c r="N51" s="842">
        <f t="shared" si="13"/>
        <v>0</v>
      </c>
      <c r="O51" s="894"/>
      <c r="P51" s="842"/>
      <c r="Q51" s="894"/>
      <c r="R51" s="842">
        <f t="shared" si="14"/>
        <v>0</v>
      </c>
      <c r="S51" s="842">
        <f t="shared" si="15"/>
        <v>0</v>
      </c>
      <c r="T51" s="894"/>
      <c r="U51" s="842"/>
      <c r="V51" s="894"/>
      <c r="W51" s="842">
        <f t="shared" si="16"/>
        <v>0</v>
      </c>
    </row>
    <row r="52" spans="2:27" x14ac:dyDescent="0.3">
      <c r="B52" s="467">
        <f t="shared" si="17"/>
        <v>13</v>
      </c>
      <c r="C52" s="879" t="s">
        <v>897</v>
      </c>
      <c r="D52" s="878">
        <f t="shared" si="9"/>
        <v>0</v>
      </c>
      <c r="E52" s="876"/>
      <c r="F52" s="876"/>
      <c r="G52" s="880"/>
      <c r="H52" s="878">
        <f t="shared" si="10"/>
        <v>0</v>
      </c>
      <c r="I52" s="842">
        <f t="shared" si="11"/>
        <v>0</v>
      </c>
      <c r="J52" s="894"/>
      <c r="K52" s="842"/>
      <c r="L52" s="894"/>
      <c r="M52" s="842">
        <f t="shared" si="12"/>
        <v>0</v>
      </c>
      <c r="N52" s="842">
        <f t="shared" si="13"/>
        <v>0</v>
      </c>
      <c r="O52" s="894"/>
      <c r="P52" s="842"/>
      <c r="Q52" s="894"/>
      <c r="R52" s="842">
        <f t="shared" si="14"/>
        <v>0</v>
      </c>
      <c r="S52" s="842">
        <f t="shared" si="15"/>
        <v>0</v>
      </c>
      <c r="T52" s="894"/>
      <c r="U52" s="842"/>
      <c r="V52" s="894"/>
      <c r="W52" s="842">
        <f t="shared" si="16"/>
        <v>0</v>
      </c>
    </row>
    <row r="53" spans="2:27" x14ac:dyDescent="0.3">
      <c r="B53" s="467">
        <f t="shared" si="17"/>
        <v>14</v>
      </c>
      <c r="C53" s="879" t="s">
        <v>898</v>
      </c>
      <c r="D53" s="878">
        <f t="shared" si="9"/>
        <v>0</v>
      </c>
      <c r="E53" s="876"/>
      <c r="F53" s="876"/>
      <c r="G53" s="880"/>
      <c r="H53" s="878">
        <f t="shared" si="10"/>
        <v>0</v>
      </c>
      <c r="I53" s="842">
        <f t="shared" si="11"/>
        <v>0</v>
      </c>
      <c r="J53" s="894"/>
      <c r="K53" s="842"/>
      <c r="L53" s="894"/>
      <c r="M53" s="842">
        <f t="shared" si="12"/>
        <v>0</v>
      </c>
      <c r="N53" s="842">
        <f t="shared" si="13"/>
        <v>0</v>
      </c>
      <c r="O53" s="894"/>
      <c r="P53" s="842"/>
      <c r="Q53" s="894"/>
      <c r="R53" s="842">
        <f t="shared" si="14"/>
        <v>0</v>
      </c>
      <c r="S53" s="842">
        <f t="shared" si="15"/>
        <v>0</v>
      </c>
      <c r="T53" s="894"/>
      <c r="U53" s="842"/>
      <c r="V53" s="894"/>
      <c r="W53" s="842">
        <f t="shared" si="16"/>
        <v>0</v>
      </c>
    </row>
    <row r="54" spans="2:27" x14ac:dyDescent="0.3">
      <c r="B54" s="467">
        <f t="shared" si="17"/>
        <v>15</v>
      </c>
      <c r="C54" s="879" t="s">
        <v>899</v>
      </c>
      <c r="D54" s="878">
        <f t="shared" si="9"/>
        <v>0</v>
      </c>
      <c r="E54" s="876"/>
      <c r="F54" s="876"/>
      <c r="G54" s="880"/>
      <c r="H54" s="878">
        <f t="shared" si="10"/>
        <v>0</v>
      </c>
      <c r="I54" s="842">
        <f t="shared" si="11"/>
        <v>0</v>
      </c>
      <c r="J54" s="894"/>
      <c r="K54" s="842"/>
      <c r="L54" s="894"/>
      <c r="M54" s="842">
        <f t="shared" si="12"/>
        <v>0</v>
      </c>
      <c r="N54" s="842">
        <f t="shared" si="13"/>
        <v>0</v>
      </c>
      <c r="O54" s="894"/>
      <c r="P54" s="842"/>
      <c r="Q54" s="894"/>
      <c r="R54" s="842">
        <f t="shared" si="14"/>
        <v>0</v>
      </c>
      <c r="S54" s="842">
        <f t="shared" si="15"/>
        <v>0</v>
      </c>
      <c r="T54" s="894"/>
      <c r="U54" s="842"/>
      <c r="V54" s="894"/>
      <c r="W54" s="842">
        <f t="shared" si="16"/>
        <v>0</v>
      </c>
    </row>
    <row r="55" spans="2:27" x14ac:dyDescent="0.3">
      <c r="B55" s="467">
        <f t="shared" si="17"/>
        <v>16</v>
      </c>
      <c r="C55" s="879" t="s">
        <v>850</v>
      </c>
      <c r="D55" s="878">
        <f t="shared" si="9"/>
        <v>0</v>
      </c>
      <c r="E55" s="876"/>
      <c r="F55" s="876"/>
      <c r="G55" s="880"/>
      <c r="H55" s="878">
        <f t="shared" si="10"/>
        <v>0</v>
      </c>
      <c r="I55" s="842">
        <f t="shared" si="11"/>
        <v>0</v>
      </c>
      <c r="J55" s="894"/>
      <c r="K55" s="842"/>
      <c r="L55" s="894"/>
      <c r="M55" s="842">
        <f t="shared" si="12"/>
        <v>0</v>
      </c>
      <c r="N55" s="842">
        <f t="shared" si="13"/>
        <v>0</v>
      </c>
      <c r="O55" s="894"/>
      <c r="P55" s="842"/>
      <c r="Q55" s="894"/>
      <c r="R55" s="842">
        <f t="shared" si="14"/>
        <v>0</v>
      </c>
      <c r="S55" s="842">
        <f t="shared" si="15"/>
        <v>0</v>
      </c>
      <c r="T55" s="894"/>
      <c r="U55" s="842"/>
      <c r="V55" s="894"/>
      <c r="W55" s="842">
        <f t="shared" si="16"/>
        <v>0</v>
      </c>
    </row>
    <row r="56" spans="2:27" x14ac:dyDescent="0.3">
      <c r="B56" s="467">
        <f t="shared" si="17"/>
        <v>17</v>
      </c>
      <c r="C56" s="879" t="s">
        <v>900</v>
      </c>
      <c r="D56" s="878">
        <f t="shared" si="9"/>
        <v>0</v>
      </c>
      <c r="E56" s="37"/>
      <c r="F56" s="37"/>
      <c r="G56" s="895"/>
      <c r="H56" s="878">
        <f t="shared" si="10"/>
        <v>0</v>
      </c>
      <c r="I56" s="842">
        <f t="shared" si="11"/>
        <v>0</v>
      </c>
      <c r="J56" s="894"/>
      <c r="K56" s="842"/>
      <c r="L56" s="894"/>
      <c r="M56" s="842">
        <f t="shared" si="12"/>
        <v>0</v>
      </c>
      <c r="N56" s="842">
        <f t="shared" si="13"/>
        <v>0</v>
      </c>
      <c r="O56" s="894"/>
      <c r="P56" s="842"/>
      <c r="Q56" s="894"/>
      <c r="R56" s="842">
        <f t="shared" si="14"/>
        <v>0</v>
      </c>
      <c r="S56" s="842">
        <f t="shared" si="15"/>
        <v>0</v>
      </c>
      <c r="T56" s="894"/>
      <c r="U56" s="842"/>
      <c r="V56" s="894"/>
      <c r="W56" s="842">
        <f t="shared" si="16"/>
        <v>0</v>
      </c>
    </row>
    <row r="57" spans="2:27" ht="16" x14ac:dyDescent="0.3">
      <c r="B57" s="83"/>
      <c r="C57" s="97" t="s">
        <v>271</v>
      </c>
      <c r="D57" s="893">
        <f t="shared" ref="D57:W57" si="18">SUM(D40:D56)</f>
        <v>0</v>
      </c>
      <c r="E57" s="893">
        <f t="shared" si="18"/>
        <v>0</v>
      </c>
      <c r="F57" s="893">
        <f t="shared" si="18"/>
        <v>0</v>
      </c>
      <c r="G57" s="893">
        <f t="shared" si="18"/>
        <v>0</v>
      </c>
      <c r="H57" s="893">
        <f t="shared" si="18"/>
        <v>0</v>
      </c>
      <c r="I57" s="886">
        <f t="shared" si="18"/>
        <v>0</v>
      </c>
      <c r="J57" s="886">
        <f t="shared" si="18"/>
        <v>0</v>
      </c>
      <c r="K57" s="886">
        <f t="shared" si="18"/>
        <v>0</v>
      </c>
      <c r="L57" s="886">
        <f t="shared" si="18"/>
        <v>0</v>
      </c>
      <c r="M57" s="886">
        <f t="shared" si="18"/>
        <v>0</v>
      </c>
      <c r="N57" s="886">
        <f t="shared" si="18"/>
        <v>0</v>
      </c>
      <c r="O57" s="886">
        <f t="shared" si="18"/>
        <v>0</v>
      </c>
      <c r="P57" s="886">
        <f t="shared" si="18"/>
        <v>0</v>
      </c>
      <c r="Q57" s="886">
        <f t="shared" si="18"/>
        <v>0</v>
      </c>
      <c r="R57" s="886">
        <f t="shared" si="18"/>
        <v>0</v>
      </c>
      <c r="S57" s="886">
        <f t="shared" si="18"/>
        <v>0</v>
      </c>
      <c r="T57" s="886">
        <f t="shared" si="18"/>
        <v>0</v>
      </c>
      <c r="U57" s="886">
        <f t="shared" si="18"/>
        <v>0</v>
      </c>
      <c r="V57" s="886">
        <f t="shared" si="18"/>
        <v>0</v>
      </c>
      <c r="W57" s="886">
        <f t="shared" si="18"/>
        <v>0</v>
      </c>
      <c r="X57" s="262"/>
      <c r="Y57" s="262"/>
      <c r="Z57" s="262"/>
      <c r="AA57" s="262"/>
    </row>
    <row r="58" spans="2:27" ht="16" x14ac:dyDescent="0.3">
      <c r="B58" s="262"/>
      <c r="C58" s="262"/>
      <c r="D58" s="262"/>
      <c r="E58" s="262"/>
      <c r="F58" s="262"/>
      <c r="G58" s="262"/>
      <c r="H58" s="262"/>
      <c r="I58" s="262"/>
      <c r="J58" s="262"/>
      <c r="K58" s="262"/>
      <c r="L58" s="262"/>
      <c r="M58" s="262"/>
      <c r="N58" s="262"/>
      <c r="O58" s="262"/>
    </row>
    <row r="59" spans="2:27" ht="16" x14ac:dyDescent="0.3">
      <c r="B59" s="262"/>
      <c r="C59" s="262"/>
      <c r="D59" s="262"/>
      <c r="E59" s="262"/>
      <c r="F59" s="262"/>
      <c r="G59" s="262"/>
      <c r="H59" s="262"/>
      <c r="I59" s="262"/>
      <c r="J59" s="262"/>
      <c r="K59" s="262"/>
      <c r="L59" s="262"/>
      <c r="M59" s="262"/>
      <c r="N59" s="262"/>
      <c r="O59" s="262"/>
    </row>
    <row r="61" spans="2:27" x14ac:dyDescent="0.3">
      <c r="B61" s="862" t="s">
        <v>272</v>
      </c>
    </row>
    <row r="62" spans="2:27" x14ac:dyDescent="0.3">
      <c r="B62" s="862"/>
    </row>
    <row r="63" spans="2:27" ht="15" customHeight="1" x14ac:dyDescent="0.3">
      <c r="J63" s="44"/>
      <c r="M63" s="44"/>
      <c r="N63" s="44"/>
      <c r="R63" s="259" t="s">
        <v>10</v>
      </c>
    </row>
    <row r="64" spans="2:27" x14ac:dyDescent="0.3">
      <c r="B64" s="1699" t="s">
        <v>340</v>
      </c>
      <c r="C64" s="1699" t="s">
        <v>37</v>
      </c>
      <c r="D64" s="1841" t="s">
        <v>506</v>
      </c>
      <c r="E64" s="1841"/>
      <c r="F64" s="1841"/>
      <c r="G64" s="1841"/>
      <c r="H64" s="1841"/>
      <c r="I64" s="1841" t="s">
        <v>507</v>
      </c>
      <c r="J64" s="1841"/>
      <c r="K64" s="1841"/>
      <c r="L64" s="1841"/>
      <c r="M64" s="1841"/>
      <c r="N64" s="1699" t="s">
        <v>508</v>
      </c>
      <c r="O64" s="1699"/>
      <c r="P64" s="1699"/>
      <c r="Q64" s="1699"/>
      <c r="R64" s="1699"/>
      <c r="S64" s="1834" t="s">
        <v>969</v>
      </c>
      <c r="T64" s="1825"/>
      <c r="U64" s="1825"/>
      <c r="V64" s="1825"/>
      <c r="W64" s="1826"/>
    </row>
    <row r="65" spans="2:25" x14ac:dyDescent="0.3">
      <c r="B65" s="1699"/>
      <c r="C65" s="1699"/>
      <c r="D65" s="1841" t="s">
        <v>28</v>
      </c>
      <c r="E65" s="1842"/>
      <c r="F65" s="1842"/>
      <c r="G65" s="1842"/>
      <c r="H65" s="1842"/>
      <c r="I65" s="1841" t="s">
        <v>28</v>
      </c>
      <c r="J65" s="1842"/>
      <c r="K65" s="1842"/>
      <c r="L65" s="1842"/>
      <c r="M65" s="1842"/>
      <c r="N65" s="1841" t="s">
        <v>12</v>
      </c>
      <c r="O65" s="1842"/>
      <c r="P65" s="1842"/>
      <c r="Q65" s="1842"/>
      <c r="R65" s="1842"/>
      <c r="S65" s="1841" t="s">
        <v>21</v>
      </c>
      <c r="T65" s="1842"/>
      <c r="U65" s="1842"/>
      <c r="V65" s="1842"/>
      <c r="W65" s="1842"/>
    </row>
    <row r="66" spans="2:25" ht="56" x14ac:dyDescent="0.3">
      <c r="B66" s="1699"/>
      <c r="C66" s="1699"/>
      <c r="D66" s="863" t="s">
        <v>273</v>
      </c>
      <c r="E66" s="863" t="s">
        <v>268</v>
      </c>
      <c r="F66" s="263" t="s">
        <v>274</v>
      </c>
      <c r="G66" s="861" t="s">
        <v>587</v>
      </c>
      <c r="H66" s="863" t="s">
        <v>275</v>
      </c>
      <c r="I66" s="863" t="s">
        <v>273</v>
      </c>
      <c r="J66" s="863" t="s">
        <v>268</v>
      </c>
      <c r="K66" s="263" t="s">
        <v>274</v>
      </c>
      <c r="L66" s="861" t="s">
        <v>587</v>
      </c>
      <c r="M66" s="863" t="s">
        <v>275</v>
      </c>
      <c r="N66" s="863" t="s">
        <v>273</v>
      </c>
      <c r="O66" s="863" t="s">
        <v>268</v>
      </c>
      <c r="P66" s="263" t="s">
        <v>274</v>
      </c>
      <c r="Q66" s="861" t="s">
        <v>587</v>
      </c>
      <c r="R66" s="863" t="s">
        <v>275</v>
      </c>
      <c r="S66" s="863" t="s">
        <v>273</v>
      </c>
      <c r="T66" s="863" t="s">
        <v>268</v>
      </c>
      <c r="U66" s="263" t="s">
        <v>274</v>
      </c>
      <c r="V66" s="861" t="s">
        <v>587</v>
      </c>
      <c r="W66" s="863" t="s">
        <v>275</v>
      </c>
    </row>
    <row r="67" spans="2:25" x14ac:dyDescent="0.3">
      <c r="B67" s="260"/>
      <c r="C67" s="260"/>
      <c r="D67" s="260" t="s">
        <v>81</v>
      </c>
      <c r="E67" s="260" t="s">
        <v>82</v>
      </c>
      <c r="F67" s="260" t="s">
        <v>459</v>
      </c>
      <c r="G67" s="260" t="s">
        <v>391</v>
      </c>
      <c r="H67" s="260" t="s">
        <v>588</v>
      </c>
      <c r="I67" s="260" t="s">
        <v>409</v>
      </c>
      <c r="J67" s="260" t="s">
        <v>509</v>
      </c>
      <c r="K67" s="260" t="s">
        <v>410</v>
      </c>
      <c r="L67" s="260" t="s">
        <v>411</v>
      </c>
      <c r="M67" s="260" t="s">
        <v>651</v>
      </c>
      <c r="N67" s="260" t="s">
        <v>589</v>
      </c>
      <c r="O67" s="260" t="s">
        <v>652</v>
      </c>
      <c r="P67" s="260" t="s">
        <v>590</v>
      </c>
      <c r="Q67" s="260" t="s">
        <v>591</v>
      </c>
      <c r="R67" s="260" t="s">
        <v>1095</v>
      </c>
      <c r="S67" s="260" t="s">
        <v>592</v>
      </c>
      <c r="T67" s="260" t="s">
        <v>593</v>
      </c>
      <c r="U67" s="260" t="s">
        <v>1094</v>
      </c>
      <c r="V67" s="260" t="s">
        <v>1093</v>
      </c>
      <c r="W67" s="260" t="s">
        <v>1092</v>
      </c>
    </row>
    <row r="68" spans="2:25" x14ac:dyDescent="0.3">
      <c r="B68" s="95">
        <v>1</v>
      </c>
      <c r="C68" s="881" t="s">
        <v>842</v>
      </c>
      <c r="D68" s="876"/>
      <c r="E68" s="687">
        <f t="shared" ref="E68:E84" si="19">IF((IFERROR(D68/((D14+E14)*90%),0))&lt;70%,MIN((MAX((D14+E14)*90%-D68,0)),(D14+E14/2)*$X68),MAX((E14+D14)*90%-D68,0)/E$86)</f>
        <v>0</v>
      </c>
      <c r="F68" s="687">
        <f t="shared" ref="F68:F84" si="20">IFERROR(IF(D68=0,0,D68/D14*F14),0)</f>
        <v>0</v>
      </c>
      <c r="G68" s="887"/>
      <c r="H68" s="687">
        <f t="shared" ref="H68:H84" si="21">D68+E68-F68-G68</f>
        <v>0</v>
      </c>
      <c r="I68" s="892">
        <f t="shared" ref="I68:I84" si="22">H68</f>
        <v>0</v>
      </c>
      <c r="J68" s="687">
        <f t="shared" ref="J68:J85" si="23">IF((IFERROR(I68/((I14+J14)*90%),0))&lt;70%,MIN((MAX((I14+J14)*90%-I68,0)),(I14+J14/2)*$Y68),MAX((J14+I14)*90%-I68,0)/J$86)</f>
        <v>0</v>
      </c>
      <c r="K68" s="687">
        <f t="shared" ref="K68:K84" si="24">IFERROR(IF(I68=0,0,I68/I14*K14),0)</f>
        <v>0</v>
      </c>
      <c r="L68" s="887"/>
      <c r="M68" s="892">
        <f t="shared" ref="M68:M84" si="25">I68+J68-K68-L68</f>
        <v>0</v>
      </c>
      <c r="N68" s="888">
        <f t="shared" ref="N68:N84" si="26">M68</f>
        <v>0</v>
      </c>
      <c r="O68" s="687">
        <f t="shared" ref="O68:O85" si="27">IF((IFERROR(N68/((N14+O14)*90%),0))&lt;70%,MIN((MAX((N14+O14)*90%-N68,0)),(N14+O14/2)*$Y68),MAX((O14+N14)*90%-N68,0)/O$86)</f>
        <v>0</v>
      </c>
      <c r="P68" s="687">
        <f t="shared" ref="P68:P84" si="28">IFERROR(IF(N68=0,0,N68/N14*P14),0)</f>
        <v>0</v>
      </c>
      <c r="Q68" s="887"/>
      <c r="R68" s="687">
        <f t="shared" ref="R68:R84" si="29">N68+O68-P68-Q68</f>
        <v>0</v>
      </c>
      <c r="S68" s="892">
        <f t="shared" ref="S68:S84" si="30">R68</f>
        <v>0</v>
      </c>
      <c r="T68" s="687">
        <f t="shared" ref="T68:T85" si="31">IF((IFERROR(S68/((S14+T14)*90%),0))&lt;70%,MIN((MAX((S14+T14)*90%-S68,0)),(S14+T14/2)*$Y68),MAX((T14+S14)*90%-S68,0)/T$86)</f>
        <v>0</v>
      </c>
      <c r="U68" s="687">
        <f t="shared" ref="U68:U84" si="32">IFERROR(IF(S68=0,0,S68/S14*U14),0)</f>
        <v>0</v>
      </c>
      <c r="V68" s="887"/>
      <c r="W68" s="892">
        <f t="shared" ref="W68:W84" si="33">S68+T68-U68-V68</f>
        <v>0</v>
      </c>
      <c r="X68" s="891"/>
      <c r="Y68" s="891"/>
    </row>
    <row r="69" spans="2:25" x14ac:dyDescent="0.3">
      <c r="B69" s="95">
        <f t="shared" ref="B69:B84" si="34">B68+1</f>
        <v>2</v>
      </c>
      <c r="C69" s="881" t="s">
        <v>843</v>
      </c>
      <c r="D69" s="876"/>
      <c r="E69" s="687">
        <f t="shared" si="19"/>
        <v>0</v>
      </c>
      <c r="F69" s="687">
        <f t="shared" si="20"/>
        <v>0</v>
      </c>
      <c r="G69" s="887"/>
      <c r="H69" s="687">
        <f t="shared" si="21"/>
        <v>0</v>
      </c>
      <c r="I69" s="892">
        <f t="shared" si="22"/>
        <v>0</v>
      </c>
      <c r="J69" s="687">
        <f t="shared" si="23"/>
        <v>0</v>
      </c>
      <c r="K69" s="687">
        <f t="shared" si="24"/>
        <v>0</v>
      </c>
      <c r="L69" s="887"/>
      <c r="M69" s="892">
        <f t="shared" si="25"/>
        <v>0</v>
      </c>
      <c r="N69" s="888">
        <f t="shared" si="26"/>
        <v>0</v>
      </c>
      <c r="O69" s="687">
        <f t="shared" si="27"/>
        <v>0</v>
      </c>
      <c r="P69" s="687">
        <f t="shared" si="28"/>
        <v>0</v>
      </c>
      <c r="Q69" s="887"/>
      <c r="R69" s="687">
        <f t="shared" si="29"/>
        <v>0</v>
      </c>
      <c r="S69" s="892">
        <f t="shared" si="30"/>
        <v>0</v>
      </c>
      <c r="T69" s="687">
        <f t="shared" si="31"/>
        <v>0</v>
      </c>
      <c r="U69" s="687">
        <f t="shared" si="32"/>
        <v>0</v>
      </c>
      <c r="V69" s="887"/>
      <c r="W69" s="892">
        <f t="shared" si="33"/>
        <v>0</v>
      </c>
      <c r="X69" s="891"/>
      <c r="Y69" s="891"/>
    </row>
    <row r="70" spans="2:25" x14ac:dyDescent="0.3">
      <c r="B70" s="95">
        <f t="shared" si="34"/>
        <v>3</v>
      </c>
      <c r="C70" s="881" t="s">
        <v>844</v>
      </c>
      <c r="D70" s="876"/>
      <c r="E70" s="687">
        <f t="shared" si="19"/>
        <v>0</v>
      </c>
      <c r="F70" s="687">
        <f t="shared" si="20"/>
        <v>0</v>
      </c>
      <c r="G70" s="887"/>
      <c r="H70" s="687">
        <f t="shared" si="21"/>
        <v>0</v>
      </c>
      <c r="I70" s="892">
        <f t="shared" si="22"/>
        <v>0</v>
      </c>
      <c r="J70" s="687">
        <f t="shared" si="23"/>
        <v>0</v>
      </c>
      <c r="K70" s="687">
        <f t="shared" si="24"/>
        <v>0</v>
      </c>
      <c r="L70" s="887"/>
      <c r="M70" s="892">
        <f t="shared" si="25"/>
        <v>0</v>
      </c>
      <c r="N70" s="888">
        <f t="shared" si="26"/>
        <v>0</v>
      </c>
      <c r="O70" s="687">
        <f t="shared" si="27"/>
        <v>0</v>
      </c>
      <c r="P70" s="687">
        <f t="shared" si="28"/>
        <v>0</v>
      </c>
      <c r="Q70" s="887"/>
      <c r="R70" s="687">
        <f t="shared" si="29"/>
        <v>0</v>
      </c>
      <c r="S70" s="892">
        <f t="shared" si="30"/>
        <v>0</v>
      </c>
      <c r="T70" s="687">
        <f t="shared" si="31"/>
        <v>0</v>
      </c>
      <c r="U70" s="687">
        <f t="shared" si="32"/>
        <v>0</v>
      </c>
      <c r="V70" s="887"/>
      <c r="W70" s="892">
        <f t="shared" si="33"/>
        <v>0</v>
      </c>
      <c r="X70" s="891"/>
      <c r="Y70" s="891"/>
    </row>
    <row r="71" spans="2:25" x14ac:dyDescent="0.3">
      <c r="B71" s="95">
        <f t="shared" si="34"/>
        <v>4</v>
      </c>
      <c r="C71" s="881" t="s">
        <v>845</v>
      </c>
      <c r="D71" s="876"/>
      <c r="E71" s="687">
        <f t="shared" si="19"/>
        <v>0</v>
      </c>
      <c r="F71" s="687">
        <f t="shared" si="20"/>
        <v>0</v>
      </c>
      <c r="G71" s="887"/>
      <c r="H71" s="687">
        <f t="shared" si="21"/>
        <v>0</v>
      </c>
      <c r="I71" s="892">
        <f t="shared" si="22"/>
        <v>0</v>
      </c>
      <c r="J71" s="687">
        <f t="shared" si="23"/>
        <v>0</v>
      </c>
      <c r="K71" s="687">
        <f t="shared" si="24"/>
        <v>0</v>
      </c>
      <c r="L71" s="887"/>
      <c r="M71" s="892">
        <f t="shared" si="25"/>
        <v>0</v>
      </c>
      <c r="N71" s="888">
        <f t="shared" si="26"/>
        <v>0</v>
      </c>
      <c r="O71" s="687">
        <f t="shared" si="27"/>
        <v>0</v>
      </c>
      <c r="P71" s="687">
        <f t="shared" si="28"/>
        <v>0</v>
      </c>
      <c r="Q71" s="887"/>
      <c r="R71" s="687">
        <f t="shared" si="29"/>
        <v>0</v>
      </c>
      <c r="S71" s="892">
        <f t="shared" si="30"/>
        <v>0</v>
      </c>
      <c r="T71" s="687">
        <f t="shared" si="31"/>
        <v>0</v>
      </c>
      <c r="U71" s="687">
        <f t="shared" si="32"/>
        <v>0</v>
      </c>
      <c r="V71" s="887"/>
      <c r="W71" s="892">
        <f t="shared" si="33"/>
        <v>0</v>
      </c>
      <c r="X71" s="891"/>
      <c r="Y71" s="891"/>
    </row>
    <row r="72" spans="2:25" x14ac:dyDescent="0.3">
      <c r="B72" s="95">
        <f t="shared" si="34"/>
        <v>5</v>
      </c>
      <c r="C72" s="881" t="s">
        <v>846</v>
      </c>
      <c r="D72" s="876"/>
      <c r="E72" s="687">
        <f t="shared" si="19"/>
        <v>0</v>
      </c>
      <c r="F72" s="687">
        <f t="shared" si="20"/>
        <v>0</v>
      </c>
      <c r="G72" s="887"/>
      <c r="H72" s="687">
        <f t="shared" si="21"/>
        <v>0</v>
      </c>
      <c r="I72" s="892">
        <f t="shared" si="22"/>
        <v>0</v>
      </c>
      <c r="J72" s="687">
        <f t="shared" si="23"/>
        <v>0</v>
      </c>
      <c r="K72" s="687">
        <f t="shared" si="24"/>
        <v>0</v>
      </c>
      <c r="L72" s="887"/>
      <c r="M72" s="892">
        <f t="shared" si="25"/>
        <v>0</v>
      </c>
      <c r="N72" s="888">
        <f t="shared" si="26"/>
        <v>0</v>
      </c>
      <c r="O72" s="687">
        <f t="shared" si="27"/>
        <v>0</v>
      </c>
      <c r="P72" s="687">
        <f t="shared" si="28"/>
        <v>0</v>
      </c>
      <c r="Q72" s="887"/>
      <c r="R72" s="687">
        <f t="shared" si="29"/>
        <v>0</v>
      </c>
      <c r="S72" s="892">
        <f t="shared" si="30"/>
        <v>0</v>
      </c>
      <c r="T72" s="687">
        <f t="shared" si="31"/>
        <v>0</v>
      </c>
      <c r="U72" s="687">
        <f t="shared" si="32"/>
        <v>0</v>
      </c>
      <c r="V72" s="887"/>
      <c r="W72" s="892">
        <f t="shared" si="33"/>
        <v>0</v>
      </c>
      <c r="X72" s="891"/>
      <c r="Y72" s="891"/>
    </row>
    <row r="73" spans="2:25" x14ac:dyDescent="0.3">
      <c r="B73" s="95">
        <f t="shared" si="34"/>
        <v>6</v>
      </c>
      <c r="C73" s="881" t="s">
        <v>256</v>
      </c>
      <c r="D73" s="876"/>
      <c r="E73" s="687">
        <f t="shared" si="19"/>
        <v>0</v>
      </c>
      <c r="F73" s="687">
        <f t="shared" si="20"/>
        <v>0</v>
      </c>
      <c r="G73" s="887"/>
      <c r="H73" s="687">
        <f t="shared" si="21"/>
        <v>0</v>
      </c>
      <c r="I73" s="892">
        <f t="shared" si="22"/>
        <v>0</v>
      </c>
      <c r="J73" s="687">
        <f t="shared" si="23"/>
        <v>0</v>
      </c>
      <c r="K73" s="687">
        <f t="shared" si="24"/>
        <v>0</v>
      </c>
      <c r="L73" s="887"/>
      <c r="M73" s="892">
        <f t="shared" si="25"/>
        <v>0</v>
      </c>
      <c r="N73" s="888">
        <f t="shared" si="26"/>
        <v>0</v>
      </c>
      <c r="O73" s="687">
        <f t="shared" si="27"/>
        <v>0</v>
      </c>
      <c r="P73" s="687">
        <f t="shared" si="28"/>
        <v>0</v>
      </c>
      <c r="Q73" s="887"/>
      <c r="R73" s="687">
        <f t="shared" si="29"/>
        <v>0</v>
      </c>
      <c r="S73" s="892">
        <f t="shared" si="30"/>
        <v>0</v>
      </c>
      <c r="T73" s="687">
        <f t="shared" si="31"/>
        <v>0</v>
      </c>
      <c r="U73" s="687">
        <f t="shared" si="32"/>
        <v>0</v>
      </c>
      <c r="V73" s="887"/>
      <c r="W73" s="892">
        <f t="shared" si="33"/>
        <v>0</v>
      </c>
      <c r="X73" s="891"/>
      <c r="Y73" s="891"/>
    </row>
    <row r="74" spans="2:25" x14ac:dyDescent="0.3">
      <c r="B74" s="95">
        <f t="shared" si="34"/>
        <v>7</v>
      </c>
      <c r="C74" s="881" t="s">
        <v>847</v>
      </c>
      <c r="D74" s="876"/>
      <c r="E74" s="687">
        <f t="shared" si="19"/>
        <v>0</v>
      </c>
      <c r="F74" s="687">
        <f t="shared" si="20"/>
        <v>0</v>
      </c>
      <c r="G74" s="887"/>
      <c r="H74" s="687">
        <f t="shared" si="21"/>
        <v>0</v>
      </c>
      <c r="I74" s="892">
        <f t="shared" si="22"/>
        <v>0</v>
      </c>
      <c r="J74" s="687">
        <f t="shared" si="23"/>
        <v>0</v>
      </c>
      <c r="K74" s="687">
        <f t="shared" si="24"/>
        <v>0</v>
      </c>
      <c r="L74" s="887"/>
      <c r="M74" s="892">
        <f t="shared" si="25"/>
        <v>0</v>
      </c>
      <c r="N74" s="888">
        <f t="shared" si="26"/>
        <v>0</v>
      </c>
      <c r="O74" s="687">
        <f t="shared" si="27"/>
        <v>0</v>
      </c>
      <c r="P74" s="687">
        <f t="shared" si="28"/>
        <v>0</v>
      </c>
      <c r="Q74" s="887"/>
      <c r="R74" s="687">
        <f t="shared" si="29"/>
        <v>0</v>
      </c>
      <c r="S74" s="892">
        <f t="shared" si="30"/>
        <v>0</v>
      </c>
      <c r="T74" s="687">
        <f t="shared" si="31"/>
        <v>0</v>
      </c>
      <c r="U74" s="687">
        <f t="shared" si="32"/>
        <v>0</v>
      </c>
      <c r="V74" s="887"/>
      <c r="W74" s="892">
        <f t="shared" si="33"/>
        <v>0</v>
      </c>
      <c r="X74" s="891"/>
      <c r="Y74" s="891"/>
    </row>
    <row r="75" spans="2:25" x14ac:dyDescent="0.3">
      <c r="B75" s="95">
        <f t="shared" si="34"/>
        <v>8</v>
      </c>
      <c r="C75" s="881" t="s">
        <v>848</v>
      </c>
      <c r="D75" s="876"/>
      <c r="E75" s="687">
        <f t="shared" si="19"/>
        <v>0</v>
      </c>
      <c r="F75" s="687">
        <f t="shared" si="20"/>
        <v>0</v>
      </c>
      <c r="G75" s="887"/>
      <c r="H75" s="687">
        <f t="shared" si="21"/>
        <v>0</v>
      </c>
      <c r="I75" s="892">
        <f t="shared" si="22"/>
        <v>0</v>
      </c>
      <c r="J75" s="687">
        <f t="shared" si="23"/>
        <v>0</v>
      </c>
      <c r="K75" s="687">
        <f t="shared" si="24"/>
        <v>0</v>
      </c>
      <c r="L75" s="887"/>
      <c r="M75" s="892">
        <f t="shared" si="25"/>
        <v>0</v>
      </c>
      <c r="N75" s="888">
        <f t="shared" si="26"/>
        <v>0</v>
      </c>
      <c r="O75" s="687">
        <f t="shared" si="27"/>
        <v>0</v>
      </c>
      <c r="P75" s="687">
        <f t="shared" si="28"/>
        <v>0</v>
      </c>
      <c r="Q75" s="887"/>
      <c r="R75" s="687">
        <f t="shared" si="29"/>
        <v>0</v>
      </c>
      <c r="S75" s="892">
        <f t="shared" si="30"/>
        <v>0</v>
      </c>
      <c r="T75" s="687">
        <f t="shared" si="31"/>
        <v>0</v>
      </c>
      <c r="U75" s="687">
        <f t="shared" si="32"/>
        <v>0</v>
      </c>
      <c r="V75" s="887"/>
      <c r="W75" s="892">
        <f t="shared" si="33"/>
        <v>0</v>
      </c>
      <c r="X75" s="891"/>
      <c r="Y75" s="891"/>
    </row>
    <row r="76" spans="2:25" x14ac:dyDescent="0.3">
      <c r="B76" s="95">
        <f t="shared" si="34"/>
        <v>9</v>
      </c>
      <c r="C76" s="881" t="s">
        <v>849</v>
      </c>
      <c r="D76" s="876"/>
      <c r="E76" s="687">
        <f t="shared" si="19"/>
        <v>0</v>
      </c>
      <c r="F76" s="687">
        <f t="shared" si="20"/>
        <v>0</v>
      </c>
      <c r="G76" s="887"/>
      <c r="H76" s="687">
        <f t="shared" si="21"/>
        <v>0</v>
      </c>
      <c r="I76" s="892">
        <f t="shared" si="22"/>
        <v>0</v>
      </c>
      <c r="J76" s="687">
        <f t="shared" si="23"/>
        <v>0</v>
      </c>
      <c r="K76" s="687">
        <f t="shared" si="24"/>
        <v>0</v>
      </c>
      <c r="L76" s="887"/>
      <c r="M76" s="892">
        <f t="shared" si="25"/>
        <v>0</v>
      </c>
      <c r="N76" s="888">
        <f t="shared" si="26"/>
        <v>0</v>
      </c>
      <c r="O76" s="687">
        <f t="shared" si="27"/>
        <v>0</v>
      </c>
      <c r="P76" s="687">
        <f t="shared" si="28"/>
        <v>0</v>
      </c>
      <c r="Q76" s="887"/>
      <c r="R76" s="687">
        <f t="shared" si="29"/>
        <v>0</v>
      </c>
      <c r="S76" s="892">
        <f t="shared" si="30"/>
        <v>0</v>
      </c>
      <c r="T76" s="687">
        <f t="shared" si="31"/>
        <v>0</v>
      </c>
      <c r="U76" s="687">
        <f t="shared" si="32"/>
        <v>0</v>
      </c>
      <c r="V76" s="887"/>
      <c r="W76" s="892">
        <f t="shared" si="33"/>
        <v>0</v>
      </c>
      <c r="X76" s="891"/>
      <c r="Y76" s="891"/>
    </row>
    <row r="77" spans="2:25" x14ac:dyDescent="0.3">
      <c r="B77" s="95">
        <f t="shared" si="34"/>
        <v>10</v>
      </c>
      <c r="C77" s="881" t="s">
        <v>259</v>
      </c>
      <c r="D77" s="876"/>
      <c r="E77" s="687">
        <f t="shared" si="19"/>
        <v>0</v>
      </c>
      <c r="F77" s="687">
        <f t="shared" si="20"/>
        <v>0</v>
      </c>
      <c r="G77" s="887"/>
      <c r="H77" s="687">
        <f t="shared" si="21"/>
        <v>0</v>
      </c>
      <c r="I77" s="892">
        <f t="shared" si="22"/>
        <v>0</v>
      </c>
      <c r="J77" s="687">
        <f t="shared" si="23"/>
        <v>0</v>
      </c>
      <c r="K77" s="687">
        <f t="shared" si="24"/>
        <v>0</v>
      </c>
      <c r="L77" s="887"/>
      <c r="M77" s="892">
        <f t="shared" si="25"/>
        <v>0</v>
      </c>
      <c r="N77" s="888">
        <f t="shared" si="26"/>
        <v>0</v>
      </c>
      <c r="O77" s="687">
        <f t="shared" si="27"/>
        <v>0</v>
      </c>
      <c r="P77" s="687">
        <f t="shared" si="28"/>
        <v>0</v>
      </c>
      <c r="Q77" s="887"/>
      <c r="R77" s="687">
        <f t="shared" si="29"/>
        <v>0</v>
      </c>
      <c r="S77" s="892">
        <f t="shared" si="30"/>
        <v>0</v>
      </c>
      <c r="T77" s="687">
        <f t="shared" si="31"/>
        <v>0</v>
      </c>
      <c r="U77" s="687">
        <f t="shared" si="32"/>
        <v>0</v>
      </c>
      <c r="V77" s="887"/>
      <c r="W77" s="892">
        <f t="shared" si="33"/>
        <v>0</v>
      </c>
      <c r="X77" s="891"/>
      <c r="Y77" s="891"/>
    </row>
    <row r="78" spans="2:25" x14ac:dyDescent="0.3">
      <c r="B78" s="95">
        <f t="shared" si="34"/>
        <v>11</v>
      </c>
      <c r="C78" s="881" t="s">
        <v>260</v>
      </c>
      <c r="D78" s="876"/>
      <c r="E78" s="687">
        <f t="shared" si="19"/>
        <v>0</v>
      </c>
      <c r="F78" s="687">
        <f t="shared" si="20"/>
        <v>0</v>
      </c>
      <c r="G78" s="887"/>
      <c r="H78" s="687">
        <f t="shared" si="21"/>
        <v>0</v>
      </c>
      <c r="I78" s="892">
        <f t="shared" si="22"/>
        <v>0</v>
      </c>
      <c r="J78" s="687">
        <f t="shared" si="23"/>
        <v>0</v>
      </c>
      <c r="K78" s="687">
        <f t="shared" si="24"/>
        <v>0</v>
      </c>
      <c r="L78" s="887"/>
      <c r="M78" s="892">
        <f t="shared" si="25"/>
        <v>0</v>
      </c>
      <c r="N78" s="888">
        <f t="shared" si="26"/>
        <v>0</v>
      </c>
      <c r="O78" s="687">
        <f t="shared" si="27"/>
        <v>0</v>
      </c>
      <c r="P78" s="687">
        <f t="shared" si="28"/>
        <v>0</v>
      </c>
      <c r="Q78" s="887"/>
      <c r="R78" s="687">
        <f t="shared" si="29"/>
        <v>0</v>
      </c>
      <c r="S78" s="892">
        <f t="shared" si="30"/>
        <v>0</v>
      </c>
      <c r="T78" s="687">
        <f t="shared" si="31"/>
        <v>0</v>
      </c>
      <c r="U78" s="687">
        <f t="shared" si="32"/>
        <v>0</v>
      </c>
      <c r="V78" s="887"/>
      <c r="W78" s="892">
        <f t="shared" si="33"/>
        <v>0</v>
      </c>
      <c r="X78" s="891"/>
      <c r="Y78" s="891"/>
    </row>
    <row r="79" spans="2:25" x14ac:dyDescent="0.3">
      <c r="B79" s="95">
        <f t="shared" si="34"/>
        <v>12</v>
      </c>
      <c r="C79" s="881" t="s">
        <v>261</v>
      </c>
      <c r="D79" s="876"/>
      <c r="E79" s="687">
        <f t="shared" si="19"/>
        <v>0</v>
      </c>
      <c r="F79" s="687">
        <f t="shared" si="20"/>
        <v>0</v>
      </c>
      <c r="G79" s="890"/>
      <c r="H79" s="687">
        <f t="shared" si="21"/>
        <v>0</v>
      </c>
      <c r="I79" s="892">
        <f t="shared" si="22"/>
        <v>0</v>
      </c>
      <c r="J79" s="687">
        <f t="shared" si="23"/>
        <v>0</v>
      </c>
      <c r="K79" s="687">
        <f t="shared" si="24"/>
        <v>0</v>
      </c>
      <c r="L79" s="887"/>
      <c r="M79" s="892">
        <f t="shared" si="25"/>
        <v>0</v>
      </c>
      <c r="N79" s="888">
        <f t="shared" si="26"/>
        <v>0</v>
      </c>
      <c r="O79" s="687">
        <f t="shared" si="27"/>
        <v>0</v>
      </c>
      <c r="P79" s="687">
        <f t="shared" si="28"/>
        <v>0</v>
      </c>
      <c r="Q79" s="887"/>
      <c r="R79" s="687">
        <f t="shared" si="29"/>
        <v>0</v>
      </c>
      <c r="S79" s="892">
        <f t="shared" si="30"/>
        <v>0</v>
      </c>
      <c r="T79" s="687">
        <f t="shared" si="31"/>
        <v>0</v>
      </c>
      <c r="U79" s="687">
        <f t="shared" si="32"/>
        <v>0</v>
      </c>
      <c r="V79" s="887"/>
      <c r="W79" s="892">
        <f t="shared" si="33"/>
        <v>0</v>
      </c>
      <c r="X79" s="891"/>
      <c r="Y79" s="891"/>
    </row>
    <row r="80" spans="2:25" x14ac:dyDescent="0.3">
      <c r="B80" s="95">
        <f t="shared" si="34"/>
        <v>13</v>
      </c>
      <c r="C80" s="879" t="s">
        <v>897</v>
      </c>
      <c r="D80" s="876"/>
      <c r="E80" s="687">
        <f t="shared" si="19"/>
        <v>0</v>
      </c>
      <c r="F80" s="687">
        <f t="shared" si="20"/>
        <v>0</v>
      </c>
      <c r="G80" s="890"/>
      <c r="H80" s="687">
        <f t="shared" si="21"/>
        <v>0</v>
      </c>
      <c r="I80" s="892">
        <f t="shared" si="22"/>
        <v>0</v>
      </c>
      <c r="J80" s="687">
        <f t="shared" si="23"/>
        <v>0</v>
      </c>
      <c r="K80" s="687">
        <f t="shared" si="24"/>
        <v>0</v>
      </c>
      <c r="L80" s="887"/>
      <c r="M80" s="892">
        <f t="shared" si="25"/>
        <v>0</v>
      </c>
      <c r="N80" s="888">
        <f t="shared" si="26"/>
        <v>0</v>
      </c>
      <c r="O80" s="687">
        <f t="shared" si="27"/>
        <v>0</v>
      </c>
      <c r="P80" s="687">
        <f t="shared" si="28"/>
        <v>0</v>
      </c>
      <c r="Q80" s="887"/>
      <c r="R80" s="687">
        <f t="shared" si="29"/>
        <v>0</v>
      </c>
      <c r="S80" s="892">
        <f t="shared" si="30"/>
        <v>0</v>
      </c>
      <c r="T80" s="687">
        <f t="shared" si="31"/>
        <v>0</v>
      </c>
      <c r="U80" s="687">
        <f t="shared" si="32"/>
        <v>0</v>
      </c>
      <c r="V80" s="887"/>
      <c r="W80" s="892">
        <f t="shared" si="33"/>
        <v>0</v>
      </c>
      <c r="X80" s="891"/>
      <c r="Y80" s="891"/>
    </row>
    <row r="81" spans="2:39" x14ac:dyDescent="0.3">
      <c r="B81" s="95">
        <f t="shared" si="34"/>
        <v>14</v>
      </c>
      <c r="C81" s="879" t="s">
        <v>898</v>
      </c>
      <c r="D81" s="876"/>
      <c r="E81" s="687">
        <f t="shared" si="19"/>
        <v>0</v>
      </c>
      <c r="F81" s="687">
        <f t="shared" si="20"/>
        <v>0</v>
      </c>
      <c r="G81" s="890"/>
      <c r="H81" s="687">
        <f t="shared" si="21"/>
        <v>0</v>
      </c>
      <c r="I81" s="892">
        <f t="shared" si="22"/>
        <v>0</v>
      </c>
      <c r="J81" s="687">
        <f t="shared" si="23"/>
        <v>0</v>
      </c>
      <c r="K81" s="687">
        <f t="shared" si="24"/>
        <v>0</v>
      </c>
      <c r="L81" s="887"/>
      <c r="M81" s="892">
        <f t="shared" si="25"/>
        <v>0</v>
      </c>
      <c r="N81" s="888">
        <f t="shared" si="26"/>
        <v>0</v>
      </c>
      <c r="O81" s="687">
        <f t="shared" si="27"/>
        <v>0</v>
      </c>
      <c r="P81" s="687">
        <f t="shared" si="28"/>
        <v>0</v>
      </c>
      <c r="Q81" s="887"/>
      <c r="R81" s="687">
        <f t="shared" si="29"/>
        <v>0</v>
      </c>
      <c r="S81" s="892">
        <f t="shared" si="30"/>
        <v>0</v>
      </c>
      <c r="T81" s="687">
        <f t="shared" si="31"/>
        <v>0</v>
      </c>
      <c r="U81" s="687">
        <f t="shared" si="32"/>
        <v>0</v>
      </c>
      <c r="V81" s="887"/>
      <c r="W81" s="892">
        <f t="shared" si="33"/>
        <v>0</v>
      </c>
      <c r="X81" s="891"/>
      <c r="Y81" s="891"/>
    </row>
    <row r="82" spans="2:39" x14ac:dyDescent="0.3">
      <c r="B82" s="95">
        <f t="shared" si="34"/>
        <v>15</v>
      </c>
      <c r="C82" s="879" t="s">
        <v>899</v>
      </c>
      <c r="D82" s="876"/>
      <c r="E82" s="687">
        <f t="shared" si="19"/>
        <v>0</v>
      </c>
      <c r="F82" s="687">
        <f t="shared" si="20"/>
        <v>0</v>
      </c>
      <c r="G82" s="890"/>
      <c r="H82" s="687">
        <f t="shared" si="21"/>
        <v>0</v>
      </c>
      <c r="I82" s="892">
        <f t="shared" si="22"/>
        <v>0</v>
      </c>
      <c r="J82" s="687">
        <f t="shared" si="23"/>
        <v>0</v>
      </c>
      <c r="K82" s="687">
        <f t="shared" si="24"/>
        <v>0</v>
      </c>
      <c r="L82" s="887"/>
      <c r="M82" s="892">
        <f t="shared" si="25"/>
        <v>0</v>
      </c>
      <c r="N82" s="888">
        <f t="shared" si="26"/>
        <v>0</v>
      </c>
      <c r="O82" s="687">
        <f t="shared" si="27"/>
        <v>0</v>
      </c>
      <c r="P82" s="687">
        <f t="shared" si="28"/>
        <v>0</v>
      </c>
      <c r="Q82" s="887"/>
      <c r="R82" s="687">
        <f t="shared" si="29"/>
        <v>0</v>
      </c>
      <c r="S82" s="892">
        <f t="shared" si="30"/>
        <v>0</v>
      </c>
      <c r="T82" s="687">
        <f t="shared" si="31"/>
        <v>0</v>
      </c>
      <c r="U82" s="687">
        <f t="shared" si="32"/>
        <v>0</v>
      </c>
      <c r="V82" s="887"/>
      <c r="W82" s="892">
        <f t="shared" si="33"/>
        <v>0</v>
      </c>
      <c r="X82" s="891"/>
      <c r="Y82" s="891"/>
    </row>
    <row r="83" spans="2:39" x14ac:dyDescent="0.3">
      <c r="B83" s="95">
        <f t="shared" si="34"/>
        <v>16</v>
      </c>
      <c r="C83" s="879" t="s">
        <v>850</v>
      </c>
      <c r="D83" s="876"/>
      <c r="E83" s="687">
        <f t="shared" si="19"/>
        <v>0</v>
      </c>
      <c r="F83" s="687">
        <f t="shared" si="20"/>
        <v>0</v>
      </c>
      <c r="G83" s="887"/>
      <c r="H83" s="687">
        <f t="shared" si="21"/>
        <v>0</v>
      </c>
      <c r="I83" s="892">
        <f t="shared" si="22"/>
        <v>0</v>
      </c>
      <c r="J83" s="687">
        <f t="shared" si="23"/>
        <v>0</v>
      </c>
      <c r="K83" s="687">
        <f t="shared" si="24"/>
        <v>0</v>
      </c>
      <c r="L83" s="887"/>
      <c r="M83" s="892">
        <f t="shared" si="25"/>
        <v>0</v>
      </c>
      <c r="N83" s="888">
        <f t="shared" si="26"/>
        <v>0</v>
      </c>
      <c r="O83" s="687">
        <f t="shared" si="27"/>
        <v>0</v>
      </c>
      <c r="P83" s="687">
        <f t="shared" si="28"/>
        <v>0</v>
      </c>
      <c r="Q83" s="887"/>
      <c r="R83" s="687">
        <f t="shared" si="29"/>
        <v>0</v>
      </c>
      <c r="S83" s="892">
        <f t="shared" si="30"/>
        <v>0</v>
      </c>
      <c r="T83" s="687">
        <f t="shared" si="31"/>
        <v>0</v>
      </c>
      <c r="U83" s="687">
        <f t="shared" si="32"/>
        <v>0</v>
      </c>
      <c r="V83" s="887"/>
      <c r="W83" s="892">
        <f t="shared" si="33"/>
        <v>0</v>
      </c>
      <c r="X83" s="891"/>
      <c r="Y83" s="891"/>
    </row>
    <row r="84" spans="2:39" x14ac:dyDescent="0.3">
      <c r="B84" s="95">
        <f t="shared" si="34"/>
        <v>17</v>
      </c>
      <c r="C84" s="879" t="s">
        <v>900</v>
      </c>
      <c r="D84" s="37"/>
      <c r="E84" s="687">
        <f t="shared" si="19"/>
        <v>0</v>
      </c>
      <c r="F84" s="687">
        <f t="shared" si="20"/>
        <v>0</v>
      </c>
      <c r="G84" s="887"/>
      <c r="H84" s="687">
        <f t="shared" si="21"/>
        <v>0</v>
      </c>
      <c r="I84" s="892">
        <f t="shared" si="22"/>
        <v>0</v>
      </c>
      <c r="J84" s="687">
        <f t="shared" si="23"/>
        <v>0</v>
      </c>
      <c r="K84" s="687">
        <f t="shared" si="24"/>
        <v>0</v>
      </c>
      <c r="L84" s="887"/>
      <c r="M84" s="892">
        <f t="shared" si="25"/>
        <v>0</v>
      </c>
      <c r="N84" s="888">
        <f t="shared" si="26"/>
        <v>0</v>
      </c>
      <c r="O84" s="687">
        <f t="shared" si="27"/>
        <v>0</v>
      </c>
      <c r="P84" s="687">
        <f t="shared" si="28"/>
        <v>0</v>
      </c>
      <c r="Q84" s="887"/>
      <c r="R84" s="687">
        <f t="shared" si="29"/>
        <v>0</v>
      </c>
      <c r="S84" s="892">
        <f t="shared" si="30"/>
        <v>0</v>
      </c>
      <c r="T84" s="687">
        <f t="shared" si="31"/>
        <v>0</v>
      </c>
      <c r="U84" s="687">
        <f t="shared" si="32"/>
        <v>0</v>
      </c>
      <c r="V84" s="887"/>
      <c r="W84" s="892">
        <f t="shared" si="33"/>
        <v>0</v>
      </c>
      <c r="X84" s="891"/>
      <c r="Y84" s="891"/>
    </row>
    <row r="85" spans="2:39" ht="16" x14ac:dyDescent="0.3">
      <c r="B85" s="83"/>
      <c r="C85" s="97" t="s">
        <v>271</v>
      </c>
      <c r="D85" s="97"/>
      <c r="E85" s="886">
        <f>SUM(E68:E84)</f>
        <v>0</v>
      </c>
      <c r="F85" s="886">
        <f>SUM(F68:F84)</f>
        <v>0</v>
      </c>
      <c r="G85" s="886">
        <f>SUM(G68:G84)</f>
        <v>0</v>
      </c>
      <c r="H85" s="886">
        <f>SUM(H68:H84)</f>
        <v>0</v>
      </c>
      <c r="I85" s="886">
        <f>SUM(I68:I84)</f>
        <v>0</v>
      </c>
      <c r="J85" s="687">
        <f t="shared" si="23"/>
        <v>0</v>
      </c>
      <c r="K85" s="886">
        <f>SUM(K68:K84)</f>
        <v>0</v>
      </c>
      <c r="L85" s="886">
        <f>SUM(L68:L84)</f>
        <v>0</v>
      </c>
      <c r="M85" s="886">
        <f>SUM(M68:M84)</f>
        <v>0</v>
      </c>
      <c r="N85" s="886">
        <f>SUM(N68:N84)</f>
        <v>0</v>
      </c>
      <c r="O85" s="687">
        <f t="shared" si="27"/>
        <v>0</v>
      </c>
      <c r="P85" s="886">
        <f>SUM(P68:P84)</f>
        <v>0</v>
      </c>
      <c r="Q85" s="886">
        <f>SUM(Q68:Q84)</f>
        <v>0</v>
      </c>
      <c r="R85" s="886">
        <f>SUM(R68:R84)</f>
        <v>0</v>
      </c>
      <c r="S85" s="886">
        <f>SUM(S68:S84)</f>
        <v>0</v>
      </c>
      <c r="T85" s="687">
        <f t="shared" si="31"/>
        <v>0</v>
      </c>
      <c r="U85" s="886">
        <f>SUM(U68:U84)</f>
        <v>0</v>
      </c>
      <c r="V85" s="886">
        <f>SUM(V68:V84)</f>
        <v>0</v>
      </c>
      <c r="W85" s="886">
        <f>SUM(W68:W84)</f>
        <v>0</v>
      </c>
    </row>
    <row r="86" spans="2:39" ht="16" x14ac:dyDescent="0.3">
      <c r="B86" s="262"/>
      <c r="C86" s="264"/>
      <c r="D86" s="264"/>
      <c r="E86" s="885"/>
      <c r="F86" s="264"/>
      <c r="G86" s="264"/>
      <c r="H86" s="264"/>
      <c r="J86" s="885"/>
      <c r="K86" s="262"/>
      <c r="L86" s="262"/>
      <c r="M86" s="262"/>
      <c r="O86" s="885"/>
      <c r="P86" s="262"/>
      <c r="Q86" s="262"/>
      <c r="R86" s="262"/>
      <c r="T86" s="885"/>
      <c r="U86" s="882"/>
      <c r="V86" s="882"/>
      <c r="X86" s="262"/>
      <c r="Y86" s="262"/>
      <c r="Z86" s="262"/>
      <c r="AA86" s="262"/>
      <c r="AB86" s="262"/>
      <c r="AC86" s="262"/>
      <c r="AD86" s="262"/>
      <c r="AE86" s="262"/>
      <c r="AF86" s="262"/>
      <c r="AG86" s="262"/>
      <c r="AH86" s="262"/>
      <c r="AI86" s="262"/>
      <c r="AJ86" s="262"/>
      <c r="AK86" s="262"/>
      <c r="AL86" s="262"/>
      <c r="AM86" s="262"/>
    </row>
    <row r="87" spans="2:39" ht="16" x14ac:dyDescent="0.3">
      <c r="B87" s="261" t="s">
        <v>598</v>
      </c>
      <c r="C87" s="265"/>
      <c r="D87" s="266"/>
      <c r="E87" s="266"/>
      <c r="F87" s="266"/>
      <c r="G87" s="266"/>
      <c r="H87" s="266"/>
      <c r="I87" s="267"/>
      <c r="J87" s="267"/>
      <c r="K87" s="262"/>
      <c r="L87" s="262"/>
      <c r="M87" s="262"/>
      <c r="N87" s="262"/>
      <c r="O87" s="262"/>
      <c r="P87" s="262"/>
      <c r="Q87" s="262"/>
      <c r="R87" s="262"/>
      <c r="T87" s="882"/>
      <c r="U87" s="882"/>
      <c r="V87" s="882"/>
      <c r="X87" s="262"/>
      <c r="Y87" s="262"/>
      <c r="Z87" s="262"/>
      <c r="AA87" s="262"/>
      <c r="AB87" s="262"/>
      <c r="AC87" s="262"/>
      <c r="AD87" s="262"/>
      <c r="AE87" s="262"/>
      <c r="AF87" s="262"/>
      <c r="AG87" s="262"/>
      <c r="AH87" s="262"/>
      <c r="AI87" s="262"/>
      <c r="AJ87" s="262"/>
      <c r="AK87" s="262"/>
      <c r="AL87" s="262"/>
      <c r="AM87" s="262"/>
    </row>
    <row r="88" spans="2:39" ht="16" x14ac:dyDescent="0.3">
      <c r="B88" s="261" t="s">
        <v>1096</v>
      </c>
      <c r="C88" s="265"/>
      <c r="D88" s="266"/>
      <c r="E88" s="266"/>
      <c r="F88" s="266"/>
      <c r="G88" s="266"/>
      <c r="H88" s="266"/>
      <c r="I88" s="267"/>
      <c r="J88" s="267"/>
      <c r="K88" s="262"/>
      <c r="L88" s="262"/>
      <c r="M88" s="262"/>
      <c r="N88" s="262"/>
      <c r="O88" s="262"/>
      <c r="P88" s="262"/>
      <c r="Q88" s="262"/>
      <c r="R88" s="262"/>
      <c r="T88" s="882"/>
      <c r="U88" s="882"/>
      <c r="V88" s="882"/>
      <c r="X88" s="262"/>
      <c r="Y88" s="262"/>
      <c r="Z88" s="262"/>
      <c r="AA88" s="262"/>
      <c r="AB88" s="262"/>
      <c r="AC88" s="262"/>
      <c r="AD88" s="262"/>
      <c r="AE88" s="262"/>
      <c r="AF88" s="262"/>
      <c r="AG88" s="262"/>
      <c r="AH88" s="262"/>
      <c r="AI88" s="262"/>
      <c r="AJ88" s="262"/>
      <c r="AK88" s="262"/>
      <c r="AL88" s="262"/>
      <c r="AM88" s="262"/>
    </row>
    <row r="89" spans="2:39" ht="15" customHeight="1" x14ac:dyDescent="0.3">
      <c r="B89" s="262"/>
      <c r="C89" s="264"/>
      <c r="D89" s="264"/>
      <c r="E89" s="264"/>
      <c r="F89" s="264"/>
      <c r="G89" s="264"/>
      <c r="H89" s="264"/>
      <c r="I89" s="262"/>
      <c r="J89" s="262"/>
      <c r="K89" s="262"/>
      <c r="L89" s="262"/>
      <c r="M89" s="262"/>
      <c r="N89" s="262"/>
      <c r="O89" s="262"/>
      <c r="P89" s="262"/>
      <c r="Q89" s="262"/>
      <c r="R89" s="262"/>
      <c r="S89" s="262"/>
      <c r="T89" s="262"/>
      <c r="U89" s="262"/>
      <c r="V89" s="262"/>
      <c r="W89" s="262"/>
    </row>
    <row r="90" spans="2:39" ht="16" x14ac:dyDescent="0.3">
      <c r="B90" s="262"/>
      <c r="C90" s="264"/>
      <c r="D90" s="264"/>
      <c r="E90" s="264"/>
      <c r="F90" s="264"/>
      <c r="G90" s="264"/>
      <c r="H90" s="264"/>
      <c r="I90" s="262"/>
      <c r="J90" s="262"/>
      <c r="K90" s="262"/>
      <c r="L90" s="262"/>
      <c r="M90" s="262"/>
      <c r="N90" s="262"/>
      <c r="O90" s="262"/>
      <c r="P90" s="262"/>
      <c r="Q90" s="262"/>
      <c r="R90" s="259" t="s">
        <v>10</v>
      </c>
      <c r="S90" s="262"/>
      <c r="T90" s="262"/>
      <c r="U90" s="262"/>
      <c r="V90" s="262"/>
      <c r="W90" s="262"/>
    </row>
    <row r="91" spans="2:39" x14ac:dyDescent="0.3">
      <c r="B91" s="1699" t="s">
        <v>340</v>
      </c>
      <c r="C91" s="1699" t="s">
        <v>37</v>
      </c>
      <c r="D91" s="1838" t="s">
        <v>970</v>
      </c>
      <c r="E91" s="1838"/>
      <c r="F91" s="1838"/>
      <c r="G91" s="1838"/>
      <c r="H91" s="1838"/>
      <c r="I91" s="1838" t="s">
        <v>971</v>
      </c>
      <c r="J91" s="1838"/>
      <c r="K91" s="1838"/>
      <c r="L91" s="1838"/>
      <c r="M91" s="1838"/>
      <c r="N91" s="1838" t="s">
        <v>972</v>
      </c>
      <c r="O91" s="1838"/>
      <c r="P91" s="1838"/>
      <c r="Q91" s="1838"/>
      <c r="R91" s="1838"/>
      <c r="S91" s="1838" t="s">
        <v>973</v>
      </c>
      <c r="T91" s="1838"/>
      <c r="U91" s="1838"/>
      <c r="V91" s="1838"/>
      <c r="W91" s="1838"/>
    </row>
    <row r="92" spans="2:39" x14ac:dyDescent="0.3">
      <c r="B92" s="1699"/>
      <c r="C92" s="1699"/>
      <c r="D92" s="1841" t="s">
        <v>21</v>
      </c>
      <c r="E92" s="1842"/>
      <c r="F92" s="1842"/>
      <c r="G92" s="1842"/>
      <c r="H92" s="1842"/>
      <c r="I92" s="1841" t="s">
        <v>21</v>
      </c>
      <c r="J92" s="1842"/>
      <c r="K92" s="1842"/>
      <c r="L92" s="1842"/>
      <c r="M92" s="1842"/>
      <c r="N92" s="1841" t="s">
        <v>21</v>
      </c>
      <c r="O92" s="1842"/>
      <c r="P92" s="1842"/>
      <c r="Q92" s="1842"/>
      <c r="R92" s="1842"/>
      <c r="S92" s="1841" t="s">
        <v>21</v>
      </c>
      <c r="T92" s="1842"/>
      <c r="U92" s="1842"/>
      <c r="V92" s="1842"/>
      <c r="W92" s="1842"/>
    </row>
    <row r="93" spans="2:39" ht="56" x14ac:dyDescent="0.3">
      <c r="B93" s="1699"/>
      <c r="C93" s="1699"/>
      <c r="D93" s="863" t="s">
        <v>273</v>
      </c>
      <c r="E93" s="863" t="s">
        <v>268</v>
      </c>
      <c r="F93" s="263" t="s">
        <v>274</v>
      </c>
      <c r="G93" s="861" t="s">
        <v>587</v>
      </c>
      <c r="H93" s="863" t="s">
        <v>275</v>
      </c>
      <c r="I93" s="863" t="s">
        <v>273</v>
      </c>
      <c r="J93" s="863" t="s">
        <v>268</v>
      </c>
      <c r="K93" s="263" t="s">
        <v>274</v>
      </c>
      <c r="L93" s="861" t="s">
        <v>587</v>
      </c>
      <c r="M93" s="863" t="s">
        <v>275</v>
      </c>
      <c r="N93" s="863" t="s">
        <v>273</v>
      </c>
      <c r="O93" s="863" t="s">
        <v>268</v>
      </c>
      <c r="P93" s="263" t="s">
        <v>274</v>
      </c>
      <c r="Q93" s="861" t="s">
        <v>587</v>
      </c>
      <c r="R93" s="863" t="s">
        <v>275</v>
      </c>
      <c r="S93" s="863" t="s">
        <v>273</v>
      </c>
      <c r="T93" s="863" t="s">
        <v>268</v>
      </c>
      <c r="U93" s="263" t="s">
        <v>274</v>
      </c>
      <c r="V93" s="861" t="s">
        <v>587</v>
      </c>
      <c r="W93" s="863" t="s">
        <v>275</v>
      </c>
    </row>
    <row r="94" spans="2:39" ht="28" x14ac:dyDescent="0.3">
      <c r="B94" s="260"/>
      <c r="C94" s="260"/>
      <c r="D94" s="260" t="s">
        <v>594</v>
      </c>
      <c r="E94" s="260" t="s">
        <v>595</v>
      </c>
      <c r="F94" s="260" t="s">
        <v>596</v>
      </c>
      <c r="G94" s="260" t="s">
        <v>653</v>
      </c>
      <c r="H94" s="260" t="s">
        <v>654</v>
      </c>
      <c r="I94" s="260" t="s">
        <v>655</v>
      </c>
      <c r="J94" s="260" t="s">
        <v>656</v>
      </c>
      <c r="K94" s="260" t="s">
        <v>657</v>
      </c>
      <c r="L94" s="260" t="s">
        <v>658</v>
      </c>
      <c r="M94" s="260" t="s">
        <v>659</v>
      </c>
      <c r="N94" s="260" t="s">
        <v>660</v>
      </c>
      <c r="O94" s="260" t="s">
        <v>661</v>
      </c>
      <c r="P94" s="260" t="s">
        <v>662</v>
      </c>
      <c r="Q94" s="260" t="s">
        <v>663</v>
      </c>
      <c r="R94" s="260" t="s">
        <v>664</v>
      </c>
      <c r="S94" s="260" t="s">
        <v>1091</v>
      </c>
      <c r="T94" s="260" t="s">
        <v>1090</v>
      </c>
      <c r="U94" s="260" t="s">
        <v>1089</v>
      </c>
      <c r="V94" s="260" t="s">
        <v>1088</v>
      </c>
      <c r="W94" s="260" t="s">
        <v>1087</v>
      </c>
    </row>
    <row r="95" spans="2:39" x14ac:dyDescent="0.3">
      <c r="B95" s="95">
        <v>1</v>
      </c>
      <c r="C95" s="881" t="s">
        <v>842</v>
      </c>
      <c r="D95" s="889">
        <f t="shared" ref="D95:D111" si="35">W68</f>
        <v>0</v>
      </c>
      <c r="E95" s="687">
        <f t="shared" ref="E95:E111" si="36">IF((IFERROR(D95/((D41+E41)*90%),0))&lt;70%,MIN((MAX((D41+E41)*90%-D95,0)),(D41+E41/2)*$X68),MAX((E41+D41)*90%-D95,0)/E$113)</f>
        <v>0</v>
      </c>
      <c r="F95" s="687">
        <f t="shared" ref="F95:F111" si="37">IFERROR(IF(D95=0,0,D95/D41*F41),0)</f>
        <v>0</v>
      </c>
      <c r="G95" s="887"/>
      <c r="H95" s="687">
        <f t="shared" ref="H95:H111" si="38">D95+E95-F95-G95</f>
        <v>0</v>
      </c>
      <c r="I95" s="888">
        <f t="shared" ref="I95:I111" si="39">H95</f>
        <v>0</v>
      </c>
      <c r="J95" s="687">
        <f t="shared" ref="J95:J111" si="40">IF((IFERROR(I95/((I41+J41)*90%),0))&lt;70%,MIN((MAX((I41+J41)*90%-I95,0)),(I41+J41/2)*$X68),MAX((J41+I41)*90%-I95,0)/J$113)</f>
        <v>0</v>
      </c>
      <c r="K95" s="687">
        <f t="shared" ref="K95:K111" si="41">IFERROR(IF(I95=0,0,I95/I41*K41),0)</f>
        <v>0</v>
      </c>
      <c r="L95" s="887"/>
      <c r="M95" s="687">
        <f t="shared" ref="M95:M111" si="42">I95+J95-K95-L95</f>
        <v>0</v>
      </c>
      <c r="N95" s="888">
        <f t="shared" ref="N95:N111" si="43">M95</f>
        <v>0</v>
      </c>
      <c r="O95" s="687">
        <f t="shared" ref="O95:O111" si="44">IF((IFERROR(N95/((N41+O41)*90%),0))&lt;70%,MIN((MAX((N41+O41)*90%-N95,0)),(N41+O41/2)*$X68),MAX((O41+N41)*90%-N95,0)/O$113)</f>
        <v>0</v>
      </c>
      <c r="P95" s="687">
        <f t="shared" ref="P95:P111" si="45">IFERROR(IF(N95=0,0,N95/N41*P41),0)</f>
        <v>0</v>
      </c>
      <c r="Q95" s="887"/>
      <c r="R95" s="687">
        <f t="shared" ref="R95:R111" si="46">N95+O95-P95-Q95</f>
        <v>0</v>
      </c>
      <c r="S95" s="888">
        <f t="shared" ref="S95:S111" si="47">R95</f>
        <v>0</v>
      </c>
      <c r="T95" s="687">
        <f t="shared" ref="T95:T111" si="48">IF((IFERROR(S95/((S41+T41)*90%),0))&lt;70%,MIN((MAX((S41+T41)*90%-S95,0)),(S41+T41/2)*$X68),MAX((T41+S41)*90%-S95,0)/T$113)</f>
        <v>0</v>
      </c>
      <c r="U95" s="687">
        <f t="shared" ref="U95:U111" si="49">IFERROR(IF(S95=0,0,S95/S41*U41),0)</f>
        <v>0</v>
      </c>
      <c r="V95" s="887"/>
      <c r="W95" s="687">
        <f t="shared" ref="W95:W111" si="50">S95+T95-U95-V95</f>
        <v>0</v>
      </c>
    </row>
    <row r="96" spans="2:39" x14ac:dyDescent="0.3">
      <c r="B96" s="95">
        <f t="shared" ref="B96:B111" si="51">B95+1</f>
        <v>2</v>
      </c>
      <c r="C96" s="881" t="s">
        <v>843</v>
      </c>
      <c r="D96" s="889">
        <f t="shared" si="35"/>
        <v>0</v>
      </c>
      <c r="E96" s="687">
        <f t="shared" si="36"/>
        <v>0</v>
      </c>
      <c r="F96" s="687">
        <f t="shared" si="37"/>
        <v>0</v>
      </c>
      <c r="G96" s="887"/>
      <c r="H96" s="687">
        <f t="shared" si="38"/>
        <v>0</v>
      </c>
      <c r="I96" s="888">
        <f t="shared" si="39"/>
        <v>0</v>
      </c>
      <c r="J96" s="687">
        <f t="shared" si="40"/>
        <v>0</v>
      </c>
      <c r="K96" s="687">
        <f t="shared" si="41"/>
        <v>0</v>
      </c>
      <c r="L96" s="887"/>
      <c r="M96" s="687">
        <f t="shared" si="42"/>
        <v>0</v>
      </c>
      <c r="N96" s="888">
        <f t="shared" si="43"/>
        <v>0</v>
      </c>
      <c r="O96" s="687">
        <f t="shared" si="44"/>
        <v>0</v>
      </c>
      <c r="P96" s="687">
        <f t="shared" si="45"/>
        <v>0</v>
      </c>
      <c r="Q96" s="887"/>
      <c r="R96" s="687">
        <f t="shared" si="46"/>
        <v>0</v>
      </c>
      <c r="S96" s="888">
        <f t="shared" si="47"/>
        <v>0</v>
      </c>
      <c r="T96" s="687">
        <f t="shared" si="48"/>
        <v>0</v>
      </c>
      <c r="U96" s="687">
        <f t="shared" si="49"/>
        <v>0</v>
      </c>
      <c r="V96" s="887"/>
      <c r="W96" s="687">
        <f t="shared" si="50"/>
        <v>0</v>
      </c>
    </row>
    <row r="97" spans="2:23" x14ac:dyDescent="0.3">
      <c r="B97" s="95">
        <f t="shared" si="51"/>
        <v>3</v>
      </c>
      <c r="C97" s="881" t="s">
        <v>844</v>
      </c>
      <c r="D97" s="889">
        <f t="shared" si="35"/>
        <v>0</v>
      </c>
      <c r="E97" s="687">
        <f t="shared" si="36"/>
        <v>0</v>
      </c>
      <c r="F97" s="687">
        <f t="shared" si="37"/>
        <v>0</v>
      </c>
      <c r="G97" s="887"/>
      <c r="H97" s="687">
        <f t="shared" si="38"/>
        <v>0</v>
      </c>
      <c r="I97" s="888">
        <f t="shared" si="39"/>
        <v>0</v>
      </c>
      <c r="J97" s="687">
        <f t="shared" si="40"/>
        <v>0</v>
      </c>
      <c r="K97" s="687">
        <f t="shared" si="41"/>
        <v>0</v>
      </c>
      <c r="L97" s="887"/>
      <c r="M97" s="687">
        <f t="shared" si="42"/>
        <v>0</v>
      </c>
      <c r="N97" s="888">
        <f t="shared" si="43"/>
        <v>0</v>
      </c>
      <c r="O97" s="687">
        <f t="shared" si="44"/>
        <v>0</v>
      </c>
      <c r="P97" s="687">
        <f t="shared" si="45"/>
        <v>0</v>
      </c>
      <c r="Q97" s="887"/>
      <c r="R97" s="687">
        <f t="shared" si="46"/>
        <v>0</v>
      </c>
      <c r="S97" s="888">
        <f t="shared" si="47"/>
        <v>0</v>
      </c>
      <c r="T97" s="687">
        <f t="shared" si="48"/>
        <v>0</v>
      </c>
      <c r="U97" s="687">
        <f t="shared" si="49"/>
        <v>0</v>
      </c>
      <c r="V97" s="887"/>
      <c r="W97" s="687">
        <f t="shared" si="50"/>
        <v>0</v>
      </c>
    </row>
    <row r="98" spans="2:23" x14ac:dyDescent="0.3">
      <c r="B98" s="95">
        <f t="shared" si="51"/>
        <v>4</v>
      </c>
      <c r="C98" s="881" t="s">
        <v>845</v>
      </c>
      <c r="D98" s="889">
        <f t="shared" si="35"/>
        <v>0</v>
      </c>
      <c r="E98" s="687">
        <f t="shared" si="36"/>
        <v>0</v>
      </c>
      <c r="F98" s="687">
        <f t="shared" si="37"/>
        <v>0</v>
      </c>
      <c r="G98" s="887"/>
      <c r="H98" s="687">
        <f t="shared" si="38"/>
        <v>0</v>
      </c>
      <c r="I98" s="888">
        <f t="shared" si="39"/>
        <v>0</v>
      </c>
      <c r="J98" s="687">
        <f t="shared" si="40"/>
        <v>0</v>
      </c>
      <c r="K98" s="687">
        <f t="shared" si="41"/>
        <v>0</v>
      </c>
      <c r="L98" s="887"/>
      <c r="M98" s="687">
        <f t="shared" si="42"/>
        <v>0</v>
      </c>
      <c r="N98" s="888">
        <f t="shared" si="43"/>
        <v>0</v>
      </c>
      <c r="O98" s="687">
        <f t="shared" si="44"/>
        <v>0</v>
      </c>
      <c r="P98" s="687">
        <f t="shared" si="45"/>
        <v>0</v>
      </c>
      <c r="Q98" s="887"/>
      <c r="R98" s="687">
        <f t="shared" si="46"/>
        <v>0</v>
      </c>
      <c r="S98" s="888">
        <f t="shared" si="47"/>
        <v>0</v>
      </c>
      <c r="T98" s="687">
        <f t="shared" si="48"/>
        <v>0</v>
      </c>
      <c r="U98" s="687">
        <f t="shared" si="49"/>
        <v>0</v>
      </c>
      <c r="V98" s="887"/>
      <c r="W98" s="687">
        <f t="shared" si="50"/>
        <v>0</v>
      </c>
    </row>
    <row r="99" spans="2:23" x14ac:dyDescent="0.3">
      <c r="B99" s="95">
        <f t="shared" si="51"/>
        <v>5</v>
      </c>
      <c r="C99" s="881" t="s">
        <v>846</v>
      </c>
      <c r="D99" s="889">
        <f t="shared" si="35"/>
        <v>0</v>
      </c>
      <c r="E99" s="687">
        <f t="shared" si="36"/>
        <v>0</v>
      </c>
      <c r="F99" s="687">
        <f t="shared" si="37"/>
        <v>0</v>
      </c>
      <c r="G99" s="887"/>
      <c r="H99" s="687">
        <f t="shared" si="38"/>
        <v>0</v>
      </c>
      <c r="I99" s="888">
        <f t="shared" si="39"/>
        <v>0</v>
      </c>
      <c r="J99" s="687">
        <f t="shared" si="40"/>
        <v>0</v>
      </c>
      <c r="K99" s="687">
        <f t="shared" si="41"/>
        <v>0</v>
      </c>
      <c r="L99" s="887"/>
      <c r="M99" s="687">
        <f t="shared" si="42"/>
        <v>0</v>
      </c>
      <c r="N99" s="888">
        <f t="shared" si="43"/>
        <v>0</v>
      </c>
      <c r="O99" s="687">
        <f t="shared" si="44"/>
        <v>0</v>
      </c>
      <c r="P99" s="687">
        <f t="shared" si="45"/>
        <v>0</v>
      </c>
      <c r="Q99" s="887"/>
      <c r="R99" s="687">
        <f t="shared" si="46"/>
        <v>0</v>
      </c>
      <c r="S99" s="888">
        <f t="shared" si="47"/>
        <v>0</v>
      </c>
      <c r="T99" s="687">
        <f t="shared" si="48"/>
        <v>0</v>
      </c>
      <c r="U99" s="687">
        <f t="shared" si="49"/>
        <v>0</v>
      </c>
      <c r="V99" s="887"/>
      <c r="W99" s="687">
        <f t="shared" si="50"/>
        <v>0</v>
      </c>
    </row>
    <row r="100" spans="2:23" x14ac:dyDescent="0.3">
      <c r="B100" s="95">
        <f t="shared" si="51"/>
        <v>6</v>
      </c>
      <c r="C100" s="881" t="s">
        <v>256</v>
      </c>
      <c r="D100" s="889">
        <f t="shared" si="35"/>
        <v>0</v>
      </c>
      <c r="E100" s="687">
        <f t="shared" si="36"/>
        <v>0</v>
      </c>
      <c r="F100" s="687">
        <f t="shared" si="37"/>
        <v>0</v>
      </c>
      <c r="G100" s="887"/>
      <c r="H100" s="687">
        <f t="shared" si="38"/>
        <v>0</v>
      </c>
      <c r="I100" s="888">
        <f t="shared" si="39"/>
        <v>0</v>
      </c>
      <c r="J100" s="687">
        <f t="shared" si="40"/>
        <v>0</v>
      </c>
      <c r="K100" s="687">
        <f t="shared" si="41"/>
        <v>0</v>
      </c>
      <c r="L100" s="887"/>
      <c r="M100" s="687">
        <f t="shared" si="42"/>
        <v>0</v>
      </c>
      <c r="N100" s="888">
        <f t="shared" si="43"/>
        <v>0</v>
      </c>
      <c r="O100" s="687">
        <f t="shared" si="44"/>
        <v>0</v>
      </c>
      <c r="P100" s="687">
        <f t="shared" si="45"/>
        <v>0</v>
      </c>
      <c r="Q100" s="887"/>
      <c r="R100" s="687">
        <f t="shared" si="46"/>
        <v>0</v>
      </c>
      <c r="S100" s="888">
        <f t="shared" si="47"/>
        <v>0</v>
      </c>
      <c r="T100" s="687">
        <f t="shared" si="48"/>
        <v>0</v>
      </c>
      <c r="U100" s="687">
        <f t="shared" si="49"/>
        <v>0</v>
      </c>
      <c r="V100" s="887"/>
      <c r="W100" s="687">
        <f t="shared" si="50"/>
        <v>0</v>
      </c>
    </row>
    <row r="101" spans="2:23" x14ac:dyDescent="0.3">
      <c r="B101" s="95">
        <f t="shared" si="51"/>
        <v>7</v>
      </c>
      <c r="C101" s="881" t="s">
        <v>847</v>
      </c>
      <c r="D101" s="889">
        <f t="shared" si="35"/>
        <v>0</v>
      </c>
      <c r="E101" s="687">
        <f t="shared" si="36"/>
        <v>0</v>
      </c>
      <c r="F101" s="687">
        <f t="shared" si="37"/>
        <v>0</v>
      </c>
      <c r="G101" s="887"/>
      <c r="H101" s="687">
        <f t="shared" si="38"/>
        <v>0</v>
      </c>
      <c r="I101" s="888">
        <f t="shared" si="39"/>
        <v>0</v>
      </c>
      <c r="J101" s="687">
        <f t="shared" si="40"/>
        <v>0</v>
      </c>
      <c r="K101" s="687">
        <f t="shared" si="41"/>
        <v>0</v>
      </c>
      <c r="L101" s="887"/>
      <c r="M101" s="687">
        <f t="shared" si="42"/>
        <v>0</v>
      </c>
      <c r="N101" s="888">
        <f t="shared" si="43"/>
        <v>0</v>
      </c>
      <c r="O101" s="687">
        <f t="shared" si="44"/>
        <v>0</v>
      </c>
      <c r="P101" s="687">
        <f t="shared" si="45"/>
        <v>0</v>
      </c>
      <c r="Q101" s="887"/>
      <c r="R101" s="687">
        <f t="shared" si="46"/>
        <v>0</v>
      </c>
      <c r="S101" s="888">
        <f t="shared" si="47"/>
        <v>0</v>
      </c>
      <c r="T101" s="687">
        <f t="shared" si="48"/>
        <v>0</v>
      </c>
      <c r="U101" s="687">
        <f t="shared" si="49"/>
        <v>0</v>
      </c>
      <c r="V101" s="887"/>
      <c r="W101" s="687">
        <f t="shared" si="50"/>
        <v>0</v>
      </c>
    </row>
    <row r="102" spans="2:23" x14ac:dyDescent="0.3">
      <c r="B102" s="95">
        <f t="shared" si="51"/>
        <v>8</v>
      </c>
      <c r="C102" s="881" t="s">
        <v>848</v>
      </c>
      <c r="D102" s="889">
        <f t="shared" si="35"/>
        <v>0</v>
      </c>
      <c r="E102" s="687">
        <f t="shared" si="36"/>
        <v>0</v>
      </c>
      <c r="F102" s="687">
        <f t="shared" si="37"/>
        <v>0</v>
      </c>
      <c r="G102" s="887"/>
      <c r="H102" s="687">
        <f t="shared" si="38"/>
        <v>0</v>
      </c>
      <c r="I102" s="888">
        <f t="shared" si="39"/>
        <v>0</v>
      </c>
      <c r="J102" s="687">
        <f t="shared" si="40"/>
        <v>0</v>
      </c>
      <c r="K102" s="687">
        <f t="shared" si="41"/>
        <v>0</v>
      </c>
      <c r="L102" s="887"/>
      <c r="M102" s="687">
        <f t="shared" si="42"/>
        <v>0</v>
      </c>
      <c r="N102" s="888">
        <f t="shared" si="43"/>
        <v>0</v>
      </c>
      <c r="O102" s="687">
        <f t="shared" si="44"/>
        <v>0</v>
      </c>
      <c r="P102" s="687">
        <f t="shared" si="45"/>
        <v>0</v>
      </c>
      <c r="Q102" s="887"/>
      <c r="R102" s="687">
        <f t="shared" si="46"/>
        <v>0</v>
      </c>
      <c r="S102" s="888">
        <f t="shared" si="47"/>
        <v>0</v>
      </c>
      <c r="T102" s="687">
        <f t="shared" si="48"/>
        <v>0</v>
      </c>
      <c r="U102" s="687">
        <f t="shared" si="49"/>
        <v>0</v>
      </c>
      <c r="V102" s="887"/>
      <c r="W102" s="687">
        <f t="shared" si="50"/>
        <v>0</v>
      </c>
    </row>
    <row r="103" spans="2:23" x14ac:dyDescent="0.3">
      <c r="B103" s="95">
        <f t="shared" si="51"/>
        <v>9</v>
      </c>
      <c r="C103" s="881" t="s">
        <v>849</v>
      </c>
      <c r="D103" s="889">
        <f t="shared" si="35"/>
        <v>0</v>
      </c>
      <c r="E103" s="687">
        <f t="shared" si="36"/>
        <v>0</v>
      </c>
      <c r="F103" s="687">
        <f t="shared" si="37"/>
        <v>0</v>
      </c>
      <c r="G103" s="887"/>
      <c r="H103" s="687">
        <f t="shared" si="38"/>
        <v>0</v>
      </c>
      <c r="I103" s="888">
        <f t="shared" si="39"/>
        <v>0</v>
      </c>
      <c r="J103" s="687">
        <f t="shared" si="40"/>
        <v>0</v>
      </c>
      <c r="K103" s="687">
        <f t="shared" si="41"/>
        <v>0</v>
      </c>
      <c r="L103" s="887"/>
      <c r="M103" s="687">
        <f t="shared" si="42"/>
        <v>0</v>
      </c>
      <c r="N103" s="888">
        <f t="shared" si="43"/>
        <v>0</v>
      </c>
      <c r="O103" s="687">
        <f t="shared" si="44"/>
        <v>0</v>
      </c>
      <c r="P103" s="687">
        <f t="shared" si="45"/>
        <v>0</v>
      </c>
      <c r="Q103" s="887"/>
      <c r="R103" s="687">
        <f t="shared" si="46"/>
        <v>0</v>
      </c>
      <c r="S103" s="888">
        <f t="shared" si="47"/>
        <v>0</v>
      </c>
      <c r="T103" s="687">
        <f t="shared" si="48"/>
        <v>0</v>
      </c>
      <c r="U103" s="687">
        <f t="shared" si="49"/>
        <v>0</v>
      </c>
      <c r="V103" s="887"/>
      <c r="W103" s="687">
        <f t="shared" si="50"/>
        <v>0</v>
      </c>
    </row>
    <row r="104" spans="2:23" x14ac:dyDescent="0.3">
      <c r="B104" s="95">
        <f t="shared" si="51"/>
        <v>10</v>
      </c>
      <c r="C104" s="881" t="s">
        <v>259</v>
      </c>
      <c r="D104" s="889">
        <f t="shared" si="35"/>
        <v>0</v>
      </c>
      <c r="E104" s="687">
        <f t="shared" si="36"/>
        <v>0</v>
      </c>
      <c r="F104" s="687">
        <f t="shared" si="37"/>
        <v>0</v>
      </c>
      <c r="G104" s="887"/>
      <c r="H104" s="687">
        <f t="shared" si="38"/>
        <v>0</v>
      </c>
      <c r="I104" s="888">
        <f t="shared" si="39"/>
        <v>0</v>
      </c>
      <c r="J104" s="687">
        <f t="shared" si="40"/>
        <v>0</v>
      </c>
      <c r="K104" s="687">
        <f t="shared" si="41"/>
        <v>0</v>
      </c>
      <c r="L104" s="887"/>
      <c r="M104" s="687">
        <f t="shared" si="42"/>
        <v>0</v>
      </c>
      <c r="N104" s="888">
        <f t="shared" si="43"/>
        <v>0</v>
      </c>
      <c r="O104" s="687">
        <f t="shared" si="44"/>
        <v>0</v>
      </c>
      <c r="P104" s="687">
        <f t="shared" si="45"/>
        <v>0</v>
      </c>
      <c r="Q104" s="887"/>
      <c r="R104" s="687">
        <f t="shared" si="46"/>
        <v>0</v>
      </c>
      <c r="S104" s="888">
        <f t="shared" si="47"/>
        <v>0</v>
      </c>
      <c r="T104" s="687">
        <f t="shared" si="48"/>
        <v>0</v>
      </c>
      <c r="U104" s="687">
        <f t="shared" si="49"/>
        <v>0</v>
      </c>
      <c r="V104" s="887"/>
      <c r="W104" s="687">
        <f t="shared" si="50"/>
        <v>0</v>
      </c>
    </row>
    <row r="105" spans="2:23" x14ac:dyDescent="0.3">
      <c r="B105" s="95">
        <f t="shared" si="51"/>
        <v>11</v>
      </c>
      <c r="C105" s="881" t="s">
        <v>260</v>
      </c>
      <c r="D105" s="889">
        <f t="shared" si="35"/>
        <v>0</v>
      </c>
      <c r="E105" s="687">
        <f t="shared" si="36"/>
        <v>0</v>
      </c>
      <c r="F105" s="687">
        <f t="shared" si="37"/>
        <v>0</v>
      </c>
      <c r="G105" s="887"/>
      <c r="H105" s="687">
        <f t="shared" si="38"/>
        <v>0</v>
      </c>
      <c r="I105" s="888">
        <f t="shared" si="39"/>
        <v>0</v>
      </c>
      <c r="J105" s="687">
        <f t="shared" si="40"/>
        <v>0</v>
      </c>
      <c r="K105" s="687">
        <f t="shared" si="41"/>
        <v>0</v>
      </c>
      <c r="L105" s="887"/>
      <c r="M105" s="687">
        <f t="shared" si="42"/>
        <v>0</v>
      </c>
      <c r="N105" s="888">
        <f t="shared" si="43"/>
        <v>0</v>
      </c>
      <c r="O105" s="687">
        <f t="shared" si="44"/>
        <v>0</v>
      </c>
      <c r="P105" s="687">
        <f t="shared" si="45"/>
        <v>0</v>
      </c>
      <c r="Q105" s="887"/>
      <c r="R105" s="687">
        <f t="shared" si="46"/>
        <v>0</v>
      </c>
      <c r="S105" s="888">
        <f t="shared" si="47"/>
        <v>0</v>
      </c>
      <c r="T105" s="687">
        <f t="shared" si="48"/>
        <v>0</v>
      </c>
      <c r="U105" s="687">
        <f t="shared" si="49"/>
        <v>0</v>
      </c>
      <c r="V105" s="887"/>
      <c r="W105" s="687">
        <f t="shared" si="50"/>
        <v>0</v>
      </c>
    </row>
    <row r="106" spans="2:23" x14ac:dyDescent="0.3">
      <c r="B106" s="95">
        <f t="shared" si="51"/>
        <v>12</v>
      </c>
      <c r="C106" s="881" t="s">
        <v>261</v>
      </c>
      <c r="D106" s="889">
        <f t="shared" si="35"/>
        <v>0</v>
      </c>
      <c r="E106" s="687">
        <f t="shared" si="36"/>
        <v>0</v>
      </c>
      <c r="F106" s="687">
        <f t="shared" si="37"/>
        <v>0</v>
      </c>
      <c r="G106" s="890"/>
      <c r="H106" s="687">
        <f t="shared" si="38"/>
        <v>0</v>
      </c>
      <c r="I106" s="888">
        <f t="shared" si="39"/>
        <v>0</v>
      </c>
      <c r="J106" s="687">
        <f t="shared" si="40"/>
        <v>0</v>
      </c>
      <c r="K106" s="687">
        <f t="shared" si="41"/>
        <v>0</v>
      </c>
      <c r="L106" s="890"/>
      <c r="M106" s="687">
        <f t="shared" si="42"/>
        <v>0</v>
      </c>
      <c r="N106" s="888">
        <f t="shared" si="43"/>
        <v>0</v>
      </c>
      <c r="O106" s="687">
        <f t="shared" si="44"/>
        <v>0</v>
      </c>
      <c r="P106" s="687">
        <f t="shared" si="45"/>
        <v>0</v>
      </c>
      <c r="Q106" s="890"/>
      <c r="R106" s="687">
        <f t="shared" si="46"/>
        <v>0</v>
      </c>
      <c r="S106" s="888">
        <f t="shared" si="47"/>
        <v>0</v>
      </c>
      <c r="T106" s="687">
        <f t="shared" si="48"/>
        <v>0</v>
      </c>
      <c r="U106" s="687">
        <f t="shared" si="49"/>
        <v>0</v>
      </c>
      <c r="V106" s="890"/>
      <c r="W106" s="687">
        <f t="shared" si="50"/>
        <v>0</v>
      </c>
    </row>
    <row r="107" spans="2:23" x14ac:dyDescent="0.3">
      <c r="B107" s="95">
        <f t="shared" si="51"/>
        <v>13</v>
      </c>
      <c r="C107" s="879" t="s">
        <v>897</v>
      </c>
      <c r="D107" s="889">
        <f t="shared" si="35"/>
        <v>0</v>
      </c>
      <c r="E107" s="687">
        <f t="shared" si="36"/>
        <v>0</v>
      </c>
      <c r="F107" s="687">
        <f t="shared" si="37"/>
        <v>0</v>
      </c>
      <c r="G107" s="890"/>
      <c r="H107" s="687">
        <f t="shared" si="38"/>
        <v>0</v>
      </c>
      <c r="I107" s="888">
        <f t="shared" si="39"/>
        <v>0</v>
      </c>
      <c r="J107" s="687">
        <f t="shared" si="40"/>
        <v>0</v>
      </c>
      <c r="K107" s="687">
        <f t="shared" si="41"/>
        <v>0</v>
      </c>
      <c r="L107" s="890"/>
      <c r="M107" s="687">
        <f t="shared" si="42"/>
        <v>0</v>
      </c>
      <c r="N107" s="888">
        <f t="shared" si="43"/>
        <v>0</v>
      </c>
      <c r="O107" s="687">
        <f t="shared" si="44"/>
        <v>0</v>
      </c>
      <c r="P107" s="687">
        <f t="shared" si="45"/>
        <v>0</v>
      </c>
      <c r="Q107" s="890"/>
      <c r="R107" s="687">
        <f t="shared" si="46"/>
        <v>0</v>
      </c>
      <c r="S107" s="888">
        <f t="shared" si="47"/>
        <v>0</v>
      </c>
      <c r="T107" s="687">
        <f t="shared" si="48"/>
        <v>0</v>
      </c>
      <c r="U107" s="687">
        <f t="shared" si="49"/>
        <v>0</v>
      </c>
      <c r="V107" s="890"/>
      <c r="W107" s="687">
        <f t="shared" si="50"/>
        <v>0</v>
      </c>
    </row>
    <row r="108" spans="2:23" x14ac:dyDescent="0.3">
      <c r="B108" s="95">
        <f t="shared" si="51"/>
        <v>14</v>
      </c>
      <c r="C108" s="879" t="s">
        <v>898</v>
      </c>
      <c r="D108" s="889">
        <f t="shared" si="35"/>
        <v>0</v>
      </c>
      <c r="E108" s="687">
        <f t="shared" si="36"/>
        <v>0</v>
      </c>
      <c r="F108" s="687">
        <f t="shared" si="37"/>
        <v>0</v>
      </c>
      <c r="G108" s="890"/>
      <c r="H108" s="687">
        <f t="shared" si="38"/>
        <v>0</v>
      </c>
      <c r="I108" s="888">
        <f t="shared" si="39"/>
        <v>0</v>
      </c>
      <c r="J108" s="687">
        <f t="shared" si="40"/>
        <v>0</v>
      </c>
      <c r="K108" s="687">
        <f t="shared" si="41"/>
        <v>0</v>
      </c>
      <c r="L108" s="890"/>
      <c r="M108" s="687">
        <f t="shared" si="42"/>
        <v>0</v>
      </c>
      <c r="N108" s="888">
        <f t="shared" si="43"/>
        <v>0</v>
      </c>
      <c r="O108" s="687">
        <f t="shared" si="44"/>
        <v>0</v>
      </c>
      <c r="P108" s="687">
        <f t="shared" si="45"/>
        <v>0</v>
      </c>
      <c r="Q108" s="890"/>
      <c r="R108" s="687">
        <f t="shared" si="46"/>
        <v>0</v>
      </c>
      <c r="S108" s="888">
        <f t="shared" si="47"/>
        <v>0</v>
      </c>
      <c r="T108" s="687">
        <f t="shared" si="48"/>
        <v>0</v>
      </c>
      <c r="U108" s="687">
        <f t="shared" si="49"/>
        <v>0</v>
      </c>
      <c r="V108" s="890"/>
      <c r="W108" s="687">
        <f t="shared" si="50"/>
        <v>0</v>
      </c>
    </row>
    <row r="109" spans="2:23" x14ac:dyDescent="0.3">
      <c r="B109" s="95">
        <f t="shared" si="51"/>
        <v>15</v>
      </c>
      <c r="C109" s="879" t="s">
        <v>899</v>
      </c>
      <c r="D109" s="889">
        <f t="shared" si="35"/>
        <v>0</v>
      </c>
      <c r="E109" s="687">
        <f t="shared" si="36"/>
        <v>0</v>
      </c>
      <c r="F109" s="687">
        <f t="shared" si="37"/>
        <v>0</v>
      </c>
      <c r="G109" s="890"/>
      <c r="H109" s="687">
        <f t="shared" si="38"/>
        <v>0</v>
      </c>
      <c r="I109" s="888">
        <f t="shared" si="39"/>
        <v>0</v>
      </c>
      <c r="J109" s="687">
        <f t="shared" si="40"/>
        <v>0</v>
      </c>
      <c r="K109" s="687">
        <f t="shared" si="41"/>
        <v>0</v>
      </c>
      <c r="L109" s="890"/>
      <c r="M109" s="687">
        <f t="shared" si="42"/>
        <v>0</v>
      </c>
      <c r="N109" s="888">
        <f t="shared" si="43"/>
        <v>0</v>
      </c>
      <c r="O109" s="687">
        <f t="shared" si="44"/>
        <v>0</v>
      </c>
      <c r="P109" s="687">
        <f t="shared" si="45"/>
        <v>0</v>
      </c>
      <c r="Q109" s="890"/>
      <c r="R109" s="687">
        <f t="shared" si="46"/>
        <v>0</v>
      </c>
      <c r="S109" s="888">
        <f t="shared" si="47"/>
        <v>0</v>
      </c>
      <c r="T109" s="687">
        <f t="shared" si="48"/>
        <v>0</v>
      </c>
      <c r="U109" s="687">
        <f t="shared" si="49"/>
        <v>0</v>
      </c>
      <c r="V109" s="890"/>
      <c r="W109" s="687">
        <f t="shared" si="50"/>
        <v>0</v>
      </c>
    </row>
    <row r="110" spans="2:23" x14ac:dyDescent="0.3">
      <c r="B110" s="95">
        <f t="shared" si="51"/>
        <v>16</v>
      </c>
      <c r="C110" s="879" t="s">
        <v>850</v>
      </c>
      <c r="D110" s="889">
        <f t="shared" si="35"/>
        <v>0</v>
      </c>
      <c r="E110" s="687">
        <f t="shared" si="36"/>
        <v>0</v>
      </c>
      <c r="F110" s="687">
        <f t="shared" si="37"/>
        <v>0</v>
      </c>
      <c r="G110" s="887"/>
      <c r="H110" s="687">
        <f t="shared" si="38"/>
        <v>0</v>
      </c>
      <c r="I110" s="888">
        <f t="shared" si="39"/>
        <v>0</v>
      </c>
      <c r="J110" s="687">
        <f t="shared" si="40"/>
        <v>0</v>
      </c>
      <c r="K110" s="687">
        <f t="shared" si="41"/>
        <v>0</v>
      </c>
      <c r="L110" s="887"/>
      <c r="M110" s="687">
        <f t="shared" si="42"/>
        <v>0</v>
      </c>
      <c r="N110" s="888">
        <f t="shared" si="43"/>
        <v>0</v>
      </c>
      <c r="O110" s="687">
        <f t="shared" si="44"/>
        <v>0</v>
      </c>
      <c r="P110" s="687">
        <f t="shared" si="45"/>
        <v>0</v>
      </c>
      <c r="Q110" s="887"/>
      <c r="R110" s="687">
        <f t="shared" si="46"/>
        <v>0</v>
      </c>
      <c r="S110" s="888">
        <f t="shared" si="47"/>
        <v>0</v>
      </c>
      <c r="T110" s="687">
        <f t="shared" si="48"/>
        <v>0</v>
      </c>
      <c r="U110" s="687">
        <f t="shared" si="49"/>
        <v>0</v>
      </c>
      <c r="V110" s="887"/>
      <c r="W110" s="687">
        <f t="shared" si="50"/>
        <v>0</v>
      </c>
    </row>
    <row r="111" spans="2:23" x14ac:dyDescent="0.3">
      <c r="B111" s="95">
        <f t="shared" si="51"/>
        <v>17</v>
      </c>
      <c r="C111" s="879" t="s">
        <v>900</v>
      </c>
      <c r="D111" s="889">
        <f t="shared" si="35"/>
        <v>0</v>
      </c>
      <c r="E111" s="687">
        <f t="shared" si="36"/>
        <v>0</v>
      </c>
      <c r="F111" s="687">
        <f t="shared" si="37"/>
        <v>0</v>
      </c>
      <c r="G111" s="887"/>
      <c r="H111" s="687">
        <f t="shared" si="38"/>
        <v>0</v>
      </c>
      <c r="I111" s="888">
        <f t="shared" si="39"/>
        <v>0</v>
      </c>
      <c r="J111" s="687">
        <f t="shared" si="40"/>
        <v>0</v>
      </c>
      <c r="K111" s="687">
        <f t="shared" si="41"/>
        <v>0</v>
      </c>
      <c r="L111" s="887"/>
      <c r="M111" s="687">
        <f t="shared" si="42"/>
        <v>0</v>
      </c>
      <c r="N111" s="888">
        <f t="shared" si="43"/>
        <v>0</v>
      </c>
      <c r="O111" s="687">
        <f t="shared" si="44"/>
        <v>0</v>
      </c>
      <c r="P111" s="687">
        <f t="shared" si="45"/>
        <v>0</v>
      </c>
      <c r="Q111" s="887"/>
      <c r="R111" s="687">
        <f t="shared" si="46"/>
        <v>0</v>
      </c>
      <c r="S111" s="888">
        <f t="shared" si="47"/>
        <v>0</v>
      </c>
      <c r="T111" s="687">
        <f t="shared" si="48"/>
        <v>0</v>
      </c>
      <c r="U111" s="687">
        <f t="shared" si="49"/>
        <v>0</v>
      </c>
      <c r="V111" s="887"/>
      <c r="W111" s="687">
        <f t="shared" si="50"/>
        <v>0</v>
      </c>
    </row>
    <row r="112" spans="2:23" ht="16" x14ac:dyDescent="0.3">
      <c r="B112" s="83"/>
      <c r="C112" s="97" t="s">
        <v>271</v>
      </c>
      <c r="D112" s="886">
        <f t="shared" ref="D112:W112" si="52">SUM(D95:D111)</f>
        <v>0</v>
      </c>
      <c r="E112" s="886">
        <f t="shared" si="52"/>
        <v>0</v>
      </c>
      <c r="F112" s="886">
        <f t="shared" si="52"/>
        <v>0</v>
      </c>
      <c r="G112" s="886">
        <f t="shared" si="52"/>
        <v>0</v>
      </c>
      <c r="H112" s="886">
        <f t="shared" si="52"/>
        <v>0</v>
      </c>
      <c r="I112" s="886">
        <f t="shared" si="52"/>
        <v>0</v>
      </c>
      <c r="J112" s="886">
        <f t="shared" si="52"/>
        <v>0</v>
      </c>
      <c r="K112" s="886">
        <f t="shared" si="52"/>
        <v>0</v>
      </c>
      <c r="L112" s="886">
        <f t="shared" si="52"/>
        <v>0</v>
      </c>
      <c r="M112" s="886">
        <f t="shared" si="52"/>
        <v>0</v>
      </c>
      <c r="N112" s="886">
        <f t="shared" si="52"/>
        <v>0</v>
      </c>
      <c r="O112" s="886">
        <f t="shared" si="52"/>
        <v>0</v>
      </c>
      <c r="P112" s="886">
        <f t="shared" si="52"/>
        <v>0</v>
      </c>
      <c r="Q112" s="886">
        <f t="shared" si="52"/>
        <v>0</v>
      </c>
      <c r="R112" s="886">
        <f t="shared" si="52"/>
        <v>0</v>
      </c>
      <c r="S112" s="886">
        <f t="shared" si="52"/>
        <v>0</v>
      </c>
      <c r="T112" s="886">
        <f t="shared" si="52"/>
        <v>0</v>
      </c>
      <c r="U112" s="886">
        <f t="shared" si="52"/>
        <v>0</v>
      </c>
      <c r="V112" s="886">
        <f t="shared" si="52"/>
        <v>0</v>
      </c>
      <c r="W112" s="886">
        <f t="shared" si="52"/>
        <v>0</v>
      </c>
    </row>
    <row r="113" spans="2:23" ht="16" x14ac:dyDescent="0.3">
      <c r="B113" s="262"/>
      <c r="C113" s="264"/>
      <c r="D113" s="264"/>
      <c r="E113" s="885"/>
      <c r="F113" s="264"/>
      <c r="G113" s="264"/>
      <c r="H113" s="264"/>
      <c r="I113" s="262"/>
      <c r="J113" s="884"/>
      <c r="K113" s="262"/>
      <c r="L113" s="262"/>
      <c r="M113" s="262"/>
      <c r="N113" s="262"/>
      <c r="O113" s="884"/>
      <c r="P113" s="262"/>
      <c r="Q113" s="262"/>
      <c r="R113" s="262"/>
      <c r="S113" s="262"/>
      <c r="T113" s="884"/>
      <c r="U113" s="262"/>
      <c r="V113" s="262"/>
      <c r="W113" s="262"/>
    </row>
    <row r="115" spans="2:23" x14ac:dyDescent="0.3">
      <c r="B115" s="862" t="s">
        <v>341</v>
      </c>
    </row>
    <row r="116" spans="2:23" x14ac:dyDescent="0.3">
      <c r="B116" s="862"/>
    </row>
    <row r="117" spans="2:23" x14ac:dyDescent="0.3">
      <c r="J117" s="44"/>
      <c r="M117" s="44"/>
      <c r="N117" s="44"/>
      <c r="R117" s="883"/>
      <c r="W117" s="259" t="s">
        <v>10</v>
      </c>
    </row>
    <row r="118" spans="2:23" ht="15" customHeight="1" x14ac:dyDescent="0.3">
      <c r="B118" s="1699" t="s">
        <v>340</v>
      </c>
      <c r="C118" s="1699" t="s">
        <v>37</v>
      </c>
      <c r="D118" s="1841" t="s">
        <v>506</v>
      </c>
      <c r="E118" s="1841"/>
      <c r="F118" s="1841"/>
      <c r="G118" s="1841"/>
      <c r="H118" s="1841"/>
      <c r="I118" s="1841" t="s">
        <v>507</v>
      </c>
      <c r="J118" s="1841"/>
      <c r="K118" s="1841"/>
      <c r="L118" s="1841"/>
      <c r="M118" s="1841"/>
      <c r="N118" s="1699" t="s">
        <v>508</v>
      </c>
      <c r="O118" s="1699"/>
      <c r="P118" s="1699"/>
      <c r="Q118" s="1699"/>
      <c r="R118" s="1699"/>
      <c r="S118" s="1834" t="s">
        <v>969</v>
      </c>
      <c r="T118" s="1825"/>
      <c r="U118" s="1825"/>
      <c r="V118" s="1825"/>
      <c r="W118" s="1826"/>
    </row>
    <row r="119" spans="2:23" x14ac:dyDescent="0.3">
      <c r="B119" s="1699"/>
      <c r="C119" s="1699"/>
      <c r="D119" s="1841" t="s">
        <v>28</v>
      </c>
      <c r="E119" s="1842"/>
      <c r="F119" s="1842"/>
      <c r="G119" s="1842"/>
      <c r="H119" s="1842"/>
      <c r="I119" s="1841" t="s">
        <v>28</v>
      </c>
      <c r="J119" s="1842"/>
      <c r="K119" s="1842"/>
      <c r="L119" s="1842"/>
      <c r="M119" s="1842"/>
      <c r="N119" s="1841" t="s">
        <v>12</v>
      </c>
      <c r="O119" s="1842"/>
      <c r="P119" s="1842"/>
      <c r="Q119" s="1842"/>
      <c r="R119" s="1842"/>
      <c r="S119" s="1841" t="s">
        <v>21</v>
      </c>
      <c r="T119" s="1842"/>
      <c r="U119" s="1842"/>
      <c r="V119" s="1842"/>
      <c r="W119" s="1842"/>
    </row>
    <row r="120" spans="2:23" ht="42" x14ac:dyDescent="0.3">
      <c r="B120" s="1699"/>
      <c r="C120" s="1699"/>
      <c r="D120" s="863" t="s">
        <v>267</v>
      </c>
      <c r="E120" s="863" t="s">
        <v>268</v>
      </c>
      <c r="F120" s="263" t="s">
        <v>274</v>
      </c>
      <c r="G120" s="861" t="s">
        <v>587</v>
      </c>
      <c r="H120" s="863" t="s">
        <v>270</v>
      </c>
      <c r="I120" s="863" t="s">
        <v>267</v>
      </c>
      <c r="J120" s="863" t="s">
        <v>268</v>
      </c>
      <c r="K120" s="263" t="s">
        <v>274</v>
      </c>
      <c r="L120" s="861" t="s">
        <v>587</v>
      </c>
      <c r="M120" s="863" t="s">
        <v>270</v>
      </c>
      <c r="N120" s="863" t="s">
        <v>267</v>
      </c>
      <c r="O120" s="863" t="s">
        <v>268</v>
      </c>
      <c r="P120" s="263" t="s">
        <v>274</v>
      </c>
      <c r="Q120" s="861" t="s">
        <v>587</v>
      </c>
      <c r="R120" s="863" t="s">
        <v>270</v>
      </c>
      <c r="S120" s="863" t="s">
        <v>267</v>
      </c>
      <c r="T120" s="863" t="s">
        <v>268</v>
      </c>
      <c r="U120" s="263" t="s">
        <v>274</v>
      </c>
      <c r="V120" s="861" t="s">
        <v>587</v>
      </c>
      <c r="W120" s="863" t="s">
        <v>270</v>
      </c>
    </row>
    <row r="121" spans="2:23" x14ac:dyDescent="0.3">
      <c r="B121" s="260"/>
      <c r="C121" s="260"/>
      <c r="D121" s="260" t="s">
        <v>81</v>
      </c>
      <c r="E121" s="260" t="s">
        <v>82</v>
      </c>
      <c r="F121" s="260" t="s">
        <v>459</v>
      </c>
      <c r="G121" s="260" t="s">
        <v>391</v>
      </c>
      <c r="H121" s="260" t="s">
        <v>588</v>
      </c>
      <c r="I121" s="260" t="s">
        <v>409</v>
      </c>
      <c r="J121" s="260" t="s">
        <v>509</v>
      </c>
      <c r="K121" s="260" t="s">
        <v>410</v>
      </c>
      <c r="L121" s="260" t="s">
        <v>411</v>
      </c>
      <c r="M121" s="260" t="s">
        <v>651</v>
      </c>
      <c r="N121" s="260" t="s">
        <v>589</v>
      </c>
      <c r="O121" s="260" t="s">
        <v>652</v>
      </c>
      <c r="P121" s="260" t="s">
        <v>590</v>
      </c>
      <c r="Q121" s="260" t="s">
        <v>591</v>
      </c>
      <c r="R121" s="260" t="s">
        <v>1095</v>
      </c>
      <c r="S121" s="260" t="s">
        <v>592</v>
      </c>
      <c r="T121" s="260" t="s">
        <v>593</v>
      </c>
      <c r="U121" s="260" t="s">
        <v>1094</v>
      </c>
      <c r="V121" s="260" t="s">
        <v>1093</v>
      </c>
      <c r="W121" s="260" t="s">
        <v>1092</v>
      </c>
    </row>
    <row r="122" spans="2:23" x14ac:dyDescent="0.3">
      <c r="B122" s="95">
        <v>1</v>
      </c>
      <c r="C122" s="881" t="s">
        <v>842</v>
      </c>
      <c r="D122" s="876">
        <f t="shared" ref="D122:F138" si="53">D14-D68</f>
        <v>0</v>
      </c>
      <c r="E122" s="876">
        <f t="shared" si="53"/>
        <v>0</v>
      </c>
      <c r="F122" s="876">
        <f t="shared" si="53"/>
        <v>0</v>
      </c>
      <c r="G122" s="880"/>
      <c r="H122" s="876">
        <f t="shared" ref="H122:H138" si="54">D122+E122-F122-G122</f>
        <v>0</v>
      </c>
      <c r="I122" s="878">
        <f t="shared" ref="I122:K138" si="55">I14-I68</f>
        <v>0</v>
      </c>
      <c r="J122" s="876">
        <f t="shared" si="55"/>
        <v>0</v>
      </c>
      <c r="K122" s="876">
        <f t="shared" si="55"/>
        <v>0</v>
      </c>
      <c r="L122" s="880"/>
      <c r="M122" s="876">
        <f t="shared" ref="M122:M138" si="56">I122+J122-K122-L122</f>
        <v>0</v>
      </c>
      <c r="N122" s="876">
        <f t="shared" ref="N122:P138" si="57">N14-N68</f>
        <v>0</v>
      </c>
      <c r="O122" s="876">
        <f t="shared" si="57"/>
        <v>0</v>
      </c>
      <c r="P122" s="876">
        <f t="shared" si="57"/>
        <v>0</v>
      </c>
      <c r="Q122" s="880"/>
      <c r="R122" s="876">
        <f t="shared" ref="R122:R138" si="58">N122+O122-P122-Q122</f>
        <v>0</v>
      </c>
      <c r="S122" s="876">
        <f t="shared" ref="S122:U138" si="59">S14-S68</f>
        <v>0</v>
      </c>
      <c r="T122" s="876">
        <f t="shared" si="59"/>
        <v>0</v>
      </c>
      <c r="U122" s="876">
        <f t="shared" si="59"/>
        <v>0</v>
      </c>
      <c r="V122" s="880"/>
      <c r="W122" s="876">
        <f t="shared" ref="W122:W138" si="60">S122+T122-U122-V122</f>
        <v>0</v>
      </c>
    </row>
    <row r="123" spans="2:23" x14ac:dyDescent="0.3">
      <c r="B123" s="95">
        <f t="shared" ref="B123:B138" si="61">B122+1</f>
        <v>2</v>
      </c>
      <c r="C123" s="881" t="s">
        <v>843</v>
      </c>
      <c r="D123" s="876">
        <f t="shared" si="53"/>
        <v>0</v>
      </c>
      <c r="E123" s="876">
        <f t="shared" si="53"/>
        <v>0</v>
      </c>
      <c r="F123" s="876">
        <f t="shared" si="53"/>
        <v>0</v>
      </c>
      <c r="G123" s="880"/>
      <c r="H123" s="876">
        <f t="shared" si="54"/>
        <v>0</v>
      </c>
      <c r="I123" s="876">
        <f t="shared" si="55"/>
        <v>0</v>
      </c>
      <c r="J123" s="876">
        <f t="shared" si="55"/>
        <v>0</v>
      </c>
      <c r="K123" s="876">
        <f t="shared" si="55"/>
        <v>0</v>
      </c>
      <c r="L123" s="880"/>
      <c r="M123" s="876">
        <f t="shared" si="56"/>
        <v>0</v>
      </c>
      <c r="N123" s="876">
        <f t="shared" si="57"/>
        <v>0</v>
      </c>
      <c r="O123" s="876">
        <f t="shared" si="57"/>
        <v>0</v>
      </c>
      <c r="P123" s="876">
        <f t="shared" si="57"/>
        <v>0</v>
      </c>
      <c r="Q123" s="880"/>
      <c r="R123" s="876">
        <f t="shared" si="58"/>
        <v>0</v>
      </c>
      <c r="S123" s="876">
        <f t="shared" si="59"/>
        <v>0</v>
      </c>
      <c r="T123" s="876">
        <f t="shared" si="59"/>
        <v>0</v>
      </c>
      <c r="U123" s="876">
        <f t="shared" si="59"/>
        <v>0</v>
      </c>
      <c r="V123" s="880"/>
      <c r="W123" s="876">
        <f t="shared" si="60"/>
        <v>0</v>
      </c>
    </row>
    <row r="124" spans="2:23" x14ac:dyDescent="0.3">
      <c r="B124" s="95">
        <f t="shared" si="61"/>
        <v>3</v>
      </c>
      <c r="C124" s="881" t="s">
        <v>844</v>
      </c>
      <c r="D124" s="876">
        <f t="shared" si="53"/>
        <v>0</v>
      </c>
      <c r="E124" s="876">
        <f t="shared" si="53"/>
        <v>0</v>
      </c>
      <c r="F124" s="876">
        <f t="shared" si="53"/>
        <v>0</v>
      </c>
      <c r="G124" s="877"/>
      <c r="H124" s="876">
        <f t="shared" si="54"/>
        <v>0</v>
      </c>
      <c r="I124" s="876">
        <f t="shared" si="55"/>
        <v>0</v>
      </c>
      <c r="J124" s="876">
        <f t="shared" si="55"/>
        <v>0</v>
      </c>
      <c r="K124" s="876">
        <f t="shared" si="55"/>
        <v>0</v>
      </c>
      <c r="L124" s="877"/>
      <c r="M124" s="876">
        <f t="shared" si="56"/>
        <v>0</v>
      </c>
      <c r="N124" s="876">
        <f t="shared" si="57"/>
        <v>0</v>
      </c>
      <c r="O124" s="876">
        <f t="shared" si="57"/>
        <v>0</v>
      </c>
      <c r="P124" s="876">
        <f t="shared" si="57"/>
        <v>0</v>
      </c>
      <c r="Q124" s="877"/>
      <c r="R124" s="876">
        <f t="shared" si="58"/>
        <v>0</v>
      </c>
      <c r="S124" s="876">
        <f t="shared" si="59"/>
        <v>0</v>
      </c>
      <c r="T124" s="876">
        <f t="shared" si="59"/>
        <v>0</v>
      </c>
      <c r="U124" s="876">
        <f t="shared" si="59"/>
        <v>0</v>
      </c>
      <c r="V124" s="877"/>
      <c r="W124" s="876">
        <f t="shared" si="60"/>
        <v>0</v>
      </c>
    </row>
    <row r="125" spans="2:23" x14ac:dyDescent="0.3">
      <c r="B125" s="95">
        <f t="shared" si="61"/>
        <v>4</v>
      </c>
      <c r="C125" s="881" t="s">
        <v>845</v>
      </c>
      <c r="D125" s="876">
        <f t="shared" si="53"/>
        <v>0</v>
      </c>
      <c r="E125" s="876">
        <f t="shared" si="53"/>
        <v>0</v>
      </c>
      <c r="F125" s="876">
        <f t="shared" si="53"/>
        <v>0</v>
      </c>
      <c r="G125" s="880"/>
      <c r="H125" s="876">
        <f t="shared" si="54"/>
        <v>0</v>
      </c>
      <c r="I125" s="876">
        <f t="shared" si="55"/>
        <v>0</v>
      </c>
      <c r="J125" s="876">
        <f t="shared" si="55"/>
        <v>0</v>
      </c>
      <c r="K125" s="876">
        <f t="shared" si="55"/>
        <v>0</v>
      </c>
      <c r="L125" s="880"/>
      <c r="M125" s="876">
        <f t="shared" si="56"/>
        <v>0</v>
      </c>
      <c r="N125" s="876">
        <f t="shared" si="57"/>
        <v>0</v>
      </c>
      <c r="O125" s="876">
        <f t="shared" si="57"/>
        <v>0</v>
      </c>
      <c r="P125" s="876">
        <f t="shared" si="57"/>
        <v>0</v>
      </c>
      <c r="Q125" s="880"/>
      <c r="R125" s="876">
        <f t="shared" si="58"/>
        <v>0</v>
      </c>
      <c r="S125" s="876">
        <f t="shared" si="59"/>
        <v>0</v>
      </c>
      <c r="T125" s="876">
        <f t="shared" si="59"/>
        <v>0</v>
      </c>
      <c r="U125" s="876">
        <f t="shared" si="59"/>
        <v>0</v>
      </c>
      <c r="V125" s="880"/>
      <c r="W125" s="876">
        <f t="shared" si="60"/>
        <v>0</v>
      </c>
    </row>
    <row r="126" spans="2:23" x14ac:dyDescent="0.3">
      <c r="B126" s="95">
        <f t="shared" si="61"/>
        <v>5</v>
      </c>
      <c r="C126" s="881" t="s">
        <v>846</v>
      </c>
      <c r="D126" s="876">
        <f t="shared" si="53"/>
        <v>0</v>
      </c>
      <c r="E126" s="876">
        <f t="shared" si="53"/>
        <v>0</v>
      </c>
      <c r="F126" s="876">
        <f t="shared" si="53"/>
        <v>0</v>
      </c>
      <c r="G126" s="880"/>
      <c r="H126" s="876">
        <f t="shared" si="54"/>
        <v>0</v>
      </c>
      <c r="I126" s="876">
        <f t="shared" si="55"/>
        <v>0</v>
      </c>
      <c r="J126" s="876">
        <f t="shared" si="55"/>
        <v>0</v>
      </c>
      <c r="K126" s="876">
        <f t="shared" si="55"/>
        <v>0</v>
      </c>
      <c r="L126" s="880"/>
      <c r="M126" s="876">
        <f t="shared" si="56"/>
        <v>0</v>
      </c>
      <c r="N126" s="876">
        <f t="shared" si="57"/>
        <v>0</v>
      </c>
      <c r="O126" s="876">
        <f t="shared" si="57"/>
        <v>0</v>
      </c>
      <c r="P126" s="876">
        <f t="shared" si="57"/>
        <v>0</v>
      </c>
      <c r="Q126" s="880"/>
      <c r="R126" s="876">
        <f t="shared" si="58"/>
        <v>0</v>
      </c>
      <c r="S126" s="876">
        <f t="shared" si="59"/>
        <v>0</v>
      </c>
      <c r="T126" s="876">
        <f t="shared" si="59"/>
        <v>0</v>
      </c>
      <c r="U126" s="876">
        <f t="shared" si="59"/>
        <v>0</v>
      </c>
      <c r="V126" s="880"/>
      <c r="W126" s="876">
        <f t="shared" si="60"/>
        <v>0</v>
      </c>
    </row>
    <row r="127" spans="2:23" x14ac:dyDescent="0.3">
      <c r="B127" s="95">
        <f t="shared" si="61"/>
        <v>6</v>
      </c>
      <c r="C127" s="881" t="s">
        <v>256</v>
      </c>
      <c r="D127" s="876">
        <f t="shared" si="53"/>
        <v>0</v>
      </c>
      <c r="E127" s="876">
        <f t="shared" si="53"/>
        <v>0</v>
      </c>
      <c r="F127" s="876">
        <f t="shared" si="53"/>
        <v>0</v>
      </c>
      <c r="G127" s="880"/>
      <c r="H127" s="876">
        <f t="shared" si="54"/>
        <v>0</v>
      </c>
      <c r="I127" s="876">
        <f t="shared" si="55"/>
        <v>0</v>
      </c>
      <c r="J127" s="876">
        <f t="shared" si="55"/>
        <v>0</v>
      </c>
      <c r="K127" s="876">
        <f t="shared" si="55"/>
        <v>0</v>
      </c>
      <c r="L127" s="880"/>
      <c r="M127" s="876">
        <f t="shared" si="56"/>
        <v>0</v>
      </c>
      <c r="N127" s="876">
        <f t="shared" si="57"/>
        <v>0</v>
      </c>
      <c r="O127" s="876">
        <f t="shared" si="57"/>
        <v>0</v>
      </c>
      <c r="P127" s="876">
        <f t="shared" si="57"/>
        <v>0</v>
      </c>
      <c r="Q127" s="880"/>
      <c r="R127" s="876">
        <f t="shared" si="58"/>
        <v>0</v>
      </c>
      <c r="S127" s="876">
        <f t="shared" si="59"/>
        <v>0</v>
      </c>
      <c r="T127" s="876">
        <f t="shared" si="59"/>
        <v>0</v>
      </c>
      <c r="U127" s="876">
        <f t="shared" si="59"/>
        <v>0</v>
      </c>
      <c r="V127" s="880"/>
      <c r="W127" s="876">
        <f t="shared" si="60"/>
        <v>0</v>
      </c>
    </row>
    <row r="128" spans="2:23" x14ac:dyDescent="0.3">
      <c r="B128" s="95">
        <f t="shared" si="61"/>
        <v>7</v>
      </c>
      <c r="C128" s="881" t="s">
        <v>847</v>
      </c>
      <c r="D128" s="876">
        <f t="shared" si="53"/>
        <v>0</v>
      </c>
      <c r="E128" s="876">
        <f t="shared" si="53"/>
        <v>0</v>
      </c>
      <c r="F128" s="876">
        <f t="shared" si="53"/>
        <v>0</v>
      </c>
      <c r="G128" s="880"/>
      <c r="H128" s="876">
        <f t="shared" si="54"/>
        <v>0</v>
      </c>
      <c r="I128" s="876">
        <f t="shared" si="55"/>
        <v>0</v>
      </c>
      <c r="J128" s="876">
        <f t="shared" si="55"/>
        <v>0</v>
      </c>
      <c r="K128" s="876">
        <f t="shared" si="55"/>
        <v>0</v>
      </c>
      <c r="L128" s="880"/>
      <c r="M128" s="876">
        <f t="shared" si="56"/>
        <v>0</v>
      </c>
      <c r="N128" s="876">
        <f t="shared" si="57"/>
        <v>0</v>
      </c>
      <c r="O128" s="876">
        <f t="shared" si="57"/>
        <v>0</v>
      </c>
      <c r="P128" s="876">
        <f t="shared" si="57"/>
        <v>0</v>
      </c>
      <c r="Q128" s="880"/>
      <c r="R128" s="876">
        <f t="shared" si="58"/>
        <v>0</v>
      </c>
      <c r="S128" s="876">
        <f t="shared" si="59"/>
        <v>0</v>
      </c>
      <c r="T128" s="876">
        <f t="shared" si="59"/>
        <v>0</v>
      </c>
      <c r="U128" s="876">
        <f t="shared" si="59"/>
        <v>0</v>
      </c>
      <c r="V128" s="880"/>
      <c r="W128" s="876">
        <f t="shared" si="60"/>
        <v>0</v>
      </c>
    </row>
    <row r="129" spans="2:39" x14ac:dyDescent="0.3">
      <c r="B129" s="95">
        <f t="shared" si="61"/>
        <v>8</v>
      </c>
      <c r="C129" s="881" t="s">
        <v>848</v>
      </c>
      <c r="D129" s="876">
        <f t="shared" si="53"/>
        <v>0</v>
      </c>
      <c r="E129" s="876">
        <f t="shared" si="53"/>
        <v>0</v>
      </c>
      <c r="F129" s="876">
        <f t="shared" si="53"/>
        <v>0</v>
      </c>
      <c r="G129" s="880"/>
      <c r="H129" s="876">
        <f t="shared" si="54"/>
        <v>0</v>
      </c>
      <c r="I129" s="876">
        <f t="shared" si="55"/>
        <v>0</v>
      </c>
      <c r="J129" s="876">
        <f t="shared" si="55"/>
        <v>0</v>
      </c>
      <c r="K129" s="876">
        <f t="shared" si="55"/>
        <v>0</v>
      </c>
      <c r="L129" s="880"/>
      <c r="M129" s="876">
        <f t="shared" si="56"/>
        <v>0</v>
      </c>
      <c r="N129" s="876">
        <f t="shared" si="57"/>
        <v>0</v>
      </c>
      <c r="O129" s="876">
        <f t="shared" si="57"/>
        <v>0</v>
      </c>
      <c r="P129" s="876">
        <f t="shared" si="57"/>
        <v>0</v>
      </c>
      <c r="Q129" s="880"/>
      <c r="R129" s="876">
        <f t="shared" si="58"/>
        <v>0</v>
      </c>
      <c r="S129" s="876">
        <f t="shared" si="59"/>
        <v>0</v>
      </c>
      <c r="T129" s="876">
        <f t="shared" si="59"/>
        <v>0</v>
      </c>
      <c r="U129" s="876">
        <f t="shared" si="59"/>
        <v>0</v>
      </c>
      <c r="V129" s="880"/>
      <c r="W129" s="876">
        <f t="shared" si="60"/>
        <v>0</v>
      </c>
    </row>
    <row r="130" spans="2:39" x14ac:dyDescent="0.3">
      <c r="B130" s="95">
        <f t="shared" si="61"/>
        <v>9</v>
      </c>
      <c r="C130" s="881" t="s">
        <v>849</v>
      </c>
      <c r="D130" s="876">
        <f t="shared" si="53"/>
        <v>0</v>
      </c>
      <c r="E130" s="876">
        <f t="shared" si="53"/>
        <v>0</v>
      </c>
      <c r="F130" s="876">
        <f t="shared" si="53"/>
        <v>0</v>
      </c>
      <c r="G130" s="880"/>
      <c r="H130" s="876">
        <f t="shared" si="54"/>
        <v>0</v>
      </c>
      <c r="I130" s="876">
        <f t="shared" si="55"/>
        <v>0</v>
      </c>
      <c r="J130" s="876">
        <f t="shared" si="55"/>
        <v>0</v>
      </c>
      <c r="K130" s="876">
        <f t="shared" si="55"/>
        <v>0</v>
      </c>
      <c r="L130" s="880"/>
      <c r="M130" s="876">
        <f t="shared" si="56"/>
        <v>0</v>
      </c>
      <c r="N130" s="876">
        <f t="shared" si="57"/>
        <v>0</v>
      </c>
      <c r="O130" s="876">
        <f t="shared" si="57"/>
        <v>0</v>
      </c>
      <c r="P130" s="876">
        <f t="shared" si="57"/>
        <v>0</v>
      </c>
      <c r="Q130" s="880"/>
      <c r="R130" s="876">
        <f t="shared" si="58"/>
        <v>0</v>
      </c>
      <c r="S130" s="876">
        <f t="shared" si="59"/>
        <v>0</v>
      </c>
      <c r="T130" s="876">
        <f t="shared" si="59"/>
        <v>0</v>
      </c>
      <c r="U130" s="876">
        <f t="shared" si="59"/>
        <v>0</v>
      </c>
      <c r="V130" s="880"/>
      <c r="W130" s="876">
        <f t="shared" si="60"/>
        <v>0</v>
      </c>
    </row>
    <row r="131" spans="2:39" x14ac:dyDescent="0.3">
      <c r="B131" s="95">
        <f t="shared" si="61"/>
        <v>10</v>
      </c>
      <c r="C131" s="881" t="s">
        <v>259</v>
      </c>
      <c r="D131" s="876">
        <f t="shared" si="53"/>
        <v>0</v>
      </c>
      <c r="E131" s="876">
        <f t="shared" si="53"/>
        <v>0</v>
      </c>
      <c r="F131" s="876">
        <f t="shared" si="53"/>
        <v>0</v>
      </c>
      <c r="G131" s="880"/>
      <c r="H131" s="876">
        <f t="shared" si="54"/>
        <v>0</v>
      </c>
      <c r="I131" s="876">
        <f t="shared" si="55"/>
        <v>0</v>
      </c>
      <c r="J131" s="876">
        <f t="shared" si="55"/>
        <v>0</v>
      </c>
      <c r="K131" s="876">
        <f t="shared" si="55"/>
        <v>0</v>
      </c>
      <c r="L131" s="880"/>
      <c r="M131" s="876">
        <f t="shared" si="56"/>
        <v>0</v>
      </c>
      <c r="N131" s="876">
        <f t="shared" si="57"/>
        <v>0</v>
      </c>
      <c r="O131" s="876">
        <f t="shared" si="57"/>
        <v>0</v>
      </c>
      <c r="P131" s="876">
        <f t="shared" si="57"/>
        <v>0</v>
      </c>
      <c r="Q131" s="880"/>
      <c r="R131" s="876">
        <f t="shared" si="58"/>
        <v>0</v>
      </c>
      <c r="S131" s="876">
        <f t="shared" si="59"/>
        <v>0</v>
      </c>
      <c r="T131" s="876">
        <f t="shared" si="59"/>
        <v>0</v>
      </c>
      <c r="U131" s="876">
        <f t="shared" si="59"/>
        <v>0</v>
      </c>
      <c r="V131" s="880"/>
      <c r="W131" s="876">
        <f t="shared" si="60"/>
        <v>0</v>
      </c>
    </row>
    <row r="132" spans="2:39" x14ac:dyDescent="0.3">
      <c r="B132" s="95">
        <f t="shared" si="61"/>
        <v>11</v>
      </c>
      <c r="C132" s="881" t="s">
        <v>260</v>
      </c>
      <c r="D132" s="876">
        <f t="shared" si="53"/>
        <v>0</v>
      </c>
      <c r="E132" s="876">
        <f t="shared" si="53"/>
        <v>0</v>
      </c>
      <c r="F132" s="876">
        <f t="shared" si="53"/>
        <v>0</v>
      </c>
      <c r="G132" s="880"/>
      <c r="H132" s="876">
        <f t="shared" si="54"/>
        <v>0</v>
      </c>
      <c r="I132" s="876">
        <f t="shared" si="55"/>
        <v>0</v>
      </c>
      <c r="J132" s="876">
        <f t="shared" si="55"/>
        <v>0</v>
      </c>
      <c r="K132" s="876">
        <f t="shared" si="55"/>
        <v>0</v>
      </c>
      <c r="L132" s="880"/>
      <c r="M132" s="876">
        <f t="shared" si="56"/>
        <v>0</v>
      </c>
      <c r="N132" s="876">
        <f t="shared" si="57"/>
        <v>0</v>
      </c>
      <c r="O132" s="876">
        <f t="shared" si="57"/>
        <v>0</v>
      </c>
      <c r="P132" s="876">
        <f t="shared" si="57"/>
        <v>0</v>
      </c>
      <c r="Q132" s="880"/>
      <c r="R132" s="876">
        <f t="shared" si="58"/>
        <v>0</v>
      </c>
      <c r="S132" s="876">
        <f t="shared" si="59"/>
        <v>0</v>
      </c>
      <c r="T132" s="876">
        <f t="shared" si="59"/>
        <v>0</v>
      </c>
      <c r="U132" s="876">
        <f t="shared" si="59"/>
        <v>0</v>
      </c>
      <c r="V132" s="880"/>
      <c r="W132" s="876">
        <f t="shared" si="60"/>
        <v>0</v>
      </c>
    </row>
    <row r="133" spans="2:39" x14ac:dyDescent="0.3">
      <c r="B133" s="95">
        <f t="shared" si="61"/>
        <v>12</v>
      </c>
      <c r="C133" s="881" t="s">
        <v>261</v>
      </c>
      <c r="D133" s="876">
        <f t="shared" si="53"/>
        <v>0</v>
      </c>
      <c r="E133" s="876">
        <f t="shared" si="53"/>
        <v>0</v>
      </c>
      <c r="F133" s="876">
        <f t="shared" si="53"/>
        <v>0</v>
      </c>
      <c r="G133" s="880"/>
      <c r="H133" s="876">
        <f t="shared" si="54"/>
        <v>0</v>
      </c>
      <c r="I133" s="876">
        <f t="shared" si="55"/>
        <v>0</v>
      </c>
      <c r="J133" s="876">
        <f t="shared" si="55"/>
        <v>0</v>
      </c>
      <c r="K133" s="876">
        <f t="shared" si="55"/>
        <v>0</v>
      </c>
      <c r="L133" s="880"/>
      <c r="M133" s="876">
        <f t="shared" si="56"/>
        <v>0</v>
      </c>
      <c r="N133" s="876">
        <f t="shared" si="57"/>
        <v>0</v>
      </c>
      <c r="O133" s="876">
        <f t="shared" si="57"/>
        <v>0</v>
      </c>
      <c r="P133" s="876">
        <f t="shared" si="57"/>
        <v>0</v>
      </c>
      <c r="Q133" s="880"/>
      <c r="R133" s="876">
        <f t="shared" si="58"/>
        <v>0</v>
      </c>
      <c r="S133" s="876">
        <f t="shared" si="59"/>
        <v>0</v>
      </c>
      <c r="T133" s="876">
        <f t="shared" si="59"/>
        <v>0</v>
      </c>
      <c r="U133" s="876">
        <f t="shared" si="59"/>
        <v>0</v>
      </c>
      <c r="V133" s="880"/>
      <c r="W133" s="876">
        <f t="shared" si="60"/>
        <v>0</v>
      </c>
    </row>
    <row r="134" spans="2:39" x14ac:dyDescent="0.3">
      <c r="B134" s="95">
        <f t="shared" si="61"/>
        <v>13</v>
      </c>
      <c r="C134" s="879" t="s">
        <v>897</v>
      </c>
      <c r="D134" s="876">
        <f t="shared" si="53"/>
        <v>0</v>
      </c>
      <c r="E134" s="876">
        <f t="shared" si="53"/>
        <v>0</v>
      </c>
      <c r="F134" s="876">
        <f t="shared" si="53"/>
        <v>0</v>
      </c>
      <c r="G134" s="880"/>
      <c r="H134" s="876">
        <f t="shared" si="54"/>
        <v>0</v>
      </c>
      <c r="I134" s="876">
        <f t="shared" si="55"/>
        <v>0</v>
      </c>
      <c r="J134" s="876">
        <f t="shared" si="55"/>
        <v>0</v>
      </c>
      <c r="K134" s="876">
        <f t="shared" si="55"/>
        <v>0</v>
      </c>
      <c r="L134" s="880"/>
      <c r="M134" s="876">
        <f t="shared" si="56"/>
        <v>0</v>
      </c>
      <c r="N134" s="876">
        <f t="shared" si="57"/>
        <v>0</v>
      </c>
      <c r="O134" s="876">
        <f t="shared" si="57"/>
        <v>0</v>
      </c>
      <c r="P134" s="876">
        <f t="shared" si="57"/>
        <v>0</v>
      </c>
      <c r="Q134" s="880"/>
      <c r="R134" s="876">
        <f t="shared" si="58"/>
        <v>0</v>
      </c>
      <c r="S134" s="876">
        <f t="shared" si="59"/>
        <v>0</v>
      </c>
      <c r="T134" s="876">
        <f t="shared" si="59"/>
        <v>0</v>
      </c>
      <c r="U134" s="876">
        <f t="shared" si="59"/>
        <v>0</v>
      </c>
      <c r="V134" s="880"/>
      <c r="W134" s="876">
        <f t="shared" si="60"/>
        <v>0</v>
      </c>
    </row>
    <row r="135" spans="2:39" x14ac:dyDescent="0.3">
      <c r="B135" s="95">
        <f t="shared" si="61"/>
        <v>14</v>
      </c>
      <c r="C135" s="879" t="s">
        <v>898</v>
      </c>
      <c r="D135" s="876">
        <f t="shared" si="53"/>
        <v>0</v>
      </c>
      <c r="E135" s="876">
        <f t="shared" si="53"/>
        <v>0</v>
      </c>
      <c r="F135" s="876">
        <f t="shared" si="53"/>
        <v>0</v>
      </c>
      <c r="G135" s="880"/>
      <c r="H135" s="876">
        <f t="shared" si="54"/>
        <v>0</v>
      </c>
      <c r="I135" s="876">
        <f t="shared" si="55"/>
        <v>0</v>
      </c>
      <c r="J135" s="876">
        <f t="shared" si="55"/>
        <v>0</v>
      </c>
      <c r="K135" s="876">
        <f t="shared" si="55"/>
        <v>0</v>
      </c>
      <c r="L135" s="880"/>
      <c r="M135" s="876">
        <f t="shared" si="56"/>
        <v>0</v>
      </c>
      <c r="N135" s="876">
        <f t="shared" si="57"/>
        <v>0</v>
      </c>
      <c r="O135" s="876">
        <f t="shared" si="57"/>
        <v>0</v>
      </c>
      <c r="P135" s="876">
        <f t="shared" si="57"/>
        <v>0</v>
      </c>
      <c r="Q135" s="880"/>
      <c r="R135" s="876">
        <f t="shared" si="58"/>
        <v>0</v>
      </c>
      <c r="S135" s="876">
        <f t="shared" si="59"/>
        <v>0</v>
      </c>
      <c r="T135" s="876">
        <f t="shared" si="59"/>
        <v>0</v>
      </c>
      <c r="U135" s="876">
        <f t="shared" si="59"/>
        <v>0</v>
      </c>
      <c r="V135" s="880"/>
      <c r="W135" s="876">
        <f t="shared" si="60"/>
        <v>0</v>
      </c>
    </row>
    <row r="136" spans="2:39" x14ac:dyDescent="0.3">
      <c r="B136" s="95">
        <f t="shared" si="61"/>
        <v>15</v>
      </c>
      <c r="C136" s="879" t="s">
        <v>899</v>
      </c>
      <c r="D136" s="876">
        <f t="shared" si="53"/>
        <v>0</v>
      </c>
      <c r="E136" s="876">
        <f t="shared" si="53"/>
        <v>0</v>
      </c>
      <c r="F136" s="876">
        <f t="shared" si="53"/>
        <v>0</v>
      </c>
      <c r="G136" s="880"/>
      <c r="H136" s="876">
        <f t="shared" si="54"/>
        <v>0</v>
      </c>
      <c r="I136" s="876">
        <f t="shared" si="55"/>
        <v>0</v>
      </c>
      <c r="J136" s="876">
        <f t="shared" si="55"/>
        <v>0</v>
      </c>
      <c r="K136" s="876">
        <f t="shared" si="55"/>
        <v>0</v>
      </c>
      <c r="L136" s="880"/>
      <c r="M136" s="876">
        <f t="shared" si="56"/>
        <v>0</v>
      </c>
      <c r="N136" s="876">
        <f t="shared" si="57"/>
        <v>0</v>
      </c>
      <c r="O136" s="876">
        <f t="shared" si="57"/>
        <v>0</v>
      </c>
      <c r="P136" s="876">
        <f t="shared" si="57"/>
        <v>0</v>
      </c>
      <c r="Q136" s="880"/>
      <c r="R136" s="876">
        <f t="shared" si="58"/>
        <v>0</v>
      </c>
      <c r="S136" s="876">
        <f t="shared" si="59"/>
        <v>0</v>
      </c>
      <c r="T136" s="876">
        <f t="shared" si="59"/>
        <v>0</v>
      </c>
      <c r="U136" s="876">
        <f t="shared" si="59"/>
        <v>0</v>
      </c>
      <c r="V136" s="880"/>
      <c r="W136" s="876">
        <f t="shared" si="60"/>
        <v>0</v>
      </c>
    </row>
    <row r="137" spans="2:39" x14ac:dyDescent="0.3">
      <c r="B137" s="95">
        <f t="shared" si="61"/>
        <v>16</v>
      </c>
      <c r="C137" s="879" t="s">
        <v>850</v>
      </c>
      <c r="D137" s="876">
        <f t="shared" si="53"/>
        <v>0</v>
      </c>
      <c r="E137" s="876">
        <f t="shared" si="53"/>
        <v>0</v>
      </c>
      <c r="F137" s="876">
        <f t="shared" si="53"/>
        <v>0</v>
      </c>
      <c r="G137" s="880"/>
      <c r="H137" s="876">
        <f t="shared" si="54"/>
        <v>0</v>
      </c>
      <c r="I137" s="876">
        <f t="shared" si="55"/>
        <v>0</v>
      </c>
      <c r="J137" s="876">
        <f t="shared" si="55"/>
        <v>0</v>
      </c>
      <c r="K137" s="876">
        <f t="shared" si="55"/>
        <v>0</v>
      </c>
      <c r="L137" s="880"/>
      <c r="M137" s="876">
        <f t="shared" si="56"/>
        <v>0</v>
      </c>
      <c r="N137" s="876">
        <f t="shared" si="57"/>
        <v>0</v>
      </c>
      <c r="O137" s="876">
        <f t="shared" si="57"/>
        <v>0</v>
      </c>
      <c r="P137" s="876">
        <f t="shared" si="57"/>
        <v>0</v>
      </c>
      <c r="Q137" s="880"/>
      <c r="R137" s="876">
        <f t="shared" si="58"/>
        <v>0</v>
      </c>
      <c r="S137" s="876">
        <f t="shared" si="59"/>
        <v>0</v>
      </c>
      <c r="T137" s="876">
        <f t="shared" si="59"/>
        <v>0</v>
      </c>
      <c r="U137" s="876">
        <f t="shared" si="59"/>
        <v>0</v>
      </c>
      <c r="V137" s="880"/>
      <c r="W137" s="876">
        <f t="shared" si="60"/>
        <v>0</v>
      </c>
    </row>
    <row r="138" spans="2:39" x14ac:dyDescent="0.3">
      <c r="B138" s="95">
        <f t="shared" si="61"/>
        <v>17</v>
      </c>
      <c r="C138" s="879" t="s">
        <v>900</v>
      </c>
      <c r="D138" s="876">
        <f t="shared" si="53"/>
        <v>0</v>
      </c>
      <c r="E138" s="876">
        <f t="shared" si="53"/>
        <v>0</v>
      </c>
      <c r="F138" s="876">
        <f t="shared" si="53"/>
        <v>0</v>
      </c>
      <c r="G138" s="880"/>
      <c r="H138" s="876">
        <f t="shared" si="54"/>
        <v>0</v>
      </c>
      <c r="I138" s="876">
        <f t="shared" si="55"/>
        <v>0</v>
      </c>
      <c r="J138" s="876">
        <f t="shared" si="55"/>
        <v>0</v>
      </c>
      <c r="K138" s="876">
        <f t="shared" si="55"/>
        <v>0</v>
      </c>
      <c r="L138" s="880"/>
      <c r="M138" s="876">
        <f t="shared" si="56"/>
        <v>0</v>
      </c>
      <c r="N138" s="876">
        <f t="shared" si="57"/>
        <v>0</v>
      </c>
      <c r="O138" s="876">
        <f t="shared" si="57"/>
        <v>0</v>
      </c>
      <c r="P138" s="876">
        <f t="shared" si="57"/>
        <v>0</v>
      </c>
      <c r="Q138" s="880"/>
      <c r="R138" s="876">
        <f t="shared" si="58"/>
        <v>0</v>
      </c>
      <c r="S138" s="876">
        <f t="shared" si="59"/>
        <v>0</v>
      </c>
      <c r="T138" s="876">
        <f t="shared" si="59"/>
        <v>0</v>
      </c>
      <c r="U138" s="876">
        <f t="shared" si="59"/>
        <v>0</v>
      </c>
      <c r="V138" s="880"/>
      <c r="W138" s="876">
        <f t="shared" si="60"/>
        <v>0</v>
      </c>
    </row>
    <row r="139" spans="2:39" ht="16" x14ac:dyDescent="0.3">
      <c r="B139" s="83"/>
      <c r="C139" s="97" t="s">
        <v>271</v>
      </c>
      <c r="D139" s="97">
        <f t="shared" ref="D139:W139" si="62">SUM(D122:D138)</f>
        <v>0</v>
      </c>
      <c r="E139" s="97">
        <f t="shared" si="62"/>
        <v>0</v>
      </c>
      <c r="F139" s="97">
        <f t="shared" si="62"/>
        <v>0</v>
      </c>
      <c r="G139" s="97">
        <f t="shared" si="62"/>
        <v>0</v>
      </c>
      <c r="H139" s="97">
        <f t="shared" si="62"/>
        <v>0</v>
      </c>
      <c r="I139" s="97">
        <f t="shared" si="62"/>
        <v>0</v>
      </c>
      <c r="J139" s="97">
        <f t="shared" si="62"/>
        <v>0</v>
      </c>
      <c r="K139" s="97">
        <f t="shared" si="62"/>
        <v>0</v>
      </c>
      <c r="L139" s="97">
        <f t="shared" si="62"/>
        <v>0</v>
      </c>
      <c r="M139" s="97">
        <f t="shared" si="62"/>
        <v>0</v>
      </c>
      <c r="N139" s="97">
        <f t="shared" si="62"/>
        <v>0</v>
      </c>
      <c r="O139" s="97">
        <f t="shared" si="62"/>
        <v>0</v>
      </c>
      <c r="P139" s="97">
        <f t="shared" si="62"/>
        <v>0</v>
      </c>
      <c r="Q139" s="97">
        <f t="shared" si="62"/>
        <v>0</v>
      </c>
      <c r="R139" s="97">
        <f t="shared" si="62"/>
        <v>0</v>
      </c>
      <c r="S139" s="97">
        <f t="shared" si="62"/>
        <v>0</v>
      </c>
      <c r="T139" s="97">
        <f t="shared" si="62"/>
        <v>0</v>
      </c>
      <c r="U139" s="97">
        <f t="shared" si="62"/>
        <v>0</v>
      </c>
      <c r="V139" s="97">
        <f t="shared" si="62"/>
        <v>0</v>
      </c>
      <c r="W139" s="97">
        <f t="shared" si="62"/>
        <v>0</v>
      </c>
    </row>
    <row r="140" spans="2:39" ht="16" x14ac:dyDescent="0.3">
      <c r="B140" s="262"/>
      <c r="C140" s="264"/>
      <c r="D140" s="264"/>
      <c r="E140" s="264"/>
      <c r="F140" s="264"/>
      <c r="G140" s="264"/>
      <c r="H140" s="264"/>
      <c r="I140" s="262"/>
      <c r="J140" s="262"/>
      <c r="K140" s="262"/>
      <c r="L140" s="262"/>
      <c r="M140" s="262"/>
      <c r="N140" s="262"/>
      <c r="O140" s="262"/>
      <c r="P140" s="262"/>
      <c r="Q140" s="262"/>
      <c r="R140" s="262"/>
      <c r="T140" s="882"/>
      <c r="U140" s="882"/>
      <c r="V140" s="882"/>
      <c r="X140" s="262"/>
      <c r="Y140" s="262"/>
      <c r="Z140" s="262"/>
      <c r="AA140" s="262"/>
      <c r="AB140" s="262"/>
      <c r="AC140" s="262"/>
      <c r="AD140" s="262"/>
      <c r="AE140" s="262"/>
      <c r="AF140" s="262"/>
      <c r="AG140" s="262"/>
      <c r="AH140" s="262"/>
      <c r="AI140" s="262"/>
      <c r="AJ140" s="262"/>
      <c r="AK140" s="262"/>
      <c r="AL140" s="262"/>
      <c r="AM140" s="262"/>
    </row>
    <row r="141" spans="2:39" ht="16" x14ac:dyDescent="0.3">
      <c r="B141" s="261" t="s">
        <v>599</v>
      </c>
      <c r="C141" s="266"/>
      <c r="D141" s="266"/>
      <c r="E141" s="266"/>
      <c r="F141" s="266"/>
      <c r="G141" s="264"/>
      <c r="H141" s="264"/>
      <c r="I141" s="262"/>
      <c r="J141" s="262"/>
      <c r="K141" s="262"/>
      <c r="L141" s="262"/>
      <c r="M141" s="262"/>
      <c r="N141" s="262"/>
      <c r="O141" s="262"/>
      <c r="P141" s="262"/>
      <c r="Q141" s="262"/>
      <c r="R141" s="262"/>
      <c r="T141" s="882"/>
      <c r="U141" s="882"/>
      <c r="V141" s="882"/>
      <c r="X141" s="262"/>
      <c r="Y141" s="262"/>
      <c r="Z141" s="262"/>
      <c r="AA141" s="262"/>
      <c r="AB141" s="262"/>
      <c r="AC141" s="262"/>
      <c r="AD141" s="262"/>
      <c r="AE141" s="262"/>
      <c r="AF141" s="262"/>
      <c r="AG141" s="262"/>
      <c r="AH141" s="262"/>
      <c r="AI141" s="262"/>
      <c r="AJ141" s="262"/>
      <c r="AK141" s="262"/>
      <c r="AL141" s="262"/>
      <c r="AM141" s="262"/>
    </row>
    <row r="142" spans="2:39" ht="16" x14ac:dyDescent="0.3">
      <c r="B142" s="262"/>
      <c r="C142" s="264"/>
      <c r="D142" s="264"/>
      <c r="E142" s="264"/>
      <c r="F142" s="264"/>
      <c r="G142" s="264"/>
      <c r="H142" s="264"/>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row>
    <row r="143" spans="2:39" ht="15" customHeight="1" x14ac:dyDescent="0.3">
      <c r="B143" s="262"/>
      <c r="C143" s="264"/>
      <c r="D143" s="264"/>
      <c r="E143" s="264"/>
      <c r="F143" s="264"/>
      <c r="G143" s="264"/>
      <c r="H143" s="264"/>
      <c r="I143" s="262"/>
      <c r="J143" s="262"/>
      <c r="K143" s="262"/>
      <c r="L143" s="262"/>
      <c r="M143" s="262"/>
      <c r="N143" s="262"/>
      <c r="O143" s="262"/>
      <c r="P143" s="262"/>
      <c r="Q143" s="262"/>
      <c r="R143" s="262"/>
      <c r="S143" s="262"/>
      <c r="T143" s="262"/>
      <c r="U143" s="262"/>
      <c r="V143" s="262"/>
      <c r="W143" s="259" t="s">
        <v>10</v>
      </c>
    </row>
    <row r="144" spans="2:39" x14ac:dyDescent="0.3">
      <c r="B144" s="1699" t="s">
        <v>340</v>
      </c>
      <c r="C144" s="1699" t="s">
        <v>37</v>
      </c>
      <c r="D144" s="1838" t="s">
        <v>970</v>
      </c>
      <c r="E144" s="1838"/>
      <c r="F144" s="1838"/>
      <c r="G144" s="1838"/>
      <c r="H144" s="1838"/>
      <c r="I144" s="1838" t="s">
        <v>971</v>
      </c>
      <c r="J144" s="1838"/>
      <c r="K144" s="1838"/>
      <c r="L144" s="1838"/>
      <c r="M144" s="1838"/>
      <c r="N144" s="1838" t="s">
        <v>972</v>
      </c>
      <c r="O144" s="1838"/>
      <c r="P144" s="1838"/>
      <c r="Q144" s="1838"/>
      <c r="R144" s="1838"/>
      <c r="S144" s="1838" t="s">
        <v>973</v>
      </c>
      <c r="T144" s="1838"/>
      <c r="U144" s="1838"/>
      <c r="V144" s="1838"/>
      <c r="W144" s="1838"/>
    </row>
    <row r="145" spans="2:23" x14ac:dyDescent="0.3">
      <c r="B145" s="1699"/>
      <c r="C145" s="1699"/>
      <c r="D145" s="1847" t="s">
        <v>21</v>
      </c>
      <c r="E145" s="1848"/>
      <c r="F145" s="1848"/>
      <c r="G145" s="1848"/>
      <c r="H145" s="1849"/>
      <c r="I145" s="1841" t="s">
        <v>21</v>
      </c>
      <c r="J145" s="1842"/>
      <c r="K145" s="1842"/>
      <c r="L145" s="1842"/>
      <c r="M145" s="1842"/>
      <c r="N145" s="1841" t="s">
        <v>21</v>
      </c>
      <c r="O145" s="1842"/>
      <c r="P145" s="1842"/>
      <c r="Q145" s="1842"/>
      <c r="R145" s="1842"/>
      <c r="S145" s="1841" t="s">
        <v>21</v>
      </c>
      <c r="T145" s="1842"/>
      <c r="U145" s="1842"/>
      <c r="V145" s="1842"/>
      <c r="W145" s="1842"/>
    </row>
    <row r="146" spans="2:23" ht="42" x14ac:dyDescent="0.3">
      <c r="B146" s="1699"/>
      <c r="C146" s="1699"/>
      <c r="D146" s="863" t="s">
        <v>267</v>
      </c>
      <c r="E146" s="863" t="s">
        <v>268</v>
      </c>
      <c r="F146" s="263" t="s">
        <v>274</v>
      </c>
      <c r="G146" s="861" t="s">
        <v>587</v>
      </c>
      <c r="H146" s="863" t="s">
        <v>270</v>
      </c>
      <c r="I146" s="863" t="s">
        <v>267</v>
      </c>
      <c r="J146" s="863" t="s">
        <v>268</v>
      </c>
      <c r="K146" s="263" t="s">
        <v>274</v>
      </c>
      <c r="L146" s="861" t="s">
        <v>587</v>
      </c>
      <c r="M146" s="863" t="s">
        <v>270</v>
      </c>
      <c r="N146" s="863" t="s">
        <v>267</v>
      </c>
      <c r="O146" s="863" t="s">
        <v>268</v>
      </c>
      <c r="P146" s="263" t="s">
        <v>274</v>
      </c>
      <c r="Q146" s="861" t="s">
        <v>587</v>
      </c>
      <c r="R146" s="863" t="s">
        <v>270</v>
      </c>
      <c r="S146" s="863" t="s">
        <v>267</v>
      </c>
      <c r="T146" s="863" t="s">
        <v>268</v>
      </c>
      <c r="U146" s="263" t="s">
        <v>274</v>
      </c>
      <c r="V146" s="861" t="s">
        <v>587</v>
      </c>
      <c r="W146" s="863" t="s">
        <v>270</v>
      </c>
    </row>
    <row r="147" spans="2:23" ht="28" x14ac:dyDescent="0.3">
      <c r="B147" s="260"/>
      <c r="C147" s="260"/>
      <c r="D147" s="260" t="s">
        <v>594</v>
      </c>
      <c r="E147" s="260" t="s">
        <v>595</v>
      </c>
      <c r="F147" s="260" t="s">
        <v>596</v>
      </c>
      <c r="G147" s="260" t="s">
        <v>653</v>
      </c>
      <c r="H147" s="260" t="s">
        <v>654</v>
      </c>
      <c r="I147" s="260" t="s">
        <v>655</v>
      </c>
      <c r="J147" s="260" t="s">
        <v>656</v>
      </c>
      <c r="K147" s="260" t="s">
        <v>657</v>
      </c>
      <c r="L147" s="260" t="s">
        <v>658</v>
      </c>
      <c r="M147" s="260" t="s">
        <v>659</v>
      </c>
      <c r="N147" s="260" t="s">
        <v>660</v>
      </c>
      <c r="O147" s="260" t="s">
        <v>661</v>
      </c>
      <c r="P147" s="260" t="s">
        <v>662</v>
      </c>
      <c r="Q147" s="260" t="s">
        <v>663</v>
      </c>
      <c r="R147" s="260" t="s">
        <v>664</v>
      </c>
      <c r="S147" s="260" t="s">
        <v>1091</v>
      </c>
      <c r="T147" s="260" t="s">
        <v>1090</v>
      </c>
      <c r="U147" s="260" t="s">
        <v>1089</v>
      </c>
      <c r="V147" s="260" t="s">
        <v>1088</v>
      </c>
      <c r="W147" s="260" t="s">
        <v>1087</v>
      </c>
    </row>
    <row r="148" spans="2:23" x14ac:dyDescent="0.3">
      <c r="B148" s="95">
        <v>1</v>
      </c>
      <c r="C148" s="881" t="s">
        <v>842</v>
      </c>
      <c r="D148" s="878">
        <f t="shared" ref="D148:F164" si="63">D40-D95</f>
        <v>0</v>
      </c>
      <c r="E148" s="878">
        <f t="shared" si="63"/>
        <v>0</v>
      </c>
      <c r="F148" s="878">
        <f t="shared" si="63"/>
        <v>0</v>
      </c>
      <c r="G148" s="880"/>
      <c r="H148" s="876">
        <f t="shared" ref="H148:H164" si="64">D148+E148-F148-G148</f>
        <v>0</v>
      </c>
      <c r="I148" s="878">
        <f t="shared" ref="I148:K164" si="65">I40-I95</f>
        <v>0</v>
      </c>
      <c r="J148" s="878">
        <f t="shared" si="65"/>
        <v>0</v>
      </c>
      <c r="K148" s="878">
        <f t="shared" si="65"/>
        <v>0</v>
      </c>
      <c r="L148" s="880"/>
      <c r="M148" s="876">
        <f t="shared" ref="M148:M164" si="66">I148+J148-K148-L148</f>
        <v>0</v>
      </c>
      <c r="N148" s="878">
        <f t="shared" ref="N148:P164" si="67">N40-N95</f>
        <v>0</v>
      </c>
      <c r="O148" s="878">
        <f t="shared" si="67"/>
        <v>0</v>
      </c>
      <c r="P148" s="878">
        <f t="shared" si="67"/>
        <v>0</v>
      </c>
      <c r="Q148" s="880"/>
      <c r="R148" s="876">
        <f t="shared" ref="R148:R164" si="68">N148+O148-P148-Q148</f>
        <v>0</v>
      </c>
      <c r="S148" s="878">
        <f t="shared" ref="S148:U164" si="69">S40-S95</f>
        <v>0</v>
      </c>
      <c r="T148" s="878">
        <f t="shared" si="69"/>
        <v>0</v>
      </c>
      <c r="U148" s="878">
        <f t="shared" si="69"/>
        <v>0</v>
      </c>
      <c r="V148" s="880"/>
      <c r="W148" s="876">
        <f t="shared" ref="W148:W164" si="70">S148+T148-U148-V148</f>
        <v>0</v>
      </c>
    </row>
    <row r="149" spans="2:23" x14ac:dyDescent="0.3">
      <c r="B149" s="95">
        <f t="shared" ref="B149:B164" si="71">B148+1</f>
        <v>2</v>
      </c>
      <c r="C149" s="881" t="s">
        <v>843</v>
      </c>
      <c r="D149" s="878">
        <f t="shared" si="63"/>
        <v>0</v>
      </c>
      <c r="E149" s="878">
        <f t="shared" si="63"/>
        <v>0</v>
      </c>
      <c r="F149" s="878">
        <f t="shared" si="63"/>
        <v>0</v>
      </c>
      <c r="G149" s="880"/>
      <c r="H149" s="876">
        <f t="shared" si="64"/>
        <v>0</v>
      </c>
      <c r="I149" s="878">
        <f t="shared" si="65"/>
        <v>0</v>
      </c>
      <c r="J149" s="878">
        <f t="shared" si="65"/>
        <v>0</v>
      </c>
      <c r="K149" s="878">
        <f t="shared" si="65"/>
        <v>0</v>
      </c>
      <c r="L149" s="880"/>
      <c r="M149" s="876">
        <f t="shared" si="66"/>
        <v>0</v>
      </c>
      <c r="N149" s="878">
        <f t="shared" si="67"/>
        <v>0</v>
      </c>
      <c r="O149" s="878">
        <f t="shared" si="67"/>
        <v>0</v>
      </c>
      <c r="P149" s="878">
        <f t="shared" si="67"/>
        <v>0</v>
      </c>
      <c r="Q149" s="880"/>
      <c r="R149" s="876">
        <f t="shared" si="68"/>
        <v>0</v>
      </c>
      <c r="S149" s="878">
        <f t="shared" si="69"/>
        <v>0</v>
      </c>
      <c r="T149" s="878">
        <f t="shared" si="69"/>
        <v>0</v>
      </c>
      <c r="U149" s="878">
        <f t="shared" si="69"/>
        <v>0</v>
      </c>
      <c r="V149" s="880"/>
      <c r="W149" s="876">
        <f t="shared" si="70"/>
        <v>0</v>
      </c>
    </row>
    <row r="150" spans="2:23" x14ac:dyDescent="0.3">
      <c r="B150" s="95">
        <f t="shared" si="71"/>
        <v>3</v>
      </c>
      <c r="C150" s="881" t="s">
        <v>844</v>
      </c>
      <c r="D150" s="878">
        <f t="shared" si="63"/>
        <v>0</v>
      </c>
      <c r="E150" s="878">
        <f t="shared" si="63"/>
        <v>0</v>
      </c>
      <c r="F150" s="878">
        <f t="shared" si="63"/>
        <v>0</v>
      </c>
      <c r="G150" s="880"/>
      <c r="H150" s="876">
        <f t="shared" si="64"/>
        <v>0</v>
      </c>
      <c r="I150" s="878">
        <f t="shared" si="65"/>
        <v>0</v>
      </c>
      <c r="J150" s="878">
        <f t="shared" si="65"/>
        <v>0</v>
      </c>
      <c r="K150" s="878">
        <f t="shared" si="65"/>
        <v>0</v>
      </c>
      <c r="L150" s="880"/>
      <c r="M150" s="876">
        <f t="shared" si="66"/>
        <v>0</v>
      </c>
      <c r="N150" s="878">
        <f t="shared" si="67"/>
        <v>0</v>
      </c>
      <c r="O150" s="878">
        <f t="shared" si="67"/>
        <v>0</v>
      </c>
      <c r="P150" s="878">
        <f t="shared" si="67"/>
        <v>0</v>
      </c>
      <c r="Q150" s="880"/>
      <c r="R150" s="876">
        <f t="shared" si="68"/>
        <v>0</v>
      </c>
      <c r="S150" s="878">
        <f t="shared" si="69"/>
        <v>0</v>
      </c>
      <c r="T150" s="878">
        <f t="shared" si="69"/>
        <v>0</v>
      </c>
      <c r="U150" s="878">
        <f t="shared" si="69"/>
        <v>0</v>
      </c>
      <c r="V150" s="880"/>
      <c r="W150" s="876">
        <f t="shared" si="70"/>
        <v>0</v>
      </c>
    </row>
    <row r="151" spans="2:23" x14ac:dyDescent="0.3">
      <c r="B151" s="95">
        <f t="shared" si="71"/>
        <v>4</v>
      </c>
      <c r="C151" s="881" t="s">
        <v>845</v>
      </c>
      <c r="D151" s="878">
        <f t="shared" si="63"/>
        <v>0</v>
      </c>
      <c r="E151" s="878">
        <f t="shared" si="63"/>
        <v>0</v>
      </c>
      <c r="F151" s="878">
        <f t="shared" si="63"/>
        <v>0</v>
      </c>
      <c r="G151" s="880"/>
      <c r="H151" s="876">
        <f t="shared" si="64"/>
        <v>0</v>
      </c>
      <c r="I151" s="878">
        <f t="shared" si="65"/>
        <v>0</v>
      </c>
      <c r="J151" s="878">
        <f t="shared" si="65"/>
        <v>0</v>
      </c>
      <c r="K151" s="878">
        <f t="shared" si="65"/>
        <v>0</v>
      </c>
      <c r="L151" s="880"/>
      <c r="M151" s="876">
        <f t="shared" si="66"/>
        <v>0</v>
      </c>
      <c r="N151" s="878">
        <f t="shared" si="67"/>
        <v>0</v>
      </c>
      <c r="O151" s="878">
        <f t="shared" si="67"/>
        <v>0</v>
      </c>
      <c r="P151" s="878">
        <f t="shared" si="67"/>
        <v>0</v>
      </c>
      <c r="Q151" s="880"/>
      <c r="R151" s="876">
        <f t="shared" si="68"/>
        <v>0</v>
      </c>
      <c r="S151" s="878">
        <f t="shared" si="69"/>
        <v>0</v>
      </c>
      <c r="T151" s="878">
        <f t="shared" si="69"/>
        <v>0</v>
      </c>
      <c r="U151" s="878">
        <f t="shared" si="69"/>
        <v>0</v>
      </c>
      <c r="V151" s="880"/>
      <c r="W151" s="876">
        <f t="shared" si="70"/>
        <v>0</v>
      </c>
    </row>
    <row r="152" spans="2:23" x14ac:dyDescent="0.3">
      <c r="B152" s="95">
        <f t="shared" si="71"/>
        <v>5</v>
      </c>
      <c r="C152" s="881" t="s">
        <v>846</v>
      </c>
      <c r="D152" s="878">
        <f t="shared" si="63"/>
        <v>0</v>
      </c>
      <c r="E152" s="878">
        <f t="shared" si="63"/>
        <v>0</v>
      </c>
      <c r="F152" s="878">
        <f t="shared" si="63"/>
        <v>0</v>
      </c>
      <c r="G152" s="880"/>
      <c r="H152" s="876">
        <f t="shared" si="64"/>
        <v>0</v>
      </c>
      <c r="I152" s="878">
        <f t="shared" si="65"/>
        <v>0</v>
      </c>
      <c r="J152" s="878">
        <f t="shared" si="65"/>
        <v>0</v>
      </c>
      <c r="K152" s="878">
        <f t="shared" si="65"/>
        <v>0</v>
      </c>
      <c r="L152" s="880"/>
      <c r="M152" s="876">
        <f t="shared" si="66"/>
        <v>0</v>
      </c>
      <c r="N152" s="878">
        <f t="shared" si="67"/>
        <v>0</v>
      </c>
      <c r="O152" s="878">
        <f t="shared" si="67"/>
        <v>0</v>
      </c>
      <c r="P152" s="878">
        <f t="shared" si="67"/>
        <v>0</v>
      </c>
      <c r="Q152" s="880"/>
      <c r="R152" s="876">
        <f t="shared" si="68"/>
        <v>0</v>
      </c>
      <c r="S152" s="878">
        <f t="shared" si="69"/>
        <v>0</v>
      </c>
      <c r="T152" s="878">
        <f t="shared" si="69"/>
        <v>0</v>
      </c>
      <c r="U152" s="878">
        <f t="shared" si="69"/>
        <v>0</v>
      </c>
      <c r="V152" s="880"/>
      <c r="W152" s="876">
        <f t="shared" si="70"/>
        <v>0</v>
      </c>
    </row>
    <row r="153" spans="2:23" x14ac:dyDescent="0.3">
      <c r="B153" s="95">
        <f t="shared" si="71"/>
        <v>6</v>
      </c>
      <c r="C153" s="881" t="s">
        <v>256</v>
      </c>
      <c r="D153" s="878">
        <f t="shared" si="63"/>
        <v>0</v>
      </c>
      <c r="E153" s="878">
        <f t="shared" si="63"/>
        <v>0</v>
      </c>
      <c r="F153" s="878">
        <f t="shared" si="63"/>
        <v>0</v>
      </c>
      <c r="G153" s="880"/>
      <c r="H153" s="876">
        <f t="shared" si="64"/>
        <v>0</v>
      </c>
      <c r="I153" s="878">
        <f t="shared" si="65"/>
        <v>0</v>
      </c>
      <c r="J153" s="878">
        <f t="shared" si="65"/>
        <v>0</v>
      </c>
      <c r="K153" s="878">
        <f t="shared" si="65"/>
        <v>0</v>
      </c>
      <c r="L153" s="880"/>
      <c r="M153" s="876">
        <f t="shared" si="66"/>
        <v>0</v>
      </c>
      <c r="N153" s="878">
        <f t="shared" si="67"/>
        <v>0</v>
      </c>
      <c r="O153" s="878">
        <f t="shared" si="67"/>
        <v>0</v>
      </c>
      <c r="P153" s="878">
        <f t="shared" si="67"/>
        <v>0</v>
      </c>
      <c r="Q153" s="880"/>
      <c r="R153" s="876">
        <f t="shared" si="68"/>
        <v>0</v>
      </c>
      <c r="S153" s="878">
        <f t="shared" si="69"/>
        <v>0</v>
      </c>
      <c r="T153" s="878">
        <f t="shared" si="69"/>
        <v>0</v>
      </c>
      <c r="U153" s="878">
        <f t="shared" si="69"/>
        <v>0</v>
      </c>
      <c r="V153" s="880"/>
      <c r="W153" s="876">
        <f t="shared" si="70"/>
        <v>0</v>
      </c>
    </row>
    <row r="154" spans="2:23" x14ac:dyDescent="0.3">
      <c r="B154" s="95">
        <f t="shared" si="71"/>
        <v>7</v>
      </c>
      <c r="C154" s="881" t="s">
        <v>847</v>
      </c>
      <c r="D154" s="878">
        <f t="shared" si="63"/>
        <v>0</v>
      </c>
      <c r="E154" s="878">
        <f t="shared" si="63"/>
        <v>0</v>
      </c>
      <c r="F154" s="878">
        <f t="shared" si="63"/>
        <v>0</v>
      </c>
      <c r="G154" s="880"/>
      <c r="H154" s="876">
        <f t="shared" si="64"/>
        <v>0</v>
      </c>
      <c r="I154" s="878">
        <f t="shared" si="65"/>
        <v>0</v>
      </c>
      <c r="J154" s="878">
        <f t="shared" si="65"/>
        <v>0</v>
      </c>
      <c r="K154" s="878">
        <f t="shared" si="65"/>
        <v>0</v>
      </c>
      <c r="L154" s="880"/>
      <c r="M154" s="876">
        <f t="shared" si="66"/>
        <v>0</v>
      </c>
      <c r="N154" s="878">
        <f t="shared" si="67"/>
        <v>0</v>
      </c>
      <c r="O154" s="878">
        <f t="shared" si="67"/>
        <v>0</v>
      </c>
      <c r="P154" s="878">
        <f t="shared" si="67"/>
        <v>0</v>
      </c>
      <c r="Q154" s="880"/>
      <c r="R154" s="876">
        <f t="shared" si="68"/>
        <v>0</v>
      </c>
      <c r="S154" s="878">
        <f t="shared" si="69"/>
        <v>0</v>
      </c>
      <c r="T154" s="878">
        <f t="shared" si="69"/>
        <v>0</v>
      </c>
      <c r="U154" s="878">
        <f t="shared" si="69"/>
        <v>0</v>
      </c>
      <c r="V154" s="880"/>
      <c r="W154" s="876">
        <f t="shared" si="70"/>
        <v>0</v>
      </c>
    </row>
    <row r="155" spans="2:23" x14ac:dyDescent="0.3">
      <c r="B155" s="95">
        <f t="shared" si="71"/>
        <v>8</v>
      </c>
      <c r="C155" s="881" t="s">
        <v>848</v>
      </c>
      <c r="D155" s="878">
        <f t="shared" si="63"/>
        <v>0</v>
      </c>
      <c r="E155" s="878">
        <f t="shared" si="63"/>
        <v>0</v>
      </c>
      <c r="F155" s="878">
        <f t="shared" si="63"/>
        <v>0</v>
      </c>
      <c r="G155" s="880"/>
      <c r="H155" s="876">
        <f t="shared" si="64"/>
        <v>0</v>
      </c>
      <c r="I155" s="878">
        <f t="shared" si="65"/>
        <v>0</v>
      </c>
      <c r="J155" s="878">
        <f t="shared" si="65"/>
        <v>0</v>
      </c>
      <c r="K155" s="878">
        <f t="shared" si="65"/>
        <v>0</v>
      </c>
      <c r="L155" s="880"/>
      <c r="M155" s="876">
        <f t="shared" si="66"/>
        <v>0</v>
      </c>
      <c r="N155" s="878">
        <f t="shared" si="67"/>
        <v>0</v>
      </c>
      <c r="O155" s="878">
        <f t="shared" si="67"/>
        <v>0</v>
      </c>
      <c r="P155" s="878">
        <f t="shared" si="67"/>
        <v>0</v>
      </c>
      <c r="Q155" s="880"/>
      <c r="R155" s="876">
        <f t="shared" si="68"/>
        <v>0</v>
      </c>
      <c r="S155" s="878">
        <f t="shared" si="69"/>
        <v>0</v>
      </c>
      <c r="T155" s="878">
        <f t="shared" si="69"/>
        <v>0</v>
      </c>
      <c r="U155" s="878">
        <f t="shared" si="69"/>
        <v>0</v>
      </c>
      <c r="V155" s="880"/>
      <c r="W155" s="876">
        <f t="shared" si="70"/>
        <v>0</v>
      </c>
    </row>
    <row r="156" spans="2:23" x14ac:dyDescent="0.3">
      <c r="B156" s="95">
        <f t="shared" si="71"/>
        <v>9</v>
      </c>
      <c r="C156" s="881" t="s">
        <v>849</v>
      </c>
      <c r="D156" s="878">
        <f t="shared" si="63"/>
        <v>0</v>
      </c>
      <c r="E156" s="878">
        <f t="shared" si="63"/>
        <v>0</v>
      </c>
      <c r="F156" s="878">
        <f t="shared" si="63"/>
        <v>0</v>
      </c>
      <c r="G156" s="880"/>
      <c r="H156" s="876">
        <f t="shared" si="64"/>
        <v>0</v>
      </c>
      <c r="I156" s="878">
        <f t="shared" si="65"/>
        <v>0</v>
      </c>
      <c r="J156" s="878">
        <f t="shared" si="65"/>
        <v>0</v>
      </c>
      <c r="K156" s="878">
        <f t="shared" si="65"/>
        <v>0</v>
      </c>
      <c r="L156" s="880"/>
      <c r="M156" s="876">
        <f t="shared" si="66"/>
        <v>0</v>
      </c>
      <c r="N156" s="878">
        <f t="shared" si="67"/>
        <v>0</v>
      </c>
      <c r="O156" s="878">
        <f t="shared" si="67"/>
        <v>0</v>
      </c>
      <c r="P156" s="878">
        <f t="shared" si="67"/>
        <v>0</v>
      </c>
      <c r="Q156" s="880"/>
      <c r="R156" s="876">
        <f t="shared" si="68"/>
        <v>0</v>
      </c>
      <c r="S156" s="878">
        <f t="shared" si="69"/>
        <v>0</v>
      </c>
      <c r="T156" s="878">
        <f t="shared" si="69"/>
        <v>0</v>
      </c>
      <c r="U156" s="878">
        <f t="shared" si="69"/>
        <v>0</v>
      </c>
      <c r="V156" s="880"/>
      <c r="W156" s="876">
        <f t="shared" si="70"/>
        <v>0</v>
      </c>
    </row>
    <row r="157" spans="2:23" x14ac:dyDescent="0.3">
      <c r="B157" s="95">
        <f t="shared" si="71"/>
        <v>10</v>
      </c>
      <c r="C157" s="881" t="s">
        <v>259</v>
      </c>
      <c r="D157" s="878">
        <f t="shared" si="63"/>
        <v>0</v>
      </c>
      <c r="E157" s="878">
        <f t="shared" si="63"/>
        <v>0</v>
      </c>
      <c r="F157" s="878">
        <f t="shared" si="63"/>
        <v>0</v>
      </c>
      <c r="G157" s="880"/>
      <c r="H157" s="876">
        <f t="shared" si="64"/>
        <v>0</v>
      </c>
      <c r="I157" s="878">
        <f t="shared" si="65"/>
        <v>0</v>
      </c>
      <c r="J157" s="878">
        <f t="shared" si="65"/>
        <v>0</v>
      </c>
      <c r="K157" s="878">
        <f t="shared" si="65"/>
        <v>0</v>
      </c>
      <c r="L157" s="880"/>
      <c r="M157" s="876">
        <f t="shared" si="66"/>
        <v>0</v>
      </c>
      <c r="N157" s="878">
        <f t="shared" si="67"/>
        <v>0</v>
      </c>
      <c r="O157" s="878">
        <f t="shared" si="67"/>
        <v>0</v>
      </c>
      <c r="P157" s="878">
        <f t="shared" si="67"/>
        <v>0</v>
      </c>
      <c r="Q157" s="880"/>
      <c r="R157" s="876">
        <f t="shared" si="68"/>
        <v>0</v>
      </c>
      <c r="S157" s="878">
        <f t="shared" si="69"/>
        <v>0</v>
      </c>
      <c r="T157" s="878">
        <f t="shared" si="69"/>
        <v>0</v>
      </c>
      <c r="U157" s="878">
        <f t="shared" si="69"/>
        <v>0</v>
      </c>
      <c r="V157" s="880"/>
      <c r="W157" s="876">
        <f t="shared" si="70"/>
        <v>0</v>
      </c>
    </row>
    <row r="158" spans="2:23" x14ac:dyDescent="0.3">
      <c r="B158" s="95">
        <f t="shared" si="71"/>
        <v>11</v>
      </c>
      <c r="C158" s="881" t="s">
        <v>260</v>
      </c>
      <c r="D158" s="878">
        <f t="shared" si="63"/>
        <v>0</v>
      </c>
      <c r="E158" s="878">
        <f t="shared" si="63"/>
        <v>0</v>
      </c>
      <c r="F158" s="878">
        <f t="shared" si="63"/>
        <v>0</v>
      </c>
      <c r="G158" s="880"/>
      <c r="H158" s="876">
        <f t="shared" si="64"/>
        <v>0</v>
      </c>
      <c r="I158" s="878">
        <f t="shared" si="65"/>
        <v>0</v>
      </c>
      <c r="J158" s="878">
        <f t="shared" si="65"/>
        <v>0</v>
      </c>
      <c r="K158" s="878">
        <f t="shared" si="65"/>
        <v>0</v>
      </c>
      <c r="L158" s="880"/>
      <c r="M158" s="876">
        <f t="shared" si="66"/>
        <v>0</v>
      </c>
      <c r="N158" s="878">
        <f t="shared" si="67"/>
        <v>0</v>
      </c>
      <c r="O158" s="878">
        <f t="shared" si="67"/>
        <v>0</v>
      </c>
      <c r="P158" s="878">
        <f t="shared" si="67"/>
        <v>0</v>
      </c>
      <c r="Q158" s="880"/>
      <c r="R158" s="876">
        <f t="shared" si="68"/>
        <v>0</v>
      </c>
      <c r="S158" s="878">
        <f t="shared" si="69"/>
        <v>0</v>
      </c>
      <c r="T158" s="878">
        <f t="shared" si="69"/>
        <v>0</v>
      </c>
      <c r="U158" s="878">
        <f t="shared" si="69"/>
        <v>0</v>
      </c>
      <c r="V158" s="880"/>
      <c r="W158" s="876">
        <f t="shared" si="70"/>
        <v>0</v>
      </c>
    </row>
    <row r="159" spans="2:23" x14ac:dyDescent="0.3">
      <c r="B159" s="95">
        <f t="shared" si="71"/>
        <v>12</v>
      </c>
      <c r="C159" s="881" t="s">
        <v>261</v>
      </c>
      <c r="D159" s="878">
        <f t="shared" si="63"/>
        <v>0</v>
      </c>
      <c r="E159" s="878">
        <f t="shared" si="63"/>
        <v>0</v>
      </c>
      <c r="F159" s="878">
        <f t="shared" si="63"/>
        <v>0</v>
      </c>
      <c r="G159" s="880"/>
      <c r="H159" s="878">
        <f t="shared" si="64"/>
        <v>0</v>
      </c>
      <c r="I159" s="878">
        <f t="shared" si="65"/>
        <v>0</v>
      </c>
      <c r="J159" s="878">
        <f t="shared" si="65"/>
        <v>0</v>
      </c>
      <c r="K159" s="878">
        <f t="shared" si="65"/>
        <v>0</v>
      </c>
      <c r="L159" s="880"/>
      <c r="M159" s="878">
        <f t="shared" si="66"/>
        <v>0</v>
      </c>
      <c r="N159" s="878">
        <f t="shared" si="67"/>
        <v>0</v>
      </c>
      <c r="O159" s="878">
        <f t="shared" si="67"/>
        <v>0</v>
      </c>
      <c r="P159" s="878">
        <f t="shared" si="67"/>
        <v>0</v>
      </c>
      <c r="Q159" s="880"/>
      <c r="R159" s="878">
        <f t="shared" si="68"/>
        <v>0</v>
      </c>
      <c r="S159" s="878">
        <f t="shared" si="69"/>
        <v>0</v>
      </c>
      <c r="T159" s="878">
        <f t="shared" si="69"/>
        <v>0</v>
      </c>
      <c r="U159" s="878">
        <f t="shared" si="69"/>
        <v>0</v>
      </c>
      <c r="V159" s="880"/>
      <c r="W159" s="878">
        <f t="shared" si="70"/>
        <v>0</v>
      </c>
    </row>
    <row r="160" spans="2:23" x14ac:dyDescent="0.3">
      <c r="B160" s="95">
        <f t="shared" si="71"/>
        <v>13</v>
      </c>
      <c r="C160" s="879" t="s">
        <v>897</v>
      </c>
      <c r="D160" s="878">
        <f t="shared" si="63"/>
        <v>0</v>
      </c>
      <c r="E160" s="878">
        <f t="shared" si="63"/>
        <v>0</v>
      </c>
      <c r="F160" s="878">
        <f t="shared" si="63"/>
        <v>0</v>
      </c>
      <c r="G160" s="880"/>
      <c r="H160" s="876">
        <f t="shared" si="64"/>
        <v>0</v>
      </c>
      <c r="I160" s="878">
        <f t="shared" si="65"/>
        <v>0</v>
      </c>
      <c r="J160" s="878">
        <f t="shared" si="65"/>
        <v>0</v>
      </c>
      <c r="K160" s="878">
        <f t="shared" si="65"/>
        <v>0</v>
      </c>
      <c r="L160" s="880"/>
      <c r="M160" s="876">
        <f t="shared" si="66"/>
        <v>0</v>
      </c>
      <c r="N160" s="878">
        <f t="shared" si="67"/>
        <v>0</v>
      </c>
      <c r="O160" s="878">
        <f t="shared" si="67"/>
        <v>0</v>
      </c>
      <c r="P160" s="878">
        <f t="shared" si="67"/>
        <v>0</v>
      </c>
      <c r="Q160" s="880"/>
      <c r="R160" s="876">
        <f t="shared" si="68"/>
        <v>0</v>
      </c>
      <c r="S160" s="878">
        <f t="shared" si="69"/>
        <v>0</v>
      </c>
      <c r="T160" s="878">
        <f t="shared" si="69"/>
        <v>0</v>
      </c>
      <c r="U160" s="878">
        <f t="shared" si="69"/>
        <v>0</v>
      </c>
      <c r="V160" s="880"/>
      <c r="W160" s="876">
        <f t="shared" si="70"/>
        <v>0</v>
      </c>
    </row>
    <row r="161" spans="2:23" x14ac:dyDescent="0.3">
      <c r="B161" s="95">
        <f t="shared" si="71"/>
        <v>14</v>
      </c>
      <c r="C161" s="879" t="s">
        <v>898</v>
      </c>
      <c r="D161" s="878">
        <f t="shared" si="63"/>
        <v>0</v>
      </c>
      <c r="E161" s="878">
        <f t="shared" si="63"/>
        <v>0</v>
      </c>
      <c r="F161" s="878">
        <f t="shared" si="63"/>
        <v>0</v>
      </c>
      <c r="G161" s="880"/>
      <c r="H161" s="876">
        <f t="shared" si="64"/>
        <v>0</v>
      </c>
      <c r="I161" s="878">
        <f t="shared" si="65"/>
        <v>0</v>
      </c>
      <c r="J161" s="878">
        <f t="shared" si="65"/>
        <v>0</v>
      </c>
      <c r="K161" s="878">
        <f t="shared" si="65"/>
        <v>0</v>
      </c>
      <c r="L161" s="880"/>
      <c r="M161" s="876">
        <f t="shared" si="66"/>
        <v>0</v>
      </c>
      <c r="N161" s="878">
        <f t="shared" si="67"/>
        <v>0</v>
      </c>
      <c r="O161" s="878">
        <f t="shared" si="67"/>
        <v>0</v>
      </c>
      <c r="P161" s="878">
        <f t="shared" si="67"/>
        <v>0</v>
      </c>
      <c r="Q161" s="880"/>
      <c r="R161" s="876">
        <f t="shared" si="68"/>
        <v>0</v>
      </c>
      <c r="S161" s="878">
        <f t="shared" si="69"/>
        <v>0</v>
      </c>
      <c r="T161" s="878">
        <f t="shared" si="69"/>
        <v>0</v>
      </c>
      <c r="U161" s="878">
        <f t="shared" si="69"/>
        <v>0</v>
      </c>
      <c r="V161" s="880"/>
      <c r="W161" s="876">
        <f t="shared" si="70"/>
        <v>0</v>
      </c>
    </row>
    <row r="162" spans="2:23" x14ac:dyDescent="0.3">
      <c r="B162" s="95">
        <f t="shared" si="71"/>
        <v>15</v>
      </c>
      <c r="C162" s="879" t="s">
        <v>899</v>
      </c>
      <c r="D162" s="878">
        <f t="shared" si="63"/>
        <v>0</v>
      </c>
      <c r="E162" s="878">
        <f t="shared" si="63"/>
        <v>0</v>
      </c>
      <c r="F162" s="878">
        <f t="shared" si="63"/>
        <v>0</v>
      </c>
      <c r="G162" s="880"/>
      <c r="H162" s="876">
        <f t="shared" si="64"/>
        <v>0</v>
      </c>
      <c r="I162" s="878">
        <f t="shared" si="65"/>
        <v>0</v>
      </c>
      <c r="J162" s="878">
        <f t="shared" si="65"/>
        <v>0</v>
      </c>
      <c r="K162" s="878">
        <f t="shared" si="65"/>
        <v>0</v>
      </c>
      <c r="L162" s="880"/>
      <c r="M162" s="876">
        <f t="shared" si="66"/>
        <v>0</v>
      </c>
      <c r="N162" s="878">
        <f t="shared" si="67"/>
        <v>0</v>
      </c>
      <c r="O162" s="878">
        <f t="shared" si="67"/>
        <v>0</v>
      </c>
      <c r="P162" s="878">
        <f t="shared" si="67"/>
        <v>0</v>
      </c>
      <c r="Q162" s="880"/>
      <c r="R162" s="876">
        <f t="shared" si="68"/>
        <v>0</v>
      </c>
      <c r="S162" s="878">
        <f t="shared" si="69"/>
        <v>0</v>
      </c>
      <c r="T162" s="878">
        <f t="shared" si="69"/>
        <v>0</v>
      </c>
      <c r="U162" s="878">
        <f t="shared" si="69"/>
        <v>0</v>
      </c>
      <c r="V162" s="880"/>
      <c r="W162" s="876">
        <f t="shared" si="70"/>
        <v>0</v>
      </c>
    </row>
    <row r="163" spans="2:23" x14ac:dyDescent="0.3">
      <c r="B163" s="95">
        <f t="shared" si="71"/>
        <v>16</v>
      </c>
      <c r="C163" s="879" t="s">
        <v>850</v>
      </c>
      <c r="D163" s="878">
        <f t="shared" si="63"/>
        <v>0</v>
      </c>
      <c r="E163" s="878">
        <f t="shared" si="63"/>
        <v>0</v>
      </c>
      <c r="F163" s="878">
        <f t="shared" si="63"/>
        <v>0</v>
      </c>
      <c r="G163" s="880"/>
      <c r="H163" s="876">
        <f t="shared" si="64"/>
        <v>0</v>
      </c>
      <c r="I163" s="878">
        <f t="shared" si="65"/>
        <v>0</v>
      </c>
      <c r="J163" s="878">
        <f t="shared" si="65"/>
        <v>0</v>
      </c>
      <c r="K163" s="878">
        <f t="shared" si="65"/>
        <v>0</v>
      </c>
      <c r="L163" s="880"/>
      <c r="M163" s="876">
        <f t="shared" si="66"/>
        <v>0</v>
      </c>
      <c r="N163" s="878">
        <f t="shared" si="67"/>
        <v>0</v>
      </c>
      <c r="O163" s="878">
        <f t="shared" si="67"/>
        <v>0</v>
      </c>
      <c r="P163" s="878">
        <f t="shared" si="67"/>
        <v>0</v>
      </c>
      <c r="Q163" s="880"/>
      <c r="R163" s="876">
        <f t="shared" si="68"/>
        <v>0</v>
      </c>
      <c r="S163" s="878">
        <f t="shared" si="69"/>
        <v>0</v>
      </c>
      <c r="T163" s="878">
        <f t="shared" si="69"/>
        <v>0</v>
      </c>
      <c r="U163" s="878">
        <f t="shared" si="69"/>
        <v>0</v>
      </c>
      <c r="V163" s="880"/>
      <c r="W163" s="876">
        <f t="shared" si="70"/>
        <v>0</v>
      </c>
    </row>
    <row r="164" spans="2:23" x14ac:dyDescent="0.3">
      <c r="B164" s="95">
        <f t="shared" si="71"/>
        <v>17</v>
      </c>
      <c r="C164" s="879" t="s">
        <v>900</v>
      </c>
      <c r="D164" s="878">
        <f t="shared" si="63"/>
        <v>0</v>
      </c>
      <c r="E164" s="878">
        <f t="shared" si="63"/>
        <v>0</v>
      </c>
      <c r="F164" s="878">
        <f t="shared" si="63"/>
        <v>0</v>
      </c>
      <c r="G164" s="877"/>
      <c r="H164" s="876">
        <f t="shared" si="64"/>
        <v>0</v>
      </c>
      <c r="I164" s="878">
        <f t="shared" si="65"/>
        <v>0</v>
      </c>
      <c r="J164" s="878">
        <f t="shared" si="65"/>
        <v>0</v>
      </c>
      <c r="K164" s="878">
        <f t="shared" si="65"/>
        <v>0</v>
      </c>
      <c r="L164" s="877"/>
      <c r="M164" s="876">
        <f t="shared" si="66"/>
        <v>0</v>
      </c>
      <c r="N164" s="878">
        <f t="shared" si="67"/>
        <v>0</v>
      </c>
      <c r="O164" s="878">
        <f t="shared" si="67"/>
        <v>0</v>
      </c>
      <c r="P164" s="878">
        <f t="shared" si="67"/>
        <v>0</v>
      </c>
      <c r="Q164" s="877"/>
      <c r="R164" s="876">
        <f t="shared" si="68"/>
        <v>0</v>
      </c>
      <c r="S164" s="878">
        <f t="shared" si="69"/>
        <v>0</v>
      </c>
      <c r="T164" s="878">
        <f t="shared" si="69"/>
        <v>0</v>
      </c>
      <c r="U164" s="878">
        <f t="shared" si="69"/>
        <v>0</v>
      </c>
      <c r="V164" s="877"/>
      <c r="W164" s="876">
        <f t="shared" si="70"/>
        <v>0</v>
      </c>
    </row>
    <row r="165" spans="2:23" ht="16" x14ac:dyDescent="0.3">
      <c r="B165" s="83"/>
      <c r="C165" s="97" t="s">
        <v>271</v>
      </c>
      <c r="D165" s="875">
        <f t="shared" ref="D165:W165" si="72">SUM(D148:D164)</f>
        <v>0</v>
      </c>
      <c r="E165" s="875">
        <f t="shared" si="72"/>
        <v>0</v>
      </c>
      <c r="F165" s="875">
        <f t="shared" si="72"/>
        <v>0</v>
      </c>
      <c r="G165" s="875">
        <f t="shared" si="72"/>
        <v>0</v>
      </c>
      <c r="H165" s="875">
        <f t="shared" si="72"/>
        <v>0</v>
      </c>
      <c r="I165" s="875">
        <f t="shared" si="72"/>
        <v>0</v>
      </c>
      <c r="J165" s="875">
        <f t="shared" si="72"/>
        <v>0</v>
      </c>
      <c r="K165" s="875">
        <f t="shared" si="72"/>
        <v>0</v>
      </c>
      <c r="L165" s="875">
        <f t="shared" si="72"/>
        <v>0</v>
      </c>
      <c r="M165" s="875">
        <f t="shared" si="72"/>
        <v>0</v>
      </c>
      <c r="N165" s="875">
        <f t="shared" si="72"/>
        <v>0</v>
      </c>
      <c r="O165" s="875">
        <f t="shared" si="72"/>
        <v>0</v>
      </c>
      <c r="P165" s="875">
        <f t="shared" si="72"/>
        <v>0</v>
      </c>
      <c r="Q165" s="875">
        <f t="shared" si="72"/>
        <v>0</v>
      </c>
      <c r="R165" s="875">
        <f t="shared" si="72"/>
        <v>0</v>
      </c>
      <c r="S165" s="875">
        <f t="shared" si="72"/>
        <v>0</v>
      </c>
      <c r="T165" s="875">
        <f t="shared" si="72"/>
        <v>0</v>
      </c>
      <c r="U165" s="875">
        <f t="shared" si="72"/>
        <v>0</v>
      </c>
      <c r="V165" s="875">
        <f t="shared" si="72"/>
        <v>0</v>
      </c>
      <c r="W165" s="875">
        <f t="shared" si="72"/>
        <v>0</v>
      </c>
    </row>
    <row r="166" spans="2:23" x14ac:dyDescent="0.3">
      <c r="B166" s="268"/>
      <c r="C166" s="874"/>
      <c r="D166" s="874"/>
      <c r="E166" s="874"/>
      <c r="F166" s="874"/>
    </row>
  </sheetData>
  <mergeCells count="61">
    <mergeCell ref="S10:W10"/>
    <mergeCell ref="D11:H11"/>
    <mergeCell ref="I11:M11"/>
    <mergeCell ref="N11:R11"/>
    <mergeCell ref="S11:W11"/>
    <mergeCell ref="B33:G33"/>
    <mergeCell ref="B36:B38"/>
    <mergeCell ref="C36:C38"/>
    <mergeCell ref="D36:H36"/>
    <mergeCell ref="I36:M36"/>
    <mergeCell ref="B10:B12"/>
    <mergeCell ref="C10:C12"/>
    <mergeCell ref="D10:H10"/>
    <mergeCell ref="I10:M10"/>
    <mergeCell ref="N10:R10"/>
    <mergeCell ref="B64:B66"/>
    <mergeCell ref="C64:C66"/>
    <mergeCell ref="D64:H64"/>
    <mergeCell ref="I64:M64"/>
    <mergeCell ref="N64:R64"/>
    <mergeCell ref="B91:B93"/>
    <mergeCell ref="C91:C93"/>
    <mergeCell ref="D91:H91"/>
    <mergeCell ref="I91:M91"/>
    <mergeCell ref="N91:R91"/>
    <mergeCell ref="S36:W36"/>
    <mergeCell ref="D37:H37"/>
    <mergeCell ref="I37:M37"/>
    <mergeCell ref="N37:R37"/>
    <mergeCell ref="S37:W37"/>
    <mergeCell ref="N36:R36"/>
    <mergeCell ref="B118:B120"/>
    <mergeCell ref="C118:C120"/>
    <mergeCell ref="D118:H118"/>
    <mergeCell ref="I118:M118"/>
    <mergeCell ref="N118:R118"/>
    <mergeCell ref="S64:W64"/>
    <mergeCell ref="D65:H65"/>
    <mergeCell ref="I65:M65"/>
    <mergeCell ref="N65:R65"/>
    <mergeCell ref="S65:W65"/>
    <mergeCell ref="B144:B146"/>
    <mergeCell ref="C144:C146"/>
    <mergeCell ref="D144:H144"/>
    <mergeCell ref="I144:M144"/>
    <mergeCell ref="N144:R144"/>
    <mergeCell ref="S91:W91"/>
    <mergeCell ref="D92:H92"/>
    <mergeCell ref="I92:M92"/>
    <mergeCell ref="N92:R92"/>
    <mergeCell ref="S92:W92"/>
    <mergeCell ref="S144:W144"/>
    <mergeCell ref="D145:H145"/>
    <mergeCell ref="I145:M145"/>
    <mergeCell ref="N145:R145"/>
    <mergeCell ref="S145:W145"/>
    <mergeCell ref="S118:W118"/>
    <mergeCell ref="D119:H119"/>
    <mergeCell ref="I119:M119"/>
    <mergeCell ref="N119:R119"/>
    <mergeCell ref="S119:W119"/>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24" man="1"/>
    <brk id="114" max="24" man="1"/>
  </rowBreaks>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88"/>
  <sheetViews>
    <sheetView showGridLines="0" view="pageBreakPreview" zoomScale="70" zoomScaleNormal="68" zoomScaleSheetLayoutView="70" workbookViewId="0">
      <selection activeCell="F8" sqref="F8"/>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862"/>
    </row>
    <row r="2" spans="1:29" x14ac:dyDescent="0.3">
      <c r="B2" s="862"/>
    </row>
    <row r="3" spans="1:29" x14ac:dyDescent="0.3">
      <c r="B3" s="862"/>
    </row>
    <row r="4" spans="1:29" x14ac:dyDescent="0.3">
      <c r="B4" s="8"/>
      <c r="N4" s="901"/>
      <c r="O4" s="901"/>
      <c r="P4" s="860" t="e">
        <f>#REF!</f>
        <v>#REF!</v>
      </c>
      <c r="Q4" s="903"/>
      <c r="R4" s="901"/>
      <c r="S4" s="901"/>
      <c r="T4" s="901"/>
      <c r="U4" s="901"/>
      <c r="V4" s="901"/>
      <c r="W4" s="901"/>
      <c r="X4" s="901"/>
      <c r="Y4" s="901"/>
      <c r="Z4" s="901"/>
      <c r="AA4" s="901"/>
      <c r="AB4" s="901"/>
      <c r="AC4" s="901"/>
    </row>
    <row r="5" spans="1:29" x14ac:dyDescent="0.3">
      <c r="B5" s="8"/>
      <c r="N5" s="902"/>
      <c r="O5" s="902"/>
      <c r="P5" s="860" t="str">
        <f>Index!B3</f>
        <v>MYT Petition Formats for Chandrapur Unit 3-7</v>
      </c>
      <c r="Q5" s="903"/>
      <c r="R5" s="902"/>
      <c r="S5" s="902"/>
      <c r="T5" s="902"/>
      <c r="U5" s="902"/>
      <c r="V5" s="902"/>
      <c r="W5" s="902"/>
      <c r="X5" s="902"/>
      <c r="Y5" s="902"/>
      <c r="Z5" s="902"/>
      <c r="AA5" s="902"/>
      <c r="AB5" s="902"/>
      <c r="AC5" s="901"/>
    </row>
    <row r="6" spans="1:29" x14ac:dyDescent="0.3">
      <c r="B6" s="901"/>
      <c r="N6" s="901"/>
      <c r="O6" s="8"/>
      <c r="P6" s="130" t="s">
        <v>1099</v>
      </c>
      <c r="Q6" s="130"/>
      <c r="R6" s="8"/>
      <c r="S6" s="8"/>
      <c r="T6" s="901"/>
      <c r="U6" s="901"/>
      <c r="V6" s="901"/>
      <c r="W6" s="901"/>
      <c r="X6" s="901"/>
      <c r="Y6" s="901"/>
      <c r="Z6" s="901"/>
      <c r="AA6" s="901"/>
      <c r="AB6" s="901"/>
      <c r="AC6" s="901"/>
    </row>
    <row r="7" spans="1:29" x14ac:dyDescent="0.3">
      <c r="C7" s="8"/>
      <c r="D7" s="8"/>
      <c r="E7" s="8"/>
      <c r="F7" s="8"/>
      <c r="G7" s="8"/>
      <c r="H7" s="8"/>
      <c r="I7" s="8"/>
      <c r="J7" s="8"/>
      <c r="K7" s="8"/>
      <c r="L7" s="8"/>
      <c r="M7" s="8"/>
      <c r="O7" s="44"/>
      <c r="R7" s="44"/>
      <c r="S7" s="44"/>
    </row>
    <row r="8" spans="1:29" x14ac:dyDescent="0.3">
      <c r="A8" s="1" t="s">
        <v>265</v>
      </c>
      <c r="B8" s="862" t="s">
        <v>266</v>
      </c>
      <c r="C8" s="862"/>
      <c r="D8" s="862"/>
      <c r="E8" s="862"/>
      <c r="F8" s="862"/>
      <c r="G8" s="862"/>
      <c r="H8" s="862"/>
      <c r="I8" s="862"/>
      <c r="J8" s="862"/>
      <c r="K8" s="862"/>
      <c r="L8" s="862"/>
      <c r="M8" s="862"/>
      <c r="O8" s="44"/>
      <c r="R8" s="44"/>
      <c r="S8" s="44"/>
      <c r="W8" s="883"/>
    </row>
    <row r="9" spans="1:29" x14ac:dyDescent="0.3">
      <c r="B9" s="258"/>
      <c r="C9" s="8"/>
      <c r="D9" s="8"/>
      <c r="E9" s="8"/>
      <c r="F9" s="8"/>
      <c r="G9" s="8"/>
      <c r="H9" s="8"/>
      <c r="I9" s="8"/>
      <c r="J9" s="8"/>
      <c r="K9" s="8"/>
      <c r="L9" s="8"/>
      <c r="M9" s="8"/>
      <c r="O9" s="44"/>
      <c r="R9" s="44"/>
      <c r="S9" s="44"/>
      <c r="W9" s="883"/>
      <c r="AB9" s="259" t="s">
        <v>10</v>
      </c>
    </row>
    <row r="10" spans="1:29" x14ac:dyDescent="0.3">
      <c r="B10" s="862"/>
      <c r="C10" s="8"/>
      <c r="D10" s="8"/>
      <c r="E10" s="8"/>
      <c r="F10" s="8"/>
      <c r="G10" s="8"/>
      <c r="H10" s="8"/>
      <c r="I10" s="8"/>
      <c r="J10" s="8"/>
      <c r="K10" s="8"/>
      <c r="L10" s="8"/>
      <c r="M10" s="8"/>
      <c r="O10" s="44"/>
      <c r="R10" s="44"/>
      <c r="S10" s="44"/>
    </row>
    <row r="11" spans="1:29" ht="15.75" customHeight="1" x14ac:dyDescent="0.3">
      <c r="B11" s="862"/>
      <c r="C11" s="8"/>
      <c r="D11" s="8"/>
      <c r="E11" s="8"/>
      <c r="F11" s="8"/>
      <c r="G11" s="8"/>
      <c r="H11" s="8"/>
      <c r="I11" s="8"/>
      <c r="J11" s="8"/>
      <c r="K11" s="8"/>
      <c r="L11" s="8"/>
      <c r="M11" s="8"/>
      <c r="O11" s="44"/>
      <c r="R11" s="44"/>
      <c r="S11" s="44"/>
      <c r="AB11" s="259" t="s">
        <v>10</v>
      </c>
    </row>
    <row r="12" spans="1:29" ht="15.75" customHeight="1" x14ac:dyDescent="0.3">
      <c r="B12" s="1699" t="s">
        <v>340</v>
      </c>
      <c r="C12" s="1699" t="s">
        <v>37</v>
      </c>
      <c r="D12" s="1699" t="s">
        <v>969</v>
      </c>
      <c r="E12" s="1699"/>
      <c r="F12" s="1699"/>
      <c r="G12" s="1699"/>
      <c r="H12" s="1699"/>
      <c r="I12" s="1838" t="s">
        <v>970</v>
      </c>
      <c r="J12" s="1838"/>
      <c r="K12" s="1838"/>
      <c r="L12" s="1838"/>
      <c r="M12" s="1838"/>
      <c r="N12" s="1838" t="s">
        <v>971</v>
      </c>
      <c r="O12" s="1838"/>
      <c r="P12" s="1838"/>
      <c r="Q12" s="1838"/>
      <c r="R12" s="1838"/>
      <c r="S12" s="1838" t="s">
        <v>972</v>
      </c>
      <c r="T12" s="1838"/>
      <c r="U12" s="1838"/>
      <c r="V12" s="1838"/>
      <c r="W12" s="1838"/>
      <c r="X12" s="1838" t="s">
        <v>973</v>
      </c>
      <c r="Y12" s="1838"/>
      <c r="Z12" s="1838"/>
      <c r="AA12" s="1838"/>
      <c r="AB12" s="1838"/>
    </row>
    <row r="13" spans="1:29" x14ac:dyDescent="0.3">
      <c r="B13" s="1699"/>
      <c r="C13" s="1699"/>
      <c r="D13" s="1839" t="s">
        <v>21</v>
      </c>
      <c r="E13" s="1840"/>
      <c r="F13" s="1840"/>
      <c r="G13" s="1840"/>
      <c r="H13" s="1840"/>
      <c r="I13" s="1841" t="s">
        <v>21</v>
      </c>
      <c r="J13" s="1842"/>
      <c r="K13" s="1842"/>
      <c r="L13" s="1842"/>
      <c r="M13" s="1842"/>
      <c r="N13" s="1841" t="s">
        <v>21</v>
      </c>
      <c r="O13" s="1842"/>
      <c r="P13" s="1842"/>
      <c r="Q13" s="1842"/>
      <c r="R13" s="1842"/>
      <c r="S13" s="1841" t="s">
        <v>21</v>
      </c>
      <c r="T13" s="1842"/>
      <c r="U13" s="1842"/>
      <c r="V13" s="1842"/>
      <c r="W13" s="1842"/>
      <c r="X13" s="1841" t="s">
        <v>21</v>
      </c>
      <c r="Y13" s="1842"/>
      <c r="Z13" s="1842"/>
      <c r="AA13" s="1842"/>
      <c r="AB13" s="1842"/>
    </row>
    <row r="14" spans="1:29" s="129" customFormat="1" ht="42" x14ac:dyDescent="0.25">
      <c r="B14" s="1699"/>
      <c r="C14" s="1699"/>
      <c r="D14" s="861" t="s">
        <v>267</v>
      </c>
      <c r="E14" s="861" t="s">
        <v>268</v>
      </c>
      <c r="F14" s="861" t="s">
        <v>269</v>
      </c>
      <c r="G14" s="861" t="s">
        <v>587</v>
      </c>
      <c r="H14" s="861" t="s">
        <v>270</v>
      </c>
      <c r="I14" s="863" t="s">
        <v>267</v>
      </c>
      <c r="J14" s="863" t="s">
        <v>268</v>
      </c>
      <c r="K14" s="863" t="s">
        <v>269</v>
      </c>
      <c r="L14" s="861" t="s">
        <v>587</v>
      </c>
      <c r="M14" s="863" t="s">
        <v>270</v>
      </c>
      <c r="N14" s="863" t="s">
        <v>267</v>
      </c>
      <c r="O14" s="863" t="s">
        <v>268</v>
      </c>
      <c r="P14" s="863" t="s">
        <v>269</v>
      </c>
      <c r="Q14" s="861" t="s">
        <v>587</v>
      </c>
      <c r="R14" s="863" t="s">
        <v>270</v>
      </c>
      <c r="S14" s="863" t="s">
        <v>267</v>
      </c>
      <c r="T14" s="863" t="s">
        <v>268</v>
      </c>
      <c r="U14" s="863" t="s">
        <v>269</v>
      </c>
      <c r="V14" s="861" t="s">
        <v>587</v>
      </c>
      <c r="W14" s="863" t="s">
        <v>270</v>
      </c>
      <c r="X14" s="863" t="s">
        <v>267</v>
      </c>
      <c r="Y14" s="863" t="s">
        <v>268</v>
      </c>
      <c r="Z14" s="863" t="s">
        <v>269</v>
      </c>
      <c r="AA14" s="861" t="s">
        <v>587</v>
      </c>
      <c r="AB14" s="863" t="s">
        <v>270</v>
      </c>
    </row>
    <row r="15" spans="1:29" s="44" customFormat="1" x14ac:dyDescent="0.3">
      <c r="B15" s="260"/>
      <c r="C15" s="260"/>
      <c r="D15" s="260" t="s">
        <v>81</v>
      </c>
      <c r="E15" s="260" t="s">
        <v>82</v>
      </c>
      <c r="F15" s="260" t="s">
        <v>459</v>
      </c>
      <c r="G15" s="260" t="s">
        <v>391</v>
      </c>
      <c r="H15" s="260" t="s">
        <v>588</v>
      </c>
      <c r="I15" s="260" t="s">
        <v>409</v>
      </c>
      <c r="J15" s="260" t="s">
        <v>509</v>
      </c>
      <c r="K15" s="260" t="s">
        <v>410</v>
      </c>
      <c r="L15" s="260" t="s">
        <v>411</v>
      </c>
      <c r="M15" s="260" t="s">
        <v>651</v>
      </c>
      <c r="N15" s="260" t="s">
        <v>589</v>
      </c>
      <c r="O15" s="260" t="s">
        <v>652</v>
      </c>
      <c r="P15" s="260" t="s">
        <v>590</v>
      </c>
      <c r="Q15" s="260" t="s">
        <v>591</v>
      </c>
      <c r="R15" s="260" t="s">
        <v>1095</v>
      </c>
      <c r="S15" s="260" t="s">
        <v>592</v>
      </c>
      <c r="T15" s="260" t="s">
        <v>593</v>
      </c>
      <c r="U15" s="260" t="s">
        <v>1094</v>
      </c>
      <c r="V15" s="260" t="s">
        <v>1093</v>
      </c>
      <c r="W15" s="260" t="s">
        <v>1092</v>
      </c>
      <c r="X15" s="260" t="s">
        <v>594</v>
      </c>
      <c r="Y15" s="260" t="s">
        <v>595</v>
      </c>
      <c r="Z15" s="260" t="s">
        <v>596</v>
      </c>
      <c r="AA15" s="260" t="s">
        <v>653</v>
      </c>
      <c r="AB15" s="260" t="s">
        <v>654</v>
      </c>
    </row>
    <row r="16" spans="1:29" s="44" customFormat="1" x14ac:dyDescent="0.3">
      <c r="B16" s="467">
        <v>1</v>
      </c>
      <c r="C16" s="879" t="s">
        <v>842</v>
      </c>
      <c r="D16" s="1286">
        <v>0</v>
      </c>
      <c r="E16" s="1286">
        <v>0</v>
      </c>
      <c r="F16" s="1286">
        <v>0</v>
      </c>
      <c r="G16" s="351"/>
      <c r="H16" s="470">
        <f>D16+E16-F16-G16</f>
        <v>0</v>
      </c>
      <c r="I16" s="444">
        <f>H16</f>
        <v>0</v>
      </c>
      <c r="J16" s="1286">
        <v>0</v>
      </c>
      <c r="K16" s="1286">
        <v>0</v>
      </c>
      <c r="L16" s="351"/>
      <c r="M16" s="444">
        <f>I16+J16-K16-L16</f>
        <v>0</v>
      </c>
      <c r="N16" s="347">
        <f>M16</f>
        <v>0</v>
      </c>
      <c r="O16" s="1286">
        <v>0</v>
      </c>
      <c r="P16" s="1286">
        <v>0</v>
      </c>
      <c r="Q16" s="351"/>
      <c r="R16" s="347">
        <f>N16+O16-P16-Q16</f>
        <v>0</v>
      </c>
      <c r="S16" s="347">
        <f>R16</f>
        <v>0</v>
      </c>
      <c r="T16" s="1286">
        <v>0</v>
      </c>
      <c r="U16" s="1286">
        <v>0</v>
      </c>
      <c r="V16" s="351"/>
      <c r="W16" s="347">
        <f>S16+T16-U16-V16</f>
        <v>0</v>
      </c>
      <c r="X16" s="347">
        <f>W16</f>
        <v>0</v>
      </c>
      <c r="Y16" s="1465">
        <v>0</v>
      </c>
      <c r="Z16" s="1465">
        <v>0</v>
      </c>
      <c r="AA16" s="351"/>
      <c r="AB16" s="347">
        <f>X16+Y16-Z16-AA16</f>
        <v>0</v>
      </c>
    </row>
    <row r="17" spans="2:28" s="44" customFormat="1" x14ac:dyDescent="0.3">
      <c r="B17" s="467">
        <f>B16+1</f>
        <v>2</v>
      </c>
      <c r="C17" s="879" t="s">
        <v>843</v>
      </c>
      <c r="D17" s="1286">
        <v>0</v>
      </c>
      <c r="E17" s="1286">
        <v>0.59499999999999997</v>
      </c>
      <c r="F17" s="1286">
        <v>0</v>
      </c>
      <c r="G17" s="351"/>
      <c r="H17" s="470">
        <f t="shared" ref="H17:H32" si="0">D17+E17-F17-G17</f>
        <v>0.59499999999999997</v>
      </c>
      <c r="I17" s="444">
        <f t="shared" ref="I17:I32" si="1">H17</f>
        <v>0.59499999999999997</v>
      </c>
      <c r="J17" s="1286">
        <v>15.261666666666665</v>
      </c>
      <c r="K17" s="1286">
        <v>0</v>
      </c>
      <c r="L17" s="351"/>
      <c r="M17" s="444">
        <f t="shared" ref="M17:M32" si="2">I17+J17-K17-L17</f>
        <v>15.856666666666666</v>
      </c>
      <c r="N17" s="347">
        <f t="shared" ref="N17:N32" si="3">M17</f>
        <v>15.856666666666666</v>
      </c>
      <c r="O17" s="1286">
        <v>15.4</v>
      </c>
      <c r="P17" s="1286">
        <v>0</v>
      </c>
      <c r="Q17" s="351"/>
      <c r="R17" s="347">
        <f t="shared" ref="R17:R32" si="4">N17+O17-P17-Q17</f>
        <v>31.256666666666668</v>
      </c>
      <c r="S17" s="347">
        <f t="shared" ref="S17:S32" si="5">R17</f>
        <v>31.256666666666668</v>
      </c>
      <c r="T17" s="1286">
        <v>57</v>
      </c>
      <c r="U17" s="1286">
        <v>0</v>
      </c>
      <c r="V17" s="351"/>
      <c r="W17" s="347">
        <f t="shared" ref="W17:W32" si="6">S17+T17-U17-V17</f>
        <v>88.256666666666661</v>
      </c>
      <c r="X17" s="347">
        <f t="shared" ref="X17:X32" si="7">W17</f>
        <v>88.256666666666661</v>
      </c>
      <c r="Y17" s="1465">
        <v>0</v>
      </c>
      <c r="Z17" s="1465">
        <v>0</v>
      </c>
      <c r="AA17" s="351"/>
      <c r="AB17" s="347">
        <f t="shared" ref="AB17:AB32" si="8">X17+Y17-Z17-AA17</f>
        <v>88.256666666666661</v>
      </c>
    </row>
    <row r="18" spans="2:28" x14ac:dyDescent="0.3">
      <c r="B18" s="467">
        <f t="shared" ref="B18:B32" si="9">B17+1</f>
        <v>3</v>
      </c>
      <c r="C18" s="879" t="s">
        <v>844</v>
      </c>
      <c r="D18" s="1287">
        <v>0</v>
      </c>
      <c r="E18" s="1287">
        <v>5</v>
      </c>
      <c r="F18" s="1287">
        <v>0</v>
      </c>
      <c r="G18" s="352"/>
      <c r="H18" s="470">
        <f t="shared" si="0"/>
        <v>5</v>
      </c>
      <c r="I18" s="444">
        <f t="shared" si="1"/>
        <v>5</v>
      </c>
      <c r="J18" s="1287">
        <v>19.25</v>
      </c>
      <c r="K18" s="1287">
        <v>0</v>
      </c>
      <c r="L18" s="352"/>
      <c r="M18" s="444">
        <f t="shared" si="2"/>
        <v>24.25</v>
      </c>
      <c r="N18" s="347">
        <f t="shared" si="3"/>
        <v>24.25</v>
      </c>
      <c r="O18" s="1287">
        <v>7.7</v>
      </c>
      <c r="P18" s="1287">
        <v>0</v>
      </c>
      <c r="Q18" s="352"/>
      <c r="R18" s="347">
        <f t="shared" si="4"/>
        <v>31.95</v>
      </c>
      <c r="S18" s="347">
        <f t="shared" si="5"/>
        <v>31.95</v>
      </c>
      <c r="T18" s="1287">
        <v>57.019959999999998</v>
      </c>
      <c r="U18" s="1287">
        <v>0</v>
      </c>
      <c r="V18" s="352"/>
      <c r="W18" s="347">
        <f t="shared" si="6"/>
        <v>88.96996</v>
      </c>
      <c r="X18" s="347">
        <f t="shared" si="7"/>
        <v>88.96996</v>
      </c>
      <c r="Y18" s="328">
        <v>0</v>
      </c>
      <c r="Z18" s="328">
        <v>0</v>
      </c>
      <c r="AA18" s="352"/>
      <c r="AB18" s="347">
        <f t="shared" si="8"/>
        <v>88.96996</v>
      </c>
    </row>
    <row r="19" spans="2:28" x14ac:dyDescent="0.3">
      <c r="B19" s="467">
        <f t="shared" si="9"/>
        <v>4</v>
      </c>
      <c r="C19" s="879" t="s">
        <v>845</v>
      </c>
      <c r="D19" s="1286">
        <v>0</v>
      </c>
      <c r="E19" s="1286">
        <v>0</v>
      </c>
      <c r="F19" s="1286">
        <v>0</v>
      </c>
      <c r="G19" s="351"/>
      <c r="H19" s="470">
        <f t="shared" si="0"/>
        <v>0</v>
      </c>
      <c r="I19" s="444">
        <f t="shared" si="1"/>
        <v>0</v>
      </c>
      <c r="J19" s="1286">
        <v>0</v>
      </c>
      <c r="K19" s="1286">
        <v>0</v>
      </c>
      <c r="L19" s="351"/>
      <c r="M19" s="444">
        <f t="shared" si="2"/>
        <v>0</v>
      </c>
      <c r="N19" s="347">
        <f t="shared" si="3"/>
        <v>0</v>
      </c>
      <c r="O19" s="1286">
        <v>0</v>
      </c>
      <c r="P19" s="1286">
        <v>0</v>
      </c>
      <c r="Q19" s="351"/>
      <c r="R19" s="347">
        <f t="shared" si="4"/>
        <v>0</v>
      </c>
      <c r="S19" s="347">
        <f t="shared" si="5"/>
        <v>0</v>
      </c>
      <c r="T19" s="1286">
        <v>0</v>
      </c>
      <c r="U19" s="1286">
        <v>0</v>
      </c>
      <c r="V19" s="351"/>
      <c r="W19" s="347">
        <f t="shared" si="6"/>
        <v>0</v>
      </c>
      <c r="X19" s="347">
        <f t="shared" si="7"/>
        <v>0</v>
      </c>
      <c r="Y19" s="1465">
        <v>0</v>
      </c>
      <c r="Z19" s="1465">
        <v>0</v>
      </c>
      <c r="AA19" s="351"/>
      <c r="AB19" s="347">
        <f t="shared" si="8"/>
        <v>0</v>
      </c>
    </row>
    <row r="20" spans="2:28" x14ac:dyDescent="0.3">
      <c r="B20" s="467">
        <f t="shared" si="9"/>
        <v>5</v>
      </c>
      <c r="C20" s="879" t="s">
        <v>846</v>
      </c>
      <c r="D20" s="1286">
        <v>0</v>
      </c>
      <c r="E20" s="1286">
        <v>72.796666666666653</v>
      </c>
      <c r="F20" s="1286">
        <v>0</v>
      </c>
      <c r="G20" s="351"/>
      <c r="H20" s="470">
        <f t="shared" si="0"/>
        <v>72.796666666666653</v>
      </c>
      <c r="I20" s="444">
        <f t="shared" si="1"/>
        <v>72.796666666666653</v>
      </c>
      <c r="J20" s="1286">
        <v>22.666666666666664</v>
      </c>
      <c r="K20" s="1286">
        <v>0</v>
      </c>
      <c r="L20" s="351"/>
      <c r="M20" s="444">
        <f t="shared" si="2"/>
        <v>95.46333333333331</v>
      </c>
      <c r="N20" s="347">
        <f t="shared" si="3"/>
        <v>95.46333333333331</v>
      </c>
      <c r="O20" s="1286">
        <v>33</v>
      </c>
      <c r="P20" s="1286">
        <v>0</v>
      </c>
      <c r="Q20" s="351"/>
      <c r="R20" s="347">
        <f t="shared" si="4"/>
        <v>128.46333333333331</v>
      </c>
      <c r="S20" s="347">
        <f t="shared" si="5"/>
        <v>128.46333333333331</v>
      </c>
      <c r="T20" s="1286">
        <v>110</v>
      </c>
      <c r="U20" s="1286">
        <v>0</v>
      </c>
      <c r="V20" s="351"/>
      <c r="W20" s="347">
        <f t="shared" si="6"/>
        <v>238.46333333333331</v>
      </c>
      <c r="X20" s="347">
        <f t="shared" si="7"/>
        <v>238.46333333333331</v>
      </c>
      <c r="Y20" s="1465">
        <v>0</v>
      </c>
      <c r="Z20" s="1465">
        <v>0</v>
      </c>
      <c r="AA20" s="351"/>
      <c r="AB20" s="347">
        <f t="shared" si="8"/>
        <v>238.46333333333331</v>
      </c>
    </row>
    <row r="21" spans="2:28" x14ac:dyDescent="0.3">
      <c r="B21" s="467">
        <f t="shared" si="9"/>
        <v>6</v>
      </c>
      <c r="C21" s="879" t="s">
        <v>256</v>
      </c>
      <c r="D21" s="1286">
        <v>0</v>
      </c>
      <c r="E21" s="1286">
        <v>394.99833333333322</v>
      </c>
      <c r="F21" s="1286">
        <v>0</v>
      </c>
      <c r="G21" s="351"/>
      <c r="H21" s="470">
        <f t="shared" si="0"/>
        <v>394.99833333333322</v>
      </c>
      <c r="I21" s="444">
        <f t="shared" si="1"/>
        <v>394.99833333333322</v>
      </c>
      <c r="J21" s="1286">
        <v>502.63299999999992</v>
      </c>
      <c r="K21" s="1286">
        <v>0</v>
      </c>
      <c r="L21" s="351"/>
      <c r="M21" s="444">
        <f t="shared" si="2"/>
        <v>897.63133333333315</v>
      </c>
      <c r="N21" s="347">
        <f t="shared" si="3"/>
        <v>897.63133333333315</v>
      </c>
      <c r="O21" s="1286">
        <v>99.492800000000003</v>
      </c>
      <c r="P21" s="1286">
        <v>0</v>
      </c>
      <c r="Q21" s="351"/>
      <c r="R21" s="347">
        <f t="shared" si="4"/>
        <v>997.12413333333313</v>
      </c>
      <c r="S21" s="347">
        <f t="shared" si="5"/>
        <v>997.12413333333313</v>
      </c>
      <c r="T21" s="1286">
        <v>362.08666666666664</v>
      </c>
      <c r="U21" s="1286">
        <v>0</v>
      </c>
      <c r="V21" s="351"/>
      <c r="W21" s="347">
        <f t="shared" si="6"/>
        <v>1359.2107999999998</v>
      </c>
      <c r="X21" s="347">
        <f t="shared" si="7"/>
        <v>1359.2107999999998</v>
      </c>
      <c r="Y21" s="1465">
        <v>211.02</v>
      </c>
      <c r="Z21" s="1465">
        <v>0</v>
      </c>
      <c r="AA21" s="351"/>
      <c r="AB21" s="347">
        <f t="shared" si="8"/>
        <v>1570.2307999999998</v>
      </c>
    </row>
    <row r="22" spans="2:28" x14ac:dyDescent="0.3">
      <c r="B22" s="467">
        <f t="shared" si="9"/>
        <v>7</v>
      </c>
      <c r="C22" s="879" t="s">
        <v>847</v>
      </c>
      <c r="D22" s="1286">
        <v>0</v>
      </c>
      <c r="E22" s="1286">
        <v>4.6666666666666661</v>
      </c>
      <c r="F22" s="1286">
        <v>0</v>
      </c>
      <c r="G22" s="1464"/>
      <c r="H22" s="470">
        <f t="shared" si="0"/>
        <v>4.6666666666666661</v>
      </c>
      <c r="I22" s="444">
        <f t="shared" si="1"/>
        <v>4.6666666666666661</v>
      </c>
      <c r="J22" s="1286">
        <v>0</v>
      </c>
      <c r="K22" s="1286">
        <v>0</v>
      </c>
      <c r="L22" s="1464"/>
      <c r="M22" s="444">
        <f t="shared" si="2"/>
        <v>4.6666666666666661</v>
      </c>
      <c r="N22" s="347">
        <f t="shared" si="3"/>
        <v>4.6666666666666661</v>
      </c>
      <c r="O22" s="1286">
        <v>0</v>
      </c>
      <c r="P22" s="1286">
        <v>0</v>
      </c>
      <c r="Q22" s="1464"/>
      <c r="R22" s="347">
        <f t="shared" si="4"/>
        <v>4.6666666666666661</v>
      </c>
      <c r="S22" s="347">
        <f t="shared" si="5"/>
        <v>4.6666666666666661</v>
      </c>
      <c r="T22" s="1286">
        <v>0</v>
      </c>
      <c r="U22" s="1286">
        <v>0</v>
      </c>
      <c r="V22" s="1464"/>
      <c r="W22" s="347">
        <f t="shared" si="6"/>
        <v>4.6666666666666661</v>
      </c>
      <c r="X22" s="347">
        <f t="shared" si="7"/>
        <v>4.6666666666666661</v>
      </c>
      <c r="Y22" s="1465">
        <v>0</v>
      </c>
      <c r="Z22" s="1465">
        <v>0</v>
      </c>
      <c r="AA22" s="1464"/>
      <c r="AB22" s="347">
        <f t="shared" si="8"/>
        <v>4.6666666666666661</v>
      </c>
    </row>
    <row r="23" spans="2:28" x14ac:dyDescent="0.3">
      <c r="B23" s="467">
        <f t="shared" si="9"/>
        <v>8</v>
      </c>
      <c r="C23" s="879" t="s">
        <v>848</v>
      </c>
      <c r="D23" s="1286">
        <v>0</v>
      </c>
      <c r="E23" s="1286">
        <v>0</v>
      </c>
      <c r="F23" s="1286">
        <v>0</v>
      </c>
      <c r="G23" s="1464"/>
      <c r="H23" s="470">
        <f t="shared" si="0"/>
        <v>0</v>
      </c>
      <c r="I23" s="444">
        <f t="shared" si="1"/>
        <v>0</v>
      </c>
      <c r="J23" s="1286">
        <v>0</v>
      </c>
      <c r="K23" s="1286">
        <v>0</v>
      </c>
      <c r="L23" s="1464"/>
      <c r="M23" s="444">
        <f t="shared" si="2"/>
        <v>0</v>
      </c>
      <c r="N23" s="347">
        <f t="shared" si="3"/>
        <v>0</v>
      </c>
      <c r="O23" s="1286">
        <v>0</v>
      </c>
      <c r="P23" s="1286">
        <v>0</v>
      </c>
      <c r="Q23" s="1464"/>
      <c r="R23" s="347">
        <f t="shared" si="4"/>
        <v>0</v>
      </c>
      <c r="S23" s="347">
        <f t="shared" si="5"/>
        <v>0</v>
      </c>
      <c r="T23" s="1286">
        <v>0</v>
      </c>
      <c r="U23" s="1286">
        <v>0</v>
      </c>
      <c r="V23" s="1464"/>
      <c r="W23" s="347">
        <f t="shared" si="6"/>
        <v>0</v>
      </c>
      <c r="X23" s="347">
        <f t="shared" si="7"/>
        <v>0</v>
      </c>
      <c r="Y23" s="1465">
        <v>0</v>
      </c>
      <c r="Z23" s="1465">
        <v>0</v>
      </c>
      <c r="AA23" s="1464"/>
      <c r="AB23" s="347">
        <f t="shared" si="8"/>
        <v>0</v>
      </c>
    </row>
    <row r="24" spans="2:28" x14ac:dyDescent="0.3">
      <c r="B24" s="467">
        <f t="shared" si="9"/>
        <v>9</v>
      </c>
      <c r="C24" s="879" t="s">
        <v>849</v>
      </c>
      <c r="D24" s="1286">
        <v>0</v>
      </c>
      <c r="E24" s="1286">
        <v>0</v>
      </c>
      <c r="F24" s="1286">
        <v>0</v>
      </c>
      <c r="G24" s="1464"/>
      <c r="H24" s="470">
        <f t="shared" si="0"/>
        <v>0</v>
      </c>
      <c r="I24" s="444">
        <f t="shared" si="1"/>
        <v>0</v>
      </c>
      <c r="J24" s="1286">
        <v>0</v>
      </c>
      <c r="K24" s="1286">
        <v>0</v>
      </c>
      <c r="L24" s="1464"/>
      <c r="M24" s="444">
        <f t="shared" si="2"/>
        <v>0</v>
      </c>
      <c r="N24" s="347">
        <f t="shared" si="3"/>
        <v>0</v>
      </c>
      <c r="O24" s="1286">
        <v>0</v>
      </c>
      <c r="P24" s="1286">
        <v>0</v>
      </c>
      <c r="Q24" s="1464"/>
      <c r="R24" s="347">
        <f t="shared" si="4"/>
        <v>0</v>
      </c>
      <c r="S24" s="347">
        <f t="shared" si="5"/>
        <v>0</v>
      </c>
      <c r="T24" s="1286">
        <v>0</v>
      </c>
      <c r="U24" s="1286">
        <v>0</v>
      </c>
      <c r="V24" s="1464"/>
      <c r="W24" s="347">
        <f t="shared" si="6"/>
        <v>0</v>
      </c>
      <c r="X24" s="347">
        <f t="shared" si="7"/>
        <v>0</v>
      </c>
      <c r="Y24" s="1465">
        <v>0</v>
      </c>
      <c r="Z24" s="1465">
        <v>0</v>
      </c>
      <c r="AA24" s="1464"/>
      <c r="AB24" s="347">
        <f t="shared" si="8"/>
        <v>0</v>
      </c>
    </row>
    <row r="25" spans="2:28" x14ac:dyDescent="0.3">
      <c r="B25" s="467">
        <f t="shared" si="9"/>
        <v>10</v>
      </c>
      <c r="C25" s="879" t="s">
        <v>259</v>
      </c>
      <c r="D25" s="1286">
        <v>0</v>
      </c>
      <c r="E25" s="1286">
        <v>12.666666666666666</v>
      </c>
      <c r="F25" s="1286">
        <v>0</v>
      </c>
      <c r="G25" s="1464"/>
      <c r="H25" s="470">
        <f t="shared" si="0"/>
        <v>12.666666666666666</v>
      </c>
      <c r="I25" s="444">
        <f t="shared" si="1"/>
        <v>12.666666666666666</v>
      </c>
      <c r="J25" s="1286">
        <v>0</v>
      </c>
      <c r="K25" s="1286">
        <v>0</v>
      </c>
      <c r="L25" s="1464"/>
      <c r="M25" s="444">
        <f t="shared" si="2"/>
        <v>12.666666666666666</v>
      </c>
      <c r="N25" s="347">
        <f t="shared" si="3"/>
        <v>12.666666666666666</v>
      </c>
      <c r="O25" s="1286">
        <v>0</v>
      </c>
      <c r="P25" s="1286">
        <v>0</v>
      </c>
      <c r="Q25" s="1464"/>
      <c r="R25" s="347">
        <f t="shared" si="4"/>
        <v>12.666666666666666</v>
      </c>
      <c r="S25" s="347">
        <f t="shared" si="5"/>
        <v>12.666666666666666</v>
      </c>
      <c r="T25" s="1286">
        <v>0</v>
      </c>
      <c r="U25" s="1286">
        <v>0</v>
      </c>
      <c r="V25" s="1464"/>
      <c r="W25" s="347">
        <f t="shared" si="6"/>
        <v>12.666666666666666</v>
      </c>
      <c r="X25" s="347">
        <f t="shared" si="7"/>
        <v>12.666666666666666</v>
      </c>
      <c r="Y25" s="1465">
        <v>0</v>
      </c>
      <c r="Z25" s="1465">
        <v>0</v>
      </c>
      <c r="AA25" s="1464"/>
      <c r="AB25" s="347">
        <f t="shared" si="8"/>
        <v>12.666666666666666</v>
      </c>
    </row>
    <row r="26" spans="2:28" x14ac:dyDescent="0.3">
      <c r="B26" s="467">
        <f t="shared" si="9"/>
        <v>11</v>
      </c>
      <c r="C26" s="879" t="s">
        <v>260</v>
      </c>
      <c r="D26" s="1286">
        <v>0</v>
      </c>
      <c r="E26" s="1286">
        <v>0</v>
      </c>
      <c r="F26" s="1286">
        <v>0</v>
      </c>
      <c r="G26" s="1464"/>
      <c r="H26" s="470">
        <f t="shared" si="0"/>
        <v>0</v>
      </c>
      <c r="I26" s="444">
        <f t="shared" si="1"/>
        <v>0</v>
      </c>
      <c r="J26" s="1286">
        <v>0</v>
      </c>
      <c r="K26" s="1286">
        <v>0</v>
      </c>
      <c r="L26" s="1464"/>
      <c r="M26" s="444">
        <f t="shared" si="2"/>
        <v>0</v>
      </c>
      <c r="N26" s="347">
        <f t="shared" si="3"/>
        <v>0</v>
      </c>
      <c r="O26" s="1286">
        <v>0</v>
      </c>
      <c r="P26" s="1286">
        <v>0</v>
      </c>
      <c r="Q26" s="1464"/>
      <c r="R26" s="347">
        <f t="shared" si="4"/>
        <v>0</v>
      </c>
      <c r="S26" s="347">
        <f t="shared" si="5"/>
        <v>0</v>
      </c>
      <c r="T26" s="1286">
        <v>0</v>
      </c>
      <c r="U26" s="1286">
        <v>0</v>
      </c>
      <c r="V26" s="1464"/>
      <c r="W26" s="347">
        <f t="shared" si="6"/>
        <v>0</v>
      </c>
      <c r="X26" s="347">
        <f t="shared" si="7"/>
        <v>0</v>
      </c>
      <c r="Y26" s="1465">
        <v>0</v>
      </c>
      <c r="Z26" s="1465">
        <v>0</v>
      </c>
      <c r="AA26" s="1464"/>
      <c r="AB26" s="347">
        <f t="shared" si="8"/>
        <v>0</v>
      </c>
    </row>
    <row r="27" spans="2:28" x14ac:dyDescent="0.3">
      <c r="B27" s="467">
        <f t="shared" si="9"/>
        <v>12</v>
      </c>
      <c r="C27" s="879" t="s">
        <v>261</v>
      </c>
      <c r="D27" s="1286">
        <v>0</v>
      </c>
      <c r="E27" s="1286">
        <v>0</v>
      </c>
      <c r="F27" s="1286">
        <v>0</v>
      </c>
      <c r="G27" s="1464"/>
      <c r="H27" s="470">
        <f t="shared" si="0"/>
        <v>0</v>
      </c>
      <c r="I27" s="444">
        <f t="shared" si="1"/>
        <v>0</v>
      </c>
      <c r="J27" s="1286">
        <v>0</v>
      </c>
      <c r="K27" s="1286">
        <v>0</v>
      </c>
      <c r="L27" s="1464"/>
      <c r="M27" s="444">
        <f t="shared" si="2"/>
        <v>0</v>
      </c>
      <c r="N27" s="347">
        <f t="shared" si="3"/>
        <v>0</v>
      </c>
      <c r="O27" s="1286">
        <v>0</v>
      </c>
      <c r="P27" s="1286">
        <v>0</v>
      </c>
      <c r="Q27" s="1464"/>
      <c r="R27" s="347">
        <f t="shared" si="4"/>
        <v>0</v>
      </c>
      <c r="S27" s="347">
        <f t="shared" si="5"/>
        <v>0</v>
      </c>
      <c r="T27" s="1286">
        <v>0</v>
      </c>
      <c r="U27" s="1286">
        <v>0</v>
      </c>
      <c r="V27" s="1464"/>
      <c r="W27" s="347">
        <f t="shared" si="6"/>
        <v>0</v>
      </c>
      <c r="X27" s="347">
        <f t="shared" si="7"/>
        <v>0</v>
      </c>
      <c r="Y27" s="1465">
        <v>0</v>
      </c>
      <c r="Z27" s="1465">
        <v>0</v>
      </c>
      <c r="AA27" s="1464"/>
      <c r="AB27" s="347">
        <f t="shared" si="8"/>
        <v>0</v>
      </c>
    </row>
    <row r="28" spans="2:28" x14ac:dyDescent="0.3">
      <c r="B28" s="467">
        <f t="shared" si="9"/>
        <v>13</v>
      </c>
      <c r="C28" s="879" t="s">
        <v>897</v>
      </c>
      <c r="D28" s="1286">
        <v>0</v>
      </c>
      <c r="E28" s="1286">
        <v>0</v>
      </c>
      <c r="F28" s="1286">
        <v>0</v>
      </c>
      <c r="G28" s="1464"/>
      <c r="H28" s="470">
        <f t="shared" si="0"/>
        <v>0</v>
      </c>
      <c r="I28" s="444">
        <f t="shared" si="1"/>
        <v>0</v>
      </c>
      <c r="J28" s="1286">
        <v>0</v>
      </c>
      <c r="K28" s="1286">
        <v>0</v>
      </c>
      <c r="L28" s="1464"/>
      <c r="M28" s="444">
        <f t="shared" si="2"/>
        <v>0</v>
      </c>
      <c r="N28" s="347">
        <f t="shared" si="3"/>
        <v>0</v>
      </c>
      <c r="O28" s="1286">
        <v>0</v>
      </c>
      <c r="P28" s="1286">
        <v>0</v>
      </c>
      <c r="Q28" s="1464"/>
      <c r="R28" s="347">
        <f t="shared" si="4"/>
        <v>0</v>
      </c>
      <c r="S28" s="347">
        <f t="shared" si="5"/>
        <v>0</v>
      </c>
      <c r="T28" s="1286">
        <v>0</v>
      </c>
      <c r="U28" s="1286">
        <v>0</v>
      </c>
      <c r="V28" s="1464"/>
      <c r="W28" s="347">
        <f t="shared" si="6"/>
        <v>0</v>
      </c>
      <c r="X28" s="347">
        <f t="shared" si="7"/>
        <v>0</v>
      </c>
      <c r="Y28" s="1465">
        <v>0</v>
      </c>
      <c r="Z28" s="1465">
        <v>0</v>
      </c>
      <c r="AA28" s="1464"/>
      <c r="AB28" s="347">
        <f t="shared" si="8"/>
        <v>0</v>
      </c>
    </row>
    <row r="29" spans="2:28" x14ac:dyDescent="0.3">
      <c r="B29" s="467">
        <f t="shared" si="9"/>
        <v>14</v>
      </c>
      <c r="C29" s="879" t="s">
        <v>898</v>
      </c>
      <c r="D29" s="1286">
        <v>0</v>
      </c>
      <c r="E29" s="1286">
        <v>0</v>
      </c>
      <c r="F29" s="1286">
        <v>0</v>
      </c>
      <c r="G29" s="1464"/>
      <c r="H29" s="470">
        <f t="shared" si="0"/>
        <v>0</v>
      </c>
      <c r="I29" s="444">
        <f t="shared" si="1"/>
        <v>0</v>
      </c>
      <c r="J29" s="1286">
        <v>0</v>
      </c>
      <c r="K29" s="1286">
        <v>0</v>
      </c>
      <c r="L29" s="1464"/>
      <c r="M29" s="444">
        <f t="shared" si="2"/>
        <v>0</v>
      </c>
      <c r="N29" s="347">
        <f t="shared" si="3"/>
        <v>0</v>
      </c>
      <c r="O29" s="1286">
        <v>0</v>
      </c>
      <c r="P29" s="1286">
        <v>0</v>
      </c>
      <c r="Q29" s="1464"/>
      <c r="R29" s="347">
        <f t="shared" si="4"/>
        <v>0</v>
      </c>
      <c r="S29" s="347">
        <f t="shared" si="5"/>
        <v>0</v>
      </c>
      <c r="T29" s="1286">
        <v>0</v>
      </c>
      <c r="U29" s="1286">
        <v>0</v>
      </c>
      <c r="V29" s="1464"/>
      <c r="W29" s="347">
        <f t="shared" si="6"/>
        <v>0</v>
      </c>
      <c r="X29" s="347">
        <f t="shared" si="7"/>
        <v>0</v>
      </c>
      <c r="Y29" s="1465">
        <v>0</v>
      </c>
      <c r="Z29" s="1465">
        <v>0</v>
      </c>
      <c r="AA29" s="1464"/>
      <c r="AB29" s="347">
        <f t="shared" si="8"/>
        <v>0</v>
      </c>
    </row>
    <row r="30" spans="2:28" x14ac:dyDescent="0.3">
      <c r="B30" s="467">
        <f t="shared" si="9"/>
        <v>15</v>
      </c>
      <c r="C30" s="879" t="s">
        <v>899</v>
      </c>
      <c r="D30" s="1286">
        <v>0</v>
      </c>
      <c r="E30" s="1286">
        <v>66.666666666666657</v>
      </c>
      <c r="F30" s="1286">
        <v>0</v>
      </c>
      <c r="G30" s="1464"/>
      <c r="H30" s="470">
        <f t="shared" si="0"/>
        <v>66.666666666666657</v>
      </c>
      <c r="I30" s="444">
        <f t="shared" si="1"/>
        <v>66.666666666666657</v>
      </c>
      <c r="J30" s="1286">
        <v>0</v>
      </c>
      <c r="K30" s="1286">
        <v>0</v>
      </c>
      <c r="L30" s="1464"/>
      <c r="M30" s="444">
        <f t="shared" si="2"/>
        <v>66.666666666666657</v>
      </c>
      <c r="N30" s="347">
        <f t="shared" si="3"/>
        <v>66.666666666666657</v>
      </c>
      <c r="O30" s="1286">
        <v>0</v>
      </c>
      <c r="P30" s="1286">
        <v>0</v>
      </c>
      <c r="Q30" s="1464"/>
      <c r="R30" s="347">
        <f t="shared" si="4"/>
        <v>66.666666666666657</v>
      </c>
      <c r="S30" s="347">
        <f t="shared" si="5"/>
        <v>66.666666666666657</v>
      </c>
      <c r="T30" s="1286">
        <v>0</v>
      </c>
      <c r="U30" s="1286">
        <v>0</v>
      </c>
      <c r="V30" s="1464"/>
      <c r="W30" s="347">
        <f t="shared" si="6"/>
        <v>66.666666666666657</v>
      </c>
      <c r="X30" s="347">
        <f t="shared" si="7"/>
        <v>66.666666666666657</v>
      </c>
      <c r="Y30" s="1465">
        <v>0</v>
      </c>
      <c r="Z30" s="1465">
        <v>0</v>
      </c>
      <c r="AA30" s="1464"/>
      <c r="AB30" s="347">
        <f t="shared" si="8"/>
        <v>66.666666666666657</v>
      </c>
    </row>
    <row r="31" spans="2:28" x14ac:dyDescent="0.3">
      <c r="B31" s="467">
        <f t="shared" si="9"/>
        <v>16</v>
      </c>
      <c r="C31" s="879" t="s">
        <v>850</v>
      </c>
      <c r="D31" s="1286">
        <v>0</v>
      </c>
      <c r="E31" s="1286">
        <v>0</v>
      </c>
      <c r="F31" s="1286">
        <v>0</v>
      </c>
      <c r="G31" s="1464"/>
      <c r="H31" s="470">
        <f t="shared" si="0"/>
        <v>0</v>
      </c>
      <c r="I31" s="444">
        <f t="shared" si="1"/>
        <v>0</v>
      </c>
      <c r="J31" s="1286">
        <v>0</v>
      </c>
      <c r="K31" s="1286">
        <v>0</v>
      </c>
      <c r="L31" s="1464"/>
      <c r="M31" s="444">
        <f t="shared" si="2"/>
        <v>0</v>
      </c>
      <c r="N31" s="347">
        <f t="shared" si="3"/>
        <v>0</v>
      </c>
      <c r="O31" s="1286">
        <v>0</v>
      </c>
      <c r="P31" s="1286">
        <v>0</v>
      </c>
      <c r="Q31" s="1464"/>
      <c r="R31" s="347">
        <f t="shared" si="4"/>
        <v>0</v>
      </c>
      <c r="S31" s="347">
        <f t="shared" si="5"/>
        <v>0</v>
      </c>
      <c r="T31" s="1286">
        <v>0</v>
      </c>
      <c r="U31" s="1286">
        <v>0</v>
      </c>
      <c r="V31" s="1464"/>
      <c r="W31" s="347">
        <f t="shared" si="6"/>
        <v>0</v>
      </c>
      <c r="X31" s="347">
        <f t="shared" si="7"/>
        <v>0</v>
      </c>
      <c r="Y31" s="1465">
        <v>0</v>
      </c>
      <c r="Z31" s="1465">
        <v>0</v>
      </c>
      <c r="AA31" s="1464"/>
      <c r="AB31" s="347">
        <f t="shared" si="8"/>
        <v>0</v>
      </c>
    </row>
    <row r="32" spans="2:28" x14ac:dyDescent="0.3">
      <c r="B32" s="467">
        <f t="shared" si="9"/>
        <v>17</v>
      </c>
      <c r="C32" s="879" t="s">
        <v>900</v>
      </c>
      <c r="D32" s="1286">
        <v>0</v>
      </c>
      <c r="E32" s="1286">
        <v>0</v>
      </c>
      <c r="F32" s="1286">
        <v>0</v>
      </c>
      <c r="G32" s="1464"/>
      <c r="H32" s="470">
        <f t="shared" si="0"/>
        <v>0</v>
      </c>
      <c r="I32" s="444">
        <f t="shared" si="1"/>
        <v>0</v>
      </c>
      <c r="J32" s="1286">
        <v>0</v>
      </c>
      <c r="K32" s="1286">
        <v>0</v>
      </c>
      <c r="L32" s="1464"/>
      <c r="M32" s="444">
        <f t="shared" si="2"/>
        <v>0</v>
      </c>
      <c r="N32" s="347">
        <f t="shared" si="3"/>
        <v>0</v>
      </c>
      <c r="O32" s="1286">
        <v>0</v>
      </c>
      <c r="P32" s="1286">
        <v>0</v>
      </c>
      <c r="Q32" s="1464"/>
      <c r="R32" s="347">
        <f t="shared" si="4"/>
        <v>0</v>
      </c>
      <c r="S32" s="347">
        <f t="shared" si="5"/>
        <v>0</v>
      </c>
      <c r="T32" s="1286">
        <v>0</v>
      </c>
      <c r="U32" s="1286">
        <v>0</v>
      </c>
      <c r="V32" s="1464"/>
      <c r="W32" s="347">
        <f t="shared" si="6"/>
        <v>0</v>
      </c>
      <c r="X32" s="347">
        <f t="shared" si="7"/>
        <v>0</v>
      </c>
      <c r="Y32" s="1465">
        <v>0</v>
      </c>
      <c r="Z32" s="1465">
        <v>0</v>
      </c>
      <c r="AA32" s="1464"/>
      <c r="AB32" s="347">
        <f t="shared" si="8"/>
        <v>0</v>
      </c>
    </row>
    <row r="33" spans="2:32" ht="16" x14ac:dyDescent="0.3">
      <c r="B33" s="83"/>
      <c r="C33" s="97" t="s">
        <v>271</v>
      </c>
      <c r="D33" s="349">
        <f t="shared" ref="D33:G33" si="10">SUM(D16:D32)</f>
        <v>0</v>
      </c>
      <c r="E33" s="349">
        <f t="shared" si="10"/>
        <v>557.38999999999987</v>
      </c>
      <c r="F33" s="349">
        <f t="shared" si="10"/>
        <v>0</v>
      </c>
      <c r="G33" s="349">
        <f t="shared" si="10"/>
        <v>0</v>
      </c>
      <c r="H33" s="349">
        <f>SUM(H16:H32)</f>
        <v>557.38999999999987</v>
      </c>
      <c r="I33" s="349">
        <f t="shared" ref="I33:AB33" si="11">SUM(I16:I32)</f>
        <v>557.38999999999987</v>
      </c>
      <c r="J33" s="349">
        <f t="shared" si="11"/>
        <v>559.81133333333321</v>
      </c>
      <c r="K33" s="349">
        <f t="shared" si="11"/>
        <v>0</v>
      </c>
      <c r="L33" s="349">
        <f t="shared" si="11"/>
        <v>0</v>
      </c>
      <c r="M33" s="349">
        <f t="shared" si="11"/>
        <v>1117.2013333333334</v>
      </c>
      <c r="N33" s="349">
        <f t="shared" si="11"/>
        <v>1117.2013333333334</v>
      </c>
      <c r="O33" s="349">
        <f t="shared" si="11"/>
        <v>155.59280000000001</v>
      </c>
      <c r="P33" s="349">
        <f t="shared" si="11"/>
        <v>0</v>
      </c>
      <c r="Q33" s="349">
        <f t="shared" si="11"/>
        <v>0</v>
      </c>
      <c r="R33" s="349">
        <f t="shared" si="11"/>
        <v>1272.7941333333333</v>
      </c>
      <c r="S33" s="349">
        <f t="shared" si="11"/>
        <v>1272.7941333333333</v>
      </c>
      <c r="T33" s="349">
        <f t="shared" si="11"/>
        <v>586.10662666666667</v>
      </c>
      <c r="U33" s="349">
        <f t="shared" si="11"/>
        <v>0</v>
      </c>
      <c r="V33" s="349">
        <f t="shared" si="11"/>
        <v>0</v>
      </c>
      <c r="W33" s="349">
        <f t="shared" si="11"/>
        <v>1858.90076</v>
      </c>
      <c r="X33" s="349">
        <f t="shared" si="11"/>
        <v>1858.90076</v>
      </c>
      <c r="Y33" s="349">
        <f t="shared" si="11"/>
        <v>211.02</v>
      </c>
      <c r="Z33" s="349">
        <f t="shared" si="11"/>
        <v>0</v>
      </c>
      <c r="AA33" s="349">
        <f t="shared" si="11"/>
        <v>0</v>
      </c>
      <c r="AB33" s="349">
        <f t="shared" si="11"/>
        <v>2069.92076</v>
      </c>
      <c r="AC33" s="262"/>
      <c r="AD33" s="262"/>
      <c r="AE33" s="262"/>
      <c r="AF33" s="262"/>
    </row>
    <row r="34" spans="2:32" ht="16" x14ac:dyDescent="0.3">
      <c r="B34" s="262"/>
      <c r="C34" s="262"/>
      <c r="D34" s="262"/>
      <c r="E34" s="262"/>
      <c r="F34" s="262"/>
      <c r="G34" s="262"/>
      <c r="H34" s="262"/>
      <c r="I34" s="262"/>
      <c r="J34" s="262"/>
      <c r="K34" s="262"/>
      <c r="L34" s="262"/>
      <c r="M34" s="262"/>
      <c r="N34" s="262"/>
      <c r="O34" s="262"/>
      <c r="P34" s="262"/>
      <c r="Q34" s="262"/>
      <c r="R34" s="262"/>
      <c r="S34" s="262"/>
      <c r="T34" s="262"/>
    </row>
    <row r="35" spans="2:32" ht="16" x14ac:dyDescent="0.3">
      <c r="B35" s="262"/>
      <c r="C35" s="262"/>
      <c r="D35" s="262"/>
      <c r="E35" s="262"/>
      <c r="F35" s="262"/>
      <c r="G35" s="262"/>
      <c r="H35" s="262"/>
      <c r="I35" s="262"/>
      <c r="J35" s="262"/>
      <c r="K35" s="262"/>
      <c r="L35" s="262"/>
      <c r="M35" s="262"/>
      <c r="N35" s="262"/>
      <c r="O35" s="262"/>
      <c r="P35" s="262"/>
      <c r="Q35" s="262"/>
      <c r="R35" s="262"/>
      <c r="S35" s="262"/>
      <c r="T35" s="262"/>
    </row>
    <row r="37" spans="2:32" x14ac:dyDescent="0.3">
      <c r="B37" s="862" t="s">
        <v>272</v>
      </c>
    </row>
    <row r="38" spans="2:32" ht="15" customHeight="1" x14ac:dyDescent="0.3">
      <c r="B38" s="262"/>
      <c r="C38" s="264"/>
      <c r="D38" s="264"/>
      <c r="E38" s="264"/>
      <c r="F38" s="264"/>
      <c r="G38" s="264"/>
      <c r="H38" s="264"/>
      <c r="I38" s="264"/>
      <c r="J38" s="264"/>
      <c r="K38" s="264"/>
      <c r="L38" s="264"/>
      <c r="M38" s="264"/>
      <c r="N38" s="262"/>
      <c r="O38" s="262"/>
      <c r="P38" s="262"/>
      <c r="Q38" s="262"/>
      <c r="R38" s="262"/>
      <c r="S38" s="262"/>
      <c r="T38" s="262"/>
      <c r="U38" s="262"/>
      <c r="V38" s="262"/>
      <c r="W38" s="262"/>
      <c r="X38" s="262"/>
      <c r="Y38" s="262"/>
      <c r="Z38" s="262"/>
      <c r="AA38" s="262"/>
      <c r="AB38" s="262"/>
    </row>
    <row r="39" spans="2:32" ht="29.4" customHeight="1" x14ac:dyDescent="0.3">
      <c r="B39" s="262"/>
      <c r="C39" s="904"/>
      <c r="D39" s="264"/>
      <c r="E39" s="264"/>
      <c r="F39" s="264"/>
      <c r="G39" s="264"/>
      <c r="H39" s="264"/>
      <c r="I39" s="264"/>
      <c r="J39" s="264"/>
      <c r="K39" s="264"/>
      <c r="L39" s="264"/>
      <c r="M39" s="264"/>
      <c r="N39" s="262"/>
      <c r="O39" s="262"/>
      <c r="P39" s="262"/>
      <c r="Q39" s="262"/>
      <c r="R39" s="262"/>
      <c r="S39" s="262"/>
      <c r="T39" s="262"/>
      <c r="U39" s="262"/>
      <c r="V39" s="262"/>
      <c r="W39" s="259" t="s">
        <v>10</v>
      </c>
      <c r="X39" s="262"/>
      <c r="Y39" s="262"/>
      <c r="Z39" s="262"/>
      <c r="AA39" s="262"/>
      <c r="AB39" s="262"/>
    </row>
    <row r="40" spans="2:32" x14ac:dyDescent="0.3">
      <c r="B40" s="1699" t="s">
        <v>340</v>
      </c>
      <c r="C40" s="1699" t="s">
        <v>37</v>
      </c>
      <c r="D40" s="1834" t="s">
        <v>969</v>
      </c>
      <c r="E40" s="1825"/>
      <c r="F40" s="1825"/>
      <c r="G40" s="1825"/>
      <c r="H40" s="1826"/>
      <c r="I40" s="1838" t="s">
        <v>970</v>
      </c>
      <c r="J40" s="1838"/>
      <c r="K40" s="1838"/>
      <c r="L40" s="1838"/>
      <c r="M40" s="1838"/>
      <c r="N40" s="1838" t="s">
        <v>971</v>
      </c>
      <c r="O40" s="1838"/>
      <c r="P40" s="1838"/>
      <c r="Q40" s="1838"/>
      <c r="R40" s="1838"/>
      <c r="S40" s="1838" t="s">
        <v>972</v>
      </c>
      <c r="T40" s="1838"/>
      <c r="U40" s="1838"/>
      <c r="V40" s="1838"/>
      <c r="W40" s="1838"/>
      <c r="X40" s="1838" t="s">
        <v>973</v>
      </c>
      <c r="Y40" s="1838"/>
      <c r="Z40" s="1838"/>
      <c r="AA40" s="1838"/>
      <c r="AB40" s="1838"/>
    </row>
    <row r="41" spans="2:32" x14ac:dyDescent="0.3">
      <c r="B41" s="1699"/>
      <c r="C41" s="1699"/>
      <c r="D41" s="1841" t="s">
        <v>21</v>
      </c>
      <c r="E41" s="1842"/>
      <c r="F41" s="1842"/>
      <c r="G41" s="1842"/>
      <c r="H41" s="1842"/>
      <c r="I41" s="1841" t="s">
        <v>21</v>
      </c>
      <c r="J41" s="1842"/>
      <c r="K41" s="1842"/>
      <c r="L41" s="1842"/>
      <c r="M41" s="1842"/>
      <c r="N41" s="1841" t="s">
        <v>21</v>
      </c>
      <c r="O41" s="1842"/>
      <c r="P41" s="1842"/>
      <c r="Q41" s="1842"/>
      <c r="R41" s="1842"/>
      <c r="S41" s="1841" t="s">
        <v>21</v>
      </c>
      <c r="T41" s="1842"/>
      <c r="U41" s="1842"/>
      <c r="V41" s="1842"/>
      <c r="W41" s="1842"/>
      <c r="X41" s="1841" t="s">
        <v>21</v>
      </c>
      <c r="Y41" s="1842"/>
      <c r="Z41" s="1842"/>
      <c r="AA41" s="1842"/>
      <c r="AB41" s="1842"/>
    </row>
    <row r="42" spans="2:32" ht="56" x14ac:dyDescent="0.3">
      <c r="B42" s="1699"/>
      <c r="C42" s="1699"/>
      <c r="D42" s="863" t="s">
        <v>273</v>
      </c>
      <c r="E42" s="863" t="s">
        <v>268</v>
      </c>
      <c r="F42" s="263" t="s">
        <v>274</v>
      </c>
      <c r="G42" s="861" t="s">
        <v>587</v>
      </c>
      <c r="H42" s="863" t="s">
        <v>275</v>
      </c>
      <c r="I42" s="863" t="s">
        <v>273</v>
      </c>
      <c r="J42" s="863" t="s">
        <v>268</v>
      </c>
      <c r="K42" s="263" t="s">
        <v>274</v>
      </c>
      <c r="L42" s="861" t="s">
        <v>587</v>
      </c>
      <c r="M42" s="863" t="s">
        <v>275</v>
      </c>
      <c r="N42" s="863" t="s">
        <v>273</v>
      </c>
      <c r="O42" s="863" t="s">
        <v>268</v>
      </c>
      <c r="P42" s="263" t="s">
        <v>274</v>
      </c>
      <c r="Q42" s="861" t="s">
        <v>587</v>
      </c>
      <c r="R42" s="863" t="s">
        <v>275</v>
      </c>
      <c r="S42" s="863" t="s">
        <v>273</v>
      </c>
      <c r="T42" s="863" t="s">
        <v>268</v>
      </c>
      <c r="U42" s="263" t="s">
        <v>274</v>
      </c>
      <c r="V42" s="861" t="s">
        <v>587</v>
      </c>
      <c r="W42" s="863" t="s">
        <v>275</v>
      </c>
      <c r="X42" s="863" t="s">
        <v>273</v>
      </c>
      <c r="Y42" s="863" t="s">
        <v>268</v>
      </c>
      <c r="Z42" s="263" t="s">
        <v>274</v>
      </c>
      <c r="AA42" s="861" t="s">
        <v>587</v>
      </c>
      <c r="AB42" s="863" t="s">
        <v>275</v>
      </c>
    </row>
    <row r="43" spans="2:32" x14ac:dyDescent="0.3">
      <c r="B43" s="260"/>
      <c r="C43" s="260"/>
      <c r="D43" s="260" t="s">
        <v>81</v>
      </c>
      <c r="E43" s="260" t="s">
        <v>82</v>
      </c>
      <c r="F43" s="260" t="s">
        <v>459</v>
      </c>
      <c r="G43" s="260" t="s">
        <v>391</v>
      </c>
      <c r="H43" s="260" t="s">
        <v>588</v>
      </c>
      <c r="I43" s="260" t="s">
        <v>409</v>
      </c>
      <c r="J43" s="260" t="s">
        <v>509</v>
      </c>
      <c r="K43" s="260" t="s">
        <v>410</v>
      </c>
      <c r="L43" s="260" t="s">
        <v>411</v>
      </c>
      <c r="M43" s="260" t="s">
        <v>651</v>
      </c>
      <c r="N43" s="260" t="s">
        <v>589</v>
      </c>
      <c r="O43" s="260" t="s">
        <v>652</v>
      </c>
      <c r="P43" s="260" t="s">
        <v>590</v>
      </c>
      <c r="Q43" s="260" t="s">
        <v>591</v>
      </c>
      <c r="R43" s="260" t="s">
        <v>1095</v>
      </c>
      <c r="S43" s="260" t="s">
        <v>592</v>
      </c>
      <c r="T43" s="260" t="s">
        <v>593</v>
      </c>
      <c r="U43" s="260" t="s">
        <v>1094</v>
      </c>
      <c r="V43" s="260" t="s">
        <v>1093</v>
      </c>
      <c r="W43" s="260" t="s">
        <v>1092</v>
      </c>
      <c r="X43" s="260" t="s">
        <v>594</v>
      </c>
      <c r="Y43" s="260" t="s">
        <v>595</v>
      </c>
      <c r="Z43" s="260" t="s">
        <v>596</v>
      </c>
      <c r="AA43" s="260" t="s">
        <v>653</v>
      </c>
      <c r="AB43" s="260" t="s">
        <v>1100</v>
      </c>
    </row>
    <row r="44" spans="2:32" x14ac:dyDescent="0.3">
      <c r="B44" s="467">
        <v>1</v>
      </c>
      <c r="C44" s="879" t="s">
        <v>842</v>
      </c>
      <c r="D44" s="1286">
        <v>0</v>
      </c>
      <c r="E44" s="350">
        <f>IF((IFERROR(D44/((D16+E16)*90%),0))&lt;70%,MIN((MAX((D16+E16)*90%-D44,0)),(D16+E16/2)*$AC44),MAX((D16+E16)*90%-D44,0)/E$62)</f>
        <v>0</v>
      </c>
      <c r="F44" s="350">
        <f>IFERROR(IF(D44=0,0,D44/D16*F16),0)</f>
        <v>0</v>
      </c>
      <c r="G44" s="351"/>
      <c r="H44" s="350">
        <f>D44+E44-F44-G44</f>
        <v>0</v>
      </c>
      <c r="I44" s="347">
        <f>H44</f>
        <v>0</v>
      </c>
      <c r="J44" s="350">
        <f>IF((IFERROR(I44/((I16+J16)*90%),0))&lt;70%,MIN((MAX((I16+J16)*90%-I44,0)),(I16+J16/2)*$AC44),MAX((I16+J16)*90%-I44,0)/J$62)</f>
        <v>0</v>
      </c>
      <c r="K44" s="350">
        <f>IFERROR(IF(I44=0,0,I44/I16*K16),0)</f>
        <v>0</v>
      </c>
      <c r="L44" s="351"/>
      <c r="M44" s="347">
        <f t="shared" ref="M44:M60" si="12">I44+J44-K44-L44</f>
        <v>0</v>
      </c>
      <c r="N44" s="347">
        <f>M44</f>
        <v>0</v>
      </c>
      <c r="O44" s="350">
        <f>IF((IFERROR(N44/((N16+O16)*90%),0))&lt;70%,MIN((MAX((N16+O16)*90%-N44,0)),(N16+O16/2)*$AC44),MAX((N16+O16)*90%-N44,0)/O$62)</f>
        <v>0</v>
      </c>
      <c r="P44" s="350">
        <f>IFERROR(IF(N44=0,0,N44/N16*P16),0)</f>
        <v>0</v>
      </c>
      <c r="Q44" s="351"/>
      <c r="R44" s="350">
        <f>N44+O44-P44-Q44</f>
        <v>0</v>
      </c>
      <c r="S44" s="347">
        <f>R44</f>
        <v>0</v>
      </c>
      <c r="T44" s="350">
        <f>IF((IFERROR(S44/((S16+T16)*90%),0))&lt;70%,MIN((MAX((S16+T16)*90%-S44,0)),(S16+T16/2)*$AC44),MAX((S16+T16)*90%-S44,0)/T$62)</f>
        <v>0</v>
      </c>
      <c r="U44" s="350">
        <f>IFERROR(IF(S44=0,0,S44/S16*U16),0)</f>
        <v>0</v>
      </c>
      <c r="V44" s="351"/>
      <c r="W44" s="347">
        <f>S44+T44-U44-V44</f>
        <v>0</v>
      </c>
      <c r="X44" s="347">
        <f>W44</f>
        <v>0</v>
      </c>
      <c r="Y44" s="350">
        <f>IF((IFERROR(X44/((X16+Y16)*90%),0))&lt;70%,MIN((MAX((X16+Y16)*90%-X44,0)),(X16+Y16/2)*$AC44),MAX((X16+Y16)*90%-X44,0)/Y$62)</f>
        <v>0</v>
      </c>
      <c r="Z44" s="350">
        <f>IFERROR(IF(X44=0,0,X44/X16*Z16),0)</f>
        <v>0</v>
      </c>
      <c r="AA44" s="351"/>
      <c r="AB44" s="347"/>
      <c r="AC44" s="458">
        <v>0</v>
      </c>
    </row>
    <row r="45" spans="2:32" x14ac:dyDescent="0.3">
      <c r="B45" s="467">
        <f>B44+1</f>
        <v>2</v>
      </c>
      <c r="C45" s="879" t="s">
        <v>843</v>
      </c>
      <c r="D45" s="1286">
        <v>0</v>
      </c>
      <c r="E45" s="350">
        <f t="shared" ref="E45:E60" si="13">IF((IFERROR(D45/((D17+E17)*90%),0))&lt;70%,MIN((MAX((D17+E17)*90%-D45,0)),(D17+E17/2)*$AC45),MAX((D17+E17)*90%-D45,0)/E$62)</f>
        <v>9.9364999999999992E-3</v>
      </c>
      <c r="F45" s="350">
        <f t="shared" ref="F45:F60" si="14">IFERROR(IF(D45=0,0,D45/D17*F17),0)</f>
        <v>0</v>
      </c>
      <c r="G45" s="351"/>
      <c r="H45" s="350">
        <f>D45+E45-F45-G45</f>
        <v>9.9364999999999992E-3</v>
      </c>
      <c r="I45" s="347">
        <f t="shared" ref="I45:I60" si="15">H45</f>
        <v>9.9364999999999992E-3</v>
      </c>
      <c r="J45" s="350">
        <f t="shared" ref="J45:J60" si="16">IF((IFERROR(I45/((I17+J17)*90%),0))&lt;70%,MIN((MAX((I17+J17)*90%-I45,0)),(I17+J17/2)*$AC45),MAX((I17+J17)*90%-I45,0)/J$62)</f>
        <v>0.27474283333333327</v>
      </c>
      <c r="K45" s="350">
        <f t="shared" ref="K45:K60" si="17">IFERROR(IF(I45=0,0,I45/I17*K17),0)</f>
        <v>0</v>
      </c>
      <c r="L45" s="351"/>
      <c r="M45" s="347">
        <f t="shared" si="12"/>
        <v>0.28467933333333328</v>
      </c>
      <c r="N45" s="347">
        <f t="shared" ref="N45:N60" si="18">M45</f>
        <v>0.28467933333333328</v>
      </c>
      <c r="O45" s="350">
        <f t="shared" ref="O45:O60" si="19">IF((IFERROR(N45/((N17+O17)*90%),0))&lt;70%,MIN((MAX((N17+O17)*90%-N45,0)),(N17+O17/2)*$AC45),MAX((N17+O17)*90%-N45,0)/O$62)</f>
        <v>0.78679266666666658</v>
      </c>
      <c r="P45" s="350">
        <f t="shared" ref="P45:P60" si="20">IFERROR(IF(N45=0,0,N45/N17*P17),0)</f>
        <v>0</v>
      </c>
      <c r="Q45" s="351"/>
      <c r="R45" s="350">
        <f t="shared" ref="R45:R60" si="21">N45+O45-P45-Q45</f>
        <v>1.071472</v>
      </c>
      <c r="S45" s="347">
        <f t="shared" ref="S45:S60" si="22">R45</f>
        <v>1.071472</v>
      </c>
      <c r="T45" s="350">
        <f t="shared" ref="T45:T60" si="23">IF((IFERROR(S45/((S17+T17)*90%),0))&lt;70%,MIN((MAX((S17+T17)*90%-S45,0)),(S17+T17/2)*$AC45),MAX((S17+T17)*90%-S45,0)/T$62)</f>
        <v>1.9958726666666666</v>
      </c>
      <c r="U45" s="350">
        <f t="shared" ref="U45:U60" si="24">IFERROR(IF(S45=0,0,S45/S17*U17),0)</f>
        <v>0</v>
      </c>
      <c r="V45" s="351"/>
      <c r="W45" s="347">
        <f t="shared" ref="W45:W60" si="25">S45+T45-U45-V45</f>
        <v>3.0673446666666666</v>
      </c>
      <c r="X45" s="347">
        <f t="shared" ref="X45:X60" si="26">W45</f>
        <v>3.0673446666666666</v>
      </c>
      <c r="Y45" s="350">
        <f t="shared" ref="Y45:Y60" si="27">IF((IFERROR(X45/((X17+Y17)*90%),0))&lt;70%,MIN((MAX((X17+Y17)*90%-X45,0)),(X17+Y17/2)*$AC45),MAX((X17+Y17)*90%-X45,0)/Y$62)</f>
        <v>2.9477726666666664</v>
      </c>
      <c r="Z45" s="350">
        <f t="shared" ref="Z45:Z60" si="28">IFERROR(IF(X45=0,0,X45/X17*Z17),0)</f>
        <v>0</v>
      </c>
      <c r="AA45" s="351"/>
      <c r="AB45" s="347"/>
      <c r="AC45" s="458">
        <v>3.3399999999999999E-2</v>
      </c>
    </row>
    <row r="46" spans="2:32" x14ac:dyDescent="0.3">
      <c r="B46" s="467">
        <f t="shared" ref="B46:B60" si="29">B45+1</f>
        <v>3</v>
      </c>
      <c r="C46" s="879" t="s">
        <v>844</v>
      </c>
      <c r="D46" s="1286">
        <v>0</v>
      </c>
      <c r="E46" s="350">
        <f t="shared" si="13"/>
        <v>0.10550000000000001</v>
      </c>
      <c r="F46" s="350">
        <f t="shared" si="14"/>
        <v>0</v>
      </c>
      <c r="G46" s="351"/>
      <c r="H46" s="350">
        <f t="shared" ref="H46:H60" si="30">D46+E46-F46-G46</f>
        <v>0.10550000000000001</v>
      </c>
      <c r="I46" s="347">
        <f t="shared" si="15"/>
        <v>0.10550000000000001</v>
      </c>
      <c r="J46" s="350">
        <f t="shared" si="16"/>
        <v>0.61717500000000003</v>
      </c>
      <c r="K46" s="350">
        <f t="shared" si="17"/>
        <v>0</v>
      </c>
      <c r="L46" s="351"/>
      <c r="M46" s="347">
        <f t="shared" si="12"/>
        <v>0.72267500000000007</v>
      </c>
      <c r="N46" s="347">
        <f t="shared" si="18"/>
        <v>0.72267500000000007</v>
      </c>
      <c r="O46" s="350">
        <f t="shared" si="19"/>
        <v>1.1858200000000001</v>
      </c>
      <c r="P46" s="350">
        <f t="shared" si="20"/>
        <v>0</v>
      </c>
      <c r="Q46" s="351"/>
      <c r="R46" s="350">
        <f t="shared" si="21"/>
        <v>1.9084950000000003</v>
      </c>
      <c r="S46" s="347">
        <f t="shared" si="22"/>
        <v>1.9084950000000003</v>
      </c>
      <c r="T46" s="350">
        <f t="shared" si="23"/>
        <v>2.5514111560000003</v>
      </c>
      <c r="U46" s="350">
        <f t="shared" si="24"/>
        <v>0</v>
      </c>
      <c r="V46" s="351"/>
      <c r="W46" s="347">
        <f t="shared" si="25"/>
        <v>4.4599061560000006</v>
      </c>
      <c r="X46" s="347">
        <f t="shared" si="26"/>
        <v>4.4599061560000006</v>
      </c>
      <c r="Y46" s="350">
        <f t="shared" si="27"/>
        <v>3.7545323120000003</v>
      </c>
      <c r="Z46" s="350">
        <f t="shared" si="28"/>
        <v>0</v>
      </c>
      <c r="AA46" s="352"/>
      <c r="AB46" s="347"/>
      <c r="AC46" s="458">
        <v>4.2200000000000001E-2</v>
      </c>
    </row>
    <row r="47" spans="2:32" x14ac:dyDescent="0.3">
      <c r="B47" s="467">
        <f t="shared" si="29"/>
        <v>4</v>
      </c>
      <c r="C47" s="879" t="s">
        <v>845</v>
      </c>
      <c r="D47" s="1286">
        <v>0</v>
      </c>
      <c r="E47" s="350">
        <f t="shared" si="13"/>
        <v>0</v>
      </c>
      <c r="F47" s="350">
        <f t="shared" si="14"/>
        <v>0</v>
      </c>
      <c r="G47" s="351"/>
      <c r="H47" s="350">
        <f t="shared" si="30"/>
        <v>0</v>
      </c>
      <c r="I47" s="347">
        <f t="shared" si="15"/>
        <v>0</v>
      </c>
      <c r="J47" s="350">
        <f t="shared" si="16"/>
        <v>0</v>
      </c>
      <c r="K47" s="350">
        <f t="shared" si="17"/>
        <v>0</v>
      </c>
      <c r="L47" s="351"/>
      <c r="M47" s="347">
        <f t="shared" si="12"/>
        <v>0</v>
      </c>
      <c r="N47" s="347">
        <f t="shared" si="18"/>
        <v>0</v>
      </c>
      <c r="O47" s="350">
        <f t="shared" si="19"/>
        <v>0</v>
      </c>
      <c r="P47" s="350">
        <f t="shared" si="20"/>
        <v>0</v>
      </c>
      <c r="Q47" s="351"/>
      <c r="R47" s="350">
        <f t="shared" si="21"/>
        <v>0</v>
      </c>
      <c r="S47" s="347">
        <f t="shared" si="22"/>
        <v>0</v>
      </c>
      <c r="T47" s="350">
        <f t="shared" si="23"/>
        <v>0</v>
      </c>
      <c r="U47" s="350">
        <f t="shared" si="24"/>
        <v>0</v>
      </c>
      <c r="V47" s="351"/>
      <c r="W47" s="347">
        <f t="shared" si="25"/>
        <v>0</v>
      </c>
      <c r="X47" s="347">
        <f t="shared" si="26"/>
        <v>0</v>
      </c>
      <c r="Y47" s="350">
        <f t="shared" si="27"/>
        <v>0</v>
      </c>
      <c r="Z47" s="350">
        <f t="shared" si="28"/>
        <v>0</v>
      </c>
      <c r="AA47" s="351"/>
      <c r="AB47" s="347"/>
      <c r="AC47" s="458">
        <v>4.2200000000000001E-2</v>
      </c>
    </row>
    <row r="48" spans="2:32" x14ac:dyDescent="0.3">
      <c r="B48" s="467">
        <f t="shared" si="29"/>
        <v>5</v>
      </c>
      <c r="C48" s="879" t="s">
        <v>846</v>
      </c>
      <c r="D48" s="1286">
        <v>0</v>
      </c>
      <c r="E48" s="350">
        <f t="shared" si="13"/>
        <v>1.2157043333333331</v>
      </c>
      <c r="F48" s="350">
        <f t="shared" si="14"/>
        <v>0</v>
      </c>
      <c r="G48" s="351"/>
      <c r="H48" s="350">
        <f t="shared" si="30"/>
        <v>1.2157043333333331</v>
      </c>
      <c r="I48" s="347">
        <f t="shared" si="15"/>
        <v>1.2157043333333331</v>
      </c>
      <c r="J48" s="350">
        <f t="shared" si="16"/>
        <v>2.8099419999999995</v>
      </c>
      <c r="K48" s="350">
        <f t="shared" si="17"/>
        <v>0</v>
      </c>
      <c r="L48" s="351"/>
      <c r="M48" s="347">
        <f t="shared" si="12"/>
        <v>4.0256463333333325</v>
      </c>
      <c r="N48" s="347">
        <f t="shared" si="18"/>
        <v>4.0256463333333325</v>
      </c>
      <c r="O48" s="350">
        <f t="shared" si="19"/>
        <v>3.7395753333333324</v>
      </c>
      <c r="P48" s="350">
        <f t="shared" si="20"/>
        <v>0</v>
      </c>
      <c r="Q48" s="351"/>
      <c r="R48" s="350">
        <f t="shared" si="21"/>
        <v>7.7652216666666654</v>
      </c>
      <c r="S48" s="347">
        <f t="shared" si="22"/>
        <v>7.7652216666666654</v>
      </c>
      <c r="T48" s="350">
        <f t="shared" si="23"/>
        <v>6.1276753333333325</v>
      </c>
      <c r="U48" s="350">
        <f t="shared" si="24"/>
        <v>0</v>
      </c>
      <c r="V48" s="351"/>
      <c r="W48" s="347">
        <f t="shared" si="25"/>
        <v>13.892896999999998</v>
      </c>
      <c r="X48" s="347">
        <f t="shared" si="26"/>
        <v>13.892896999999998</v>
      </c>
      <c r="Y48" s="350">
        <f t="shared" si="27"/>
        <v>7.9646753333333322</v>
      </c>
      <c r="Z48" s="350">
        <f t="shared" si="28"/>
        <v>0</v>
      </c>
      <c r="AA48" s="351"/>
      <c r="AB48" s="347"/>
      <c r="AC48" s="458">
        <v>3.3399999999999999E-2</v>
      </c>
    </row>
    <row r="49" spans="2:29" x14ac:dyDescent="0.3">
      <c r="B49" s="467">
        <f t="shared" si="29"/>
        <v>6</v>
      </c>
      <c r="C49" s="879" t="s">
        <v>256</v>
      </c>
      <c r="D49" s="1286">
        <v>0</v>
      </c>
      <c r="E49" s="350">
        <f t="shared" si="13"/>
        <v>8.3344648333333318</v>
      </c>
      <c r="F49" s="350">
        <f t="shared" si="14"/>
        <v>0</v>
      </c>
      <c r="G49" s="351"/>
      <c r="H49" s="350">
        <f t="shared" si="30"/>
        <v>8.3344648333333318</v>
      </c>
      <c r="I49" s="347">
        <f t="shared" si="15"/>
        <v>8.3344648333333318</v>
      </c>
      <c r="J49" s="350">
        <f t="shared" si="16"/>
        <v>27.27448596666666</v>
      </c>
      <c r="K49" s="350">
        <f t="shared" si="17"/>
        <v>0</v>
      </c>
      <c r="L49" s="351"/>
      <c r="M49" s="347">
        <f t="shared" si="12"/>
        <v>35.608950799999988</v>
      </c>
      <c r="N49" s="347">
        <f t="shared" si="18"/>
        <v>35.608950799999988</v>
      </c>
      <c r="O49" s="350">
        <f t="shared" si="19"/>
        <v>39.97934034666666</v>
      </c>
      <c r="P49" s="350">
        <f t="shared" si="20"/>
        <v>0</v>
      </c>
      <c r="Q49" s="351"/>
      <c r="R49" s="350">
        <f t="shared" si="21"/>
        <v>75.588291146666649</v>
      </c>
      <c r="S49" s="347">
        <f t="shared" si="22"/>
        <v>75.588291146666649</v>
      </c>
      <c r="T49" s="350">
        <f t="shared" si="23"/>
        <v>49.71866709333333</v>
      </c>
      <c r="U49" s="350">
        <f t="shared" si="24"/>
        <v>0</v>
      </c>
      <c r="V49" s="351"/>
      <c r="W49" s="347">
        <f t="shared" si="25"/>
        <v>125.30695823999997</v>
      </c>
      <c r="X49" s="347">
        <f t="shared" si="26"/>
        <v>125.30695823999997</v>
      </c>
      <c r="Y49" s="350">
        <f t="shared" si="27"/>
        <v>61.811217759999998</v>
      </c>
      <c r="Z49" s="350">
        <f t="shared" si="28"/>
        <v>0</v>
      </c>
      <c r="AA49" s="351"/>
      <c r="AB49" s="347"/>
      <c r="AC49" s="458">
        <v>4.2200000000000001E-2</v>
      </c>
    </row>
    <row r="50" spans="2:29" x14ac:dyDescent="0.3">
      <c r="B50" s="467">
        <f t="shared" si="29"/>
        <v>7</v>
      </c>
      <c r="C50" s="879" t="s">
        <v>847</v>
      </c>
      <c r="D50" s="1286">
        <v>0</v>
      </c>
      <c r="E50" s="350">
        <f t="shared" si="13"/>
        <v>0.22166666666666665</v>
      </c>
      <c r="F50" s="350">
        <f t="shared" si="14"/>
        <v>0</v>
      </c>
      <c r="G50" s="351"/>
      <c r="H50" s="350">
        <f t="shared" si="30"/>
        <v>0.22166666666666665</v>
      </c>
      <c r="I50" s="347">
        <f t="shared" si="15"/>
        <v>0.22166666666666665</v>
      </c>
      <c r="J50" s="350">
        <f t="shared" si="16"/>
        <v>0.4433333333333333</v>
      </c>
      <c r="K50" s="350">
        <f t="shared" si="17"/>
        <v>0</v>
      </c>
      <c r="L50" s="351"/>
      <c r="M50" s="347">
        <f t="shared" si="12"/>
        <v>0.66499999999999992</v>
      </c>
      <c r="N50" s="347">
        <f t="shared" si="18"/>
        <v>0.66499999999999992</v>
      </c>
      <c r="O50" s="350">
        <f t="shared" si="19"/>
        <v>0.4433333333333333</v>
      </c>
      <c r="P50" s="350">
        <f t="shared" si="20"/>
        <v>0</v>
      </c>
      <c r="Q50" s="351"/>
      <c r="R50" s="350">
        <f t="shared" si="21"/>
        <v>1.1083333333333332</v>
      </c>
      <c r="S50" s="347">
        <f t="shared" si="22"/>
        <v>1.1083333333333332</v>
      </c>
      <c r="T50" s="350">
        <f t="shared" si="23"/>
        <v>0.4433333333333333</v>
      </c>
      <c r="U50" s="350">
        <f t="shared" si="24"/>
        <v>0</v>
      </c>
      <c r="V50" s="351"/>
      <c r="W50" s="347">
        <f t="shared" si="25"/>
        <v>1.5516666666666665</v>
      </c>
      <c r="X50" s="347">
        <f t="shared" si="26"/>
        <v>1.5516666666666665</v>
      </c>
      <c r="Y50" s="350">
        <f t="shared" si="27"/>
        <v>0.4433333333333333</v>
      </c>
      <c r="Z50" s="350">
        <f t="shared" si="28"/>
        <v>0</v>
      </c>
      <c r="AA50" s="351"/>
      <c r="AB50" s="347"/>
      <c r="AC50" s="458">
        <v>9.5000000000000001E-2</v>
      </c>
    </row>
    <row r="51" spans="2:29" x14ac:dyDescent="0.3">
      <c r="B51" s="467">
        <f t="shared" si="29"/>
        <v>8</v>
      </c>
      <c r="C51" s="879" t="s">
        <v>848</v>
      </c>
      <c r="D51" s="1286">
        <v>0</v>
      </c>
      <c r="E51" s="350">
        <f t="shared" si="13"/>
        <v>0</v>
      </c>
      <c r="F51" s="350">
        <f t="shared" si="14"/>
        <v>0</v>
      </c>
      <c r="G51" s="351"/>
      <c r="H51" s="350">
        <f t="shared" si="30"/>
        <v>0</v>
      </c>
      <c r="I51" s="347">
        <f t="shared" si="15"/>
        <v>0</v>
      </c>
      <c r="J51" s="350">
        <f t="shared" si="16"/>
        <v>0</v>
      </c>
      <c r="K51" s="350">
        <f t="shared" si="17"/>
        <v>0</v>
      </c>
      <c r="L51" s="351"/>
      <c r="M51" s="347">
        <f t="shared" si="12"/>
        <v>0</v>
      </c>
      <c r="N51" s="347">
        <f t="shared" si="18"/>
        <v>0</v>
      </c>
      <c r="O51" s="350">
        <f t="shared" si="19"/>
        <v>0</v>
      </c>
      <c r="P51" s="350">
        <f t="shared" si="20"/>
        <v>0</v>
      </c>
      <c r="Q51" s="351"/>
      <c r="R51" s="350">
        <f t="shared" si="21"/>
        <v>0</v>
      </c>
      <c r="S51" s="347">
        <f t="shared" si="22"/>
        <v>0</v>
      </c>
      <c r="T51" s="350">
        <f t="shared" si="23"/>
        <v>0</v>
      </c>
      <c r="U51" s="350">
        <f t="shared" si="24"/>
        <v>0</v>
      </c>
      <c r="V51" s="351"/>
      <c r="W51" s="347">
        <f t="shared" si="25"/>
        <v>0</v>
      </c>
      <c r="X51" s="347">
        <f t="shared" si="26"/>
        <v>0</v>
      </c>
      <c r="Y51" s="350">
        <f t="shared" si="27"/>
        <v>0</v>
      </c>
      <c r="Z51" s="350">
        <f t="shared" si="28"/>
        <v>0</v>
      </c>
      <c r="AA51" s="351"/>
      <c r="AB51" s="347"/>
      <c r="AC51" s="458">
        <v>9.5000000000000001E-2</v>
      </c>
    </row>
    <row r="52" spans="2:29" x14ac:dyDescent="0.3">
      <c r="B52" s="467">
        <f t="shared" si="29"/>
        <v>9</v>
      </c>
      <c r="C52" s="879" t="s">
        <v>849</v>
      </c>
      <c r="D52" s="1286">
        <v>0</v>
      </c>
      <c r="E52" s="350">
        <f t="shared" si="13"/>
        <v>0</v>
      </c>
      <c r="F52" s="350">
        <f t="shared" si="14"/>
        <v>0</v>
      </c>
      <c r="G52" s="351"/>
      <c r="H52" s="350">
        <f t="shared" si="30"/>
        <v>0</v>
      </c>
      <c r="I52" s="347">
        <f t="shared" si="15"/>
        <v>0</v>
      </c>
      <c r="J52" s="350">
        <f t="shared" si="16"/>
        <v>0</v>
      </c>
      <c r="K52" s="350">
        <f t="shared" si="17"/>
        <v>0</v>
      </c>
      <c r="L52" s="351"/>
      <c r="M52" s="347">
        <f t="shared" si="12"/>
        <v>0</v>
      </c>
      <c r="N52" s="347">
        <f t="shared" si="18"/>
        <v>0</v>
      </c>
      <c r="O52" s="350">
        <f t="shared" si="19"/>
        <v>0</v>
      </c>
      <c r="P52" s="350">
        <f t="shared" si="20"/>
        <v>0</v>
      </c>
      <c r="Q52" s="351"/>
      <c r="R52" s="350">
        <f t="shared" si="21"/>
        <v>0</v>
      </c>
      <c r="S52" s="347">
        <f t="shared" si="22"/>
        <v>0</v>
      </c>
      <c r="T52" s="350">
        <f t="shared" si="23"/>
        <v>0</v>
      </c>
      <c r="U52" s="350">
        <f t="shared" si="24"/>
        <v>0</v>
      </c>
      <c r="V52" s="351"/>
      <c r="W52" s="347">
        <f t="shared" si="25"/>
        <v>0</v>
      </c>
      <c r="X52" s="347">
        <f t="shared" si="26"/>
        <v>0</v>
      </c>
      <c r="Y52" s="350">
        <f t="shared" si="27"/>
        <v>0</v>
      </c>
      <c r="Z52" s="350">
        <f t="shared" si="28"/>
        <v>0</v>
      </c>
      <c r="AA52" s="351"/>
      <c r="AB52" s="347"/>
      <c r="AC52" s="458">
        <v>4.2200000000000001E-2</v>
      </c>
    </row>
    <row r="53" spans="2:29" x14ac:dyDescent="0.3">
      <c r="B53" s="467">
        <f t="shared" si="29"/>
        <v>10</v>
      </c>
      <c r="C53" s="879" t="s">
        <v>259</v>
      </c>
      <c r="D53" s="1286">
        <v>0</v>
      </c>
      <c r="E53" s="350">
        <f t="shared" si="13"/>
        <v>0.60166666666666668</v>
      </c>
      <c r="F53" s="350">
        <f t="shared" si="14"/>
        <v>0</v>
      </c>
      <c r="G53" s="351"/>
      <c r="H53" s="350">
        <f t="shared" si="30"/>
        <v>0.60166666666666668</v>
      </c>
      <c r="I53" s="347">
        <f t="shared" si="15"/>
        <v>0.60166666666666668</v>
      </c>
      <c r="J53" s="350">
        <f t="shared" si="16"/>
        <v>1.2033333333333334</v>
      </c>
      <c r="K53" s="350">
        <f t="shared" si="17"/>
        <v>0</v>
      </c>
      <c r="L53" s="351"/>
      <c r="M53" s="347">
        <f t="shared" si="12"/>
        <v>1.8050000000000002</v>
      </c>
      <c r="N53" s="347">
        <f t="shared" si="18"/>
        <v>1.8050000000000002</v>
      </c>
      <c r="O53" s="350">
        <f t="shared" si="19"/>
        <v>1.2033333333333334</v>
      </c>
      <c r="P53" s="350">
        <f t="shared" si="20"/>
        <v>0</v>
      </c>
      <c r="Q53" s="351"/>
      <c r="R53" s="350">
        <f t="shared" si="21"/>
        <v>3.0083333333333337</v>
      </c>
      <c r="S53" s="347">
        <f t="shared" si="22"/>
        <v>3.0083333333333337</v>
      </c>
      <c r="T53" s="350">
        <f t="shared" si="23"/>
        <v>1.2033333333333334</v>
      </c>
      <c r="U53" s="350">
        <f t="shared" si="24"/>
        <v>0</v>
      </c>
      <c r="V53" s="351"/>
      <c r="W53" s="347">
        <f t="shared" si="25"/>
        <v>4.2116666666666669</v>
      </c>
      <c r="X53" s="347">
        <f t="shared" si="26"/>
        <v>4.2116666666666669</v>
      </c>
      <c r="Y53" s="350">
        <f t="shared" si="27"/>
        <v>1.2033333333333334</v>
      </c>
      <c r="Z53" s="350">
        <f t="shared" si="28"/>
        <v>0</v>
      </c>
      <c r="AA53" s="351"/>
      <c r="AB53" s="347"/>
      <c r="AC53" s="458">
        <v>9.5000000000000001E-2</v>
      </c>
    </row>
    <row r="54" spans="2:29" x14ac:dyDescent="0.3">
      <c r="B54" s="467">
        <f t="shared" si="29"/>
        <v>11</v>
      </c>
      <c r="C54" s="879" t="s">
        <v>260</v>
      </c>
      <c r="D54" s="1286">
        <v>0</v>
      </c>
      <c r="E54" s="350">
        <f t="shared" si="13"/>
        <v>0</v>
      </c>
      <c r="F54" s="350">
        <f t="shared" si="14"/>
        <v>0</v>
      </c>
      <c r="G54" s="351"/>
      <c r="H54" s="350">
        <f t="shared" si="30"/>
        <v>0</v>
      </c>
      <c r="I54" s="347">
        <f t="shared" si="15"/>
        <v>0</v>
      </c>
      <c r="J54" s="350">
        <f t="shared" si="16"/>
        <v>0</v>
      </c>
      <c r="K54" s="350">
        <f t="shared" si="17"/>
        <v>0</v>
      </c>
      <c r="L54" s="351"/>
      <c r="M54" s="347">
        <f t="shared" si="12"/>
        <v>0</v>
      </c>
      <c r="N54" s="347">
        <f t="shared" si="18"/>
        <v>0</v>
      </c>
      <c r="O54" s="350">
        <f t="shared" si="19"/>
        <v>0</v>
      </c>
      <c r="P54" s="350">
        <f t="shared" si="20"/>
        <v>0</v>
      </c>
      <c r="Q54" s="351"/>
      <c r="R54" s="350">
        <f t="shared" si="21"/>
        <v>0</v>
      </c>
      <c r="S54" s="347">
        <f t="shared" si="22"/>
        <v>0</v>
      </c>
      <c r="T54" s="350">
        <f t="shared" si="23"/>
        <v>0</v>
      </c>
      <c r="U54" s="350">
        <f t="shared" si="24"/>
        <v>0</v>
      </c>
      <c r="V54" s="351"/>
      <c r="W54" s="347">
        <f t="shared" si="25"/>
        <v>0</v>
      </c>
      <c r="X54" s="347">
        <f t="shared" si="26"/>
        <v>0</v>
      </c>
      <c r="Y54" s="350">
        <f t="shared" si="27"/>
        <v>0</v>
      </c>
      <c r="Z54" s="350">
        <f t="shared" si="28"/>
        <v>0</v>
      </c>
      <c r="AA54" s="351"/>
      <c r="AB54" s="347"/>
      <c r="AC54" s="458">
        <v>6.3299999999999995E-2</v>
      </c>
    </row>
    <row r="55" spans="2:29" x14ac:dyDescent="0.3">
      <c r="B55" s="467">
        <f t="shared" si="29"/>
        <v>12</v>
      </c>
      <c r="C55" s="879" t="s">
        <v>261</v>
      </c>
      <c r="D55" s="1286">
        <v>0</v>
      </c>
      <c r="E55" s="350">
        <f t="shared" si="13"/>
        <v>0</v>
      </c>
      <c r="F55" s="350">
        <f t="shared" si="14"/>
        <v>0</v>
      </c>
      <c r="G55" s="352"/>
      <c r="H55" s="350">
        <f t="shared" si="30"/>
        <v>0</v>
      </c>
      <c r="I55" s="347">
        <f t="shared" si="15"/>
        <v>0</v>
      </c>
      <c r="J55" s="350">
        <f t="shared" si="16"/>
        <v>0</v>
      </c>
      <c r="K55" s="350">
        <f t="shared" si="17"/>
        <v>0</v>
      </c>
      <c r="L55" s="351"/>
      <c r="M55" s="347">
        <f t="shared" si="12"/>
        <v>0</v>
      </c>
      <c r="N55" s="347">
        <f t="shared" si="18"/>
        <v>0</v>
      </c>
      <c r="O55" s="350">
        <f t="shared" si="19"/>
        <v>0</v>
      </c>
      <c r="P55" s="350">
        <f t="shared" si="20"/>
        <v>0</v>
      </c>
      <c r="Q55" s="351"/>
      <c r="R55" s="350">
        <f t="shared" si="21"/>
        <v>0</v>
      </c>
      <c r="S55" s="347">
        <f t="shared" si="22"/>
        <v>0</v>
      </c>
      <c r="T55" s="350">
        <f t="shared" si="23"/>
        <v>0</v>
      </c>
      <c r="U55" s="350">
        <f t="shared" si="24"/>
        <v>0</v>
      </c>
      <c r="V55" s="351"/>
      <c r="W55" s="347">
        <f t="shared" si="25"/>
        <v>0</v>
      </c>
      <c r="X55" s="347">
        <f t="shared" si="26"/>
        <v>0</v>
      </c>
      <c r="Y55" s="350">
        <f t="shared" si="27"/>
        <v>0</v>
      </c>
      <c r="Z55" s="350">
        <f t="shared" si="28"/>
        <v>0</v>
      </c>
      <c r="AA55" s="351"/>
      <c r="AB55" s="347"/>
      <c r="AC55" s="458">
        <v>6.3299999999999995E-2</v>
      </c>
    </row>
    <row r="56" spans="2:29" x14ac:dyDescent="0.3">
      <c r="B56" s="467">
        <f t="shared" si="29"/>
        <v>13</v>
      </c>
      <c r="C56" s="879" t="s">
        <v>897</v>
      </c>
      <c r="D56" s="1286">
        <v>0</v>
      </c>
      <c r="E56" s="350">
        <f t="shared" si="13"/>
        <v>0</v>
      </c>
      <c r="F56" s="350">
        <f t="shared" si="14"/>
        <v>0</v>
      </c>
      <c r="G56" s="352"/>
      <c r="H56" s="350">
        <f t="shared" si="30"/>
        <v>0</v>
      </c>
      <c r="I56" s="347">
        <f t="shared" si="15"/>
        <v>0</v>
      </c>
      <c r="J56" s="350">
        <f t="shared" si="16"/>
        <v>0</v>
      </c>
      <c r="K56" s="350">
        <f t="shared" si="17"/>
        <v>0</v>
      </c>
      <c r="L56" s="351"/>
      <c r="M56" s="347">
        <f t="shared" si="12"/>
        <v>0</v>
      </c>
      <c r="N56" s="347">
        <f t="shared" si="18"/>
        <v>0</v>
      </c>
      <c r="O56" s="350">
        <f t="shared" si="19"/>
        <v>0</v>
      </c>
      <c r="P56" s="350">
        <f t="shared" si="20"/>
        <v>0</v>
      </c>
      <c r="Q56" s="351"/>
      <c r="R56" s="350">
        <f t="shared" si="21"/>
        <v>0</v>
      </c>
      <c r="S56" s="347">
        <f t="shared" si="22"/>
        <v>0</v>
      </c>
      <c r="T56" s="350">
        <f t="shared" si="23"/>
        <v>0</v>
      </c>
      <c r="U56" s="350">
        <f t="shared" si="24"/>
        <v>0</v>
      </c>
      <c r="V56" s="351"/>
      <c r="W56" s="347">
        <f t="shared" si="25"/>
        <v>0</v>
      </c>
      <c r="X56" s="347">
        <f t="shared" si="26"/>
        <v>0</v>
      </c>
      <c r="Y56" s="350">
        <f t="shared" si="27"/>
        <v>0</v>
      </c>
      <c r="Z56" s="350">
        <f t="shared" si="28"/>
        <v>0</v>
      </c>
      <c r="AA56" s="351"/>
      <c r="AB56" s="347"/>
      <c r="AC56" s="458">
        <v>6.3299999999999995E-2</v>
      </c>
    </row>
    <row r="57" spans="2:29" x14ac:dyDescent="0.3">
      <c r="B57" s="467">
        <f t="shared" si="29"/>
        <v>14</v>
      </c>
      <c r="C57" s="879" t="s">
        <v>898</v>
      </c>
      <c r="D57" s="1286">
        <v>0</v>
      </c>
      <c r="E57" s="350">
        <f t="shared" si="13"/>
        <v>0</v>
      </c>
      <c r="F57" s="350">
        <f t="shared" si="14"/>
        <v>0</v>
      </c>
      <c r="G57" s="352"/>
      <c r="H57" s="350">
        <f t="shared" si="30"/>
        <v>0</v>
      </c>
      <c r="I57" s="347">
        <f t="shared" si="15"/>
        <v>0</v>
      </c>
      <c r="J57" s="350">
        <f t="shared" si="16"/>
        <v>0</v>
      </c>
      <c r="K57" s="350">
        <f t="shared" si="17"/>
        <v>0</v>
      </c>
      <c r="L57" s="351"/>
      <c r="M57" s="347">
        <f t="shared" si="12"/>
        <v>0</v>
      </c>
      <c r="N57" s="347">
        <f t="shared" si="18"/>
        <v>0</v>
      </c>
      <c r="O57" s="350">
        <f t="shared" si="19"/>
        <v>0</v>
      </c>
      <c r="P57" s="350">
        <f t="shared" si="20"/>
        <v>0</v>
      </c>
      <c r="Q57" s="351"/>
      <c r="R57" s="350">
        <f t="shared" si="21"/>
        <v>0</v>
      </c>
      <c r="S57" s="347">
        <f t="shared" si="22"/>
        <v>0</v>
      </c>
      <c r="T57" s="350">
        <f t="shared" si="23"/>
        <v>0</v>
      </c>
      <c r="U57" s="350">
        <f t="shared" si="24"/>
        <v>0</v>
      </c>
      <c r="V57" s="351"/>
      <c r="W57" s="347">
        <f t="shared" si="25"/>
        <v>0</v>
      </c>
      <c r="X57" s="347">
        <f t="shared" si="26"/>
        <v>0</v>
      </c>
      <c r="Y57" s="350">
        <f t="shared" si="27"/>
        <v>0</v>
      </c>
      <c r="Z57" s="350">
        <f t="shared" si="28"/>
        <v>0</v>
      </c>
      <c r="AA57" s="351"/>
      <c r="AB57" s="347"/>
      <c r="AC57" s="458">
        <v>0.15</v>
      </c>
    </row>
    <row r="58" spans="2:29" x14ac:dyDescent="0.3">
      <c r="B58" s="467">
        <f t="shared" si="29"/>
        <v>15</v>
      </c>
      <c r="C58" s="879" t="s">
        <v>899</v>
      </c>
      <c r="D58" s="1286">
        <v>0</v>
      </c>
      <c r="E58" s="350">
        <f t="shared" si="13"/>
        <v>4.9999999999999991</v>
      </c>
      <c r="F58" s="350">
        <f t="shared" si="14"/>
        <v>0</v>
      </c>
      <c r="G58" s="352"/>
      <c r="H58" s="350">
        <f t="shared" si="30"/>
        <v>4.9999999999999991</v>
      </c>
      <c r="I58" s="347">
        <f t="shared" si="15"/>
        <v>4.9999999999999991</v>
      </c>
      <c r="J58" s="350">
        <f t="shared" si="16"/>
        <v>9.9999999999999982</v>
      </c>
      <c r="K58" s="350">
        <f t="shared" si="17"/>
        <v>0</v>
      </c>
      <c r="L58" s="351"/>
      <c r="M58" s="347">
        <f t="shared" si="12"/>
        <v>14.999999999999996</v>
      </c>
      <c r="N58" s="347">
        <f t="shared" si="18"/>
        <v>14.999999999999996</v>
      </c>
      <c r="O58" s="350">
        <f t="shared" si="19"/>
        <v>9.9999999999999982</v>
      </c>
      <c r="P58" s="350">
        <f t="shared" si="20"/>
        <v>0</v>
      </c>
      <c r="Q58" s="351"/>
      <c r="R58" s="350">
        <f t="shared" si="21"/>
        <v>24.999999999999993</v>
      </c>
      <c r="S58" s="347">
        <f t="shared" si="22"/>
        <v>24.999999999999993</v>
      </c>
      <c r="T58" s="350">
        <f t="shared" si="23"/>
        <v>9.9999999999999982</v>
      </c>
      <c r="U58" s="350">
        <f t="shared" si="24"/>
        <v>0</v>
      </c>
      <c r="V58" s="351"/>
      <c r="W58" s="347">
        <f t="shared" si="25"/>
        <v>34.999999999999993</v>
      </c>
      <c r="X58" s="347">
        <f t="shared" si="26"/>
        <v>34.999999999999993</v>
      </c>
      <c r="Y58" s="350">
        <f t="shared" si="27"/>
        <v>9.9999999999999982</v>
      </c>
      <c r="Z58" s="350">
        <f t="shared" si="28"/>
        <v>0</v>
      </c>
      <c r="AA58" s="351"/>
      <c r="AB58" s="347"/>
      <c r="AC58" s="458">
        <v>0.15</v>
      </c>
    </row>
    <row r="59" spans="2:29" x14ac:dyDescent="0.3">
      <c r="B59" s="467">
        <f t="shared" si="29"/>
        <v>16</v>
      </c>
      <c r="C59" s="879" t="s">
        <v>850</v>
      </c>
      <c r="D59" s="1286">
        <v>0</v>
      </c>
      <c r="E59" s="350">
        <f t="shared" si="13"/>
        <v>0</v>
      </c>
      <c r="F59" s="350">
        <f t="shared" si="14"/>
        <v>0</v>
      </c>
      <c r="G59" s="351"/>
      <c r="H59" s="350">
        <f t="shared" si="30"/>
        <v>0</v>
      </c>
      <c r="I59" s="347">
        <f t="shared" si="15"/>
        <v>0</v>
      </c>
      <c r="J59" s="350">
        <f t="shared" si="16"/>
        <v>0</v>
      </c>
      <c r="K59" s="350">
        <f t="shared" si="17"/>
        <v>0</v>
      </c>
      <c r="L59" s="351"/>
      <c r="M59" s="347">
        <f t="shared" si="12"/>
        <v>0</v>
      </c>
      <c r="N59" s="347">
        <f t="shared" si="18"/>
        <v>0</v>
      </c>
      <c r="O59" s="350">
        <f t="shared" si="19"/>
        <v>0</v>
      </c>
      <c r="P59" s="350">
        <f t="shared" si="20"/>
        <v>0</v>
      </c>
      <c r="Q59" s="351"/>
      <c r="R59" s="350">
        <f t="shared" si="21"/>
        <v>0</v>
      </c>
      <c r="S59" s="347">
        <f t="shared" si="22"/>
        <v>0</v>
      </c>
      <c r="T59" s="350">
        <f t="shared" si="23"/>
        <v>0</v>
      </c>
      <c r="U59" s="350">
        <f t="shared" si="24"/>
        <v>0</v>
      </c>
      <c r="V59" s="351"/>
      <c r="W59" s="347">
        <f t="shared" si="25"/>
        <v>0</v>
      </c>
      <c r="X59" s="347">
        <f t="shared" si="26"/>
        <v>0</v>
      </c>
      <c r="Y59" s="350">
        <f t="shared" si="27"/>
        <v>0</v>
      </c>
      <c r="Z59" s="350">
        <f t="shared" si="28"/>
        <v>0</v>
      </c>
      <c r="AA59" s="351"/>
      <c r="AB59" s="347"/>
      <c r="AC59" s="458">
        <v>0.15</v>
      </c>
    </row>
    <row r="60" spans="2:29" x14ac:dyDescent="0.3">
      <c r="B60" s="467">
        <f t="shared" si="29"/>
        <v>17</v>
      </c>
      <c r="C60" s="879" t="s">
        <v>900</v>
      </c>
      <c r="D60" s="1286">
        <v>0</v>
      </c>
      <c r="E60" s="350">
        <f t="shared" si="13"/>
        <v>0</v>
      </c>
      <c r="F60" s="350">
        <f t="shared" si="14"/>
        <v>0</v>
      </c>
      <c r="G60" s="351"/>
      <c r="H60" s="350">
        <f t="shared" si="30"/>
        <v>0</v>
      </c>
      <c r="I60" s="347">
        <f t="shared" si="15"/>
        <v>0</v>
      </c>
      <c r="J60" s="350">
        <f t="shared" si="16"/>
        <v>0</v>
      </c>
      <c r="K60" s="350">
        <f t="shared" si="17"/>
        <v>0</v>
      </c>
      <c r="L60" s="351"/>
      <c r="M60" s="347">
        <f t="shared" si="12"/>
        <v>0</v>
      </c>
      <c r="N60" s="347">
        <f t="shared" si="18"/>
        <v>0</v>
      </c>
      <c r="O60" s="350">
        <f t="shared" si="19"/>
        <v>0</v>
      </c>
      <c r="P60" s="350">
        <f t="shared" si="20"/>
        <v>0</v>
      </c>
      <c r="Q60" s="351"/>
      <c r="R60" s="350">
        <f t="shared" si="21"/>
        <v>0</v>
      </c>
      <c r="S60" s="347">
        <f t="shared" si="22"/>
        <v>0</v>
      </c>
      <c r="T60" s="350">
        <f t="shared" si="23"/>
        <v>0</v>
      </c>
      <c r="U60" s="350">
        <f t="shared" si="24"/>
        <v>0</v>
      </c>
      <c r="V60" s="351"/>
      <c r="W60" s="347">
        <f t="shared" si="25"/>
        <v>0</v>
      </c>
      <c r="X60" s="347">
        <f t="shared" si="26"/>
        <v>0</v>
      </c>
      <c r="Y60" s="350">
        <f t="shared" si="27"/>
        <v>0</v>
      </c>
      <c r="Z60" s="350">
        <f t="shared" si="28"/>
        <v>0</v>
      </c>
      <c r="AA60" s="351"/>
      <c r="AB60" s="347"/>
      <c r="AC60" s="458">
        <v>3.3399999999999999E-2</v>
      </c>
    </row>
    <row r="61" spans="2:29" ht="16" x14ac:dyDescent="0.3">
      <c r="B61" s="83"/>
      <c r="C61" s="97" t="s">
        <v>271</v>
      </c>
      <c r="D61" s="349">
        <f>SUM(D44:D60)</f>
        <v>0</v>
      </c>
      <c r="E61" s="349">
        <f>SUM(E44:E60)</f>
        <v>15.488938999999995</v>
      </c>
      <c r="F61" s="349">
        <f t="shared" ref="F61:X61" si="31">SUM(F44:F60)</f>
        <v>0</v>
      </c>
      <c r="G61" s="349">
        <f t="shared" si="31"/>
        <v>0</v>
      </c>
      <c r="H61" s="349">
        <f t="shared" si="31"/>
        <v>15.488938999999995</v>
      </c>
      <c r="I61" s="349">
        <f t="shared" si="31"/>
        <v>15.488938999999995</v>
      </c>
      <c r="J61" s="349">
        <f>SUM(J44:J60)</f>
        <v>42.623012466666658</v>
      </c>
      <c r="K61" s="349">
        <f t="shared" si="31"/>
        <v>0</v>
      </c>
      <c r="L61" s="349">
        <f t="shared" si="31"/>
        <v>0</v>
      </c>
      <c r="M61" s="349">
        <f t="shared" si="31"/>
        <v>58.111951466666653</v>
      </c>
      <c r="N61" s="349">
        <f t="shared" si="31"/>
        <v>58.111951466666653</v>
      </c>
      <c r="O61" s="349">
        <f>SUM(O44:O60)</f>
        <v>57.338195013333326</v>
      </c>
      <c r="P61" s="349">
        <f t="shared" ref="P61" si="32">SUM(P44:P60)</f>
        <v>0</v>
      </c>
      <c r="Q61" s="349">
        <f t="shared" si="31"/>
        <v>0</v>
      </c>
      <c r="R61" s="349">
        <f t="shared" si="31"/>
        <v>115.45014647999997</v>
      </c>
      <c r="S61" s="349">
        <f t="shared" si="31"/>
        <v>115.45014647999997</v>
      </c>
      <c r="T61" s="349">
        <f>SUM(T44:T60)</f>
        <v>72.040292915999999</v>
      </c>
      <c r="U61" s="349">
        <f t="shared" ref="U61" si="33">SUM(U44:U60)</f>
        <v>0</v>
      </c>
      <c r="V61" s="349">
        <f t="shared" si="31"/>
        <v>0</v>
      </c>
      <c r="W61" s="349">
        <f t="shared" si="31"/>
        <v>187.49043939599997</v>
      </c>
      <c r="X61" s="349">
        <f t="shared" si="31"/>
        <v>187.49043939599997</v>
      </c>
      <c r="Y61" s="1463"/>
      <c r="Z61" s="1463"/>
      <c r="AA61" s="1464"/>
      <c r="AB61" s="1463"/>
    </row>
    <row r="62" spans="2:29" ht="16" x14ac:dyDescent="0.3">
      <c r="B62" s="262"/>
      <c r="C62" s="264"/>
      <c r="D62" s="264"/>
      <c r="E62" s="1288">
        <f>'F5'!T86</f>
        <v>5.2909589041095906</v>
      </c>
      <c r="F62" s="264"/>
      <c r="G62" s="264"/>
      <c r="H62" s="264"/>
      <c r="J62" s="1289">
        <f>E62-1</f>
        <v>4.2909589041095906</v>
      </c>
      <c r="K62" s="262"/>
      <c r="L62" s="262"/>
      <c r="M62" s="262"/>
      <c r="O62" s="1289">
        <f>J62-1</f>
        <v>3.2909589041095906</v>
      </c>
      <c r="P62" s="262"/>
      <c r="Q62" s="262"/>
      <c r="R62" s="262"/>
      <c r="T62" s="1289">
        <f>O62-1</f>
        <v>2.2909589041095906</v>
      </c>
      <c r="U62" s="882"/>
      <c r="V62" s="882"/>
      <c r="X62" s="262"/>
      <c r="Y62" s="1289">
        <f>T62-1</f>
        <v>1.2909589041095906</v>
      </c>
      <c r="Z62" s="262"/>
      <c r="AA62" s="262"/>
      <c r="AB62" s="262"/>
    </row>
    <row r="64" spans="2:29" x14ac:dyDescent="0.3">
      <c r="B64" s="862" t="s">
        <v>341</v>
      </c>
    </row>
    <row r="65" spans="2:31" ht="15" customHeight="1" x14ac:dyDescent="0.3">
      <c r="B65" s="262"/>
      <c r="C65" s="264"/>
      <c r="D65" s="264"/>
      <c r="E65" s="264"/>
      <c r="F65" s="264"/>
      <c r="G65" s="264"/>
      <c r="H65" s="264"/>
      <c r="I65" s="264"/>
      <c r="J65" s="264"/>
      <c r="K65" s="264"/>
      <c r="L65" s="264"/>
      <c r="M65" s="264"/>
      <c r="N65" s="262"/>
      <c r="O65" s="262"/>
      <c r="P65" s="262"/>
      <c r="Q65" s="262"/>
      <c r="R65" s="262"/>
      <c r="S65" s="262"/>
      <c r="T65" s="262"/>
      <c r="U65" s="262"/>
      <c r="V65" s="262"/>
      <c r="W65" s="262"/>
      <c r="X65" s="262"/>
      <c r="Y65" s="262"/>
      <c r="Z65" s="262"/>
      <c r="AA65" s="262"/>
      <c r="AB65" s="259" t="s">
        <v>10</v>
      </c>
    </row>
    <row r="66" spans="2:31" x14ac:dyDescent="0.3">
      <c r="B66" s="1699" t="s">
        <v>340</v>
      </c>
      <c r="C66" s="1699" t="s">
        <v>37</v>
      </c>
      <c r="D66" s="1834" t="s">
        <v>969</v>
      </c>
      <c r="E66" s="1825"/>
      <c r="F66" s="1825"/>
      <c r="G66" s="1825"/>
      <c r="H66" s="1826"/>
      <c r="I66" s="1838" t="s">
        <v>970</v>
      </c>
      <c r="J66" s="1838"/>
      <c r="K66" s="1838"/>
      <c r="L66" s="1838"/>
      <c r="M66" s="1838"/>
      <c r="N66" s="1838" t="s">
        <v>971</v>
      </c>
      <c r="O66" s="1838"/>
      <c r="P66" s="1838"/>
      <c r="Q66" s="1838"/>
      <c r="R66" s="1838"/>
      <c r="S66" s="1838" t="s">
        <v>972</v>
      </c>
      <c r="T66" s="1838"/>
      <c r="U66" s="1838"/>
      <c r="V66" s="1838"/>
      <c r="W66" s="1838"/>
      <c r="X66" s="1838" t="s">
        <v>973</v>
      </c>
      <c r="Y66" s="1838"/>
      <c r="Z66" s="1838"/>
      <c r="AA66" s="1838"/>
      <c r="AB66" s="1838"/>
    </row>
    <row r="67" spans="2:31" x14ac:dyDescent="0.3">
      <c r="B67" s="1699"/>
      <c r="C67" s="1699"/>
      <c r="D67" s="1841" t="s">
        <v>21</v>
      </c>
      <c r="E67" s="1842"/>
      <c r="F67" s="1842"/>
      <c r="G67" s="1842"/>
      <c r="H67" s="1842"/>
      <c r="I67" s="1847" t="s">
        <v>21</v>
      </c>
      <c r="J67" s="1848"/>
      <c r="K67" s="1848"/>
      <c r="L67" s="1848"/>
      <c r="M67" s="1849"/>
      <c r="N67" s="1841" t="s">
        <v>21</v>
      </c>
      <c r="O67" s="1842"/>
      <c r="P67" s="1842"/>
      <c r="Q67" s="1842"/>
      <c r="R67" s="1842"/>
      <c r="S67" s="1841" t="s">
        <v>21</v>
      </c>
      <c r="T67" s="1842"/>
      <c r="U67" s="1842"/>
      <c r="V67" s="1842"/>
      <c r="W67" s="1842"/>
      <c r="X67" s="1841" t="s">
        <v>21</v>
      </c>
      <c r="Y67" s="1842"/>
      <c r="Z67" s="1842"/>
      <c r="AA67" s="1842"/>
      <c r="AB67" s="1842"/>
    </row>
    <row r="68" spans="2:31" ht="42" x14ac:dyDescent="0.3">
      <c r="B68" s="1699"/>
      <c r="C68" s="1699"/>
      <c r="D68" s="863" t="s">
        <v>267</v>
      </c>
      <c r="E68" s="863" t="s">
        <v>268</v>
      </c>
      <c r="F68" s="263" t="s">
        <v>274</v>
      </c>
      <c r="G68" s="861" t="s">
        <v>587</v>
      </c>
      <c r="H68" s="863" t="s">
        <v>270</v>
      </c>
      <c r="I68" s="863" t="s">
        <v>267</v>
      </c>
      <c r="J68" s="863" t="s">
        <v>268</v>
      </c>
      <c r="K68" s="263" t="s">
        <v>274</v>
      </c>
      <c r="L68" s="861" t="s">
        <v>587</v>
      </c>
      <c r="M68" s="863" t="s">
        <v>270</v>
      </c>
      <c r="N68" s="863" t="s">
        <v>267</v>
      </c>
      <c r="O68" s="863" t="s">
        <v>268</v>
      </c>
      <c r="P68" s="263" t="s">
        <v>274</v>
      </c>
      <c r="Q68" s="861" t="s">
        <v>587</v>
      </c>
      <c r="R68" s="863" t="s">
        <v>270</v>
      </c>
      <c r="S68" s="863" t="s">
        <v>267</v>
      </c>
      <c r="T68" s="863" t="s">
        <v>268</v>
      </c>
      <c r="U68" s="263" t="s">
        <v>274</v>
      </c>
      <c r="V68" s="861" t="s">
        <v>587</v>
      </c>
      <c r="W68" s="863" t="s">
        <v>270</v>
      </c>
      <c r="X68" s="863" t="s">
        <v>267</v>
      </c>
      <c r="Y68" s="863" t="s">
        <v>268</v>
      </c>
      <c r="Z68" s="263" t="s">
        <v>274</v>
      </c>
      <c r="AA68" s="861" t="s">
        <v>587</v>
      </c>
      <c r="AB68" s="863" t="s">
        <v>270</v>
      </c>
    </row>
    <row r="69" spans="2:31" x14ac:dyDescent="0.3">
      <c r="B69" s="260"/>
      <c r="C69" s="260"/>
      <c r="D69" s="260" t="s">
        <v>81</v>
      </c>
      <c r="E69" s="260" t="s">
        <v>82</v>
      </c>
      <c r="F69" s="260" t="s">
        <v>459</v>
      </c>
      <c r="G69" s="260" t="s">
        <v>391</v>
      </c>
      <c r="H69" s="260" t="s">
        <v>588</v>
      </c>
      <c r="I69" s="260" t="s">
        <v>409</v>
      </c>
      <c r="J69" s="260" t="s">
        <v>509</v>
      </c>
      <c r="K69" s="260" t="s">
        <v>410</v>
      </c>
      <c r="L69" s="260" t="s">
        <v>411</v>
      </c>
      <c r="M69" s="260" t="s">
        <v>651</v>
      </c>
      <c r="N69" s="260" t="s">
        <v>589</v>
      </c>
      <c r="O69" s="260" t="s">
        <v>652</v>
      </c>
      <c r="P69" s="260" t="s">
        <v>590</v>
      </c>
      <c r="Q69" s="260" t="s">
        <v>591</v>
      </c>
      <c r="R69" s="260" t="s">
        <v>1095</v>
      </c>
      <c r="S69" s="260" t="s">
        <v>592</v>
      </c>
      <c r="T69" s="260" t="s">
        <v>593</v>
      </c>
      <c r="U69" s="260" t="s">
        <v>1094</v>
      </c>
      <c r="V69" s="260" t="s">
        <v>1093</v>
      </c>
      <c r="W69" s="260" t="s">
        <v>1092</v>
      </c>
      <c r="X69" s="260" t="s">
        <v>594</v>
      </c>
      <c r="Y69" s="260" t="s">
        <v>595</v>
      </c>
      <c r="Z69" s="260" t="s">
        <v>596</v>
      </c>
      <c r="AA69" s="260" t="s">
        <v>653</v>
      </c>
      <c r="AB69" s="260" t="s">
        <v>1100</v>
      </c>
    </row>
    <row r="70" spans="2:31" x14ac:dyDescent="0.3">
      <c r="B70" s="467">
        <v>1</v>
      </c>
      <c r="C70" s="879" t="s">
        <v>842</v>
      </c>
      <c r="D70" s="350">
        <f>D16-D44</f>
        <v>0</v>
      </c>
      <c r="E70" s="350">
        <f t="shared" ref="E70:F70" si="34">E16-E44</f>
        <v>0</v>
      </c>
      <c r="F70" s="350">
        <f t="shared" si="34"/>
        <v>0</v>
      </c>
      <c r="G70" s="350"/>
      <c r="H70" s="350">
        <f t="shared" ref="H70:H86" si="35">D70+E70-F70-G70</f>
        <v>0</v>
      </c>
      <c r="I70" s="350">
        <f>I16-I44</f>
        <v>0</v>
      </c>
      <c r="J70" s="350">
        <f t="shared" ref="J70:K70" si="36">J16-J44</f>
        <v>0</v>
      </c>
      <c r="K70" s="350">
        <f t="shared" si="36"/>
        <v>0</v>
      </c>
      <c r="L70" s="350"/>
      <c r="M70" s="350">
        <f t="shared" ref="M70:M86" si="37">I70+J70-K70-L70</f>
        <v>0</v>
      </c>
      <c r="N70" s="350">
        <f>N16-N44</f>
        <v>0</v>
      </c>
      <c r="O70" s="350">
        <f t="shared" ref="O70:P70" si="38">O16-O44</f>
        <v>0</v>
      </c>
      <c r="P70" s="350">
        <f t="shared" si="38"/>
        <v>0</v>
      </c>
      <c r="Q70" s="350"/>
      <c r="R70" s="350">
        <f t="shared" ref="R70:R86" si="39">N70+O70-P70-Q70</f>
        <v>0</v>
      </c>
      <c r="S70" s="350">
        <f>S16-S44</f>
        <v>0</v>
      </c>
      <c r="T70" s="350">
        <f t="shared" ref="T70:U70" si="40">T16-T44</f>
        <v>0</v>
      </c>
      <c r="U70" s="350">
        <f t="shared" si="40"/>
        <v>0</v>
      </c>
      <c r="V70" s="350"/>
      <c r="W70" s="350">
        <f t="shared" ref="W70:W86" si="41">S70+T70-U70-V70</f>
        <v>0</v>
      </c>
      <c r="X70" s="350">
        <f>X16-X44</f>
        <v>0</v>
      </c>
      <c r="Y70" s="350">
        <f t="shared" ref="Y70:Z70" si="42">Y16-Y44</f>
        <v>0</v>
      </c>
      <c r="Z70" s="350">
        <f t="shared" si="42"/>
        <v>0</v>
      </c>
      <c r="AA70" s="350"/>
      <c r="AB70" s="350">
        <f t="shared" ref="AB70:AB86" si="43">X70+Y70-Z70-AA70</f>
        <v>0</v>
      </c>
      <c r="AC70" s="1290"/>
      <c r="AD70" s="1290"/>
      <c r="AE70" s="1290"/>
    </row>
    <row r="71" spans="2:31" x14ac:dyDescent="0.3">
      <c r="B71" s="467">
        <f>B70+1</f>
        <v>2</v>
      </c>
      <c r="C71" s="879" t="s">
        <v>843</v>
      </c>
      <c r="D71" s="350">
        <f t="shared" ref="D71:F86" si="44">D17-D45</f>
        <v>0</v>
      </c>
      <c r="E71" s="350">
        <f t="shared" si="44"/>
        <v>0.58506349999999996</v>
      </c>
      <c r="F71" s="350">
        <f t="shared" si="44"/>
        <v>0</v>
      </c>
      <c r="G71" s="350"/>
      <c r="H71" s="350">
        <f t="shared" si="35"/>
        <v>0.58506349999999996</v>
      </c>
      <c r="I71" s="350">
        <f t="shared" ref="I71:K86" si="45">I17-I45</f>
        <v>0.58506349999999996</v>
      </c>
      <c r="J71" s="350">
        <f t="shared" si="45"/>
        <v>14.986923833333332</v>
      </c>
      <c r="K71" s="350">
        <f t="shared" si="45"/>
        <v>0</v>
      </c>
      <c r="L71" s="350"/>
      <c r="M71" s="350">
        <f t="shared" si="37"/>
        <v>15.571987333333333</v>
      </c>
      <c r="N71" s="350">
        <f t="shared" ref="N71:P86" si="46">N17-N45</f>
        <v>15.571987333333333</v>
      </c>
      <c r="O71" s="350">
        <f t="shared" si="46"/>
        <v>14.613207333333333</v>
      </c>
      <c r="P71" s="350">
        <f t="shared" si="46"/>
        <v>0</v>
      </c>
      <c r="Q71" s="350"/>
      <c r="R71" s="350">
        <f t="shared" si="39"/>
        <v>30.185194666666668</v>
      </c>
      <c r="S71" s="350">
        <f t="shared" ref="S71:U86" si="47">S17-S45</f>
        <v>30.185194666666668</v>
      </c>
      <c r="T71" s="350">
        <f t="shared" si="47"/>
        <v>55.004127333333336</v>
      </c>
      <c r="U71" s="350">
        <f t="shared" si="47"/>
        <v>0</v>
      </c>
      <c r="V71" s="350"/>
      <c r="W71" s="350">
        <f t="shared" si="41"/>
        <v>85.189322000000004</v>
      </c>
      <c r="X71" s="350">
        <f t="shared" ref="X71:Z86" si="48">X17-X45</f>
        <v>85.18932199999999</v>
      </c>
      <c r="Y71" s="350">
        <f t="shared" si="48"/>
        <v>-2.9477726666666664</v>
      </c>
      <c r="Z71" s="350">
        <f t="shared" si="48"/>
        <v>0</v>
      </c>
      <c r="AA71" s="350"/>
      <c r="AB71" s="350">
        <f t="shared" si="43"/>
        <v>82.241549333333325</v>
      </c>
      <c r="AC71" s="1290"/>
      <c r="AD71" s="1290"/>
      <c r="AE71" s="1290"/>
    </row>
    <row r="72" spans="2:31" x14ac:dyDescent="0.3">
      <c r="B72" s="467">
        <f t="shared" ref="B72:B86" si="49">B71+1</f>
        <v>3</v>
      </c>
      <c r="C72" s="879" t="s">
        <v>844</v>
      </c>
      <c r="D72" s="350">
        <f t="shared" si="44"/>
        <v>0</v>
      </c>
      <c r="E72" s="350">
        <f t="shared" si="44"/>
        <v>4.8944999999999999</v>
      </c>
      <c r="F72" s="350">
        <f t="shared" si="44"/>
        <v>0</v>
      </c>
      <c r="G72" s="350"/>
      <c r="H72" s="350">
        <f t="shared" si="35"/>
        <v>4.8944999999999999</v>
      </c>
      <c r="I72" s="350">
        <f t="shared" si="45"/>
        <v>4.8944999999999999</v>
      </c>
      <c r="J72" s="350">
        <f t="shared" si="45"/>
        <v>18.632825</v>
      </c>
      <c r="K72" s="350">
        <f t="shared" si="45"/>
        <v>0</v>
      </c>
      <c r="L72" s="350"/>
      <c r="M72" s="350">
        <f t="shared" si="37"/>
        <v>23.527325000000001</v>
      </c>
      <c r="N72" s="350">
        <f t="shared" si="46"/>
        <v>23.527325000000001</v>
      </c>
      <c r="O72" s="350">
        <f t="shared" si="46"/>
        <v>6.5141799999999996</v>
      </c>
      <c r="P72" s="350">
        <f t="shared" si="46"/>
        <v>0</v>
      </c>
      <c r="Q72" s="350"/>
      <c r="R72" s="350">
        <f t="shared" si="39"/>
        <v>30.041505000000001</v>
      </c>
      <c r="S72" s="350">
        <f t="shared" si="47"/>
        <v>30.041505000000001</v>
      </c>
      <c r="T72" s="350">
        <f t="shared" si="47"/>
        <v>54.468548843999997</v>
      </c>
      <c r="U72" s="350">
        <f t="shared" si="47"/>
        <v>0</v>
      </c>
      <c r="V72" s="350"/>
      <c r="W72" s="350">
        <f t="shared" si="41"/>
        <v>84.510053843999998</v>
      </c>
      <c r="X72" s="350">
        <f t="shared" si="48"/>
        <v>84.510053843999998</v>
      </c>
      <c r="Y72" s="350">
        <f t="shared" si="48"/>
        <v>-3.7545323120000003</v>
      </c>
      <c r="Z72" s="350">
        <f t="shared" si="48"/>
        <v>0</v>
      </c>
      <c r="AA72" s="350"/>
      <c r="AB72" s="350">
        <f t="shared" si="43"/>
        <v>80.755521532000003</v>
      </c>
      <c r="AC72" s="1290"/>
      <c r="AD72" s="1290"/>
      <c r="AE72" s="1290"/>
    </row>
    <row r="73" spans="2:31" x14ac:dyDescent="0.3">
      <c r="B73" s="467">
        <f t="shared" si="49"/>
        <v>4</v>
      </c>
      <c r="C73" s="879" t="s">
        <v>845</v>
      </c>
      <c r="D73" s="350">
        <f t="shared" si="44"/>
        <v>0</v>
      </c>
      <c r="E73" s="350">
        <f t="shared" si="44"/>
        <v>0</v>
      </c>
      <c r="F73" s="350">
        <f t="shared" si="44"/>
        <v>0</v>
      </c>
      <c r="G73" s="350"/>
      <c r="H73" s="350">
        <f t="shared" si="35"/>
        <v>0</v>
      </c>
      <c r="I73" s="350">
        <f t="shared" si="45"/>
        <v>0</v>
      </c>
      <c r="J73" s="350">
        <f t="shared" si="45"/>
        <v>0</v>
      </c>
      <c r="K73" s="350">
        <f t="shared" si="45"/>
        <v>0</v>
      </c>
      <c r="L73" s="350"/>
      <c r="M73" s="350">
        <f t="shared" si="37"/>
        <v>0</v>
      </c>
      <c r="N73" s="350">
        <f t="shared" si="46"/>
        <v>0</v>
      </c>
      <c r="O73" s="350">
        <f t="shared" si="46"/>
        <v>0</v>
      </c>
      <c r="P73" s="350">
        <f t="shared" si="46"/>
        <v>0</v>
      </c>
      <c r="Q73" s="350"/>
      <c r="R73" s="350">
        <f t="shared" si="39"/>
        <v>0</v>
      </c>
      <c r="S73" s="350">
        <f t="shared" si="47"/>
        <v>0</v>
      </c>
      <c r="T73" s="350">
        <f t="shared" si="47"/>
        <v>0</v>
      </c>
      <c r="U73" s="350">
        <f t="shared" si="47"/>
        <v>0</v>
      </c>
      <c r="V73" s="350"/>
      <c r="W73" s="350">
        <f t="shared" si="41"/>
        <v>0</v>
      </c>
      <c r="X73" s="350">
        <f t="shared" si="48"/>
        <v>0</v>
      </c>
      <c r="Y73" s="350">
        <f t="shared" si="48"/>
        <v>0</v>
      </c>
      <c r="Z73" s="350">
        <f t="shared" si="48"/>
        <v>0</v>
      </c>
      <c r="AA73" s="350"/>
      <c r="AB73" s="350">
        <f t="shared" si="43"/>
        <v>0</v>
      </c>
      <c r="AC73" s="1290"/>
      <c r="AD73" s="1290"/>
      <c r="AE73" s="1290"/>
    </row>
    <row r="74" spans="2:31" x14ac:dyDescent="0.3">
      <c r="B74" s="467">
        <f t="shared" si="49"/>
        <v>5</v>
      </c>
      <c r="C74" s="879" t="s">
        <v>846</v>
      </c>
      <c r="D74" s="350">
        <f t="shared" si="44"/>
        <v>0</v>
      </c>
      <c r="E74" s="350">
        <f t="shared" si="44"/>
        <v>71.580962333333318</v>
      </c>
      <c r="F74" s="350">
        <f t="shared" si="44"/>
        <v>0</v>
      </c>
      <c r="G74" s="350"/>
      <c r="H74" s="350">
        <f t="shared" si="35"/>
        <v>71.580962333333318</v>
      </c>
      <c r="I74" s="350">
        <f t="shared" si="45"/>
        <v>71.580962333333318</v>
      </c>
      <c r="J74" s="350">
        <f t="shared" si="45"/>
        <v>19.856724666666665</v>
      </c>
      <c r="K74" s="350">
        <f t="shared" si="45"/>
        <v>0</v>
      </c>
      <c r="L74" s="350"/>
      <c r="M74" s="350">
        <f t="shared" si="37"/>
        <v>91.437686999999983</v>
      </c>
      <c r="N74" s="350">
        <f t="shared" si="46"/>
        <v>91.437686999999983</v>
      </c>
      <c r="O74" s="350">
        <f t="shared" si="46"/>
        <v>29.260424666666669</v>
      </c>
      <c r="P74" s="350">
        <f t="shared" si="46"/>
        <v>0</v>
      </c>
      <c r="Q74" s="350"/>
      <c r="R74" s="350">
        <f t="shared" si="39"/>
        <v>120.69811166666665</v>
      </c>
      <c r="S74" s="350">
        <f t="shared" si="47"/>
        <v>120.69811166666665</v>
      </c>
      <c r="T74" s="350">
        <f t="shared" si="47"/>
        <v>103.87232466666667</v>
      </c>
      <c r="U74" s="350">
        <f t="shared" si="47"/>
        <v>0</v>
      </c>
      <c r="V74" s="350"/>
      <c r="W74" s="350">
        <f t="shared" si="41"/>
        <v>224.5704363333333</v>
      </c>
      <c r="X74" s="350">
        <f t="shared" si="48"/>
        <v>224.5704363333333</v>
      </c>
      <c r="Y74" s="350">
        <f t="shared" si="48"/>
        <v>-7.9646753333333322</v>
      </c>
      <c r="Z74" s="350">
        <f t="shared" si="48"/>
        <v>0</v>
      </c>
      <c r="AA74" s="350"/>
      <c r="AB74" s="350">
        <f t="shared" si="43"/>
        <v>216.60576099999997</v>
      </c>
      <c r="AC74" s="1290"/>
      <c r="AD74" s="1290"/>
      <c r="AE74" s="1290"/>
    </row>
    <row r="75" spans="2:31" x14ac:dyDescent="0.3">
      <c r="B75" s="467">
        <f t="shared" si="49"/>
        <v>6</v>
      </c>
      <c r="C75" s="879" t="s">
        <v>256</v>
      </c>
      <c r="D75" s="350">
        <f t="shared" si="44"/>
        <v>0</v>
      </c>
      <c r="E75" s="350">
        <f t="shared" si="44"/>
        <v>386.66386849999986</v>
      </c>
      <c r="F75" s="350">
        <f t="shared" si="44"/>
        <v>0</v>
      </c>
      <c r="G75" s="350"/>
      <c r="H75" s="350">
        <f t="shared" si="35"/>
        <v>386.66386849999986</v>
      </c>
      <c r="I75" s="350">
        <f t="shared" si="45"/>
        <v>386.66386849999986</v>
      </c>
      <c r="J75" s="350">
        <f t="shared" si="45"/>
        <v>475.35851403333328</v>
      </c>
      <c r="K75" s="350">
        <f t="shared" si="45"/>
        <v>0</v>
      </c>
      <c r="L75" s="350"/>
      <c r="M75" s="350">
        <f t="shared" si="37"/>
        <v>862.02238253333314</v>
      </c>
      <c r="N75" s="350">
        <f t="shared" si="46"/>
        <v>862.02238253333314</v>
      </c>
      <c r="O75" s="350">
        <f t="shared" si="46"/>
        <v>59.513459653333342</v>
      </c>
      <c r="P75" s="350">
        <f t="shared" si="46"/>
        <v>0</v>
      </c>
      <c r="Q75" s="350"/>
      <c r="R75" s="350">
        <f t="shared" si="39"/>
        <v>921.53584218666651</v>
      </c>
      <c r="S75" s="350">
        <f t="shared" si="47"/>
        <v>921.53584218666651</v>
      </c>
      <c r="T75" s="350">
        <f t="shared" si="47"/>
        <v>312.36799957333329</v>
      </c>
      <c r="U75" s="350">
        <f t="shared" si="47"/>
        <v>0</v>
      </c>
      <c r="V75" s="350"/>
      <c r="W75" s="350">
        <f t="shared" si="41"/>
        <v>1233.9038417599998</v>
      </c>
      <c r="X75" s="350">
        <f t="shared" si="48"/>
        <v>1233.90384176</v>
      </c>
      <c r="Y75" s="350">
        <f t="shared" si="48"/>
        <v>149.20878224000001</v>
      </c>
      <c r="Z75" s="350">
        <f t="shared" si="48"/>
        <v>0</v>
      </c>
      <c r="AA75" s="350"/>
      <c r="AB75" s="350">
        <f t="shared" si="43"/>
        <v>1383.1126239999999</v>
      </c>
      <c r="AC75" s="1290"/>
      <c r="AD75" s="1290"/>
      <c r="AE75" s="1290"/>
    </row>
    <row r="76" spans="2:31" x14ac:dyDescent="0.3">
      <c r="B76" s="467">
        <f t="shared" si="49"/>
        <v>7</v>
      </c>
      <c r="C76" s="879" t="s">
        <v>847</v>
      </c>
      <c r="D76" s="350">
        <f t="shared" si="44"/>
        <v>0</v>
      </c>
      <c r="E76" s="350">
        <f t="shared" si="44"/>
        <v>4.4449999999999994</v>
      </c>
      <c r="F76" s="350">
        <f t="shared" si="44"/>
        <v>0</v>
      </c>
      <c r="G76" s="350"/>
      <c r="H76" s="350">
        <f t="shared" si="35"/>
        <v>4.4449999999999994</v>
      </c>
      <c r="I76" s="350">
        <f t="shared" si="45"/>
        <v>4.4449999999999994</v>
      </c>
      <c r="J76" s="350">
        <f t="shared" si="45"/>
        <v>-0.4433333333333333</v>
      </c>
      <c r="K76" s="350">
        <f t="shared" si="45"/>
        <v>0</v>
      </c>
      <c r="L76" s="350"/>
      <c r="M76" s="350">
        <f t="shared" si="37"/>
        <v>4.001666666666666</v>
      </c>
      <c r="N76" s="350">
        <f t="shared" si="46"/>
        <v>4.001666666666666</v>
      </c>
      <c r="O76" s="350">
        <f t="shared" si="46"/>
        <v>-0.4433333333333333</v>
      </c>
      <c r="P76" s="350">
        <f t="shared" si="46"/>
        <v>0</v>
      </c>
      <c r="Q76" s="350"/>
      <c r="R76" s="350">
        <f t="shared" si="39"/>
        <v>3.5583333333333327</v>
      </c>
      <c r="S76" s="350">
        <f t="shared" si="47"/>
        <v>3.5583333333333327</v>
      </c>
      <c r="T76" s="350">
        <f t="shared" si="47"/>
        <v>-0.4433333333333333</v>
      </c>
      <c r="U76" s="350">
        <f t="shared" si="47"/>
        <v>0</v>
      </c>
      <c r="V76" s="350"/>
      <c r="W76" s="350">
        <f t="shared" si="41"/>
        <v>3.1149999999999993</v>
      </c>
      <c r="X76" s="350">
        <f t="shared" si="48"/>
        <v>3.1149999999999993</v>
      </c>
      <c r="Y76" s="350">
        <f t="shared" si="48"/>
        <v>-0.4433333333333333</v>
      </c>
      <c r="Z76" s="350">
        <f t="shared" si="48"/>
        <v>0</v>
      </c>
      <c r="AA76" s="350"/>
      <c r="AB76" s="350">
        <f t="shared" si="43"/>
        <v>2.671666666666666</v>
      </c>
      <c r="AC76" s="1290"/>
      <c r="AD76" s="1290"/>
      <c r="AE76" s="1290"/>
    </row>
    <row r="77" spans="2:31" x14ac:dyDescent="0.3">
      <c r="B77" s="467">
        <f t="shared" si="49"/>
        <v>8</v>
      </c>
      <c r="C77" s="879" t="s">
        <v>848</v>
      </c>
      <c r="D77" s="350">
        <f t="shared" si="44"/>
        <v>0</v>
      </c>
      <c r="E77" s="350">
        <f t="shared" si="44"/>
        <v>0</v>
      </c>
      <c r="F77" s="350">
        <f t="shared" si="44"/>
        <v>0</v>
      </c>
      <c r="G77" s="350"/>
      <c r="H77" s="350">
        <f t="shared" si="35"/>
        <v>0</v>
      </c>
      <c r="I77" s="350">
        <f t="shared" si="45"/>
        <v>0</v>
      </c>
      <c r="J77" s="350">
        <f t="shared" si="45"/>
        <v>0</v>
      </c>
      <c r="K77" s="350">
        <f t="shared" si="45"/>
        <v>0</v>
      </c>
      <c r="L77" s="350"/>
      <c r="M77" s="350">
        <f t="shared" si="37"/>
        <v>0</v>
      </c>
      <c r="N77" s="350">
        <f t="shared" si="46"/>
        <v>0</v>
      </c>
      <c r="O77" s="350">
        <f t="shared" si="46"/>
        <v>0</v>
      </c>
      <c r="P77" s="350">
        <f t="shared" si="46"/>
        <v>0</v>
      </c>
      <c r="Q77" s="350"/>
      <c r="R77" s="350">
        <f t="shared" si="39"/>
        <v>0</v>
      </c>
      <c r="S77" s="350">
        <f t="shared" si="47"/>
        <v>0</v>
      </c>
      <c r="T77" s="350">
        <f t="shared" si="47"/>
        <v>0</v>
      </c>
      <c r="U77" s="350">
        <f t="shared" si="47"/>
        <v>0</v>
      </c>
      <c r="V77" s="350"/>
      <c r="W77" s="350">
        <f t="shared" si="41"/>
        <v>0</v>
      </c>
      <c r="X77" s="350">
        <f t="shared" si="48"/>
        <v>0</v>
      </c>
      <c r="Y77" s="350">
        <f t="shared" si="48"/>
        <v>0</v>
      </c>
      <c r="Z77" s="350">
        <f t="shared" si="48"/>
        <v>0</v>
      </c>
      <c r="AA77" s="350"/>
      <c r="AB77" s="350">
        <f t="shared" si="43"/>
        <v>0</v>
      </c>
      <c r="AC77" s="1290"/>
      <c r="AD77" s="1290"/>
      <c r="AE77" s="1290"/>
    </row>
    <row r="78" spans="2:31" x14ac:dyDescent="0.3">
      <c r="B78" s="467">
        <f t="shared" si="49"/>
        <v>9</v>
      </c>
      <c r="C78" s="879" t="s">
        <v>849</v>
      </c>
      <c r="D78" s="350">
        <f t="shared" si="44"/>
        <v>0</v>
      </c>
      <c r="E78" s="350">
        <f t="shared" si="44"/>
        <v>0</v>
      </c>
      <c r="F78" s="350">
        <f t="shared" si="44"/>
        <v>0</v>
      </c>
      <c r="G78" s="350"/>
      <c r="H78" s="350">
        <f t="shared" si="35"/>
        <v>0</v>
      </c>
      <c r="I78" s="350">
        <f t="shared" si="45"/>
        <v>0</v>
      </c>
      <c r="J78" s="350">
        <f t="shared" si="45"/>
        <v>0</v>
      </c>
      <c r="K78" s="350">
        <f t="shared" si="45"/>
        <v>0</v>
      </c>
      <c r="L78" s="350"/>
      <c r="M78" s="350">
        <f t="shared" si="37"/>
        <v>0</v>
      </c>
      <c r="N78" s="350">
        <f t="shared" si="46"/>
        <v>0</v>
      </c>
      <c r="O78" s="350">
        <f t="shared" si="46"/>
        <v>0</v>
      </c>
      <c r="P78" s="350">
        <f t="shared" si="46"/>
        <v>0</v>
      </c>
      <c r="Q78" s="350"/>
      <c r="R78" s="350">
        <f t="shared" si="39"/>
        <v>0</v>
      </c>
      <c r="S78" s="350">
        <f t="shared" si="47"/>
        <v>0</v>
      </c>
      <c r="T78" s="350">
        <f t="shared" si="47"/>
        <v>0</v>
      </c>
      <c r="U78" s="350">
        <f t="shared" si="47"/>
        <v>0</v>
      </c>
      <c r="V78" s="350"/>
      <c r="W78" s="350">
        <f t="shared" si="41"/>
        <v>0</v>
      </c>
      <c r="X78" s="350">
        <f t="shared" si="48"/>
        <v>0</v>
      </c>
      <c r="Y78" s="350">
        <f t="shared" si="48"/>
        <v>0</v>
      </c>
      <c r="Z78" s="350">
        <f t="shared" si="48"/>
        <v>0</v>
      </c>
      <c r="AA78" s="350"/>
      <c r="AB78" s="350">
        <f t="shared" si="43"/>
        <v>0</v>
      </c>
      <c r="AC78" s="1290"/>
      <c r="AD78" s="1290"/>
      <c r="AE78" s="1290"/>
    </row>
    <row r="79" spans="2:31" x14ac:dyDescent="0.3">
      <c r="B79" s="467">
        <f t="shared" si="49"/>
        <v>10</v>
      </c>
      <c r="C79" s="879" t="s">
        <v>259</v>
      </c>
      <c r="D79" s="350">
        <f t="shared" si="44"/>
        <v>0</v>
      </c>
      <c r="E79" s="350">
        <f t="shared" si="44"/>
        <v>12.065</v>
      </c>
      <c r="F79" s="350">
        <f t="shared" si="44"/>
        <v>0</v>
      </c>
      <c r="G79" s="350"/>
      <c r="H79" s="350">
        <f t="shared" si="35"/>
        <v>12.065</v>
      </c>
      <c r="I79" s="350">
        <f t="shared" si="45"/>
        <v>12.065</v>
      </c>
      <c r="J79" s="350">
        <f t="shared" si="45"/>
        <v>-1.2033333333333334</v>
      </c>
      <c r="K79" s="350">
        <f t="shared" si="45"/>
        <v>0</v>
      </c>
      <c r="L79" s="350"/>
      <c r="M79" s="350">
        <f t="shared" si="37"/>
        <v>10.861666666666666</v>
      </c>
      <c r="N79" s="350">
        <f t="shared" si="46"/>
        <v>10.861666666666666</v>
      </c>
      <c r="O79" s="350">
        <f t="shared" si="46"/>
        <v>-1.2033333333333334</v>
      </c>
      <c r="P79" s="350">
        <f t="shared" si="46"/>
        <v>0</v>
      </c>
      <c r="Q79" s="350"/>
      <c r="R79" s="350">
        <f t="shared" si="39"/>
        <v>9.6583333333333332</v>
      </c>
      <c r="S79" s="350">
        <f t="shared" si="47"/>
        <v>9.6583333333333314</v>
      </c>
      <c r="T79" s="350">
        <f t="shared" si="47"/>
        <v>-1.2033333333333334</v>
      </c>
      <c r="U79" s="350">
        <f t="shared" si="47"/>
        <v>0</v>
      </c>
      <c r="V79" s="350"/>
      <c r="W79" s="350">
        <f t="shared" si="41"/>
        <v>8.4549999999999983</v>
      </c>
      <c r="X79" s="350">
        <f t="shared" si="48"/>
        <v>8.4549999999999983</v>
      </c>
      <c r="Y79" s="350">
        <f t="shared" si="48"/>
        <v>-1.2033333333333334</v>
      </c>
      <c r="Z79" s="350">
        <f t="shared" si="48"/>
        <v>0</v>
      </c>
      <c r="AA79" s="350"/>
      <c r="AB79" s="350">
        <f t="shared" si="43"/>
        <v>7.2516666666666652</v>
      </c>
      <c r="AC79" s="1290"/>
      <c r="AD79" s="1290"/>
      <c r="AE79" s="1290"/>
    </row>
    <row r="80" spans="2:31" x14ac:dyDescent="0.3">
      <c r="B80" s="467">
        <f t="shared" si="49"/>
        <v>11</v>
      </c>
      <c r="C80" s="879" t="s">
        <v>260</v>
      </c>
      <c r="D80" s="350">
        <f t="shared" si="44"/>
        <v>0</v>
      </c>
      <c r="E80" s="350">
        <f t="shared" si="44"/>
        <v>0</v>
      </c>
      <c r="F80" s="350">
        <f t="shared" si="44"/>
        <v>0</v>
      </c>
      <c r="G80" s="350"/>
      <c r="H80" s="350">
        <f t="shared" si="35"/>
        <v>0</v>
      </c>
      <c r="I80" s="350">
        <f t="shared" si="45"/>
        <v>0</v>
      </c>
      <c r="J80" s="350">
        <f t="shared" si="45"/>
        <v>0</v>
      </c>
      <c r="K80" s="350">
        <f t="shared" si="45"/>
        <v>0</v>
      </c>
      <c r="L80" s="350"/>
      <c r="M80" s="350">
        <f t="shared" si="37"/>
        <v>0</v>
      </c>
      <c r="N80" s="350">
        <f t="shared" si="46"/>
        <v>0</v>
      </c>
      <c r="O80" s="350">
        <f t="shared" si="46"/>
        <v>0</v>
      </c>
      <c r="P80" s="350">
        <f t="shared" si="46"/>
        <v>0</v>
      </c>
      <c r="Q80" s="350"/>
      <c r="R80" s="350">
        <f t="shared" si="39"/>
        <v>0</v>
      </c>
      <c r="S80" s="350">
        <f t="shared" si="47"/>
        <v>0</v>
      </c>
      <c r="T80" s="350">
        <f t="shared" si="47"/>
        <v>0</v>
      </c>
      <c r="U80" s="350">
        <f t="shared" si="47"/>
        <v>0</v>
      </c>
      <c r="V80" s="350"/>
      <c r="W80" s="350">
        <f t="shared" si="41"/>
        <v>0</v>
      </c>
      <c r="X80" s="350">
        <f t="shared" si="48"/>
        <v>0</v>
      </c>
      <c r="Y80" s="350">
        <f t="shared" si="48"/>
        <v>0</v>
      </c>
      <c r="Z80" s="350">
        <f t="shared" si="48"/>
        <v>0</v>
      </c>
      <c r="AA80" s="350"/>
      <c r="AB80" s="350">
        <f t="shared" si="43"/>
        <v>0</v>
      </c>
      <c r="AC80" s="1290"/>
      <c r="AD80" s="1290"/>
      <c r="AE80" s="1290"/>
    </row>
    <row r="81" spans="2:31" x14ac:dyDescent="0.3">
      <c r="B81" s="467">
        <f t="shared" si="49"/>
        <v>12</v>
      </c>
      <c r="C81" s="879" t="s">
        <v>261</v>
      </c>
      <c r="D81" s="350">
        <f t="shared" si="44"/>
        <v>0</v>
      </c>
      <c r="E81" s="350">
        <f t="shared" si="44"/>
        <v>0</v>
      </c>
      <c r="F81" s="350">
        <f t="shared" si="44"/>
        <v>0</v>
      </c>
      <c r="G81" s="350"/>
      <c r="H81" s="350">
        <f t="shared" si="35"/>
        <v>0</v>
      </c>
      <c r="I81" s="350">
        <f t="shared" si="45"/>
        <v>0</v>
      </c>
      <c r="J81" s="350">
        <f t="shared" si="45"/>
        <v>0</v>
      </c>
      <c r="K81" s="350">
        <f t="shared" si="45"/>
        <v>0</v>
      </c>
      <c r="L81" s="350"/>
      <c r="M81" s="350">
        <f t="shared" si="37"/>
        <v>0</v>
      </c>
      <c r="N81" s="350">
        <f t="shared" si="46"/>
        <v>0</v>
      </c>
      <c r="O81" s="350">
        <f t="shared" si="46"/>
        <v>0</v>
      </c>
      <c r="P81" s="350">
        <f t="shared" si="46"/>
        <v>0</v>
      </c>
      <c r="Q81" s="350"/>
      <c r="R81" s="350">
        <f t="shared" si="39"/>
        <v>0</v>
      </c>
      <c r="S81" s="350">
        <f t="shared" si="47"/>
        <v>0</v>
      </c>
      <c r="T81" s="350">
        <f t="shared" si="47"/>
        <v>0</v>
      </c>
      <c r="U81" s="350">
        <f t="shared" si="47"/>
        <v>0</v>
      </c>
      <c r="V81" s="350"/>
      <c r="W81" s="350">
        <f t="shared" si="41"/>
        <v>0</v>
      </c>
      <c r="X81" s="350">
        <f t="shared" si="48"/>
        <v>0</v>
      </c>
      <c r="Y81" s="350">
        <f t="shared" si="48"/>
        <v>0</v>
      </c>
      <c r="Z81" s="350">
        <f t="shared" si="48"/>
        <v>0</v>
      </c>
      <c r="AA81" s="350"/>
      <c r="AB81" s="350">
        <f t="shared" si="43"/>
        <v>0</v>
      </c>
      <c r="AC81" s="1290"/>
      <c r="AD81" s="1290"/>
      <c r="AE81" s="1290"/>
    </row>
    <row r="82" spans="2:31" x14ac:dyDescent="0.3">
      <c r="B82" s="467">
        <f t="shared" si="49"/>
        <v>13</v>
      </c>
      <c r="C82" s="879" t="s">
        <v>897</v>
      </c>
      <c r="D82" s="350">
        <f t="shared" si="44"/>
        <v>0</v>
      </c>
      <c r="E82" s="350">
        <f t="shared" si="44"/>
        <v>0</v>
      </c>
      <c r="F82" s="350">
        <f t="shared" si="44"/>
        <v>0</v>
      </c>
      <c r="G82" s="350"/>
      <c r="H82" s="350">
        <f t="shared" si="35"/>
        <v>0</v>
      </c>
      <c r="I82" s="350">
        <f t="shared" si="45"/>
        <v>0</v>
      </c>
      <c r="J82" s="350">
        <f t="shared" si="45"/>
        <v>0</v>
      </c>
      <c r="K82" s="350">
        <f t="shared" si="45"/>
        <v>0</v>
      </c>
      <c r="L82" s="350"/>
      <c r="M82" s="350">
        <f t="shared" si="37"/>
        <v>0</v>
      </c>
      <c r="N82" s="350">
        <f t="shared" si="46"/>
        <v>0</v>
      </c>
      <c r="O82" s="350">
        <f t="shared" si="46"/>
        <v>0</v>
      </c>
      <c r="P82" s="350">
        <f t="shared" si="46"/>
        <v>0</v>
      </c>
      <c r="Q82" s="350"/>
      <c r="R82" s="350">
        <f t="shared" si="39"/>
        <v>0</v>
      </c>
      <c r="S82" s="350">
        <f t="shared" si="47"/>
        <v>0</v>
      </c>
      <c r="T82" s="350">
        <f t="shared" si="47"/>
        <v>0</v>
      </c>
      <c r="U82" s="350">
        <f t="shared" si="47"/>
        <v>0</v>
      </c>
      <c r="V82" s="350"/>
      <c r="W82" s="350">
        <f t="shared" si="41"/>
        <v>0</v>
      </c>
      <c r="X82" s="350">
        <f t="shared" si="48"/>
        <v>0</v>
      </c>
      <c r="Y82" s="350">
        <f t="shared" si="48"/>
        <v>0</v>
      </c>
      <c r="Z82" s="350">
        <f t="shared" si="48"/>
        <v>0</v>
      </c>
      <c r="AA82" s="350"/>
      <c r="AB82" s="350">
        <f t="shared" si="43"/>
        <v>0</v>
      </c>
      <c r="AC82" s="1290"/>
      <c r="AD82" s="1290"/>
      <c r="AE82" s="1290"/>
    </row>
    <row r="83" spans="2:31" x14ac:dyDescent="0.3">
      <c r="B83" s="467">
        <f t="shared" si="49"/>
        <v>14</v>
      </c>
      <c r="C83" s="879" t="s">
        <v>898</v>
      </c>
      <c r="D83" s="350">
        <f t="shared" si="44"/>
        <v>0</v>
      </c>
      <c r="E83" s="350">
        <f t="shared" si="44"/>
        <v>0</v>
      </c>
      <c r="F83" s="350">
        <f t="shared" si="44"/>
        <v>0</v>
      </c>
      <c r="G83" s="350"/>
      <c r="H83" s="350">
        <f t="shared" si="35"/>
        <v>0</v>
      </c>
      <c r="I83" s="350">
        <f t="shared" si="45"/>
        <v>0</v>
      </c>
      <c r="J83" s="350">
        <f t="shared" si="45"/>
        <v>0</v>
      </c>
      <c r="K83" s="350">
        <f t="shared" si="45"/>
        <v>0</v>
      </c>
      <c r="L83" s="350"/>
      <c r="M83" s="350">
        <f t="shared" si="37"/>
        <v>0</v>
      </c>
      <c r="N83" s="350">
        <f t="shared" si="46"/>
        <v>0</v>
      </c>
      <c r="O83" s="350">
        <f t="shared" si="46"/>
        <v>0</v>
      </c>
      <c r="P83" s="350">
        <f t="shared" si="46"/>
        <v>0</v>
      </c>
      <c r="Q83" s="350"/>
      <c r="R83" s="350">
        <f t="shared" si="39"/>
        <v>0</v>
      </c>
      <c r="S83" s="350">
        <f t="shared" si="47"/>
        <v>0</v>
      </c>
      <c r="T83" s="350">
        <f t="shared" si="47"/>
        <v>0</v>
      </c>
      <c r="U83" s="350">
        <f t="shared" si="47"/>
        <v>0</v>
      </c>
      <c r="V83" s="350"/>
      <c r="W83" s="350">
        <f t="shared" si="41"/>
        <v>0</v>
      </c>
      <c r="X83" s="350">
        <f t="shared" si="48"/>
        <v>0</v>
      </c>
      <c r="Y83" s="350">
        <f t="shared" si="48"/>
        <v>0</v>
      </c>
      <c r="Z83" s="350">
        <f t="shared" si="48"/>
        <v>0</v>
      </c>
      <c r="AA83" s="350"/>
      <c r="AB83" s="350">
        <f t="shared" si="43"/>
        <v>0</v>
      </c>
      <c r="AC83" s="1290"/>
      <c r="AD83" s="1290"/>
      <c r="AE83" s="1290"/>
    </row>
    <row r="84" spans="2:31" x14ac:dyDescent="0.3">
      <c r="B84" s="467">
        <f t="shared" si="49"/>
        <v>15</v>
      </c>
      <c r="C84" s="879" t="s">
        <v>899</v>
      </c>
      <c r="D84" s="350">
        <f t="shared" si="44"/>
        <v>0</v>
      </c>
      <c r="E84" s="350">
        <f t="shared" si="44"/>
        <v>61.666666666666657</v>
      </c>
      <c r="F84" s="350">
        <f t="shared" si="44"/>
        <v>0</v>
      </c>
      <c r="G84" s="350"/>
      <c r="H84" s="350">
        <f t="shared" si="35"/>
        <v>61.666666666666657</v>
      </c>
      <c r="I84" s="350">
        <f t="shared" si="45"/>
        <v>61.666666666666657</v>
      </c>
      <c r="J84" s="350">
        <f t="shared" si="45"/>
        <v>-9.9999999999999982</v>
      </c>
      <c r="K84" s="350">
        <f t="shared" si="45"/>
        <v>0</v>
      </c>
      <c r="L84" s="350"/>
      <c r="M84" s="350">
        <f t="shared" si="37"/>
        <v>51.666666666666657</v>
      </c>
      <c r="N84" s="350">
        <f t="shared" si="46"/>
        <v>51.666666666666657</v>
      </c>
      <c r="O84" s="350">
        <f t="shared" si="46"/>
        <v>-9.9999999999999982</v>
      </c>
      <c r="P84" s="350">
        <f t="shared" si="46"/>
        <v>0</v>
      </c>
      <c r="Q84" s="350"/>
      <c r="R84" s="350">
        <f t="shared" si="39"/>
        <v>41.666666666666657</v>
      </c>
      <c r="S84" s="350">
        <f t="shared" si="47"/>
        <v>41.666666666666664</v>
      </c>
      <c r="T84" s="350">
        <f t="shared" si="47"/>
        <v>-9.9999999999999982</v>
      </c>
      <c r="U84" s="350">
        <f t="shared" si="47"/>
        <v>0</v>
      </c>
      <c r="V84" s="350"/>
      <c r="W84" s="350">
        <f t="shared" si="41"/>
        <v>31.666666666666664</v>
      </c>
      <c r="X84" s="350">
        <f t="shared" si="48"/>
        <v>31.666666666666664</v>
      </c>
      <c r="Y84" s="350">
        <f t="shared" si="48"/>
        <v>-9.9999999999999982</v>
      </c>
      <c r="Z84" s="350">
        <f t="shared" si="48"/>
        <v>0</v>
      </c>
      <c r="AA84" s="350"/>
      <c r="AB84" s="350">
        <f t="shared" si="43"/>
        <v>21.666666666666664</v>
      </c>
      <c r="AC84" s="1290"/>
      <c r="AD84" s="1290"/>
      <c r="AE84" s="1290"/>
    </row>
    <row r="85" spans="2:31" x14ac:dyDescent="0.3">
      <c r="B85" s="467">
        <f t="shared" si="49"/>
        <v>16</v>
      </c>
      <c r="C85" s="879" t="s">
        <v>850</v>
      </c>
      <c r="D85" s="350">
        <f t="shared" si="44"/>
        <v>0</v>
      </c>
      <c r="E85" s="350">
        <f t="shared" si="44"/>
        <v>0</v>
      </c>
      <c r="F85" s="350">
        <f t="shared" si="44"/>
        <v>0</v>
      </c>
      <c r="G85" s="350"/>
      <c r="H85" s="350">
        <f t="shared" si="35"/>
        <v>0</v>
      </c>
      <c r="I85" s="350">
        <f t="shared" si="45"/>
        <v>0</v>
      </c>
      <c r="J85" s="350">
        <f t="shared" si="45"/>
        <v>0</v>
      </c>
      <c r="K85" s="350">
        <f t="shared" si="45"/>
        <v>0</v>
      </c>
      <c r="L85" s="350"/>
      <c r="M85" s="350">
        <f t="shared" si="37"/>
        <v>0</v>
      </c>
      <c r="N85" s="350">
        <f t="shared" si="46"/>
        <v>0</v>
      </c>
      <c r="O85" s="350">
        <f t="shared" si="46"/>
        <v>0</v>
      </c>
      <c r="P85" s="350">
        <f t="shared" si="46"/>
        <v>0</v>
      </c>
      <c r="Q85" s="350"/>
      <c r="R85" s="350">
        <f t="shared" si="39"/>
        <v>0</v>
      </c>
      <c r="S85" s="350">
        <f t="shared" si="47"/>
        <v>0</v>
      </c>
      <c r="T85" s="350">
        <f t="shared" si="47"/>
        <v>0</v>
      </c>
      <c r="U85" s="350">
        <f t="shared" si="47"/>
        <v>0</v>
      </c>
      <c r="V85" s="350"/>
      <c r="W85" s="350">
        <f t="shared" si="41"/>
        <v>0</v>
      </c>
      <c r="X85" s="350">
        <f t="shared" si="48"/>
        <v>0</v>
      </c>
      <c r="Y85" s="350">
        <f t="shared" si="48"/>
        <v>0</v>
      </c>
      <c r="Z85" s="350">
        <f t="shared" si="48"/>
        <v>0</v>
      </c>
      <c r="AA85" s="350"/>
      <c r="AB85" s="350">
        <f t="shared" si="43"/>
        <v>0</v>
      </c>
      <c r="AC85" s="1290"/>
      <c r="AD85" s="1290"/>
      <c r="AE85" s="1290"/>
    </row>
    <row r="86" spans="2:31" x14ac:dyDescent="0.3">
      <c r="B86" s="467">
        <f t="shared" si="49"/>
        <v>17</v>
      </c>
      <c r="C86" s="879" t="s">
        <v>900</v>
      </c>
      <c r="D86" s="350">
        <f t="shared" si="44"/>
        <v>0</v>
      </c>
      <c r="E86" s="350">
        <f t="shared" si="44"/>
        <v>0</v>
      </c>
      <c r="F86" s="350">
        <f t="shared" si="44"/>
        <v>0</v>
      </c>
      <c r="G86" s="350"/>
      <c r="H86" s="350">
        <f t="shared" si="35"/>
        <v>0</v>
      </c>
      <c r="I86" s="350">
        <f t="shared" si="45"/>
        <v>0</v>
      </c>
      <c r="J86" s="350">
        <f t="shared" si="45"/>
        <v>0</v>
      </c>
      <c r="K86" s="350">
        <f t="shared" si="45"/>
        <v>0</v>
      </c>
      <c r="L86" s="350"/>
      <c r="M86" s="350">
        <f t="shared" si="37"/>
        <v>0</v>
      </c>
      <c r="N86" s="350">
        <f t="shared" si="46"/>
        <v>0</v>
      </c>
      <c r="O86" s="350">
        <f t="shared" si="46"/>
        <v>0</v>
      </c>
      <c r="P86" s="350">
        <f t="shared" si="46"/>
        <v>0</v>
      </c>
      <c r="Q86" s="350"/>
      <c r="R86" s="350">
        <f t="shared" si="39"/>
        <v>0</v>
      </c>
      <c r="S86" s="350">
        <f t="shared" si="47"/>
        <v>0</v>
      </c>
      <c r="T86" s="350">
        <f t="shared" si="47"/>
        <v>0</v>
      </c>
      <c r="U86" s="350">
        <f t="shared" si="47"/>
        <v>0</v>
      </c>
      <c r="V86" s="350"/>
      <c r="W86" s="350">
        <f t="shared" si="41"/>
        <v>0</v>
      </c>
      <c r="X86" s="350">
        <f t="shared" si="48"/>
        <v>0</v>
      </c>
      <c r="Y86" s="350">
        <f t="shared" si="48"/>
        <v>0</v>
      </c>
      <c r="Z86" s="350">
        <f t="shared" si="48"/>
        <v>0</v>
      </c>
      <c r="AA86" s="350"/>
      <c r="AB86" s="350">
        <f t="shared" si="43"/>
        <v>0</v>
      </c>
      <c r="AC86" s="1290"/>
      <c r="AD86" s="1290"/>
      <c r="AE86" s="1290"/>
    </row>
    <row r="87" spans="2:31" ht="16" x14ac:dyDescent="0.3">
      <c r="B87" s="83"/>
      <c r="C87" s="97" t="s">
        <v>271</v>
      </c>
      <c r="D87" s="349">
        <f>SUM(D70:D86)</f>
        <v>0</v>
      </c>
      <c r="E87" s="349">
        <f t="shared" ref="E87:AB87" si="50">SUM(E70:E86)</f>
        <v>541.9010609999998</v>
      </c>
      <c r="F87" s="349">
        <f t="shared" si="50"/>
        <v>0</v>
      </c>
      <c r="G87" s="349">
        <f t="shared" si="50"/>
        <v>0</v>
      </c>
      <c r="H87" s="349">
        <f t="shared" si="50"/>
        <v>541.9010609999998</v>
      </c>
      <c r="I87" s="349">
        <f t="shared" si="50"/>
        <v>541.9010609999998</v>
      </c>
      <c r="J87" s="349">
        <f t="shared" si="50"/>
        <v>517.18832086666657</v>
      </c>
      <c r="K87" s="349">
        <f t="shared" si="50"/>
        <v>0</v>
      </c>
      <c r="L87" s="349">
        <f t="shared" si="50"/>
        <v>0</v>
      </c>
      <c r="M87" s="349">
        <f t="shared" si="50"/>
        <v>1059.0893818666664</v>
      </c>
      <c r="N87" s="349">
        <f t="shared" si="50"/>
        <v>1059.0893818666664</v>
      </c>
      <c r="O87" s="349">
        <f t="shared" si="50"/>
        <v>98.254604986666678</v>
      </c>
      <c r="P87" s="349">
        <f t="shared" si="50"/>
        <v>0</v>
      </c>
      <c r="Q87" s="349">
        <f t="shared" si="50"/>
        <v>0</v>
      </c>
      <c r="R87" s="349">
        <f t="shared" si="50"/>
        <v>1157.3439868533333</v>
      </c>
      <c r="S87" s="349">
        <f t="shared" si="50"/>
        <v>1157.3439868533333</v>
      </c>
      <c r="T87" s="349">
        <f t="shared" si="50"/>
        <v>514.06633375066656</v>
      </c>
      <c r="U87" s="349">
        <f t="shared" si="50"/>
        <v>0</v>
      </c>
      <c r="V87" s="349">
        <f t="shared" si="50"/>
        <v>0</v>
      </c>
      <c r="W87" s="349">
        <f t="shared" si="50"/>
        <v>1671.4103206039997</v>
      </c>
      <c r="X87" s="349">
        <f t="shared" si="50"/>
        <v>1671.4103206039999</v>
      </c>
      <c r="Y87" s="349">
        <f t="shared" si="50"/>
        <v>122.89513526133334</v>
      </c>
      <c r="Z87" s="349">
        <f t="shared" si="50"/>
        <v>0</v>
      </c>
      <c r="AA87" s="349">
        <f t="shared" si="50"/>
        <v>0</v>
      </c>
      <c r="AB87" s="349">
        <f t="shared" si="50"/>
        <v>1794.3054558653332</v>
      </c>
      <c r="AC87" s="1290"/>
      <c r="AD87" s="1290"/>
      <c r="AE87" s="1290"/>
    </row>
    <row r="88" spans="2:31" x14ac:dyDescent="0.3">
      <c r="B88" s="268"/>
      <c r="C88" s="874"/>
      <c r="D88" s="874"/>
      <c r="E88" s="874"/>
      <c r="F88" s="874"/>
      <c r="G88" s="874"/>
      <c r="H88" s="874"/>
      <c r="I88" s="874"/>
      <c r="J88" s="874"/>
      <c r="K88" s="874"/>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V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I35" sqref="I35"/>
    </sheetView>
  </sheetViews>
  <sheetFormatPr defaultColWidth="9.36328125" defaultRowHeight="14" x14ac:dyDescent="0.25"/>
  <cols>
    <col min="1" max="1" width="6.6328125" style="14" customWidth="1"/>
    <col min="2" max="2" width="7" style="594" customWidth="1"/>
    <col min="3" max="3" width="41.81640625" style="428" customWidth="1"/>
    <col min="4" max="4" width="16.453125" style="428" customWidth="1"/>
    <col min="5" max="5" width="17.36328125" style="428" customWidth="1"/>
    <col min="6" max="6" width="21.36328125" style="428" customWidth="1"/>
    <col min="7" max="7" width="22.36328125" style="428" customWidth="1"/>
    <col min="8" max="9" width="20.6328125" style="428"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x14ac:dyDescent="0.25">
      <c r="C1" s="14"/>
      <c r="D1" s="14"/>
      <c r="E1" s="14"/>
      <c r="F1" s="14"/>
      <c r="G1" s="14"/>
      <c r="H1" s="14"/>
      <c r="I1" s="14"/>
    </row>
    <row r="2" spans="2:18" x14ac:dyDescent="0.25">
      <c r="C2" s="15" t="str">
        <f>Index!B2</f>
        <v xml:space="preserve">      Maharashtra State Power Generation Company Ltd.</v>
      </c>
      <c r="D2" s="15"/>
      <c r="E2" s="15"/>
      <c r="F2" s="15"/>
      <c r="G2" s="15"/>
      <c r="H2" s="16"/>
      <c r="I2" s="16"/>
      <c r="J2" s="16"/>
      <c r="K2" s="337"/>
      <c r="L2" s="16"/>
      <c r="M2" s="16"/>
      <c r="N2" s="16"/>
      <c r="O2" s="16"/>
      <c r="P2" s="16"/>
    </row>
    <row r="3" spans="2:18" s="5" customFormat="1" x14ac:dyDescent="0.3">
      <c r="B3" s="595"/>
      <c r="C3" s="15" t="str">
        <f>Index!B3</f>
        <v>MYT Petition Formats for Chandrapur Unit 3-7</v>
      </c>
      <c r="D3" s="17"/>
      <c r="E3" s="17"/>
      <c r="F3" s="17"/>
      <c r="G3" s="17"/>
      <c r="H3" s="18"/>
      <c r="I3" s="18"/>
      <c r="J3" s="18"/>
      <c r="K3" s="66"/>
      <c r="L3" s="18"/>
      <c r="M3" s="18"/>
      <c r="N3" s="18"/>
      <c r="O3" s="18"/>
      <c r="P3" s="18"/>
    </row>
    <row r="4" spans="2:18" s="5" customFormat="1" x14ac:dyDescent="0.3">
      <c r="B4" s="595"/>
      <c r="C4" s="19" t="s">
        <v>52</v>
      </c>
      <c r="D4" s="19"/>
      <c r="E4" s="19"/>
      <c r="F4" s="19"/>
      <c r="G4" s="19"/>
      <c r="H4" s="18"/>
      <c r="I4" s="18"/>
      <c r="J4" s="20"/>
      <c r="K4" s="66"/>
      <c r="L4" s="18"/>
      <c r="M4" s="18"/>
      <c r="N4" s="18"/>
      <c r="O4" s="18"/>
      <c r="P4" s="18"/>
    </row>
    <row r="5" spans="2:18" s="5" customFormat="1" x14ac:dyDescent="0.3">
      <c r="B5" s="595"/>
      <c r="C5" s="19"/>
      <c r="D5" s="19"/>
      <c r="E5" s="19"/>
      <c r="F5" s="19"/>
      <c r="G5" s="19"/>
      <c r="H5" s="18"/>
      <c r="I5" s="18"/>
      <c r="J5" s="20"/>
      <c r="K5" s="66"/>
      <c r="L5" s="18"/>
      <c r="M5" s="18"/>
      <c r="N5" s="18"/>
      <c r="O5" s="18"/>
      <c r="P5" s="18"/>
    </row>
    <row r="6" spans="2:18" s="5" customFormat="1" x14ac:dyDescent="0.3">
      <c r="B6" s="595"/>
      <c r="C6" s="19"/>
      <c r="D6" s="19"/>
      <c r="E6" s="19"/>
      <c r="F6" s="19"/>
      <c r="G6" s="19"/>
      <c r="H6" s="18"/>
      <c r="I6" s="18"/>
      <c r="J6" s="20"/>
      <c r="K6" s="66"/>
      <c r="L6" s="18"/>
      <c r="M6" s="18"/>
      <c r="N6" s="18"/>
      <c r="O6" s="18"/>
      <c r="P6" s="18"/>
    </row>
    <row r="7" spans="2:18" s="5" customFormat="1" x14ac:dyDescent="0.3">
      <c r="B7" s="595"/>
      <c r="C7" s="19"/>
      <c r="D7" s="19"/>
      <c r="E7" s="19"/>
      <c r="F7" s="19"/>
      <c r="G7" s="19"/>
      <c r="H7" s="18"/>
      <c r="I7" s="18"/>
      <c r="J7" s="20"/>
      <c r="K7" s="66"/>
      <c r="L7" s="18"/>
      <c r="M7" s="18"/>
      <c r="N7" s="18"/>
      <c r="O7" s="18"/>
      <c r="P7" s="18"/>
    </row>
    <row r="8" spans="2:18" s="5" customFormat="1" ht="17.5" x14ac:dyDescent="0.3">
      <c r="B8" s="595"/>
      <c r="C8" s="101" t="s">
        <v>403</v>
      </c>
      <c r="D8" s="101"/>
      <c r="E8" s="101"/>
      <c r="F8" s="101"/>
      <c r="G8" s="101"/>
      <c r="H8" s="18"/>
      <c r="I8" s="18"/>
      <c r="J8" s="20"/>
      <c r="K8" s="66"/>
      <c r="L8" s="18"/>
      <c r="M8" s="18"/>
      <c r="N8" s="18"/>
      <c r="O8" s="18"/>
      <c r="P8" s="18"/>
    </row>
    <row r="9" spans="2:18" s="5" customFormat="1" x14ac:dyDescent="0.3">
      <c r="B9" s="595"/>
      <c r="C9" s="19"/>
      <c r="D9" s="72"/>
      <c r="E9" s="72"/>
      <c r="F9" s="72"/>
      <c r="G9" s="72"/>
      <c r="H9" s="50"/>
      <c r="I9" s="50"/>
      <c r="J9" s="302"/>
      <c r="K9" s="338"/>
      <c r="L9" s="50"/>
      <c r="N9" s="50"/>
      <c r="O9" s="50"/>
      <c r="P9" s="50"/>
      <c r="Q9" s="288" t="s">
        <v>10</v>
      </c>
    </row>
    <row r="10" spans="2:18" ht="26" customHeight="1" x14ac:dyDescent="0.25">
      <c r="B10" s="1851" t="s">
        <v>343</v>
      </c>
      <c r="C10" s="1652" t="s">
        <v>26</v>
      </c>
      <c r="D10" s="1690" t="s">
        <v>506</v>
      </c>
      <c r="E10" s="1691"/>
      <c r="F10" s="1692"/>
      <c r="G10" s="1690" t="s">
        <v>507</v>
      </c>
      <c r="H10" s="1691"/>
      <c r="I10" s="1692"/>
      <c r="J10" s="1690" t="s">
        <v>508</v>
      </c>
      <c r="K10" s="1691"/>
      <c r="L10" s="1692"/>
      <c r="M10" s="1698" t="s">
        <v>968</v>
      </c>
      <c r="N10" s="1698"/>
      <c r="O10" s="1698"/>
      <c r="P10" s="1698"/>
      <c r="Q10" s="1698"/>
      <c r="R10" s="1666" t="s">
        <v>27</v>
      </c>
    </row>
    <row r="11" spans="2:18" ht="49.5" customHeight="1" x14ac:dyDescent="0.25">
      <c r="B11" s="1851"/>
      <c r="C11" s="1652"/>
      <c r="D11" s="301" t="s">
        <v>967</v>
      </c>
      <c r="E11" s="296" t="s">
        <v>79</v>
      </c>
      <c r="F11" s="296" t="s">
        <v>449</v>
      </c>
      <c r="G11" s="301" t="s">
        <v>967</v>
      </c>
      <c r="H11" s="296" t="s">
        <v>79</v>
      </c>
      <c r="I11" s="296" t="s">
        <v>449</v>
      </c>
      <c r="J11" s="296" t="s">
        <v>967</v>
      </c>
      <c r="K11" s="336" t="s">
        <v>80</v>
      </c>
      <c r="L11" s="296" t="s">
        <v>450</v>
      </c>
      <c r="M11" s="696" t="s">
        <v>969</v>
      </c>
      <c r="N11" s="696" t="s">
        <v>970</v>
      </c>
      <c r="O11" s="696" t="s">
        <v>971</v>
      </c>
      <c r="P11" s="696" t="s">
        <v>972</v>
      </c>
      <c r="Q11" s="696" t="s">
        <v>973</v>
      </c>
      <c r="R11" s="1666"/>
    </row>
    <row r="12" spans="2:18" ht="26" customHeight="1" x14ac:dyDescent="0.25">
      <c r="B12" s="596"/>
      <c r="C12" s="210"/>
      <c r="D12" s="296" t="s">
        <v>81</v>
      </c>
      <c r="E12" s="296" t="s">
        <v>82</v>
      </c>
      <c r="F12" s="296" t="s">
        <v>673</v>
      </c>
      <c r="G12" s="296" t="s">
        <v>391</v>
      </c>
      <c r="H12" s="296" t="s">
        <v>409</v>
      </c>
      <c r="I12" s="296" t="s">
        <v>454</v>
      </c>
      <c r="J12" s="296" t="s">
        <v>410</v>
      </c>
      <c r="K12" s="336" t="s">
        <v>411</v>
      </c>
      <c r="L12" s="296" t="s">
        <v>510</v>
      </c>
      <c r="M12" s="688" t="s">
        <v>21</v>
      </c>
      <c r="N12" s="688" t="s">
        <v>21</v>
      </c>
      <c r="O12" s="688" t="s">
        <v>21</v>
      </c>
      <c r="P12" s="688" t="s">
        <v>21</v>
      </c>
      <c r="Q12" s="688" t="s">
        <v>21</v>
      </c>
      <c r="R12" s="1667"/>
    </row>
    <row r="13" spans="2:18" x14ac:dyDescent="0.3">
      <c r="B13" s="597">
        <v>1</v>
      </c>
      <c r="C13" s="26" t="s">
        <v>397</v>
      </c>
      <c r="D13" s="353"/>
      <c r="E13" s="319"/>
      <c r="F13" s="319">
        <f t="shared" ref="F13:F18" si="0">E13-D13</f>
        <v>0</v>
      </c>
      <c r="G13" s="319"/>
      <c r="H13" s="308"/>
      <c r="I13" s="319">
        <f>H13-G13</f>
        <v>0</v>
      </c>
      <c r="J13" s="308"/>
      <c r="K13" s="320"/>
      <c r="L13" s="308">
        <f>K13-J13</f>
        <v>0</v>
      </c>
      <c r="M13" s="308"/>
      <c r="N13" s="309"/>
      <c r="O13" s="309"/>
      <c r="P13" s="309"/>
      <c r="Q13" s="309"/>
      <c r="R13" s="24"/>
    </row>
    <row r="14" spans="2:18" x14ac:dyDescent="0.3">
      <c r="B14" s="597">
        <f>B13+1</f>
        <v>2</v>
      </c>
      <c r="C14" s="26" t="s">
        <v>398</v>
      </c>
      <c r="D14" s="353"/>
      <c r="E14" s="319"/>
      <c r="F14" s="319">
        <f t="shared" si="0"/>
        <v>0</v>
      </c>
      <c r="G14" s="319"/>
      <c r="H14" s="308"/>
      <c r="I14" s="319">
        <f t="shared" ref="I14:I22" si="1">H14-G14</f>
        <v>0</v>
      </c>
      <c r="J14" s="308"/>
      <c r="K14" s="320"/>
      <c r="L14" s="308">
        <f t="shared" ref="L14:L24" si="2">K14-J14</f>
        <v>0</v>
      </c>
      <c r="M14" s="308"/>
      <c r="N14" s="309"/>
      <c r="O14" s="309"/>
      <c r="P14" s="309"/>
      <c r="Q14" s="309"/>
      <c r="R14" s="24"/>
    </row>
    <row r="15" spans="2:18" s="316" customFormat="1" x14ac:dyDescent="0.3">
      <c r="B15" s="598">
        <f t="shared" ref="B15:B20" si="3">B14+1</f>
        <v>3</v>
      </c>
      <c r="C15" s="699" t="s">
        <v>399</v>
      </c>
      <c r="D15" s="807">
        <v>554.31377723577907</v>
      </c>
      <c r="E15" s="700">
        <f>D15</f>
        <v>554.31377723577907</v>
      </c>
      <c r="F15" s="700">
        <f t="shared" si="0"/>
        <v>0</v>
      </c>
      <c r="G15" s="700">
        <f>D19</f>
        <v>607.13926249654912</v>
      </c>
      <c r="H15" s="700">
        <f>E19</f>
        <v>558.74489031281655</v>
      </c>
      <c r="I15" s="700">
        <f t="shared" si="1"/>
        <v>-48.394372183732571</v>
      </c>
      <c r="J15" s="701">
        <f>G19</f>
        <v>607.05058260631142</v>
      </c>
      <c r="K15" s="700">
        <f>H19</f>
        <v>545.02613941469224</v>
      </c>
      <c r="L15" s="701">
        <f t="shared" si="2"/>
        <v>-62.024443191619184</v>
      </c>
      <c r="M15" s="700">
        <f>K19</f>
        <v>698.82718522728715</v>
      </c>
      <c r="N15" s="700">
        <f>M19</f>
        <v>1015.1388926867505</v>
      </c>
      <c r="O15" s="700">
        <f>N19</f>
        <v>1228.9685975243287</v>
      </c>
      <c r="P15" s="700">
        <f>O19</f>
        <v>1178.1497209778859</v>
      </c>
      <c r="Q15" s="700">
        <f>P19</f>
        <v>1246.4686251954431</v>
      </c>
      <c r="R15" s="119"/>
    </row>
    <row r="16" spans="2:18" s="316" customFormat="1" x14ac:dyDescent="0.3">
      <c r="B16" s="598">
        <f t="shared" si="3"/>
        <v>4</v>
      </c>
      <c r="C16" s="59" t="s">
        <v>400</v>
      </c>
      <c r="D16" s="353"/>
      <c r="E16" s="320">
        <f>'F5'!$F$31*E15/'F5'!D31</f>
        <v>0.34929939696262907</v>
      </c>
      <c r="F16" s="353">
        <f t="shared" si="0"/>
        <v>0.34929939696262907</v>
      </c>
      <c r="G16" s="353"/>
      <c r="H16" s="320">
        <f>'F5'!$K$31*H15/'F5'!I31</f>
        <v>0.3837024819616715</v>
      </c>
      <c r="I16" s="353">
        <f t="shared" si="1"/>
        <v>0.3837024819616715</v>
      </c>
      <c r="J16" s="320"/>
      <c r="K16" s="320">
        <f>'F5'!$P$31*K15/'F5'!N31</f>
        <v>0</v>
      </c>
      <c r="L16" s="320">
        <f t="shared" si="2"/>
        <v>0</v>
      </c>
      <c r="M16" s="320"/>
      <c r="N16" s="320"/>
      <c r="O16" s="320"/>
      <c r="P16" s="320"/>
      <c r="Q16" s="320"/>
      <c r="R16" s="119"/>
    </row>
    <row r="17" spans="1:22" s="316" customFormat="1" x14ac:dyDescent="0.3">
      <c r="B17" s="598">
        <f t="shared" si="3"/>
        <v>5</v>
      </c>
      <c r="C17" s="59" t="s">
        <v>465</v>
      </c>
      <c r="D17" s="353">
        <f>'F4'!D14*70%</f>
        <v>139.41801518609998</v>
      </c>
      <c r="E17" s="353">
        <f>'F4'!E14*70%</f>
        <v>82.125799723799986</v>
      </c>
      <c r="F17" s="353">
        <f t="shared" si="0"/>
        <v>-57.292215462299993</v>
      </c>
      <c r="G17" s="353">
        <f>'F4'!G14*70%</f>
        <v>104.61603431999998</v>
      </c>
      <c r="H17" s="320">
        <f>'F4'!H14*70%</f>
        <v>77.555931273100015</v>
      </c>
      <c r="I17" s="353">
        <f t="shared" si="1"/>
        <v>-27.060103046899968</v>
      </c>
      <c r="J17" s="353">
        <f>'F4'!J14*70%</f>
        <v>644.30036235529997</v>
      </c>
      <c r="K17" s="320">
        <f>'F4'!M14*70%</f>
        <v>307.76900000000001</v>
      </c>
      <c r="L17" s="320">
        <f t="shared" si="2"/>
        <v>-336.53136235529996</v>
      </c>
      <c r="M17" s="320">
        <f>'F4'!O14*70%</f>
        <v>515.2013355225331</v>
      </c>
      <c r="N17" s="320">
        <f>'F4'!P14*70%</f>
        <v>460.91114520547933</v>
      </c>
      <c r="O17" s="320">
        <f>'F4'!Q14*70%</f>
        <v>276.43475999999998</v>
      </c>
      <c r="P17" s="320">
        <f>'F4'!R14*70%</f>
        <v>410.27463866666665</v>
      </c>
      <c r="Q17" s="320">
        <f>'F4'!S14*70%</f>
        <v>147.714</v>
      </c>
      <c r="R17" s="119"/>
    </row>
    <row r="18" spans="1:22" s="316" customFormat="1" x14ac:dyDescent="0.3">
      <c r="A18" s="827">
        <v>86.59252992532997</v>
      </c>
      <c r="B18" s="598">
        <f t="shared" si="3"/>
        <v>6</v>
      </c>
      <c r="C18" s="59" t="s">
        <v>407</v>
      </c>
      <c r="D18" s="353">
        <f>MIN(D15+D17,A18)</f>
        <v>86.59252992532997</v>
      </c>
      <c r="E18" s="353">
        <f>IF((E15-E16+E17)&lt;'F5'!$E$85,(E15-E16+E17),'F5'!$E$85)</f>
        <v>77.694686646762563</v>
      </c>
      <c r="F18" s="353">
        <f t="shared" si="0"/>
        <v>-8.8978432785674073</v>
      </c>
      <c r="G18" s="353">
        <f>MIN(G15+G17,U18)</f>
        <v>104.70471421023771</v>
      </c>
      <c r="H18" s="353">
        <f>IF((H15-H16+H17)&lt;'F5'!$J$85,(H15-H16+H17),'F5'!$J$85)</f>
        <v>91.274682171224299</v>
      </c>
      <c r="I18" s="353">
        <f t="shared" si="1"/>
        <v>-13.430032039013412</v>
      </c>
      <c r="J18" s="353">
        <f>MIN(J15+J17,V18)</f>
        <v>212.7675881017384</v>
      </c>
      <c r="K18" s="353">
        <f>IF((K15-K16+K17)&lt;'F5 (T)'!$O$85,(K15-K16+K17),'F5'!$O$85)</f>
        <v>153.96795418740513</v>
      </c>
      <c r="L18" s="320">
        <f t="shared" si="2"/>
        <v>-58.79963391433327</v>
      </c>
      <c r="M18" s="319">
        <f>IF((M15-M16+M17)&lt;'F5 (T)'!T85,(M15-M16+M17),'F5 (T)'!T85)</f>
        <v>198.88962806306967</v>
      </c>
      <c r="N18" s="319">
        <f>IF((N15-N16+N17)&lt;'F5 (T)'!E112,(N15-N16+N17),'F5 (T)'!E112)</f>
        <v>247.08144036790097</v>
      </c>
      <c r="O18" s="319">
        <f>IF((O15-O16+O17)&lt;'F5 (T)'!J112,(O15-O16+O17),'F5 (T)'!J112)</f>
        <v>327.25363654644298</v>
      </c>
      <c r="P18" s="319">
        <f>IF((P15-P16+P17)&lt;'F5 (T)'!O112,(P15-P16+P17),'F5 (T)'!O112)</f>
        <v>341.95573444910963</v>
      </c>
      <c r="Q18" s="319">
        <f>IF((Q15-Q16+Q17)&lt;'F5 (T)'!T112,(Q15-Q16+Q17),'F5 (T)'!T112)</f>
        <v>358.05002189147075</v>
      </c>
      <c r="R18" s="119"/>
      <c r="U18" s="827">
        <v>104.70471421023771</v>
      </c>
      <c r="V18" s="827">
        <v>212.7675881017384</v>
      </c>
    </row>
    <row r="19" spans="1:22" s="316" customFormat="1" x14ac:dyDescent="0.3">
      <c r="B19" s="598">
        <f t="shared" si="3"/>
        <v>7</v>
      </c>
      <c r="C19" s="699" t="s">
        <v>401</v>
      </c>
      <c r="D19" s="700">
        <f>D15-D16+D17-D18</f>
        <v>607.13926249654912</v>
      </c>
      <c r="E19" s="700">
        <f>E15+E17-E18</f>
        <v>558.74489031281655</v>
      </c>
      <c r="F19" s="700">
        <f t="shared" ref="F19:F24" si="4">E19-D19</f>
        <v>-48.394372183732571</v>
      </c>
      <c r="G19" s="700">
        <f>G15-G16+G17-G18</f>
        <v>607.05058260631142</v>
      </c>
      <c r="H19" s="700">
        <f>H15+H17-H18</f>
        <v>545.02613941469224</v>
      </c>
      <c r="I19" s="700">
        <f t="shared" si="1"/>
        <v>-62.024443191619184</v>
      </c>
      <c r="J19" s="700">
        <f>J15-J16+J17-J18</f>
        <v>1038.5833568598728</v>
      </c>
      <c r="K19" s="700">
        <f>K15+K17-K18</f>
        <v>698.82718522728715</v>
      </c>
      <c r="L19" s="701">
        <f t="shared" si="2"/>
        <v>-339.75617163258562</v>
      </c>
      <c r="M19" s="700">
        <f>M15+M17-M18</f>
        <v>1015.1388926867505</v>
      </c>
      <c r="N19" s="700">
        <f>N15+N17-N18</f>
        <v>1228.9685975243287</v>
      </c>
      <c r="O19" s="700">
        <f t="shared" ref="O19:Q19" si="5">O15+O17-O18</f>
        <v>1178.1497209778859</v>
      </c>
      <c r="P19" s="700">
        <f t="shared" si="5"/>
        <v>1246.4686251954431</v>
      </c>
      <c r="Q19" s="700">
        <f t="shared" si="5"/>
        <v>1036.1326033039722</v>
      </c>
      <c r="R19" s="119"/>
    </row>
    <row r="20" spans="1:22" s="316" customFormat="1" x14ac:dyDescent="0.3">
      <c r="B20" s="598">
        <f t="shared" si="3"/>
        <v>8</v>
      </c>
      <c r="C20" s="59" t="s">
        <v>402</v>
      </c>
      <c r="D20" s="353"/>
      <c r="E20" s="353"/>
      <c r="F20" s="353">
        <f t="shared" si="4"/>
        <v>0</v>
      </c>
      <c r="G20" s="353"/>
      <c r="H20" s="320"/>
      <c r="I20" s="353">
        <f t="shared" si="1"/>
        <v>0</v>
      </c>
      <c r="J20" s="320"/>
      <c r="K20" s="320"/>
      <c r="L20" s="320">
        <f t="shared" si="2"/>
        <v>0</v>
      </c>
      <c r="M20" s="320"/>
      <c r="N20" s="320"/>
      <c r="O20" s="320"/>
      <c r="P20" s="320"/>
      <c r="Q20" s="320"/>
      <c r="R20" s="119"/>
    </row>
    <row r="21" spans="1:22" s="316" customFormat="1" x14ac:dyDescent="0.3">
      <c r="B21" s="598">
        <v>9</v>
      </c>
      <c r="C21" s="59" t="s">
        <v>469</v>
      </c>
      <c r="D21" s="353">
        <f>AVERAGE(D15,D19)</f>
        <v>580.72651986616415</v>
      </c>
      <c r="E21" s="353">
        <f>AVERAGE(E15,E19)</f>
        <v>556.52933377429781</v>
      </c>
      <c r="F21" s="353">
        <f t="shared" si="4"/>
        <v>-24.197186091866342</v>
      </c>
      <c r="G21" s="353">
        <f>AVERAGE(G15,G19)</f>
        <v>607.09492255143027</v>
      </c>
      <c r="H21" s="353">
        <f>AVERAGE(H15,H19)</f>
        <v>551.88551486375445</v>
      </c>
      <c r="I21" s="353">
        <f t="shared" si="1"/>
        <v>-55.209407687675821</v>
      </c>
      <c r="J21" s="353">
        <f>AVERAGE(J15,J19)</f>
        <v>822.81696973309204</v>
      </c>
      <c r="K21" s="353">
        <f>AVERAGE(K15,K19)</f>
        <v>621.92666232098964</v>
      </c>
      <c r="L21" s="353">
        <f t="shared" si="2"/>
        <v>-200.8903074121024</v>
      </c>
      <c r="M21" s="353">
        <f>AVERAGE(M15,M19)</f>
        <v>856.98303895701883</v>
      </c>
      <c r="N21" s="353">
        <f t="shared" ref="N21:Q21" si="6">AVERAGE(N15,N19)</f>
        <v>1122.0537451055397</v>
      </c>
      <c r="O21" s="353">
        <f t="shared" si="6"/>
        <v>1203.5591592511073</v>
      </c>
      <c r="P21" s="353">
        <f t="shared" si="6"/>
        <v>1212.3091730866645</v>
      </c>
      <c r="Q21" s="353">
        <f t="shared" si="6"/>
        <v>1141.3006142497077</v>
      </c>
      <c r="R21" s="119"/>
    </row>
    <row r="22" spans="1:22" s="316" customFormat="1" ht="15.5" x14ac:dyDescent="0.35">
      <c r="B22" s="598">
        <v>10</v>
      </c>
      <c r="C22" s="59" t="s">
        <v>466</v>
      </c>
      <c r="D22" s="504">
        <v>0.10260443317552016</v>
      </c>
      <c r="E22" s="504">
        <f>(E123+E269)/(E267+E121)</f>
        <v>0.10672808501163153</v>
      </c>
      <c r="F22" s="504">
        <f>E22-D22</f>
        <v>4.1236518361113667E-3</v>
      </c>
      <c r="G22" s="846">
        <v>0.10260443317552016</v>
      </c>
      <c r="H22" s="360">
        <f>(H123+H269)/(H267+H121)</f>
        <v>0.10062803392639849</v>
      </c>
      <c r="I22" s="504">
        <f t="shared" si="1"/>
        <v>-1.9763992491216714E-3</v>
      </c>
      <c r="J22" s="847">
        <v>0.10260443317552016</v>
      </c>
      <c r="K22" s="360">
        <f>$H$22</f>
        <v>0.10062803392639849</v>
      </c>
      <c r="L22" s="320">
        <f t="shared" si="2"/>
        <v>-1.9763992491216714E-3</v>
      </c>
      <c r="M22" s="582">
        <f>$H$22</f>
        <v>0.10062803392639849</v>
      </c>
      <c r="N22" s="582">
        <f t="shared" ref="N22:Q22" si="7">$H$22</f>
        <v>0.10062803392639849</v>
      </c>
      <c r="O22" s="582">
        <f t="shared" si="7"/>
        <v>0.10062803392639849</v>
      </c>
      <c r="P22" s="582">
        <f t="shared" si="7"/>
        <v>0.10062803392639849</v>
      </c>
      <c r="Q22" s="582">
        <f t="shared" si="7"/>
        <v>0.10062803392639849</v>
      </c>
      <c r="R22" s="119"/>
    </row>
    <row r="23" spans="1:22" s="316" customFormat="1" ht="15.5" x14ac:dyDescent="0.35">
      <c r="B23" s="598">
        <v>11</v>
      </c>
      <c r="C23" s="699" t="s">
        <v>33</v>
      </c>
      <c r="D23" s="702">
        <f>D21*D22</f>
        <v>59.585115400860225</v>
      </c>
      <c r="E23" s="801">
        <f>E21*E22</f>
        <v>59.397310046529917</v>
      </c>
      <c r="F23" s="702">
        <f t="shared" si="4"/>
        <v>-0.18780535433030821</v>
      </c>
      <c r="G23" s="702">
        <f>G21*G22</f>
        <v>62.290630412125815</v>
      </c>
      <c r="H23" s="702">
        <f>H21*H22</f>
        <v>55.535154313197779</v>
      </c>
      <c r="I23" s="702">
        <f>H23-G23</f>
        <v>-6.7554760989280354</v>
      </c>
      <c r="J23" s="702">
        <f>J21*J22</f>
        <v>84.424668786663034</v>
      </c>
      <c r="K23" s="702">
        <f>K21*K22</f>
        <v>62.583257275768325</v>
      </c>
      <c r="L23" s="702">
        <f>K23-J23</f>
        <v>-21.841411510894709</v>
      </c>
      <c r="M23" s="702">
        <f>M21*M22</f>
        <v>86.236518318514968</v>
      </c>
      <c r="N23" s="702">
        <f t="shared" ref="N23:Q23" si="8">N21*N22</f>
        <v>112.91006232972273</v>
      </c>
      <c r="O23" s="702">
        <f t="shared" si="8"/>
        <v>121.11179190954807</v>
      </c>
      <c r="P23" s="702">
        <f t="shared" si="8"/>
        <v>121.99228859864897</v>
      </c>
      <c r="Q23" s="702">
        <f t="shared" si="8"/>
        <v>114.84683693093902</v>
      </c>
      <c r="R23" s="119"/>
    </row>
    <row r="24" spans="1:22" x14ac:dyDescent="0.3">
      <c r="B24" s="597">
        <v>12</v>
      </c>
      <c r="C24" s="26" t="s">
        <v>404</v>
      </c>
      <c r="D24" s="353">
        <v>1.3120477311902958</v>
      </c>
      <c r="E24" s="319">
        <v>4.238531139637562</v>
      </c>
      <c r="F24" s="319">
        <f t="shared" si="4"/>
        <v>2.9264834084472664</v>
      </c>
      <c r="G24" s="848">
        <v>1.3120477311902958</v>
      </c>
      <c r="H24" s="319">
        <v>3.7767458663311051</v>
      </c>
      <c r="I24" s="848">
        <f t="shared" ref="I24" si="9">H24-G24</f>
        <v>2.464698135140809</v>
      </c>
      <c r="J24" s="844">
        <v>1.3120477311902958</v>
      </c>
      <c r="K24" s="319">
        <v>3.7767458663311051</v>
      </c>
      <c r="L24" s="308">
        <f t="shared" si="2"/>
        <v>2.464698135140809</v>
      </c>
      <c r="M24" s="844">
        <v>3.7767458663311051</v>
      </c>
      <c r="N24" s="844">
        <v>3.7767458663311051</v>
      </c>
      <c r="O24" s="844">
        <v>3.7767458663311051</v>
      </c>
      <c r="P24" s="844">
        <v>3.7767458663311051</v>
      </c>
      <c r="Q24" s="844">
        <v>3.7767458663311051</v>
      </c>
      <c r="R24" s="24"/>
    </row>
    <row r="25" spans="1:22" x14ac:dyDescent="0.3">
      <c r="B25" s="599">
        <v>13</v>
      </c>
      <c r="C25" s="25" t="s">
        <v>467</v>
      </c>
      <c r="D25" s="311">
        <f>SUM(D23:D24)</f>
        <v>60.897163132050522</v>
      </c>
      <c r="E25" s="311">
        <f>SUM(E23:E24)</f>
        <v>63.635841186167482</v>
      </c>
      <c r="F25" s="311">
        <f t="shared" ref="F25:M25" si="10">SUM(F23:F24)</f>
        <v>2.7386780541169582</v>
      </c>
      <c r="G25" s="311">
        <f t="shared" si="10"/>
        <v>63.602678143316112</v>
      </c>
      <c r="H25" s="311">
        <f t="shared" si="10"/>
        <v>59.311900179528884</v>
      </c>
      <c r="I25" s="311">
        <f t="shared" si="10"/>
        <v>-4.2907779637872263</v>
      </c>
      <c r="J25" s="311">
        <f t="shared" si="10"/>
        <v>85.736716517853324</v>
      </c>
      <c r="K25" s="311">
        <f t="shared" si="10"/>
        <v>66.36000314209943</v>
      </c>
      <c r="L25" s="311">
        <f t="shared" si="10"/>
        <v>-19.376713375753901</v>
      </c>
      <c r="M25" s="311">
        <f t="shared" si="10"/>
        <v>90.013264184846079</v>
      </c>
      <c r="N25" s="311">
        <f t="shared" ref="N25:Q25" si="11">SUM(N23:N24)</f>
        <v>116.68680819605385</v>
      </c>
      <c r="O25" s="311">
        <f t="shared" si="11"/>
        <v>124.88853777587919</v>
      </c>
      <c r="P25" s="311">
        <f t="shared" si="11"/>
        <v>125.76903446498008</v>
      </c>
      <c r="Q25" s="311">
        <f t="shared" si="11"/>
        <v>118.62358279727013</v>
      </c>
      <c r="R25" s="24"/>
    </row>
    <row r="26" spans="1:22" s="5" customFormat="1" x14ac:dyDescent="0.3">
      <c r="B26" s="595"/>
      <c r="C26" s="19"/>
      <c r="D26" s="19"/>
      <c r="E26" s="19"/>
      <c r="F26" s="19"/>
      <c r="G26" s="19"/>
      <c r="H26" s="18"/>
      <c r="I26" s="18"/>
      <c r="J26" s="20"/>
      <c r="K26" s="66"/>
      <c r="L26" s="18"/>
      <c r="M26" s="18"/>
      <c r="N26" s="18"/>
      <c r="O26" s="18"/>
      <c r="P26" s="18"/>
    </row>
    <row r="27" spans="1:22" ht="17.5" x14ac:dyDescent="0.25">
      <c r="C27" s="101" t="s">
        <v>468</v>
      </c>
      <c r="D27" s="101"/>
      <c r="E27" s="101"/>
      <c r="F27" s="101"/>
      <c r="G27" s="101"/>
      <c r="H27" s="14"/>
      <c r="I27" s="14"/>
    </row>
    <row r="28" spans="1:22" x14ac:dyDescent="0.25">
      <c r="C28" s="14"/>
      <c r="D28" s="14"/>
      <c r="E28" s="14"/>
      <c r="F28" s="14"/>
      <c r="G28" s="14"/>
      <c r="H28" s="14"/>
      <c r="I28" s="14"/>
      <c r="O28" s="21"/>
      <c r="P28" s="21"/>
      <c r="Q28" s="21" t="s">
        <v>10</v>
      </c>
    </row>
    <row r="29" spans="1:22" ht="26" customHeight="1" x14ac:dyDescent="0.25">
      <c r="B29" s="1851" t="s">
        <v>343</v>
      </c>
      <c r="C29" s="1652" t="s">
        <v>26</v>
      </c>
      <c r="D29" s="1690" t="s">
        <v>506</v>
      </c>
      <c r="E29" s="1691"/>
      <c r="F29" s="1692"/>
      <c r="G29" s="1690" t="s">
        <v>507</v>
      </c>
      <c r="H29" s="1691"/>
      <c r="I29" s="1692"/>
      <c r="J29" s="1690" t="s">
        <v>508</v>
      </c>
      <c r="K29" s="1691"/>
      <c r="L29" s="1692"/>
      <c r="M29" s="1698" t="s">
        <v>968</v>
      </c>
      <c r="N29" s="1698"/>
      <c r="O29" s="1698"/>
      <c r="P29" s="1698"/>
      <c r="Q29" s="1698"/>
      <c r="R29" s="1666" t="s">
        <v>27</v>
      </c>
    </row>
    <row r="30" spans="1:22" ht="31.5" customHeight="1" x14ac:dyDescent="0.25">
      <c r="B30" s="1851"/>
      <c r="C30" s="1652"/>
      <c r="D30" s="301" t="s">
        <v>448</v>
      </c>
      <c r="E30" s="296" t="s">
        <v>79</v>
      </c>
      <c r="F30" s="296" t="s">
        <v>449</v>
      </c>
      <c r="G30" s="301" t="s">
        <v>448</v>
      </c>
      <c r="H30" s="296" t="s">
        <v>79</v>
      </c>
      <c r="I30" s="296" t="s">
        <v>449</v>
      </c>
      <c r="J30" s="296" t="s">
        <v>448</v>
      </c>
      <c r="K30" s="336" t="s">
        <v>80</v>
      </c>
      <c r="L30" s="296" t="s">
        <v>450</v>
      </c>
      <c r="M30" s="793" t="s">
        <v>969</v>
      </c>
      <c r="N30" s="793" t="s">
        <v>970</v>
      </c>
      <c r="O30" s="793" t="s">
        <v>971</v>
      </c>
      <c r="P30" s="793" t="s">
        <v>972</v>
      </c>
      <c r="Q30" s="793" t="s">
        <v>973</v>
      </c>
      <c r="R30" s="1666"/>
    </row>
    <row r="31" spans="1:22" x14ac:dyDescent="0.25">
      <c r="B31" s="600"/>
      <c r="C31" s="216"/>
      <c r="D31" s="296" t="s">
        <v>81</v>
      </c>
      <c r="E31" s="296" t="s">
        <v>82</v>
      </c>
      <c r="F31" s="296" t="s">
        <v>673</v>
      </c>
      <c r="G31" s="296" t="s">
        <v>391</v>
      </c>
      <c r="H31" s="296" t="s">
        <v>409</v>
      </c>
      <c r="I31" s="296" t="s">
        <v>454</v>
      </c>
      <c r="J31" s="794" t="s">
        <v>410</v>
      </c>
      <c r="K31" s="794" t="s">
        <v>411</v>
      </c>
      <c r="L31" s="794" t="s">
        <v>510</v>
      </c>
      <c r="M31" s="792" t="s">
        <v>21</v>
      </c>
      <c r="N31" s="792" t="s">
        <v>21</v>
      </c>
      <c r="O31" s="792" t="s">
        <v>21</v>
      </c>
      <c r="P31" s="792" t="s">
        <v>21</v>
      </c>
      <c r="Q31" s="792" t="s">
        <v>21</v>
      </c>
      <c r="R31" s="1667"/>
    </row>
    <row r="32" spans="1:22" x14ac:dyDescent="0.3">
      <c r="B32" s="599">
        <v>1</v>
      </c>
      <c r="C32" s="25" t="s">
        <v>1482</v>
      </c>
      <c r="D32" s="311"/>
      <c r="E32" s="311"/>
      <c r="F32" s="311"/>
      <c r="G32" s="311"/>
      <c r="H32" s="308"/>
      <c r="I32" s="308"/>
      <c r="J32" s="308"/>
      <c r="K32" s="320"/>
      <c r="L32" s="308"/>
      <c r="M32" s="308"/>
      <c r="N32" s="309"/>
      <c r="O32" s="309"/>
      <c r="P32" s="309"/>
      <c r="Q32" s="309"/>
      <c r="R32" s="410"/>
    </row>
    <row r="33" spans="2:18" ht="15" customHeight="1" x14ac:dyDescent="0.3">
      <c r="B33" s="597">
        <v>1.1000000000000001</v>
      </c>
      <c r="C33" s="26" t="s">
        <v>29</v>
      </c>
      <c r="D33" s="484"/>
      <c r="E33" s="484">
        <v>0.63253829107981263</v>
      </c>
      <c r="F33" s="484">
        <f>E33-D33</f>
        <v>0.63253829107981263</v>
      </c>
      <c r="G33" s="484"/>
      <c r="H33" s="484">
        <v>0</v>
      </c>
      <c r="I33" s="484">
        <f>H33-G33</f>
        <v>0</v>
      </c>
      <c r="J33" s="485"/>
      <c r="K33" s="484"/>
      <c r="L33" s="484">
        <f>K33-J33</f>
        <v>0</v>
      </c>
      <c r="M33" s="485"/>
      <c r="N33" s="485"/>
      <c r="O33" s="485"/>
      <c r="P33" s="485"/>
      <c r="Q33" s="485"/>
      <c r="R33" s="413"/>
    </row>
    <row r="34" spans="2:18" ht="29.4" customHeight="1" x14ac:dyDescent="0.3">
      <c r="B34" s="597">
        <f t="shared" ref="B34:B40" si="12">B33+0.1</f>
        <v>1.2000000000000002</v>
      </c>
      <c r="C34" s="29" t="s">
        <v>400</v>
      </c>
      <c r="D34" s="484"/>
      <c r="E34" s="484">
        <v>0</v>
      </c>
      <c r="F34" s="484">
        <f t="shared" ref="F34:F40" si="13">E34-D34</f>
        <v>0</v>
      </c>
      <c r="G34" s="484"/>
      <c r="H34" s="484">
        <v>0</v>
      </c>
      <c r="I34" s="484">
        <f t="shared" ref="I34:I40" si="14">H34-G34</f>
        <v>0</v>
      </c>
      <c r="J34" s="485"/>
      <c r="K34" s="484"/>
      <c r="L34" s="484">
        <f t="shared" ref="L34:L40" si="15">K34-J34</f>
        <v>0</v>
      </c>
      <c r="M34" s="485"/>
      <c r="N34" s="485"/>
      <c r="O34" s="485"/>
      <c r="P34" s="485"/>
      <c r="Q34" s="485"/>
      <c r="R34" s="413"/>
    </row>
    <row r="35" spans="2:18" ht="15" customHeight="1" x14ac:dyDescent="0.3">
      <c r="B35" s="597">
        <f t="shared" si="12"/>
        <v>1.3000000000000003</v>
      </c>
      <c r="C35" s="26" t="s">
        <v>342</v>
      </c>
      <c r="D35" s="484"/>
      <c r="E35" s="484">
        <v>0</v>
      </c>
      <c r="F35" s="484">
        <f t="shared" si="13"/>
        <v>0</v>
      </c>
      <c r="G35" s="484"/>
      <c r="H35" s="484">
        <v>0</v>
      </c>
      <c r="I35" s="484">
        <f t="shared" si="14"/>
        <v>0</v>
      </c>
      <c r="J35" s="485"/>
      <c r="K35" s="484"/>
      <c r="L35" s="484">
        <f t="shared" si="15"/>
        <v>0</v>
      </c>
      <c r="M35" s="485"/>
      <c r="N35" s="485"/>
      <c r="O35" s="485"/>
      <c r="P35" s="485"/>
      <c r="Q35" s="485"/>
      <c r="R35" s="413"/>
    </row>
    <row r="36" spans="2:18" ht="15" customHeight="1" x14ac:dyDescent="0.3">
      <c r="B36" s="597">
        <f t="shared" si="12"/>
        <v>1.4000000000000004</v>
      </c>
      <c r="C36" s="430" t="s">
        <v>30</v>
      </c>
      <c r="D36" s="484"/>
      <c r="E36" s="484">
        <v>0.63253829107981219</v>
      </c>
      <c r="F36" s="484">
        <f t="shared" si="13"/>
        <v>0.63253829107981219</v>
      </c>
      <c r="G36" s="484"/>
      <c r="H36" s="484">
        <v>0</v>
      </c>
      <c r="I36" s="484">
        <f t="shared" si="14"/>
        <v>0</v>
      </c>
      <c r="J36" s="485"/>
      <c r="K36" s="484"/>
      <c r="L36" s="484">
        <f t="shared" si="15"/>
        <v>0</v>
      </c>
      <c r="M36" s="485"/>
      <c r="N36" s="485"/>
      <c r="O36" s="485"/>
      <c r="P36" s="485"/>
      <c r="Q36" s="485"/>
      <c r="R36" s="413"/>
    </row>
    <row r="37" spans="2:18" ht="15" customHeight="1" x14ac:dyDescent="0.3">
      <c r="B37" s="597">
        <f t="shared" si="12"/>
        <v>1.5000000000000004</v>
      </c>
      <c r="C37" s="430" t="s">
        <v>31</v>
      </c>
      <c r="D37" s="484"/>
      <c r="E37" s="484">
        <f>+E33-E34+E35-E36</f>
        <v>0</v>
      </c>
      <c r="F37" s="484">
        <f t="shared" si="13"/>
        <v>0</v>
      </c>
      <c r="G37" s="484"/>
      <c r="H37" s="484">
        <f>+H33-H34+H35-H36</f>
        <v>0</v>
      </c>
      <c r="I37" s="484">
        <f t="shared" si="14"/>
        <v>0</v>
      </c>
      <c r="J37" s="485"/>
      <c r="K37" s="485">
        <f>+J33-J34+J35-J36</f>
        <v>0</v>
      </c>
      <c r="L37" s="484">
        <f t="shared" si="15"/>
        <v>0</v>
      </c>
      <c r="M37" s="485"/>
      <c r="N37" s="485">
        <f>+M33-M34+M35-M36</f>
        <v>0</v>
      </c>
      <c r="O37" s="485"/>
      <c r="P37" s="485"/>
      <c r="Q37" s="485">
        <f>+O33-O34+O35-O36</f>
        <v>0</v>
      </c>
      <c r="R37" s="413"/>
    </row>
    <row r="38" spans="2:18" ht="15" customHeight="1" x14ac:dyDescent="0.3">
      <c r="B38" s="597">
        <f t="shared" si="12"/>
        <v>1.6000000000000005</v>
      </c>
      <c r="C38" s="430" t="s">
        <v>470</v>
      </c>
      <c r="D38" s="484"/>
      <c r="E38" s="444">
        <f>AVERAGE(E33,E37)</f>
        <v>0.31626914553990632</v>
      </c>
      <c r="F38" s="484">
        <f t="shared" si="13"/>
        <v>0.31626914553990632</v>
      </c>
      <c r="G38" s="484"/>
      <c r="H38" s="444">
        <f>AVERAGE(H33,H37)</f>
        <v>0</v>
      </c>
      <c r="I38" s="484">
        <f t="shared" si="14"/>
        <v>0</v>
      </c>
      <c r="J38" s="485"/>
      <c r="K38" s="484"/>
      <c r="L38" s="484">
        <f t="shared" si="15"/>
        <v>0</v>
      </c>
      <c r="M38" s="485"/>
      <c r="N38" s="485"/>
      <c r="O38" s="485"/>
      <c r="P38" s="485"/>
      <c r="Q38" s="485"/>
      <c r="R38" s="413"/>
    </row>
    <row r="39" spans="2:18" s="593" customFormat="1" ht="15" customHeight="1" x14ac:dyDescent="0.3">
      <c r="B39" s="601">
        <f t="shared" si="12"/>
        <v>1.7000000000000006</v>
      </c>
      <c r="C39" s="589" t="s">
        <v>32</v>
      </c>
      <c r="D39" s="590"/>
      <c r="E39" s="590">
        <f>IFERROR(E40/E38,0)</f>
        <v>3.5270369350832796E-2</v>
      </c>
      <c r="F39" s="590">
        <f>F40/F38</f>
        <v>3.5270369350832796E-2</v>
      </c>
      <c r="G39" s="590"/>
      <c r="H39" s="590">
        <f>IFERROR(H40/H38,0)</f>
        <v>0</v>
      </c>
      <c r="I39" s="590" t="e">
        <f>I40/I38</f>
        <v>#DIV/0!</v>
      </c>
      <c r="J39" s="591"/>
      <c r="K39" s="591" t="e">
        <f>J40/K38</f>
        <v>#DIV/0!</v>
      </c>
      <c r="L39" s="590" t="e">
        <f>L40/L38</f>
        <v>#DIV/0!</v>
      </c>
      <c r="M39" s="591"/>
      <c r="N39" s="591" t="e">
        <f>M40/N38</f>
        <v>#DIV/0!</v>
      </c>
      <c r="O39" s="591"/>
      <c r="P39" s="591"/>
      <c r="Q39" s="591" t="e">
        <f>O40/Q38</f>
        <v>#DIV/0!</v>
      </c>
      <c r="R39" s="592"/>
    </row>
    <row r="40" spans="2:18" ht="15" customHeight="1" x14ac:dyDescent="0.3">
      <c r="B40" s="597">
        <f t="shared" si="12"/>
        <v>1.8000000000000007</v>
      </c>
      <c r="C40" s="430" t="s">
        <v>33</v>
      </c>
      <c r="D40" s="484"/>
      <c r="E40" s="484">
        <v>1.1154929577464789E-2</v>
      </c>
      <c r="F40" s="484">
        <f t="shared" si="13"/>
        <v>1.1154929577464789E-2</v>
      </c>
      <c r="G40" s="484"/>
      <c r="H40" s="484">
        <v>0</v>
      </c>
      <c r="I40" s="484">
        <f t="shared" si="14"/>
        <v>0</v>
      </c>
      <c r="J40" s="485"/>
      <c r="K40" s="484"/>
      <c r="L40" s="484">
        <f t="shared" si="15"/>
        <v>0</v>
      </c>
      <c r="M40" s="485"/>
      <c r="N40" s="485"/>
      <c r="O40" s="485"/>
      <c r="P40" s="485"/>
      <c r="Q40" s="485"/>
      <c r="R40" s="413"/>
    </row>
    <row r="41" spans="2:18" ht="15" customHeight="1" x14ac:dyDescent="0.3">
      <c r="B41" s="597"/>
      <c r="C41" s="430"/>
      <c r="D41" s="484"/>
      <c r="E41" s="484"/>
      <c r="F41" s="484"/>
      <c r="G41" s="484"/>
      <c r="H41" s="484"/>
      <c r="I41" s="484"/>
      <c r="J41" s="485"/>
      <c r="K41" s="484"/>
      <c r="L41" s="484"/>
      <c r="M41" s="485"/>
      <c r="N41" s="485"/>
      <c r="O41" s="485"/>
      <c r="P41" s="485"/>
      <c r="Q41" s="485"/>
      <c r="R41" s="413"/>
    </row>
    <row r="42" spans="2:18" ht="15" customHeight="1" x14ac:dyDescent="0.3">
      <c r="B42" s="599">
        <v>2</v>
      </c>
      <c r="C42" s="431" t="s">
        <v>1481</v>
      </c>
      <c r="D42" s="484"/>
      <c r="E42" s="484"/>
      <c r="F42" s="484"/>
      <c r="G42" s="484"/>
      <c r="H42" s="484"/>
      <c r="I42" s="484"/>
      <c r="J42" s="485"/>
      <c r="K42" s="484"/>
      <c r="L42" s="484"/>
      <c r="M42" s="485"/>
      <c r="N42" s="485"/>
      <c r="O42" s="485"/>
      <c r="P42" s="485"/>
      <c r="Q42" s="485"/>
      <c r="R42" s="413"/>
    </row>
    <row r="43" spans="2:18" ht="15" customHeight="1" x14ac:dyDescent="0.3">
      <c r="B43" s="597">
        <f t="shared" ref="B43:B50" si="16">B42+0.1</f>
        <v>2.1</v>
      </c>
      <c r="C43" s="430" t="s">
        <v>29</v>
      </c>
      <c r="D43" s="484"/>
      <c r="E43" s="484">
        <v>5.2680673407881157E-2</v>
      </c>
      <c r="F43" s="484">
        <f t="shared" ref="F43:F50" si="17">E43-D43</f>
        <v>5.2680673407881157E-2</v>
      </c>
      <c r="G43" s="484"/>
      <c r="H43" s="484">
        <v>2.363513017955254E-2</v>
      </c>
      <c r="I43" s="484">
        <f t="shared" ref="I43:I50" si="18">H43-G43</f>
        <v>2.363513017955254E-2</v>
      </c>
      <c r="J43" s="485"/>
      <c r="K43" s="484"/>
      <c r="L43" s="484">
        <f t="shared" ref="L43:L50" si="19">K43-J43</f>
        <v>0</v>
      </c>
      <c r="M43" s="485"/>
      <c r="N43" s="485"/>
      <c r="O43" s="485"/>
      <c r="P43" s="485"/>
      <c r="Q43" s="485"/>
      <c r="R43" s="413"/>
    </row>
    <row r="44" spans="2:18" ht="15" customHeight="1" x14ac:dyDescent="0.3">
      <c r="B44" s="597">
        <f t="shared" si="16"/>
        <v>2.2000000000000002</v>
      </c>
      <c r="C44" s="430" t="s">
        <v>400</v>
      </c>
      <c r="D44" s="484"/>
      <c r="E44" s="484">
        <v>0</v>
      </c>
      <c r="F44" s="484">
        <f t="shared" si="17"/>
        <v>0</v>
      </c>
      <c r="G44" s="484"/>
      <c r="H44" s="484">
        <v>0</v>
      </c>
      <c r="I44" s="484">
        <f t="shared" si="18"/>
        <v>0</v>
      </c>
      <c r="J44" s="485"/>
      <c r="K44" s="484"/>
      <c r="L44" s="484">
        <f t="shared" si="19"/>
        <v>0</v>
      </c>
      <c r="M44" s="485"/>
      <c r="N44" s="485"/>
      <c r="O44" s="485"/>
      <c r="P44" s="485"/>
      <c r="Q44" s="485"/>
      <c r="R44" s="413"/>
    </row>
    <row r="45" spans="2:18" ht="15" customHeight="1" x14ac:dyDescent="0.3">
      <c r="B45" s="597">
        <f t="shared" si="16"/>
        <v>2.3000000000000003</v>
      </c>
      <c r="C45" s="430" t="s">
        <v>342</v>
      </c>
      <c r="D45" s="484"/>
      <c r="E45" s="484">
        <v>0</v>
      </c>
      <c r="F45" s="484">
        <f t="shared" si="17"/>
        <v>0</v>
      </c>
      <c r="G45" s="484"/>
      <c r="H45" s="484">
        <v>0</v>
      </c>
      <c r="I45" s="484">
        <f t="shared" si="18"/>
        <v>0</v>
      </c>
      <c r="J45" s="485"/>
      <c r="K45" s="484"/>
      <c r="L45" s="484">
        <f t="shared" si="19"/>
        <v>0</v>
      </c>
      <c r="M45" s="485"/>
      <c r="N45" s="485"/>
      <c r="O45" s="485"/>
      <c r="P45" s="485"/>
      <c r="Q45" s="485"/>
      <c r="R45" s="413"/>
    </row>
    <row r="46" spans="2:18" ht="15" customHeight="1" x14ac:dyDescent="0.3">
      <c r="B46" s="597">
        <f t="shared" si="16"/>
        <v>2.4000000000000004</v>
      </c>
      <c r="C46" s="430" t="s">
        <v>30</v>
      </c>
      <c r="D46" s="484"/>
      <c r="E46" s="484">
        <v>2.8074616519074697E-2</v>
      </c>
      <c r="F46" s="484">
        <f t="shared" si="17"/>
        <v>2.8074616519074697E-2</v>
      </c>
      <c r="G46" s="484"/>
      <c r="H46" s="484">
        <v>1.6511963943757549E-2</v>
      </c>
      <c r="I46" s="484">
        <f t="shared" si="18"/>
        <v>1.6511963943757549E-2</v>
      </c>
      <c r="J46" s="485"/>
      <c r="K46" s="484"/>
      <c r="L46" s="484">
        <f t="shared" si="19"/>
        <v>0</v>
      </c>
      <c r="M46" s="485"/>
      <c r="N46" s="485"/>
      <c r="O46" s="485"/>
      <c r="P46" s="485"/>
      <c r="Q46" s="485"/>
      <c r="R46" s="413"/>
    </row>
    <row r="47" spans="2:18" ht="15" customHeight="1" x14ac:dyDescent="0.3">
      <c r="B47" s="597">
        <f t="shared" si="16"/>
        <v>2.5000000000000004</v>
      </c>
      <c r="C47" s="430" t="s">
        <v>31</v>
      </c>
      <c r="D47" s="484"/>
      <c r="E47" s="484">
        <f>+E43-E44+E45-E46</f>
        <v>2.460605688880646E-2</v>
      </c>
      <c r="F47" s="484">
        <f t="shared" si="17"/>
        <v>2.460605688880646E-2</v>
      </c>
      <c r="G47" s="484"/>
      <c r="H47" s="484">
        <f>+H43-H44+H45-H46</f>
        <v>7.1231662357949914E-3</v>
      </c>
      <c r="I47" s="484">
        <f t="shared" si="18"/>
        <v>7.1231662357949914E-3</v>
      </c>
      <c r="J47" s="485"/>
      <c r="K47" s="485">
        <f>+J43-J44+J45-J46</f>
        <v>0</v>
      </c>
      <c r="L47" s="484">
        <f t="shared" si="19"/>
        <v>0</v>
      </c>
      <c r="M47" s="485"/>
      <c r="N47" s="485">
        <f>+M43-M44+M45-M46</f>
        <v>0</v>
      </c>
      <c r="O47" s="485"/>
      <c r="P47" s="485"/>
      <c r="Q47" s="485">
        <f>+O43-O44+O45-O46</f>
        <v>0</v>
      </c>
      <c r="R47" s="413"/>
    </row>
    <row r="48" spans="2:18" ht="15" customHeight="1" x14ac:dyDescent="0.3">
      <c r="B48" s="597">
        <f t="shared" si="16"/>
        <v>2.6000000000000005</v>
      </c>
      <c r="C48" s="430" t="s">
        <v>470</v>
      </c>
      <c r="D48" s="484"/>
      <c r="E48" s="444">
        <f>AVERAGE(E43,E47)</f>
        <v>3.8643365148343808E-2</v>
      </c>
      <c r="F48" s="484">
        <f t="shared" si="17"/>
        <v>3.8643365148343808E-2</v>
      </c>
      <c r="G48" s="484"/>
      <c r="H48" s="444">
        <f>AVERAGE(H43,H47)</f>
        <v>1.5379148207673766E-2</v>
      </c>
      <c r="I48" s="484">
        <f t="shared" si="18"/>
        <v>1.5379148207673766E-2</v>
      </c>
      <c r="J48" s="485"/>
      <c r="K48" s="484"/>
      <c r="L48" s="484">
        <f t="shared" si="19"/>
        <v>0</v>
      </c>
      <c r="M48" s="485"/>
      <c r="N48" s="485"/>
      <c r="O48" s="485"/>
      <c r="P48" s="485"/>
      <c r="Q48" s="485"/>
      <c r="R48" s="413"/>
    </row>
    <row r="49" spans="2:18" s="593" customFormat="1" ht="15" customHeight="1" x14ac:dyDescent="0.3">
      <c r="B49" s="601">
        <f t="shared" si="16"/>
        <v>2.7000000000000006</v>
      </c>
      <c r="C49" s="589" t="s">
        <v>32</v>
      </c>
      <c r="D49" s="590"/>
      <c r="E49" s="590">
        <f>IFERROR(E50/E48,0)</f>
        <v>9.893444527350656E-2</v>
      </c>
      <c r="F49" s="590">
        <f>F50/F48</f>
        <v>9.893444527350656E-2</v>
      </c>
      <c r="G49" s="590"/>
      <c r="H49" s="590">
        <f>IFERROR(H50/H48,0)</f>
        <v>8.7636431219473593E-2</v>
      </c>
      <c r="I49" s="590">
        <f>I50/I48</f>
        <v>8.7636431219473593E-2</v>
      </c>
      <c r="J49" s="591"/>
      <c r="K49" s="591" t="e">
        <f>J50/K48</f>
        <v>#DIV/0!</v>
      </c>
      <c r="L49" s="590" t="e">
        <f>L50/L48</f>
        <v>#DIV/0!</v>
      </c>
      <c r="M49" s="591"/>
      <c r="N49" s="591" t="e">
        <f>M50/N48</f>
        <v>#DIV/0!</v>
      </c>
      <c r="O49" s="591"/>
      <c r="P49" s="591"/>
      <c r="Q49" s="591" t="e">
        <f>O50/Q48</f>
        <v>#DIV/0!</v>
      </c>
      <c r="R49" s="592"/>
    </row>
    <row r="50" spans="2:18" ht="15" customHeight="1" x14ac:dyDescent="0.3">
      <c r="B50" s="597">
        <f t="shared" si="16"/>
        <v>2.8000000000000007</v>
      </c>
      <c r="C50" s="430" t="s">
        <v>33</v>
      </c>
      <c r="D50" s="484"/>
      <c r="E50" s="484">
        <v>3.8231598944529514E-3</v>
      </c>
      <c r="F50" s="484">
        <f t="shared" si="17"/>
        <v>3.8231598944529514E-3</v>
      </c>
      <c r="G50" s="484"/>
      <c r="H50" s="484">
        <v>1.3477736641158925E-3</v>
      </c>
      <c r="I50" s="484">
        <f t="shared" si="18"/>
        <v>1.3477736641158925E-3</v>
      </c>
      <c r="J50" s="485"/>
      <c r="K50" s="484"/>
      <c r="L50" s="484">
        <f t="shared" si="19"/>
        <v>0</v>
      </c>
      <c r="M50" s="485"/>
      <c r="N50" s="485"/>
      <c r="O50" s="485"/>
      <c r="P50" s="485"/>
      <c r="Q50" s="485"/>
      <c r="R50" s="413"/>
    </row>
    <row r="51" spans="2:18" ht="15" customHeight="1" x14ac:dyDescent="0.3">
      <c r="B51" s="597"/>
      <c r="C51" s="430"/>
      <c r="D51" s="484"/>
      <c r="E51" s="484"/>
      <c r="F51" s="484"/>
      <c r="G51" s="484"/>
      <c r="H51" s="484"/>
      <c r="I51" s="484"/>
      <c r="J51" s="485"/>
      <c r="K51" s="484"/>
      <c r="L51" s="484"/>
      <c r="M51" s="485"/>
      <c r="N51" s="485"/>
      <c r="O51" s="485"/>
      <c r="P51" s="485"/>
      <c r="Q51" s="485"/>
      <c r="R51" s="413"/>
    </row>
    <row r="52" spans="2:18" ht="15" customHeight="1" x14ac:dyDescent="0.3">
      <c r="B52" s="599">
        <v>3</v>
      </c>
      <c r="C52" s="431" t="s">
        <v>1483</v>
      </c>
      <c r="D52" s="484"/>
      <c r="E52" s="484"/>
      <c r="F52" s="484"/>
      <c r="G52" s="484"/>
      <c r="H52" s="484"/>
      <c r="I52" s="484"/>
      <c r="J52" s="485"/>
      <c r="K52" s="484"/>
      <c r="L52" s="484"/>
      <c r="M52" s="485"/>
      <c r="N52" s="485"/>
      <c r="O52" s="485"/>
      <c r="P52" s="485"/>
      <c r="Q52" s="485"/>
      <c r="R52" s="413"/>
    </row>
    <row r="53" spans="2:18" ht="15" customHeight="1" x14ac:dyDescent="0.3">
      <c r="B53" s="597">
        <f>B52+0.1</f>
        <v>3.1</v>
      </c>
      <c r="C53" s="430" t="s">
        <v>29</v>
      </c>
      <c r="D53" s="484"/>
      <c r="E53" s="484">
        <v>28.941749741971829</v>
      </c>
      <c r="F53" s="484">
        <f t="shared" ref="F53:F60" si="20">E53-D53</f>
        <v>28.941749741971829</v>
      </c>
      <c r="G53" s="484"/>
      <c r="H53" s="484">
        <v>25.527366633776772</v>
      </c>
      <c r="I53" s="484">
        <f t="shared" ref="I53:I60" si="21">H53-G53</f>
        <v>25.527366633776772</v>
      </c>
      <c r="J53" s="485"/>
      <c r="K53" s="484"/>
      <c r="L53" s="484">
        <f t="shared" ref="L53:L60" si="22">K53-J53</f>
        <v>0</v>
      </c>
      <c r="M53" s="485"/>
      <c r="N53" s="485"/>
      <c r="O53" s="485"/>
      <c r="P53" s="485"/>
      <c r="Q53" s="485"/>
      <c r="R53" s="413"/>
    </row>
    <row r="54" spans="2:18" ht="15" customHeight="1" x14ac:dyDescent="0.3">
      <c r="B54" s="597">
        <f t="shared" ref="B54:B60" si="23">B53+0.1</f>
        <v>3.2</v>
      </c>
      <c r="C54" s="430" t="s">
        <v>400</v>
      </c>
      <c r="D54" s="484"/>
      <c r="E54" s="484">
        <v>0</v>
      </c>
      <c r="F54" s="484">
        <f t="shared" si="20"/>
        <v>0</v>
      </c>
      <c r="G54" s="484"/>
      <c r="H54" s="484">
        <v>0</v>
      </c>
      <c r="I54" s="484">
        <f t="shared" si="21"/>
        <v>0</v>
      </c>
      <c r="J54" s="485"/>
      <c r="K54" s="484"/>
      <c r="L54" s="484">
        <f t="shared" si="22"/>
        <v>0</v>
      </c>
      <c r="M54" s="485"/>
      <c r="N54" s="485"/>
      <c r="O54" s="485"/>
      <c r="P54" s="485"/>
      <c r="Q54" s="485"/>
      <c r="R54" s="413"/>
    </row>
    <row r="55" spans="2:18" ht="15" customHeight="1" x14ac:dyDescent="0.3">
      <c r="B55" s="597">
        <f t="shared" si="23"/>
        <v>3.3000000000000003</v>
      </c>
      <c r="C55" s="430" t="s">
        <v>342</v>
      </c>
      <c r="D55" s="484"/>
      <c r="E55" s="484">
        <v>0.27074580281690142</v>
      </c>
      <c r="F55" s="484">
        <f t="shared" si="20"/>
        <v>0.27074580281690142</v>
      </c>
      <c r="G55" s="484"/>
      <c r="H55" s="484">
        <v>2.535642949267193</v>
      </c>
      <c r="I55" s="484">
        <f t="shared" si="21"/>
        <v>2.535642949267193</v>
      </c>
      <c r="J55" s="485"/>
      <c r="K55" s="484"/>
      <c r="L55" s="484">
        <f t="shared" si="22"/>
        <v>0</v>
      </c>
      <c r="M55" s="485"/>
      <c r="N55" s="485"/>
      <c r="O55" s="485"/>
      <c r="P55" s="485"/>
      <c r="Q55" s="485"/>
      <c r="R55" s="413"/>
    </row>
    <row r="56" spans="2:18" ht="15" customHeight="1" x14ac:dyDescent="0.3">
      <c r="B56" s="597">
        <f t="shared" si="23"/>
        <v>3.4000000000000004</v>
      </c>
      <c r="C56" s="430" t="s">
        <v>30</v>
      </c>
      <c r="D56" s="484"/>
      <c r="E56" s="484">
        <v>2.6364694835680753</v>
      </c>
      <c r="F56" s="484">
        <f t="shared" si="20"/>
        <v>2.6364694835680753</v>
      </c>
      <c r="G56" s="484"/>
      <c r="H56" s="484">
        <v>3.243348712694476</v>
      </c>
      <c r="I56" s="484">
        <f t="shared" si="21"/>
        <v>3.243348712694476</v>
      </c>
      <c r="J56" s="485"/>
      <c r="K56" s="484"/>
      <c r="L56" s="484">
        <f t="shared" si="22"/>
        <v>0</v>
      </c>
      <c r="M56" s="485"/>
      <c r="N56" s="485"/>
      <c r="O56" s="485"/>
      <c r="P56" s="485"/>
      <c r="Q56" s="485"/>
      <c r="R56" s="413"/>
    </row>
    <row r="57" spans="2:18" ht="15" customHeight="1" x14ac:dyDescent="0.3">
      <c r="B57" s="597">
        <f t="shared" si="23"/>
        <v>3.5000000000000004</v>
      </c>
      <c r="C57" s="430" t="s">
        <v>31</v>
      </c>
      <c r="D57" s="484"/>
      <c r="E57" s="484">
        <f>+E53-E54+E55-E56</f>
        <v>26.576026061220656</v>
      </c>
      <c r="F57" s="484">
        <f t="shared" si="20"/>
        <v>26.576026061220656</v>
      </c>
      <c r="G57" s="484"/>
      <c r="H57" s="484">
        <f>+H53-H54+H55-H56</f>
        <v>24.819660870349487</v>
      </c>
      <c r="I57" s="484">
        <f t="shared" si="21"/>
        <v>24.819660870349487</v>
      </c>
      <c r="J57" s="485"/>
      <c r="K57" s="485">
        <f>+J53-J54+J55-J56</f>
        <v>0</v>
      </c>
      <c r="L57" s="484">
        <f t="shared" si="22"/>
        <v>0</v>
      </c>
      <c r="M57" s="485"/>
      <c r="N57" s="485">
        <f>+M53-M54+M55-M56</f>
        <v>0</v>
      </c>
      <c r="O57" s="485"/>
      <c r="P57" s="485"/>
      <c r="Q57" s="485">
        <f>+O53-O54+O55-O56</f>
        <v>0</v>
      </c>
      <c r="R57" s="413"/>
    </row>
    <row r="58" spans="2:18" ht="15" customHeight="1" x14ac:dyDescent="0.3">
      <c r="B58" s="597">
        <f t="shared" si="23"/>
        <v>3.6000000000000005</v>
      </c>
      <c r="C58" s="430" t="s">
        <v>470</v>
      </c>
      <c r="D58" s="484"/>
      <c r="E58" s="444">
        <f>AVERAGE(E53,E57)</f>
        <v>27.758887901596243</v>
      </c>
      <c r="F58" s="484">
        <f t="shared" si="20"/>
        <v>27.758887901596243</v>
      </c>
      <c r="G58" s="484"/>
      <c r="H58" s="444">
        <f>AVERAGE(H53,H57)</f>
        <v>25.17351375206313</v>
      </c>
      <c r="I58" s="484">
        <f t="shared" si="21"/>
        <v>25.17351375206313</v>
      </c>
      <c r="J58" s="485"/>
      <c r="K58" s="484"/>
      <c r="L58" s="484">
        <f t="shared" si="22"/>
        <v>0</v>
      </c>
      <c r="M58" s="485"/>
      <c r="N58" s="485"/>
      <c r="O58" s="485"/>
      <c r="P58" s="485"/>
      <c r="Q58" s="485"/>
      <c r="R58" s="413"/>
    </row>
    <row r="59" spans="2:18" s="593" customFormat="1" ht="15" customHeight="1" x14ac:dyDescent="0.3">
      <c r="B59" s="601">
        <f t="shared" si="23"/>
        <v>3.7000000000000006</v>
      </c>
      <c r="C59" s="589" t="s">
        <v>32</v>
      </c>
      <c r="D59" s="590"/>
      <c r="E59" s="590">
        <f>IFERROR(E60/E58,0)</f>
        <v>0.10603176734226155</v>
      </c>
      <c r="F59" s="590">
        <f>F60/F58</f>
        <v>0.10603176734226155</v>
      </c>
      <c r="G59" s="590"/>
      <c r="H59" s="590">
        <f>IFERROR(H60/H58,0)</f>
        <v>0.10687010038061291</v>
      </c>
      <c r="I59" s="590">
        <f>I60/I58</f>
        <v>0.10687010038061291</v>
      </c>
      <c r="J59" s="591"/>
      <c r="K59" s="591" t="e">
        <f>J60/K58</f>
        <v>#DIV/0!</v>
      </c>
      <c r="L59" s="590" t="e">
        <f>L60/L58</f>
        <v>#DIV/0!</v>
      </c>
      <c r="M59" s="591"/>
      <c r="N59" s="591" t="e">
        <f>M60/N58</f>
        <v>#DIV/0!</v>
      </c>
      <c r="O59" s="591"/>
      <c r="P59" s="591"/>
      <c r="Q59" s="591" t="e">
        <f>O60/Q58</f>
        <v>#DIV/0!</v>
      </c>
      <c r="R59" s="592"/>
    </row>
    <row r="60" spans="2:18" ht="15" customHeight="1" x14ac:dyDescent="0.3">
      <c r="B60" s="597">
        <f t="shared" si="23"/>
        <v>3.8000000000000007</v>
      </c>
      <c r="C60" s="430" t="s">
        <v>33</v>
      </c>
      <c r="D60" s="484"/>
      <c r="E60" s="484">
        <v>2.9433239436619716</v>
      </c>
      <c r="F60" s="484">
        <f t="shared" si="20"/>
        <v>2.9433239436619716</v>
      </c>
      <c r="G60" s="484"/>
      <c r="H60" s="484">
        <v>2.6902959416157262</v>
      </c>
      <c r="I60" s="484">
        <f t="shared" si="21"/>
        <v>2.6902959416157262</v>
      </c>
      <c r="J60" s="485"/>
      <c r="K60" s="484"/>
      <c r="L60" s="484">
        <f t="shared" si="22"/>
        <v>0</v>
      </c>
      <c r="M60" s="485"/>
      <c r="N60" s="485"/>
      <c r="O60" s="485"/>
      <c r="P60" s="485"/>
      <c r="Q60" s="485"/>
      <c r="R60" s="413"/>
    </row>
    <row r="61" spans="2:18" ht="15" customHeight="1" x14ac:dyDescent="0.3">
      <c r="B61" s="599"/>
      <c r="C61" s="431"/>
      <c r="D61" s="484"/>
      <c r="E61" s="484"/>
      <c r="F61" s="484"/>
      <c r="G61" s="484"/>
      <c r="H61" s="484"/>
      <c r="I61" s="484"/>
      <c r="J61" s="485"/>
      <c r="K61" s="484"/>
      <c r="L61" s="484"/>
      <c r="M61" s="485"/>
      <c r="N61" s="485"/>
      <c r="O61" s="485"/>
      <c r="P61" s="485"/>
      <c r="Q61" s="485"/>
      <c r="R61" s="413"/>
    </row>
    <row r="62" spans="2:18" ht="15" customHeight="1" x14ac:dyDescent="0.3">
      <c r="B62" s="599">
        <v>4</v>
      </c>
      <c r="C62" s="431" t="s">
        <v>1484</v>
      </c>
      <c r="D62" s="484"/>
      <c r="E62" s="484"/>
      <c r="F62" s="484"/>
      <c r="G62" s="484"/>
      <c r="H62" s="484"/>
      <c r="I62" s="484"/>
      <c r="J62" s="485"/>
      <c r="K62" s="484"/>
      <c r="L62" s="484"/>
      <c r="M62" s="485"/>
      <c r="N62" s="485"/>
      <c r="O62" s="485"/>
      <c r="P62" s="485"/>
      <c r="Q62" s="485"/>
      <c r="R62" s="413"/>
    </row>
    <row r="63" spans="2:18" ht="15" customHeight="1" x14ac:dyDescent="0.3">
      <c r="B63" s="597">
        <f>B62+0.1</f>
        <v>4.0999999999999996</v>
      </c>
      <c r="C63" s="430" t="s">
        <v>29</v>
      </c>
      <c r="D63" s="484"/>
      <c r="E63" s="484">
        <v>0</v>
      </c>
      <c r="F63" s="484">
        <f t="shared" ref="F63:F70" si="24">E63-D63</f>
        <v>0</v>
      </c>
      <c r="G63" s="484"/>
      <c r="H63" s="484">
        <v>0</v>
      </c>
      <c r="I63" s="484">
        <f t="shared" ref="I63:I70" si="25">H63-G63</f>
        <v>0</v>
      </c>
      <c r="J63" s="485"/>
      <c r="K63" s="484"/>
      <c r="L63" s="484">
        <f t="shared" ref="L63:L70" si="26">K63-J63</f>
        <v>0</v>
      </c>
      <c r="M63" s="485"/>
      <c r="N63" s="485"/>
      <c r="O63" s="485"/>
      <c r="P63" s="485"/>
      <c r="Q63" s="485"/>
      <c r="R63" s="413"/>
    </row>
    <row r="64" spans="2:18" ht="15" customHeight="1" x14ac:dyDescent="0.3">
      <c r="B64" s="597">
        <f t="shared" ref="B64:B70" si="27">B63+0.1</f>
        <v>4.1999999999999993</v>
      </c>
      <c r="C64" s="430" t="s">
        <v>400</v>
      </c>
      <c r="D64" s="484"/>
      <c r="E64" s="484">
        <v>0</v>
      </c>
      <c r="F64" s="484">
        <f t="shared" si="24"/>
        <v>0</v>
      </c>
      <c r="G64" s="484"/>
      <c r="H64" s="484">
        <v>0</v>
      </c>
      <c r="I64" s="484">
        <f t="shared" si="25"/>
        <v>0</v>
      </c>
      <c r="J64" s="485"/>
      <c r="K64" s="484"/>
      <c r="L64" s="484">
        <f t="shared" si="26"/>
        <v>0</v>
      </c>
      <c r="M64" s="485"/>
      <c r="N64" s="485"/>
      <c r="O64" s="485"/>
      <c r="P64" s="485"/>
      <c r="Q64" s="485"/>
      <c r="R64" s="413"/>
    </row>
    <row r="65" spans="2:18" ht="15" customHeight="1" x14ac:dyDescent="0.3">
      <c r="B65" s="597">
        <f t="shared" si="27"/>
        <v>4.2999999999999989</v>
      </c>
      <c r="C65" s="430" t="s">
        <v>342</v>
      </c>
      <c r="D65" s="484"/>
      <c r="E65" s="484">
        <v>0</v>
      </c>
      <c r="F65" s="484">
        <f t="shared" si="24"/>
        <v>0</v>
      </c>
      <c r="G65" s="484"/>
      <c r="H65" s="484">
        <v>0</v>
      </c>
      <c r="I65" s="484">
        <f t="shared" si="25"/>
        <v>0</v>
      </c>
      <c r="J65" s="485"/>
      <c r="K65" s="484"/>
      <c r="L65" s="484">
        <f t="shared" si="26"/>
        <v>0</v>
      </c>
      <c r="M65" s="485"/>
      <c r="N65" s="485"/>
      <c r="O65" s="485"/>
      <c r="P65" s="485"/>
      <c r="Q65" s="485"/>
      <c r="R65" s="413"/>
    </row>
    <row r="66" spans="2:18" ht="15" customHeight="1" x14ac:dyDescent="0.3">
      <c r="B66" s="597">
        <f t="shared" si="27"/>
        <v>4.3999999999999986</v>
      </c>
      <c r="C66" s="430" t="s">
        <v>30</v>
      </c>
      <c r="D66" s="484"/>
      <c r="E66" s="484">
        <v>0</v>
      </c>
      <c r="F66" s="484">
        <f t="shared" si="24"/>
        <v>0</v>
      </c>
      <c r="G66" s="484"/>
      <c r="H66" s="484">
        <v>0</v>
      </c>
      <c r="I66" s="484">
        <f t="shared" si="25"/>
        <v>0</v>
      </c>
      <c r="J66" s="485"/>
      <c r="K66" s="484"/>
      <c r="L66" s="484">
        <f t="shared" si="26"/>
        <v>0</v>
      </c>
      <c r="M66" s="485"/>
      <c r="N66" s="485"/>
      <c r="O66" s="485"/>
      <c r="P66" s="485"/>
      <c r="Q66" s="485"/>
      <c r="R66" s="413"/>
    </row>
    <row r="67" spans="2:18" ht="15" customHeight="1" x14ac:dyDescent="0.3">
      <c r="B67" s="597">
        <f t="shared" si="27"/>
        <v>4.4999999999999982</v>
      </c>
      <c r="C67" s="430" t="s">
        <v>31</v>
      </c>
      <c r="D67" s="484"/>
      <c r="E67" s="484">
        <f>+E63-E64+E65-E66</f>
        <v>0</v>
      </c>
      <c r="F67" s="484">
        <f t="shared" si="24"/>
        <v>0</v>
      </c>
      <c r="G67" s="484"/>
      <c r="H67" s="484">
        <f>+H63-H64+H65-H66</f>
        <v>0</v>
      </c>
      <c r="I67" s="484">
        <f t="shared" si="25"/>
        <v>0</v>
      </c>
      <c r="J67" s="485"/>
      <c r="K67" s="485">
        <f>+J63-J64+J65-J66</f>
        <v>0</v>
      </c>
      <c r="L67" s="484">
        <f t="shared" si="26"/>
        <v>0</v>
      </c>
      <c r="M67" s="485"/>
      <c r="N67" s="485">
        <f>+M63-M64+M65-M66</f>
        <v>0</v>
      </c>
      <c r="O67" s="485"/>
      <c r="P67" s="485"/>
      <c r="Q67" s="485">
        <f>+O63-O64+O65-O66</f>
        <v>0</v>
      </c>
      <c r="R67" s="413"/>
    </row>
    <row r="68" spans="2:18" ht="15" customHeight="1" x14ac:dyDescent="0.3">
      <c r="B68" s="597">
        <f t="shared" si="27"/>
        <v>4.5999999999999979</v>
      </c>
      <c r="C68" s="430" t="s">
        <v>470</v>
      </c>
      <c r="D68" s="484"/>
      <c r="E68" s="444">
        <f>AVERAGE(E63,E67)</f>
        <v>0</v>
      </c>
      <c r="F68" s="484">
        <f t="shared" si="24"/>
        <v>0</v>
      </c>
      <c r="G68" s="484"/>
      <c r="H68" s="444">
        <f>AVERAGE(H63,H67)</f>
        <v>0</v>
      </c>
      <c r="I68" s="484">
        <f t="shared" si="25"/>
        <v>0</v>
      </c>
      <c r="J68" s="485"/>
      <c r="K68" s="484"/>
      <c r="L68" s="484">
        <f t="shared" si="26"/>
        <v>0</v>
      </c>
      <c r="M68" s="485"/>
      <c r="N68" s="485"/>
      <c r="O68" s="485"/>
      <c r="P68" s="485"/>
      <c r="Q68" s="485"/>
      <c r="R68" s="413"/>
    </row>
    <row r="69" spans="2:18" s="593" customFormat="1" ht="15" customHeight="1" x14ac:dyDescent="0.3">
      <c r="B69" s="601">
        <f t="shared" si="27"/>
        <v>4.6999999999999975</v>
      </c>
      <c r="C69" s="589" t="s">
        <v>32</v>
      </c>
      <c r="D69" s="590"/>
      <c r="E69" s="590">
        <f>IFERROR(E70/E68,0)</f>
        <v>0</v>
      </c>
      <c r="F69" s="590" t="e">
        <f>F70/F68</f>
        <v>#DIV/0!</v>
      </c>
      <c r="G69" s="590"/>
      <c r="H69" s="590">
        <f>IFERROR(H70/H68,0)</f>
        <v>0</v>
      </c>
      <c r="I69" s="590" t="e">
        <f>I70/I68</f>
        <v>#DIV/0!</v>
      </c>
      <c r="J69" s="591"/>
      <c r="K69" s="591" t="e">
        <f>J70/K68</f>
        <v>#DIV/0!</v>
      </c>
      <c r="L69" s="590" t="e">
        <f>L70/L68</f>
        <v>#DIV/0!</v>
      </c>
      <c r="M69" s="591"/>
      <c r="N69" s="591" t="e">
        <f>M70/N68</f>
        <v>#DIV/0!</v>
      </c>
      <c r="O69" s="591"/>
      <c r="P69" s="591"/>
      <c r="Q69" s="591" t="e">
        <f>O70/Q68</f>
        <v>#DIV/0!</v>
      </c>
      <c r="R69" s="592"/>
    </row>
    <row r="70" spans="2:18" ht="15" customHeight="1" x14ac:dyDescent="0.3">
      <c r="B70" s="597">
        <f t="shared" si="27"/>
        <v>4.7999999999999972</v>
      </c>
      <c r="C70" s="430" t="s">
        <v>33</v>
      </c>
      <c r="D70" s="484"/>
      <c r="E70" s="484">
        <v>0</v>
      </c>
      <c r="F70" s="484">
        <f t="shared" si="24"/>
        <v>0</v>
      </c>
      <c r="G70" s="484"/>
      <c r="H70" s="484">
        <v>0</v>
      </c>
      <c r="I70" s="484">
        <f t="shared" si="25"/>
        <v>0</v>
      </c>
      <c r="J70" s="485"/>
      <c r="K70" s="484"/>
      <c r="L70" s="484">
        <f t="shared" si="26"/>
        <v>0</v>
      </c>
      <c r="M70" s="485"/>
      <c r="N70" s="485"/>
      <c r="O70" s="485"/>
      <c r="P70" s="485"/>
      <c r="Q70" s="485"/>
      <c r="R70" s="413"/>
    </row>
    <row r="71" spans="2:18" ht="15" customHeight="1" x14ac:dyDescent="0.3">
      <c r="B71" s="599"/>
      <c r="C71" s="431"/>
      <c r="D71" s="484"/>
      <c r="E71" s="484"/>
      <c r="F71" s="484"/>
      <c r="G71" s="484"/>
      <c r="H71" s="484"/>
      <c r="I71" s="484"/>
      <c r="J71" s="485"/>
      <c r="K71" s="484"/>
      <c r="L71" s="484"/>
      <c r="M71" s="485"/>
      <c r="N71" s="485"/>
      <c r="O71" s="485"/>
      <c r="P71" s="485"/>
      <c r="Q71" s="485"/>
      <c r="R71" s="413"/>
    </row>
    <row r="72" spans="2:18" ht="15" customHeight="1" x14ac:dyDescent="0.3">
      <c r="B72" s="599">
        <v>5</v>
      </c>
      <c r="C72" s="431" t="s">
        <v>1485</v>
      </c>
      <c r="D72" s="484"/>
      <c r="E72" s="484"/>
      <c r="F72" s="484"/>
      <c r="G72" s="484"/>
      <c r="H72" s="484"/>
      <c r="I72" s="484"/>
      <c r="J72" s="485"/>
      <c r="K72" s="484"/>
      <c r="L72" s="484"/>
      <c r="M72" s="485"/>
      <c r="N72" s="485"/>
      <c r="O72" s="485"/>
      <c r="P72" s="485"/>
      <c r="Q72" s="485"/>
      <c r="R72" s="413"/>
    </row>
    <row r="73" spans="2:18" ht="15" customHeight="1" x14ac:dyDescent="0.3">
      <c r="B73" s="597">
        <f>B72+0.1</f>
        <v>5.0999999999999996</v>
      </c>
      <c r="C73" s="430" t="s">
        <v>29</v>
      </c>
      <c r="D73" s="484"/>
      <c r="E73" s="484">
        <v>0.10695842546716751</v>
      </c>
      <c r="F73" s="484">
        <f t="shared" ref="F73:F80" si="28">E73-D73</f>
        <v>0.10695842546716751</v>
      </c>
      <c r="G73" s="484"/>
      <c r="H73" s="484">
        <v>6.4281155664810486E-9</v>
      </c>
      <c r="I73" s="484">
        <f t="shared" ref="I73:I80" si="29">H73-G73</f>
        <v>6.4281155664810486E-9</v>
      </c>
      <c r="J73" s="485"/>
      <c r="K73" s="484"/>
      <c r="L73" s="484">
        <f t="shared" ref="L73:L80" si="30">K73-J73</f>
        <v>0</v>
      </c>
      <c r="M73" s="485"/>
      <c r="N73" s="485"/>
      <c r="O73" s="485"/>
      <c r="P73" s="485"/>
      <c r="Q73" s="485"/>
      <c r="R73" s="413"/>
    </row>
    <row r="74" spans="2:18" ht="15" customHeight="1" x14ac:dyDescent="0.3">
      <c r="B74" s="597">
        <f t="shared" ref="B74:B80" si="31">B73+0.1</f>
        <v>5.1999999999999993</v>
      </c>
      <c r="C74" s="430" t="s">
        <v>400</v>
      </c>
      <c r="D74" s="484"/>
      <c r="E74" s="484">
        <v>0</v>
      </c>
      <c r="F74" s="484">
        <f t="shared" si="28"/>
        <v>0</v>
      </c>
      <c r="G74" s="484"/>
      <c r="H74" s="484">
        <v>0</v>
      </c>
      <c r="I74" s="484">
        <f t="shared" si="29"/>
        <v>0</v>
      </c>
      <c r="J74" s="485"/>
      <c r="K74" s="484"/>
      <c r="L74" s="484">
        <f t="shared" si="30"/>
        <v>0</v>
      </c>
      <c r="M74" s="485"/>
      <c r="N74" s="485"/>
      <c r="O74" s="485"/>
      <c r="P74" s="485"/>
      <c r="Q74" s="485"/>
      <c r="R74" s="413"/>
    </row>
    <row r="75" spans="2:18" ht="15" customHeight="1" x14ac:dyDescent="0.3">
      <c r="B75" s="597">
        <f t="shared" si="31"/>
        <v>5.2999999999999989</v>
      </c>
      <c r="C75" s="430" t="s">
        <v>342</v>
      </c>
      <c r="D75" s="484"/>
      <c r="E75" s="484">
        <v>0</v>
      </c>
      <c r="F75" s="484">
        <f t="shared" si="28"/>
        <v>0</v>
      </c>
      <c r="G75" s="484"/>
      <c r="H75" s="484">
        <v>0</v>
      </c>
      <c r="I75" s="484">
        <f t="shared" si="29"/>
        <v>0</v>
      </c>
      <c r="J75" s="485"/>
      <c r="K75" s="484"/>
      <c r="L75" s="484">
        <f t="shared" si="30"/>
        <v>0</v>
      </c>
      <c r="M75" s="485"/>
      <c r="N75" s="485"/>
      <c r="O75" s="485"/>
      <c r="P75" s="485"/>
      <c r="Q75" s="485"/>
      <c r="R75" s="413"/>
    </row>
    <row r="76" spans="2:18" ht="15" customHeight="1" x14ac:dyDescent="0.3">
      <c r="B76" s="597">
        <f t="shared" si="31"/>
        <v>5.3999999999999986</v>
      </c>
      <c r="C76" s="430" t="s">
        <v>30</v>
      </c>
      <c r="D76" s="484"/>
      <c r="E76" s="484">
        <v>0.10695842253521126</v>
      </c>
      <c r="F76" s="484">
        <f t="shared" si="28"/>
        <v>0.10695842253521126</v>
      </c>
      <c r="G76" s="484"/>
      <c r="H76" s="484">
        <v>0</v>
      </c>
      <c r="I76" s="484">
        <f t="shared" si="29"/>
        <v>0</v>
      </c>
      <c r="J76" s="485"/>
      <c r="K76" s="484"/>
      <c r="L76" s="484">
        <f t="shared" si="30"/>
        <v>0</v>
      </c>
      <c r="M76" s="485"/>
      <c r="N76" s="485"/>
      <c r="O76" s="485"/>
      <c r="P76" s="485"/>
      <c r="Q76" s="485"/>
      <c r="R76" s="413"/>
    </row>
    <row r="77" spans="2:18" ht="15" customHeight="1" x14ac:dyDescent="0.3">
      <c r="B77" s="597">
        <f t="shared" si="31"/>
        <v>5.4999999999999982</v>
      </c>
      <c r="C77" s="430" t="s">
        <v>31</v>
      </c>
      <c r="D77" s="484"/>
      <c r="E77" s="484">
        <f>+E73-E74+E75-E76</f>
        <v>2.9319562472318594E-9</v>
      </c>
      <c r="F77" s="484">
        <f t="shared" si="28"/>
        <v>2.9319562472318594E-9</v>
      </c>
      <c r="G77" s="484"/>
      <c r="H77" s="484">
        <f>+H73-H74+H75-H76</f>
        <v>6.4281155664810486E-9</v>
      </c>
      <c r="I77" s="484">
        <f t="shared" si="29"/>
        <v>6.4281155664810486E-9</v>
      </c>
      <c r="J77" s="485"/>
      <c r="K77" s="485">
        <f>+J73-J74+J75-J76</f>
        <v>0</v>
      </c>
      <c r="L77" s="484">
        <f t="shared" si="30"/>
        <v>0</v>
      </c>
      <c r="M77" s="485"/>
      <c r="N77" s="485">
        <f>+M73-M74+M75-M76</f>
        <v>0</v>
      </c>
      <c r="O77" s="485"/>
      <c r="P77" s="485"/>
      <c r="Q77" s="485">
        <f>+O73-O74+O75-O76</f>
        <v>0</v>
      </c>
      <c r="R77" s="413"/>
    </row>
    <row r="78" spans="2:18" ht="15" customHeight="1" x14ac:dyDescent="0.3">
      <c r="B78" s="597">
        <f t="shared" si="31"/>
        <v>5.5999999999999979</v>
      </c>
      <c r="C78" s="430" t="s">
        <v>470</v>
      </c>
      <c r="D78" s="484"/>
      <c r="E78" s="444">
        <f>AVERAGE(E73,E77)</f>
        <v>5.3479214199561878E-2</v>
      </c>
      <c r="F78" s="484">
        <f t="shared" si="28"/>
        <v>5.3479214199561878E-2</v>
      </c>
      <c r="G78" s="484"/>
      <c r="H78" s="444">
        <f>AVERAGE(H73,H77)</f>
        <v>6.4281155664810486E-9</v>
      </c>
      <c r="I78" s="484">
        <f t="shared" si="29"/>
        <v>6.4281155664810486E-9</v>
      </c>
      <c r="J78" s="485"/>
      <c r="K78" s="484"/>
      <c r="L78" s="484">
        <f t="shared" si="30"/>
        <v>0</v>
      </c>
      <c r="M78" s="485"/>
      <c r="N78" s="485"/>
      <c r="O78" s="485"/>
      <c r="P78" s="485"/>
      <c r="Q78" s="485"/>
      <c r="R78" s="413"/>
    </row>
    <row r="79" spans="2:18" s="593" customFormat="1" ht="15" customHeight="1" x14ac:dyDescent="0.3">
      <c r="B79" s="601">
        <f t="shared" si="31"/>
        <v>5.6999999999999975</v>
      </c>
      <c r="C79" s="589" t="s">
        <v>32</v>
      </c>
      <c r="D79" s="590"/>
      <c r="E79" s="590">
        <f>IFERROR(E80/E78,0)</f>
        <v>1.9062252036505342E-2</v>
      </c>
      <c r="F79" s="590">
        <f>F80/F78</f>
        <v>1.9062252036505342E-2</v>
      </c>
      <c r="G79" s="590"/>
      <c r="H79" s="590">
        <f>IFERROR(H80/H78,0)</f>
        <v>0</v>
      </c>
      <c r="I79" s="590">
        <f>I80/I78</f>
        <v>0</v>
      </c>
      <c r="J79" s="591"/>
      <c r="K79" s="591" t="e">
        <f>J80/K78</f>
        <v>#DIV/0!</v>
      </c>
      <c r="L79" s="590" t="e">
        <f>L80/L78</f>
        <v>#DIV/0!</v>
      </c>
      <c r="M79" s="591"/>
      <c r="N79" s="591" t="e">
        <f>M80/N78</f>
        <v>#DIV/0!</v>
      </c>
      <c r="O79" s="591"/>
      <c r="P79" s="591"/>
      <c r="Q79" s="591" t="e">
        <f>O80/Q78</f>
        <v>#DIV/0!</v>
      </c>
      <c r="R79" s="592"/>
    </row>
    <row r="80" spans="2:18" ht="15" customHeight="1" x14ac:dyDescent="0.3">
      <c r="B80" s="597">
        <f t="shared" si="31"/>
        <v>5.7999999999999972</v>
      </c>
      <c r="C80" s="430" t="s">
        <v>33</v>
      </c>
      <c r="D80" s="484"/>
      <c r="E80" s="484">
        <v>1.0194342597863038E-3</v>
      </c>
      <c r="F80" s="484">
        <f t="shared" si="28"/>
        <v>1.0194342597863038E-3</v>
      </c>
      <c r="G80" s="484"/>
      <c r="H80" s="484">
        <v>0</v>
      </c>
      <c r="I80" s="484">
        <f t="shared" si="29"/>
        <v>0</v>
      </c>
      <c r="J80" s="485"/>
      <c r="K80" s="484"/>
      <c r="L80" s="484">
        <f t="shared" si="30"/>
        <v>0</v>
      </c>
      <c r="M80" s="485"/>
      <c r="N80" s="485"/>
      <c r="O80" s="485"/>
      <c r="P80" s="485"/>
      <c r="Q80" s="485"/>
      <c r="R80" s="413"/>
    </row>
    <row r="81" spans="2:18" ht="15" customHeight="1" x14ac:dyDescent="0.3">
      <c r="B81" s="599"/>
      <c r="C81" s="431"/>
      <c r="D81" s="484"/>
      <c r="E81" s="484"/>
      <c r="F81" s="484"/>
      <c r="G81" s="484"/>
      <c r="H81" s="484"/>
      <c r="I81" s="484"/>
      <c r="J81" s="485"/>
      <c r="K81" s="484"/>
      <c r="L81" s="484"/>
      <c r="M81" s="485"/>
      <c r="N81" s="485"/>
      <c r="O81" s="485"/>
      <c r="P81" s="485"/>
      <c r="Q81" s="485"/>
      <c r="R81" s="413"/>
    </row>
    <row r="82" spans="2:18" ht="15" customHeight="1" x14ac:dyDescent="0.3">
      <c r="B82" s="599">
        <v>6</v>
      </c>
      <c r="C82" s="431" t="s">
        <v>1486</v>
      </c>
      <c r="D82" s="484"/>
      <c r="E82" s="484"/>
      <c r="F82" s="484"/>
      <c r="G82" s="484"/>
      <c r="H82" s="484"/>
      <c r="I82" s="484"/>
      <c r="J82" s="485"/>
      <c r="K82" s="484"/>
      <c r="L82" s="484"/>
      <c r="M82" s="485"/>
      <c r="N82" s="485"/>
      <c r="O82" s="485"/>
      <c r="P82" s="485"/>
      <c r="Q82" s="485"/>
      <c r="R82" s="413"/>
    </row>
    <row r="83" spans="2:18" ht="15" customHeight="1" x14ac:dyDescent="0.3">
      <c r="B83" s="597">
        <f>B82+0.1</f>
        <v>6.1</v>
      </c>
      <c r="C83" s="430" t="s">
        <v>29</v>
      </c>
      <c r="D83" s="484"/>
      <c r="E83" s="484">
        <v>0</v>
      </c>
      <c r="F83" s="484">
        <f t="shared" ref="F83:F90" si="32">E83-D83</f>
        <v>0</v>
      </c>
      <c r="G83" s="484"/>
      <c r="H83" s="484">
        <v>0</v>
      </c>
      <c r="I83" s="484">
        <f t="shared" ref="I83:I90" si="33">H83-G83</f>
        <v>0</v>
      </c>
      <c r="J83" s="485"/>
      <c r="K83" s="484"/>
      <c r="L83" s="484">
        <f t="shared" ref="L83:L90" si="34">K83-J83</f>
        <v>0</v>
      </c>
      <c r="M83" s="485"/>
      <c r="N83" s="485"/>
      <c r="O83" s="485"/>
      <c r="P83" s="485"/>
      <c r="Q83" s="485"/>
      <c r="R83" s="413"/>
    </row>
    <row r="84" spans="2:18" ht="15" customHeight="1" x14ac:dyDescent="0.3">
      <c r="B84" s="597">
        <f t="shared" ref="B84:B90" si="35">B83+0.1</f>
        <v>6.1999999999999993</v>
      </c>
      <c r="C84" s="430" t="s">
        <v>400</v>
      </c>
      <c r="D84" s="484"/>
      <c r="E84" s="484">
        <v>0</v>
      </c>
      <c r="F84" s="484">
        <f t="shared" si="32"/>
        <v>0</v>
      </c>
      <c r="G84" s="484"/>
      <c r="H84" s="484">
        <v>0</v>
      </c>
      <c r="I84" s="484">
        <f t="shared" si="33"/>
        <v>0</v>
      </c>
      <c r="J84" s="485"/>
      <c r="K84" s="484"/>
      <c r="L84" s="484">
        <f t="shared" si="34"/>
        <v>0</v>
      </c>
      <c r="M84" s="485"/>
      <c r="N84" s="485"/>
      <c r="O84" s="485"/>
      <c r="P84" s="485"/>
      <c r="Q84" s="485"/>
      <c r="R84" s="413"/>
    </row>
    <row r="85" spans="2:18" ht="15" customHeight="1" x14ac:dyDescent="0.3">
      <c r="B85" s="597">
        <f t="shared" si="35"/>
        <v>6.2999999999999989</v>
      </c>
      <c r="C85" s="430" t="s">
        <v>342</v>
      </c>
      <c r="D85" s="484"/>
      <c r="E85" s="484">
        <v>0</v>
      </c>
      <c r="F85" s="484">
        <f t="shared" si="32"/>
        <v>0</v>
      </c>
      <c r="G85" s="484"/>
      <c r="H85" s="484">
        <v>0</v>
      </c>
      <c r="I85" s="484">
        <f t="shared" si="33"/>
        <v>0</v>
      </c>
      <c r="J85" s="485"/>
      <c r="K85" s="484"/>
      <c r="L85" s="484">
        <f t="shared" si="34"/>
        <v>0</v>
      </c>
      <c r="M85" s="485"/>
      <c r="N85" s="485"/>
      <c r="O85" s="485"/>
      <c r="P85" s="485"/>
      <c r="Q85" s="485"/>
      <c r="R85" s="413"/>
    </row>
    <row r="86" spans="2:18" ht="15" customHeight="1" x14ac:dyDescent="0.3">
      <c r="B86" s="597">
        <f t="shared" si="35"/>
        <v>6.3999999999999986</v>
      </c>
      <c r="C86" s="430" t="s">
        <v>30</v>
      </c>
      <c r="D86" s="484"/>
      <c r="E86" s="484">
        <v>0</v>
      </c>
      <c r="F86" s="484">
        <f t="shared" si="32"/>
        <v>0</v>
      </c>
      <c r="G86" s="484"/>
      <c r="H86" s="484">
        <v>0</v>
      </c>
      <c r="I86" s="484">
        <f t="shared" si="33"/>
        <v>0</v>
      </c>
      <c r="J86" s="485"/>
      <c r="K86" s="484"/>
      <c r="L86" s="484">
        <f t="shared" si="34"/>
        <v>0</v>
      </c>
      <c r="M86" s="485"/>
      <c r="N86" s="485"/>
      <c r="O86" s="485"/>
      <c r="P86" s="485"/>
      <c r="Q86" s="485"/>
      <c r="R86" s="413"/>
    </row>
    <row r="87" spans="2:18" ht="15" customHeight="1" x14ac:dyDescent="0.3">
      <c r="B87" s="597">
        <f t="shared" si="35"/>
        <v>6.4999999999999982</v>
      </c>
      <c r="C87" s="430" t="s">
        <v>31</v>
      </c>
      <c r="D87" s="484"/>
      <c r="E87" s="484">
        <f>+E83-E84+E85-E86</f>
        <v>0</v>
      </c>
      <c r="F87" s="484">
        <f t="shared" si="32"/>
        <v>0</v>
      </c>
      <c r="G87" s="484"/>
      <c r="H87" s="484">
        <f>+H83-H84+H85-H86</f>
        <v>0</v>
      </c>
      <c r="I87" s="484">
        <f t="shared" si="33"/>
        <v>0</v>
      </c>
      <c r="J87" s="485"/>
      <c r="K87" s="485">
        <f>+J83-J84+J85-J86</f>
        <v>0</v>
      </c>
      <c r="L87" s="484">
        <f t="shared" si="34"/>
        <v>0</v>
      </c>
      <c r="M87" s="485"/>
      <c r="N87" s="485">
        <f>+M83-M84+M85-M86</f>
        <v>0</v>
      </c>
      <c r="O87" s="485"/>
      <c r="P87" s="485"/>
      <c r="Q87" s="485">
        <f>+O83-O84+O85-O86</f>
        <v>0</v>
      </c>
      <c r="R87" s="413"/>
    </row>
    <row r="88" spans="2:18" ht="15" customHeight="1" x14ac:dyDescent="0.3">
      <c r="B88" s="597">
        <f t="shared" si="35"/>
        <v>6.5999999999999979</v>
      </c>
      <c r="C88" s="430" t="s">
        <v>470</v>
      </c>
      <c r="D88" s="484"/>
      <c r="E88" s="444">
        <f>AVERAGE(E83,E87)</f>
        <v>0</v>
      </c>
      <c r="F88" s="484">
        <f t="shared" si="32"/>
        <v>0</v>
      </c>
      <c r="G88" s="484"/>
      <c r="H88" s="444">
        <f>AVERAGE(H83,H87)</f>
        <v>0</v>
      </c>
      <c r="I88" s="484">
        <f t="shared" si="33"/>
        <v>0</v>
      </c>
      <c r="J88" s="485"/>
      <c r="K88" s="484"/>
      <c r="L88" s="484">
        <f t="shared" si="34"/>
        <v>0</v>
      </c>
      <c r="M88" s="485"/>
      <c r="N88" s="485"/>
      <c r="O88" s="485"/>
      <c r="P88" s="485"/>
      <c r="Q88" s="485"/>
      <c r="R88" s="413"/>
    </row>
    <row r="89" spans="2:18" s="593" customFormat="1" ht="15" customHeight="1" x14ac:dyDescent="0.3">
      <c r="B89" s="601">
        <f t="shared" si="35"/>
        <v>6.6999999999999975</v>
      </c>
      <c r="C89" s="589" t="s">
        <v>32</v>
      </c>
      <c r="D89" s="590"/>
      <c r="E89" s="590">
        <f>IFERROR(E90/E88,0)</f>
        <v>0</v>
      </c>
      <c r="F89" s="590" t="e">
        <f>F90/F88</f>
        <v>#DIV/0!</v>
      </c>
      <c r="G89" s="590"/>
      <c r="H89" s="590">
        <f>IFERROR(H90/H88,0)</f>
        <v>0</v>
      </c>
      <c r="I89" s="590" t="e">
        <f>I90/I88</f>
        <v>#DIV/0!</v>
      </c>
      <c r="J89" s="591"/>
      <c r="K89" s="591" t="e">
        <f>J90/K88</f>
        <v>#DIV/0!</v>
      </c>
      <c r="L89" s="590" t="e">
        <f>L90/L88</f>
        <v>#DIV/0!</v>
      </c>
      <c r="M89" s="591"/>
      <c r="N89" s="591" t="e">
        <f>M90/N88</f>
        <v>#DIV/0!</v>
      </c>
      <c r="O89" s="591"/>
      <c r="P89" s="591"/>
      <c r="Q89" s="591" t="e">
        <f>O90/Q88</f>
        <v>#DIV/0!</v>
      </c>
      <c r="R89" s="592"/>
    </row>
    <row r="90" spans="2:18" ht="15" customHeight="1" x14ac:dyDescent="0.3">
      <c r="B90" s="597">
        <f t="shared" si="35"/>
        <v>6.7999999999999972</v>
      </c>
      <c r="C90" s="430" t="s">
        <v>33</v>
      </c>
      <c r="D90" s="484"/>
      <c r="E90" s="484">
        <v>0</v>
      </c>
      <c r="F90" s="484">
        <f t="shared" si="32"/>
        <v>0</v>
      </c>
      <c r="G90" s="484"/>
      <c r="H90" s="484">
        <v>0</v>
      </c>
      <c r="I90" s="484">
        <f t="shared" si="33"/>
        <v>0</v>
      </c>
      <c r="J90" s="485"/>
      <c r="K90" s="484"/>
      <c r="L90" s="484">
        <f t="shared" si="34"/>
        <v>0</v>
      </c>
      <c r="M90" s="485"/>
      <c r="N90" s="485"/>
      <c r="O90" s="485"/>
      <c r="P90" s="485"/>
      <c r="Q90" s="485"/>
      <c r="R90" s="413"/>
    </row>
    <row r="91" spans="2:18" ht="15" customHeight="1" x14ac:dyDescent="0.3">
      <c r="B91" s="599"/>
      <c r="C91" s="431"/>
      <c r="D91" s="484"/>
      <c r="E91" s="484"/>
      <c r="F91" s="484"/>
      <c r="G91" s="484"/>
      <c r="H91" s="484"/>
      <c r="I91" s="484"/>
      <c r="J91" s="485"/>
      <c r="K91" s="484"/>
      <c r="L91" s="484"/>
      <c r="M91" s="485"/>
      <c r="N91" s="485"/>
      <c r="O91" s="485"/>
      <c r="P91" s="485"/>
      <c r="Q91" s="485"/>
      <c r="R91" s="413"/>
    </row>
    <row r="92" spans="2:18" ht="15" customHeight="1" x14ac:dyDescent="0.3">
      <c r="B92" s="599">
        <v>7</v>
      </c>
      <c r="C92" s="431" t="s">
        <v>1487</v>
      </c>
      <c r="D92" s="484"/>
      <c r="E92" s="484"/>
      <c r="F92" s="484"/>
      <c r="G92" s="484"/>
      <c r="H92" s="484"/>
      <c r="I92" s="484"/>
      <c r="J92" s="485"/>
      <c r="K92" s="484"/>
      <c r="L92" s="484"/>
      <c r="M92" s="485"/>
      <c r="N92" s="485"/>
      <c r="O92" s="485"/>
      <c r="P92" s="485"/>
      <c r="Q92" s="485"/>
      <c r="R92" s="413"/>
    </row>
    <row r="93" spans="2:18" ht="15" customHeight="1" x14ac:dyDescent="0.3">
      <c r="B93" s="597">
        <f>B92+0.1</f>
        <v>7.1</v>
      </c>
      <c r="C93" s="430" t="s">
        <v>29</v>
      </c>
      <c r="D93" s="484"/>
      <c r="E93" s="484">
        <v>0</v>
      </c>
      <c r="F93" s="484">
        <f t="shared" ref="F93:F100" si="36">E93-D93</f>
        <v>0</v>
      </c>
      <c r="G93" s="484"/>
      <c r="H93" s="484">
        <v>0</v>
      </c>
      <c r="I93" s="484">
        <f t="shared" ref="I93:I100" si="37">H93-G93</f>
        <v>0</v>
      </c>
      <c r="J93" s="485"/>
      <c r="K93" s="484"/>
      <c r="L93" s="484">
        <f t="shared" ref="L93:L100" si="38">K93-J93</f>
        <v>0</v>
      </c>
      <c r="M93" s="485"/>
      <c r="N93" s="485"/>
      <c r="O93" s="485"/>
      <c r="P93" s="485"/>
      <c r="Q93" s="485"/>
      <c r="R93" s="413"/>
    </row>
    <row r="94" spans="2:18" ht="15" customHeight="1" x14ac:dyDescent="0.3">
      <c r="B94" s="597">
        <f t="shared" ref="B94:B100" si="39">B93+0.1</f>
        <v>7.1999999999999993</v>
      </c>
      <c r="C94" s="430" t="s">
        <v>400</v>
      </c>
      <c r="D94" s="484"/>
      <c r="E94" s="484">
        <v>0</v>
      </c>
      <c r="F94" s="484">
        <f t="shared" si="36"/>
        <v>0</v>
      </c>
      <c r="G94" s="484"/>
      <c r="H94" s="484">
        <v>0</v>
      </c>
      <c r="I94" s="484">
        <f t="shared" si="37"/>
        <v>0</v>
      </c>
      <c r="J94" s="485"/>
      <c r="K94" s="484"/>
      <c r="L94" s="484">
        <f t="shared" si="38"/>
        <v>0</v>
      </c>
      <c r="M94" s="485"/>
      <c r="N94" s="485"/>
      <c r="O94" s="485"/>
      <c r="P94" s="485"/>
      <c r="Q94" s="485"/>
      <c r="R94" s="413"/>
    </row>
    <row r="95" spans="2:18" ht="15" customHeight="1" x14ac:dyDescent="0.3">
      <c r="B95" s="597">
        <f t="shared" si="39"/>
        <v>7.2999999999999989</v>
      </c>
      <c r="C95" s="430" t="s">
        <v>342</v>
      </c>
      <c r="D95" s="484"/>
      <c r="E95" s="484">
        <v>0</v>
      </c>
      <c r="F95" s="484">
        <f t="shared" si="36"/>
        <v>0</v>
      </c>
      <c r="G95" s="484"/>
      <c r="H95" s="484">
        <v>0</v>
      </c>
      <c r="I95" s="484">
        <f t="shared" si="37"/>
        <v>0</v>
      </c>
      <c r="J95" s="485"/>
      <c r="K95" s="484"/>
      <c r="L95" s="484">
        <f t="shared" si="38"/>
        <v>0</v>
      </c>
      <c r="M95" s="485"/>
      <c r="N95" s="485"/>
      <c r="O95" s="485"/>
      <c r="P95" s="485"/>
      <c r="Q95" s="485"/>
      <c r="R95" s="413"/>
    </row>
    <row r="96" spans="2:18" ht="15" customHeight="1" x14ac:dyDescent="0.3">
      <c r="B96" s="597">
        <f t="shared" si="39"/>
        <v>7.3999999999999986</v>
      </c>
      <c r="C96" s="430" t="s">
        <v>30</v>
      </c>
      <c r="D96" s="484"/>
      <c r="E96" s="484">
        <v>0</v>
      </c>
      <c r="F96" s="484">
        <f t="shared" si="36"/>
        <v>0</v>
      </c>
      <c r="G96" s="484"/>
      <c r="H96" s="484">
        <v>0</v>
      </c>
      <c r="I96" s="484">
        <f t="shared" si="37"/>
        <v>0</v>
      </c>
      <c r="J96" s="485"/>
      <c r="K96" s="484"/>
      <c r="L96" s="484">
        <f t="shared" si="38"/>
        <v>0</v>
      </c>
      <c r="M96" s="485"/>
      <c r="N96" s="485"/>
      <c r="O96" s="485"/>
      <c r="P96" s="485"/>
      <c r="Q96" s="485"/>
      <c r="R96" s="413"/>
    </row>
    <row r="97" spans="2:18" ht="15" customHeight="1" x14ac:dyDescent="0.3">
      <c r="B97" s="597">
        <f t="shared" si="39"/>
        <v>7.4999999999999982</v>
      </c>
      <c r="C97" s="430" t="s">
        <v>31</v>
      </c>
      <c r="D97" s="484"/>
      <c r="E97" s="484">
        <f>+E93-E94+E95-E96</f>
        <v>0</v>
      </c>
      <c r="F97" s="484">
        <f t="shared" si="36"/>
        <v>0</v>
      </c>
      <c r="G97" s="484"/>
      <c r="H97" s="484">
        <f>+H93-H94+H95-H96</f>
        <v>0</v>
      </c>
      <c r="I97" s="484">
        <f t="shared" si="37"/>
        <v>0</v>
      </c>
      <c r="J97" s="485"/>
      <c r="K97" s="484">
        <f>+K93-K94+K95-K96</f>
        <v>0</v>
      </c>
      <c r="L97" s="484">
        <f t="shared" si="38"/>
        <v>0</v>
      </c>
      <c r="M97" s="485"/>
      <c r="N97" s="485">
        <f>+M93-M94+M95-M96</f>
        <v>0</v>
      </c>
      <c r="O97" s="485"/>
      <c r="P97" s="485"/>
      <c r="Q97" s="485">
        <f>+O93-O94+O95-O96</f>
        <v>0</v>
      </c>
      <c r="R97" s="413"/>
    </row>
    <row r="98" spans="2:18" ht="15" customHeight="1" x14ac:dyDescent="0.3">
      <c r="B98" s="597">
        <f t="shared" si="39"/>
        <v>7.5999999999999979</v>
      </c>
      <c r="C98" s="430" t="s">
        <v>470</v>
      </c>
      <c r="D98" s="484"/>
      <c r="E98" s="444">
        <f>AVERAGE(E93,E97)</f>
        <v>0</v>
      </c>
      <c r="F98" s="484">
        <f t="shared" si="36"/>
        <v>0</v>
      </c>
      <c r="G98" s="484"/>
      <c r="H98" s="444">
        <f>AVERAGE(H93,H97)</f>
        <v>0</v>
      </c>
      <c r="I98" s="484">
        <f t="shared" si="37"/>
        <v>0</v>
      </c>
      <c r="J98" s="485"/>
      <c r="K98" s="484"/>
      <c r="L98" s="484">
        <f t="shared" si="38"/>
        <v>0</v>
      </c>
      <c r="M98" s="485"/>
      <c r="N98" s="485"/>
      <c r="O98" s="485"/>
      <c r="P98" s="485"/>
      <c r="Q98" s="485"/>
      <c r="R98" s="413"/>
    </row>
    <row r="99" spans="2:18" s="593" customFormat="1" ht="15" customHeight="1" x14ac:dyDescent="0.3">
      <c r="B99" s="601">
        <f t="shared" si="39"/>
        <v>7.6999999999999975</v>
      </c>
      <c r="C99" s="589" t="s">
        <v>32</v>
      </c>
      <c r="D99" s="590"/>
      <c r="E99" s="590">
        <f>IFERROR(E100/E98,0)</f>
        <v>0</v>
      </c>
      <c r="F99" s="590" t="e">
        <f>F100/F98</f>
        <v>#DIV/0!</v>
      </c>
      <c r="G99" s="590"/>
      <c r="H99" s="590">
        <f>IFERROR(H100/H98,0)</f>
        <v>0</v>
      </c>
      <c r="I99" s="590" t="e">
        <f>I100/I98</f>
        <v>#DIV/0!</v>
      </c>
      <c r="J99" s="591"/>
      <c r="K99" s="591" t="e">
        <f>J100/K98</f>
        <v>#DIV/0!</v>
      </c>
      <c r="L99" s="590" t="e">
        <f>L100/L98</f>
        <v>#DIV/0!</v>
      </c>
      <c r="M99" s="591"/>
      <c r="N99" s="591" t="e">
        <f>M100/N98</f>
        <v>#DIV/0!</v>
      </c>
      <c r="O99" s="591"/>
      <c r="P99" s="591"/>
      <c r="Q99" s="591" t="e">
        <f>O100/Q98</f>
        <v>#DIV/0!</v>
      </c>
      <c r="R99" s="592"/>
    </row>
    <row r="100" spans="2:18" ht="15" customHeight="1" x14ac:dyDescent="0.3">
      <c r="B100" s="597">
        <f t="shared" si="39"/>
        <v>7.7999999999999972</v>
      </c>
      <c r="C100" s="430" t="s">
        <v>33</v>
      </c>
      <c r="D100" s="484"/>
      <c r="E100" s="484">
        <v>0</v>
      </c>
      <c r="F100" s="484">
        <f t="shared" si="36"/>
        <v>0</v>
      </c>
      <c r="G100" s="484"/>
      <c r="H100" s="484">
        <v>0</v>
      </c>
      <c r="I100" s="484">
        <f t="shared" si="37"/>
        <v>0</v>
      </c>
      <c r="J100" s="485"/>
      <c r="K100" s="484"/>
      <c r="L100" s="484">
        <f t="shared" si="38"/>
        <v>0</v>
      </c>
      <c r="M100" s="485"/>
      <c r="N100" s="485"/>
      <c r="O100" s="485"/>
      <c r="P100" s="485"/>
      <c r="Q100" s="485"/>
      <c r="R100" s="413"/>
    </row>
    <row r="101" spans="2:18" ht="15" customHeight="1" x14ac:dyDescent="0.3">
      <c r="B101" s="599"/>
      <c r="C101" s="431"/>
      <c r="D101" s="484"/>
      <c r="E101" s="484"/>
      <c r="F101" s="484"/>
      <c r="G101" s="484"/>
      <c r="H101" s="484"/>
      <c r="I101" s="484"/>
      <c r="J101" s="485"/>
      <c r="K101" s="484"/>
      <c r="L101" s="484"/>
      <c r="M101" s="485"/>
      <c r="N101" s="485"/>
      <c r="O101" s="485"/>
      <c r="P101" s="485"/>
      <c r="Q101" s="485"/>
      <c r="R101" s="413"/>
    </row>
    <row r="102" spans="2:18" ht="15" customHeight="1" x14ac:dyDescent="0.3">
      <c r="B102" s="599">
        <v>8</v>
      </c>
      <c r="C102" s="431" t="s">
        <v>1488</v>
      </c>
      <c r="D102" s="484"/>
      <c r="E102" s="484"/>
      <c r="F102" s="484"/>
      <c r="G102" s="484"/>
      <c r="H102" s="484"/>
      <c r="I102" s="484"/>
      <c r="J102" s="485"/>
      <c r="K102" s="484"/>
      <c r="L102" s="484"/>
      <c r="M102" s="485"/>
      <c r="N102" s="485"/>
      <c r="O102" s="485"/>
      <c r="P102" s="485"/>
      <c r="Q102" s="485"/>
      <c r="R102" s="413"/>
    </row>
    <row r="103" spans="2:18" ht="15" customHeight="1" x14ac:dyDescent="0.3">
      <c r="B103" s="597">
        <f>B102+0.1</f>
        <v>8.1</v>
      </c>
      <c r="C103" s="430" t="s">
        <v>29</v>
      </c>
      <c r="D103" s="484"/>
      <c r="E103" s="484">
        <v>0</v>
      </c>
      <c r="F103" s="484">
        <f t="shared" ref="F103:F110" si="40">E103-D103</f>
        <v>0</v>
      </c>
      <c r="G103" s="484"/>
      <c r="H103" s="484">
        <v>0</v>
      </c>
      <c r="I103" s="484">
        <f t="shared" ref="I103:I110" si="41">H103-G103</f>
        <v>0</v>
      </c>
      <c r="J103" s="485"/>
      <c r="K103" s="484"/>
      <c r="L103" s="484">
        <f t="shared" ref="L103:L110" si="42">K103-J103</f>
        <v>0</v>
      </c>
      <c r="M103" s="485"/>
      <c r="N103" s="485"/>
      <c r="O103" s="485"/>
      <c r="P103" s="485"/>
      <c r="Q103" s="485"/>
      <c r="R103" s="413"/>
    </row>
    <row r="104" spans="2:18" ht="15" customHeight="1" x14ac:dyDescent="0.3">
      <c r="B104" s="597">
        <f t="shared" ref="B104:B110" si="43">B103+0.1</f>
        <v>8.1999999999999993</v>
      </c>
      <c r="C104" s="430" t="s">
        <v>400</v>
      </c>
      <c r="D104" s="484"/>
      <c r="E104" s="484">
        <v>0</v>
      </c>
      <c r="F104" s="484">
        <f t="shared" si="40"/>
        <v>0</v>
      </c>
      <c r="G104" s="484"/>
      <c r="H104" s="484">
        <v>0</v>
      </c>
      <c r="I104" s="484">
        <f t="shared" si="41"/>
        <v>0</v>
      </c>
      <c r="J104" s="485"/>
      <c r="K104" s="484"/>
      <c r="L104" s="484">
        <f t="shared" si="42"/>
        <v>0</v>
      </c>
      <c r="M104" s="485"/>
      <c r="N104" s="485"/>
      <c r="O104" s="485"/>
      <c r="P104" s="485"/>
      <c r="Q104" s="485"/>
      <c r="R104" s="413"/>
    </row>
    <row r="105" spans="2:18" ht="15" customHeight="1" x14ac:dyDescent="0.3">
      <c r="B105" s="597">
        <f t="shared" si="43"/>
        <v>8.2999999999999989</v>
      </c>
      <c r="C105" s="430" t="s">
        <v>342</v>
      </c>
      <c r="D105" s="484"/>
      <c r="E105" s="484">
        <v>0</v>
      </c>
      <c r="F105" s="484">
        <f t="shared" si="40"/>
        <v>0</v>
      </c>
      <c r="G105" s="484"/>
      <c r="H105" s="484">
        <v>0</v>
      </c>
      <c r="I105" s="484">
        <f t="shared" si="41"/>
        <v>0</v>
      </c>
      <c r="J105" s="485"/>
      <c r="K105" s="484"/>
      <c r="L105" s="484">
        <f t="shared" si="42"/>
        <v>0</v>
      </c>
      <c r="M105" s="485"/>
      <c r="N105" s="485"/>
      <c r="O105" s="485"/>
      <c r="P105" s="485"/>
      <c r="Q105" s="485"/>
      <c r="R105" s="413"/>
    </row>
    <row r="106" spans="2:18" ht="15" customHeight="1" x14ac:dyDescent="0.3">
      <c r="B106" s="597">
        <f t="shared" si="43"/>
        <v>8.3999999999999986</v>
      </c>
      <c r="C106" s="430" t="s">
        <v>30</v>
      </c>
      <c r="D106" s="484"/>
      <c r="E106" s="484">
        <v>0</v>
      </c>
      <c r="F106" s="484">
        <f t="shared" si="40"/>
        <v>0</v>
      </c>
      <c r="G106" s="484"/>
      <c r="H106" s="484">
        <v>0</v>
      </c>
      <c r="I106" s="484">
        <f t="shared" si="41"/>
        <v>0</v>
      </c>
      <c r="J106" s="485"/>
      <c r="K106" s="484"/>
      <c r="L106" s="484">
        <f t="shared" si="42"/>
        <v>0</v>
      </c>
      <c r="M106" s="485"/>
      <c r="N106" s="485"/>
      <c r="O106" s="485"/>
      <c r="P106" s="485"/>
      <c r="Q106" s="485"/>
      <c r="R106" s="413"/>
    </row>
    <row r="107" spans="2:18" ht="15" customHeight="1" x14ac:dyDescent="0.3">
      <c r="B107" s="597">
        <f t="shared" si="43"/>
        <v>8.4999999999999982</v>
      </c>
      <c r="C107" s="430" t="s">
        <v>31</v>
      </c>
      <c r="D107" s="484"/>
      <c r="E107" s="484">
        <f>+E103-E104+E105-E106</f>
        <v>0</v>
      </c>
      <c r="F107" s="484">
        <f t="shared" si="40"/>
        <v>0</v>
      </c>
      <c r="G107" s="484"/>
      <c r="H107" s="484">
        <f>+H103-H104+H105-H106</f>
        <v>0</v>
      </c>
      <c r="I107" s="484">
        <f t="shared" si="41"/>
        <v>0</v>
      </c>
      <c r="J107" s="485"/>
      <c r="K107" s="485">
        <f>+J103-J104+J105-J106</f>
        <v>0</v>
      </c>
      <c r="L107" s="484">
        <f t="shared" si="42"/>
        <v>0</v>
      </c>
      <c r="M107" s="485"/>
      <c r="N107" s="485">
        <f>+M103-M104+M105-M106</f>
        <v>0</v>
      </c>
      <c r="O107" s="485"/>
      <c r="P107" s="485"/>
      <c r="Q107" s="485">
        <f>+O103-O104+O105-O106</f>
        <v>0</v>
      </c>
      <c r="R107" s="413"/>
    </row>
    <row r="108" spans="2:18" ht="15" customHeight="1" x14ac:dyDescent="0.3">
      <c r="B108" s="597">
        <f t="shared" si="43"/>
        <v>8.5999999999999979</v>
      </c>
      <c r="C108" s="430" t="s">
        <v>470</v>
      </c>
      <c r="D108" s="484"/>
      <c r="E108" s="444">
        <f>AVERAGE(E103,E107)</f>
        <v>0</v>
      </c>
      <c r="F108" s="484">
        <f t="shared" si="40"/>
        <v>0</v>
      </c>
      <c r="G108" s="484"/>
      <c r="H108" s="444">
        <f>AVERAGE(H103,H107)</f>
        <v>0</v>
      </c>
      <c r="I108" s="484">
        <f t="shared" si="41"/>
        <v>0</v>
      </c>
      <c r="J108" s="485"/>
      <c r="K108" s="484"/>
      <c r="L108" s="484">
        <f t="shared" si="42"/>
        <v>0</v>
      </c>
      <c r="M108" s="485"/>
      <c r="N108" s="485"/>
      <c r="O108" s="485"/>
      <c r="P108" s="485"/>
      <c r="Q108" s="485"/>
      <c r="R108" s="413"/>
    </row>
    <row r="109" spans="2:18" s="593" customFormat="1" ht="15" customHeight="1" x14ac:dyDescent="0.3">
      <c r="B109" s="601">
        <f t="shared" si="43"/>
        <v>8.6999999999999975</v>
      </c>
      <c r="C109" s="589" t="s">
        <v>32</v>
      </c>
      <c r="D109" s="590"/>
      <c r="E109" s="590">
        <f>IFERROR(E110/E108,0)</f>
        <v>0</v>
      </c>
      <c r="F109" s="590" t="e">
        <f>F110/F108</f>
        <v>#DIV/0!</v>
      </c>
      <c r="G109" s="590"/>
      <c r="H109" s="590">
        <f>IFERROR(H110/H108,0)</f>
        <v>0</v>
      </c>
      <c r="I109" s="590" t="e">
        <f>I110/I108</f>
        <v>#DIV/0!</v>
      </c>
      <c r="J109" s="591"/>
      <c r="K109" s="591" t="e">
        <f>J110/K108</f>
        <v>#DIV/0!</v>
      </c>
      <c r="L109" s="590" t="e">
        <f>L110/L108</f>
        <v>#DIV/0!</v>
      </c>
      <c r="M109" s="591"/>
      <c r="N109" s="591" t="e">
        <f>M110/N108</f>
        <v>#DIV/0!</v>
      </c>
      <c r="O109" s="591"/>
      <c r="P109" s="591"/>
      <c r="Q109" s="591" t="e">
        <f>O110/Q108</f>
        <v>#DIV/0!</v>
      </c>
      <c r="R109" s="592"/>
    </row>
    <row r="110" spans="2:18" ht="15" customHeight="1" x14ac:dyDescent="0.3">
      <c r="B110" s="597">
        <f t="shared" si="43"/>
        <v>8.7999999999999972</v>
      </c>
      <c r="C110" s="430" t="s">
        <v>33</v>
      </c>
      <c r="D110" s="484"/>
      <c r="E110" s="484">
        <v>0</v>
      </c>
      <c r="F110" s="484">
        <f t="shared" si="40"/>
        <v>0</v>
      </c>
      <c r="G110" s="484"/>
      <c r="H110" s="484">
        <v>0</v>
      </c>
      <c r="I110" s="484">
        <f t="shared" si="41"/>
        <v>0</v>
      </c>
      <c r="J110" s="485"/>
      <c r="K110" s="484"/>
      <c r="L110" s="484">
        <f t="shared" si="42"/>
        <v>0</v>
      </c>
      <c r="M110" s="485"/>
      <c r="N110" s="485"/>
      <c r="O110" s="485"/>
      <c r="P110" s="485"/>
      <c r="Q110" s="485"/>
      <c r="R110" s="413"/>
    </row>
    <row r="111" spans="2:18" ht="15" customHeight="1" x14ac:dyDescent="0.3">
      <c r="B111" s="597"/>
      <c r="C111" s="430" t="s">
        <v>24</v>
      </c>
      <c r="D111" s="486"/>
      <c r="E111" s="486"/>
      <c r="F111" s="486"/>
      <c r="G111" s="486"/>
      <c r="H111" s="486"/>
      <c r="I111" s="486"/>
      <c r="J111" s="486"/>
      <c r="K111" s="486"/>
      <c r="L111" s="486"/>
      <c r="M111" s="486"/>
      <c r="N111" s="486"/>
      <c r="O111" s="486"/>
      <c r="P111" s="486"/>
      <c r="Q111" s="486"/>
      <c r="R111" s="413"/>
    </row>
    <row r="112" spans="2:18" ht="15" customHeight="1" x14ac:dyDescent="0.3">
      <c r="B112" s="597"/>
      <c r="C112" s="430" t="s">
        <v>24</v>
      </c>
      <c r="D112" s="486"/>
      <c r="E112" s="486"/>
      <c r="F112" s="486"/>
      <c r="G112" s="486"/>
      <c r="H112" s="486"/>
      <c r="I112" s="486"/>
      <c r="J112" s="486"/>
      <c r="K112" s="486"/>
      <c r="L112" s="486"/>
      <c r="M112" s="486"/>
      <c r="N112" s="486"/>
      <c r="O112" s="486"/>
      <c r="P112" s="486"/>
      <c r="Q112" s="486"/>
      <c r="R112" s="413"/>
    </row>
    <row r="113" spans="2:18" ht="15" customHeight="1" x14ac:dyDescent="0.3">
      <c r="B113" s="597"/>
      <c r="C113" s="430" t="s">
        <v>24</v>
      </c>
      <c r="D113" s="486"/>
      <c r="E113" s="486"/>
      <c r="F113" s="486"/>
      <c r="G113" s="486"/>
      <c r="H113" s="486"/>
      <c r="I113" s="486"/>
      <c r="J113" s="486"/>
      <c r="K113" s="486"/>
      <c r="L113" s="486"/>
      <c r="M113" s="486"/>
      <c r="N113" s="486"/>
      <c r="O113" s="486"/>
      <c r="P113" s="486"/>
      <c r="Q113" s="486"/>
      <c r="R113" s="413"/>
    </row>
    <row r="114" spans="2:18" ht="15" customHeight="1" x14ac:dyDescent="0.3">
      <c r="B114" s="597"/>
      <c r="C114" s="430"/>
      <c r="D114" s="486"/>
      <c r="E114" s="486"/>
      <c r="F114" s="486"/>
      <c r="G114" s="486"/>
      <c r="H114" s="486"/>
      <c r="I114" s="486"/>
      <c r="J114" s="486"/>
      <c r="K114" s="486"/>
      <c r="L114" s="486"/>
      <c r="M114" s="486"/>
      <c r="N114" s="486"/>
      <c r="O114" s="486"/>
      <c r="P114" s="486"/>
      <c r="Q114" s="486"/>
      <c r="R114" s="413"/>
    </row>
    <row r="115" spans="2:18" ht="15" customHeight="1" x14ac:dyDescent="0.3">
      <c r="B115" s="599">
        <v>9</v>
      </c>
      <c r="C115" s="431" t="s">
        <v>271</v>
      </c>
      <c r="D115" s="486"/>
      <c r="E115" s="486"/>
      <c r="F115" s="486"/>
      <c r="G115" s="486"/>
      <c r="H115" s="486"/>
      <c r="I115" s="486"/>
      <c r="J115" s="486"/>
      <c r="K115" s="486"/>
      <c r="L115" s="486"/>
      <c r="M115" s="486"/>
      <c r="N115" s="486"/>
      <c r="O115" s="486"/>
      <c r="P115" s="486"/>
      <c r="Q115" s="486"/>
      <c r="R115" s="413"/>
    </row>
    <row r="116" spans="2:18" ht="15" customHeight="1" x14ac:dyDescent="0.3">
      <c r="B116" s="597">
        <f t="shared" ref="B116:B123" si="44">B115+0.1</f>
        <v>9.1</v>
      </c>
      <c r="C116" s="430" t="s">
        <v>29</v>
      </c>
      <c r="D116" s="486"/>
      <c r="E116" s="486">
        <f t="shared" ref="E116:E123" si="45">E33+E43+E53+E63+E73+E83+E93+E103</f>
        <v>29.733927131926688</v>
      </c>
      <c r="F116" s="486"/>
      <c r="G116" s="486"/>
      <c r="H116" s="486">
        <f t="shared" ref="H116:H123" si="46">H33+H43+H53+H63+H73+H83+H93+H103</f>
        <v>25.551001770384442</v>
      </c>
      <c r="I116" s="486"/>
      <c r="J116" s="486"/>
      <c r="K116" s="486">
        <f t="shared" ref="K116:K123" si="47">K33+K43+K53+K63+K73+K83+K93+K103</f>
        <v>0</v>
      </c>
      <c r="L116" s="486"/>
      <c r="M116" s="486"/>
      <c r="N116" s="486">
        <f t="shared" ref="N116:N123" si="48">N33+N43+N53+N63+N73+N83+N93+N103</f>
        <v>0</v>
      </c>
      <c r="O116" s="486"/>
      <c r="P116" s="486"/>
      <c r="Q116" s="486">
        <f t="shared" ref="Q116:Q123" si="49">Q33+Q43+Q53+Q63+Q73+Q83+Q93+Q103</f>
        <v>0</v>
      </c>
      <c r="R116" s="413"/>
    </row>
    <row r="117" spans="2:18" ht="15" customHeight="1" x14ac:dyDescent="0.3">
      <c r="B117" s="597">
        <f t="shared" si="44"/>
        <v>9.1999999999999993</v>
      </c>
      <c r="C117" s="430" t="s">
        <v>400</v>
      </c>
      <c r="D117" s="486"/>
      <c r="E117" s="486">
        <f t="shared" si="45"/>
        <v>0</v>
      </c>
      <c r="F117" s="486"/>
      <c r="G117" s="486"/>
      <c r="H117" s="486">
        <f t="shared" si="46"/>
        <v>0</v>
      </c>
      <c r="I117" s="486"/>
      <c r="J117" s="486"/>
      <c r="K117" s="486">
        <f t="shared" si="47"/>
        <v>0</v>
      </c>
      <c r="L117" s="486"/>
      <c r="M117" s="486"/>
      <c r="N117" s="486">
        <f t="shared" si="48"/>
        <v>0</v>
      </c>
      <c r="O117" s="486"/>
      <c r="P117" s="486"/>
      <c r="Q117" s="486">
        <f t="shared" si="49"/>
        <v>0</v>
      </c>
      <c r="R117" s="413"/>
    </row>
    <row r="118" spans="2:18" ht="15" customHeight="1" x14ac:dyDescent="0.3">
      <c r="B118" s="597">
        <f t="shared" si="44"/>
        <v>9.2999999999999989</v>
      </c>
      <c r="C118" s="430" t="s">
        <v>342</v>
      </c>
      <c r="D118" s="486"/>
      <c r="E118" s="486">
        <f t="shared" si="45"/>
        <v>0.27074580281690142</v>
      </c>
      <c r="F118" s="486"/>
      <c r="G118" s="486"/>
      <c r="H118" s="486">
        <f t="shared" si="46"/>
        <v>2.535642949267193</v>
      </c>
      <c r="I118" s="486"/>
      <c r="J118" s="486"/>
      <c r="K118" s="486">
        <f t="shared" si="47"/>
        <v>0</v>
      </c>
      <c r="L118" s="486"/>
      <c r="M118" s="486"/>
      <c r="N118" s="486">
        <f t="shared" si="48"/>
        <v>0</v>
      </c>
      <c r="O118" s="486"/>
      <c r="P118" s="486"/>
      <c r="Q118" s="486">
        <f t="shared" si="49"/>
        <v>0</v>
      </c>
      <c r="R118" s="413"/>
    </row>
    <row r="119" spans="2:18" ht="15" customHeight="1" x14ac:dyDescent="0.3">
      <c r="B119" s="597">
        <f t="shared" si="44"/>
        <v>9.3999999999999986</v>
      </c>
      <c r="C119" s="430" t="s">
        <v>30</v>
      </c>
      <c r="D119" s="486"/>
      <c r="E119" s="486">
        <f t="shared" si="45"/>
        <v>3.4040408137021738</v>
      </c>
      <c r="F119" s="486"/>
      <c r="G119" s="486"/>
      <c r="H119" s="486">
        <f t="shared" si="46"/>
        <v>3.2598606766382336</v>
      </c>
      <c r="I119" s="486"/>
      <c r="J119" s="486"/>
      <c r="K119" s="486">
        <f t="shared" si="47"/>
        <v>0</v>
      </c>
      <c r="L119" s="486"/>
      <c r="M119" s="486"/>
      <c r="N119" s="486">
        <f t="shared" si="48"/>
        <v>0</v>
      </c>
      <c r="O119" s="486"/>
      <c r="P119" s="486"/>
      <c r="Q119" s="486">
        <f t="shared" si="49"/>
        <v>0</v>
      </c>
      <c r="R119" s="413"/>
    </row>
    <row r="120" spans="2:18" ht="15" customHeight="1" x14ac:dyDescent="0.3">
      <c r="B120" s="597">
        <f t="shared" si="44"/>
        <v>9.4999999999999982</v>
      </c>
      <c r="C120" s="430" t="s">
        <v>31</v>
      </c>
      <c r="D120" s="486"/>
      <c r="E120" s="486">
        <f t="shared" si="45"/>
        <v>26.600632121041418</v>
      </c>
      <c r="F120" s="486"/>
      <c r="G120" s="486"/>
      <c r="H120" s="486">
        <f t="shared" si="46"/>
        <v>24.826784043013401</v>
      </c>
      <c r="I120" s="486"/>
      <c r="J120" s="486"/>
      <c r="K120" s="486">
        <f t="shared" si="47"/>
        <v>0</v>
      </c>
      <c r="L120" s="486"/>
      <c r="M120" s="486"/>
      <c r="N120" s="486">
        <f t="shared" si="48"/>
        <v>0</v>
      </c>
      <c r="O120" s="486"/>
      <c r="P120" s="486"/>
      <c r="Q120" s="486">
        <f t="shared" si="49"/>
        <v>0</v>
      </c>
      <c r="R120" s="413"/>
    </row>
    <row r="121" spans="2:18" ht="15" customHeight="1" x14ac:dyDescent="0.3">
      <c r="B121" s="597">
        <f t="shared" si="44"/>
        <v>9.5999999999999979</v>
      </c>
      <c r="C121" s="430" t="s">
        <v>470</v>
      </c>
      <c r="D121" s="486"/>
      <c r="E121" s="486">
        <f t="shared" si="45"/>
        <v>28.167279626484056</v>
      </c>
      <c r="F121" s="486"/>
      <c r="G121" s="486"/>
      <c r="H121" s="486">
        <f t="shared" si="46"/>
        <v>25.188892906698921</v>
      </c>
      <c r="I121" s="486"/>
      <c r="J121" s="486"/>
      <c r="K121" s="486">
        <f t="shared" si="47"/>
        <v>0</v>
      </c>
      <c r="L121" s="486"/>
      <c r="M121" s="486"/>
      <c r="N121" s="486">
        <f t="shared" si="48"/>
        <v>0</v>
      </c>
      <c r="O121" s="486"/>
      <c r="P121" s="486"/>
      <c r="Q121" s="486">
        <f t="shared" si="49"/>
        <v>0</v>
      </c>
      <c r="R121" s="413"/>
    </row>
    <row r="122" spans="2:18" s="593" customFormat="1" ht="15" customHeight="1" x14ac:dyDescent="0.3">
      <c r="B122" s="601">
        <f t="shared" si="44"/>
        <v>9.6999999999999975</v>
      </c>
      <c r="C122" s="828" t="s">
        <v>32</v>
      </c>
      <c r="D122" s="592"/>
      <c r="E122" s="590">
        <f>IFERROR(E123/E121,0)</f>
        <v>0.10506238112576542</v>
      </c>
      <c r="F122" s="592"/>
      <c r="G122" s="592"/>
      <c r="H122" s="590">
        <f>IFERROR(H123/H121,0)</f>
        <v>0.1068583571834555</v>
      </c>
      <c r="I122" s="592"/>
      <c r="J122" s="592"/>
      <c r="K122" s="592" t="e">
        <f t="shared" si="47"/>
        <v>#DIV/0!</v>
      </c>
      <c r="L122" s="592"/>
      <c r="M122" s="592"/>
      <c r="N122" s="592" t="e">
        <f t="shared" si="48"/>
        <v>#DIV/0!</v>
      </c>
      <c r="O122" s="592"/>
      <c r="P122" s="592"/>
      <c r="Q122" s="592" t="e">
        <f t="shared" si="49"/>
        <v>#DIV/0!</v>
      </c>
      <c r="R122" s="592"/>
    </row>
    <row r="123" spans="2:18" ht="15" customHeight="1" x14ac:dyDescent="0.3">
      <c r="B123" s="597">
        <f t="shared" si="44"/>
        <v>9.7999999999999972</v>
      </c>
      <c r="C123" s="430" t="s">
        <v>33</v>
      </c>
      <c r="D123" s="486"/>
      <c r="E123" s="486">
        <f t="shared" si="45"/>
        <v>2.9593214673936754</v>
      </c>
      <c r="F123" s="486"/>
      <c r="G123" s="486"/>
      <c r="H123" s="486">
        <f t="shared" si="46"/>
        <v>2.691643715279842</v>
      </c>
      <c r="I123" s="486"/>
      <c r="J123" s="486"/>
      <c r="K123" s="486">
        <f t="shared" si="47"/>
        <v>0</v>
      </c>
      <c r="L123" s="486"/>
      <c r="M123" s="486"/>
      <c r="N123" s="486">
        <f t="shared" si="48"/>
        <v>0</v>
      </c>
      <c r="O123" s="486"/>
      <c r="P123" s="486"/>
      <c r="Q123" s="486">
        <f t="shared" si="49"/>
        <v>0</v>
      </c>
      <c r="R123" s="413"/>
    </row>
    <row r="124" spans="2:18" ht="15" customHeight="1" x14ac:dyDescent="0.3">
      <c r="B124" s="597"/>
      <c r="C124" s="430"/>
      <c r="D124" s="486"/>
      <c r="E124" s="327"/>
      <c r="F124" s="486"/>
      <c r="G124" s="486"/>
      <c r="H124" s="327"/>
      <c r="I124" s="486"/>
      <c r="J124" s="486"/>
      <c r="K124" s="486"/>
      <c r="L124" s="486"/>
      <c r="M124" s="486"/>
      <c r="N124" s="486"/>
      <c r="O124" s="486"/>
      <c r="P124" s="486"/>
      <c r="Q124" s="486"/>
      <c r="R124" s="413"/>
    </row>
    <row r="125" spans="2:18" ht="15" customHeight="1" x14ac:dyDescent="0.3">
      <c r="B125" s="597"/>
      <c r="C125" s="430"/>
      <c r="D125" s="486"/>
      <c r="E125" s="486"/>
      <c r="F125" s="486"/>
      <c r="G125" s="486"/>
      <c r="H125" s="486"/>
      <c r="I125" s="486"/>
      <c r="J125" s="486"/>
      <c r="K125" s="486"/>
      <c r="L125" s="486"/>
      <c r="M125" s="486"/>
      <c r="N125" s="486"/>
      <c r="O125" s="486"/>
      <c r="P125" s="486"/>
      <c r="Q125" s="486"/>
      <c r="R125" s="413"/>
    </row>
    <row r="126" spans="2:18" s="22" customFormat="1" ht="15" customHeight="1" x14ac:dyDescent="0.3">
      <c r="B126" s="599">
        <v>10</v>
      </c>
      <c r="C126" s="431" t="s">
        <v>34</v>
      </c>
      <c r="D126" s="487"/>
      <c r="E126" s="487">
        <f>E123</f>
        <v>2.9593214673936754</v>
      </c>
      <c r="F126" s="487"/>
      <c r="G126" s="487"/>
      <c r="H126" s="487">
        <f>H123</f>
        <v>2.691643715279842</v>
      </c>
      <c r="I126" s="487"/>
      <c r="J126" s="487"/>
      <c r="K126" s="487">
        <f>K123</f>
        <v>0</v>
      </c>
      <c r="L126" s="487"/>
      <c r="M126" s="487"/>
      <c r="N126" s="487">
        <f>N123</f>
        <v>0</v>
      </c>
      <c r="O126" s="487"/>
      <c r="P126" s="487"/>
      <c r="Q126" s="487">
        <f>Q123</f>
        <v>0</v>
      </c>
      <c r="R126" s="426"/>
    </row>
    <row r="127" spans="2:18" ht="15" customHeight="1" x14ac:dyDescent="0.3">
      <c r="B127" s="597">
        <v>11</v>
      </c>
      <c r="C127" s="432" t="s">
        <v>35</v>
      </c>
      <c r="D127" s="486"/>
      <c r="E127" s="486"/>
      <c r="F127" s="486"/>
      <c r="G127" s="486"/>
      <c r="H127" s="486"/>
      <c r="I127" s="486"/>
      <c r="J127" s="486"/>
      <c r="K127" s="486"/>
      <c r="L127" s="486"/>
      <c r="M127" s="486"/>
      <c r="N127" s="486"/>
      <c r="O127" s="486"/>
      <c r="P127" s="486"/>
      <c r="Q127" s="486"/>
      <c r="R127" s="413"/>
    </row>
    <row r="128" spans="2:18" s="316" customFormat="1" ht="15" customHeight="1" x14ac:dyDescent="0.25">
      <c r="B128" s="602">
        <v>12</v>
      </c>
      <c r="C128" s="433" t="s">
        <v>36</v>
      </c>
      <c r="D128" s="486"/>
      <c r="E128" s="486">
        <f>E126-E127</f>
        <v>2.9593214673936754</v>
      </c>
      <c r="F128" s="486"/>
      <c r="G128" s="486"/>
      <c r="H128" s="486">
        <f>H126-H127</f>
        <v>2.691643715279842</v>
      </c>
      <c r="I128" s="486"/>
      <c r="J128" s="486"/>
      <c r="K128" s="486">
        <f>K126-K127</f>
        <v>0</v>
      </c>
      <c r="L128" s="486"/>
      <c r="M128" s="486"/>
      <c r="N128" s="486">
        <f>N126-N127</f>
        <v>0</v>
      </c>
      <c r="O128" s="486"/>
      <c r="P128" s="486"/>
      <c r="Q128" s="486">
        <f>Q126-Q127</f>
        <v>0</v>
      </c>
      <c r="R128" s="413"/>
    </row>
    <row r="129" spans="2:18" ht="15" customHeight="1" x14ac:dyDescent="0.25">
      <c r="B129" s="597"/>
      <c r="C129" s="434"/>
      <c r="D129" s="486"/>
      <c r="E129" s="486"/>
      <c r="F129" s="486"/>
      <c r="G129" s="486"/>
      <c r="H129" s="486"/>
      <c r="I129" s="486"/>
      <c r="J129" s="486"/>
      <c r="K129" s="486"/>
      <c r="L129" s="486"/>
      <c r="M129" s="486"/>
      <c r="N129" s="486"/>
      <c r="O129" s="486"/>
      <c r="P129" s="486"/>
      <c r="Q129" s="486"/>
      <c r="R129" s="413"/>
    </row>
    <row r="130" spans="2:18" x14ac:dyDescent="0.25">
      <c r="B130" s="603"/>
      <c r="C130" s="435"/>
      <c r="D130" s="435"/>
      <c r="E130" s="435"/>
      <c r="F130" s="435"/>
      <c r="G130" s="435"/>
      <c r="H130" s="436"/>
      <c r="I130" s="436"/>
      <c r="J130" s="217"/>
      <c r="L130" s="217"/>
      <c r="M130" s="217"/>
      <c r="N130" s="23"/>
      <c r="O130" s="23"/>
      <c r="P130" s="23"/>
      <c r="Q130" s="23"/>
    </row>
    <row r="131" spans="2:18" x14ac:dyDescent="0.25">
      <c r="B131" s="603"/>
      <c r="C131" s="1850" t="s">
        <v>144</v>
      </c>
      <c r="D131" s="1850"/>
      <c r="E131" s="1850"/>
      <c r="F131" s="1850"/>
      <c r="G131" s="1850"/>
      <c r="H131" s="436"/>
      <c r="I131" s="436"/>
      <c r="J131" s="217"/>
      <c r="L131" s="217"/>
      <c r="M131" s="217"/>
      <c r="N131" s="23"/>
      <c r="O131" s="23"/>
      <c r="P131" s="23"/>
      <c r="Q131" s="23"/>
    </row>
    <row r="132" spans="2:18" x14ac:dyDescent="0.25">
      <c r="C132" s="428" t="s">
        <v>487</v>
      </c>
    </row>
    <row r="134" spans="2:18" ht="17.5" x14ac:dyDescent="0.25">
      <c r="C134" s="703" t="s">
        <v>816</v>
      </c>
      <c r="D134" s="437"/>
      <c r="E134" s="437"/>
      <c r="F134" s="437"/>
      <c r="G134" s="437"/>
    </row>
    <row r="135" spans="2:18" x14ac:dyDescent="0.25">
      <c r="O135" s="21"/>
      <c r="P135" s="21"/>
      <c r="Q135" s="21" t="s">
        <v>10</v>
      </c>
    </row>
    <row r="136" spans="2:18" ht="15" customHeight="1" x14ac:dyDescent="0.25">
      <c r="B136" s="1851" t="s">
        <v>343</v>
      </c>
      <c r="C136" s="1858" t="s">
        <v>26</v>
      </c>
      <c r="D136" s="1690" t="s">
        <v>506</v>
      </c>
      <c r="E136" s="1691"/>
      <c r="F136" s="1692"/>
      <c r="G136" s="1690" t="s">
        <v>507</v>
      </c>
      <c r="H136" s="1691"/>
      <c r="I136" s="1692"/>
      <c r="J136" s="1690" t="s">
        <v>508</v>
      </c>
      <c r="K136" s="1691"/>
      <c r="L136" s="1692"/>
      <c r="M136" s="1698" t="s">
        <v>968</v>
      </c>
      <c r="N136" s="1698"/>
      <c r="O136" s="1698"/>
      <c r="P136" s="1698"/>
      <c r="Q136" s="1698"/>
      <c r="R136" s="1666" t="s">
        <v>27</v>
      </c>
    </row>
    <row r="137" spans="2:18" ht="28" x14ac:dyDescent="0.25">
      <c r="B137" s="1851"/>
      <c r="C137" s="1858"/>
      <c r="D137" s="438" t="s">
        <v>448</v>
      </c>
      <c r="E137" s="439" t="s">
        <v>79</v>
      </c>
      <c r="F137" s="439" t="s">
        <v>449</v>
      </c>
      <c r="G137" s="438" t="s">
        <v>448</v>
      </c>
      <c r="H137" s="439" t="s">
        <v>79</v>
      </c>
      <c r="I137" s="439" t="s">
        <v>449</v>
      </c>
      <c r="J137" s="409" t="s">
        <v>448</v>
      </c>
      <c r="K137" s="409" t="s">
        <v>80</v>
      </c>
      <c r="L137" s="409" t="s">
        <v>450</v>
      </c>
      <c r="M137" s="793" t="s">
        <v>969</v>
      </c>
      <c r="N137" s="793" t="s">
        <v>970</v>
      </c>
      <c r="O137" s="793" t="s">
        <v>971</v>
      </c>
      <c r="P137" s="793" t="s">
        <v>972</v>
      </c>
      <c r="Q137" s="793" t="s">
        <v>973</v>
      </c>
      <c r="R137" s="1666"/>
    </row>
    <row r="138" spans="2:18" x14ac:dyDescent="0.25">
      <c r="B138" s="600"/>
      <c r="C138" s="440"/>
      <c r="D138" s="439" t="s">
        <v>81</v>
      </c>
      <c r="E138" s="439" t="s">
        <v>82</v>
      </c>
      <c r="F138" s="439" t="s">
        <v>673</v>
      </c>
      <c r="G138" s="439" t="s">
        <v>391</v>
      </c>
      <c r="H138" s="439" t="s">
        <v>409</v>
      </c>
      <c r="I138" s="439" t="s">
        <v>454</v>
      </c>
      <c r="J138" s="794" t="s">
        <v>410</v>
      </c>
      <c r="K138" s="794" t="s">
        <v>411</v>
      </c>
      <c r="L138" s="794" t="s">
        <v>510</v>
      </c>
      <c r="M138" s="792" t="s">
        <v>21</v>
      </c>
      <c r="N138" s="792" t="s">
        <v>21</v>
      </c>
      <c r="O138" s="792" t="s">
        <v>21</v>
      </c>
      <c r="P138" s="792" t="s">
        <v>21</v>
      </c>
      <c r="Q138" s="792" t="s">
        <v>21</v>
      </c>
      <c r="R138" s="1667"/>
    </row>
    <row r="139" spans="2:18" x14ac:dyDescent="0.3">
      <c r="B139" s="599">
        <v>1</v>
      </c>
      <c r="C139" s="431" t="s">
        <v>1489</v>
      </c>
      <c r="D139" s="431"/>
      <c r="E139" s="431"/>
      <c r="F139" s="431"/>
      <c r="G139" s="431"/>
      <c r="H139" s="441"/>
      <c r="I139" s="441"/>
      <c r="J139" s="410"/>
      <c r="K139" s="411"/>
      <c r="L139" s="410"/>
      <c r="M139" s="410"/>
      <c r="N139" s="412"/>
      <c r="O139" s="412"/>
      <c r="P139" s="412"/>
      <c r="Q139" s="412"/>
      <c r="R139" s="410"/>
    </row>
    <row r="140" spans="2:18" x14ac:dyDescent="0.3">
      <c r="B140" s="597">
        <v>1.1000000000000001</v>
      </c>
      <c r="C140" s="430" t="s">
        <v>29</v>
      </c>
      <c r="D140" s="484"/>
      <c r="E140" s="484">
        <v>96.411097100000006</v>
      </c>
      <c r="F140" s="484">
        <f>E140-D140</f>
        <v>96.411097100000006</v>
      </c>
      <c r="G140" s="484"/>
      <c r="H140" s="484">
        <v>88.794867799999992</v>
      </c>
      <c r="I140" s="484">
        <f>H140-G140</f>
        <v>88.794867799999992</v>
      </c>
      <c r="J140" s="485"/>
      <c r="K140" s="484"/>
      <c r="L140" s="484">
        <f>K140-J140</f>
        <v>0</v>
      </c>
      <c r="M140" s="485"/>
      <c r="N140" s="485"/>
      <c r="O140" s="485"/>
      <c r="P140" s="485"/>
      <c r="Q140" s="485"/>
      <c r="R140" s="413"/>
    </row>
    <row r="141" spans="2:18" x14ac:dyDescent="0.3">
      <c r="B141" s="597">
        <f t="shared" ref="B141:B147" si="50">B140+0.1</f>
        <v>1.2000000000000002</v>
      </c>
      <c r="C141" s="430" t="s">
        <v>400</v>
      </c>
      <c r="D141" s="484"/>
      <c r="E141" s="484">
        <v>0</v>
      </c>
      <c r="F141" s="484">
        <f t="shared" ref="F141:F147" si="51">E141-D141</f>
        <v>0</v>
      </c>
      <c r="G141" s="484"/>
      <c r="H141" s="484">
        <v>0</v>
      </c>
      <c r="I141" s="484">
        <f t="shared" ref="I141:I147" si="52">H141-G141</f>
        <v>0</v>
      </c>
      <c r="J141" s="485"/>
      <c r="K141" s="484"/>
      <c r="L141" s="484">
        <f t="shared" ref="L141:L147" si="53">K141-J141</f>
        <v>0</v>
      </c>
      <c r="M141" s="485"/>
      <c r="N141" s="485"/>
      <c r="O141" s="485"/>
      <c r="P141" s="485"/>
      <c r="Q141" s="485"/>
      <c r="R141" s="413"/>
    </row>
    <row r="142" spans="2:18" x14ac:dyDescent="0.3">
      <c r="B142" s="597">
        <f t="shared" si="50"/>
        <v>1.3000000000000003</v>
      </c>
      <c r="C142" s="430" t="s">
        <v>342</v>
      </c>
      <c r="D142" s="484"/>
      <c r="E142" s="484">
        <v>3.2475928000000001</v>
      </c>
      <c r="F142" s="484">
        <f t="shared" si="51"/>
        <v>3.2475928000000001</v>
      </c>
      <c r="G142" s="484"/>
      <c r="H142" s="484">
        <v>35.303513899999999</v>
      </c>
      <c r="I142" s="484">
        <f t="shared" si="52"/>
        <v>35.303513899999999</v>
      </c>
      <c r="J142" s="485"/>
      <c r="K142" s="484"/>
      <c r="L142" s="484">
        <f t="shared" si="53"/>
        <v>0</v>
      </c>
      <c r="M142" s="485"/>
      <c r="N142" s="485"/>
      <c r="O142" s="485"/>
      <c r="P142" s="485"/>
      <c r="Q142" s="485"/>
      <c r="R142" s="413"/>
    </row>
    <row r="143" spans="2:18" x14ac:dyDescent="0.3">
      <c r="B143" s="597">
        <f t="shared" si="50"/>
        <v>1.4000000000000004</v>
      </c>
      <c r="C143" s="430" t="s">
        <v>30</v>
      </c>
      <c r="D143" s="484"/>
      <c r="E143" s="484">
        <v>10.8638221</v>
      </c>
      <c r="F143" s="484">
        <f t="shared" si="51"/>
        <v>10.8638221</v>
      </c>
      <c r="G143" s="484"/>
      <c r="H143" s="484">
        <v>10.9873268</v>
      </c>
      <c r="I143" s="484">
        <f t="shared" si="52"/>
        <v>10.9873268</v>
      </c>
      <c r="J143" s="485"/>
      <c r="K143" s="484"/>
      <c r="L143" s="484">
        <f t="shared" si="53"/>
        <v>0</v>
      </c>
      <c r="M143" s="485"/>
      <c r="N143" s="485"/>
      <c r="O143" s="485"/>
      <c r="P143" s="485"/>
      <c r="Q143" s="485"/>
      <c r="R143" s="413"/>
    </row>
    <row r="144" spans="2:18" x14ac:dyDescent="0.3">
      <c r="B144" s="597">
        <f t="shared" si="50"/>
        <v>1.5000000000000004</v>
      </c>
      <c r="C144" s="430" t="s">
        <v>31</v>
      </c>
      <c r="D144" s="484"/>
      <c r="E144" s="484">
        <f>+E140-E141+E142-E143</f>
        <v>88.79486780000002</v>
      </c>
      <c r="F144" s="484">
        <f t="shared" si="51"/>
        <v>88.79486780000002</v>
      </c>
      <c r="G144" s="484"/>
      <c r="H144" s="484">
        <f>+H140-H141+H142-H143</f>
        <v>113.11105489999998</v>
      </c>
      <c r="I144" s="484">
        <f t="shared" si="52"/>
        <v>113.11105489999998</v>
      </c>
      <c r="J144" s="485"/>
      <c r="K144" s="485">
        <f>+J140-J141+J142-J143</f>
        <v>0</v>
      </c>
      <c r="L144" s="484">
        <f t="shared" si="53"/>
        <v>0</v>
      </c>
      <c r="M144" s="485"/>
      <c r="N144" s="485">
        <f>+M140-M141+M142-M143</f>
        <v>0</v>
      </c>
      <c r="O144" s="485"/>
      <c r="P144" s="485"/>
      <c r="Q144" s="485">
        <f>+O140-O141+O142-O143</f>
        <v>0</v>
      </c>
      <c r="R144" s="413"/>
    </row>
    <row r="145" spans="2:18" x14ac:dyDescent="0.3">
      <c r="B145" s="597">
        <f t="shared" si="50"/>
        <v>1.6000000000000005</v>
      </c>
      <c r="C145" s="430" t="s">
        <v>470</v>
      </c>
      <c r="D145" s="484"/>
      <c r="E145" s="444">
        <f>AVERAGE(E140,E144)</f>
        <v>92.602982450000013</v>
      </c>
      <c r="F145" s="484">
        <f t="shared" si="51"/>
        <v>92.602982450000013</v>
      </c>
      <c r="G145" s="484"/>
      <c r="H145" s="444">
        <f>AVERAGE(H140,H144)</f>
        <v>100.95296134999998</v>
      </c>
      <c r="I145" s="484">
        <f t="shared" si="52"/>
        <v>100.95296134999998</v>
      </c>
      <c r="J145" s="485"/>
      <c r="K145" s="484"/>
      <c r="L145" s="484">
        <f t="shared" si="53"/>
        <v>0</v>
      </c>
      <c r="M145" s="485"/>
      <c r="N145" s="485"/>
      <c r="O145" s="485"/>
      <c r="P145" s="485"/>
      <c r="Q145" s="485"/>
      <c r="R145" s="413"/>
    </row>
    <row r="146" spans="2:18" s="593" customFormat="1" x14ac:dyDescent="0.3">
      <c r="B146" s="601">
        <f t="shared" si="50"/>
        <v>1.7000000000000006</v>
      </c>
      <c r="C146" s="589" t="s">
        <v>32</v>
      </c>
      <c r="D146" s="590"/>
      <c r="E146" s="590">
        <f>IFERROR(E147/E145,0)</f>
        <v>0.10245672384388735</v>
      </c>
      <c r="F146" s="590">
        <f>F147/F145</f>
        <v>0.10245672384388735</v>
      </c>
      <c r="G146" s="590"/>
      <c r="H146" s="590">
        <f>IFERROR(H147/H145,0)</f>
        <v>9.0696208788386176E-2</v>
      </c>
      <c r="I146" s="590">
        <f>I147/I145</f>
        <v>9.0696208788386176E-2</v>
      </c>
      <c r="J146" s="591"/>
      <c r="K146" s="591" t="e">
        <f>J147/K145</f>
        <v>#DIV/0!</v>
      </c>
      <c r="L146" s="590" t="e">
        <f>L147/L145</f>
        <v>#DIV/0!</v>
      </c>
      <c r="M146" s="591"/>
      <c r="N146" s="591" t="e">
        <f>M147/N145</f>
        <v>#DIV/0!</v>
      </c>
      <c r="O146" s="591"/>
      <c r="P146" s="591"/>
      <c r="Q146" s="591" t="e">
        <f>O147/Q145</f>
        <v>#DIV/0!</v>
      </c>
      <c r="R146" s="592"/>
    </row>
    <row r="147" spans="2:18" x14ac:dyDescent="0.3">
      <c r="B147" s="597">
        <f t="shared" si="50"/>
        <v>1.8000000000000007</v>
      </c>
      <c r="C147" s="430" t="s">
        <v>33</v>
      </c>
      <c r="D147" s="484"/>
      <c r="E147" s="484">
        <v>9.4877981999999985</v>
      </c>
      <c r="F147" s="484">
        <f t="shared" si="51"/>
        <v>9.4877981999999985</v>
      </c>
      <c r="G147" s="484"/>
      <c r="H147" s="484">
        <v>9.1560508604054789</v>
      </c>
      <c r="I147" s="484">
        <f t="shared" si="52"/>
        <v>9.1560508604054789</v>
      </c>
      <c r="J147" s="485"/>
      <c r="K147" s="484"/>
      <c r="L147" s="484">
        <f t="shared" si="53"/>
        <v>0</v>
      </c>
      <c r="M147" s="485"/>
      <c r="N147" s="485"/>
      <c r="O147" s="485"/>
      <c r="P147" s="485"/>
      <c r="Q147" s="485"/>
      <c r="R147" s="413"/>
    </row>
    <row r="148" spans="2:18" x14ac:dyDescent="0.3">
      <c r="B148" s="597"/>
      <c r="C148" s="430"/>
      <c r="D148" s="484"/>
      <c r="E148" s="484"/>
      <c r="F148" s="484"/>
      <c r="G148" s="484"/>
      <c r="H148" s="484"/>
      <c r="I148" s="484"/>
      <c r="J148" s="485"/>
      <c r="K148" s="484"/>
      <c r="L148" s="484"/>
      <c r="M148" s="485"/>
      <c r="N148" s="485"/>
      <c r="O148" s="485"/>
      <c r="P148" s="485"/>
      <c r="Q148" s="485"/>
      <c r="R148" s="413"/>
    </row>
    <row r="149" spans="2:18" x14ac:dyDescent="0.3">
      <c r="B149" s="599">
        <v>2</v>
      </c>
      <c r="C149" s="431" t="s">
        <v>1490</v>
      </c>
      <c r="D149" s="484"/>
      <c r="E149" s="484"/>
      <c r="F149" s="484"/>
      <c r="G149" s="484"/>
      <c r="H149" s="484"/>
      <c r="I149" s="484"/>
      <c r="J149" s="485"/>
      <c r="K149" s="484"/>
      <c r="L149" s="484"/>
      <c r="M149" s="485"/>
      <c r="N149" s="485"/>
      <c r="O149" s="485"/>
      <c r="P149" s="485"/>
      <c r="Q149" s="485"/>
      <c r="R149" s="413"/>
    </row>
    <row r="150" spans="2:18" x14ac:dyDescent="0.3">
      <c r="B150" s="597">
        <f t="shared" ref="B150:B157" si="54">B149+0.1</f>
        <v>2.1</v>
      </c>
      <c r="C150" s="430" t="s">
        <v>29</v>
      </c>
      <c r="D150" s="484"/>
      <c r="E150" s="484">
        <v>22.753229746086667</v>
      </c>
      <c r="F150" s="484">
        <f t="shared" ref="F150:F157" si="55">E150-D150</f>
        <v>22.753229746086667</v>
      </c>
      <c r="G150" s="484"/>
      <c r="H150" s="484">
        <v>10.626904310469595</v>
      </c>
      <c r="I150" s="484">
        <f t="shared" ref="I150:I157" si="56">H150-G150</f>
        <v>10.626904310469595</v>
      </c>
      <c r="J150" s="485"/>
      <c r="K150" s="484"/>
      <c r="L150" s="484">
        <f t="shared" ref="L150:L157" si="57">K150-J150</f>
        <v>0</v>
      </c>
      <c r="M150" s="485"/>
      <c r="N150" s="485"/>
      <c r="O150" s="485"/>
      <c r="P150" s="485"/>
      <c r="Q150" s="485"/>
      <c r="R150" s="413"/>
    </row>
    <row r="151" spans="2:18" x14ac:dyDescent="0.3">
      <c r="B151" s="597">
        <f t="shared" si="54"/>
        <v>2.2000000000000002</v>
      </c>
      <c r="C151" s="430" t="s">
        <v>400</v>
      </c>
      <c r="D151" s="484"/>
      <c r="E151" s="484">
        <v>0</v>
      </c>
      <c r="F151" s="484">
        <f t="shared" si="55"/>
        <v>0</v>
      </c>
      <c r="G151" s="484"/>
      <c r="H151" s="484">
        <v>0</v>
      </c>
      <c r="I151" s="484">
        <f t="shared" si="56"/>
        <v>0</v>
      </c>
      <c r="J151" s="485"/>
      <c r="K151" s="484"/>
      <c r="L151" s="484">
        <f t="shared" si="57"/>
        <v>0</v>
      </c>
      <c r="M151" s="485"/>
      <c r="N151" s="485"/>
      <c r="O151" s="485"/>
      <c r="P151" s="485"/>
      <c r="Q151" s="485"/>
      <c r="R151" s="413"/>
    </row>
    <row r="152" spans="2:18" x14ac:dyDescent="0.3">
      <c r="B152" s="597">
        <f t="shared" si="54"/>
        <v>2.3000000000000003</v>
      </c>
      <c r="C152" s="430" t="s">
        <v>342</v>
      </c>
      <c r="D152" s="484"/>
      <c r="E152" s="484">
        <v>0</v>
      </c>
      <c r="F152" s="484">
        <f t="shared" si="55"/>
        <v>0</v>
      </c>
      <c r="G152" s="484"/>
      <c r="H152" s="484">
        <v>0</v>
      </c>
      <c r="I152" s="484">
        <f t="shared" si="56"/>
        <v>0</v>
      </c>
      <c r="J152" s="485"/>
      <c r="K152" s="484"/>
      <c r="L152" s="484">
        <f t="shared" si="57"/>
        <v>0</v>
      </c>
      <c r="M152" s="485"/>
      <c r="N152" s="485"/>
      <c r="O152" s="485"/>
      <c r="P152" s="485"/>
      <c r="Q152" s="485"/>
      <c r="R152" s="413"/>
    </row>
    <row r="153" spans="2:18" x14ac:dyDescent="0.3">
      <c r="B153" s="597">
        <f t="shared" si="54"/>
        <v>2.4000000000000004</v>
      </c>
      <c r="C153" s="430" t="s">
        <v>30</v>
      </c>
      <c r="D153" s="484"/>
      <c r="E153" s="484">
        <v>12.126325435617073</v>
      </c>
      <c r="F153" s="484">
        <f t="shared" si="55"/>
        <v>12.126325435617073</v>
      </c>
      <c r="G153" s="484"/>
      <c r="H153" s="484">
        <v>7.4241630773855833</v>
      </c>
      <c r="I153" s="484">
        <f t="shared" si="56"/>
        <v>7.4241630773855833</v>
      </c>
      <c r="J153" s="485"/>
      <c r="K153" s="484"/>
      <c r="L153" s="484">
        <f t="shared" si="57"/>
        <v>0</v>
      </c>
      <c r="M153" s="485"/>
      <c r="N153" s="485"/>
      <c r="O153" s="485"/>
      <c r="P153" s="485"/>
      <c r="Q153" s="485"/>
      <c r="R153" s="413"/>
    </row>
    <row r="154" spans="2:18" x14ac:dyDescent="0.3">
      <c r="B154" s="597">
        <f t="shared" si="54"/>
        <v>2.5000000000000004</v>
      </c>
      <c r="C154" s="430" t="s">
        <v>31</v>
      </c>
      <c r="D154" s="484"/>
      <c r="E154" s="484">
        <f>+E150-E151+E152-E153</f>
        <v>10.626904310469595</v>
      </c>
      <c r="F154" s="484">
        <f t="shared" si="55"/>
        <v>10.626904310469595</v>
      </c>
      <c r="G154" s="484"/>
      <c r="H154" s="484">
        <f>+H150-H151+H152-H153</f>
        <v>3.2027412330840113</v>
      </c>
      <c r="I154" s="484">
        <f t="shared" si="56"/>
        <v>3.2027412330840113</v>
      </c>
      <c r="J154" s="485"/>
      <c r="K154" s="485">
        <f>+J150-J151+J152-J153</f>
        <v>0</v>
      </c>
      <c r="L154" s="484">
        <f t="shared" si="57"/>
        <v>0</v>
      </c>
      <c r="M154" s="485"/>
      <c r="N154" s="485">
        <f>+M150-M151+M152-M153</f>
        <v>0</v>
      </c>
      <c r="O154" s="485"/>
      <c r="P154" s="485"/>
      <c r="Q154" s="485">
        <f>+O150-O151+O152-O153</f>
        <v>0</v>
      </c>
      <c r="R154" s="413"/>
    </row>
    <row r="155" spans="2:18" x14ac:dyDescent="0.3">
      <c r="B155" s="597">
        <f t="shared" si="54"/>
        <v>2.6000000000000005</v>
      </c>
      <c r="C155" s="430" t="s">
        <v>470</v>
      </c>
      <c r="D155" s="484"/>
      <c r="E155" s="444">
        <f>AVERAGE(E150,E154)</f>
        <v>16.690067028278129</v>
      </c>
      <c r="F155" s="484">
        <f t="shared" si="55"/>
        <v>16.690067028278129</v>
      </c>
      <c r="G155" s="484"/>
      <c r="H155" s="444">
        <f>AVERAGE(H150,H154)</f>
        <v>6.9148227717768034</v>
      </c>
      <c r="I155" s="484">
        <f t="shared" si="56"/>
        <v>6.9148227717768034</v>
      </c>
      <c r="J155" s="485"/>
      <c r="K155" s="484"/>
      <c r="L155" s="484">
        <f t="shared" si="57"/>
        <v>0</v>
      </c>
      <c r="M155" s="485"/>
      <c r="N155" s="485"/>
      <c r="O155" s="485"/>
      <c r="P155" s="485"/>
      <c r="Q155" s="485"/>
      <c r="R155" s="413"/>
    </row>
    <row r="156" spans="2:18" s="593" customFormat="1" x14ac:dyDescent="0.3">
      <c r="B156" s="601">
        <f t="shared" si="54"/>
        <v>2.7000000000000006</v>
      </c>
      <c r="C156" s="589" t="s">
        <v>32</v>
      </c>
      <c r="D156" s="590"/>
      <c r="E156" s="590">
        <f>IFERROR(E157/E155,0)</f>
        <v>9.8941790966609988E-2</v>
      </c>
      <c r="F156" s="590">
        <f>F157/F155</f>
        <v>9.8941790966609988E-2</v>
      </c>
      <c r="G156" s="590"/>
      <c r="H156" s="590">
        <f>IFERROR(H157/H155,0)</f>
        <v>8.7636431219473621E-2</v>
      </c>
      <c r="I156" s="590">
        <f>I157/I155</f>
        <v>8.7636431219473621E-2</v>
      </c>
      <c r="J156" s="591"/>
      <c r="K156" s="591" t="e">
        <f>J157/K155</f>
        <v>#DIV/0!</v>
      </c>
      <c r="L156" s="590" t="e">
        <f>L157/L155</f>
        <v>#DIV/0!</v>
      </c>
      <c r="M156" s="591"/>
      <c r="N156" s="591" t="e">
        <f>M157/N155</f>
        <v>#DIV/0!</v>
      </c>
      <c r="O156" s="591"/>
      <c r="P156" s="591"/>
      <c r="Q156" s="591" t="e">
        <f>O157/Q155</f>
        <v>#DIV/0!</v>
      </c>
      <c r="R156" s="592"/>
    </row>
    <row r="157" spans="2:18" x14ac:dyDescent="0.3">
      <c r="B157" s="597">
        <f t="shared" si="54"/>
        <v>2.8000000000000007</v>
      </c>
      <c r="C157" s="430" t="s">
        <v>33</v>
      </c>
      <c r="D157" s="484"/>
      <c r="E157" s="484">
        <v>1.6513451231306042</v>
      </c>
      <c r="F157" s="484">
        <f t="shared" si="55"/>
        <v>1.6513451231306042</v>
      </c>
      <c r="G157" s="484"/>
      <c r="H157" s="484">
        <v>0.60599039023366774</v>
      </c>
      <c r="I157" s="484">
        <f t="shared" si="56"/>
        <v>0.60599039023366774</v>
      </c>
      <c r="J157" s="485"/>
      <c r="K157" s="484"/>
      <c r="L157" s="484">
        <f t="shared" si="57"/>
        <v>0</v>
      </c>
      <c r="M157" s="485"/>
      <c r="N157" s="485"/>
      <c r="O157" s="485"/>
      <c r="P157" s="485"/>
      <c r="Q157" s="485"/>
      <c r="R157" s="413"/>
    </row>
    <row r="158" spans="2:18" x14ac:dyDescent="0.3">
      <c r="B158" s="597"/>
      <c r="C158" s="430"/>
      <c r="D158" s="484"/>
      <c r="E158" s="484"/>
      <c r="F158" s="484"/>
      <c r="G158" s="484"/>
      <c r="H158" s="484"/>
      <c r="I158" s="484"/>
      <c r="J158" s="485"/>
      <c r="K158" s="484"/>
      <c r="L158" s="484"/>
      <c r="M158" s="485"/>
      <c r="N158" s="485"/>
      <c r="O158" s="485"/>
      <c r="P158" s="485"/>
      <c r="Q158" s="485"/>
      <c r="R158" s="413"/>
    </row>
    <row r="159" spans="2:18" x14ac:dyDescent="0.3">
      <c r="B159" s="599">
        <v>3</v>
      </c>
      <c r="C159" s="431" t="s">
        <v>1483</v>
      </c>
      <c r="D159" s="484"/>
      <c r="E159" s="484"/>
      <c r="F159" s="484"/>
      <c r="G159" s="484"/>
      <c r="H159" s="484"/>
      <c r="I159" s="484"/>
      <c r="J159" s="485"/>
      <c r="K159" s="484"/>
      <c r="L159" s="484"/>
      <c r="M159" s="485"/>
      <c r="N159" s="485"/>
      <c r="O159" s="485"/>
      <c r="P159" s="485"/>
      <c r="Q159" s="485"/>
      <c r="R159" s="413"/>
    </row>
    <row r="160" spans="2:18" x14ac:dyDescent="0.3">
      <c r="B160" s="597">
        <f>B159+0.1</f>
        <v>3.1</v>
      </c>
      <c r="C160" s="430" t="s">
        <v>29</v>
      </c>
      <c r="D160" s="484"/>
      <c r="E160" s="484">
        <v>248.61206030600002</v>
      </c>
      <c r="F160" s="484">
        <f t="shared" ref="F160:F167" si="58">E160-D160</f>
        <v>248.61206030600002</v>
      </c>
      <c r="G160" s="484"/>
      <c r="H160" s="484">
        <v>272.42493274599997</v>
      </c>
      <c r="I160" s="484">
        <f t="shared" ref="I160:I167" si="59">H160-G160</f>
        <v>272.42493274599997</v>
      </c>
      <c r="J160" s="485"/>
      <c r="K160" s="484"/>
      <c r="L160" s="484">
        <f t="shared" ref="L160:L167" si="60">K160-J160</f>
        <v>0</v>
      </c>
      <c r="M160" s="485"/>
      <c r="N160" s="485"/>
      <c r="O160" s="485"/>
      <c r="P160" s="485"/>
      <c r="Q160" s="485"/>
      <c r="R160" s="413"/>
    </row>
    <row r="161" spans="2:18" x14ac:dyDescent="0.3">
      <c r="B161" s="597">
        <f t="shared" ref="B161:B167" si="61">B160+0.1</f>
        <v>3.2</v>
      </c>
      <c r="C161" s="430" t="s">
        <v>400</v>
      </c>
      <c r="D161" s="484"/>
      <c r="E161" s="484">
        <v>0</v>
      </c>
      <c r="F161" s="484">
        <f t="shared" si="58"/>
        <v>0</v>
      </c>
      <c r="G161" s="484"/>
      <c r="H161" s="484">
        <v>0</v>
      </c>
      <c r="I161" s="484">
        <f t="shared" si="59"/>
        <v>0</v>
      </c>
      <c r="J161" s="485"/>
      <c r="K161" s="484"/>
      <c r="L161" s="484">
        <f t="shared" si="60"/>
        <v>0</v>
      </c>
      <c r="M161" s="485"/>
      <c r="N161" s="485"/>
      <c r="O161" s="485"/>
      <c r="P161" s="485"/>
      <c r="Q161" s="485"/>
      <c r="R161" s="413"/>
    </row>
    <row r="162" spans="2:18" x14ac:dyDescent="0.3">
      <c r="B162" s="597">
        <f t="shared" si="61"/>
        <v>3.3000000000000003</v>
      </c>
      <c r="C162" s="430" t="s">
        <v>342</v>
      </c>
      <c r="D162" s="484"/>
      <c r="E162" s="484">
        <v>57.053094500000007</v>
      </c>
      <c r="F162" s="484">
        <f t="shared" si="58"/>
        <v>57.053094500000007</v>
      </c>
      <c r="G162" s="484"/>
      <c r="H162" s="484">
        <v>26.8066791</v>
      </c>
      <c r="I162" s="484">
        <f t="shared" si="59"/>
        <v>26.8066791</v>
      </c>
      <c r="J162" s="485"/>
      <c r="K162" s="484"/>
      <c r="L162" s="484">
        <f t="shared" si="60"/>
        <v>0</v>
      </c>
      <c r="M162" s="485"/>
      <c r="N162" s="485"/>
      <c r="O162" s="485"/>
      <c r="P162" s="485"/>
      <c r="Q162" s="485"/>
      <c r="R162" s="413"/>
    </row>
    <row r="163" spans="2:18" x14ac:dyDescent="0.3">
      <c r="B163" s="597">
        <f t="shared" si="61"/>
        <v>3.4000000000000004</v>
      </c>
      <c r="C163" s="430" t="s">
        <v>30</v>
      </c>
      <c r="D163" s="484"/>
      <c r="E163" s="484">
        <v>33.240222059999994</v>
      </c>
      <c r="F163" s="484">
        <f t="shared" si="58"/>
        <v>33.240222059999994</v>
      </c>
      <c r="G163" s="484"/>
      <c r="H163" s="484">
        <v>34.61893328</v>
      </c>
      <c r="I163" s="484">
        <f t="shared" si="59"/>
        <v>34.61893328</v>
      </c>
      <c r="J163" s="485"/>
      <c r="K163" s="484"/>
      <c r="L163" s="484">
        <f t="shared" si="60"/>
        <v>0</v>
      </c>
      <c r="M163" s="485"/>
      <c r="N163" s="485"/>
      <c r="O163" s="485"/>
      <c r="P163" s="485"/>
      <c r="Q163" s="485"/>
      <c r="R163" s="413"/>
    </row>
    <row r="164" spans="2:18" x14ac:dyDescent="0.3">
      <c r="B164" s="597">
        <f t="shared" si="61"/>
        <v>3.5000000000000004</v>
      </c>
      <c r="C164" s="430" t="s">
        <v>31</v>
      </c>
      <c r="D164" s="484"/>
      <c r="E164" s="484">
        <f>+E160-E161+E162-E163</f>
        <v>272.42493274600002</v>
      </c>
      <c r="F164" s="484">
        <f t="shared" si="58"/>
        <v>272.42493274600002</v>
      </c>
      <c r="G164" s="484"/>
      <c r="H164" s="484">
        <f>+H160-H161+H162-H163</f>
        <v>264.61267856599994</v>
      </c>
      <c r="I164" s="484">
        <f t="shared" si="59"/>
        <v>264.61267856599994</v>
      </c>
      <c r="J164" s="485"/>
      <c r="K164" s="485">
        <f>+J160-J161+J162-J163</f>
        <v>0</v>
      </c>
      <c r="L164" s="484">
        <f t="shared" si="60"/>
        <v>0</v>
      </c>
      <c r="M164" s="485"/>
      <c r="N164" s="485">
        <f>+M160-M161+M162-M163</f>
        <v>0</v>
      </c>
      <c r="O164" s="485"/>
      <c r="P164" s="485"/>
      <c r="Q164" s="485">
        <f>+O160-O161+O162-O163</f>
        <v>0</v>
      </c>
      <c r="R164" s="413"/>
    </row>
    <row r="165" spans="2:18" x14ac:dyDescent="0.3">
      <c r="B165" s="597">
        <f t="shared" si="61"/>
        <v>3.6000000000000005</v>
      </c>
      <c r="C165" s="430" t="s">
        <v>470</v>
      </c>
      <c r="D165" s="484"/>
      <c r="E165" s="444">
        <f>AVERAGE(E160,E164)</f>
        <v>260.51849652600004</v>
      </c>
      <c r="F165" s="484">
        <f t="shared" si="58"/>
        <v>260.51849652600004</v>
      </c>
      <c r="G165" s="484"/>
      <c r="H165" s="444">
        <f>AVERAGE(H160,H164)</f>
        <v>268.51880565599993</v>
      </c>
      <c r="I165" s="484">
        <f t="shared" si="59"/>
        <v>268.51880565599993</v>
      </c>
      <c r="J165" s="485"/>
      <c r="K165" s="484"/>
      <c r="L165" s="484">
        <f t="shared" si="60"/>
        <v>0</v>
      </c>
      <c r="M165" s="485"/>
      <c r="N165" s="485"/>
      <c r="O165" s="485"/>
      <c r="P165" s="485"/>
      <c r="Q165" s="485"/>
      <c r="R165" s="413"/>
    </row>
    <row r="166" spans="2:18" s="593" customFormat="1" x14ac:dyDescent="0.3">
      <c r="B166" s="601">
        <f t="shared" si="61"/>
        <v>3.7000000000000006</v>
      </c>
      <c r="C166" s="589" t="s">
        <v>32</v>
      </c>
      <c r="D166" s="590"/>
      <c r="E166" s="590">
        <f>IFERROR(E167/E165,0)</f>
        <v>0.10910949047423241</v>
      </c>
      <c r="F166" s="590">
        <f>F167/F165</f>
        <v>0.10910949047423241</v>
      </c>
      <c r="G166" s="590"/>
      <c r="H166" s="590">
        <f>IFERROR(H167/H165,0)</f>
        <v>0.10411213567237333</v>
      </c>
      <c r="I166" s="590">
        <f>I167/I165</f>
        <v>0.10411213567237333</v>
      </c>
      <c r="J166" s="591"/>
      <c r="K166" s="591" t="e">
        <f>J167/K165</f>
        <v>#DIV/0!</v>
      </c>
      <c r="L166" s="590" t="e">
        <f>L167/L165</f>
        <v>#DIV/0!</v>
      </c>
      <c r="M166" s="591"/>
      <c r="N166" s="591" t="e">
        <f>M167/N165</f>
        <v>#DIV/0!</v>
      </c>
      <c r="O166" s="591"/>
      <c r="P166" s="591"/>
      <c r="Q166" s="591" t="e">
        <f>O167/Q165</f>
        <v>#DIV/0!</v>
      </c>
      <c r="R166" s="592"/>
    </row>
    <row r="167" spans="2:18" x14ac:dyDescent="0.3">
      <c r="B167" s="597">
        <f t="shared" si="61"/>
        <v>3.8000000000000007</v>
      </c>
      <c r="C167" s="430" t="s">
        <v>33</v>
      </c>
      <c r="D167" s="484"/>
      <c r="E167" s="484">
        <v>28.425040415064949</v>
      </c>
      <c r="F167" s="484">
        <f t="shared" si="58"/>
        <v>28.425040415064949</v>
      </c>
      <c r="G167" s="484"/>
      <c r="H167" s="484">
        <v>27.95606632504111</v>
      </c>
      <c r="I167" s="484">
        <f t="shared" si="59"/>
        <v>27.95606632504111</v>
      </c>
      <c r="J167" s="485"/>
      <c r="K167" s="484"/>
      <c r="L167" s="484">
        <f t="shared" si="60"/>
        <v>0</v>
      </c>
      <c r="M167" s="485"/>
      <c r="N167" s="485"/>
      <c r="O167" s="485"/>
      <c r="P167" s="485"/>
      <c r="Q167" s="485"/>
      <c r="R167" s="413"/>
    </row>
    <row r="168" spans="2:18" x14ac:dyDescent="0.3">
      <c r="B168" s="599"/>
      <c r="C168" s="431"/>
      <c r="D168" s="484"/>
      <c r="E168" s="484"/>
      <c r="F168" s="484"/>
      <c r="G168" s="484"/>
      <c r="H168" s="484"/>
      <c r="I168" s="484"/>
      <c r="J168" s="485"/>
      <c r="K168" s="484"/>
      <c r="L168" s="484"/>
      <c r="M168" s="485"/>
      <c r="N168" s="485"/>
      <c r="O168" s="485"/>
      <c r="P168" s="485"/>
      <c r="Q168" s="485"/>
      <c r="R168" s="413"/>
    </row>
    <row r="169" spans="2:18" x14ac:dyDescent="0.3">
      <c r="B169" s="599">
        <v>4</v>
      </c>
      <c r="C169" s="431" t="s">
        <v>1484</v>
      </c>
      <c r="D169" s="484"/>
      <c r="E169" s="484"/>
      <c r="F169" s="484"/>
      <c r="G169" s="484"/>
      <c r="H169" s="484"/>
      <c r="I169" s="484"/>
      <c r="J169" s="485"/>
      <c r="K169" s="484"/>
      <c r="L169" s="484"/>
      <c r="M169" s="485"/>
      <c r="N169" s="485"/>
      <c r="O169" s="485"/>
      <c r="P169" s="485"/>
      <c r="Q169" s="485"/>
      <c r="R169" s="413"/>
    </row>
    <row r="170" spans="2:18" x14ac:dyDescent="0.3">
      <c r="B170" s="597">
        <f>B169+0.1</f>
        <v>4.0999999999999996</v>
      </c>
      <c r="C170" s="430" t="s">
        <v>29</v>
      </c>
      <c r="D170" s="484"/>
      <c r="E170" s="484">
        <v>0</v>
      </c>
      <c r="F170" s="484">
        <f t="shared" ref="F170:F177" si="62">E170-D170</f>
        <v>0</v>
      </c>
      <c r="G170" s="484"/>
      <c r="H170" s="484">
        <v>0</v>
      </c>
      <c r="I170" s="484">
        <f t="shared" ref="I170:I177" si="63">H170-G170</f>
        <v>0</v>
      </c>
      <c r="J170" s="485"/>
      <c r="K170" s="484"/>
      <c r="L170" s="484">
        <f t="shared" ref="L170:L177" si="64">K170-J170</f>
        <v>0</v>
      </c>
      <c r="M170" s="485"/>
      <c r="N170" s="485"/>
      <c r="O170" s="485"/>
      <c r="P170" s="485"/>
      <c r="Q170" s="485"/>
      <c r="R170" s="413"/>
    </row>
    <row r="171" spans="2:18" x14ac:dyDescent="0.3">
      <c r="B171" s="597">
        <f t="shared" ref="B171:B177" si="65">B170+0.1</f>
        <v>4.1999999999999993</v>
      </c>
      <c r="C171" s="430" t="s">
        <v>400</v>
      </c>
      <c r="D171" s="484"/>
      <c r="E171" s="484">
        <v>0</v>
      </c>
      <c r="F171" s="484">
        <f t="shared" si="62"/>
        <v>0</v>
      </c>
      <c r="G171" s="484"/>
      <c r="H171" s="484">
        <v>0</v>
      </c>
      <c r="I171" s="484">
        <f t="shared" si="63"/>
        <v>0</v>
      </c>
      <c r="J171" s="485"/>
      <c r="K171" s="484"/>
      <c r="L171" s="484">
        <f t="shared" si="64"/>
        <v>0</v>
      </c>
      <c r="M171" s="485"/>
      <c r="N171" s="485"/>
      <c r="O171" s="485"/>
      <c r="P171" s="485"/>
      <c r="Q171" s="485"/>
      <c r="R171" s="413"/>
    </row>
    <row r="172" spans="2:18" x14ac:dyDescent="0.3">
      <c r="B172" s="597">
        <f t="shared" si="65"/>
        <v>4.2999999999999989</v>
      </c>
      <c r="C172" s="430" t="s">
        <v>342</v>
      </c>
      <c r="D172" s="484"/>
      <c r="E172" s="484">
        <v>0</v>
      </c>
      <c r="F172" s="484">
        <f t="shared" si="62"/>
        <v>0</v>
      </c>
      <c r="G172" s="484"/>
      <c r="H172" s="484">
        <v>0</v>
      </c>
      <c r="I172" s="484">
        <f t="shared" si="63"/>
        <v>0</v>
      </c>
      <c r="J172" s="485"/>
      <c r="K172" s="484"/>
      <c r="L172" s="484">
        <f t="shared" si="64"/>
        <v>0</v>
      </c>
      <c r="M172" s="485"/>
      <c r="N172" s="485"/>
      <c r="O172" s="485"/>
      <c r="P172" s="485"/>
      <c r="Q172" s="485"/>
      <c r="R172" s="413"/>
    </row>
    <row r="173" spans="2:18" x14ac:dyDescent="0.3">
      <c r="B173" s="597">
        <f t="shared" si="65"/>
        <v>4.3999999999999986</v>
      </c>
      <c r="C173" s="430" t="s">
        <v>30</v>
      </c>
      <c r="D173" s="484"/>
      <c r="E173" s="484">
        <v>0</v>
      </c>
      <c r="F173" s="484">
        <f t="shared" si="62"/>
        <v>0</v>
      </c>
      <c r="G173" s="484"/>
      <c r="H173" s="484">
        <v>0</v>
      </c>
      <c r="I173" s="484">
        <f t="shared" si="63"/>
        <v>0</v>
      </c>
      <c r="J173" s="485"/>
      <c r="K173" s="484"/>
      <c r="L173" s="484">
        <f t="shared" si="64"/>
        <v>0</v>
      </c>
      <c r="M173" s="485"/>
      <c r="N173" s="485"/>
      <c r="O173" s="485"/>
      <c r="P173" s="485"/>
      <c r="Q173" s="485"/>
      <c r="R173" s="413"/>
    </row>
    <row r="174" spans="2:18" x14ac:dyDescent="0.3">
      <c r="B174" s="597">
        <f t="shared" si="65"/>
        <v>4.4999999999999982</v>
      </c>
      <c r="C174" s="430" t="s">
        <v>31</v>
      </c>
      <c r="D174" s="484"/>
      <c r="E174" s="484">
        <f>+E170-E171+E172-E173</f>
        <v>0</v>
      </c>
      <c r="F174" s="484">
        <f t="shared" si="62"/>
        <v>0</v>
      </c>
      <c r="G174" s="484"/>
      <c r="H174" s="484">
        <f>+H170-H171+H172-H173</f>
        <v>0</v>
      </c>
      <c r="I174" s="484">
        <f t="shared" si="63"/>
        <v>0</v>
      </c>
      <c r="J174" s="485"/>
      <c r="K174" s="485">
        <f>+J170-J171+J172-J173</f>
        <v>0</v>
      </c>
      <c r="L174" s="484">
        <f t="shared" si="64"/>
        <v>0</v>
      </c>
      <c r="M174" s="485"/>
      <c r="N174" s="485">
        <f>+M170-M171+M172-M173</f>
        <v>0</v>
      </c>
      <c r="O174" s="485"/>
      <c r="P174" s="485"/>
      <c r="Q174" s="485">
        <f>+O170-O171+O172-O173</f>
        <v>0</v>
      </c>
      <c r="R174" s="413"/>
    </row>
    <row r="175" spans="2:18" x14ac:dyDescent="0.3">
      <c r="B175" s="597">
        <f t="shared" si="65"/>
        <v>4.5999999999999979</v>
      </c>
      <c r="C175" s="430" t="s">
        <v>470</v>
      </c>
      <c r="D175" s="484"/>
      <c r="E175" s="444">
        <f>AVERAGE(E170,E174)</f>
        <v>0</v>
      </c>
      <c r="F175" s="484">
        <f t="shared" si="62"/>
        <v>0</v>
      </c>
      <c r="G175" s="484"/>
      <c r="H175" s="444">
        <f>AVERAGE(H170,H174)</f>
        <v>0</v>
      </c>
      <c r="I175" s="484">
        <f t="shared" si="63"/>
        <v>0</v>
      </c>
      <c r="J175" s="485"/>
      <c r="K175" s="484"/>
      <c r="L175" s="484">
        <f t="shared" si="64"/>
        <v>0</v>
      </c>
      <c r="M175" s="485"/>
      <c r="N175" s="485"/>
      <c r="O175" s="485"/>
      <c r="P175" s="485"/>
      <c r="Q175" s="485"/>
      <c r="R175" s="413"/>
    </row>
    <row r="176" spans="2:18" s="593" customFormat="1" x14ac:dyDescent="0.3">
      <c r="B176" s="601">
        <f t="shared" si="65"/>
        <v>4.6999999999999975</v>
      </c>
      <c r="C176" s="589" t="s">
        <v>32</v>
      </c>
      <c r="D176" s="590"/>
      <c r="E176" s="590">
        <f>IFERROR(E177/E175,0)</f>
        <v>0</v>
      </c>
      <c r="F176" s="590">
        <f t="shared" si="62"/>
        <v>0</v>
      </c>
      <c r="G176" s="590"/>
      <c r="H176" s="590">
        <f>IFERROR(H177/H175,0)</f>
        <v>0</v>
      </c>
      <c r="I176" s="590" t="e">
        <f>I177/I175</f>
        <v>#DIV/0!</v>
      </c>
      <c r="J176" s="591"/>
      <c r="K176" s="591" t="e">
        <f>J177/K175</f>
        <v>#DIV/0!</v>
      </c>
      <c r="L176" s="590" t="e">
        <f>L177/L175</f>
        <v>#DIV/0!</v>
      </c>
      <c r="M176" s="591"/>
      <c r="N176" s="591" t="e">
        <f>M177/N175</f>
        <v>#DIV/0!</v>
      </c>
      <c r="O176" s="591"/>
      <c r="P176" s="591"/>
      <c r="Q176" s="591" t="e">
        <f>O177/Q175</f>
        <v>#DIV/0!</v>
      </c>
      <c r="R176" s="592"/>
    </row>
    <row r="177" spans="2:18" x14ac:dyDescent="0.3">
      <c r="B177" s="597">
        <f t="shared" si="65"/>
        <v>4.7999999999999972</v>
      </c>
      <c r="C177" s="430" t="s">
        <v>33</v>
      </c>
      <c r="D177" s="484"/>
      <c r="E177" s="484">
        <v>0</v>
      </c>
      <c r="F177" s="484">
        <f t="shared" si="62"/>
        <v>0</v>
      </c>
      <c r="G177" s="484"/>
      <c r="H177" s="484">
        <v>0</v>
      </c>
      <c r="I177" s="484">
        <f t="shared" si="63"/>
        <v>0</v>
      </c>
      <c r="J177" s="485"/>
      <c r="K177" s="484"/>
      <c r="L177" s="484">
        <f t="shared" si="64"/>
        <v>0</v>
      </c>
      <c r="M177" s="485"/>
      <c r="N177" s="485"/>
      <c r="O177" s="485"/>
      <c r="P177" s="485"/>
      <c r="Q177" s="485"/>
      <c r="R177" s="413"/>
    </row>
    <row r="178" spans="2:18" x14ac:dyDescent="0.3">
      <c r="B178" s="599"/>
      <c r="C178" s="431"/>
      <c r="D178" s="484"/>
      <c r="E178" s="484"/>
      <c r="F178" s="484"/>
      <c r="G178" s="484"/>
      <c r="H178" s="484"/>
      <c r="I178" s="484"/>
      <c r="J178" s="485"/>
      <c r="K178" s="484"/>
      <c r="L178" s="484"/>
      <c r="M178" s="485"/>
      <c r="N178" s="485"/>
      <c r="O178" s="485"/>
      <c r="P178" s="485"/>
      <c r="Q178" s="485"/>
      <c r="R178" s="413"/>
    </row>
    <row r="179" spans="2:18" x14ac:dyDescent="0.3">
      <c r="B179" s="599">
        <v>5</v>
      </c>
      <c r="C179" s="431" t="s">
        <v>1491</v>
      </c>
      <c r="D179" s="484"/>
      <c r="E179" s="484"/>
      <c r="F179" s="484"/>
      <c r="G179" s="484"/>
      <c r="H179" s="484"/>
      <c r="I179" s="484"/>
      <c r="J179" s="485"/>
      <c r="K179" s="484"/>
      <c r="L179" s="484"/>
      <c r="M179" s="485"/>
      <c r="N179" s="485"/>
      <c r="O179" s="485"/>
      <c r="P179" s="485"/>
      <c r="Q179" s="485"/>
      <c r="R179" s="413"/>
    </row>
    <row r="180" spans="2:18" x14ac:dyDescent="0.3">
      <c r="B180" s="597">
        <f>B179+0.1</f>
        <v>5.0999999999999996</v>
      </c>
      <c r="C180" s="430" t="s">
        <v>29</v>
      </c>
      <c r="D180" s="484"/>
      <c r="E180" s="484">
        <v>1.0948254540569298</v>
      </c>
      <c r="F180" s="484">
        <f t="shared" ref="F180:F187" si="66">E180-D180</f>
        <v>1.0948254540569298</v>
      </c>
      <c r="G180" s="484"/>
      <c r="H180" s="484">
        <v>-4.5943070290377366E-8</v>
      </c>
      <c r="I180" s="484">
        <f t="shared" ref="I180:I187" si="67">H180-G180</f>
        <v>-4.5943070290377366E-8</v>
      </c>
      <c r="J180" s="485"/>
      <c r="K180" s="484"/>
      <c r="L180" s="484">
        <f t="shared" ref="L180:L187" si="68">K180-J180</f>
        <v>0</v>
      </c>
      <c r="M180" s="485"/>
      <c r="N180" s="485"/>
      <c r="O180" s="485"/>
      <c r="P180" s="485"/>
      <c r="Q180" s="485"/>
      <c r="R180" s="413"/>
    </row>
    <row r="181" spans="2:18" x14ac:dyDescent="0.3">
      <c r="B181" s="597">
        <f t="shared" ref="B181:B187" si="69">B180+0.1</f>
        <v>5.1999999999999993</v>
      </c>
      <c r="C181" s="430" t="s">
        <v>400</v>
      </c>
      <c r="D181" s="484"/>
      <c r="E181" s="484">
        <v>0</v>
      </c>
      <c r="F181" s="484">
        <f t="shared" si="66"/>
        <v>0</v>
      </c>
      <c r="G181" s="484"/>
      <c r="H181" s="484">
        <v>0</v>
      </c>
      <c r="I181" s="484">
        <f t="shared" si="67"/>
        <v>0</v>
      </c>
      <c r="J181" s="485"/>
      <c r="K181" s="484"/>
      <c r="L181" s="484">
        <f t="shared" si="68"/>
        <v>0</v>
      </c>
      <c r="M181" s="485"/>
      <c r="N181" s="485"/>
      <c r="O181" s="485"/>
      <c r="P181" s="485"/>
      <c r="Q181" s="485"/>
      <c r="R181" s="413"/>
    </row>
    <row r="182" spans="2:18" x14ac:dyDescent="0.3">
      <c r="B182" s="597">
        <f t="shared" si="69"/>
        <v>5.2999999999999989</v>
      </c>
      <c r="C182" s="430" t="s">
        <v>342</v>
      </c>
      <c r="D182" s="484"/>
      <c r="E182" s="484">
        <v>0</v>
      </c>
      <c r="F182" s="484">
        <f t="shared" si="66"/>
        <v>0</v>
      </c>
      <c r="G182" s="484"/>
      <c r="H182" s="484">
        <v>0</v>
      </c>
      <c r="I182" s="484">
        <f t="shared" si="67"/>
        <v>0</v>
      </c>
      <c r="J182" s="485"/>
      <c r="K182" s="484"/>
      <c r="L182" s="484">
        <f t="shared" si="68"/>
        <v>0</v>
      </c>
      <c r="M182" s="485"/>
      <c r="N182" s="485"/>
      <c r="O182" s="485"/>
      <c r="P182" s="485"/>
      <c r="Q182" s="485"/>
      <c r="R182" s="413"/>
    </row>
    <row r="183" spans="2:18" x14ac:dyDescent="0.3">
      <c r="B183" s="597">
        <f t="shared" si="69"/>
        <v>5.3999999999999986</v>
      </c>
      <c r="C183" s="430" t="s">
        <v>30</v>
      </c>
      <c r="D183" s="484"/>
      <c r="E183" s="484">
        <v>1.0948255</v>
      </c>
      <c r="F183" s="484">
        <f t="shared" si="66"/>
        <v>1.0948255</v>
      </c>
      <c r="G183" s="484"/>
      <c r="H183" s="484">
        <v>0</v>
      </c>
      <c r="I183" s="484">
        <f t="shared" si="67"/>
        <v>0</v>
      </c>
      <c r="J183" s="485"/>
      <c r="K183" s="484"/>
      <c r="L183" s="484">
        <f t="shared" si="68"/>
        <v>0</v>
      </c>
      <c r="M183" s="485"/>
      <c r="N183" s="485"/>
      <c r="O183" s="485"/>
      <c r="P183" s="485"/>
      <c r="Q183" s="485"/>
      <c r="R183" s="413"/>
    </row>
    <row r="184" spans="2:18" x14ac:dyDescent="0.3">
      <c r="B184" s="597">
        <f t="shared" si="69"/>
        <v>5.4999999999999982</v>
      </c>
      <c r="C184" s="430" t="s">
        <v>31</v>
      </c>
      <c r="D184" s="484"/>
      <c r="E184" s="484">
        <f>+E180-E181+E182-E183</f>
        <v>-4.5943070237086658E-8</v>
      </c>
      <c r="F184" s="484">
        <f t="shared" si="66"/>
        <v>-4.5943070237086658E-8</v>
      </c>
      <c r="G184" s="484"/>
      <c r="H184" s="484">
        <f>+H180-H181+H182-H183</f>
        <v>-4.5943070290377366E-8</v>
      </c>
      <c r="I184" s="484">
        <f t="shared" si="67"/>
        <v>-4.5943070290377366E-8</v>
      </c>
      <c r="J184" s="485"/>
      <c r="K184" s="485">
        <f>+J180-J181+J182-J183</f>
        <v>0</v>
      </c>
      <c r="L184" s="484">
        <f t="shared" si="68"/>
        <v>0</v>
      </c>
      <c r="M184" s="485"/>
      <c r="N184" s="485">
        <f>+M180-M181+M182-M183</f>
        <v>0</v>
      </c>
      <c r="O184" s="485"/>
      <c r="P184" s="485"/>
      <c r="Q184" s="485">
        <f>+O180-O181+O182-O183</f>
        <v>0</v>
      </c>
      <c r="R184" s="413"/>
    </row>
    <row r="185" spans="2:18" x14ac:dyDescent="0.3">
      <c r="B185" s="597">
        <f t="shared" si="69"/>
        <v>5.5999999999999979</v>
      </c>
      <c r="C185" s="430" t="s">
        <v>470</v>
      </c>
      <c r="D185" s="484"/>
      <c r="E185" s="444">
        <f>AVERAGE(E180,E184)</f>
        <v>0.54741270405692977</v>
      </c>
      <c r="F185" s="484">
        <f t="shared" si="66"/>
        <v>0.54741270405692977</v>
      </c>
      <c r="G185" s="484"/>
      <c r="H185" s="444">
        <f>AVERAGE(H180,H184)</f>
        <v>-4.5943070290377366E-8</v>
      </c>
      <c r="I185" s="484">
        <f t="shared" si="67"/>
        <v>-4.5943070290377366E-8</v>
      </c>
      <c r="J185" s="485"/>
      <c r="K185" s="484"/>
      <c r="L185" s="484">
        <f t="shared" si="68"/>
        <v>0</v>
      </c>
      <c r="M185" s="485"/>
      <c r="N185" s="485"/>
      <c r="O185" s="485"/>
      <c r="P185" s="485"/>
      <c r="Q185" s="485"/>
      <c r="R185" s="413"/>
    </row>
    <row r="186" spans="2:18" s="593" customFormat="1" x14ac:dyDescent="0.3">
      <c r="B186" s="601">
        <f t="shared" si="69"/>
        <v>5.6999999999999975</v>
      </c>
      <c r="C186" s="589" t="s">
        <v>32</v>
      </c>
      <c r="D186" s="590"/>
      <c r="E186" s="590">
        <f>IFERROR(E187/E185,0)</f>
        <v>1.9066124512129953E-2</v>
      </c>
      <c r="F186" s="590">
        <f>F187/F185</f>
        <v>1.9066124512129953E-2</v>
      </c>
      <c r="G186" s="590"/>
      <c r="H186" s="590">
        <f>IFERROR(H187/H185,0)</f>
        <v>0</v>
      </c>
      <c r="I186" s="590">
        <f>I187/I185</f>
        <v>0</v>
      </c>
      <c r="J186" s="591"/>
      <c r="K186" s="591" t="e">
        <f>J187/K185</f>
        <v>#DIV/0!</v>
      </c>
      <c r="L186" s="590" t="e">
        <f>L187/L185</f>
        <v>#DIV/0!</v>
      </c>
      <c r="M186" s="591"/>
      <c r="N186" s="591" t="e">
        <f>M187/N185</f>
        <v>#DIV/0!</v>
      </c>
      <c r="O186" s="591"/>
      <c r="P186" s="591"/>
      <c r="Q186" s="591" t="e">
        <f>O187/Q185</f>
        <v>#DIV/0!</v>
      </c>
      <c r="R186" s="592"/>
    </row>
    <row r="187" spans="2:18" x14ac:dyDescent="0.3">
      <c r="B187" s="597">
        <f t="shared" si="69"/>
        <v>5.7999999999999972</v>
      </c>
      <c r="C187" s="430" t="s">
        <v>33</v>
      </c>
      <c r="D187" s="484"/>
      <c r="E187" s="484">
        <v>1.0437038775071168E-2</v>
      </c>
      <c r="F187" s="484">
        <f t="shared" si="66"/>
        <v>1.0437038775071168E-2</v>
      </c>
      <c r="G187" s="484"/>
      <c r="H187" s="484">
        <v>0</v>
      </c>
      <c r="I187" s="484">
        <f t="shared" si="67"/>
        <v>0</v>
      </c>
      <c r="J187" s="485"/>
      <c r="K187" s="484"/>
      <c r="L187" s="484">
        <f t="shared" si="68"/>
        <v>0</v>
      </c>
      <c r="M187" s="485"/>
      <c r="N187" s="485"/>
      <c r="O187" s="485"/>
      <c r="P187" s="485"/>
      <c r="Q187" s="485"/>
      <c r="R187" s="413"/>
    </row>
    <row r="188" spans="2:18" x14ac:dyDescent="0.3">
      <c r="B188" s="599"/>
      <c r="C188" s="431"/>
      <c r="D188" s="484"/>
      <c r="E188" s="484"/>
      <c r="F188" s="484"/>
      <c r="G188" s="484"/>
      <c r="H188" s="484"/>
      <c r="I188" s="484"/>
      <c r="J188" s="485"/>
      <c r="K188" s="484"/>
      <c r="L188" s="484"/>
      <c r="M188" s="485"/>
      <c r="N188" s="485"/>
      <c r="O188" s="485"/>
      <c r="P188" s="485"/>
      <c r="Q188" s="485"/>
      <c r="R188" s="413"/>
    </row>
    <row r="189" spans="2:18" x14ac:dyDescent="0.3">
      <c r="B189" s="599">
        <v>6</v>
      </c>
      <c r="C189" s="431" t="s">
        <v>1492</v>
      </c>
      <c r="D189" s="484"/>
      <c r="E189" s="484"/>
      <c r="F189" s="484"/>
      <c r="G189" s="484"/>
      <c r="H189" s="484"/>
      <c r="I189" s="484"/>
      <c r="J189" s="485"/>
      <c r="K189" s="484"/>
      <c r="L189" s="484"/>
      <c r="M189" s="485"/>
      <c r="N189" s="485"/>
      <c r="O189" s="485"/>
      <c r="P189" s="485"/>
      <c r="Q189" s="485"/>
      <c r="R189" s="413"/>
    </row>
    <row r="190" spans="2:18" x14ac:dyDescent="0.3">
      <c r="B190" s="597">
        <f>B189+0.1</f>
        <v>6.1</v>
      </c>
      <c r="C190" s="430" t="s">
        <v>29</v>
      </c>
      <c r="D190" s="484"/>
      <c r="E190" s="484">
        <v>0</v>
      </c>
      <c r="F190" s="484">
        <f t="shared" ref="F190:F197" si="70">E190-D190</f>
        <v>0</v>
      </c>
      <c r="G190" s="484"/>
      <c r="H190" s="484">
        <v>0</v>
      </c>
      <c r="I190" s="484">
        <f t="shared" ref="I190:I197" si="71">H190-G190</f>
        <v>0</v>
      </c>
      <c r="J190" s="485"/>
      <c r="K190" s="484"/>
      <c r="L190" s="484">
        <f t="shared" ref="L190:L197" si="72">K190-J190</f>
        <v>0</v>
      </c>
      <c r="M190" s="485"/>
      <c r="N190" s="485"/>
      <c r="O190" s="485"/>
      <c r="P190" s="485"/>
      <c r="Q190" s="485"/>
      <c r="R190" s="413"/>
    </row>
    <row r="191" spans="2:18" x14ac:dyDescent="0.3">
      <c r="B191" s="597">
        <f t="shared" ref="B191:B197" si="73">B190+0.1</f>
        <v>6.1999999999999993</v>
      </c>
      <c r="C191" s="430" t="s">
        <v>400</v>
      </c>
      <c r="D191" s="484"/>
      <c r="E191" s="484">
        <v>0</v>
      </c>
      <c r="F191" s="484">
        <f t="shared" si="70"/>
        <v>0</v>
      </c>
      <c r="G191" s="484"/>
      <c r="H191" s="484">
        <v>0</v>
      </c>
      <c r="I191" s="484">
        <f t="shared" si="71"/>
        <v>0</v>
      </c>
      <c r="J191" s="485"/>
      <c r="K191" s="484"/>
      <c r="L191" s="484">
        <f t="shared" si="72"/>
        <v>0</v>
      </c>
      <c r="M191" s="485"/>
      <c r="N191" s="485"/>
      <c r="O191" s="485"/>
      <c r="P191" s="485"/>
      <c r="Q191" s="485"/>
      <c r="R191" s="413"/>
    </row>
    <row r="192" spans="2:18" x14ac:dyDescent="0.3">
      <c r="B192" s="597">
        <f t="shared" si="73"/>
        <v>6.2999999999999989</v>
      </c>
      <c r="C192" s="430" t="s">
        <v>342</v>
      </c>
      <c r="D192" s="484"/>
      <c r="E192" s="484">
        <v>0</v>
      </c>
      <c r="F192" s="484">
        <f t="shared" si="70"/>
        <v>0</v>
      </c>
      <c r="G192" s="484"/>
      <c r="H192" s="484">
        <v>0</v>
      </c>
      <c r="I192" s="484">
        <f t="shared" si="71"/>
        <v>0</v>
      </c>
      <c r="J192" s="485"/>
      <c r="K192" s="484"/>
      <c r="L192" s="484">
        <f t="shared" si="72"/>
        <v>0</v>
      </c>
      <c r="M192" s="485"/>
      <c r="N192" s="485"/>
      <c r="O192" s="485"/>
      <c r="P192" s="485"/>
      <c r="Q192" s="485"/>
      <c r="R192" s="413"/>
    </row>
    <row r="193" spans="2:18" x14ac:dyDescent="0.3">
      <c r="B193" s="597">
        <f t="shared" si="73"/>
        <v>6.3999999999999986</v>
      </c>
      <c r="C193" s="430" t="s">
        <v>30</v>
      </c>
      <c r="D193" s="484"/>
      <c r="E193" s="484">
        <v>0</v>
      </c>
      <c r="F193" s="484">
        <f t="shared" si="70"/>
        <v>0</v>
      </c>
      <c r="G193" s="484"/>
      <c r="H193" s="484">
        <v>0</v>
      </c>
      <c r="I193" s="484">
        <f t="shared" si="71"/>
        <v>0</v>
      </c>
      <c r="J193" s="485"/>
      <c r="K193" s="484"/>
      <c r="L193" s="484">
        <f t="shared" si="72"/>
        <v>0</v>
      </c>
      <c r="M193" s="485"/>
      <c r="N193" s="485"/>
      <c r="O193" s="485"/>
      <c r="P193" s="485"/>
      <c r="Q193" s="485"/>
      <c r="R193" s="413"/>
    </row>
    <row r="194" spans="2:18" x14ac:dyDescent="0.3">
      <c r="B194" s="597">
        <f t="shared" si="73"/>
        <v>6.4999999999999982</v>
      </c>
      <c r="C194" s="430" t="s">
        <v>31</v>
      </c>
      <c r="D194" s="484"/>
      <c r="E194" s="484">
        <f>+E190-E191+E192-E193</f>
        <v>0</v>
      </c>
      <c r="F194" s="484">
        <f t="shared" si="70"/>
        <v>0</v>
      </c>
      <c r="G194" s="484"/>
      <c r="H194" s="484">
        <f>+H190-H191+H192-H193</f>
        <v>0</v>
      </c>
      <c r="I194" s="484">
        <f t="shared" si="71"/>
        <v>0</v>
      </c>
      <c r="J194" s="485"/>
      <c r="K194" s="485">
        <f>+J190-J191+J192-J193</f>
        <v>0</v>
      </c>
      <c r="L194" s="484">
        <f t="shared" si="72"/>
        <v>0</v>
      </c>
      <c r="M194" s="485"/>
      <c r="N194" s="485">
        <f>+M190-M191+M192-M193</f>
        <v>0</v>
      </c>
      <c r="O194" s="485"/>
      <c r="P194" s="485"/>
      <c r="Q194" s="485">
        <f>+O190-O191+O192-O193</f>
        <v>0</v>
      </c>
      <c r="R194" s="413"/>
    </row>
    <row r="195" spans="2:18" x14ac:dyDescent="0.3">
      <c r="B195" s="597">
        <f t="shared" si="73"/>
        <v>6.5999999999999979</v>
      </c>
      <c r="C195" s="430" t="s">
        <v>470</v>
      </c>
      <c r="D195" s="484"/>
      <c r="E195" s="444">
        <f>AVERAGE(E190,E194)</f>
        <v>0</v>
      </c>
      <c r="F195" s="484">
        <f t="shared" si="70"/>
        <v>0</v>
      </c>
      <c r="G195" s="484"/>
      <c r="H195" s="444">
        <f>AVERAGE(H190,H194)</f>
        <v>0</v>
      </c>
      <c r="I195" s="484">
        <f t="shared" si="71"/>
        <v>0</v>
      </c>
      <c r="J195" s="485"/>
      <c r="K195" s="484"/>
      <c r="L195" s="484">
        <f t="shared" si="72"/>
        <v>0</v>
      </c>
      <c r="M195" s="485"/>
      <c r="N195" s="485"/>
      <c r="O195" s="485"/>
      <c r="P195" s="485"/>
      <c r="Q195" s="485"/>
      <c r="R195" s="413"/>
    </row>
    <row r="196" spans="2:18" s="593" customFormat="1" x14ac:dyDescent="0.3">
      <c r="B196" s="601">
        <f t="shared" si="73"/>
        <v>6.6999999999999975</v>
      </c>
      <c r="C196" s="589" t="s">
        <v>32</v>
      </c>
      <c r="D196" s="590"/>
      <c r="E196" s="590">
        <f>IFERROR(E197/E195,0)</f>
        <v>0</v>
      </c>
      <c r="F196" s="590" t="e">
        <f>F197/F195</f>
        <v>#DIV/0!</v>
      </c>
      <c r="G196" s="590"/>
      <c r="H196" s="590">
        <f>IFERROR(H197/H195,0)</f>
        <v>0</v>
      </c>
      <c r="I196" s="590" t="e">
        <f>I197/I195</f>
        <v>#DIV/0!</v>
      </c>
      <c r="J196" s="591"/>
      <c r="K196" s="591" t="e">
        <f>J197/K195</f>
        <v>#DIV/0!</v>
      </c>
      <c r="L196" s="590" t="e">
        <f>L197/L195</f>
        <v>#DIV/0!</v>
      </c>
      <c r="M196" s="591"/>
      <c r="N196" s="591" t="e">
        <f>M197/N195</f>
        <v>#DIV/0!</v>
      </c>
      <c r="O196" s="591"/>
      <c r="P196" s="591"/>
      <c r="Q196" s="591" t="e">
        <f>O197/Q195</f>
        <v>#DIV/0!</v>
      </c>
      <c r="R196" s="592"/>
    </row>
    <row r="197" spans="2:18" x14ac:dyDescent="0.3">
      <c r="B197" s="597">
        <f t="shared" si="73"/>
        <v>6.7999999999999972</v>
      </c>
      <c r="C197" s="430" t="s">
        <v>33</v>
      </c>
      <c r="D197" s="484"/>
      <c r="E197" s="484">
        <v>0</v>
      </c>
      <c r="F197" s="484">
        <f t="shared" si="70"/>
        <v>0</v>
      </c>
      <c r="G197" s="484"/>
      <c r="H197" s="484">
        <v>0</v>
      </c>
      <c r="I197" s="484">
        <f t="shared" si="71"/>
        <v>0</v>
      </c>
      <c r="J197" s="485"/>
      <c r="K197" s="484"/>
      <c r="L197" s="484">
        <f t="shared" si="72"/>
        <v>0</v>
      </c>
      <c r="M197" s="485"/>
      <c r="N197" s="485"/>
      <c r="O197" s="485"/>
      <c r="P197" s="485"/>
      <c r="Q197" s="485"/>
      <c r="R197" s="413"/>
    </row>
    <row r="198" spans="2:18" x14ac:dyDescent="0.3">
      <c r="B198" s="599"/>
      <c r="C198" s="431"/>
      <c r="D198" s="484"/>
      <c r="E198" s="484"/>
      <c r="F198" s="484"/>
      <c r="G198" s="484"/>
      <c r="H198" s="484"/>
      <c r="I198" s="484"/>
      <c r="J198" s="485"/>
      <c r="K198" s="484"/>
      <c r="L198" s="484"/>
      <c r="M198" s="485"/>
      <c r="N198" s="485"/>
      <c r="O198" s="485"/>
      <c r="P198" s="485"/>
      <c r="Q198" s="485"/>
      <c r="R198" s="413"/>
    </row>
    <row r="199" spans="2:18" x14ac:dyDescent="0.3">
      <c r="B199" s="599">
        <v>7</v>
      </c>
      <c r="C199" s="431" t="s">
        <v>1486</v>
      </c>
      <c r="D199" s="484"/>
      <c r="E199" s="484"/>
      <c r="F199" s="484"/>
      <c r="G199" s="484"/>
      <c r="H199" s="484"/>
      <c r="I199" s="484"/>
      <c r="J199" s="485"/>
      <c r="K199" s="484"/>
      <c r="L199" s="484"/>
      <c r="M199" s="485"/>
      <c r="N199" s="485"/>
      <c r="O199" s="485"/>
      <c r="P199" s="485"/>
      <c r="Q199" s="485"/>
      <c r="R199" s="413"/>
    </row>
    <row r="200" spans="2:18" x14ac:dyDescent="0.3">
      <c r="B200" s="597">
        <f>B199+0.1</f>
        <v>7.1</v>
      </c>
      <c r="C200" s="430" t="s">
        <v>29</v>
      </c>
      <c r="D200" s="484"/>
      <c r="E200" s="484">
        <v>0</v>
      </c>
      <c r="F200" s="484">
        <f t="shared" ref="F200:F207" si="74">E200-D200</f>
        <v>0</v>
      </c>
      <c r="G200" s="484"/>
      <c r="H200" s="484">
        <v>0</v>
      </c>
      <c r="I200" s="484">
        <f t="shared" ref="I200:I207" si="75">H200-G200</f>
        <v>0</v>
      </c>
      <c r="J200" s="485"/>
      <c r="K200" s="484"/>
      <c r="L200" s="484">
        <f t="shared" ref="L200:L207" si="76">K200-J200</f>
        <v>0</v>
      </c>
      <c r="M200" s="485"/>
      <c r="N200" s="485"/>
      <c r="O200" s="485"/>
      <c r="P200" s="485"/>
      <c r="Q200" s="485"/>
      <c r="R200" s="413"/>
    </row>
    <row r="201" spans="2:18" x14ac:dyDescent="0.3">
      <c r="B201" s="597">
        <f t="shared" ref="B201:B207" si="77">B200+0.1</f>
        <v>7.1999999999999993</v>
      </c>
      <c r="C201" s="430" t="s">
        <v>400</v>
      </c>
      <c r="D201" s="484"/>
      <c r="E201" s="484">
        <v>0</v>
      </c>
      <c r="F201" s="484">
        <f t="shared" si="74"/>
        <v>0</v>
      </c>
      <c r="G201" s="484"/>
      <c r="H201" s="484">
        <v>0</v>
      </c>
      <c r="I201" s="484">
        <f t="shared" si="75"/>
        <v>0</v>
      </c>
      <c r="J201" s="485"/>
      <c r="K201" s="484"/>
      <c r="L201" s="484">
        <f t="shared" si="76"/>
        <v>0</v>
      </c>
      <c r="M201" s="485"/>
      <c r="N201" s="485"/>
      <c r="O201" s="485"/>
      <c r="P201" s="485"/>
      <c r="Q201" s="485"/>
      <c r="R201" s="413"/>
    </row>
    <row r="202" spans="2:18" x14ac:dyDescent="0.3">
      <c r="B202" s="597">
        <f t="shared" si="77"/>
        <v>7.2999999999999989</v>
      </c>
      <c r="C202" s="430" t="s">
        <v>342</v>
      </c>
      <c r="D202" s="484"/>
      <c r="E202" s="484">
        <v>0</v>
      </c>
      <c r="F202" s="484">
        <f t="shared" si="74"/>
        <v>0</v>
      </c>
      <c r="G202" s="484"/>
      <c r="H202" s="484">
        <v>0</v>
      </c>
      <c r="I202" s="484">
        <f t="shared" si="75"/>
        <v>0</v>
      </c>
      <c r="J202" s="485"/>
      <c r="K202" s="484"/>
      <c r="L202" s="484">
        <f t="shared" si="76"/>
        <v>0</v>
      </c>
      <c r="M202" s="485"/>
      <c r="N202" s="485"/>
      <c r="O202" s="485"/>
      <c r="P202" s="485"/>
      <c r="Q202" s="485"/>
      <c r="R202" s="413"/>
    </row>
    <row r="203" spans="2:18" x14ac:dyDescent="0.3">
      <c r="B203" s="597">
        <f t="shared" si="77"/>
        <v>7.3999999999999986</v>
      </c>
      <c r="C203" s="430" t="s">
        <v>30</v>
      </c>
      <c r="D203" s="484"/>
      <c r="E203" s="484">
        <v>0</v>
      </c>
      <c r="F203" s="484">
        <f t="shared" si="74"/>
        <v>0</v>
      </c>
      <c r="G203" s="484"/>
      <c r="H203" s="484">
        <v>0</v>
      </c>
      <c r="I203" s="484">
        <f t="shared" si="75"/>
        <v>0</v>
      </c>
      <c r="J203" s="485"/>
      <c r="K203" s="484"/>
      <c r="L203" s="484">
        <f t="shared" si="76"/>
        <v>0</v>
      </c>
      <c r="M203" s="485"/>
      <c r="N203" s="485"/>
      <c r="O203" s="485"/>
      <c r="P203" s="485"/>
      <c r="Q203" s="485"/>
      <c r="R203" s="413"/>
    </row>
    <row r="204" spans="2:18" x14ac:dyDescent="0.3">
      <c r="B204" s="597">
        <f t="shared" si="77"/>
        <v>7.4999999999999982</v>
      </c>
      <c r="C204" s="430" t="s">
        <v>31</v>
      </c>
      <c r="D204" s="484"/>
      <c r="E204" s="484">
        <f>+E200-E201+E202-E203</f>
        <v>0</v>
      </c>
      <c r="F204" s="484">
        <f t="shared" si="74"/>
        <v>0</v>
      </c>
      <c r="G204" s="484"/>
      <c r="H204" s="484">
        <f>+H200-H201+H202-H203</f>
        <v>0</v>
      </c>
      <c r="I204" s="484">
        <f t="shared" si="75"/>
        <v>0</v>
      </c>
      <c r="J204" s="485"/>
      <c r="K204" s="485">
        <f>+J200-J201+J202-J203</f>
        <v>0</v>
      </c>
      <c r="L204" s="484">
        <f t="shared" si="76"/>
        <v>0</v>
      </c>
      <c r="M204" s="485"/>
      <c r="N204" s="485">
        <f>+M200-M201+M202-M203</f>
        <v>0</v>
      </c>
      <c r="O204" s="485"/>
      <c r="P204" s="485"/>
      <c r="Q204" s="485">
        <f>+O200-O201+O202-O203</f>
        <v>0</v>
      </c>
      <c r="R204" s="413"/>
    </row>
    <row r="205" spans="2:18" x14ac:dyDescent="0.3">
      <c r="B205" s="597">
        <f t="shared" si="77"/>
        <v>7.5999999999999979</v>
      </c>
      <c r="C205" s="430" t="s">
        <v>470</v>
      </c>
      <c r="D205" s="484"/>
      <c r="E205" s="444">
        <f>AVERAGE(E200,E204)</f>
        <v>0</v>
      </c>
      <c r="F205" s="484">
        <f t="shared" si="74"/>
        <v>0</v>
      </c>
      <c r="G205" s="484"/>
      <c r="H205" s="444">
        <f>AVERAGE(H200,H204)</f>
        <v>0</v>
      </c>
      <c r="I205" s="484">
        <f t="shared" si="75"/>
        <v>0</v>
      </c>
      <c r="J205" s="485"/>
      <c r="K205" s="484"/>
      <c r="L205" s="484">
        <f t="shared" si="76"/>
        <v>0</v>
      </c>
      <c r="M205" s="485"/>
      <c r="N205" s="485"/>
      <c r="O205" s="485"/>
      <c r="P205" s="485"/>
      <c r="Q205" s="485"/>
      <c r="R205" s="413"/>
    </row>
    <row r="206" spans="2:18" s="593" customFormat="1" x14ac:dyDescent="0.3">
      <c r="B206" s="601">
        <f t="shared" si="77"/>
        <v>7.6999999999999975</v>
      </c>
      <c r="C206" s="589" t="s">
        <v>32</v>
      </c>
      <c r="D206" s="590"/>
      <c r="E206" s="590">
        <f>IFERROR(E207/E205,0)</f>
        <v>0</v>
      </c>
      <c r="F206" s="590" t="e">
        <f>F207/F205</f>
        <v>#DIV/0!</v>
      </c>
      <c r="G206" s="590"/>
      <c r="H206" s="590">
        <f>IFERROR(H207/H205,0)</f>
        <v>0</v>
      </c>
      <c r="I206" s="590" t="e">
        <f>I207/I205</f>
        <v>#DIV/0!</v>
      </c>
      <c r="J206" s="591"/>
      <c r="K206" s="591" t="e">
        <f>J207/K205</f>
        <v>#DIV/0!</v>
      </c>
      <c r="L206" s="590" t="e">
        <f>L207/L205</f>
        <v>#DIV/0!</v>
      </c>
      <c r="M206" s="591"/>
      <c r="N206" s="591" t="e">
        <f>M207/N205</f>
        <v>#DIV/0!</v>
      </c>
      <c r="O206" s="591"/>
      <c r="P206" s="591"/>
      <c r="Q206" s="591" t="e">
        <f>O207/Q205</f>
        <v>#DIV/0!</v>
      </c>
      <c r="R206" s="592"/>
    </row>
    <row r="207" spans="2:18" x14ac:dyDescent="0.3">
      <c r="B207" s="597">
        <f t="shared" si="77"/>
        <v>7.7999999999999972</v>
      </c>
      <c r="C207" s="430" t="s">
        <v>33</v>
      </c>
      <c r="D207" s="484"/>
      <c r="E207" s="484">
        <v>0</v>
      </c>
      <c r="F207" s="484">
        <f t="shared" si="74"/>
        <v>0</v>
      </c>
      <c r="G207" s="484"/>
      <c r="H207" s="484">
        <v>0</v>
      </c>
      <c r="I207" s="484">
        <f t="shared" si="75"/>
        <v>0</v>
      </c>
      <c r="J207" s="485"/>
      <c r="K207" s="484"/>
      <c r="L207" s="484">
        <f t="shared" si="76"/>
        <v>0</v>
      </c>
      <c r="M207" s="485"/>
      <c r="N207" s="485"/>
      <c r="O207" s="485"/>
      <c r="P207" s="485"/>
      <c r="Q207" s="485"/>
      <c r="R207" s="413"/>
    </row>
    <row r="208" spans="2:18" x14ac:dyDescent="0.3">
      <c r="B208" s="599"/>
      <c r="C208" s="431"/>
      <c r="D208" s="484"/>
      <c r="E208" s="484"/>
      <c r="F208" s="484"/>
      <c r="G208" s="484"/>
      <c r="H208" s="484"/>
      <c r="I208" s="484"/>
      <c r="J208" s="485"/>
      <c r="K208" s="484"/>
      <c r="L208" s="484"/>
      <c r="M208" s="485"/>
      <c r="N208" s="485"/>
      <c r="O208" s="485"/>
      <c r="P208" s="485"/>
      <c r="Q208" s="485"/>
      <c r="R208" s="413"/>
    </row>
    <row r="209" spans="2:18" x14ac:dyDescent="0.3">
      <c r="B209" s="599">
        <v>8</v>
      </c>
      <c r="C209" s="431" t="s">
        <v>1487</v>
      </c>
      <c r="D209" s="484"/>
      <c r="E209" s="484"/>
      <c r="F209" s="484"/>
      <c r="G209" s="484"/>
      <c r="H209" s="484"/>
      <c r="I209" s="484"/>
      <c r="J209" s="485"/>
      <c r="K209" s="484"/>
      <c r="L209" s="484"/>
      <c r="M209" s="485"/>
      <c r="N209" s="485"/>
      <c r="O209" s="485"/>
      <c r="P209" s="485"/>
      <c r="Q209" s="485"/>
      <c r="R209" s="413"/>
    </row>
    <row r="210" spans="2:18" x14ac:dyDescent="0.3">
      <c r="B210" s="597">
        <f>B209+0.1</f>
        <v>8.1</v>
      </c>
      <c r="C210" s="430" t="s">
        <v>29</v>
      </c>
      <c r="D210" s="484"/>
      <c r="E210" s="484">
        <v>0</v>
      </c>
      <c r="F210" s="484">
        <f t="shared" ref="F210:F217" si="78">E210-D210</f>
        <v>0</v>
      </c>
      <c r="G210" s="484"/>
      <c r="H210" s="484">
        <v>0</v>
      </c>
      <c r="I210" s="484">
        <f t="shared" ref="I210:I217" si="79">H210-G210</f>
        <v>0</v>
      </c>
      <c r="J210" s="485"/>
      <c r="K210" s="484"/>
      <c r="L210" s="484">
        <f t="shared" ref="L210:L217" si="80">K210-J210</f>
        <v>0</v>
      </c>
      <c r="M210" s="485"/>
      <c r="N210" s="485"/>
      <c r="O210" s="485"/>
      <c r="P210" s="485"/>
      <c r="Q210" s="485"/>
      <c r="R210" s="413"/>
    </row>
    <row r="211" spans="2:18" x14ac:dyDescent="0.3">
      <c r="B211" s="597">
        <f t="shared" ref="B211:B217" si="81">B210+0.1</f>
        <v>8.1999999999999993</v>
      </c>
      <c r="C211" s="430" t="s">
        <v>400</v>
      </c>
      <c r="D211" s="484"/>
      <c r="E211" s="484">
        <v>0</v>
      </c>
      <c r="F211" s="484">
        <f t="shared" si="78"/>
        <v>0</v>
      </c>
      <c r="G211" s="484"/>
      <c r="H211" s="484">
        <v>0</v>
      </c>
      <c r="I211" s="484">
        <f t="shared" si="79"/>
        <v>0</v>
      </c>
      <c r="J211" s="485"/>
      <c r="K211" s="484"/>
      <c r="L211" s="484">
        <f t="shared" si="80"/>
        <v>0</v>
      </c>
      <c r="M211" s="485"/>
      <c r="N211" s="485"/>
      <c r="O211" s="485"/>
      <c r="P211" s="485"/>
      <c r="Q211" s="485"/>
      <c r="R211" s="413"/>
    </row>
    <row r="212" spans="2:18" x14ac:dyDescent="0.3">
      <c r="B212" s="597">
        <f t="shared" si="81"/>
        <v>8.2999999999999989</v>
      </c>
      <c r="C212" s="430" t="s">
        <v>342</v>
      </c>
      <c r="D212" s="484"/>
      <c r="E212" s="484">
        <v>0</v>
      </c>
      <c r="F212" s="484">
        <f t="shared" si="78"/>
        <v>0</v>
      </c>
      <c r="G212" s="484"/>
      <c r="H212" s="484">
        <v>0</v>
      </c>
      <c r="I212" s="484">
        <f t="shared" si="79"/>
        <v>0</v>
      </c>
      <c r="J212" s="485"/>
      <c r="K212" s="484"/>
      <c r="L212" s="484">
        <f t="shared" si="80"/>
        <v>0</v>
      </c>
      <c r="M212" s="485"/>
      <c r="N212" s="485"/>
      <c r="O212" s="485"/>
      <c r="P212" s="485"/>
      <c r="Q212" s="485"/>
      <c r="R212" s="413"/>
    </row>
    <row r="213" spans="2:18" x14ac:dyDescent="0.3">
      <c r="B213" s="597">
        <f t="shared" si="81"/>
        <v>8.3999999999999986</v>
      </c>
      <c r="C213" s="430" t="s">
        <v>30</v>
      </c>
      <c r="D213" s="484"/>
      <c r="E213" s="484">
        <v>0</v>
      </c>
      <c r="F213" s="484">
        <f t="shared" si="78"/>
        <v>0</v>
      </c>
      <c r="G213" s="484"/>
      <c r="H213" s="484">
        <v>0</v>
      </c>
      <c r="I213" s="484">
        <f t="shared" si="79"/>
        <v>0</v>
      </c>
      <c r="J213" s="485"/>
      <c r="K213" s="484"/>
      <c r="L213" s="484">
        <f t="shared" si="80"/>
        <v>0</v>
      </c>
      <c r="M213" s="485"/>
      <c r="N213" s="485"/>
      <c r="O213" s="485"/>
      <c r="P213" s="485"/>
      <c r="Q213" s="485"/>
      <c r="R213" s="413"/>
    </row>
    <row r="214" spans="2:18" x14ac:dyDescent="0.3">
      <c r="B214" s="597">
        <f t="shared" si="81"/>
        <v>8.4999999999999982</v>
      </c>
      <c r="C214" s="430" t="s">
        <v>31</v>
      </c>
      <c r="D214" s="484"/>
      <c r="E214" s="484">
        <f>+E210-E211+E212-E213</f>
        <v>0</v>
      </c>
      <c r="F214" s="484">
        <f t="shared" si="78"/>
        <v>0</v>
      </c>
      <c r="G214" s="484"/>
      <c r="H214" s="484">
        <f>+H210-H211+H212-H213</f>
        <v>0</v>
      </c>
      <c r="I214" s="484">
        <f t="shared" si="79"/>
        <v>0</v>
      </c>
      <c r="J214" s="485"/>
      <c r="K214" s="485">
        <f>+J210-J211+J212-J213</f>
        <v>0</v>
      </c>
      <c r="L214" s="484">
        <f t="shared" si="80"/>
        <v>0</v>
      </c>
      <c r="M214" s="485"/>
      <c r="N214" s="485">
        <f>+M210-M211+M212-M213</f>
        <v>0</v>
      </c>
      <c r="O214" s="485"/>
      <c r="P214" s="485"/>
      <c r="Q214" s="485">
        <f>+O210-O211+O212-O213</f>
        <v>0</v>
      </c>
      <c r="R214" s="413"/>
    </row>
    <row r="215" spans="2:18" x14ac:dyDescent="0.3">
      <c r="B215" s="597">
        <f t="shared" si="81"/>
        <v>8.5999999999999979</v>
      </c>
      <c r="C215" s="430" t="s">
        <v>470</v>
      </c>
      <c r="D215" s="484"/>
      <c r="E215" s="444">
        <f>AVERAGE(E210,E214)</f>
        <v>0</v>
      </c>
      <c r="F215" s="484">
        <f t="shared" si="78"/>
        <v>0</v>
      </c>
      <c r="G215" s="484"/>
      <c r="H215" s="444">
        <f>AVERAGE(H210,H214)</f>
        <v>0</v>
      </c>
      <c r="I215" s="484">
        <f t="shared" si="79"/>
        <v>0</v>
      </c>
      <c r="J215" s="485"/>
      <c r="K215" s="484"/>
      <c r="L215" s="484">
        <f t="shared" si="80"/>
        <v>0</v>
      </c>
      <c r="M215" s="485"/>
      <c r="N215" s="485"/>
      <c r="O215" s="485"/>
      <c r="P215" s="485"/>
      <c r="Q215" s="485"/>
      <c r="R215" s="413"/>
    </row>
    <row r="216" spans="2:18" s="593" customFormat="1" x14ac:dyDescent="0.3">
      <c r="B216" s="601">
        <f t="shared" si="81"/>
        <v>8.6999999999999975</v>
      </c>
      <c r="C216" s="589" t="s">
        <v>32</v>
      </c>
      <c r="D216" s="590"/>
      <c r="E216" s="590">
        <f>IFERROR(E217/E215,0)</f>
        <v>0</v>
      </c>
      <c r="F216" s="590" t="e">
        <f>F217/F215</f>
        <v>#DIV/0!</v>
      </c>
      <c r="G216" s="590"/>
      <c r="H216" s="590">
        <f>IFERROR(H217/H215,0)</f>
        <v>0</v>
      </c>
      <c r="I216" s="590" t="e">
        <f>I217/I215</f>
        <v>#DIV/0!</v>
      </c>
      <c r="J216" s="591"/>
      <c r="K216" s="591" t="e">
        <f>J217/K215</f>
        <v>#DIV/0!</v>
      </c>
      <c r="L216" s="590" t="e">
        <f>L217/L215</f>
        <v>#DIV/0!</v>
      </c>
      <c r="M216" s="591"/>
      <c r="N216" s="591" t="e">
        <f>M217/N215</f>
        <v>#DIV/0!</v>
      </c>
      <c r="O216" s="591"/>
      <c r="P216" s="591"/>
      <c r="Q216" s="591" t="e">
        <f>O217/Q215</f>
        <v>#DIV/0!</v>
      </c>
      <c r="R216" s="592"/>
    </row>
    <row r="217" spans="2:18" x14ac:dyDescent="0.3">
      <c r="B217" s="597">
        <f t="shared" si="81"/>
        <v>8.7999999999999972</v>
      </c>
      <c r="C217" s="430" t="s">
        <v>33</v>
      </c>
      <c r="D217" s="484"/>
      <c r="E217" s="484">
        <v>0</v>
      </c>
      <c r="F217" s="484">
        <f t="shared" si="78"/>
        <v>0</v>
      </c>
      <c r="G217" s="484"/>
      <c r="H217" s="484">
        <v>0</v>
      </c>
      <c r="I217" s="484">
        <f t="shared" si="79"/>
        <v>0</v>
      </c>
      <c r="J217" s="485"/>
      <c r="K217" s="484"/>
      <c r="L217" s="484">
        <f t="shared" si="80"/>
        <v>0</v>
      </c>
      <c r="M217" s="485"/>
      <c r="N217" s="485"/>
      <c r="O217" s="485"/>
      <c r="P217" s="485"/>
      <c r="Q217" s="485"/>
      <c r="R217" s="413"/>
    </row>
    <row r="218" spans="2:18" x14ac:dyDescent="0.3">
      <c r="B218" s="597"/>
      <c r="C218" s="430"/>
      <c r="D218" s="484"/>
      <c r="E218" s="484"/>
      <c r="F218" s="484"/>
      <c r="G218" s="484"/>
      <c r="H218" s="484"/>
      <c r="I218" s="484"/>
      <c r="J218" s="485"/>
      <c r="K218" s="484"/>
      <c r="L218" s="484"/>
      <c r="M218" s="485"/>
      <c r="N218" s="485"/>
      <c r="O218" s="485"/>
      <c r="P218" s="485"/>
      <c r="Q218" s="485"/>
      <c r="R218" s="413"/>
    </row>
    <row r="219" spans="2:18" s="22" customFormat="1" x14ac:dyDescent="0.3">
      <c r="B219" s="599">
        <v>9</v>
      </c>
      <c r="C219" s="431" t="s">
        <v>1488</v>
      </c>
      <c r="D219" s="484"/>
      <c r="E219" s="484"/>
      <c r="F219" s="484"/>
      <c r="G219" s="484"/>
      <c r="H219" s="484"/>
      <c r="I219" s="484"/>
      <c r="J219" s="485"/>
      <c r="K219" s="484"/>
      <c r="L219" s="484"/>
      <c r="M219" s="485"/>
      <c r="N219" s="485"/>
      <c r="O219" s="485"/>
      <c r="P219" s="485"/>
      <c r="Q219" s="485"/>
      <c r="R219" s="426"/>
    </row>
    <row r="220" spans="2:18" x14ac:dyDescent="0.3">
      <c r="B220" s="597">
        <f>B219+0.1</f>
        <v>9.1</v>
      </c>
      <c r="C220" s="430" t="s">
        <v>29</v>
      </c>
      <c r="D220" s="484"/>
      <c r="E220" s="484">
        <v>0</v>
      </c>
      <c r="F220" s="484">
        <f t="shared" ref="F220:F227" si="82">E220-D220</f>
        <v>0</v>
      </c>
      <c r="G220" s="484"/>
      <c r="H220" s="484">
        <v>0</v>
      </c>
      <c r="I220" s="484">
        <f t="shared" ref="I220:I227" si="83">H220-G220</f>
        <v>0</v>
      </c>
      <c r="J220" s="485"/>
      <c r="K220" s="484"/>
      <c r="L220" s="484">
        <f t="shared" ref="L220:L227" si="84">K220-J220</f>
        <v>0</v>
      </c>
      <c r="M220" s="485"/>
      <c r="N220" s="485"/>
      <c r="O220" s="485"/>
      <c r="P220" s="485"/>
      <c r="Q220" s="485"/>
      <c r="R220" s="413"/>
    </row>
    <row r="221" spans="2:18" x14ac:dyDescent="0.3">
      <c r="B221" s="597">
        <f t="shared" ref="B221:B227" si="85">B220+0.1</f>
        <v>9.1999999999999993</v>
      </c>
      <c r="C221" s="430" t="s">
        <v>400</v>
      </c>
      <c r="D221" s="484"/>
      <c r="E221" s="484">
        <v>0</v>
      </c>
      <c r="F221" s="484">
        <f t="shared" si="82"/>
        <v>0</v>
      </c>
      <c r="G221" s="484"/>
      <c r="H221" s="484">
        <v>0</v>
      </c>
      <c r="I221" s="484">
        <f t="shared" si="83"/>
        <v>0</v>
      </c>
      <c r="J221" s="485"/>
      <c r="K221" s="484"/>
      <c r="L221" s="484">
        <f t="shared" si="84"/>
        <v>0</v>
      </c>
      <c r="M221" s="485"/>
      <c r="N221" s="485"/>
      <c r="O221" s="485"/>
      <c r="P221" s="485"/>
      <c r="Q221" s="485"/>
      <c r="R221" s="413"/>
    </row>
    <row r="222" spans="2:18" x14ac:dyDescent="0.3">
      <c r="B222" s="597">
        <f t="shared" si="85"/>
        <v>9.2999999999999989</v>
      </c>
      <c r="C222" s="430" t="s">
        <v>342</v>
      </c>
      <c r="D222" s="484"/>
      <c r="E222" s="484">
        <v>0</v>
      </c>
      <c r="F222" s="484">
        <f t="shared" si="82"/>
        <v>0</v>
      </c>
      <c r="G222" s="484"/>
      <c r="H222" s="484">
        <v>0</v>
      </c>
      <c r="I222" s="484">
        <f t="shared" si="83"/>
        <v>0</v>
      </c>
      <c r="J222" s="485"/>
      <c r="K222" s="484"/>
      <c r="L222" s="484">
        <f t="shared" si="84"/>
        <v>0</v>
      </c>
      <c r="M222" s="485"/>
      <c r="N222" s="485"/>
      <c r="O222" s="485"/>
      <c r="P222" s="485"/>
      <c r="Q222" s="485"/>
      <c r="R222" s="413"/>
    </row>
    <row r="223" spans="2:18" x14ac:dyDescent="0.3">
      <c r="B223" s="597">
        <f t="shared" si="85"/>
        <v>9.3999999999999986</v>
      </c>
      <c r="C223" s="430" t="s">
        <v>30</v>
      </c>
      <c r="D223" s="484"/>
      <c r="E223" s="484">
        <v>0</v>
      </c>
      <c r="F223" s="484">
        <f t="shared" si="82"/>
        <v>0</v>
      </c>
      <c r="G223" s="484"/>
      <c r="H223" s="484">
        <v>0</v>
      </c>
      <c r="I223" s="484">
        <f t="shared" si="83"/>
        <v>0</v>
      </c>
      <c r="J223" s="485"/>
      <c r="K223" s="484"/>
      <c r="L223" s="484">
        <f t="shared" si="84"/>
        <v>0</v>
      </c>
      <c r="M223" s="485"/>
      <c r="N223" s="485"/>
      <c r="O223" s="485"/>
      <c r="P223" s="485"/>
      <c r="Q223" s="485"/>
      <c r="R223" s="413"/>
    </row>
    <row r="224" spans="2:18" x14ac:dyDescent="0.3">
      <c r="B224" s="597">
        <f t="shared" si="85"/>
        <v>9.4999999999999982</v>
      </c>
      <c r="C224" s="430" t="s">
        <v>31</v>
      </c>
      <c r="D224" s="484"/>
      <c r="E224" s="484">
        <f>+E220-E221+E222-E223</f>
        <v>0</v>
      </c>
      <c r="F224" s="484">
        <f t="shared" si="82"/>
        <v>0</v>
      </c>
      <c r="G224" s="484"/>
      <c r="H224" s="484">
        <f>+H220-H221+H222-H223</f>
        <v>0</v>
      </c>
      <c r="I224" s="484">
        <f t="shared" si="83"/>
        <v>0</v>
      </c>
      <c r="J224" s="485"/>
      <c r="K224" s="485">
        <f>+J220-J221+J222-J223</f>
        <v>0</v>
      </c>
      <c r="L224" s="484">
        <f t="shared" si="84"/>
        <v>0</v>
      </c>
      <c r="M224" s="485"/>
      <c r="N224" s="485">
        <f>+M220-M221+M222-M223</f>
        <v>0</v>
      </c>
      <c r="O224" s="485"/>
      <c r="P224" s="485"/>
      <c r="Q224" s="485">
        <f>+O220-O221+O222-O223</f>
        <v>0</v>
      </c>
      <c r="R224" s="413"/>
    </row>
    <row r="225" spans="2:18" x14ac:dyDescent="0.3">
      <c r="B225" s="597">
        <f t="shared" si="85"/>
        <v>9.5999999999999979</v>
      </c>
      <c r="C225" s="430" t="s">
        <v>470</v>
      </c>
      <c r="D225" s="484"/>
      <c r="E225" s="444">
        <f>AVERAGE(E220,E224)</f>
        <v>0</v>
      </c>
      <c r="F225" s="484">
        <f t="shared" si="82"/>
        <v>0</v>
      </c>
      <c r="G225" s="484"/>
      <c r="H225" s="444">
        <f>AVERAGE(H220,H224)</f>
        <v>0</v>
      </c>
      <c r="I225" s="484">
        <f t="shared" si="83"/>
        <v>0</v>
      </c>
      <c r="J225" s="485"/>
      <c r="K225" s="484"/>
      <c r="L225" s="484">
        <f t="shared" si="84"/>
        <v>0</v>
      </c>
      <c r="M225" s="485"/>
      <c r="N225" s="485"/>
      <c r="O225" s="485"/>
      <c r="P225" s="485"/>
      <c r="Q225" s="485"/>
      <c r="R225" s="413"/>
    </row>
    <row r="226" spans="2:18" s="593" customFormat="1" x14ac:dyDescent="0.3">
      <c r="B226" s="601">
        <f t="shared" si="85"/>
        <v>9.6999999999999975</v>
      </c>
      <c r="C226" s="589" t="s">
        <v>32</v>
      </c>
      <c r="D226" s="590"/>
      <c r="E226" s="590">
        <f>IFERROR(E227/E225,0)</f>
        <v>0</v>
      </c>
      <c r="F226" s="590" t="e">
        <f>F227/F225</f>
        <v>#DIV/0!</v>
      </c>
      <c r="G226" s="590"/>
      <c r="H226" s="590">
        <f>IFERROR(H227/H225,0)</f>
        <v>0</v>
      </c>
      <c r="I226" s="590" t="e">
        <f>I227/I225</f>
        <v>#DIV/0!</v>
      </c>
      <c r="J226" s="591"/>
      <c r="K226" s="591" t="e">
        <f>J227/K225</f>
        <v>#DIV/0!</v>
      </c>
      <c r="L226" s="590" t="e">
        <f>L227/L225</f>
        <v>#DIV/0!</v>
      </c>
      <c r="M226" s="591"/>
      <c r="N226" s="591" t="e">
        <f>M227/N225</f>
        <v>#DIV/0!</v>
      </c>
      <c r="O226" s="591"/>
      <c r="P226" s="591"/>
      <c r="Q226" s="591" t="e">
        <f>O227/Q225</f>
        <v>#DIV/0!</v>
      </c>
      <c r="R226" s="592"/>
    </row>
    <row r="227" spans="2:18" x14ac:dyDescent="0.3">
      <c r="B227" s="597">
        <f t="shared" si="85"/>
        <v>9.7999999999999972</v>
      </c>
      <c r="C227" s="430" t="s">
        <v>33</v>
      </c>
      <c r="D227" s="484"/>
      <c r="E227" s="484">
        <v>0</v>
      </c>
      <c r="F227" s="484">
        <f t="shared" si="82"/>
        <v>0</v>
      </c>
      <c r="G227" s="484"/>
      <c r="H227" s="484">
        <v>0</v>
      </c>
      <c r="I227" s="484">
        <f t="shared" si="83"/>
        <v>0</v>
      </c>
      <c r="J227" s="485"/>
      <c r="K227" s="484"/>
      <c r="L227" s="484">
        <f t="shared" si="84"/>
        <v>0</v>
      </c>
      <c r="M227" s="485"/>
      <c r="N227" s="485"/>
      <c r="O227" s="485"/>
      <c r="P227" s="485"/>
      <c r="Q227" s="485"/>
      <c r="R227" s="413"/>
    </row>
    <row r="228" spans="2:18" x14ac:dyDescent="0.3">
      <c r="B228" s="597"/>
      <c r="C228" s="430"/>
      <c r="D228" s="484"/>
      <c r="E228" s="484"/>
      <c r="F228" s="484"/>
      <c r="G228" s="484"/>
      <c r="H228" s="484"/>
      <c r="I228" s="484"/>
      <c r="J228" s="485"/>
      <c r="K228" s="484"/>
      <c r="L228" s="484"/>
      <c r="M228" s="485"/>
      <c r="N228" s="485"/>
      <c r="O228" s="485"/>
      <c r="P228" s="485"/>
      <c r="Q228" s="485"/>
      <c r="R228" s="413"/>
    </row>
    <row r="229" spans="2:18" s="22" customFormat="1" x14ac:dyDescent="0.3">
      <c r="B229" s="599">
        <v>10</v>
      </c>
      <c r="C229" s="431" t="s">
        <v>1493</v>
      </c>
      <c r="D229" s="484"/>
      <c r="E229" s="484"/>
      <c r="F229" s="484"/>
      <c r="G229" s="484"/>
      <c r="H229" s="484"/>
      <c r="I229" s="484"/>
      <c r="J229" s="485"/>
      <c r="K229" s="484"/>
      <c r="L229" s="484"/>
      <c r="M229" s="485"/>
      <c r="N229" s="485"/>
      <c r="O229" s="485"/>
      <c r="P229" s="485"/>
      <c r="Q229" s="485"/>
      <c r="R229" s="426"/>
    </row>
    <row r="230" spans="2:18" x14ac:dyDescent="0.3">
      <c r="B230" s="597">
        <f>B229+0.1</f>
        <v>10.1</v>
      </c>
      <c r="C230" s="430" t="s">
        <v>29</v>
      </c>
      <c r="D230" s="484"/>
      <c r="E230" s="484">
        <v>0</v>
      </c>
      <c r="F230" s="484">
        <f t="shared" ref="F230:F237" si="86">E230-D230</f>
        <v>0</v>
      </c>
      <c r="G230" s="484"/>
      <c r="H230" s="484">
        <v>0</v>
      </c>
      <c r="I230" s="484">
        <f t="shared" ref="I230:I237" si="87">H230-G230</f>
        <v>0</v>
      </c>
      <c r="J230" s="485"/>
      <c r="K230" s="484"/>
      <c r="L230" s="484">
        <f t="shared" ref="L230:L237" si="88">K230-J230</f>
        <v>0</v>
      </c>
      <c r="M230" s="485"/>
      <c r="N230" s="485"/>
      <c r="O230" s="485"/>
      <c r="P230" s="485"/>
      <c r="Q230" s="485"/>
      <c r="R230" s="413"/>
    </row>
    <row r="231" spans="2:18" x14ac:dyDescent="0.3">
      <c r="B231" s="597">
        <f t="shared" ref="B231:B237" si="89">B230+0.1</f>
        <v>10.199999999999999</v>
      </c>
      <c r="C231" s="430" t="s">
        <v>400</v>
      </c>
      <c r="D231" s="484"/>
      <c r="E231" s="484">
        <v>0</v>
      </c>
      <c r="F231" s="484">
        <f t="shared" si="86"/>
        <v>0</v>
      </c>
      <c r="G231" s="484"/>
      <c r="H231" s="484">
        <v>0</v>
      </c>
      <c r="I231" s="484">
        <f t="shared" si="87"/>
        <v>0</v>
      </c>
      <c r="J231" s="485"/>
      <c r="K231" s="484"/>
      <c r="L231" s="484">
        <f t="shared" si="88"/>
        <v>0</v>
      </c>
      <c r="M231" s="485"/>
      <c r="N231" s="485"/>
      <c r="O231" s="485"/>
      <c r="P231" s="485"/>
      <c r="Q231" s="485"/>
      <c r="R231" s="413"/>
    </row>
    <row r="232" spans="2:18" x14ac:dyDescent="0.3">
      <c r="B232" s="597">
        <f t="shared" si="89"/>
        <v>10.299999999999999</v>
      </c>
      <c r="C232" s="430" t="s">
        <v>342</v>
      </c>
      <c r="D232" s="484"/>
      <c r="E232" s="484">
        <v>0</v>
      </c>
      <c r="F232" s="484">
        <f t="shared" si="86"/>
        <v>0</v>
      </c>
      <c r="G232" s="484"/>
      <c r="H232" s="484">
        <v>0</v>
      </c>
      <c r="I232" s="484">
        <f t="shared" si="87"/>
        <v>0</v>
      </c>
      <c r="J232" s="485"/>
      <c r="K232" s="484"/>
      <c r="L232" s="484">
        <f t="shared" si="88"/>
        <v>0</v>
      </c>
      <c r="M232" s="485"/>
      <c r="N232" s="485"/>
      <c r="O232" s="485"/>
      <c r="P232" s="485"/>
      <c r="Q232" s="485"/>
      <c r="R232" s="413"/>
    </row>
    <row r="233" spans="2:18" x14ac:dyDescent="0.3">
      <c r="B233" s="597">
        <f t="shared" si="89"/>
        <v>10.399999999999999</v>
      </c>
      <c r="C233" s="430" t="s">
        <v>30</v>
      </c>
      <c r="D233" s="484"/>
      <c r="E233" s="484">
        <v>0</v>
      </c>
      <c r="F233" s="484">
        <f t="shared" si="86"/>
        <v>0</v>
      </c>
      <c r="G233" s="484"/>
      <c r="H233" s="484">
        <v>0</v>
      </c>
      <c r="I233" s="484">
        <f t="shared" si="87"/>
        <v>0</v>
      </c>
      <c r="J233" s="485"/>
      <c r="K233" s="484"/>
      <c r="L233" s="484">
        <f t="shared" si="88"/>
        <v>0</v>
      </c>
      <c r="M233" s="485"/>
      <c r="N233" s="485"/>
      <c r="O233" s="485"/>
      <c r="P233" s="485"/>
      <c r="Q233" s="485"/>
      <c r="R233" s="413"/>
    </row>
    <row r="234" spans="2:18" x14ac:dyDescent="0.3">
      <c r="B234" s="597">
        <f t="shared" si="89"/>
        <v>10.499999999999998</v>
      </c>
      <c r="C234" s="430" t="s">
        <v>31</v>
      </c>
      <c r="D234" s="484"/>
      <c r="E234" s="484">
        <f>+E230-E231+E232-E233</f>
        <v>0</v>
      </c>
      <c r="F234" s="484">
        <f t="shared" si="86"/>
        <v>0</v>
      </c>
      <c r="G234" s="484"/>
      <c r="H234" s="484">
        <f>+H230-H231+H232-H233</f>
        <v>0</v>
      </c>
      <c r="I234" s="484">
        <f t="shared" si="87"/>
        <v>0</v>
      </c>
      <c r="J234" s="485"/>
      <c r="K234" s="485">
        <f>+J230-J231+J232-J233</f>
        <v>0</v>
      </c>
      <c r="L234" s="484">
        <f t="shared" si="88"/>
        <v>0</v>
      </c>
      <c r="M234" s="485"/>
      <c r="N234" s="485">
        <f>+M230-M231+M232-M233</f>
        <v>0</v>
      </c>
      <c r="O234" s="485"/>
      <c r="P234" s="485"/>
      <c r="Q234" s="485">
        <f>+O230-O231+O232-O233</f>
        <v>0</v>
      </c>
      <c r="R234" s="413"/>
    </row>
    <row r="235" spans="2:18" x14ac:dyDescent="0.3">
      <c r="B235" s="597">
        <f t="shared" si="89"/>
        <v>10.599999999999998</v>
      </c>
      <c r="C235" s="430" t="s">
        <v>470</v>
      </c>
      <c r="D235" s="484"/>
      <c r="E235" s="444">
        <f>AVERAGE(E230,E234)</f>
        <v>0</v>
      </c>
      <c r="F235" s="484">
        <f t="shared" si="86"/>
        <v>0</v>
      </c>
      <c r="G235" s="484"/>
      <c r="H235" s="444">
        <f>AVERAGE(H230,H234)</f>
        <v>0</v>
      </c>
      <c r="I235" s="484">
        <f t="shared" si="87"/>
        <v>0</v>
      </c>
      <c r="J235" s="485"/>
      <c r="K235" s="484"/>
      <c r="L235" s="484">
        <f t="shared" si="88"/>
        <v>0</v>
      </c>
      <c r="M235" s="485"/>
      <c r="N235" s="485"/>
      <c r="O235" s="485"/>
      <c r="P235" s="485"/>
      <c r="Q235" s="485"/>
      <c r="R235" s="413"/>
    </row>
    <row r="236" spans="2:18" s="593" customFormat="1" x14ac:dyDescent="0.3">
      <c r="B236" s="601">
        <f t="shared" si="89"/>
        <v>10.699999999999998</v>
      </c>
      <c r="C236" s="589" t="s">
        <v>32</v>
      </c>
      <c r="D236" s="590"/>
      <c r="E236" s="590">
        <f>IFERROR(E237/E235,0)</f>
        <v>0</v>
      </c>
      <c r="F236" s="590" t="e">
        <f>F237/F235</f>
        <v>#DIV/0!</v>
      </c>
      <c r="G236" s="590"/>
      <c r="H236" s="590">
        <f>IFERROR(H237/H235,0)</f>
        <v>0</v>
      </c>
      <c r="I236" s="590" t="e">
        <f>I237/I235</f>
        <v>#DIV/0!</v>
      </c>
      <c r="J236" s="591"/>
      <c r="K236" s="591" t="e">
        <f>J237/K235</f>
        <v>#DIV/0!</v>
      </c>
      <c r="L236" s="590" t="e">
        <f>L237/L235</f>
        <v>#DIV/0!</v>
      </c>
      <c r="M236" s="591"/>
      <c r="N236" s="591" t="e">
        <f>M237/N235</f>
        <v>#DIV/0!</v>
      </c>
      <c r="O236" s="591"/>
      <c r="P236" s="591"/>
      <c r="Q236" s="591" t="e">
        <f>O237/Q235</f>
        <v>#DIV/0!</v>
      </c>
      <c r="R236" s="592"/>
    </row>
    <row r="237" spans="2:18" x14ac:dyDescent="0.3">
      <c r="B237" s="597">
        <f t="shared" si="89"/>
        <v>10.799999999999997</v>
      </c>
      <c r="C237" s="430" t="s">
        <v>33</v>
      </c>
      <c r="D237" s="484"/>
      <c r="E237" s="484">
        <v>0</v>
      </c>
      <c r="F237" s="484">
        <f t="shared" si="86"/>
        <v>0</v>
      </c>
      <c r="G237" s="484"/>
      <c r="H237" s="484">
        <v>0</v>
      </c>
      <c r="I237" s="484">
        <f t="shared" si="87"/>
        <v>0</v>
      </c>
      <c r="J237" s="485"/>
      <c r="K237" s="484"/>
      <c r="L237" s="484">
        <f t="shared" si="88"/>
        <v>0</v>
      </c>
      <c r="M237" s="485"/>
      <c r="N237" s="485"/>
      <c r="O237" s="485"/>
      <c r="P237" s="485"/>
      <c r="Q237" s="485"/>
      <c r="R237" s="413"/>
    </row>
    <row r="238" spans="2:18" x14ac:dyDescent="0.3">
      <c r="B238" s="597"/>
      <c r="C238" s="430"/>
      <c r="D238" s="484"/>
      <c r="E238" s="484"/>
      <c r="F238" s="484"/>
      <c r="G238" s="484"/>
      <c r="H238" s="484"/>
      <c r="I238" s="484"/>
      <c r="J238" s="485"/>
      <c r="K238" s="484"/>
      <c r="L238" s="484"/>
      <c r="M238" s="485"/>
      <c r="N238" s="485"/>
      <c r="O238" s="485"/>
      <c r="P238" s="485"/>
      <c r="Q238" s="485"/>
      <c r="R238" s="413"/>
    </row>
    <row r="239" spans="2:18" s="22" customFormat="1" x14ac:dyDescent="0.3">
      <c r="B239" s="599">
        <v>11</v>
      </c>
      <c r="C239" s="431" t="s">
        <v>1494</v>
      </c>
      <c r="D239" s="484"/>
      <c r="E239" s="484"/>
      <c r="F239" s="484"/>
      <c r="G239" s="484"/>
      <c r="H239" s="484"/>
      <c r="I239" s="484"/>
      <c r="J239" s="485"/>
      <c r="K239" s="484"/>
      <c r="L239" s="484"/>
      <c r="M239" s="485"/>
      <c r="N239" s="485"/>
      <c r="O239" s="485"/>
      <c r="P239" s="485"/>
      <c r="Q239" s="485"/>
      <c r="R239" s="426"/>
    </row>
    <row r="240" spans="2:18" x14ac:dyDescent="0.3">
      <c r="B240" s="597">
        <f>B239+0.1</f>
        <v>11.1</v>
      </c>
      <c r="C240" s="430" t="s">
        <v>29</v>
      </c>
      <c r="D240" s="484"/>
      <c r="E240" s="484">
        <v>0</v>
      </c>
      <c r="F240" s="484">
        <f t="shared" ref="F240:F247" si="90">E240-D240</f>
        <v>0</v>
      </c>
      <c r="G240" s="484"/>
      <c r="H240" s="484">
        <v>0</v>
      </c>
      <c r="I240" s="484">
        <f t="shared" ref="I240:I247" si="91">H240-G240</f>
        <v>0</v>
      </c>
      <c r="J240" s="485"/>
      <c r="K240" s="484"/>
      <c r="L240" s="484">
        <f t="shared" ref="L240:L247" si="92">K240-J240</f>
        <v>0</v>
      </c>
      <c r="M240" s="485"/>
      <c r="N240" s="485"/>
      <c r="O240" s="485"/>
      <c r="P240" s="485"/>
      <c r="Q240" s="485"/>
      <c r="R240" s="413"/>
    </row>
    <row r="241" spans="2:18" x14ac:dyDescent="0.3">
      <c r="B241" s="597">
        <f t="shared" ref="B241:B247" si="93">B240+0.1</f>
        <v>11.2</v>
      </c>
      <c r="C241" s="430" t="s">
        <v>400</v>
      </c>
      <c r="D241" s="484"/>
      <c r="E241" s="484">
        <v>0</v>
      </c>
      <c r="F241" s="484">
        <f t="shared" si="90"/>
        <v>0</v>
      </c>
      <c r="G241" s="484"/>
      <c r="H241" s="484">
        <v>0</v>
      </c>
      <c r="I241" s="484">
        <f t="shared" si="91"/>
        <v>0</v>
      </c>
      <c r="J241" s="485"/>
      <c r="K241" s="484"/>
      <c r="L241" s="484">
        <f t="shared" si="92"/>
        <v>0</v>
      </c>
      <c r="M241" s="485"/>
      <c r="N241" s="485"/>
      <c r="O241" s="485"/>
      <c r="P241" s="485"/>
      <c r="Q241" s="485"/>
      <c r="R241" s="413"/>
    </row>
    <row r="242" spans="2:18" x14ac:dyDescent="0.3">
      <c r="B242" s="597">
        <f t="shared" si="93"/>
        <v>11.299999999999999</v>
      </c>
      <c r="C242" s="430" t="s">
        <v>342</v>
      </c>
      <c r="D242" s="484"/>
      <c r="E242" s="484">
        <v>0</v>
      </c>
      <c r="F242" s="484">
        <f t="shared" si="90"/>
        <v>0</v>
      </c>
      <c r="G242" s="484"/>
      <c r="H242" s="484">
        <v>0</v>
      </c>
      <c r="I242" s="484">
        <f t="shared" si="91"/>
        <v>0</v>
      </c>
      <c r="J242" s="485"/>
      <c r="K242" s="484"/>
      <c r="L242" s="484">
        <f t="shared" si="92"/>
        <v>0</v>
      </c>
      <c r="M242" s="485"/>
      <c r="N242" s="485"/>
      <c r="O242" s="485"/>
      <c r="P242" s="485"/>
      <c r="Q242" s="485"/>
      <c r="R242" s="413"/>
    </row>
    <row r="243" spans="2:18" x14ac:dyDescent="0.3">
      <c r="B243" s="597">
        <f t="shared" si="93"/>
        <v>11.399999999999999</v>
      </c>
      <c r="C243" s="430" t="s">
        <v>30</v>
      </c>
      <c r="D243" s="484"/>
      <c r="E243" s="484">
        <v>0</v>
      </c>
      <c r="F243" s="484">
        <f t="shared" si="90"/>
        <v>0</v>
      </c>
      <c r="G243" s="484"/>
      <c r="H243" s="484">
        <v>0</v>
      </c>
      <c r="I243" s="484">
        <f t="shared" si="91"/>
        <v>0</v>
      </c>
      <c r="J243" s="485"/>
      <c r="K243" s="484"/>
      <c r="L243" s="484">
        <f t="shared" si="92"/>
        <v>0</v>
      </c>
      <c r="M243" s="485"/>
      <c r="N243" s="485"/>
      <c r="O243" s="485"/>
      <c r="P243" s="485"/>
      <c r="Q243" s="485"/>
      <c r="R243" s="413"/>
    </row>
    <row r="244" spans="2:18" x14ac:dyDescent="0.3">
      <c r="B244" s="597">
        <f t="shared" si="93"/>
        <v>11.499999999999998</v>
      </c>
      <c r="C244" s="430" t="s">
        <v>31</v>
      </c>
      <c r="D244" s="484"/>
      <c r="E244" s="484">
        <f>+E240-E241+E242-E243</f>
        <v>0</v>
      </c>
      <c r="F244" s="484">
        <f t="shared" si="90"/>
        <v>0</v>
      </c>
      <c r="G244" s="484"/>
      <c r="H244" s="484">
        <f>+H240-H241+H242-H243</f>
        <v>0</v>
      </c>
      <c r="I244" s="484">
        <f t="shared" si="91"/>
        <v>0</v>
      </c>
      <c r="J244" s="485"/>
      <c r="K244" s="485">
        <f>+J240-J241+J242-J243</f>
        <v>0</v>
      </c>
      <c r="L244" s="484">
        <f t="shared" si="92"/>
        <v>0</v>
      </c>
      <c r="M244" s="485"/>
      <c r="N244" s="485">
        <f>+M240-M241+M242-M243</f>
        <v>0</v>
      </c>
      <c r="O244" s="485"/>
      <c r="P244" s="485"/>
      <c r="Q244" s="485">
        <f>+O240-O241+O242-O243</f>
        <v>0</v>
      </c>
      <c r="R244" s="413"/>
    </row>
    <row r="245" spans="2:18" x14ac:dyDescent="0.3">
      <c r="B245" s="597">
        <f t="shared" si="93"/>
        <v>11.599999999999998</v>
      </c>
      <c r="C245" s="430" t="s">
        <v>470</v>
      </c>
      <c r="D245" s="484"/>
      <c r="E245" s="444">
        <f>AVERAGE(E240,E244)</f>
        <v>0</v>
      </c>
      <c r="F245" s="484">
        <f t="shared" si="90"/>
        <v>0</v>
      </c>
      <c r="G245" s="484"/>
      <c r="H245" s="444">
        <f>AVERAGE(H240,H244)</f>
        <v>0</v>
      </c>
      <c r="I245" s="484">
        <f t="shared" si="91"/>
        <v>0</v>
      </c>
      <c r="J245" s="485"/>
      <c r="K245" s="484"/>
      <c r="L245" s="484">
        <f t="shared" si="92"/>
        <v>0</v>
      </c>
      <c r="M245" s="485"/>
      <c r="N245" s="485"/>
      <c r="O245" s="485"/>
      <c r="P245" s="485"/>
      <c r="Q245" s="485"/>
      <c r="R245" s="413"/>
    </row>
    <row r="246" spans="2:18" s="593" customFormat="1" x14ac:dyDescent="0.3">
      <c r="B246" s="601">
        <f t="shared" si="93"/>
        <v>11.699999999999998</v>
      </c>
      <c r="C246" s="589" t="s">
        <v>32</v>
      </c>
      <c r="D246" s="590"/>
      <c r="E246" s="590">
        <f>IFERROR(E247/E245,0)</f>
        <v>0</v>
      </c>
      <c r="F246" s="590" t="e">
        <f>F247/F245</f>
        <v>#DIV/0!</v>
      </c>
      <c r="G246" s="590"/>
      <c r="H246" s="590">
        <f>IFERROR(H247/H245,0)</f>
        <v>0</v>
      </c>
      <c r="I246" s="590" t="e">
        <f>I247/I245</f>
        <v>#DIV/0!</v>
      </c>
      <c r="J246" s="591"/>
      <c r="K246" s="591" t="e">
        <f>J247/K245</f>
        <v>#DIV/0!</v>
      </c>
      <c r="L246" s="590" t="e">
        <f>L247/L245</f>
        <v>#DIV/0!</v>
      </c>
      <c r="M246" s="591"/>
      <c r="N246" s="591" t="e">
        <f>M247/N245</f>
        <v>#DIV/0!</v>
      </c>
      <c r="O246" s="591"/>
      <c r="P246" s="591"/>
      <c r="Q246" s="591" t="e">
        <f>O247/Q245</f>
        <v>#DIV/0!</v>
      </c>
      <c r="R246" s="592"/>
    </row>
    <row r="247" spans="2:18" x14ac:dyDescent="0.3">
      <c r="B247" s="597">
        <f t="shared" si="93"/>
        <v>11.799999999999997</v>
      </c>
      <c r="C247" s="430" t="s">
        <v>33</v>
      </c>
      <c r="D247" s="484"/>
      <c r="E247" s="484">
        <v>0</v>
      </c>
      <c r="F247" s="484">
        <f t="shared" si="90"/>
        <v>0</v>
      </c>
      <c r="G247" s="484"/>
      <c r="H247" s="484">
        <v>0</v>
      </c>
      <c r="I247" s="484">
        <f t="shared" si="91"/>
        <v>0</v>
      </c>
      <c r="J247" s="485"/>
      <c r="K247" s="484"/>
      <c r="L247" s="484">
        <f t="shared" si="92"/>
        <v>0</v>
      </c>
      <c r="M247" s="485"/>
      <c r="N247" s="485"/>
      <c r="O247" s="485"/>
      <c r="P247" s="485"/>
      <c r="Q247" s="485"/>
      <c r="R247" s="413"/>
    </row>
    <row r="248" spans="2:18" x14ac:dyDescent="0.3">
      <c r="B248" s="597"/>
      <c r="C248" s="430"/>
      <c r="D248" s="484"/>
      <c r="E248" s="484"/>
      <c r="F248" s="484"/>
      <c r="G248" s="484"/>
      <c r="H248" s="484"/>
      <c r="I248" s="484"/>
      <c r="J248" s="485"/>
      <c r="K248" s="484"/>
      <c r="L248" s="484"/>
      <c r="M248" s="485"/>
      <c r="N248" s="485"/>
      <c r="O248" s="485"/>
      <c r="P248" s="485"/>
      <c r="Q248" s="485"/>
      <c r="R248" s="413"/>
    </row>
    <row r="249" spans="2:18" s="22" customFormat="1" x14ac:dyDescent="0.3">
      <c r="B249" s="599">
        <v>12</v>
      </c>
      <c r="C249" s="431" t="s">
        <v>1495</v>
      </c>
      <c r="D249" s="484"/>
      <c r="E249" s="484"/>
      <c r="F249" s="484"/>
      <c r="G249" s="484"/>
      <c r="H249" s="484"/>
      <c r="I249" s="484"/>
      <c r="J249" s="485"/>
      <c r="K249" s="484"/>
      <c r="L249" s="484"/>
      <c r="M249" s="485"/>
      <c r="N249" s="485"/>
      <c r="O249" s="485"/>
      <c r="P249" s="485"/>
      <c r="Q249" s="485"/>
      <c r="R249" s="426"/>
    </row>
    <row r="250" spans="2:18" x14ac:dyDescent="0.3">
      <c r="B250" s="597">
        <f>B249+0.1</f>
        <v>12.1</v>
      </c>
      <c r="C250" s="430" t="s">
        <v>29</v>
      </c>
      <c r="D250" s="484"/>
      <c r="E250" s="484">
        <v>0</v>
      </c>
      <c r="F250" s="484">
        <f t="shared" ref="F250:F257" si="94">E250-D250</f>
        <v>0</v>
      </c>
      <c r="G250" s="484"/>
      <c r="H250" s="484">
        <v>0</v>
      </c>
      <c r="I250" s="484">
        <f t="shared" ref="I250:I257" si="95">H250-G250</f>
        <v>0</v>
      </c>
      <c r="J250" s="485"/>
      <c r="K250" s="484"/>
      <c r="L250" s="484">
        <f t="shared" ref="L250:L257" si="96">K250-J250</f>
        <v>0</v>
      </c>
      <c r="M250" s="485"/>
      <c r="N250" s="485"/>
      <c r="O250" s="485"/>
      <c r="P250" s="485"/>
      <c r="Q250" s="485"/>
      <c r="R250" s="413"/>
    </row>
    <row r="251" spans="2:18" x14ac:dyDescent="0.3">
      <c r="B251" s="597">
        <f t="shared" ref="B251:B257" si="97">B250+0.1</f>
        <v>12.2</v>
      </c>
      <c r="C251" s="430" t="s">
        <v>400</v>
      </c>
      <c r="D251" s="484"/>
      <c r="E251" s="484">
        <v>0</v>
      </c>
      <c r="F251" s="484">
        <f t="shared" si="94"/>
        <v>0</v>
      </c>
      <c r="G251" s="484"/>
      <c r="H251" s="484">
        <v>0</v>
      </c>
      <c r="I251" s="484">
        <f t="shared" si="95"/>
        <v>0</v>
      </c>
      <c r="J251" s="485"/>
      <c r="K251" s="484"/>
      <c r="L251" s="484">
        <f t="shared" si="96"/>
        <v>0</v>
      </c>
      <c r="M251" s="485"/>
      <c r="N251" s="485"/>
      <c r="O251" s="485"/>
      <c r="P251" s="485"/>
      <c r="Q251" s="485"/>
      <c r="R251" s="413"/>
    </row>
    <row r="252" spans="2:18" x14ac:dyDescent="0.3">
      <c r="B252" s="597">
        <f t="shared" si="97"/>
        <v>12.299999999999999</v>
      </c>
      <c r="C252" s="430" t="s">
        <v>342</v>
      </c>
      <c r="D252" s="484"/>
      <c r="E252" s="484">
        <v>0</v>
      </c>
      <c r="F252" s="484">
        <f t="shared" si="94"/>
        <v>0</v>
      </c>
      <c r="G252" s="484"/>
      <c r="H252" s="484">
        <v>0</v>
      </c>
      <c r="I252" s="484">
        <f t="shared" si="95"/>
        <v>0</v>
      </c>
      <c r="J252" s="485"/>
      <c r="K252" s="484"/>
      <c r="L252" s="484">
        <f t="shared" si="96"/>
        <v>0</v>
      </c>
      <c r="M252" s="485"/>
      <c r="N252" s="485"/>
      <c r="O252" s="485"/>
      <c r="P252" s="485"/>
      <c r="Q252" s="485"/>
      <c r="R252" s="413"/>
    </row>
    <row r="253" spans="2:18" x14ac:dyDescent="0.3">
      <c r="B253" s="597">
        <f t="shared" si="97"/>
        <v>12.399999999999999</v>
      </c>
      <c r="C253" s="430" t="s">
        <v>30</v>
      </c>
      <c r="D253" s="484"/>
      <c r="E253" s="484">
        <v>0</v>
      </c>
      <c r="F253" s="484">
        <f t="shared" si="94"/>
        <v>0</v>
      </c>
      <c r="G253" s="484"/>
      <c r="H253" s="484">
        <v>0</v>
      </c>
      <c r="I253" s="484">
        <f t="shared" si="95"/>
        <v>0</v>
      </c>
      <c r="J253" s="485"/>
      <c r="K253" s="484"/>
      <c r="L253" s="484">
        <f t="shared" si="96"/>
        <v>0</v>
      </c>
      <c r="M253" s="485"/>
      <c r="N253" s="485"/>
      <c r="O253" s="485"/>
      <c r="P253" s="485"/>
      <c r="Q253" s="485"/>
      <c r="R253" s="413"/>
    </row>
    <row r="254" spans="2:18" x14ac:dyDescent="0.3">
      <c r="B254" s="597">
        <f t="shared" si="97"/>
        <v>12.499999999999998</v>
      </c>
      <c r="C254" s="430" t="s">
        <v>31</v>
      </c>
      <c r="D254" s="484"/>
      <c r="E254" s="484">
        <f>+E250-E251+E252-E253</f>
        <v>0</v>
      </c>
      <c r="F254" s="484">
        <f t="shared" si="94"/>
        <v>0</v>
      </c>
      <c r="G254" s="484"/>
      <c r="H254" s="484">
        <f>+H250-H251+H252-H253</f>
        <v>0</v>
      </c>
      <c r="I254" s="484">
        <f t="shared" si="95"/>
        <v>0</v>
      </c>
      <c r="J254" s="485"/>
      <c r="K254" s="485">
        <f>+J250-J251+J252-J253</f>
        <v>0</v>
      </c>
      <c r="L254" s="484">
        <f t="shared" si="96"/>
        <v>0</v>
      </c>
      <c r="M254" s="485"/>
      <c r="N254" s="485">
        <f>+M250-M251+M252-M253</f>
        <v>0</v>
      </c>
      <c r="O254" s="485"/>
      <c r="P254" s="485"/>
      <c r="Q254" s="485">
        <f>+O250-O251+O252-O253</f>
        <v>0</v>
      </c>
      <c r="R254" s="413"/>
    </row>
    <row r="255" spans="2:18" x14ac:dyDescent="0.3">
      <c r="B255" s="597">
        <f t="shared" si="97"/>
        <v>12.599999999999998</v>
      </c>
      <c r="C255" s="430" t="s">
        <v>470</v>
      </c>
      <c r="D255" s="484"/>
      <c r="E255" s="444">
        <f>AVERAGE(E250,E254)</f>
        <v>0</v>
      </c>
      <c r="F255" s="484">
        <f t="shared" si="94"/>
        <v>0</v>
      </c>
      <c r="G255" s="484"/>
      <c r="H255" s="444">
        <f>AVERAGE(H250,H254)</f>
        <v>0</v>
      </c>
      <c r="I255" s="484">
        <f t="shared" si="95"/>
        <v>0</v>
      </c>
      <c r="J255" s="485"/>
      <c r="K255" s="484"/>
      <c r="L255" s="484">
        <f t="shared" si="96"/>
        <v>0</v>
      </c>
      <c r="M255" s="485"/>
      <c r="N255" s="485"/>
      <c r="O255" s="485"/>
      <c r="P255" s="485"/>
      <c r="Q255" s="485"/>
      <c r="R255" s="413"/>
    </row>
    <row r="256" spans="2:18" s="593" customFormat="1" x14ac:dyDescent="0.3">
      <c r="B256" s="601">
        <f t="shared" si="97"/>
        <v>12.699999999999998</v>
      </c>
      <c r="C256" s="589" t="s">
        <v>32</v>
      </c>
      <c r="D256" s="590"/>
      <c r="E256" s="590">
        <f>IFERROR(E257/E255,0)</f>
        <v>0</v>
      </c>
      <c r="F256" s="590" t="e">
        <f>F257/F255</f>
        <v>#DIV/0!</v>
      </c>
      <c r="G256" s="590"/>
      <c r="H256" s="590">
        <f>IFERROR(H257/H255,0)</f>
        <v>0</v>
      </c>
      <c r="I256" s="590" t="e">
        <f>I257/I255</f>
        <v>#DIV/0!</v>
      </c>
      <c r="J256" s="591"/>
      <c r="K256" s="591" t="e">
        <f>J257/K255</f>
        <v>#DIV/0!</v>
      </c>
      <c r="L256" s="590" t="e">
        <f>L257/L255</f>
        <v>#DIV/0!</v>
      </c>
      <c r="M256" s="591"/>
      <c r="N256" s="591" t="e">
        <f>M257/N255</f>
        <v>#DIV/0!</v>
      </c>
      <c r="O256" s="591"/>
      <c r="P256" s="591"/>
      <c r="Q256" s="591" t="e">
        <f>O257/Q255</f>
        <v>#DIV/0!</v>
      </c>
      <c r="R256" s="592"/>
    </row>
    <row r="257" spans="2:18" x14ac:dyDescent="0.3">
      <c r="B257" s="597">
        <f t="shared" si="97"/>
        <v>12.799999999999997</v>
      </c>
      <c r="C257" s="430" t="s">
        <v>33</v>
      </c>
      <c r="D257" s="484"/>
      <c r="E257" s="484">
        <v>0</v>
      </c>
      <c r="F257" s="484">
        <f t="shared" si="94"/>
        <v>0</v>
      </c>
      <c r="G257" s="484"/>
      <c r="H257" s="484">
        <v>0</v>
      </c>
      <c r="I257" s="484">
        <f t="shared" si="95"/>
        <v>0</v>
      </c>
      <c r="J257" s="485"/>
      <c r="K257" s="484"/>
      <c r="L257" s="484">
        <f t="shared" si="96"/>
        <v>0</v>
      </c>
      <c r="M257" s="485"/>
      <c r="N257" s="485"/>
      <c r="O257" s="485"/>
      <c r="P257" s="485"/>
      <c r="Q257" s="485"/>
      <c r="R257" s="413"/>
    </row>
    <row r="258" spans="2:18" x14ac:dyDescent="0.3">
      <c r="B258" s="597"/>
      <c r="C258" s="430" t="s">
        <v>24</v>
      </c>
      <c r="D258" s="486"/>
      <c r="E258" s="486"/>
      <c r="F258" s="486"/>
      <c r="G258" s="486"/>
      <c r="H258" s="486"/>
      <c r="I258" s="486"/>
      <c r="J258" s="486"/>
      <c r="K258" s="486"/>
      <c r="L258" s="486"/>
      <c r="M258" s="486"/>
      <c r="N258" s="486"/>
      <c r="O258" s="486"/>
      <c r="P258" s="486"/>
      <c r="Q258" s="486"/>
      <c r="R258" s="413"/>
    </row>
    <row r="259" spans="2:18" x14ac:dyDescent="0.3">
      <c r="B259" s="597"/>
      <c r="C259" s="430" t="s">
        <v>24</v>
      </c>
      <c r="D259" s="486"/>
      <c r="E259" s="486"/>
      <c r="F259" s="486"/>
      <c r="G259" s="486"/>
      <c r="H259" s="486"/>
      <c r="I259" s="486"/>
      <c r="J259" s="486"/>
      <c r="K259" s="486"/>
      <c r="L259" s="486"/>
      <c r="M259" s="486"/>
      <c r="N259" s="486"/>
      <c r="O259" s="486"/>
      <c r="P259" s="486"/>
      <c r="Q259" s="486"/>
      <c r="R259" s="413"/>
    </row>
    <row r="260" spans="2:18" x14ac:dyDescent="0.3">
      <c r="B260" s="597"/>
      <c r="C260" s="430"/>
      <c r="D260" s="486"/>
      <c r="E260" s="486"/>
      <c r="F260" s="486"/>
      <c r="G260" s="486"/>
      <c r="H260" s="486"/>
      <c r="I260" s="486"/>
      <c r="J260" s="486"/>
      <c r="K260" s="486"/>
      <c r="L260" s="486"/>
      <c r="M260" s="486"/>
      <c r="N260" s="486"/>
      <c r="O260" s="486"/>
      <c r="P260" s="486"/>
      <c r="Q260" s="486"/>
      <c r="R260" s="413"/>
    </row>
    <row r="261" spans="2:18" x14ac:dyDescent="0.3">
      <c r="B261" s="599">
        <v>13</v>
      </c>
      <c r="C261" s="431" t="s">
        <v>271</v>
      </c>
      <c r="D261" s="486"/>
      <c r="E261" s="486"/>
      <c r="F261" s="486"/>
      <c r="G261" s="486"/>
      <c r="H261" s="486"/>
      <c r="I261" s="486"/>
      <c r="J261" s="486"/>
      <c r="K261" s="486"/>
      <c r="L261" s="486"/>
      <c r="M261" s="486"/>
      <c r="N261" s="486"/>
      <c r="O261" s="486"/>
      <c r="P261" s="486"/>
      <c r="Q261" s="486"/>
      <c r="R261" s="413"/>
    </row>
    <row r="262" spans="2:18" x14ac:dyDescent="0.3">
      <c r="B262" s="597">
        <f t="shared" ref="B262:B269" si="98">B261+0.1</f>
        <v>13.1</v>
      </c>
      <c r="C262" s="430" t="s">
        <v>29</v>
      </c>
      <c r="D262" s="486"/>
      <c r="E262" s="486">
        <f>E140+E150+E160+E170+E180+E190+E200+E210+E220+E230+E240+E250</f>
        <v>368.87121260614367</v>
      </c>
      <c r="F262" s="486"/>
      <c r="G262" s="486"/>
      <c r="H262" s="486">
        <f>H140+H150+H160+H170+H180+H190+H200+H210+H220+H230+H240+H250</f>
        <v>371.84670481052649</v>
      </c>
      <c r="I262" s="486"/>
      <c r="J262" s="486"/>
      <c r="K262" s="486">
        <f t="shared" ref="K262:K269" si="99">K140+K150+K160+K170+K180+K190+K200+K210+K220+K230+K240+K250</f>
        <v>0</v>
      </c>
      <c r="L262" s="486"/>
      <c r="M262" s="486"/>
      <c r="N262" s="486">
        <f t="shared" ref="N262:N269" si="100">N140+N150+N160+N170+N180+N190+N200+N210+N220+N230+N240+N250</f>
        <v>0</v>
      </c>
      <c r="O262" s="486"/>
      <c r="P262" s="486"/>
      <c r="Q262" s="486">
        <f t="shared" ref="Q262:Q269" si="101">Q140+Q150+Q160+Q170+Q180+Q190+Q200+Q210+Q220+Q230+Q240+Q250</f>
        <v>0</v>
      </c>
      <c r="R262" s="413"/>
    </row>
    <row r="263" spans="2:18" x14ac:dyDescent="0.3">
      <c r="B263" s="597">
        <f t="shared" si="98"/>
        <v>13.2</v>
      </c>
      <c r="C263" s="430" t="s">
        <v>400</v>
      </c>
      <c r="D263" s="486"/>
      <c r="E263" s="486">
        <f t="shared" ref="E263:E269" si="102">E141+E151+E161+E171+E181+E191+E201+E211+E221+E231+E241+E251</f>
        <v>0</v>
      </c>
      <c r="F263" s="486"/>
      <c r="G263" s="486"/>
      <c r="H263" s="486">
        <f t="shared" ref="H263:H269" si="103">H141+H151+H161+H171+H181+H191+H201+H211+H221+H231+H241+H251</f>
        <v>0</v>
      </c>
      <c r="I263" s="486"/>
      <c r="J263" s="486"/>
      <c r="K263" s="486">
        <f t="shared" si="99"/>
        <v>0</v>
      </c>
      <c r="L263" s="486"/>
      <c r="M263" s="486"/>
      <c r="N263" s="486">
        <f t="shared" si="100"/>
        <v>0</v>
      </c>
      <c r="O263" s="486"/>
      <c r="P263" s="486"/>
      <c r="Q263" s="486">
        <f t="shared" si="101"/>
        <v>0</v>
      </c>
      <c r="R263" s="413"/>
    </row>
    <row r="264" spans="2:18" x14ac:dyDescent="0.3">
      <c r="B264" s="597">
        <f t="shared" si="98"/>
        <v>13.299999999999999</v>
      </c>
      <c r="C264" s="430" t="s">
        <v>342</v>
      </c>
      <c r="D264" s="486"/>
      <c r="E264" s="486">
        <f t="shared" si="102"/>
        <v>60.300687300000007</v>
      </c>
      <c r="F264" s="486"/>
      <c r="G264" s="486"/>
      <c r="H264" s="486">
        <f t="shared" si="103"/>
        <v>62.110192999999995</v>
      </c>
      <c r="I264" s="486"/>
      <c r="J264" s="486"/>
      <c r="K264" s="486">
        <f t="shared" si="99"/>
        <v>0</v>
      </c>
      <c r="L264" s="486"/>
      <c r="M264" s="486"/>
      <c r="N264" s="486">
        <f t="shared" si="100"/>
        <v>0</v>
      </c>
      <c r="O264" s="486"/>
      <c r="P264" s="486"/>
      <c r="Q264" s="486">
        <f t="shared" si="101"/>
        <v>0</v>
      </c>
      <c r="R264" s="413"/>
    </row>
    <row r="265" spans="2:18" x14ac:dyDescent="0.3">
      <c r="B265" s="597">
        <f t="shared" si="98"/>
        <v>13.399999999999999</v>
      </c>
      <c r="C265" s="430" t="s">
        <v>30</v>
      </c>
      <c r="D265" s="486"/>
      <c r="E265" s="486">
        <f t="shared" si="102"/>
        <v>57.325195095617062</v>
      </c>
      <c r="F265" s="486"/>
      <c r="G265" s="486"/>
      <c r="H265" s="486">
        <f t="shared" si="103"/>
        <v>53.030423157385584</v>
      </c>
      <c r="I265" s="486"/>
      <c r="J265" s="486"/>
      <c r="K265" s="486">
        <f t="shared" si="99"/>
        <v>0</v>
      </c>
      <c r="L265" s="486"/>
      <c r="M265" s="486"/>
      <c r="N265" s="486">
        <f t="shared" si="100"/>
        <v>0</v>
      </c>
      <c r="O265" s="486"/>
      <c r="P265" s="486"/>
      <c r="Q265" s="486">
        <f t="shared" si="101"/>
        <v>0</v>
      </c>
      <c r="R265" s="413"/>
    </row>
    <row r="266" spans="2:18" x14ac:dyDescent="0.3">
      <c r="B266" s="597">
        <f t="shared" si="98"/>
        <v>13.499999999999998</v>
      </c>
      <c r="C266" s="430" t="s">
        <v>31</v>
      </c>
      <c r="D266" s="486"/>
      <c r="E266" s="486">
        <f t="shared" si="102"/>
        <v>371.84670481052655</v>
      </c>
      <c r="F266" s="486"/>
      <c r="G266" s="486"/>
      <c r="H266" s="486">
        <f t="shared" si="103"/>
        <v>380.92647465314087</v>
      </c>
      <c r="I266" s="486"/>
      <c r="J266" s="486"/>
      <c r="K266" s="486">
        <f t="shared" si="99"/>
        <v>0</v>
      </c>
      <c r="L266" s="486"/>
      <c r="M266" s="486"/>
      <c r="N266" s="486">
        <f t="shared" si="100"/>
        <v>0</v>
      </c>
      <c r="O266" s="486"/>
      <c r="P266" s="486"/>
      <c r="Q266" s="486">
        <f t="shared" si="101"/>
        <v>0</v>
      </c>
      <c r="R266" s="413"/>
    </row>
    <row r="267" spans="2:18" x14ac:dyDescent="0.3">
      <c r="B267" s="597">
        <f t="shared" si="98"/>
        <v>13.599999999999998</v>
      </c>
      <c r="C267" s="430" t="s">
        <v>470</v>
      </c>
      <c r="D267" s="486"/>
      <c r="E267" s="486">
        <f>E145+E155+E165+E175+E185+E195+E205+E215+E225+E235+E245+E255</f>
        <v>370.35895870833508</v>
      </c>
      <c r="F267" s="486"/>
      <c r="G267" s="486"/>
      <c r="H267" s="486">
        <f>H145+H155+H165+H175+H185+H195+H205+H215+H225+H235+H245+H255</f>
        <v>376.38658973183362</v>
      </c>
      <c r="I267" s="486"/>
      <c r="J267" s="486"/>
      <c r="K267" s="486">
        <f t="shared" si="99"/>
        <v>0</v>
      </c>
      <c r="L267" s="486"/>
      <c r="M267" s="486"/>
      <c r="N267" s="486">
        <f t="shared" si="100"/>
        <v>0</v>
      </c>
      <c r="O267" s="486"/>
      <c r="P267" s="486"/>
      <c r="Q267" s="486">
        <f t="shared" si="101"/>
        <v>0</v>
      </c>
      <c r="R267" s="413"/>
    </row>
    <row r="268" spans="2:18" s="593" customFormat="1" x14ac:dyDescent="0.3">
      <c r="B268" s="601">
        <f t="shared" si="98"/>
        <v>13.699999999999998</v>
      </c>
      <c r="C268" s="589" t="s">
        <v>32</v>
      </c>
      <c r="D268" s="592"/>
      <c r="E268" s="590">
        <f>IFERROR(E269/E267,0)</f>
        <v>0.10685476845218267</v>
      </c>
      <c r="F268" s="592"/>
      <c r="G268" s="592"/>
      <c r="H268" s="590">
        <f>IFERROR(H269/H267,0)</f>
        <v>0.10021108244731435</v>
      </c>
      <c r="I268" s="592"/>
      <c r="J268" s="592"/>
      <c r="K268" s="592" t="e">
        <f t="shared" si="99"/>
        <v>#DIV/0!</v>
      </c>
      <c r="L268" s="592"/>
      <c r="M268" s="592"/>
      <c r="N268" s="592" t="e">
        <f t="shared" si="100"/>
        <v>#DIV/0!</v>
      </c>
      <c r="O268" s="592"/>
      <c r="P268" s="592"/>
      <c r="Q268" s="592" t="e">
        <f t="shared" si="101"/>
        <v>#DIV/0!</v>
      </c>
      <c r="R268" s="592"/>
    </row>
    <row r="269" spans="2:18" x14ac:dyDescent="0.3">
      <c r="B269" s="597">
        <f t="shared" si="98"/>
        <v>13.799999999999997</v>
      </c>
      <c r="C269" s="430" t="s">
        <v>33</v>
      </c>
      <c r="D269" s="486"/>
      <c r="E269" s="486">
        <f t="shared" si="102"/>
        <v>39.574620776970626</v>
      </c>
      <c r="F269" s="486"/>
      <c r="G269" s="486"/>
      <c r="H269" s="486">
        <f t="shared" si="103"/>
        <v>37.718107575680257</v>
      </c>
      <c r="I269" s="486"/>
      <c r="J269" s="486"/>
      <c r="K269" s="486">
        <f t="shared" si="99"/>
        <v>0</v>
      </c>
      <c r="L269" s="486"/>
      <c r="M269" s="486"/>
      <c r="N269" s="486">
        <f t="shared" si="100"/>
        <v>0</v>
      </c>
      <c r="O269" s="486"/>
      <c r="P269" s="486"/>
      <c r="Q269" s="486">
        <f t="shared" si="101"/>
        <v>0</v>
      </c>
      <c r="R269" s="413"/>
    </row>
    <row r="270" spans="2:18" x14ac:dyDescent="0.3">
      <c r="B270" s="597"/>
      <c r="C270" s="430"/>
      <c r="D270" s="486"/>
      <c r="E270" s="327"/>
      <c r="F270" s="486"/>
      <c r="G270" s="486"/>
      <c r="H270" s="486"/>
      <c r="I270" s="486"/>
      <c r="J270" s="486"/>
      <c r="K270" s="486"/>
      <c r="L270" s="486"/>
      <c r="M270" s="486"/>
      <c r="N270" s="486"/>
      <c r="O270" s="486"/>
      <c r="P270" s="486"/>
      <c r="Q270" s="486"/>
      <c r="R270" s="413"/>
    </row>
    <row r="271" spans="2:18" x14ac:dyDescent="0.3">
      <c r="B271" s="597"/>
      <c r="C271" s="430"/>
      <c r="D271" s="486"/>
      <c r="E271" s="486"/>
      <c r="F271" s="486"/>
      <c r="G271" s="486"/>
      <c r="H271" s="486"/>
      <c r="I271" s="486"/>
      <c r="J271" s="486"/>
      <c r="K271" s="486"/>
      <c r="L271" s="486"/>
      <c r="M271" s="486"/>
      <c r="N271" s="486"/>
      <c r="O271" s="486"/>
      <c r="P271" s="486"/>
      <c r="Q271" s="486"/>
      <c r="R271" s="413"/>
    </row>
    <row r="272" spans="2:18" x14ac:dyDescent="0.3">
      <c r="B272" s="597">
        <v>14</v>
      </c>
      <c r="C272" s="431" t="s">
        <v>34</v>
      </c>
      <c r="D272" s="486"/>
      <c r="E272" s="486">
        <f>E269</f>
        <v>39.574620776970626</v>
      </c>
      <c r="F272" s="486"/>
      <c r="G272" s="486"/>
      <c r="H272" s="486">
        <f>H269</f>
        <v>37.718107575680257</v>
      </c>
      <c r="I272" s="486"/>
      <c r="J272" s="486"/>
      <c r="K272" s="486">
        <f>K269</f>
        <v>0</v>
      </c>
      <c r="L272" s="486"/>
      <c r="M272" s="486"/>
      <c r="N272" s="486">
        <f>N269</f>
        <v>0</v>
      </c>
      <c r="O272" s="486"/>
      <c r="P272" s="486"/>
      <c r="Q272" s="486">
        <f>Q269</f>
        <v>0</v>
      </c>
      <c r="R272" s="413"/>
    </row>
    <row r="273" spans="2:18" x14ac:dyDescent="0.3">
      <c r="B273" s="597">
        <v>15</v>
      </c>
      <c r="C273" s="432" t="s">
        <v>35</v>
      </c>
      <c r="D273" s="486"/>
      <c r="E273" s="486"/>
      <c r="F273" s="486"/>
      <c r="G273" s="486"/>
      <c r="H273" s="486"/>
      <c r="I273" s="486"/>
      <c r="J273" s="486"/>
      <c r="K273" s="486"/>
      <c r="L273" s="486"/>
      <c r="M273" s="486"/>
      <c r="N273" s="486"/>
      <c r="O273" s="486"/>
      <c r="P273" s="486"/>
      <c r="Q273" s="486"/>
      <c r="R273" s="413"/>
    </row>
    <row r="274" spans="2:18" x14ac:dyDescent="0.25">
      <c r="B274" s="602">
        <v>16</v>
      </c>
      <c r="C274" s="433" t="s">
        <v>36</v>
      </c>
      <c r="D274" s="486"/>
      <c r="E274" s="486">
        <f>E272-E273</f>
        <v>39.574620776970626</v>
      </c>
      <c r="F274" s="486"/>
      <c r="G274" s="486"/>
      <c r="H274" s="486">
        <f>H272-H273</f>
        <v>37.718107575680257</v>
      </c>
      <c r="I274" s="486"/>
      <c r="J274" s="486"/>
      <c r="K274" s="486">
        <f>K272-K273</f>
        <v>0</v>
      </c>
      <c r="L274" s="486"/>
      <c r="M274" s="486"/>
      <c r="N274" s="486">
        <f>N272-N273</f>
        <v>0</v>
      </c>
      <c r="O274" s="486"/>
      <c r="P274" s="486"/>
      <c r="Q274" s="486">
        <f>Q272-Q273</f>
        <v>0</v>
      </c>
      <c r="R274" s="413"/>
    </row>
    <row r="277" spans="2:18" ht="17.5" x14ac:dyDescent="0.25">
      <c r="C277" s="703" t="s">
        <v>817</v>
      </c>
      <c r="D277" s="437"/>
      <c r="E277" s="437"/>
      <c r="F277" s="437"/>
      <c r="G277" s="437"/>
    </row>
    <row r="278" spans="2:18" x14ac:dyDescent="0.25">
      <c r="B278" s="604"/>
      <c r="M278" s="21" t="s">
        <v>10</v>
      </c>
    </row>
    <row r="279" spans="2:18" ht="21.65" customHeight="1" x14ac:dyDescent="0.25">
      <c r="B279" s="1855" t="s">
        <v>340</v>
      </c>
      <c r="C279" s="1852" t="s">
        <v>26</v>
      </c>
      <c r="D279" s="1690" t="s">
        <v>506</v>
      </c>
      <c r="E279" s="1691"/>
      <c r="F279" s="1692"/>
      <c r="G279" s="1690" t="s">
        <v>507</v>
      </c>
      <c r="H279" s="1691"/>
      <c r="I279" s="1692"/>
      <c r="J279" s="1690" t="s">
        <v>508</v>
      </c>
      <c r="K279" s="1691"/>
      <c r="L279" s="1692"/>
      <c r="M279" s="1698" t="s">
        <v>968</v>
      </c>
      <c r="N279" s="1698"/>
      <c r="O279" s="1698"/>
      <c r="P279" s="1698"/>
      <c r="Q279" s="1698"/>
      <c r="R279" s="1666" t="s">
        <v>27</v>
      </c>
    </row>
    <row r="280" spans="2:18" ht="43.5" customHeight="1" x14ac:dyDescent="0.25">
      <c r="B280" s="1856"/>
      <c r="C280" s="1853"/>
      <c r="D280" s="438" t="s">
        <v>448</v>
      </c>
      <c r="E280" s="439" t="s">
        <v>79</v>
      </c>
      <c r="F280" s="439" t="s">
        <v>449</v>
      </c>
      <c r="G280" s="438" t="s">
        <v>448</v>
      </c>
      <c r="H280" s="439" t="s">
        <v>79</v>
      </c>
      <c r="I280" s="439" t="s">
        <v>449</v>
      </c>
      <c r="J280" s="296" t="s">
        <v>448</v>
      </c>
      <c r="K280" s="336" t="s">
        <v>80</v>
      </c>
      <c r="L280" s="296" t="s">
        <v>450</v>
      </c>
      <c r="M280" s="853" t="s">
        <v>969</v>
      </c>
      <c r="N280" s="853" t="s">
        <v>970</v>
      </c>
      <c r="O280" s="853" t="s">
        <v>971</v>
      </c>
      <c r="P280" s="853" t="s">
        <v>972</v>
      </c>
      <c r="Q280" s="853" t="s">
        <v>973</v>
      </c>
      <c r="R280" s="1666"/>
    </row>
    <row r="281" spans="2:18" x14ac:dyDescent="0.25">
      <c r="B281" s="1857"/>
      <c r="C281" s="1854"/>
      <c r="D281" s="439" t="s">
        <v>81</v>
      </c>
      <c r="E281" s="439" t="s">
        <v>82</v>
      </c>
      <c r="F281" s="439" t="s">
        <v>673</v>
      </c>
      <c r="G281" s="439" t="s">
        <v>391</v>
      </c>
      <c r="H281" s="439" t="s">
        <v>409</v>
      </c>
      <c r="I281" s="439" t="s">
        <v>454</v>
      </c>
      <c r="J281" s="296" t="s">
        <v>652</v>
      </c>
      <c r="K281" s="336" t="s">
        <v>590</v>
      </c>
      <c r="L281" s="296" t="s">
        <v>707</v>
      </c>
      <c r="M281" s="852" t="s">
        <v>21</v>
      </c>
      <c r="N281" s="852" t="s">
        <v>21</v>
      </c>
      <c r="O281" s="852" t="s">
        <v>21</v>
      </c>
      <c r="P281" s="852" t="s">
        <v>21</v>
      </c>
      <c r="Q281" s="852" t="s">
        <v>21</v>
      </c>
      <c r="R281" s="1667"/>
    </row>
    <row r="282" spans="2:18" x14ac:dyDescent="0.3">
      <c r="B282" s="597"/>
      <c r="C282" s="441"/>
      <c r="D282" s="431"/>
      <c r="E282" s="431"/>
      <c r="F282" s="431"/>
      <c r="G282" s="431"/>
      <c r="H282" s="441"/>
      <c r="I282" s="441"/>
      <c r="J282" s="24"/>
      <c r="K282" s="119"/>
      <c r="L282" s="24"/>
      <c r="M282" s="24"/>
      <c r="N282" s="24"/>
      <c r="O282" s="24"/>
      <c r="P282" s="24"/>
      <c r="Q282" s="24"/>
      <c r="R282" s="24"/>
    </row>
    <row r="283" spans="2:18" ht="15" customHeight="1" x14ac:dyDescent="0.3">
      <c r="B283" s="599">
        <v>1</v>
      </c>
      <c r="C283" s="431" t="s">
        <v>422</v>
      </c>
      <c r="D283" s="442"/>
      <c r="E283" s="442"/>
      <c r="F283" s="442"/>
      <c r="G283" s="442"/>
      <c r="H283" s="442"/>
      <c r="I283" s="442"/>
      <c r="J283" s="414"/>
      <c r="K283" s="414"/>
      <c r="L283" s="414"/>
      <c r="M283" s="414"/>
      <c r="N283" s="414"/>
      <c r="O283" s="414"/>
      <c r="P283" s="414"/>
      <c r="Q283" s="414"/>
      <c r="R283" s="414"/>
    </row>
    <row r="284" spans="2:18" ht="15" customHeight="1" x14ac:dyDescent="0.3">
      <c r="B284" s="597">
        <v>1.1000000000000001</v>
      </c>
      <c r="C284" s="430" t="s">
        <v>29</v>
      </c>
      <c r="D284" s="442"/>
      <c r="E284" s="442"/>
      <c r="F284" s="442"/>
      <c r="G284" s="442"/>
      <c r="H284" s="442"/>
      <c r="I284" s="442"/>
      <c r="J284" s="414"/>
      <c r="K284" s="414"/>
      <c r="L284" s="414"/>
      <c r="M284" s="414"/>
      <c r="N284" s="414"/>
      <c r="O284" s="414"/>
      <c r="P284" s="414"/>
      <c r="Q284" s="414"/>
      <c r="R284" s="414"/>
    </row>
    <row r="285" spans="2:18" ht="15" customHeight="1" x14ac:dyDescent="0.3">
      <c r="B285" s="597">
        <f t="shared" ref="B285:B291" si="104">B284+0.1</f>
        <v>1.2000000000000002</v>
      </c>
      <c r="C285" s="430" t="s">
        <v>400</v>
      </c>
      <c r="D285" s="442"/>
      <c r="E285" s="442"/>
      <c r="F285" s="442"/>
      <c r="G285" s="442"/>
      <c r="H285" s="442"/>
      <c r="I285" s="442"/>
      <c r="J285" s="414"/>
      <c r="K285" s="414"/>
      <c r="L285" s="414"/>
      <c r="M285" s="414"/>
      <c r="N285" s="414"/>
      <c r="O285" s="414"/>
      <c r="P285" s="414"/>
      <c r="Q285" s="414"/>
      <c r="R285" s="414"/>
    </row>
    <row r="286" spans="2:18" ht="15" customHeight="1" x14ac:dyDescent="0.3">
      <c r="B286" s="597">
        <f t="shared" si="104"/>
        <v>1.3000000000000003</v>
      </c>
      <c r="C286" s="430" t="s">
        <v>342</v>
      </c>
      <c r="D286" s="442"/>
      <c r="E286" s="442"/>
      <c r="F286" s="442"/>
      <c r="G286" s="442"/>
      <c r="H286" s="442"/>
      <c r="I286" s="442"/>
      <c r="J286" s="414"/>
      <c r="K286" s="414"/>
      <c r="L286" s="414"/>
      <c r="M286" s="414"/>
      <c r="N286" s="414"/>
      <c r="O286" s="414"/>
      <c r="P286" s="414"/>
      <c r="Q286" s="414"/>
      <c r="R286" s="414"/>
    </row>
    <row r="287" spans="2:18" ht="15" customHeight="1" x14ac:dyDescent="0.3">
      <c r="B287" s="597">
        <f t="shared" si="104"/>
        <v>1.4000000000000004</v>
      </c>
      <c r="C287" s="430" t="s">
        <v>30</v>
      </c>
      <c r="D287" s="442"/>
      <c r="E287" s="442"/>
      <c r="F287" s="442"/>
      <c r="G287" s="442"/>
      <c r="H287" s="442"/>
      <c r="I287" s="442"/>
      <c r="J287" s="414"/>
      <c r="K287" s="414"/>
      <c r="L287" s="414"/>
      <c r="M287" s="414"/>
      <c r="N287" s="414"/>
      <c r="O287" s="414"/>
      <c r="P287" s="414"/>
      <c r="Q287" s="414"/>
      <c r="R287" s="414"/>
    </row>
    <row r="288" spans="2:18" ht="15" customHeight="1" x14ac:dyDescent="0.3">
      <c r="B288" s="597">
        <f t="shared" si="104"/>
        <v>1.5000000000000004</v>
      </c>
      <c r="C288" s="430" t="s">
        <v>31</v>
      </c>
      <c r="D288" s="442"/>
      <c r="E288" s="427">
        <f>+E284-E285+E286-E287</f>
        <v>0</v>
      </c>
      <c r="F288" s="427"/>
      <c r="G288" s="427"/>
      <c r="H288" s="427">
        <f>+H284-H285+H286-H287</f>
        <v>0</v>
      </c>
      <c r="I288" s="427"/>
      <c r="J288" s="415"/>
      <c r="K288" s="415">
        <f>+K284-K285+K286-K287</f>
        <v>0</v>
      </c>
      <c r="L288" s="415"/>
      <c r="M288" s="415"/>
      <c r="N288" s="415">
        <f>+M284-M285+M286-M287</f>
        <v>0</v>
      </c>
      <c r="O288" s="415"/>
      <c r="P288" s="415"/>
      <c r="Q288" s="415">
        <f>+O284-O285+O286-O287</f>
        <v>0</v>
      </c>
      <c r="R288" s="415"/>
    </row>
    <row r="289" spans="2:18" ht="15" customHeight="1" x14ac:dyDescent="0.3">
      <c r="B289" s="597">
        <f t="shared" si="104"/>
        <v>1.6000000000000005</v>
      </c>
      <c r="C289" s="430" t="s">
        <v>470</v>
      </c>
      <c r="D289" s="442"/>
      <c r="E289" s="444">
        <f>AVERAGE(E284,E288)</f>
        <v>0</v>
      </c>
      <c r="F289" s="427"/>
      <c r="G289" s="427"/>
      <c r="H289" s="444">
        <f>AVERAGE(H284,H288)</f>
        <v>0</v>
      </c>
      <c r="I289" s="427"/>
      <c r="J289" s="415"/>
      <c r="K289" s="415"/>
      <c r="L289" s="415"/>
      <c r="M289" s="415"/>
      <c r="N289" s="415"/>
      <c r="O289" s="415"/>
      <c r="P289" s="415"/>
      <c r="Q289" s="415"/>
      <c r="R289" s="415"/>
    </row>
    <row r="290" spans="2:18" ht="15" customHeight="1" x14ac:dyDescent="0.3">
      <c r="B290" s="597">
        <f t="shared" si="104"/>
        <v>1.7000000000000006</v>
      </c>
      <c r="C290" s="430" t="s">
        <v>32</v>
      </c>
      <c r="D290" s="442"/>
      <c r="E290" s="590">
        <f>IFERROR(E291/E289,0)</f>
        <v>0</v>
      </c>
      <c r="F290" s="427"/>
      <c r="G290" s="427"/>
      <c r="H290" s="590">
        <f>IFERROR(H291/H289,0)</f>
        <v>0</v>
      </c>
      <c r="I290" s="427"/>
      <c r="J290" s="415"/>
      <c r="K290" s="415" t="e">
        <f>K291/K289</f>
        <v>#DIV/0!</v>
      </c>
      <c r="L290" s="415"/>
      <c r="M290" s="415"/>
      <c r="N290" s="415" t="e">
        <f>M291/N289</f>
        <v>#DIV/0!</v>
      </c>
      <c r="O290" s="415"/>
      <c r="P290" s="415"/>
      <c r="Q290" s="415" t="e">
        <f>O291/Q289</f>
        <v>#DIV/0!</v>
      </c>
      <c r="R290" s="415"/>
    </row>
    <row r="291" spans="2:18" ht="15" customHeight="1" x14ac:dyDescent="0.3">
      <c r="B291" s="597">
        <f t="shared" si="104"/>
        <v>1.8000000000000007</v>
      </c>
      <c r="C291" s="430" t="s">
        <v>33</v>
      </c>
      <c r="D291" s="442"/>
      <c r="E291" s="442"/>
      <c r="F291" s="442"/>
      <c r="G291" s="442"/>
      <c r="H291" s="442"/>
      <c r="I291" s="442"/>
      <c r="J291" s="414"/>
      <c r="K291" s="414"/>
      <c r="L291" s="414"/>
      <c r="M291" s="414"/>
      <c r="N291" s="414"/>
      <c r="O291" s="414"/>
      <c r="P291" s="414"/>
      <c r="Q291" s="414"/>
      <c r="R291" s="414"/>
    </row>
    <row r="292" spans="2:18" ht="15" customHeight="1" x14ac:dyDescent="0.3">
      <c r="B292" s="597"/>
      <c r="C292" s="430"/>
      <c r="D292" s="442"/>
      <c r="E292" s="442"/>
      <c r="F292" s="442"/>
      <c r="G292" s="442"/>
      <c r="H292" s="442"/>
      <c r="I292" s="442"/>
      <c r="J292" s="414"/>
      <c r="K292" s="414"/>
      <c r="L292" s="414"/>
      <c r="M292" s="414"/>
      <c r="N292" s="414"/>
      <c r="O292" s="414"/>
      <c r="P292" s="414"/>
      <c r="Q292" s="414"/>
      <c r="R292" s="414"/>
    </row>
    <row r="293" spans="2:18" ht="15" customHeight="1" x14ac:dyDescent="0.3">
      <c r="B293" s="599">
        <v>2</v>
      </c>
      <c r="C293" s="431" t="s">
        <v>421</v>
      </c>
      <c r="D293" s="442"/>
      <c r="E293" s="442"/>
      <c r="F293" s="442"/>
      <c r="G293" s="442"/>
      <c r="H293" s="442"/>
      <c r="I293" s="442"/>
      <c r="J293" s="414"/>
      <c r="K293" s="414"/>
      <c r="L293" s="414"/>
      <c r="M293" s="414"/>
      <c r="N293" s="414"/>
      <c r="O293" s="414"/>
      <c r="P293" s="414"/>
      <c r="Q293" s="414"/>
      <c r="R293" s="414"/>
    </row>
    <row r="294" spans="2:18" ht="15" customHeight="1" x14ac:dyDescent="0.3">
      <c r="B294" s="597">
        <f t="shared" ref="B294:B301" si="105">B293+0.1</f>
        <v>2.1</v>
      </c>
      <c r="C294" s="430" t="s">
        <v>29</v>
      </c>
      <c r="D294" s="442"/>
      <c r="E294" s="442"/>
      <c r="F294" s="442"/>
      <c r="G294" s="442"/>
      <c r="H294" s="442"/>
      <c r="I294" s="442"/>
      <c r="J294" s="414"/>
      <c r="K294" s="414"/>
      <c r="L294" s="414"/>
      <c r="M294" s="414"/>
      <c r="N294" s="414"/>
      <c r="O294" s="414"/>
      <c r="P294" s="414"/>
      <c r="Q294" s="414"/>
      <c r="R294" s="414"/>
    </row>
    <row r="295" spans="2:18" ht="15" customHeight="1" x14ac:dyDescent="0.3">
      <c r="B295" s="597">
        <f t="shared" si="105"/>
        <v>2.2000000000000002</v>
      </c>
      <c r="C295" s="430" t="s">
        <v>400</v>
      </c>
      <c r="D295" s="442"/>
      <c r="E295" s="442"/>
      <c r="F295" s="442"/>
      <c r="G295" s="442"/>
      <c r="H295" s="442"/>
      <c r="I295" s="442"/>
      <c r="J295" s="414"/>
      <c r="K295" s="414"/>
      <c r="L295" s="414"/>
      <c r="M295" s="414"/>
      <c r="N295" s="414"/>
      <c r="O295" s="414"/>
      <c r="P295" s="414"/>
      <c r="Q295" s="414"/>
      <c r="R295" s="414"/>
    </row>
    <row r="296" spans="2:18" ht="15" customHeight="1" x14ac:dyDescent="0.3">
      <c r="B296" s="597">
        <f t="shared" si="105"/>
        <v>2.3000000000000003</v>
      </c>
      <c r="C296" s="430" t="s">
        <v>342</v>
      </c>
      <c r="D296" s="442"/>
      <c r="E296" s="442"/>
      <c r="F296" s="442"/>
      <c r="G296" s="442"/>
      <c r="H296" s="442"/>
      <c r="I296" s="442"/>
      <c r="J296" s="414"/>
      <c r="K296" s="414"/>
      <c r="L296" s="414"/>
      <c r="M296" s="414"/>
      <c r="N296" s="414"/>
      <c r="O296" s="414"/>
      <c r="P296" s="414"/>
      <c r="Q296" s="414"/>
      <c r="R296" s="414"/>
    </row>
    <row r="297" spans="2:18" ht="15" customHeight="1" x14ac:dyDescent="0.3">
      <c r="B297" s="597">
        <f t="shared" si="105"/>
        <v>2.4000000000000004</v>
      </c>
      <c r="C297" s="430" t="s">
        <v>30</v>
      </c>
      <c r="D297" s="442"/>
      <c r="E297" s="442"/>
      <c r="F297" s="442"/>
      <c r="G297" s="442"/>
      <c r="H297" s="442"/>
      <c r="I297" s="442"/>
      <c r="J297" s="414"/>
      <c r="K297" s="414"/>
      <c r="L297" s="414"/>
      <c r="M297" s="414"/>
      <c r="N297" s="414"/>
      <c r="O297" s="414"/>
      <c r="P297" s="414"/>
      <c r="Q297" s="414"/>
      <c r="R297" s="414"/>
    </row>
    <row r="298" spans="2:18" ht="15" customHeight="1" x14ac:dyDescent="0.3">
      <c r="B298" s="597">
        <f t="shared" si="105"/>
        <v>2.5000000000000004</v>
      </c>
      <c r="C298" s="430" t="s">
        <v>31</v>
      </c>
      <c r="D298" s="442"/>
      <c r="E298" s="427">
        <f>+E294-E295+E296-E297</f>
        <v>0</v>
      </c>
      <c r="F298" s="427"/>
      <c r="G298" s="427"/>
      <c r="H298" s="427">
        <f>+H294-H295+H296-H297</f>
        <v>0</v>
      </c>
      <c r="I298" s="427"/>
      <c r="J298" s="415"/>
      <c r="K298" s="415">
        <f>+K294-K295+K296-K297</f>
        <v>0</v>
      </c>
      <c r="L298" s="415"/>
      <c r="M298" s="415"/>
      <c r="N298" s="415">
        <f>+M294-M295+M296-M297</f>
        <v>0</v>
      </c>
      <c r="O298" s="415"/>
      <c r="P298" s="415"/>
      <c r="Q298" s="415">
        <f>+O294-O295+O296-O297</f>
        <v>0</v>
      </c>
      <c r="R298" s="415"/>
    </row>
    <row r="299" spans="2:18" ht="15" customHeight="1" x14ac:dyDescent="0.3">
      <c r="B299" s="597">
        <f t="shared" si="105"/>
        <v>2.6000000000000005</v>
      </c>
      <c r="C299" s="430" t="s">
        <v>470</v>
      </c>
      <c r="D299" s="442"/>
      <c r="E299" s="444">
        <f>AVERAGE(E294,E298)</f>
        <v>0</v>
      </c>
      <c r="F299" s="427"/>
      <c r="G299" s="427"/>
      <c r="H299" s="444">
        <f>AVERAGE(H294,H298)</f>
        <v>0</v>
      </c>
      <c r="I299" s="427"/>
      <c r="J299" s="415"/>
      <c r="K299" s="415"/>
      <c r="L299" s="415"/>
      <c r="M299" s="415"/>
      <c r="N299" s="415"/>
      <c r="O299" s="415"/>
      <c r="P299" s="415"/>
      <c r="Q299" s="415"/>
      <c r="R299" s="415"/>
    </row>
    <row r="300" spans="2:18" ht="15" customHeight="1" x14ac:dyDescent="0.3">
      <c r="B300" s="597">
        <f t="shared" si="105"/>
        <v>2.7000000000000006</v>
      </c>
      <c r="C300" s="430" t="s">
        <v>32</v>
      </c>
      <c r="D300" s="442"/>
      <c r="E300" s="590">
        <f>IFERROR(E301/E299,0)</f>
        <v>0</v>
      </c>
      <c r="F300" s="427"/>
      <c r="G300" s="427"/>
      <c r="H300" s="590">
        <f>IFERROR(H301/H299,0)</f>
        <v>0</v>
      </c>
      <c r="I300" s="427"/>
      <c r="J300" s="415"/>
      <c r="K300" s="415" t="e">
        <f>K301/K299</f>
        <v>#DIV/0!</v>
      </c>
      <c r="L300" s="415"/>
      <c r="M300" s="415"/>
      <c r="N300" s="415" t="e">
        <f>M301/N299</f>
        <v>#DIV/0!</v>
      </c>
      <c r="O300" s="415"/>
      <c r="P300" s="415"/>
      <c r="Q300" s="415" t="e">
        <f>O301/Q299</f>
        <v>#DIV/0!</v>
      </c>
      <c r="R300" s="415"/>
    </row>
    <row r="301" spans="2:18" ht="15" customHeight="1" x14ac:dyDescent="0.3">
      <c r="B301" s="597">
        <f t="shared" si="105"/>
        <v>2.8000000000000007</v>
      </c>
      <c r="C301" s="430" t="s">
        <v>33</v>
      </c>
      <c r="D301" s="442"/>
      <c r="E301" s="442"/>
      <c r="F301" s="442"/>
      <c r="G301" s="442"/>
      <c r="H301" s="442"/>
      <c r="I301" s="442"/>
      <c r="J301" s="414"/>
      <c r="K301" s="414"/>
      <c r="L301" s="414"/>
      <c r="M301" s="414"/>
      <c r="N301" s="414"/>
      <c r="O301" s="414"/>
      <c r="P301" s="414"/>
      <c r="Q301" s="414"/>
      <c r="R301" s="414"/>
    </row>
    <row r="302" spans="2:18" ht="15" customHeight="1" x14ac:dyDescent="0.3">
      <c r="B302" s="597"/>
      <c r="C302" s="430"/>
      <c r="D302" s="442"/>
      <c r="E302" s="442"/>
      <c r="F302" s="442"/>
      <c r="G302" s="442"/>
      <c r="H302" s="442"/>
      <c r="I302" s="442"/>
      <c r="J302" s="414"/>
      <c r="K302" s="414"/>
      <c r="L302" s="414"/>
      <c r="M302" s="414"/>
      <c r="N302" s="414"/>
      <c r="O302" s="414"/>
      <c r="P302" s="414"/>
      <c r="Q302" s="414"/>
      <c r="R302" s="414"/>
    </row>
    <row r="303" spans="2:18" ht="15" customHeight="1" x14ac:dyDescent="0.3">
      <c r="B303" s="599">
        <v>3</v>
      </c>
      <c r="C303" s="431" t="s">
        <v>486</v>
      </c>
      <c r="D303" s="442"/>
      <c r="E303" s="442"/>
      <c r="F303" s="442"/>
      <c r="G303" s="442"/>
      <c r="H303" s="442"/>
      <c r="I303" s="442"/>
      <c r="J303" s="414"/>
      <c r="K303" s="414"/>
      <c r="L303" s="414"/>
      <c r="M303" s="414"/>
      <c r="N303" s="414"/>
      <c r="O303" s="414"/>
      <c r="P303" s="414"/>
      <c r="Q303" s="414"/>
      <c r="R303" s="414"/>
    </row>
    <row r="304" spans="2:18" ht="15" customHeight="1" x14ac:dyDescent="0.3">
      <c r="B304" s="597"/>
      <c r="C304" s="430" t="s">
        <v>24</v>
      </c>
      <c r="D304" s="442"/>
      <c r="E304" s="442"/>
      <c r="F304" s="442"/>
      <c r="G304" s="442"/>
      <c r="H304" s="442"/>
      <c r="I304" s="442"/>
      <c r="J304" s="414"/>
      <c r="K304" s="414"/>
      <c r="L304" s="414"/>
      <c r="M304" s="414"/>
      <c r="N304" s="414"/>
      <c r="O304" s="414"/>
      <c r="P304" s="414"/>
      <c r="Q304" s="414"/>
      <c r="R304" s="414"/>
    </row>
    <row r="305" spans="2:18" ht="15" customHeight="1" x14ac:dyDescent="0.3">
      <c r="B305" s="597"/>
      <c r="C305" s="430" t="s">
        <v>24</v>
      </c>
      <c r="D305" s="442"/>
      <c r="E305" s="442"/>
      <c r="F305" s="442"/>
      <c r="G305" s="442"/>
      <c r="H305" s="442"/>
      <c r="I305" s="442"/>
      <c r="J305" s="414"/>
      <c r="K305" s="414"/>
      <c r="L305" s="414"/>
      <c r="M305" s="414"/>
      <c r="N305" s="414"/>
      <c r="O305" s="414"/>
      <c r="P305" s="414"/>
      <c r="Q305" s="414"/>
      <c r="R305" s="414"/>
    </row>
    <row r="306" spans="2:18" ht="15" customHeight="1" x14ac:dyDescent="0.3">
      <c r="B306" s="597"/>
      <c r="C306" s="430" t="s">
        <v>24</v>
      </c>
      <c r="D306" s="442"/>
      <c r="E306" s="442"/>
      <c r="F306" s="442"/>
      <c r="G306" s="442"/>
      <c r="H306" s="442"/>
      <c r="I306" s="442"/>
      <c r="J306" s="414"/>
      <c r="K306" s="414"/>
      <c r="L306" s="414"/>
      <c r="M306" s="414"/>
      <c r="N306" s="414"/>
      <c r="O306" s="414"/>
      <c r="P306" s="414"/>
      <c r="Q306" s="414"/>
      <c r="R306" s="414"/>
    </row>
    <row r="307" spans="2:18" ht="15" customHeight="1" x14ac:dyDescent="0.3">
      <c r="B307" s="597"/>
      <c r="C307" s="430"/>
      <c r="D307" s="442"/>
      <c r="E307" s="442"/>
      <c r="F307" s="442"/>
      <c r="G307" s="442"/>
      <c r="H307" s="442"/>
      <c r="I307" s="442"/>
      <c r="J307" s="414"/>
      <c r="K307" s="414"/>
      <c r="L307" s="414"/>
      <c r="M307" s="414"/>
      <c r="N307" s="414"/>
      <c r="O307" s="414"/>
      <c r="P307" s="414"/>
      <c r="Q307" s="414"/>
      <c r="R307" s="414"/>
    </row>
    <row r="308" spans="2:18" ht="15" customHeight="1" x14ac:dyDescent="0.3">
      <c r="B308" s="599">
        <v>10</v>
      </c>
      <c r="C308" s="431" t="s">
        <v>271</v>
      </c>
      <c r="D308" s="442"/>
      <c r="E308" s="442"/>
      <c r="F308" s="442"/>
      <c r="G308" s="442"/>
      <c r="H308" s="442"/>
      <c r="I308" s="442"/>
      <c r="J308" s="414"/>
      <c r="K308" s="414"/>
      <c r="L308" s="414"/>
      <c r="M308" s="414"/>
      <c r="N308" s="414"/>
      <c r="O308" s="414"/>
      <c r="P308" s="414"/>
      <c r="Q308" s="414"/>
      <c r="R308" s="414"/>
    </row>
    <row r="309" spans="2:18" ht="15" customHeight="1" x14ac:dyDescent="0.3">
      <c r="B309" s="597">
        <f t="shared" ref="B309:B316" si="106">B308+0.1</f>
        <v>10.1</v>
      </c>
      <c r="C309" s="430" t="s">
        <v>29</v>
      </c>
      <c r="D309" s="442"/>
      <c r="E309" s="442"/>
      <c r="F309" s="442"/>
      <c r="G309" s="442"/>
      <c r="H309" s="442"/>
      <c r="I309" s="442"/>
      <c r="J309" s="414"/>
      <c r="K309" s="414"/>
      <c r="L309" s="414"/>
      <c r="M309" s="414"/>
      <c r="N309" s="414"/>
      <c r="O309" s="414"/>
      <c r="P309" s="414"/>
      <c r="Q309" s="414"/>
      <c r="R309" s="414"/>
    </row>
    <row r="310" spans="2:18" ht="15" customHeight="1" x14ac:dyDescent="0.3">
      <c r="B310" s="597">
        <f t="shared" si="106"/>
        <v>10.199999999999999</v>
      </c>
      <c r="C310" s="430" t="s">
        <v>400</v>
      </c>
      <c r="D310" s="442"/>
      <c r="E310" s="442"/>
      <c r="F310" s="442"/>
      <c r="G310" s="442"/>
      <c r="H310" s="442"/>
      <c r="I310" s="442"/>
      <c r="J310" s="414"/>
      <c r="K310" s="414"/>
      <c r="L310" s="414"/>
      <c r="M310" s="414"/>
      <c r="N310" s="414"/>
      <c r="O310" s="414"/>
      <c r="P310" s="414"/>
      <c r="Q310" s="414"/>
      <c r="R310" s="414"/>
    </row>
    <row r="311" spans="2:18" ht="15" customHeight="1" x14ac:dyDescent="0.3">
      <c r="B311" s="597">
        <f t="shared" si="106"/>
        <v>10.299999999999999</v>
      </c>
      <c r="C311" s="430" t="s">
        <v>342</v>
      </c>
      <c r="D311" s="442"/>
      <c r="E311" s="442"/>
      <c r="F311" s="442"/>
      <c r="G311" s="442"/>
      <c r="H311" s="442"/>
      <c r="I311" s="442"/>
      <c r="J311" s="414"/>
      <c r="K311" s="414"/>
      <c r="L311" s="414"/>
      <c r="M311" s="414"/>
      <c r="N311" s="414"/>
      <c r="O311" s="414"/>
      <c r="P311" s="414"/>
      <c r="Q311" s="414"/>
      <c r="R311" s="414"/>
    </row>
    <row r="312" spans="2:18" ht="15" customHeight="1" x14ac:dyDescent="0.3">
      <c r="B312" s="597">
        <f t="shared" si="106"/>
        <v>10.399999999999999</v>
      </c>
      <c r="C312" s="430" t="s">
        <v>30</v>
      </c>
      <c r="D312" s="442"/>
      <c r="E312" s="442"/>
      <c r="F312" s="442"/>
      <c r="G312" s="442"/>
      <c r="H312" s="442"/>
      <c r="I312" s="442"/>
      <c r="J312" s="414"/>
      <c r="K312" s="414"/>
      <c r="L312" s="414"/>
      <c r="M312" s="414"/>
      <c r="N312" s="414"/>
      <c r="O312" s="414"/>
      <c r="P312" s="414"/>
      <c r="Q312" s="414"/>
      <c r="R312" s="414"/>
    </row>
    <row r="313" spans="2:18" ht="15" customHeight="1" x14ac:dyDescent="0.3">
      <c r="B313" s="597">
        <f t="shared" si="106"/>
        <v>10.499999999999998</v>
      </c>
      <c r="C313" s="430" t="s">
        <v>31</v>
      </c>
      <c r="D313" s="442"/>
      <c r="E313" s="442"/>
      <c r="F313" s="442"/>
      <c r="G313" s="442"/>
      <c r="H313" s="442"/>
      <c r="I313" s="442"/>
      <c r="J313" s="414"/>
      <c r="K313" s="414"/>
      <c r="L313" s="414"/>
      <c r="M313" s="414"/>
      <c r="N313" s="414"/>
      <c r="O313" s="414"/>
      <c r="P313" s="414"/>
      <c r="Q313" s="414"/>
      <c r="R313" s="414"/>
    </row>
    <row r="314" spans="2:18" ht="15" customHeight="1" x14ac:dyDescent="0.3">
      <c r="B314" s="597">
        <f t="shared" si="106"/>
        <v>10.599999999999998</v>
      </c>
      <c r="C314" s="430" t="s">
        <v>470</v>
      </c>
      <c r="D314" s="442"/>
      <c r="E314" s="442"/>
      <c r="F314" s="442"/>
      <c r="G314" s="442"/>
      <c r="H314" s="442"/>
      <c r="I314" s="442"/>
      <c r="J314" s="414"/>
      <c r="K314" s="414"/>
      <c r="L314" s="414"/>
      <c r="M314" s="414"/>
      <c r="N314" s="414"/>
      <c r="O314" s="414"/>
      <c r="P314" s="414"/>
      <c r="Q314" s="414"/>
      <c r="R314" s="414"/>
    </row>
    <row r="315" spans="2:18" ht="15" customHeight="1" x14ac:dyDescent="0.3">
      <c r="B315" s="597">
        <f t="shared" si="106"/>
        <v>10.699999999999998</v>
      </c>
      <c r="C315" s="430" t="s">
        <v>32</v>
      </c>
      <c r="D315" s="442"/>
      <c r="E315" s="590">
        <f>IFERROR(E316/E314,0)</f>
        <v>0</v>
      </c>
      <c r="F315" s="442"/>
      <c r="G315" s="442"/>
      <c r="H315" s="590">
        <f>IFERROR(H316/H314,0)</f>
        <v>0</v>
      </c>
      <c r="I315" s="442"/>
      <c r="J315" s="414"/>
      <c r="K315" s="414"/>
      <c r="L315" s="414"/>
      <c r="M315" s="414"/>
      <c r="N315" s="414"/>
      <c r="O315" s="414"/>
      <c r="P315" s="414"/>
      <c r="Q315" s="414"/>
      <c r="R315" s="414"/>
    </row>
    <row r="316" spans="2:18" ht="15" customHeight="1" x14ac:dyDescent="0.3">
      <c r="B316" s="597">
        <f t="shared" si="106"/>
        <v>10.799999999999997</v>
      </c>
      <c r="C316" s="430" t="s">
        <v>33</v>
      </c>
      <c r="D316" s="442"/>
      <c r="E316" s="442"/>
      <c r="F316" s="442"/>
      <c r="G316" s="442"/>
      <c r="H316" s="442"/>
      <c r="I316" s="442"/>
      <c r="J316" s="414"/>
      <c r="K316" s="414"/>
      <c r="L316" s="414"/>
      <c r="M316" s="414"/>
      <c r="N316" s="414"/>
      <c r="O316" s="414"/>
      <c r="P316" s="414"/>
      <c r="Q316" s="414"/>
      <c r="R316" s="414"/>
    </row>
    <row r="317" spans="2:18" ht="15" customHeight="1" x14ac:dyDescent="0.3">
      <c r="B317" s="597"/>
      <c r="C317" s="431"/>
      <c r="D317" s="442"/>
      <c r="E317" s="442"/>
      <c r="F317" s="442"/>
      <c r="G317" s="442"/>
      <c r="H317" s="442"/>
      <c r="I317" s="442"/>
      <c r="J317" s="414"/>
      <c r="K317" s="414"/>
      <c r="L317" s="414"/>
      <c r="M317" s="414"/>
      <c r="N317" s="414"/>
      <c r="O317" s="414"/>
      <c r="P317" s="414"/>
      <c r="Q317" s="414"/>
      <c r="R317" s="414"/>
    </row>
    <row r="318" spans="2:18" ht="15" customHeight="1" x14ac:dyDescent="0.3">
      <c r="B318" s="597"/>
      <c r="C318" s="430"/>
      <c r="D318" s="442"/>
      <c r="E318" s="442"/>
      <c r="F318" s="442"/>
      <c r="G318" s="442"/>
      <c r="H318" s="442"/>
      <c r="I318" s="442"/>
      <c r="J318" s="414"/>
      <c r="K318" s="414"/>
      <c r="L318" s="414"/>
      <c r="M318" s="414"/>
      <c r="N318" s="414"/>
      <c r="O318" s="414"/>
      <c r="P318" s="414"/>
      <c r="Q318" s="414"/>
      <c r="R318" s="414"/>
    </row>
    <row r="319" spans="2:18" ht="15" customHeight="1" x14ac:dyDescent="0.3">
      <c r="B319" s="597">
        <v>9</v>
      </c>
      <c r="C319" s="431" t="s">
        <v>34</v>
      </c>
      <c r="D319" s="442"/>
      <c r="E319" s="442"/>
      <c r="F319" s="442"/>
      <c r="G319" s="442"/>
      <c r="H319" s="442"/>
      <c r="I319" s="442"/>
      <c r="J319" s="414"/>
      <c r="K319" s="414"/>
      <c r="L319" s="414"/>
      <c r="M319" s="414"/>
      <c r="N319" s="414"/>
      <c r="O319" s="414"/>
      <c r="P319" s="414"/>
      <c r="Q319" s="414"/>
      <c r="R319" s="414"/>
    </row>
    <row r="320" spans="2:18" ht="15" customHeight="1" x14ac:dyDescent="0.3">
      <c r="B320" s="597">
        <v>10</v>
      </c>
      <c r="C320" s="432" t="s">
        <v>35</v>
      </c>
      <c r="D320" s="442"/>
      <c r="E320" s="442"/>
      <c r="F320" s="442"/>
      <c r="G320" s="442"/>
      <c r="H320" s="442"/>
      <c r="I320" s="442"/>
      <c r="J320" s="414"/>
      <c r="K320" s="414"/>
      <c r="L320" s="414"/>
      <c r="M320" s="414"/>
      <c r="N320" s="414"/>
      <c r="O320" s="414"/>
      <c r="P320" s="414"/>
      <c r="Q320" s="414"/>
      <c r="R320" s="414"/>
    </row>
    <row r="321" spans="2:18" ht="15" customHeight="1" x14ac:dyDescent="0.25">
      <c r="B321" s="599">
        <v>11</v>
      </c>
      <c r="C321" s="443" t="s">
        <v>36</v>
      </c>
      <c r="D321" s="442"/>
      <c r="E321" s="442"/>
      <c r="F321" s="442"/>
      <c r="G321" s="442"/>
      <c r="H321" s="442"/>
      <c r="I321" s="442"/>
      <c r="J321" s="414"/>
      <c r="K321" s="414"/>
      <c r="L321" s="414"/>
      <c r="M321" s="414"/>
      <c r="N321" s="414"/>
      <c r="O321" s="414"/>
      <c r="P321" s="414"/>
      <c r="Q321" s="414"/>
      <c r="R321" s="414"/>
    </row>
    <row r="322" spans="2:18" x14ac:dyDescent="0.25">
      <c r="B322" s="597"/>
      <c r="C322" s="434"/>
      <c r="D322" s="434"/>
      <c r="E322" s="434"/>
      <c r="F322" s="434"/>
      <c r="G322" s="434"/>
      <c r="H322" s="441"/>
      <c r="I322" s="441"/>
      <c r="J322" s="24"/>
      <c r="K322" s="119"/>
      <c r="L322" s="24"/>
      <c r="M322" s="24"/>
      <c r="N322" s="24"/>
      <c r="O322" s="24"/>
      <c r="P322" s="24"/>
      <c r="Q322" s="24"/>
      <c r="R322" s="24"/>
    </row>
    <row r="324" spans="2:18" x14ac:dyDescent="0.25">
      <c r="C324" s="1850" t="s">
        <v>144</v>
      </c>
      <c r="D324" s="1850"/>
      <c r="E324" s="1850"/>
      <c r="F324" s="1850"/>
      <c r="G324" s="1850"/>
    </row>
    <row r="325" spans="2:18" x14ac:dyDescent="0.25">
      <c r="C325" s="428" t="s">
        <v>487</v>
      </c>
    </row>
  </sheetData>
  <mergeCells count="30">
    <mergeCell ref="B10:B11"/>
    <mergeCell ref="C10:C11"/>
    <mergeCell ref="B29:B30"/>
    <mergeCell ref="C279:C281"/>
    <mergeCell ref="B279:B281"/>
    <mergeCell ref="B136:B137"/>
    <mergeCell ref="C136:C137"/>
    <mergeCell ref="C324:G324"/>
    <mergeCell ref="C29:C30"/>
    <mergeCell ref="G10:I10"/>
    <mergeCell ref="G29:I29"/>
    <mergeCell ref="G279:I279"/>
    <mergeCell ref="C131:G131"/>
    <mergeCell ref="D136:F136"/>
    <mergeCell ref="G136:I136"/>
    <mergeCell ref="D10:F10"/>
    <mergeCell ref="D29:F29"/>
    <mergeCell ref="D279:F279"/>
    <mergeCell ref="J136:L136"/>
    <mergeCell ref="M29:Q29"/>
    <mergeCell ref="M136:Q136"/>
    <mergeCell ref="R279:R281"/>
    <mergeCell ref="R136:R138"/>
    <mergeCell ref="J279:L279"/>
    <mergeCell ref="M279:Q279"/>
    <mergeCell ref="R10:R12"/>
    <mergeCell ref="R29:R31"/>
    <mergeCell ref="J10:L10"/>
    <mergeCell ref="M10:Q10"/>
    <mergeCell ref="J29:L29"/>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B2:X69"/>
  <sheetViews>
    <sheetView showGridLines="0" zoomScale="75" zoomScaleNormal="75" workbookViewId="0">
      <pane xSplit="3" ySplit="9" topLeftCell="D10" activePane="bottomRight" state="frozen"/>
      <selection pane="topRight" activeCell="D1" sqref="D1"/>
      <selection pane="bottomLeft" activeCell="A10" sqref="A10"/>
      <selection pane="bottomRight" activeCell="G25" sqref="G25"/>
    </sheetView>
  </sheetViews>
  <sheetFormatPr defaultColWidth="9.36328125" defaultRowHeight="14" x14ac:dyDescent="0.25"/>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6" customWidth="1"/>
    <col min="12" max="20" width="16.6328125" style="14" customWidth="1"/>
    <col min="21" max="16384" width="9.36328125" style="14"/>
  </cols>
  <sheetData>
    <row r="2" spans="2:24" x14ac:dyDescent="0.25">
      <c r="B2" s="1657" t="str">
        <f>Index!B2</f>
        <v xml:space="preserve">      Maharashtra State Power Generation Company Ltd.</v>
      </c>
      <c r="C2" s="1657"/>
      <c r="D2" s="1657"/>
      <c r="E2" s="1657"/>
      <c r="F2" s="1657"/>
      <c r="G2" s="1657"/>
      <c r="H2" s="1657"/>
      <c r="I2" s="1657"/>
      <c r="J2" s="1657"/>
      <c r="K2" s="1657"/>
      <c r="L2" s="1657"/>
      <c r="M2" s="1657"/>
      <c r="N2" s="1657"/>
    </row>
    <row r="3" spans="2:24" ht="15" customHeight="1" x14ac:dyDescent="0.25">
      <c r="B3" s="1657" t="str">
        <f>Index!B3</f>
        <v>MYT Petition Formats for Chandrapur Unit 3-7</v>
      </c>
      <c r="C3" s="1657"/>
      <c r="D3" s="1657"/>
      <c r="E3" s="1657"/>
      <c r="F3" s="1657"/>
      <c r="G3" s="1657"/>
      <c r="H3" s="1657"/>
      <c r="I3" s="1657"/>
      <c r="J3" s="1657"/>
      <c r="K3" s="1657"/>
      <c r="L3" s="1657"/>
      <c r="M3" s="1657"/>
      <c r="N3" s="1657"/>
    </row>
    <row r="4" spans="2:24" ht="15" x14ac:dyDescent="0.25">
      <c r="B4" s="1860" t="s">
        <v>1020</v>
      </c>
      <c r="C4" s="1860"/>
      <c r="D4" s="1860"/>
      <c r="E4" s="1860"/>
      <c r="F4" s="1860"/>
      <c r="G4" s="1860"/>
      <c r="H4" s="1860"/>
      <c r="I4" s="1860"/>
      <c r="J4" s="1860"/>
      <c r="K4" s="1860"/>
      <c r="L4" s="1860"/>
      <c r="M4" s="1860"/>
      <c r="N4" s="1860"/>
    </row>
    <row r="6" spans="2:24" x14ac:dyDescent="0.25">
      <c r="K6" s="14"/>
      <c r="L6" s="22" t="s">
        <v>10</v>
      </c>
    </row>
    <row r="7" spans="2:24" ht="15" customHeight="1" x14ac:dyDescent="0.25">
      <c r="B7" s="1659" t="s">
        <v>343</v>
      </c>
      <c r="C7" s="1659" t="s">
        <v>37</v>
      </c>
      <c r="D7" s="1690" t="s">
        <v>506</v>
      </c>
      <c r="E7" s="1691"/>
      <c r="F7" s="1692"/>
      <c r="G7" s="1690" t="s">
        <v>507</v>
      </c>
      <c r="H7" s="1691"/>
      <c r="I7" s="1692"/>
      <c r="J7" s="1690" t="s">
        <v>508</v>
      </c>
      <c r="K7" s="1691"/>
      <c r="L7" s="1692"/>
    </row>
    <row r="8" spans="2:24" ht="28" x14ac:dyDescent="0.25">
      <c r="B8" s="1660"/>
      <c r="C8" s="1660"/>
      <c r="D8" s="301" t="s">
        <v>967</v>
      </c>
      <c r="E8" s="296" t="s">
        <v>79</v>
      </c>
      <c r="F8" s="296" t="s">
        <v>449</v>
      </c>
      <c r="G8" s="301" t="s">
        <v>967</v>
      </c>
      <c r="H8" s="738" t="s">
        <v>79</v>
      </c>
      <c r="I8" s="738" t="s">
        <v>449</v>
      </c>
      <c r="J8" s="296" t="s">
        <v>967</v>
      </c>
      <c r="K8" s="317" t="s">
        <v>80</v>
      </c>
      <c r="L8" s="296" t="s">
        <v>450</v>
      </c>
    </row>
    <row r="9" spans="2:24" x14ac:dyDescent="0.25">
      <c r="B9" s="1702"/>
      <c r="C9" s="1702"/>
      <c r="D9" s="296" t="s">
        <v>81</v>
      </c>
      <c r="E9" s="296" t="s">
        <v>82</v>
      </c>
      <c r="F9" s="296" t="s">
        <v>673</v>
      </c>
      <c r="G9" s="738" t="s">
        <v>391</v>
      </c>
      <c r="H9" s="738" t="s">
        <v>409</v>
      </c>
      <c r="I9" s="738" t="s">
        <v>454</v>
      </c>
      <c r="J9" s="296" t="s">
        <v>410</v>
      </c>
      <c r="K9" s="317" t="s">
        <v>411</v>
      </c>
      <c r="L9" s="296" t="s">
        <v>714</v>
      </c>
    </row>
    <row r="10" spans="2:24" x14ac:dyDescent="0.25">
      <c r="B10" s="103">
        <v>1</v>
      </c>
      <c r="C10" s="102" t="s">
        <v>600</v>
      </c>
      <c r="D10" s="320">
        <v>911.23649997074654</v>
      </c>
      <c r="E10" s="339">
        <v>911.23649997074654</v>
      </c>
      <c r="F10" s="308">
        <f>E10-D10</f>
        <v>0</v>
      </c>
      <c r="G10" s="308">
        <f>D14</f>
        <v>970.98707790764649</v>
      </c>
      <c r="H10" s="339">
        <f>E14</f>
        <v>945.85905795087672</v>
      </c>
      <c r="I10" s="308"/>
      <c r="J10" s="308">
        <f>G14</f>
        <v>1015.8225211876465</v>
      </c>
      <c r="K10" s="308">
        <f>H14</f>
        <v>978.44777186253532</v>
      </c>
      <c r="L10" s="308">
        <f>K10-J10</f>
        <v>-37.374749325111225</v>
      </c>
      <c r="V10" s="327"/>
      <c r="W10" s="327"/>
      <c r="X10" s="327"/>
    </row>
    <row r="11" spans="2:24" x14ac:dyDescent="0.25">
      <c r="B11" s="103">
        <f>B10+1</f>
        <v>2</v>
      </c>
      <c r="C11" s="102" t="s">
        <v>547</v>
      </c>
      <c r="D11" s="119"/>
      <c r="E11" s="119"/>
      <c r="F11" s="308">
        <f>E11-D11</f>
        <v>0</v>
      </c>
      <c r="G11" s="308"/>
      <c r="H11" s="308"/>
      <c r="I11" s="308"/>
      <c r="J11" s="308"/>
      <c r="K11" s="320"/>
      <c r="L11" s="308">
        <f>K11-J11</f>
        <v>0</v>
      </c>
      <c r="V11" s="327"/>
      <c r="W11" s="327"/>
      <c r="X11" s="327"/>
    </row>
    <row r="12" spans="2:24" x14ac:dyDescent="0.25">
      <c r="B12" s="103">
        <f t="shared" ref="B12:B21" si="0">B11+1</f>
        <v>3</v>
      </c>
      <c r="C12" s="102" t="s">
        <v>601</v>
      </c>
      <c r="D12" s="339">
        <f>'F4'!D14*30%</f>
        <v>59.750577936899994</v>
      </c>
      <c r="E12" s="339">
        <f>'F4'!E14*30%</f>
        <v>35.196771310199992</v>
      </c>
      <c r="F12" s="308">
        <f>E12-D12</f>
        <v>-24.553806626700002</v>
      </c>
      <c r="G12" s="308">
        <f>'F4'!G14*30%</f>
        <v>44.835443279999993</v>
      </c>
      <c r="H12" s="339">
        <f>'F4'!H14*30%</f>
        <v>33.238256259900005</v>
      </c>
      <c r="I12" s="308"/>
      <c r="J12" s="320">
        <f>'F4'!J14*30%</f>
        <v>276.12872672370003</v>
      </c>
      <c r="K12" s="308">
        <f>'F4'!M14*30%</f>
        <v>131.90100000000001</v>
      </c>
      <c r="L12" s="308">
        <f>K12-J12</f>
        <v>-144.22772672370002</v>
      </c>
      <c r="V12" s="327"/>
      <c r="W12" s="327"/>
      <c r="X12" s="327"/>
    </row>
    <row r="13" spans="2:24" x14ac:dyDescent="0.3">
      <c r="B13" s="249">
        <f t="shared" si="0"/>
        <v>4</v>
      </c>
      <c r="C13" s="29" t="s">
        <v>38</v>
      </c>
      <c r="D13" s="499"/>
      <c r="E13" s="799">
        <f>'F5'!F31*E10/'F5'!D31</f>
        <v>0.57421333006978659</v>
      </c>
      <c r="F13" s="320">
        <f>E13-D13</f>
        <v>0.57421333006978659</v>
      </c>
      <c r="G13" s="320"/>
      <c r="H13" s="1132">
        <f>'F5'!K31*H10/'F5'!I31</f>
        <v>0.64954234824141699</v>
      </c>
      <c r="I13" s="320">
        <f>H13-G13</f>
        <v>0.64954234824141699</v>
      </c>
      <c r="J13" s="320"/>
      <c r="K13" s="320">
        <f>'F5'!P31*'F7'!K10/'F5'!N31</f>
        <v>0</v>
      </c>
      <c r="L13" s="308">
        <f>K13-J13</f>
        <v>0</v>
      </c>
      <c r="V13" s="327"/>
      <c r="W13" s="327"/>
      <c r="X13" s="327"/>
    </row>
    <row r="14" spans="2:24" x14ac:dyDescent="0.25">
      <c r="B14" s="103">
        <f t="shared" si="0"/>
        <v>5</v>
      </c>
      <c r="C14" s="102" t="s">
        <v>39</v>
      </c>
      <c r="D14" s="320">
        <f>D10+D12-D13</f>
        <v>970.98707790764649</v>
      </c>
      <c r="E14" s="320">
        <f>E10+E12-E13</f>
        <v>945.85905795087672</v>
      </c>
      <c r="F14" s="308">
        <f>E14-D14</f>
        <v>-25.128019956769776</v>
      </c>
      <c r="G14" s="308">
        <f>G10+G12-G13</f>
        <v>1015.8225211876465</v>
      </c>
      <c r="H14" s="308">
        <f>H10+H12-H13</f>
        <v>978.44777186253532</v>
      </c>
      <c r="I14" s="308">
        <f>H14-G14</f>
        <v>-37.374749325111225</v>
      </c>
      <c r="J14" s="308">
        <f>J10+J12-J13</f>
        <v>1291.9512479113466</v>
      </c>
      <c r="K14" s="308">
        <f>K10+K12-K13</f>
        <v>1110.3487718625354</v>
      </c>
      <c r="L14" s="308">
        <f>K14-J14</f>
        <v>-181.60247604881124</v>
      </c>
      <c r="V14" s="327"/>
      <c r="W14" s="327"/>
      <c r="X14" s="327"/>
    </row>
    <row r="15" spans="2:24" x14ac:dyDescent="0.25">
      <c r="B15" s="103"/>
      <c r="C15" s="102"/>
      <c r="D15" s="24"/>
      <c r="E15" s="24"/>
      <c r="F15" s="308"/>
      <c r="G15" s="308"/>
      <c r="H15" s="308"/>
      <c r="I15" s="308"/>
      <c r="J15" s="308"/>
      <c r="K15" s="320"/>
      <c r="L15" s="308"/>
      <c r="V15" s="327"/>
      <c r="W15" s="327"/>
      <c r="X15" s="327"/>
    </row>
    <row r="16" spans="2:24" x14ac:dyDescent="0.25">
      <c r="B16" s="103"/>
      <c r="C16" s="104" t="s">
        <v>405</v>
      </c>
      <c r="D16" s="24"/>
      <c r="E16" s="24"/>
      <c r="F16" s="308"/>
      <c r="G16" s="308"/>
      <c r="H16" s="308"/>
      <c r="I16" s="308"/>
      <c r="J16" s="308"/>
      <c r="K16" s="320"/>
      <c r="L16" s="308"/>
      <c r="V16" s="327"/>
      <c r="W16" s="327"/>
      <c r="X16" s="327"/>
    </row>
    <row r="17" spans="2:24" x14ac:dyDescent="0.25">
      <c r="B17" s="103">
        <v>6</v>
      </c>
      <c r="C17" s="102" t="s">
        <v>549</v>
      </c>
      <c r="D17" s="329">
        <v>0.14000000000000001</v>
      </c>
      <c r="E17" s="329">
        <v>0.14000000000000001</v>
      </c>
      <c r="F17" s="330">
        <f>E17-D17</f>
        <v>0</v>
      </c>
      <c r="G17" s="329">
        <v>0.14000000000000001</v>
      </c>
      <c r="H17" s="329">
        <v>0.14000000000000001</v>
      </c>
      <c r="I17" s="849">
        <f>H17-G17</f>
        <v>0</v>
      </c>
      <c r="J17" s="329">
        <v>0.14000000000000001</v>
      </c>
      <c r="K17" s="329">
        <v>0.14000000000000001</v>
      </c>
      <c r="L17" s="330">
        <f>K17-J17</f>
        <v>0</v>
      </c>
      <c r="V17" s="327"/>
      <c r="W17" s="327"/>
      <c r="X17" s="327"/>
    </row>
    <row r="18" spans="2:24" x14ac:dyDescent="0.25">
      <c r="B18" s="103">
        <v>7</v>
      </c>
      <c r="C18" s="102" t="s">
        <v>583</v>
      </c>
      <c r="D18" s="330">
        <f>D17/(1-D23)</f>
        <v>0.14000000000000001</v>
      </c>
      <c r="E18" s="330">
        <f>E17/(1-E23)</f>
        <v>0.14000000000000001</v>
      </c>
      <c r="F18" s="330">
        <f>E18-D18</f>
        <v>0</v>
      </c>
      <c r="G18" s="330">
        <f>G17/(1-G23)</f>
        <v>0.14000000000000001</v>
      </c>
      <c r="H18" s="330">
        <f>H17/(1-H23)</f>
        <v>0.14000000000000001</v>
      </c>
      <c r="I18" s="330">
        <f>H18-G18</f>
        <v>0</v>
      </c>
      <c r="J18" s="330">
        <f>J17/(1-J23)</f>
        <v>0.14000000000000001</v>
      </c>
      <c r="K18" s="330">
        <f>K17/(1-K23)</f>
        <v>0.14000000000000001</v>
      </c>
      <c r="L18" s="330">
        <f>K18-J18</f>
        <v>0</v>
      </c>
      <c r="V18" s="327"/>
      <c r="W18" s="327"/>
      <c r="X18" s="327"/>
    </row>
    <row r="19" spans="2:24" x14ac:dyDescent="0.25">
      <c r="B19" s="103">
        <v>8</v>
      </c>
      <c r="C19" s="102" t="s">
        <v>550</v>
      </c>
      <c r="D19" s="308">
        <f>D10*D18</f>
        <v>127.57310999590453</v>
      </c>
      <c r="E19" s="308">
        <f>E10*E18</f>
        <v>127.57310999590453</v>
      </c>
      <c r="F19" s="308">
        <f>E19-D19</f>
        <v>0</v>
      </c>
      <c r="G19" s="308">
        <f>G10*G18</f>
        <v>135.93819090707052</v>
      </c>
      <c r="H19" s="308">
        <f>H10*H18</f>
        <v>132.42026811312275</v>
      </c>
      <c r="I19" s="308">
        <f>H19-G19</f>
        <v>-3.5179227939477755</v>
      </c>
      <c r="J19" s="308">
        <f>J10*J18</f>
        <v>142.21515296627052</v>
      </c>
      <c r="K19" s="308">
        <f>K10*K18</f>
        <v>136.98268806075495</v>
      </c>
      <c r="L19" s="308">
        <f>K19-J19</f>
        <v>-5.2324649055155703</v>
      </c>
      <c r="V19" s="327"/>
      <c r="W19" s="327"/>
      <c r="X19" s="327"/>
    </row>
    <row r="20" spans="2:24" x14ac:dyDescent="0.25">
      <c r="B20" s="103">
        <f t="shared" si="0"/>
        <v>9</v>
      </c>
      <c r="C20" s="102" t="s">
        <v>551</v>
      </c>
      <c r="D20" s="308">
        <f>(D12-D13)*D18/2</f>
        <v>4.1825404555830001</v>
      </c>
      <c r="E20" s="308">
        <f>(E12-E13)*E18/2</f>
        <v>2.4235790586091146</v>
      </c>
      <c r="F20" s="308">
        <f>E20-D20</f>
        <v>-1.7589613969738855</v>
      </c>
      <c r="G20" s="308">
        <f>(G12-G13)*G18/2</f>
        <v>3.1384810295999999</v>
      </c>
      <c r="H20" s="308">
        <f>(H12-H13)*H18/2</f>
        <v>2.2812099738161011</v>
      </c>
      <c r="I20" s="308">
        <f>H20-G20</f>
        <v>-0.85727105578389873</v>
      </c>
      <c r="J20" s="308">
        <f>(J12-J13)*J18/2</f>
        <v>19.329010870659005</v>
      </c>
      <c r="K20" s="308">
        <f>(K12-K13)*K18/2</f>
        <v>9.2330700000000014</v>
      </c>
      <c r="L20" s="308">
        <f>K20-J20</f>
        <v>-10.095940870659003</v>
      </c>
      <c r="V20" s="327"/>
      <c r="W20" s="327"/>
      <c r="X20" s="327"/>
    </row>
    <row r="21" spans="2:24" x14ac:dyDescent="0.25">
      <c r="B21" s="118">
        <f t="shared" si="0"/>
        <v>10</v>
      </c>
      <c r="C21" s="104" t="s">
        <v>406</v>
      </c>
      <c r="D21" s="326">
        <f>SUM(D19:D20)</f>
        <v>131.75565045148753</v>
      </c>
      <c r="E21" s="326">
        <f>SUM(E19:E20)</f>
        <v>129.99668905451364</v>
      </c>
      <c r="F21" s="362">
        <f>E21-D21</f>
        <v>-1.7589613969738878</v>
      </c>
      <c r="G21" s="326">
        <f>SUM(G19:G20)</f>
        <v>139.07667193667052</v>
      </c>
      <c r="H21" s="326">
        <f>SUM(H19:H20)</f>
        <v>134.70147808693883</v>
      </c>
      <c r="I21" s="362">
        <f>H21-G21</f>
        <v>-4.3751938497316871</v>
      </c>
      <c r="J21" s="326">
        <f>SUM(J19:J20)</f>
        <v>161.54416383692953</v>
      </c>
      <c r="K21" s="326">
        <f>SUM(K19:K20)</f>
        <v>146.21575806075495</v>
      </c>
      <c r="L21" s="362">
        <f>K21-J21</f>
        <v>-15.328405776174577</v>
      </c>
      <c r="V21" s="327"/>
      <c r="W21" s="327"/>
      <c r="X21" s="327"/>
    </row>
    <row r="22" spans="2:24" x14ac:dyDescent="0.25">
      <c r="B22" s="24"/>
      <c r="C22" s="24"/>
      <c r="D22" s="24"/>
      <c r="E22" s="24"/>
      <c r="F22" s="308"/>
      <c r="G22" s="308"/>
      <c r="H22" s="308"/>
      <c r="I22" s="308"/>
      <c r="J22" s="308"/>
      <c r="K22" s="320"/>
      <c r="L22" s="308"/>
      <c r="V22" s="327"/>
      <c r="W22" s="327"/>
      <c r="X22" s="327"/>
    </row>
    <row r="23" spans="2:24" x14ac:dyDescent="0.25">
      <c r="B23" s="103"/>
      <c r="C23" s="104" t="s">
        <v>778</v>
      </c>
      <c r="D23" s="24"/>
      <c r="E23" s="623"/>
      <c r="F23" s="320"/>
      <c r="G23" s="320"/>
      <c r="H23" s="320"/>
      <c r="I23" s="320"/>
      <c r="J23" s="119"/>
      <c r="K23" s="623"/>
      <c r="L23" s="119"/>
    </row>
    <row r="27" spans="2:24" x14ac:dyDescent="0.25">
      <c r="C27" s="303" t="s">
        <v>715</v>
      </c>
    </row>
    <row r="29" spans="2:24" x14ac:dyDescent="0.25">
      <c r="B29" s="1659" t="s">
        <v>340</v>
      </c>
      <c r="C29" s="1662" t="s">
        <v>37</v>
      </c>
      <c r="D29" s="1862" t="s">
        <v>139</v>
      </c>
      <c r="E29" s="293" t="s">
        <v>506</v>
      </c>
      <c r="F29" s="736" t="s">
        <v>507</v>
      </c>
    </row>
    <row r="30" spans="2:24" ht="28" x14ac:dyDescent="0.25">
      <c r="B30" s="1660"/>
      <c r="C30" s="1662"/>
      <c r="D30" s="1863"/>
      <c r="E30" s="292" t="s">
        <v>79</v>
      </c>
      <c r="F30" s="737" t="s">
        <v>79</v>
      </c>
    </row>
    <row r="31" spans="2:24" x14ac:dyDescent="0.25">
      <c r="B31" s="99">
        <v>1</v>
      </c>
      <c r="C31" s="102" t="s">
        <v>721</v>
      </c>
      <c r="D31" s="103" t="s">
        <v>99</v>
      </c>
      <c r="E31" s="119"/>
      <c r="F31" s="119"/>
    </row>
    <row r="32" spans="2:24" x14ac:dyDescent="0.25">
      <c r="B32" s="103">
        <f>B31+1</f>
        <v>2</v>
      </c>
      <c r="C32" s="102" t="s">
        <v>716</v>
      </c>
      <c r="D32" s="103" t="s">
        <v>99</v>
      </c>
      <c r="E32" s="360">
        <v>0</v>
      </c>
      <c r="F32" s="360">
        <v>0</v>
      </c>
    </row>
    <row r="33" spans="2:14" x14ac:dyDescent="0.25">
      <c r="B33" s="103"/>
      <c r="C33" s="102"/>
      <c r="D33" s="102"/>
      <c r="E33" s="119"/>
      <c r="F33" s="119"/>
    </row>
    <row r="34" spans="2:14" x14ac:dyDescent="0.3">
      <c r="B34" s="103">
        <v>3</v>
      </c>
      <c r="C34" s="29" t="s">
        <v>722</v>
      </c>
      <c r="D34" s="304" t="s">
        <v>717</v>
      </c>
      <c r="E34" s="119"/>
      <c r="F34" s="119"/>
    </row>
    <row r="35" spans="2:14" x14ac:dyDescent="0.25">
      <c r="B35" s="103">
        <f>B34+1</f>
        <v>4</v>
      </c>
      <c r="C35" s="102" t="s">
        <v>718</v>
      </c>
      <c r="D35" s="103" t="s">
        <v>99</v>
      </c>
      <c r="E35" s="360">
        <v>5.4687500000000005E-4</v>
      </c>
      <c r="F35" s="360">
        <v>1.3020833333333333E-3</v>
      </c>
    </row>
    <row r="36" spans="2:14" x14ac:dyDescent="0.25">
      <c r="B36" s="103"/>
      <c r="C36" s="102"/>
      <c r="D36" s="102"/>
      <c r="E36" s="119"/>
      <c r="F36" s="119"/>
    </row>
    <row r="37" spans="2:14" x14ac:dyDescent="0.25">
      <c r="B37" s="103">
        <v>5</v>
      </c>
      <c r="C37" s="102" t="s">
        <v>725</v>
      </c>
      <c r="D37" s="103" t="s">
        <v>99</v>
      </c>
      <c r="E37" s="583">
        <f>E32+E35</f>
        <v>5.4687500000000005E-4</v>
      </c>
      <c r="F37" s="583">
        <f>F32+F35</f>
        <v>1.3020833333333333E-3</v>
      </c>
    </row>
    <row r="38" spans="2:14" x14ac:dyDescent="0.25">
      <c r="B38" s="103"/>
      <c r="C38" s="102"/>
      <c r="D38" s="102"/>
      <c r="E38" s="119"/>
      <c r="F38" s="119"/>
    </row>
    <row r="39" spans="2:14" x14ac:dyDescent="0.25">
      <c r="B39" s="103"/>
      <c r="C39" s="104" t="s">
        <v>720</v>
      </c>
      <c r="D39" s="102"/>
      <c r="E39" s="119"/>
      <c r="F39" s="119"/>
    </row>
    <row r="40" spans="2:14" x14ac:dyDescent="0.25">
      <c r="B40" s="103">
        <v>6</v>
      </c>
      <c r="C40" s="102" t="s">
        <v>602</v>
      </c>
      <c r="D40" s="103" t="s">
        <v>441</v>
      </c>
      <c r="E40" s="339">
        <f>E10*E37</f>
        <v>0.49833246092150207</v>
      </c>
      <c r="F40" s="339">
        <f>H10*F37</f>
        <v>1.2315873150402039</v>
      </c>
    </row>
    <row r="41" spans="2:14" x14ac:dyDescent="0.25">
      <c r="B41" s="103">
        <v>7</v>
      </c>
      <c r="C41" s="102" t="s">
        <v>603</v>
      </c>
      <c r="D41" s="103" t="s">
        <v>441</v>
      </c>
      <c r="E41" s="339">
        <f>(E12-E13)*E37/2</f>
        <v>9.4671056976918539E-3</v>
      </c>
      <c r="F41" s="320">
        <f>(H12-H13)*F37/2</f>
        <v>2.1216610619569393E-2</v>
      </c>
    </row>
    <row r="42" spans="2:14" x14ac:dyDescent="0.25">
      <c r="B42" s="118">
        <v>8</v>
      </c>
      <c r="C42" s="104" t="s">
        <v>719</v>
      </c>
      <c r="D42" s="104"/>
      <c r="E42" s="497">
        <f>SUM(E40:E41)</f>
        <v>0.5077995666191939</v>
      </c>
      <c r="F42" s="497">
        <f>SUM(F40:F41)</f>
        <v>1.2528039256597734</v>
      </c>
    </row>
    <row r="43" spans="2:14" x14ac:dyDescent="0.25">
      <c r="E43" s="316"/>
      <c r="F43" s="316"/>
    </row>
    <row r="44" spans="2:14" x14ac:dyDescent="0.25">
      <c r="C44" s="1859" t="s">
        <v>723</v>
      </c>
      <c r="D44" s="1859"/>
      <c r="E44" s="1859"/>
      <c r="F44" s="1859"/>
      <c r="G44" s="1859"/>
      <c r="H44" s="1859"/>
      <c r="I44" s="1859"/>
      <c r="J44" s="1859"/>
      <c r="K44" s="1859"/>
      <c r="L44" s="1859"/>
      <c r="M44" s="1859"/>
      <c r="N44" s="1859"/>
    </row>
    <row r="45" spans="2:14" x14ac:dyDescent="0.25">
      <c r="C45" s="14" t="s">
        <v>724</v>
      </c>
    </row>
    <row r="51" spans="2:9" ht="15" x14ac:dyDescent="0.25">
      <c r="B51" s="1100" t="s">
        <v>343</v>
      </c>
      <c r="C51" s="1100" t="s">
        <v>37</v>
      </c>
      <c r="D51" s="1698" t="s">
        <v>968</v>
      </c>
      <c r="E51" s="1698"/>
      <c r="F51" s="1698"/>
      <c r="G51" s="1698"/>
      <c r="H51" s="1698"/>
      <c r="I51" s="1776" t="s">
        <v>27</v>
      </c>
    </row>
    <row r="52" spans="2:9" ht="15" x14ac:dyDescent="0.25">
      <c r="B52" s="1101"/>
      <c r="C52" s="1101"/>
      <c r="D52" s="696" t="s">
        <v>969</v>
      </c>
      <c r="E52" s="696" t="s">
        <v>970</v>
      </c>
      <c r="F52" s="696" t="s">
        <v>971</v>
      </c>
      <c r="G52" s="696" t="s">
        <v>972</v>
      </c>
      <c r="H52" s="696" t="s">
        <v>973</v>
      </c>
      <c r="I52" s="1777"/>
    </row>
    <row r="53" spans="2:9" x14ac:dyDescent="0.25">
      <c r="B53" s="1103"/>
      <c r="C53" s="1103"/>
      <c r="D53" s="688" t="s">
        <v>21</v>
      </c>
      <c r="E53" s="688" t="s">
        <v>21</v>
      </c>
      <c r="F53" s="688" t="s">
        <v>21</v>
      </c>
      <c r="G53" s="688" t="s">
        <v>21</v>
      </c>
      <c r="H53" s="688" t="s">
        <v>21</v>
      </c>
      <c r="I53" s="1778"/>
    </row>
    <row r="54" spans="2:9" x14ac:dyDescent="0.25">
      <c r="B54" s="103">
        <v>1</v>
      </c>
      <c r="C54" s="102" t="s">
        <v>600</v>
      </c>
      <c r="D54" s="308">
        <f>K14</f>
        <v>1110.3487718625354</v>
      </c>
      <c r="E54" s="308">
        <f>D58</f>
        <v>1331.1493442293354</v>
      </c>
      <c r="F54" s="308">
        <f t="shared" ref="F54:H54" si="1">E58</f>
        <v>1528.6826921745408</v>
      </c>
      <c r="G54" s="308">
        <f t="shared" si="1"/>
        <v>1647.1547321745409</v>
      </c>
      <c r="H54" s="308">
        <f t="shared" si="1"/>
        <v>1822.9867201745408</v>
      </c>
      <c r="I54" s="308"/>
    </row>
    <row r="55" spans="2:9" x14ac:dyDescent="0.25">
      <c r="B55" s="103">
        <f>B54+1</f>
        <v>2</v>
      </c>
      <c r="C55" s="102" t="s">
        <v>547</v>
      </c>
      <c r="D55" s="308"/>
      <c r="E55" s="308"/>
      <c r="F55" s="308"/>
      <c r="G55" s="308"/>
      <c r="H55" s="308"/>
      <c r="I55" s="308"/>
    </row>
    <row r="56" spans="2:9" x14ac:dyDescent="0.25">
      <c r="B56" s="103">
        <f t="shared" ref="B56:B65" si="2">B55+1</f>
        <v>3</v>
      </c>
      <c r="C56" s="102" t="s">
        <v>601</v>
      </c>
      <c r="D56" s="308">
        <f>'F4'!O14*30%</f>
        <v>220.80057236679991</v>
      </c>
      <c r="E56" s="308">
        <f>'F4'!P14*30%</f>
        <v>197.53334794520543</v>
      </c>
      <c r="F56" s="308">
        <f>'F4'!Q14*30%</f>
        <v>118.47204000000001</v>
      </c>
      <c r="G56" s="308">
        <f>'F4'!R14*30%</f>
        <v>175.831988</v>
      </c>
      <c r="H56" s="308">
        <f>'F4'!S14*30%</f>
        <v>63.305999999999997</v>
      </c>
      <c r="I56" s="308"/>
    </row>
    <row r="57" spans="2:9" x14ac:dyDescent="0.3">
      <c r="B57" s="249">
        <f t="shared" si="2"/>
        <v>4</v>
      </c>
      <c r="C57" s="29" t="s">
        <v>38</v>
      </c>
      <c r="D57" s="308">
        <f>'F5'!U31*'F7'!D54/'F5'!S31</f>
        <v>0</v>
      </c>
      <c r="E57" s="308">
        <f>'F5'!F57*'F7'!E54/'F5'!D57</f>
        <v>0</v>
      </c>
      <c r="F57" s="308">
        <f>'F5'!K57*'F7'!F54/'F5'!I57</f>
        <v>0</v>
      </c>
      <c r="G57" s="308">
        <f>'F5'!P57*'F7'!G54/'F5'!N57</f>
        <v>0</v>
      </c>
      <c r="H57" s="308">
        <f>'F5'!U57*'F7'!H54/'F5'!S57</f>
        <v>0</v>
      </c>
      <c r="I57" s="308"/>
    </row>
    <row r="58" spans="2:9" x14ac:dyDescent="0.25">
      <c r="B58" s="103">
        <f t="shared" si="2"/>
        <v>5</v>
      </c>
      <c r="C58" s="102" t="s">
        <v>39</v>
      </c>
      <c r="D58" s="308">
        <f>D54+D56-D57</f>
        <v>1331.1493442293354</v>
      </c>
      <c r="E58" s="308">
        <f>E54+E56-E57</f>
        <v>1528.6826921745408</v>
      </c>
      <c r="F58" s="308">
        <f t="shared" ref="F58:H58" si="3">F54+F56-F57</f>
        <v>1647.1547321745409</v>
      </c>
      <c r="G58" s="308">
        <f t="shared" si="3"/>
        <v>1822.9867201745408</v>
      </c>
      <c r="H58" s="308">
        <f t="shared" si="3"/>
        <v>1886.2927201745408</v>
      </c>
      <c r="I58" s="308"/>
    </row>
    <row r="59" spans="2:9" x14ac:dyDescent="0.25">
      <c r="B59" s="103"/>
      <c r="C59" s="102"/>
      <c r="D59" s="308"/>
      <c r="E59" s="308"/>
      <c r="F59" s="308"/>
      <c r="G59" s="308"/>
      <c r="H59" s="308"/>
      <c r="I59" s="308"/>
    </row>
    <row r="60" spans="2:9" x14ac:dyDescent="0.25">
      <c r="B60" s="103"/>
      <c r="C60" s="104" t="s">
        <v>405</v>
      </c>
      <c r="D60" s="308"/>
      <c r="E60" s="308"/>
      <c r="F60" s="308"/>
      <c r="G60" s="308"/>
      <c r="H60" s="308"/>
      <c r="I60" s="308"/>
    </row>
    <row r="61" spans="2:9" x14ac:dyDescent="0.25">
      <c r="B61" s="103">
        <v>6</v>
      </c>
      <c r="C61" s="102" t="s">
        <v>549</v>
      </c>
      <c r="D61" s="1285">
        <v>0.14000000000000001</v>
      </c>
      <c r="E61" s="1285">
        <v>0.14000000000000001</v>
      </c>
      <c r="F61" s="1285">
        <v>0.14000000000000001</v>
      </c>
      <c r="G61" s="1285">
        <v>0.14000000000000001</v>
      </c>
      <c r="H61" s="1285">
        <v>0.14000000000000001</v>
      </c>
      <c r="I61" s="308"/>
    </row>
    <row r="62" spans="2:9" x14ac:dyDescent="0.25">
      <c r="B62" s="103">
        <v>7</v>
      </c>
      <c r="C62" s="102" t="s">
        <v>583</v>
      </c>
      <c r="D62" s="586">
        <v>0.15500000000000003</v>
      </c>
      <c r="E62" s="586">
        <v>0.15500000000000003</v>
      </c>
      <c r="F62" s="586">
        <v>0.15500000000000003</v>
      </c>
      <c r="G62" s="586">
        <v>0.15500000000000003</v>
      </c>
      <c r="H62" s="586">
        <v>0.15500000000000003</v>
      </c>
      <c r="I62" s="308"/>
    </row>
    <row r="63" spans="2:9" x14ac:dyDescent="0.25">
      <c r="B63" s="103">
        <v>8</v>
      </c>
      <c r="C63" s="102" t="s">
        <v>550</v>
      </c>
      <c r="D63" s="308">
        <f>D54*D62</f>
        <v>172.104059638693</v>
      </c>
      <c r="E63" s="308">
        <f>E54*E62</f>
        <v>206.32814835554703</v>
      </c>
      <c r="F63" s="308">
        <f t="shared" ref="F63:H63" si="4">F54*F62</f>
        <v>236.94581728705387</v>
      </c>
      <c r="G63" s="308">
        <f t="shared" si="4"/>
        <v>255.30898348705387</v>
      </c>
      <c r="H63" s="308">
        <f t="shared" si="4"/>
        <v>282.56294162705387</v>
      </c>
      <c r="I63" s="308"/>
    </row>
    <row r="64" spans="2:9" x14ac:dyDescent="0.25">
      <c r="B64" s="103">
        <f t="shared" si="2"/>
        <v>9</v>
      </c>
      <c r="C64" s="102" t="s">
        <v>551</v>
      </c>
      <c r="D64" s="308">
        <f>D56*D62/2</f>
        <v>17.112044358426996</v>
      </c>
      <c r="E64" s="308">
        <f>E56*E62/2</f>
        <v>15.308834465753424</v>
      </c>
      <c r="F64" s="308">
        <f t="shared" ref="F64:H64" si="5">F56*F62/2</f>
        <v>9.1815831000000028</v>
      </c>
      <c r="G64" s="308">
        <f t="shared" si="5"/>
        <v>13.626979070000003</v>
      </c>
      <c r="H64" s="308">
        <f t="shared" si="5"/>
        <v>4.9062150000000004</v>
      </c>
      <c r="I64" s="308"/>
    </row>
    <row r="65" spans="2:14" x14ac:dyDescent="0.25">
      <c r="B65" s="118">
        <f t="shared" si="2"/>
        <v>10</v>
      </c>
      <c r="C65" s="104" t="s">
        <v>406</v>
      </c>
      <c r="D65" s="308">
        <f>SUM(D63:D64)</f>
        <v>189.21610399712</v>
      </c>
      <c r="E65" s="308">
        <f>SUM(E63:E64)</f>
        <v>221.63698282130045</v>
      </c>
      <c r="F65" s="308">
        <f t="shared" ref="F65:H65" si="6">SUM(F63:F64)</f>
        <v>246.12740038705388</v>
      </c>
      <c r="G65" s="308">
        <f t="shared" si="6"/>
        <v>268.93596255705387</v>
      </c>
      <c r="H65" s="308">
        <f t="shared" si="6"/>
        <v>287.46915662705385</v>
      </c>
      <c r="I65" s="308"/>
    </row>
    <row r="67" spans="2:14" x14ac:dyDescent="0.25">
      <c r="B67" s="1859" t="s">
        <v>1101</v>
      </c>
      <c r="C67" s="1859"/>
      <c r="D67" s="1859"/>
      <c r="E67" s="1859"/>
      <c r="F67" s="1859"/>
      <c r="G67" s="1859"/>
      <c r="H67" s="1859"/>
      <c r="I67" s="1859"/>
      <c r="J67" s="1859"/>
      <c r="K67" s="1859"/>
      <c r="L67" s="1859"/>
    </row>
    <row r="68" spans="2:14" x14ac:dyDescent="0.25">
      <c r="B68" s="1861" t="s">
        <v>1102</v>
      </c>
      <c r="C68" s="1861"/>
      <c r="D68" s="1861"/>
      <c r="E68" s="1861"/>
      <c r="F68" s="1861"/>
      <c r="G68" s="1861"/>
      <c r="H68" s="1861"/>
      <c r="I68" s="1861"/>
      <c r="J68" s="1861"/>
      <c r="K68" s="1861"/>
      <c r="L68" s="1861"/>
      <c r="M68" s="1861"/>
      <c r="N68" s="1861"/>
    </row>
    <row r="69" spans="2:14" x14ac:dyDescent="0.25">
      <c r="B69" s="1861" t="s">
        <v>1103</v>
      </c>
      <c r="C69" s="1861"/>
      <c r="D69" s="1861"/>
      <c r="E69" s="1861"/>
      <c r="F69" s="1861"/>
      <c r="G69" s="1861"/>
      <c r="H69" s="1861"/>
      <c r="I69" s="1861"/>
      <c r="J69" s="1861"/>
      <c r="K69" s="1861"/>
      <c r="L69" s="1861"/>
      <c r="M69" s="1861"/>
      <c r="N69" s="1861"/>
    </row>
  </sheetData>
  <mergeCells count="17">
    <mergeCell ref="B67:L67"/>
    <mergeCell ref="B68:N68"/>
    <mergeCell ref="B69:N69"/>
    <mergeCell ref="I51:I53"/>
    <mergeCell ref="B29:B30"/>
    <mergeCell ref="C29:C30"/>
    <mergeCell ref="D29:D30"/>
    <mergeCell ref="B3:N3"/>
    <mergeCell ref="B2:N2"/>
    <mergeCell ref="C44:N44"/>
    <mergeCell ref="B4:N4"/>
    <mergeCell ref="D51:H51"/>
    <mergeCell ref="G7:I7"/>
    <mergeCell ref="B7:B9"/>
    <mergeCell ref="C7:C9"/>
    <mergeCell ref="D7:F7"/>
    <mergeCell ref="J7:L7"/>
  </mergeCells>
  <pageMargins left="1.02" right="0.25" top="1" bottom="1" header="0.25" footer="0.25"/>
  <pageSetup paperSize="9" scale="37" orientation="landscape" r:id="rId1"/>
  <headerFooter alignWithMargins="0">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Q66"/>
  <sheetViews>
    <sheetView showGridLines="0" view="pageBreakPreview" topLeftCell="A23" zoomScale="60" zoomScaleNormal="75" workbookViewId="0">
      <selection activeCell="D56" sqref="D56"/>
    </sheetView>
  </sheetViews>
  <sheetFormatPr defaultColWidth="9.36328125" defaultRowHeight="14" x14ac:dyDescent="0.3"/>
  <cols>
    <col min="1" max="1" width="4.36328125" style="5" customWidth="1"/>
    <col min="2" max="2" width="30.453125" style="5" customWidth="1"/>
    <col min="3" max="3" width="10.6328125" style="5" customWidth="1"/>
    <col min="4" max="4" width="12.36328125" style="5" bestFit="1" customWidth="1"/>
    <col min="5" max="5" width="10.6328125" style="5" customWidth="1"/>
    <col min="6" max="9" width="12.36328125" style="5" bestFit="1" customWidth="1"/>
    <col min="10" max="10" width="10.6328125" style="5" customWidth="1"/>
    <col min="11" max="12" width="12.36328125" style="5" bestFit="1" customWidth="1"/>
    <col min="13" max="13" width="10.6328125" style="5" customWidth="1"/>
    <col min="14" max="14" width="12.36328125" style="5" bestFit="1" customWidth="1"/>
    <col min="15" max="15" width="19.54296875" style="5" customWidth="1"/>
    <col min="16" max="16384" width="9.36328125" style="5"/>
  </cols>
  <sheetData>
    <row r="1" spans="2:15" x14ac:dyDescent="0.3">
      <c r="B1" s="71"/>
    </row>
    <row r="2" spans="2:15" x14ac:dyDescent="0.3">
      <c r="B2" s="1657" t="str">
        <f>Index!B2</f>
        <v xml:space="preserve">      Maharashtra State Power Generation Company Ltd.</v>
      </c>
      <c r="C2" s="1718"/>
      <c r="D2" s="1718"/>
      <c r="E2" s="1718"/>
      <c r="F2" s="1718"/>
      <c r="G2" s="1718"/>
      <c r="H2" s="1718"/>
      <c r="I2" s="1718"/>
      <c r="J2" s="1718"/>
      <c r="K2" s="1718"/>
      <c r="L2" s="1718"/>
      <c r="M2" s="1718"/>
      <c r="N2" s="1718"/>
      <c r="O2" s="1718"/>
    </row>
    <row r="3" spans="2:15" x14ac:dyDescent="0.3">
      <c r="B3" s="1657" t="str">
        <f>Index!B3</f>
        <v>MYT Petition Formats for Chandrapur Unit 3-7</v>
      </c>
      <c r="C3" s="1718"/>
      <c r="D3" s="1718"/>
      <c r="E3" s="1718"/>
      <c r="F3" s="1718"/>
      <c r="G3" s="1718"/>
      <c r="H3" s="1718"/>
      <c r="I3" s="1718"/>
      <c r="J3" s="1718"/>
      <c r="K3" s="1718"/>
      <c r="L3" s="1718"/>
      <c r="M3" s="1718"/>
      <c r="N3" s="1718"/>
      <c r="O3" s="1718"/>
    </row>
    <row r="4" spans="2:15" x14ac:dyDescent="0.3">
      <c r="B4" s="1728" t="s">
        <v>276</v>
      </c>
      <c r="C4" s="1864"/>
      <c r="D4" s="1864"/>
      <c r="E4" s="1864"/>
      <c r="F4" s="1864"/>
      <c r="G4" s="1864"/>
      <c r="H4" s="1864"/>
      <c r="I4" s="1864"/>
      <c r="J4" s="1864"/>
      <c r="K4" s="1864"/>
      <c r="L4" s="1864"/>
      <c r="M4" s="1864"/>
      <c r="N4" s="1864"/>
      <c r="O4" s="1864"/>
    </row>
    <row r="5" spans="2:15" x14ac:dyDescent="0.3">
      <c r="B5" s="17"/>
      <c r="C5" s="19"/>
      <c r="D5" s="19"/>
      <c r="E5" s="19"/>
      <c r="F5" s="19"/>
      <c r="G5" s="19"/>
      <c r="H5" s="19"/>
      <c r="I5" s="72"/>
    </row>
    <row r="6" spans="2:15" x14ac:dyDescent="0.3">
      <c r="B6" s="53" t="s">
        <v>726</v>
      </c>
      <c r="C6" s="19"/>
      <c r="D6" s="19"/>
      <c r="E6" s="19"/>
      <c r="F6" s="19"/>
      <c r="G6" s="19"/>
      <c r="H6" s="19"/>
      <c r="I6" s="72"/>
    </row>
    <row r="7" spans="2:15" x14ac:dyDescent="0.3">
      <c r="B7" s="53" t="s">
        <v>28</v>
      </c>
      <c r="C7" s="63"/>
      <c r="D7" s="63"/>
      <c r="O7" s="63" t="s">
        <v>277</v>
      </c>
    </row>
    <row r="8" spans="2:15" x14ac:dyDescent="0.3">
      <c r="B8" s="105" t="s">
        <v>278</v>
      </c>
      <c r="C8" s="231" t="s">
        <v>279</v>
      </c>
      <c r="D8" s="231" t="s">
        <v>280</v>
      </c>
      <c r="E8" s="106" t="s">
        <v>281</v>
      </c>
      <c r="F8" s="106" t="s">
        <v>282</v>
      </c>
      <c r="G8" s="106" t="s">
        <v>283</v>
      </c>
      <c r="H8" s="106" t="s">
        <v>284</v>
      </c>
      <c r="I8" s="106" t="s">
        <v>285</v>
      </c>
      <c r="J8" s="106" t="s">
        <v>286</v>
      </c>
      <c r="K8" s="106" t="s">
        <v>287</v>
      </c>
      <c r="L8" s="106" t="s">
        <v>288</v>
      </c>
      <c r="M8" s="106" t="s">
        <v>289</v>
      </c>
      <c r="N8" s="106" t="s">
        <v>290</v>
      </c>
      <c r="O8" s="106" t="s">
        <v>271</v>
      </c>
    </row>
    <row r="9" spans="2:15" x14ac:dyDescent="0.3">
      <c r="B9" s="148" t="s">
        <v>779</v>
      </c>
      <c r="C9" s="318">
        <f>'F9.1'!E16</f>
        <v>866.47900400000003</v>
      </c>
      <c r="D9" s="318">
        <f>'F9.1'!F16</f>
        <v>876.00778000000003</v>
      </c>
      <c r="E9" s="318">
        <f>'F9.1'!G16</f>
        <v>656.95428200000003</v>
      </c>
      <c r="F9" s="318">
        <f>'F9.1'!H16</f>
        <v>389.76561099999998</v>
      </c>
      <c r="G9" s="318">
        <f>'F9.1'!I16</f>
        <v>412.42157700000001</v>
      </c>
      <c r="H9" s="318">
        <f>'F9.1'!J16</f>
        <v>611.99031000000002</v>
      </c>
      <c r="I9" s="318">
        <f>'F9.1'!K16</f>
        <v>660.668046</v>
      </c>
      <c r="J9" s="318">
        <f>'F9.1'!L16</f>
        <v>669.26430000000005</v>
      </c>
      <c r="K9" s="318">
        <f>'F9.1'!M16</f>
        <v>577.50948400000004</v>
      </c>
      <c r="L9" s="318">
        <f>'F9.1'!N16</f>
        <v>539.18935799999997</v>
      </c>
      <c r="M9" s="318">
        <f>'F9.1'!O16</f>
        <v>466.17819800000001</v>
      </c>
      <c r="N9" s="318">
        <f>'F9.1'!P16</f>
        <v>769.74386600000003</v>
      </c>
      <c r="O9" s="318">
        <f>SUM(C9:N9)</f>
        <v>7496.1718159999991</v>
      </c>
    </row>
    <row r="10" spans="2:15" x14ac:dyDescent="0.3">
      <c r="B10" s="107"/>
      <c r="C10" s="318"/>
      <c r="D10" s="318"/>
      <c r="E10" s="318"/>
      <c r="F10" s="318"/>
      <c r="G10" s="318"/>
      <c r="H10" s="318"/>
      <c r="I10" s="318"/>
      <c r="J10" s="318"/>
      <c r="K10" s="318"/>
      <c r="L10" s="318"/>
      <c r="M10" s="318"/>
      <c r="N10" s="318"/>
      <c r="O10" s="318">
        <f>SUM(C10:N10)</f>
        <v>0</v>
      </c>
    </row>
    <row r="11" spans="2:15" x14ac:dyDescent="0.3">
      <c r="B11" s="73" t="s">
        <v>271</v>
      </c>
      <c r="C11" s="347">
        <f>SUM(C9:C10)</f>
        <v>866.47900400000003</v>
      </c>
      <c r="D11" s="347">
        <f t="shared" ref="D11:O11" si="0">SUM(D9:D10)</f>
        <v>876.00778000000003</v>
      </c>
      <c r="E11" s="347">
        <f t="shared" si="0"/>
        <v>656.95428200000003</v>
      </c>
      <c r="F11" s="347">
        <f t="shared" si="0"/>
        <v>389.76561099999998</v>
      </c>
      <c r="G11" s="347">
        <f t="shared" si="0"/>
        <v>412.42157700000001</v>
      </c>
      <c r="H11" s="347">
        <f t="shared" si="0"/>
        <v>611.99031000000002</v>
      </c>
      <c r="I11" s="347">
        <f t="shared" si="0"/>
        <v>660.668046</v>
      </c>
      <c r="J11" s="347">
        <f t="shared" si="0"/>
        <v>669.26430000000005</v>
      </c>
      <c r="K11" s="347">
        <f t="shared" si="0"/>
        <v>577.50948400000004</v>
      </c>
      <c r="L11" s="347">
        <f t="shared" si="0"/>
        <v>539.18935799999997</v>
      </c>
      <c r="M11" s="347">
        <f t="shared" si="0"/>
        <v>466.17819800000001</v>
      </c>
      <c r="N11" s="347">
        <f t="shared" si="0"/>
        <v>769.74386600000003</v>
      </c>
      <c r="O11" s="347">
        <f t="shared" si="0"/>
        <v>7496.1718159999991</v>
      </c>
    </row>
    <row r="12" spans="2:15" x14ac:dyDescent="0.3">
      <c r="B12" s="225"/>
      <c r="E12" s="233"/>
      <c r="F12" s="234"/>
      <c r="G12" s="233"/>
      <c r="H12" s="233"/>
    </row>
    <row r="13" spans="2:15" x14ac:dyDescent="0.3">
      <c r="B13" s="53" t="s">
        <v>978</v>
      </c>
      <c r="C13" s="19"/>
      <c r="D13" s="19"/>
      <c r="E13" s="19"/>
      <c r="F13" s="19"/>
      <c r="G13" s="19"/>
      <c r="H13" s="19"/>
      <c r="I13" s="72"/>
    </row>
    <row r="14" spans="2:15" x14ac:dyDescent="0.3">
      <c r="B14" s="53" t="s">
        <v>28</v>
      </c>
      <c r="C14" s="63"/>
      <c r="D14" s="63"/>
      <c r="O14" s="63" t="s">
        <v>277</v>
      </c>
    </row>
    <row r="15" spans="2:15" s="6" customFormat="1" ht="15" customHeight="1" x14ac:dyDescent="0.3">
      <c r="B15" s="105" t="s">
        <v>278</v>
      </c>
      <c r="C15" s="86" t="s">
        <v>279</v>
      </c>
      <c r="D15" s="86" t="s">
        <v>280</v>
      </c>
      <c r="E15" s="106" t="s">
        <v>281</v>
      </c>
      <c r="F15" s="106" t="s">
        <v>282</v>
      </c>
      <c r="G15" s="106" t="s">
        <v>283</v>
      </c>
      <c r="H15" s="106" t="s">
        <v>284</v>
      </c>
      <c r="I15" s="106" t="s">
        <v>285</v>
      </c>
      <c r="J15" s="106" t="s">
        <v>286</v>
      </c>
      <c r="K15" s="106" t="s">
        <v>287</v>
      </c>
      <c r="L15" s="106" t="s">
        <v>288</v>
      </c>
      <c r="M15" s="106" t="s">
        <v>289</v>
      </c>
      <c r="N15" s="106" t="s">
        <v>290</v>
      </c>
      <c r="O15" s="106" t="s">
        <v>271</v>
      </c>
    </row>
    <row r="16" spans="2:15" s="6" customFormat="1" x14ac:dyDescent="0.3">
      <c r="B16" s="148" t="s">
        <v>779</v>
      </c>
      <c r="C16" s="318">
        <f>'F9.1'!E43</f>
        <v>903.358521</v>
      </c>
      <c r="D16" s="318">
        <f>'F9.1'!F43</f>
        <v>865.09546499999999</v>
      </c>
      <c r="E16" s="318">
        <f>'F9.1'!G43</f>
        <v>621.297822</v>
      </c>
      <c r="F16" s="318">
        <f>'F9.1'!H43</f>
        <v>477.45249899999999</v>
      </c>
      <c r="G16" s="318">
        <f>'F9.1'!I43</f>
        <v>444.760943</v>
      </c>
      <c r="H16" s="318">
        <f>'F9.1'!J43</f>
        <v>384.12035500000002</v>
      </c>
      <c r="I16" s="318">
        <f>'F9.1'!K43</f>
        <v>582.49556399999994</v>
      </c>
      <c r="J16" s="318">
        <f>'F9.1'!L43</f>
        <v>815.90284399999996</v>
      </c>
      <c r="K16" s="318">
        <f>'F9.1'!M43</f>
        <v>680.79206899999997</v>
      </c>
      <c r="L16" s="318">
        <f>'F9.1'!N43</f>
        <v>746.65907000000004</v>
      </c>
      <c r="M16" s="318">
        <f>'F9.1'!O43</f>
        <v>699.47258799999997</v>
      </c>
      <c r="N16" s="318">
        <f>'F9.1'!P43</f>
        <v>886.01266699999996</v>
      </c>
      <c r="O16" s="318">
        <f>SUM(C16:N16)</f>
        <v>8107.4204069999996</v>
      </c>
    </row>
    <row r="17" spans="1:17" s="6" customFormat="1" x14ac:dyDescent="0.3">
      <c r="B17" s="107"/>
      <c r="C17" s="318"/>
      <c r="D17" s="318"/>
      <c r="E17" s="318"/>
      <c r="F17" s="318"/>
      <c r="G17" s="318"/>
      <c r="H17" s="318"/>
      <c r="I17" s="318"/>
      <c r="J17" s="318"/>
      <c r="K17" s="318"/>
      <c r="L17" s="318"/>
      <c r="M17" s="318"/>
      <c r="N17" s="318"/>
      <c r="O17" s="318">
        <f>SUM(C17:N17)</f>
        <v>0</v>
      </c>
    </row>
    <row r="18" spans="1:17" s="1" customFormat="1" x14ac:dyDescent="0.3">
      <c r="B18" s="73" t="s">
        <v>271</v>
      </c>
      <c r="C18" s="347">
        <f t="shared" ref="C18:O18" si="1">SUM(C16:C17)</f>
        <v>903.358521</v>
      </c>
      <c r="D18" s="347">
        <f t="shared" si="1"/>
        <v>865.09546499999999</v>
      </c>
      <c r="E18" s="347">
        <f t="shared" si="1"/>
        <v>621.297822</v>
      </c>
      <c r="F18" s="347">
        <f t="shared" si="1"/>
        <v>477.45249899999999</v>
      </c>
      <c r="G18" s="347">
        <f t="shared" si="1"/>
        <v>444.760943</v>
      </c>
      <c r="H18" s="347">
        <f t="shared" si="1"/>
        <v>384.12035500000002</v>
      </c>
      <c r="I18" s="347">
        <f t="shared" si="1"/>
        <v>582.49556399999994</v>
      </c>
      <c r="J18" s="347">
        <f t="shared" si="1"/>
        <v>815.90284399999996</v>
      </c>
      <c r="K18" s="347">
        <f t="shared" si="1"/>
        <v>680.79206899999997</v>
      </c>
      <c r="L18" s="347">
        <f t="shared" si="1"/>
        <v>746.65907000000004</v>
      </c>
      <c r="M18" s="347">
        <f t="shared" si="1"/>
        <v>699.47258799999997</v>
      </c>
      <c r="N18" s="347">
        <f t="shared" si="1"/>
        <v>886.01266699999996</v>
      </c>
      <c r="O18" s="347">
        <f t="shared" si="1"/>
        <v>8107.4204069999996</v>
      </c>
    </row>
    <row r="19" spans="1:17" s="1" customFormat="1" ht="16" x14ac:dyDescent="0.3">
      <c r="B19" s="53"/>
      <c r="C19" s="19"/>
      <c r="D19" s="19"/>
      <c r="E19" s="19"/>
      <c r="F19" s="19"/>
      <c r="G19" s="19"/>
      <c r="H19" s="19"/>
      <c r="I19" s="45"/>
      <c r="J19" s="69"/>
    </row>
    <row r="20" spans="1:17" s="1" customFormat="1" ht="16" x14ac:dyDescent="0.3">
      <c r="B20" s="53" t="s">
        <v>979</v>
      </c>
      <c r="C20" s="19"/>
      <c r="D20" s="19"/>
      <c r="E20" s="19"/>
      <c r="F20" s="19"/>
      <c r="G20" s="19"/>
      <c r="H20" s="19"/>
      <c r="I20" s="19"/>
      <c r="J20" s="19"/>
      <c r="K20" s="19"/>
      <c r="L20" s="19"/>
      <c r="M20" s="19"/>
      <c r="N20" s="19"/>
      <c r="O20" s="72"/>
      <c r="P20" s="45"/>
      <c r="Q20" s="69"/>
    </row>
    <row r="21" spans="1:17" s="1" customFormat="1" ht="16" x14ac:dyDescent="0.3">
      <c r="A21" s="1" t="s">
        <v>291</v>
      </c>
      <c r="B21" s="53" t="s">
        <v>12</v>
      </c>
      <c r="C21" s="63"/>
      <c r="D21" s="63"/>
      <c r="E21" s="5"/>
      <c r="F21" s="5"/>
      <c r="G21" s="5"/>
      <c r="H21" s="5"/>
      <c r="I21" s="5"/>
      <c r="J21" s="5"/>
      <c r="K21" s="5"/>
      <c r="L21" s="5"/>
      <c r="M21" s="5"/>
      <c r="N21" s="5"/>
      <c r="O21" s="63" t="s">
        <v>277</v>
      </c>
      <c r="P21" s="45"/>
    </row>
    <row r="22" spans="1:17" s="1" customFormat="1" ht="18.75" customHeight="1" x14ac:dyDescent="0.3">
      <c r="B22" s="1699" t="s">
        <v>278</v>
      </c>
      <c r="C22" s="1865" t="s">
        <v>292</v>
      </c>
      <c r="D22" s="1865"/>
      <c r="E22" s="1865"/>
      <c r="F22" s="1865"/>
      <c r="G22" s="1865"/>
      <c r="H22" s="1865"/>
      <c r="I22" s="1865"/>
      <c r="J22" s="1865"/>
      <c r="K22" s="1701" t="s">
        <v>12</v>
      </c>
      <c r="L22" s="1701"/>
      <c r="M22" s="1701"/>
      <c r="N22" s="1701"/>
      <c r="O22" s="86" t="s">
        <v>293</v>
      </c>
      <c r="P22" s="45"/>
      <c r="Q22" s="45"/>
    </row>
    <row r="23" spans="1:17" s="35" customFormat="1" x14ac:dyDescent="0.3">
      <c r="B23" s="1699"/>
      <c r="C23" s="86" t="s">
        <v>279</v>
      </c>
      <c r="D23" s="86" t="s">
        <v>280</v>
      </c>
      <c r="E23" s="106" t="s">
        <v>281</v>
      </c>
      <c r="F23" s="106" t="s">
        <v>282</v>
      </c>
      <c r="G23" s="106" t="s">
        <v>283</v>
      </c>
      <c r="H23" s="106" t="s">
        <v>284</v>
      </c>
      <c r="I23" s="106" t="s">
        <v>285</v>
      </c>
      <c r="J23" s="106" t="s">
        <v>286</v>
      </c>
      <c r="K23" s="106" t="s">
        <v>287</v>
      </c>
      <c r="L23" s="106" t="s">
        <v>288</v>
      </c>
      <c r="M23" s="106" t="s">
        <v>289</v>
      </c>
      <c r="N23" s="106" t="s">
        <v>290</v>
      </c>
      <c r="O23" s="108"/>
    </row>
    <row r="24" spans="1:17" s="6" customFormat="1" x14ac:dyDescent="0.3">
      <c r="B24" s="148" t="s">
        <v>779</v>
      </c>
      <c r="C24" s="445">
        <f>'F2.2'!$Q$37*30/365</f>
        <v>864.10721031830485</v>
      </c>
      <c r="D24" s="445">
        <f>'F2.2'!$Q$37*31/365</f>
        <v>892.91078399558171</v>
      </c>
      <c r="E24" s="445">
        <f>'F2.2'!$Q$37*30/365</f>
        <v>864.10721031830485</v>
      </c>
      <c r="F24" s="445">
        <f>'F2.2'!$Q$37*31/365</f>
        <v>892.91078399558171</v>
      </c>
      <c r="G24" s="445">
        <f>'F2.2'!$Q$37*31/365</f>
        <v>892.91078399558171</v>
      </c>
      <c r="H24" s="445">
        <f>'F2.2'!$Q$37*30/365</f>
        <v>864.10721031830485</v>
      </c>
      <c r="I24" s="764">
        <v>1027.179227886194</v>
      </c>
      <c r="J24" s="764">
        <v>994.04441408341347</v>
      </c>
      <c r="K24" s="764">
        <v>1027.179227886194</v>
      </c>
      <c r="L24" s="764">
        <v>1027.179227886194</v>
      </c>
      <c r="M24" s="764">
        <v>927.77478647785256</v>
      </c>
      <c r="N24" s="764">
        <v>1027.179227886194</v>
      </c>
      <c r="O24" s="318">
        <f>SUM(C24:N24)</f>
        <v>11301.590095047703</v>
      </c>
    </row>
    <row r="25" spans="1:17" s="6" customFormat="1" x14ac:dyDescent="0.3">
      <c r="B25" s="107"/>
      <c r="C25" s="318"/>
      <c r="D25" s="318"/>
      <c r="E25" s="318"/>
      <c r="F25" s="318"/>
      <c r="G25" s="318"/>
      <c r="H25" s="318"/>
      <c r="I25" s="318"/>
      <c r="J25" s="318"/>
      <c r="K25" s="318"/>
      <c r="L25" s="318"/>
      <c r="M25" s="318"/>
      <c r="N25" s="318"/>
      <c r="O25" s="318">
        <f>SUM(C25:N25)</f>
        <v>0</v>
      </c>
    </row>
    <row r="26" spans="1:17" s="1" customFormat="1" x14ac:dyDescent="0.3">
      <c r="B26" s="73" t="s">
        <v>271</v>
      </c>
      <c r="C26" s="347">
        <f t="shared" ref="C26:O26" si="2">SUM(C24:C25)</f>
        <v>864.10721031830485</v>
      </c>
      <c r="D26" s="347">
        <f t="shared" si="2"/>
        <v>892.91078399558171</v>
      </c>
      <c r="E26" s="347">
        <f t="shared" si="2"/>
        <v>864.10721031830485</v>
      </c>
      <c r="F26" s="347">
        <f t="shared" si="2"/>
        <v>892.91078399558171</v>
      </c>
      <c r="G26" s="347">
        <f t="shared" si="2"/>
        <v>892.91078399558171</v>
      </c>
      <c r="H26" s="347">
        <f t="shared" si="2"/>
        <v>864.10721031830485</v>
      </c>
      <c r="I26" s="347">
        <f t="shared" si="2"/>
        <v>1027.179227886194</v>
      </c>
      <c r="J26" s="347">
        <f t="shared" si="2"/>
        <v>994.04441408341347</v>
      </c>
      <c r="K26" s="347">
        <f t="shared" si="2"/>
        <v>1027.179227886194</v>
      </c>
      <c r="L26" s="347">
        <f t="shared" si="2"/>
        <v>1027.179227886194</v>
      </c>
      <c r="M26" s="347">
        <f t="shared" si="2"/>
        <v>927.77478647785256</v>
      </c>
      <c r="N26" s="347">
        <f t="shared" si="2"/>
        <v>1027.179227886194</v>
      </c>
      <c r="O26" s="347">
        <f t="shared" si="2"/>
        <v>11301.590095047703</v>
      </c>
    </row>
    <row r="28" spans="1:17" s="1" customFormat="1" ht="16" x14ac:dyDescent="0.3">
      <c r="B28" s="53"/>
      <c r="C28" s="19"/>
      <c r="D28" s="19"/>
      <c r="E28" s="19"/>
      <c r="F28" s="19"/>
      <c r="G28" s="19"/>
      <c r="H28" s="19"/>
      <c r="I28" s="19"/>
      <c r="J28" s="19"/>
      <c r="K28" s="19"/>
      <c r="L28" s="19"/>
      <c r="M28" s="19"/>
      <c r="N28" s="19"/>
      <c r="O28" s="72"/>
      <c r="P28" s="45"/>
      <c r="Q28" s="69"/>
    </row>
    <row r="29" spans="1:17" x14ac:dyDescent="0.3">
      <c r="B29" s="53" t="s">
        <v>980</v>
      </c>
      <c r="C29" s="19"/>
      <c r="D29" s="19"/>
      <c r="E29" s="19"/>
      <c r="F29" s="19"/>
      <c r="G29" s="19"/>
      <c r="H29" s="19"/>
      <c r="I29" s="72"/>
    </row>
    <row r="30" spans="1:17" x14ac:dyDescent="0.3">
      <c r="B30" s="53" t="s">
        <v>710</v>
      </c>
      <c r="C30" s="63"/>
      <c r="D30" s="63"/>
      <c r="O30" s="63" t="s">
        <v>277</v>
      </c>
    </row>
    <row r="31" spans="1:17" x14ac:dyDescent="0.3">
      <c r="B31" s="105" t="s">
        <v>278</v>
      </c>
      <c r="C31" s="231" t="s">
        <v>279</v>
      </c>
      <c r="D31" s="231" t="s">
        <v>280</v>
      </c>
      <c r="E31" s="106" t="s">
        <v>281</v>
      </c>
      <c r="F31" s="106" t="s">
        <v>282</v>
      </c>
      <c r="G31" s="106" t="s">
        <v>283</v>
      </c>
      <c r="H31" s="106" t="s">
        <v>284</v>
      </c>
      <c r="I31" s="106" t="s">
        <v>285</v>
      </c>
      <c r="J31" s="106" t="s">
        <v>286</v>
      </c>
      <c r="K31" s="106" t="s">
        <v>287</v>
      </c>
      <c r="L31" s="106" t="s">
        <v>288</v>
      </c>
      <c r="M31" s="106" t="s">
        <v>289</v>
      </c>
      <c r="N31" s="106" t="s">
        <v>290</v>
      </c>
      <c r="O31" s="106" t="s">
        <v>271</v>
      </c>
    </row>
    <row r="32" spans="1:17" x14ac:dyDescent="0.3">
      <c r="B32" s="148" t="s">
        <v>779</v>
      </c>
      <c r="C32" s="445">
        <f>'F2.2'!$S$37*30/365</f>
        <v>1002.2156509753548</v>
      </c>
      <c r="D32" s="445">
        <f>'F2.2'!$S$37*31/365</f>
        <v>1035.6228393412</v>
      </c>
      <c r="E32" s="445">
        <f>'F2.2'!$S$37*30/365</f>
        <v>1002.2156509753548</v>
      </c>
      <c r="F32" s="445">
        <f>'F2.2'!$S$37*31/365</f>
        <v>1035.6228393412</v>
      </c>
      <c r="G32" s="445">
        <f>'F2.2'!$S$37*31/365</f>
        <v>1035.6228393412</v>
      </c>
      <c r="H32" s="445">
        <f>'F2.2'!$S$37*30/365</f>
        <v>1002.2156509753548</v>
      </c>
      <c r="I32" s="445">
        <f>'F2.2'!$S$37*31/365</f>
        <v>1035.6228393412</v>
      </c>
      <c r="J32" s="445">
        <f>'F2.2'!$S$37*30/365</f>
        <v>1002.2156509753548</v>
      </c>
      <c r="K32" s="445">
        <f>'F2.2'!$S$37*31/365</f>
        <v>1035.6228393412</v>
      </c>
      <c r="L32" s="445">
        <f>'F2.2'!$S$37*31/365</f>
        <v>1035.6228393412</v>
      </c>
      <c r="M32" s="445">
        <f>'F2.2'!$S$37*28/365</f>
        <v>935.4012742436646</v>
      </c>
      <c r="N32" s="445">
        <f>'F2.2'!$S$37*31/365</f>
        <v>1035.6228393412</v>
      </c>
      <c r="O32" s="445">
        <f>SUM(C32:N32)</f>
        <v>12193.623753533484</v>
      </c>
    </row>
    <row r="33" spans="2:15" x14ac:dyDescent="0.3">
      <c r="B33" s="107"/>
      <c r="C33" s="318"/>
      <c r="D33" s="318"/>
      <c r="E33" s="318"/>
      <c r="F33" s="318"/>
      <c r="G33" s="318"/>
      <c r="H33" s="318"/>
      <c r="I33" s="318"/>
      <c r="J33" s="318"/>
      <c r="K33" s="318"/>
      <c r="L33" s="318"/>
      <c r="M33" s="318"/>
      <c r="N33" s="318"/>
      <c r="O33" s="318">
        <f>SUM(C33:N33)</f>
        <v>0</v>
      </c>
    </row>
    <row r="34" spans="2:15" x14ac:dyDescent="0.3">
      <c r="B34" s="73" t="s">
        <v>271</v>
      </c>
      <c r="C34" s="347">
        <f t="shared" ref="C34:O34" si="3">SUM(C32:C33)</f>
        <v>1002.2156509753548</v>
      </c>
      <c r="D34" s="347">
        <f t="shared" si="3"/>
        <v>1035.6228393412</v>
      </c>
      <c r="E34" s="347">
        <f t="shared" si="3"/>
        <v>1002.2156509753548</v>
      </c>
      <c r="F34" s="347">
        <f t="shared" si="3"/>
        <v>1035.6228393412</v>
      </c>
      <c r="G34" s="347">
        <f t="shared" si="3"/>
        <v>1035.6228393412</v>
      </c>
      <c r="H34" s="347">
        <f t="shared" si="3"/>
        <v>1002.2156509753548</v>
      </c>
      <c r="I34" s="347">
        <f t="shared" si="3"/>
        <v>1035.6228393412</v>
      </c>
      <c r="J34" s="347">
        <f t="shared" si="3"/>
        <v>1002.2156509753548</v>
      </c>
      <c r="K34" s="347">
        <f t="shared" si="3"/>
        <v>1035.6228393412</v>
      </c>
      <c r="L34" s="347">
        <f t="shared" si="3"/>
        <v>1035.6228393412</v>
      </c>
      <c r="M34" s="347">
        <f t="shared" si="3"/>
        <v>935.4012742436646</v>
      </c>
      <c r="N34" s="347">
        <f t="shared" si="3"/>
        <v>1035.6228393412</v>
      </c>
      <c r="O34" s="347">
        <f t="shared" si="3"/>
        <v>12193.623753533484</v>
      </c>
    </row>
    <row r="37" spans="2:15" x14ac:dyDescent="0.3">
      <c r="B37" s="53" t="s">
        <v>981</v>
      </c>
      <c r="C37" s="19"/>
      <c r="D37" s="19"/>
      <c r="E37" s="19"/>
      <c r="F37" s="19"/>
      <c r="G37" s="19"/>
      <c r="H37" s="19"/>
      <c r="I37" s="72"/>
    </row>
    <row r="38" spans="2:15" x14ac:dyDescent="0.3">
      <c r="B38" s="53" t="s">
        <v>710</v>
      </c>
      <c r="C38" s="63"/>
      <c r="D38" s="63"/>
      <c r="O38" s="63" t="s">
        <v>277</v>
      </c>
    </row>
    <row r="39" spans="2:15" x14ac:dyDescent="0.3">
      <c r="B39" s="105" t="s">
        <v>278</v>
      </c>
      <c r="C39" s="86" t="s">
        <v>279</v>
      </c>
      <c r="D39" s="86" t="s">
        <v>280</v>
      </c>
      <c r="E39" s="106" t="s">
        <v>281</v>
      </c>
      <c r="F39" s="106" t="s">
        <v>282</v>
      </c>
      <c r="G39" s="106" t="s">
        <v>283</v>
      </c>
      <c r="H39" s="106" t="s">
        <v>284</v>
      </c>
      <c r="I39" s="106" t="s">
        <v>285</v>
      </c>
      <c r="J39" s="106" t="s">
        <v>286</v>
      </c>
      <c r="K39" s="106" t="s">
        <v>287</v>
      </c>
      <c r="L39" s="106" t="s">
        <v>288</v>
      </c>
      <c r="M39" s="106" t="s">
        <v>289</v>
      </c>
      <c r="N39" s="106" t="s">
        <v>290</v>
      </c>
      <c r="O39" s="106" t="s">
        <v>271</v>
      </c>
    </row>
    <row r="40" spans="2:15" x14ac:dyDescent="0.3">
      <c r="B40" s="148" t="s">
        <v>779</v>
      </c>
      <c r="C40" s="445">
        <f>'F2.2'!$T$37*30/365</f>
        <v>1002.1666501563905</v>
      </c>
      <c r="D40" s="445">
        <f>'F2.2'!$T$37*31/365</f>
        <v>1035.5722051616035</v>
      </c>
      <c r="E40" s="445">
        <f>'F2.2'!$T$37*30/365</f>
        <v>1002.1666501563905</v>
      </c>
      <c r="F40" s="445">
        <f>'F2.2'!$T$37*31/365</f>
        <v>1035.5722051616035</v>
      </c>
      <c r="G40" s="445">
        <f>'F2.2'!$T$37*31/365</f>
        <v>1035.5722051616035</v>
      </c>
      <c r="H40" s="445">
        <f>'F2.2'!$T$37*30/365</f>
        <v>1002.1666501563905</v>
      </c>
      <c r="I40" s="445">
        <f>'F2.2'!$T$37*31/365</f>
        <v>1035.5722051616035</v>
      </c>
      <c r="J40" s="445">
        <f>'F2.2'!$T$37*30/365</f>
        <v>1002.1666501563905</v>
      </c>
      <c r="K40" s="445">
        <f>'F2.2'!$T$37*31/365</f>
        <v>1035.5722051616035</v>
      </c>
      <c r="L40" s="445">
        <f>'F2.2'!$T$37*31/365</f>
        <v>1035.5722051616035</v>
      </c>
      <c r="M40" s="445">
        <f>'F2.2'!$T$37*28/365</f>
        <v>935.3555401459646</v>
      </c>
      <c r="N40" s="445">
        <f>'F2.2'!$T$37*31/365</f>
        <v>1035.5722051616035</v>
      </c>
      <c r="O40" s="445">
        <f>SUM(C40:N40)</f>
        <v>12193.02757690275</v>
      </c>
    </row>
    <row r="41" spans="2:15" x14ac:dyDescent="0.3">
      <c r="B41" s="107"/>
      <c r="C41" s="318"/>
      <c r="D41" s="318"/>
      <c r="E41" s="318"/>
      <c r="F41" s="318"/>
      <c r="G41" s="318"/>
      <c r="H41" s="318"/>
      <c r="I41" s="318"/>
      <c r="J41" s="318"/>
      <c r="K41" s="318"/>
      <c r="L41" s="318"/>
      <c r="M41" s="318"/>
      <c r="N41" s="318"/>
      <c r="O41" s="318">
        <f>SUM(C41:N41)</f>
        <v>0</v>
      </c>
    </row>
    <row r="42" spans="2:15" x14ac:dyDescent="0.3">
      <c r="B42" s="73" t="s">
        <v>271</v>
      </c>
      <c r="C42" s="347">
        <f>SUM(C40:C41)</f>
        <v>1002.1666501563905</v>
      </c>
      <c r="D42" s="347">
        <f t="shared" ref="D42:O42" si="4">SUM(D40:D41)</f>
        <v>1035.5722051616035</v>
      </c>
      <c r="E42" s="347">
        <f t="shared" si="4"/>
        <v>1002.1666501563905</v>
      </c>
      <c r="F42" s="347">
        <f t="shared" si="4"/>
        <v>1035.5722051616035</v>
      </c>
      <c r="G42" s="347">
        <f t="shared" si="4"/>
        <v>1035.5722051616035</v>
      </c>
      <c r="H42" s="347">
        <f t="shared" si="4"/>
        <v>1002.1666501563905</v>
      </c>
      <c r="I42" s="347">
        <f t="shared" si="4"/>
        <v>1035.5722051616035</v>
      </c>
      <c r="J42" s="347">
        <f t="shared" si="4"/>
        <v>1002.1666501563905</v>
      </c>
      <c r="K42" s="347">
        <f t="shared" si="4"/>
        <v>1035.5722051616035</v>
      </c>
      <c r="L42" s="347">
        <f t="shared" si="4"/>
        <v>1035.5722051616035</v>
      </c>
      <c r="M42" s="347">
        <f t="shared" si="4"/>
        <v>935.3555401459646</v>
      </c>
      <c r="N42" s="347">
        <f t="shared" si="4"/>
        <v>1035.5722051616035</v>
      </c>
      <c r="O42" s="347">
        <f t="shared" si="4"/>
        <v>12193.02757690275</v>
      </c>
    </row>
    <row r="45" spans="2:15" x14ac:dyDescent="0.3">
      <c r="B45" s="53" t="s">
        <v>982</v>
      </c>
      <c r="C45" s="19"/>
      <c r="D45" s="19"/>
      <c r="E45" s="19"/>
      <c r="F45" s="19"/>
      <c r="G45" s="19"/>
      <c r="H45" s="19"/>
      <c r="I45" s="72"/>
    </row>
    <row r="46" spans="2:15" x14ac:dyDescent="0.3">
      <c r="B46" s="53" t="s">
        <v>710</v>
      </c>
      <c r="C46" s="63"/>
      <c r="D46" s="63"/>
      <c r="O46" s="63" t="s">
        <v>277</v>
      </c>
    </row>
    <row r="47" spans="2:15" x14ac:dyDescent="0.3">
      <c r="B47" s="105" t="s">
        <v>278</v>
      </c>
      <c r="C47" s="690" t="s">
        <v>279</v>
      </c>
      <c r="D47" s="690" t="s">
        <v>280</v>
      </c>
      <c r="E47" s="106" t="s">
        <v>281</v>
      </c>
      <c r="F47" s="106" t="s">
        <v>282</v>
      </c>
      <c r="G47" s="106" t="s">
        <v>283</v>
      </c>
      <c r="H47" s="106" t="s">
        <v>284</v>
      </c>
      <c r="I47" s="106" t="s">
        <v>285</v>
      </c>
      <c r="J47" s="106" t="s">
        <v>286</v>
      </c>
      <c r="K47" s="106" t="s">
        <v>287</v>
      </c>
      <c r="L47" s="106" t="s">
        <v>288</v>
      </c>
      <c r="M47" s="106" t="s">
        <v>289</v>
      </c>
      <c r="N47" s="106" t="s">
        <v>290</v>
      </c>
      <c r="O47" s="106" t="s">
        <v>271</v>
      </c>
    </row>
    <row r="48" spans="2:15" x14ac:dyDescent="0.3">
      <c r="B48" s="148" t="s">
        <v>779</v>
      </c>
      <c r="C48" s="445">
        <f>'F2.2'!$U$37*30/366</f>
        <v>986.68470114682259</v>
      </c>
      <c r="D48" s="445">
        <f>'F2.2'!$U$37*31/366</f>
        <v>1019.57419118505</v>
      </c>
      <c r="E48" s="445">
        <f>'F2.2'!$U$37*30/366</f>
        <v>986.68470114682259</v>
      </c>
      <c r="F48" s="445">
        <f>'F2.2'!$U$37*31/366</f>
        <v>1019.57419118505</v>
      </c>
      <c r="G48" s="445">
        <f>'F2.2'!$U$37*31/366</f>
        <v>1019.57419118505</v>
      </c>
      <c r="H48" s="445">
        <f>'F2.2'!$U$37*30/366</f>
        <v>986.68470114682259</v>
      </c>
      <c r="I48" s="445">
        <f>'F2.2'!$U$37*31/366</f>
        <v>1019.57419118505</v>
      </c>
      <c r="J48" s="445">
        <f>'F2.2'!$U$37*30/366</f>
        <v>986.68470114682259</v>
      </c>
      <c r="K48" s="445">
        <f>'F2.2'!$U$37*31/366</f>
        <v>1019.57419118505</v>
      </c>
      <c r="L48" s="445">
        <f>'F2.2'!$U$37*31/366</f>
        <v>1019.57419118505</v>
      </c>
      <c r="M48" s="445">
        <f>'F2.2'!$U$37*29/366</f>
        <v>953.79521110859514</v>
      </c>
      <c r="N48" s="445">
        <f>'F2.2'!$U$37*31/366</f>
        <v>1019.57419118505</v>
      </c>
      <c r="O48" s="445">
        <f>SUM(C48:N48)</f>
        <v>12037.553353991232</v>
      </c>
    </row>
    <row r="49" spans="2:15" x14ac:dyDescent="0.3">
      <c r="B49" s="107"/>
      <c r="C49" s="318"/>
      <c r="D49" s="318"/>
      <c r="E49" s="318"/>
      <c r="F49" s="318"/>
      <c r="G49" s="318"/>
      <c r="H49" s="318"/>
      <c r="I49" s="318"/>
      <c r="J49" s="318"/>
      <c r="K49" s="318"/>
      <c r="L49" s="318"/>
      <c r="M49" s="318"/>
      <c r="N49" s="318"/>
      <c r="O49" s="318">
        <f>SUM(C49:N49)</f>
        <v>0</v>
      </c>
    </row>
    <row r="50" spans="2:15" x14ac:dyDescent="0.3">
      <c r="B50" s="73" t="s">
        <v>271</v>
      </c>
      <c r="C50" s="347">
        <f>SUM(C48:C49)</f>
        <v>986.68470114682259</v>
      </c>
      <c r="D50" s="347">
        <f t="shared" ref="D50:O50" si="5">SUM(D48:D49)</f>
        <v>1019.57419118505</v>
      </c>
      <c r="E50" s="347">
        <f t="shared" si="5"/>
        <v>986.68470114682259</v>
      </c>
      <c r="F50" s="347">
        <f t="shared" si="5"/>
        <v>1019.57419118505</v>
      </c>
      <c r="G50" s="347">
        <f t="shared" si="5"/>
        <v>1019.57419118505</v>
      </c>
      <c r="H50" s="347">
        <f t="shared" si="5"/>
        <v>986.68470114682259</v>
      </c>
      <c r="I50" s="347">
        <f t="shared" si="5"/>
        <v>1019.57419118505</v>
      </c>
      <c r="J50" s="347">
        <f t="shared" si="5"/>
        <v>986.68470114682259</v>
      </c>
      <c r="K50" s="347">
        <f t="shared" si="5"/>
        <v>1019.57419118505</v>
      </c>
      <c r="L50" s="347">
        <f t="shared" si="5"/>
        <v>1019.57419118505</v>
      </c>
      <c r="M50" s="347">
        <f t="shared" si="5"/>
        <v>953.79521110859514</v>
      </c>
      <c r="N50" s="347">
        <f t="shared" si="5"/>
        <v>1019.57419118505</v>
      </c>
      <c r="O50" s="347">
        <f t="shared" si="5"/>
        <v>12037.553353991232</v>
      </c>
    </row>
    <row r="53" spans="2:15" x14ac:dyDescent="0.3">
      <c r="B53" s="53" t="s">
        <v>983</v>
      </c>
      <c r="C53" s="19"/>
      <c r="D53" s="19"/>
      <c r="E53" s="19"/>
      <c r="F53" s="19"/>
      <c r="G53" s="19"/>
      <c r="H53" s="19"/>
      <c r="I53" s="72"/>
    </row>
    <row r="54" spans="2:15" x14ac:dyDescent="0.3">
      <c r="B54" s="53" t="s">
        <v>710</v>
      </c>
      <c r="C54" s="63"/>
      <c r="D54" s="63"/>
      <c r="O54" s="63" t="s">
        <v>277</v>
      </c>
    </row>
    <row r="55" spans="2:15" x14ac:dyDescent="0.3">
      <c r="B55" s="105" t="s">
        <v>278</v>
      </c>
      <c r="C55" s="690" t="s">
        <v>279</v>
      </c>
      <c r="D55" s="690" t="s">
        <v>280</v>
      </c>
      <c r="E55" s="106" t="s">
        <v>281</v>
      </c>
      <c r="F55" s="106" t="s">
        <v>282</v>
      </c>
      <c r="G55" s="106" t="s">
        <v>283</v>
      </c>
      <c r="H55" s="106" t="s">
        <v>284</v>
      </c>
      <c r="I55" s="106" t="s">
        <v>285</v>
      </c>
      <c r="J55" s="106" t="s">
        <v>286</v>
      </c>
      <c r="K55" s="106" t="s">
        <v>287</v>
      </c>
      <c r="L55" s="106" t="s">
        <v>288</v>
      </c>
      <c r="M55" s="106" t="s">
        <v>289</v>
      </c>
      <c r="N55" s="106" t="s">
        <v>290</v>
      </c>
      <c r="O55" s="106" t="s">
        <v>271</v>
      </c>
    </row>
    <row r="56" spans="2:15" x14ac:dyDescent="0.3">
      <c r="B56" s="148" t="s">
        <v>779</v>
      </c>
      <c r="C56" s="445">
        <f>'F2.2'!$V$37*30/365</f>
        <v>989.31633611492521</v>
      </c>
      <c r="D56" s="445">
        <f>'F2.2'!$V$37*31/365</f>
        <v>1022.2935473187561</v>
      </c>
      <c r="E56" s="445">
        <f>'F2.2'!$V$37*30/365</f>
        <v>989.31633611492521</v>
      </c>
      <c r="F56" s="445">
        <f>'F2.2'!$V$37*31/365</f>
        <v>1022.2935473187561</v>
      </c>
      <c r="G56" s="445">
        <f>'F2.2'!$V$37*31/365</f>
        <v>1022.2935473187561</v>
      </c>
      <c r="H56" s="445">
        <f>'F2.2'!$V$37*30/365</f>
        <v>989.31633611492521</v>
      </c>
      <c r="I56" s="445">
        <f>'F2.2'!$V$37*31/365</f>
        <v>1022.2935473187561</v>
      </c>
      <c r="J56" s="445">
        <f>'F2.2'!$V$37*30/365</f>
        <v>989.31633611492521</v>
      </c>
      <c r="K56" s="445">
        <f>'F2.2'!$V$37*31/365</f>
        <v>1022.2935473187561</v>
      </c>
      <c r="L56" s="445">
        <f>'F2.2'!$V$37*31/365</f>
        <v>1022.2935473187561</v>
      </c>
      <c r="M56" s="445">
        <f>'F2.2'!$V$37*28/365</f>
        <v>923.36191370726362</v>
      </c>
      <c r="N56" s="445">
        <f>'F2.2'!$V$37*31/365</f>
        <v>1022.2935473187561</v>
      </c>
      <c r="O56" s="445">
        <f>SUM(C56:N56)</f>
        <v>12036.682089398257</v>
      </c>
    </row>
    <row r="57" spans="2:15" x14ac:dyDescent="0.3">
      <c r="B57" s="107"/>
      <c r="C57" s="318"/>
      <c r="D57" s="318"/>
      <c r="E57" s="318"/>
      <c r="F57" s="318"/>
      <c r="G57" s="318"/>
      <c r="H57" s="318"/>
      <c r="I57" s="318"/>
      <c r="J57" s="318"/>
      <c r="K57" s="318"/>
      <c r="L57" s="318"/>
      <c r="M57" s="318"/>
      <c r="N57" s="318"/>
      <c r="O57" s="318">
        <f>SUM(C57:N57)</f>
        <v>0</v>
      </c>
    </row>
    <row r="58" spans="2:15" x14ac:dyDescent="0.3">
      <c r="B58" s="73" t="s">
        <v>271</v>
      </c>
      <c r="C58" s="347">
        <f>SUM(C56:C57)</f>
        <v>989.31633611492521</v>
      </c>
      <c r="D58" s="347">
        <f t="shared" ref="D58:O58" si="6">SUM(D56:D57)</f>
        <v>1022.2935473187561</v>
      </c>
      <c r="E58" s="347">
        <f t="shared" si="6"/>
        <v>989.31633611492521</v>
      </c>
      <c r="F58" s="347">
        <f t="shared" si="6"/>
        <v>1022.2935473187561</v>
      </c>
      <c r="G58" s="347">
        <f t="shared" si="6"/>
        <v>1022.2935473187561</v>
      </c>
      <c r="H58" s="347">
        <f t="shared" si="6"/>
        <v>989.31633611492521</v>
      </c>
      <c r="I58" s="347">
        <f t="shared" si="6"/>
        <v>1022.2935473187561</v>
      </c>
      <c r="J58" s="347">
        <f t="shared" si="6"/>
        <v>989.31633611492521</v>
      </c>
      <c r="K58" s="347">
        <f t="shared" si="6"/>
        <v>1022.2935473187561</v>
      </c>
      <c r="L58" s="347">
        <f t="shared" si="6"/>
        <v>1022.2935473187561</v>
      </c>
      <c r="M58" s="347">
        <f t="shared" si="6"/>
        <v>923.36191370726362</v>
      </c>
      <c r="N58" s="347">
        <f t="shared" si="6"/>
        <v>1022.2935473187561</v>
      </c>
      <c r="O58" s="347">
        <f t="shared" si="6"/>
        <v>12036.682089398257</v>
      </c>
    </row>
    <row r="61" spans="2:15" x14ac:dyDescent="0.3">
      <c r="B61" s="53" t="s">
        <v>984</v>
      </c>
      <c r="C61" s="19"/>
      <c r="D61" s="19"/>
      <c r="E61" s="19"/>
      <c r="F61" s="19"/>
      <c r="G61" s="19"/>
      <c r="H61" s="19"/>
      <c r="I61" s="72"/>
    </row>
    <row r="62" spans="2:15" x14ac:dyDescent="0.3">
      <c r="B62" s="53" t="s">
        <v>710</v>
      </c>
      <c r="C62" s="63"/>
      <c r="D62" s="63"/>
      <c r="O62" s="63" t="s">
        <v>277</v>
      </c>
    </row>
    <row r="63" spans="2:15" x14ac:dyDescent="0.3">
      <c r="B63" s="105" t="s">
        <v>278</v>
      </c>
      <c r="C63" s="690" t="s">
        <v>279</v>
      </c>
      <c r="D63" s="690" t="s">
        <v>280</v>
      </c>
      <c r="E63" s="106" t="s">
        <v>281</v>
      </c>
      <c r="F63" s="106" t="s">
        <v>282</v>
      </c>
      <c r="G63" s="106" t="s">
        <v>283</v>
      </c>
      <c r="H63" s="106" t="s">
        <v>284</v>
      </c>
      <c r="I63" s="106" t="s">
        <v>285</v>
      </c>
      <c r="J63" s="106" t="s">
        <v>286</v>
      </c>
      <c r="K63" s="106" t="s">
        <v>287</v>
      </c>
      <c r="L63" s="106" t="s">
        <v>288</v>
      </c>
      <c r="M63" s="106" t="s">
        <v>289</v>
      </c>
      <c r="N63" s="106" t="s">
        <v>290</v>
      </c>
      <c r="O63" s="106" t="s">
        <v>271</v>
      </c>
    </row>
    <row r="64" spans="2:15" x14ac:dyDescent="0.3">
      <c r="B64" s="148" t="s">
        <v>779</v>
      </c>
      <c r="C64" s="445">
        <f>'F2.2'!$W$37*30/365</f>
        <v>989.36650461900149</v>
      </c>
      <c r="D64" s="445">
        <f>'F2.2'!$V$37*31/365</f>
        <v>1022.2935473187561</v>
      </c>
      <c r="E64" s="445">
        <f>'F2.2'!$V$37*30/365</f>
        <v>989.31633611492521</v>
      </c>
      <c r="F64" s="445">
        <f>'F2.2'!$V$37*31/365</f>
        <v>1022.2935473187561</v>
      </c>
      <c r="G64" s="445">
        <f>'F2.2'!$V$37*31/365</f>
        <v>1022.2935473187561</v>
      </c>
      <c r="H64" s="445">
        <f>'F2.2'!$V$37*30/365</f>
        <v>989.31633611492521</v>
      </c>
      <c r="I64" s="445">
        <f>'F2.2'!$V$37*31/365</f>
        <v>1022.2935473187561</v>
      </c>
      <c r="J64" s="445">
        <f>'F2.2'!$V$37*30/365</f>
        <v>989.31633611492521</v>
      </c>
      <c r="K64" s="445">
        <f>'F2.2'!$V$37*31/365</f>
        <v>1022.2935473187561</v>
      </c>
      <c r="L64" s="445">
        <f>'F2.2'!$V$37*31/365</f>
        <v>1022.2935473187561</v>
      </c>
      <c r="M64" s="445">
        <f>'F2.2'!$V$37*28/365</f>
        <v>923.36191370726362</v>
      </c>
      <c r="N64" s="445">
        <f>'F2.2'!$V$37*31/365</f>
        <v>1022.2935473187561</v>
      </c>
      <c r="O64" s="445">
        <f>SUM(C64:N64)</f>
        <v>12036.732257902333</v>
      </c>
    </row>
    <row r="65" spans="2:15" x14ac:dyDescent="0.3">
      <c r="B65" s="107"/>
      <c r="C65" s="318"/>
      <c r="D65" s="318"/>
      <c r="E65" s="318"/>
      <c r="F65" s="318"/>
      <c r="G65" s="318"/>
      <c r="H65" s="318"/>
      <c r="I65" s="318"/>
      <c r="J65" s="318"/>
      <c r="K65" s="318"/>
      <c r="L65" s="318"/>
      <c r="M65" s="318"/>
      <c r="N65" s="318"/>
      <c r="O65" s="318">
        <f>SUM(C65:N65)</f>
        <v>0</v>
      </c>
    </row>
    <row r="66" spans="2:15" x14ac:dyDescent="0.3">
      <c r="B66" s="73" t="s">
        <v>271</v>
      </c>
      <c r="C66" s="347">
        <f>SUM(C64:C65)</f>
        <v>989.36650461900149</v>
      </c>
      <c r="D66" s="347">
        <f t="shared" ref="D66:O66" si="7">SUM(D64:D65)</f>
        <v>1022.2935473187561</v>
      </c>
      <c r="E66" s="347">
        <f t="shared" si="7"/>
        <v>989.31633611492521</v>
      </c>
      <c r="F66" s="347">
        <f t="shared" si="7"/>
        <v>1022.2935473187561</v>
      </c>
      <c r="G66" s="347">
        <f t="shared" si="7"/>
        <v>1022.2935473187561</v>
      </c>
      <c r="H66" s="347">
        <f t="shared" si="7"/>
        <v>989.31633611492521</v>
      </c>
      <c r="I66" s="347">
        <f t="shared" si="7"/>
        <v>1022.2935473187561</v>
      </c>
      <c r="J66" s="347">
        <f t="shared" si="7"/>
        <v>989.31633611492521</v>
      </c>
      <c r="K66" s="347">
        <f t="shared" si="7"/>
        <v>1022.2935473187561</v>
      </c>
      <c r="L66" s="347">
        <f t="shared" si="7"/>
        <v>1022.2935473187561</v>
      </c>
      <c r="M66" s="347">
        <f t="shared" si="7"/>
        <v>923.36191370726362</v>
      </c>
      <c r="N66" s="347">
        <f t="shared" si="7"/>
        <v>1022.2935473187561</v>
      </c>
      <c r="O66" s="347">
        <f t="shared" si="7"/>
        <v>12036.732257902333</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B1:N37"/>
  <sheetViews>
    <sheetView showGridLines="0" view="pageBreakPreview" topLeftCell="A22" zoomScale="70" zoomScaleNormal="75" zoomScaleSheetLayoutView="70" workbookViewId="0">
      <selection activeCell="N31" sqref="N31"/>
    </sheetView>
  </sheetViews>
  <sheetFormatPr defaultColWidth="9.36328125" defaultRowHeight="13" x14ac:dyDescent="0.25"/>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x14ac:dyDescent="0.3">
      <c r="B1" s="71"/>
    </row>
    <row r="2" spans="2:14" s="5" customFormat="1" ht="14" x14ac:dyDescent="0.3">
      <c r="B2" s="15" t="str">
        <f>Index!B2</f>
        <v xml:space="preserve">      Maharashtra State Power Generation Company Ltd.</v>
      </c>
      <c r="C2" s="18"/>
      <c r="D2" s="18"/>
      <c r="E2" s="18"/>
      <c r="F2" s="18"/>
      <c r="G2" s="18"/>
      <c r="H2" s="18"/>
      <c r="I2" s="18"/>
      <c r="J2" s="18"/>
      <c r="K2" s="18"/>
      <c r="L2" s="18"/>
      <c r="M2" s="18"/>
      <c r="N2" s="18"/>
    </row>
    <row r="3" spans="2:14" s="5" customFormat="1" ht="14" x14ac:dyDescent="0.3">
      <c r="B3" s="15" t="str">
        <f>Index!B3</f>
        <v>MYT Petition Formats for Chandrapur Unit 3-7</v>
      </c>
      <c r="C3" s="70"/>
      <c r="D3" s="70"/>
      <c r="E3" s="70"/>
      <c r="F3" s="70"/>
      <c r="G3" s="70"/>
      <c r="H3" s="70"/>
      <c r="I3" s="70"/>
      <c r="J3" s="70"/>
      <c r="K3" s="70"/>
      <c r="L3" s="70"/>
      <c r="M3" s="70"/>
      <c r="N3" s="18"/>
    </row>
    <row r="4" spans="2:14" s="5" customFormat="1" ht="14" x14ac:dyDescent="0.3">
      <c r="B4" s="17" t="s">
        <v>344</v>
      </c>
      <c r="C4" s="19"/>
      <c r="D4" s="19"/>
      <c r="E4" s="19"/>
      <c r="F4" s="19"/>
      <c r="G4" s="19"/>
      <c r="H4" s="19"/>
      <c r="I4" s="19"/>
      <c r="J4" s="19"/>
      <c r="K4" s="19"/>
      <c r="L4" s="19"/>
      <c r="M4" s="19"/>
      <c r="N4" s="19"/>
    </row>
    <row r="6" spans="2:14" ht="14" x14ac:dyDescent="0.3">
      <c r="B6" s="53" t="s">
        <v>506</v>
      </c>
    </row>
    <row r="7" spans="2:14" ht="14" x14ac:dyDescent="0.3">
      <c r="B7" s="53" t="s">
        <v>28</v>
      </c>
      <c r="N7" s="75" t="s">
        <v>10</v>
      </c>
    </row>
    <row r="8" spans="2:14" ht="13.25" customHeight="1" x14ac:dyDescent="0.25">
      <c r="B8" s="1866" t="s">
        <v>278</v>
      </c>
      <c r="C8" s="1701" t="s">
        <v>294</v>
      </c>
      <c r="D8" s="1701"/>
      <c r="E8" s="1701"/>
      <c r="F8" s="1701"/>
      <c r="G8" s="1699" t="s">
        <v>295</v>
      </c>
      <c r="H8" s="1699"/>
      <c r="I8" s="1699"/>
      <c r="J8" s="1699" t="s">
        <v>296</v>
      </c>
      <c r="K8" s="1699"/>
      <c r="L8" s="1699"/>
      <c r="M8" s="1699"/>
      <c r="N8" s="1699"/>
    </row>
    <row r="9" spans="2:14" ht="84" x14ac:dyDescent="0.25">
      <c r="B9" s="1868"/>
      <c r="C9" s="305" t="s">
        <v>347</v>
      </c>
      <c r="D9" s="305" t="s">
        <v>345</v>
      </c>
      <c r="E9" s="305" t="s">
        <v>740</v>
      </c>
      <c r="F9" s="305" t="s">
        <v>346</v>
      </c>
      <c r="G9" s="305" t="s">
        <v>297</v>
      </c>
      <c r="H9" s="305" t="s">
        <v>741</v>
      </c>
      <c r="I9" s="305" t="s">
        <v>298</v>
      </c>
      <c r="J9" s="305" t="s">
        <v>299</v>
      </c>
      <c r="K9" s="305" t="s">
        <v>300</v>
      </c>
      <c r="L9" s="305" t="s">
        <v>742</v>
      </c>
      <c r="M9" s="305" t="s">
        <v>743</v>
      </c>
      <c r="N9" s="306" t="s">
        <v>271</v>
      </c>
    </row>
    <row r="10" spans="2:14" x14ac:dyDescent="0.25">
      <c r="B10" s="110"/>
      <c r="C10" s="111"/>
      <c r="D10" s="111"/>
      <c r="E10" s="111"/>
      <c r="F10" s="111"/>
      <c r="G10" s="111"/>
      <c r="H10" s="111"/>
      <c r="I10" s="111"/>
      <c r="J10" s="111"/>
      <c r="K10" s="111"/>
      <c r="L10" s="111"/>
      <c r="M10" s="111"/>
      <c r="N10" s="112"/>
    </row>
    <row r="11" spans="2:14" ht="14" x14ac:dyDescent="0.25">
      <c r="B11" s="148" t="s">
        <v>779</v>
      </c>
      <c r="C11" s="331">
        <f>'F9.1'!Q21</f>
        <v>670.34293520000006</v>
      </c>
      <c r="D11" s="331">
        <f>'F9.1'!$Q$18</f>
        <v>2.6580000000096056</v>
      </c>
      <c r="E11" s="331">
        <f>'F9.1'!Q29</f>
        <v>3.3521099999999991E-2</v>
      </c>
      <c r="F11" s="331">
        <f>'F9.1'!Q20</f>
        <v>1.5137172857903987</v>
      </c>
      <c r="G11" s="331">
        <f>'F9.1'!Q16</f>
        <v>7496.1718159999991</v>
      </c>
      <c r="H11" s="331"/>
      <c r="I11" s="331"/>
      <c r="J11" s="331">
        <f>C11</f>
        <v>670.34293520000006</v>
      </c>
      <c r="K11" s="331">
        <f>'F9.1'!Q22</f>
        <v>1992.4824687</v>
      </c>
      <c r="L11" s="334">
        <f>SUM('F9.1'!Q24:Q26)-'F9.1'!Q29</f>
        <v>0.84966419999999998</v>
      </c>
      <c r="M11" s="331">
        <f>'F9.1'!Q23</f>
        <v>1134.7084855134003</v>
      </c>
      <c r="N11" s="331">
        <f>SUM(J11:M11)</f>
        <v>3798.3835536134006</v>
      </c>
    </row>
    <row r="12" spans="2:14" ht="14" x14ac:dyDescent="0.25">
      <c r="B12" s="107"/>
      <c r="C12" s="113"/>
      <c r="D12" s="113"/>
      <c r="E12" s="113"/>
      <c r="F12" s="113"/>
      <c r="G12" s="113"/>
      <c r="H12" s="113"/>
      <c r="I12" s="113"/>
      <c r="J12" s="113"/>
      <c r="K12" s="113"/>
      <c r="L12" s="113"/>
      <c r="M12" s="113"/>
      <c r="N12" s="113"/>
    </row>
    <row r="13" spans="2:14" ht="14" x14ac:dyDescent="0.25">
      <c r="B13" s="107" t="s">
        <v>271</v>
      </c>
      <c r="C13" s="354"/>
      <c r="D13" s="354"/>
      <c r="E13" s="354"/>
      <c r="F13" s="354"/>
      <c r="G13" s="354">
        <f t="shared" ref="G13:N13" si="0">SUM(G10:G12)</f>
        <v>7496.1718159999991</v>
      </c>
      <c r="H13" s="354"/>
      <c r="I13" s="354"/>
      <c r="J13" s="354">
        <f t="shared" si="0"/>
        <v>670.34293520000006</v>
      </c>
      <c r="K13" s="354">
        <f t="shared" si="0"/>
        <v>1992.4824687</v>
      </c>
      <c r="L13" s="354">
        <f t="shared" si="0"/>
        <v>0.84966419999999998</v>
      </c>
      <c r="M13" s="354">
        <f t="shared" si="0"/>
        <v>1134.7084855134003</v>
      </c>
      <c r="N13" s="354">
        <f t="shared" si="0"/>
        <v>3798.3835536134006</v>
      </c>
    </row>
    <row r="14" spans="2:14" x14ac:dyDescent="0.25">
      <c r="B14" s="77"/>
      <c r="C14" s="78"/>
      <c r="D14" s="78"/>
      <c r="E14" s="78"/>
      <c r="F14" s="78"/>
      <c r="G14" s="78"/>
      <c r="H14" s="78"/>
      <c r="I14" s="78"/>
      <c r="J14" s="78"/>
      <c r="K14" s="78"/>
      <c r="L14" s="78"/>
      <c r="M14" s="78"/>
      <c r="N14" s="78"/>
    </row>
    <row r="15" spans="2:14" ht="14" x14ac:dyDescent="0.3">
      <c r="B15" s="53" t="s">
        <v>507</v>
      </c>
    </row>
    <row r="16" spans="2:14" ht="14" x14ac:dyDescent="0.3">
      <c r="B16" s="53" t="s">
        <v>28</v>
      </c>
      <c r="N16" s="75" t="s">
        <v>10</v>
      </c>
    </row>
    <row r="17" spans="2:14" s="114" customFormat="1" ht="45.75" customHeight="1" x14ac:dyDescent="0.25">
      <c r="B17" s="1866" t="s">
        <v>278</v>
      </c>
      <c r="C17" s="1701" t="s">
        <v>294</v>
      </c>
      <c r="D17" s="1701"/>
      <c r="E17" s="1701"/>
      <c r="F17" s="1701"/>
      <c r="G17" s="1699" t="s">
        <v>295</v>
      </c>
      <c r="H17" s="1699"/>
      <c r="I17" s="1699"/>
      <c r="J17" s="1699" t="s">
        <v>296</v>
      </c>
      <c r="K17" s="1699"/>
      <c r="L17" s="1699"/>
      <c r="M17" s="1699"/>
      <c r="N17" s="1699"/>
    </row>
    <row r="18" spans="2:14" ht="73.25" customHeight="1" x14ac:dyDescent="0.25">
      <c r="B18" s="1868"/>
      <c r="C18" s="305" t="s">
        <v>347</v>
      </c>
      <c r="D18" s="305" t="s">
        <v>345</v>
      </c>
      <c r="E18" s="305" t="s">
        <v>740</v>
      </c>
      <c r="F18" s="305" t="s">
        <v>346</v>
      </c>
      <c r="G18" s="305" t="s">
        <v>297</v>
      </c>
      <c r="H18" s="305" t="s">
        <v>741</v>
      </c>
      <c r="I18" s="305" t="s">
        <v>298</v>
      </c>
      <c r="J18" s="305" t="s">
        <v>299</v>
      </c>
      <c r="K18" s="305" t="s">
        <v>300</v>
      </c>
      <c r="L18" s="305" t="s">
        <v>742</v>
      </c>
      <c r="M18" s="305" t="s">
        <v>743</v>
      </c>
      <c r="N18" s="306" t="s">
        <v>271</v>
      </c>
    </row>
    <row r="19" spans="2:14" s="76" customFormat="1" x14ac:dyDescent="0.25">
      <c r="B19" s="110"/>
      <c r="C19" s="355"/>
      <c r="D19" s="355"/>
      <c r="E19" s="355"/>
      <c r="F19" s="355"/>
      <c r="G19" s="355"/>
      <c r="H19" s="355"/>
      <c r="I19" s="355"/>
      <c r="J19" s="355"/>
      <c r="K19" s="355"/>
      <c r="L19" s="355"/>
      <c r="M19" s="355"/>
      <c r="N19" s="356"/>
    </row>
    <row r="20" spans="2:14" ht="14" x14ac:dyDescent="0.25">
      <c r="B20" s="148" t="s">
        <v>779</v>
      </c>
      <c r="C20" s="331">
        <f>'F9.1'!Q48</f>
        <v>826.09092680000003</v>
      </c>
      <c r="D20" s="331">
        <f>'F9.1'!Q45</f>
        <v>4.1030000001330889</v>
      </c>
      <c r="E20" s="331">
        <f>'F9.1'!Q55</f>
        <v>0</v>
      </c>
      <c r="F20" s="331">
        <f>'F9.1'!Q47</f>
        <v>-0.16497475286444713</v>
      </c>
      <c r="G20" s="331">
        <f>'F9.1'!Q43</f>
        <v>8107.4204069999996</v>
      </c>
      <c r="H20" s="331"/>
      <c r="I20" s="331"/>
      <c r="J20" s="331">
        <f>C20</f>
        <v>826.09092680000003</v>
      </c>
      <c r="K20" s="331">
        <f>'F9.1'!Q49</f>
        <v>3326.4745931000002</v>
      </c>
      <c r="L20" s="334">
        <f>SUM('F9.1'!Q51:Q53)</f>
        <v>2.6771459999999991</v>
      </c>
      <c r="M20" s="331">
        <f>'F9.1'!Q50</f>
        <v>-133.75196780130003</v>
      </c>
      <c r="N20" s="331">
        <f>SUM(J20:M20)</f>
        <v>4021.4906980987002</v>
      </c>
    </row>
    <row r="21" spans="2:14" ht="14" x14ac:dyDescent="0.25">
      <c r="B21" s="107"/>
      <c r="C21" s="331"/>
      <c r="D21" s="331"/>
      <c r="E21" s="331"/>
      <c r="F21" s="331"/>
      <c r="G21" s="331"/>
      <c r="H21" s="331"/>
      <c r="I21" s="331"/>
      <c r="J21" s="331"/>
      <c r="K21" s="331"/>
      <c r="L21" s="331"/>
      <c r="M21" s="331"/>
      <c r="N21" s="331"/>
    </row>
    <row r="22" spans="2:14" ht="14" x14ac:dyDescent="0.25">
      <c r="B22" s="107" t="s">
        <v>271</v>
      </c>
      <c r="C22" s="354"/>
      <c r="D22" s="354"/>
      <c r="E22" s="354"/>
      <c r="F22" s="354"/>
      <c r="G22" s="354">
        <f>SUM(G19:G21)</f>
        <v>8107.4204069999996</v>
      </c>
      <c r="H22" s="354"/>
      <c r="I22" s="354"/>
      <c r="J22" s="354">
        <f>SUM(J19:J21)</f>
        <v>826.09092680000003</v>
      </c>
      <c r="K22" s="354">
        <f>SUM(K19:K21)</f>
        <v>3326.4745931000002</v>
      </c>
      <c r="L22" s="354">
        <f>SUM(L19:L21)</f>
        <v>2.6771459999999991</v>
      </c>
      <c r="M22" s="354">
        <f>SUM(M19:M21)</f>
        <v>-133.75196780130003</v>
      </c>
      <c r="N22" s="354">
        <f>SUM(N19:N21)</f>
        <v>4021.4906980987002</v>
      </c>
    </row>
    <row r="23" spans="2:14" x14ac:dyDescent="0.25">
      <c r="B23" s="77"/>
      <c r="C23" s="78"/>
      <c r="D23" s="78"/>
      <c r="E23" s="78"/>
      <c r="F23" s="78"/>
      <c r="G23" s="78"/>
      <c r="H23" s="78"/>
      <c r="I23" s="78"/>
      <c r="J23" s="78"/>
      <c r="K23" s="78"/>
      <c r="L23" s="78"/>
      <c r="M23" s="78"/>
      <c r="N23" s="78"/>
    </row>
    <row r="24" spans="2:14" ht="14" x14ac:dyDescent="0.3">
      <c r="B24" s="772" t="s">
        <v>979</v>
      </c>
    </row>
    <row r="25" spans="2:14" ht="14" x14ac:dyDescent="0.3">
      <c r="B25" s="53" t="s">
        <v>12</v>
      </c>
      <c r="N25" s="75" t="s">
        <v>10</v>
      </c>
    </row>
    <row r="26" spans="2:14" ht="30.75" customHeight="1" x14ac:dyDescent="0.25">
      <c r="B26" s="1866" t="s">
        <v>278</v>
      </c>
      <c r="C26" s="1701" t="s">
        <v>294</v>
      </c>
      <c r="D26" s="1701"/>
      <c r="E26" s="1701"/>
      <c r="F26" s="1701"/>
      <c r="G26" s="1699" t="s">
        <v>295</v>
      </c>
      <c r="H26" s="1699"/>
      <c r="I26" s="1699"/>
      <c r="J26" s="1867" t="s">
        <v>296</v>
      </c>
      <c r="K26" s="1867"/>
      <c r="L26" s="1867"/>
      <c r="M26" s="1867"/>
      <c r="N26" s="1867"/>
    </row>
    <row r="27" spans="2:14" ht="70.25" customHeight="1" x14ac:dyDescent="0.25">
      <c r="B27" s="1866"/>
      <c r="C27" s="305" t="s">
        <v>347</v>
      </c>
      <c r="D27" s="305" t="s">
        <v>345</v>
      </c>
      <c r="E27" s="305" t="s">
        <v>740</v>
      </c>
      <c r="F27" s="305" t="s">
        <v>346</v>
      </c>
      <c r="G27" s="305" t="s">
        <v>297</v>
      </c>
      <c r="H27" s="305" t="s">
        <v>741</v>
      </c>
      <c r="I27" s="305" t="s">
        <v>298</v>
      </c>
      <c r="J27" s="305" t="s">
        <v>299</v>
      </c>
      <c r="K27" s="305" t="s">
        <v>300</v>
      </c>
      <c r="L27" s="305" t="s">
        <v>742</v>
      </c>
      <c r="M27" s="305" t="s">
        <v>743</v>
      </c>
      <c r="N27" s="306" t="s">
        <v>271</v>
      </c>
    </row>
    <row r="28" spans="2:14" x14ac:dyDescent="0.25">
      <c r="B28" s="110"/>
      <c r="C28" s="111"/>
      <c r="D28" s="111"/>
      <c r="E28" s="111"/>
      <c r="F28" s="111"/>
      <c r="G28" s="111"/>
      <c r="H28" s="111"/>
      <c r="I28" s="111"/>
      <c r="J28" s="111"/>
      <c r="K28" s="111"/>
      <c r="L28" s="111"/>
      <c r="M28" s="111"/>
      <c r="N28" s="112"/>
    </row>
    <row r="29" spans="2:14" ht="14" x14ac:dyDescent="0.25">
      <c r="B29" s="148" t="s">
        <v>1569</v>
      </c>
      <c r="C29" s="1302">
        <v>566.96383030000004</v>
      </c>
      <c r="D29" s="1302">
        <f>K29/G29*10</f>
        <v>3.5344347029160756</v>
      </c>
      <c r="E29" s="113"/>
      <c r="F29" s="1303">
        <f>M29/G29*10</f>
        <v>0.15100064241265973</v>
      </c>
      <c r="G29" s="1304">
        <f>SUM('F8'!C26:H26)</f>
        <v>5271.0539829416603</v>
      </c>
      <c r="H29" s="113"/>
      <c r="I29" s="113"/>
      <c r="J29" s="333">
        <f>C29</f>
        <v>566.96383030000004</v>
      </c>
      <c r="K29" s="333">
        <v>1863.0196118253002</v>
      </c>
      <c r="L29" s="113"/>
      <c r="M29" s="332">
        <v>79.593253761599939</v>
      </c>
      <c r="N29" s="333">
        <f>SUM(J29:M29)</f>
        <v>2509.5766958869003</v>
      </c>
    </row>
    <row r="30" spans="2:14" ht="14" x14ac:dyDescent="0.25">
      <c r="B30" s="148" t="s">
        <v>1570</v>
      </c>
      <c r="C30" s="1302">
        <v>657.61999786030287</v>
      </c>
      <c r="D30" s="1302">
        <v>4.096644080672605</v>
      </c>
      <c r="E30" s="113"/>
      <c r="F30" s="113"/>
      <c r="G30" s="1302">
        <f>SUM('F8'!I26:N26)</f>
        <v>6030.5361121060414</v>
      </c>
      <c r="H30" s="113"/>
      <c r="I30" s="113"/>
      <c r="J30" s="333">
        <f>C30</f>
        <v>657.61999786030287</v>
      </c>
      <c r="K30" s="1302">
        <f>D30*G30/10</f>
        <v>2470.4960066941599</v>
      </c>
      <c r="L30" s="113"/>
      <c r="M30" s="113"/>
      <c r="N30" s="333">
        <f>SUM(J30:M30)</f>
        <v>3128.116004554463</v>
      </c>
    </row>
    <row r="31" spans="2:14" ht="14" x14ac:dyDescent="0.25">
      <c r="B31" s="107" t="s">
        <v>271</v>
      </c>
      <c r="C31" s="354"/>
      <c r="D31" s="354"/>
      <c r="E31" s="354"/>
      <c r="F31" s="354"/>
      <c r="G31" s="354">
        <f>SUM(G28:G30)</f>
        <v>11301.590095047701</v>
      </c>
      <c r="H31" s="354"/>
      <c r="I31" s="354"/>
      <c r="J31" s="354">
        <f>SUM(J28:J30)</f>
        <v>1224.5838281603028</v>
      </c>
      <c r="K31" s="354">
        <f>SUM(K28:K30)</f>
        <v>4333.5156185194601</v>
      </c>
      <c r="L31" s="354">
        <f>SUM(L28:L30)</f>
        <v>0</v>
      </c>
      <c r="M31" s="354">
        <f>SUM(M28:M30)</f>
        <v>79.593253761599939</v>
      </c>
      <c r="N31" s="354">
        <f>SUM(N28:N30)</f>
        <v>5637.6927004413628</v>
      </c>
    </row>
    <row r="32" spans="2:14" x14ac:dyDescent="0.25">
      <c r="K32" s="607"/>
    </row>
    <row r="37" spans="6:6" x14ac:dyDescent="0.25">
      <c r="F37" s="74" t="s">
        <v>957</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B1:S58"/>
  <sheetViews>
    <sheetView showGridLines="0" view="pageBreakPreview" zoomScale="70" zoomScaleNormal="80" zoomScaleSheetLayoutView="70" workbookViewId="0">
      <pane xSplit="4" ySplit="4" topLeftCell="E31" activePane="bottomRight" state="frozen"/>
      <selection pane="topRight" activeCell="E1" sqref="E1"/>
      <selection pane="bottomLeft" activeCell="A5" sqref="A5"/>
      <selection pane="bottomRight" activeCell="M35" sqref="M35"/>
    </sheetView>
  </sheetViews>
  <sheetFormatPr defaultColWidth="9.36328125" defaultRowHeight="13" x14ac:dyDescent="0.25"/>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90" customFormat="1" x14ac:dyDescent="0.3">
      <c r="B1" s="189"/>
    </row>
    <row r="2" spans="2:19" s="190" customFormat="1" ht="14" x14ac:dyDescent="0.3">
      <c r="C2" s="203"/>
      <c r="D2" s="191"/>
      <c r="E2" s="191"/>
      <c r="F2" s="15" t="str">
        <f>Index!B2</f>
        <v xml:space="preserve">      Maharashtra State Power Generation Company Ltd.</v>
      </c>
      <c r="G2" s="191"/>
      <c r="H2" s="191"/>
      <c r="I2" s="191"/>
      <c r="J2" s="191"/>
      <c r="K2" s="191"/>
      <c r="L2" s="191"/>
      <c r="M2" s="191"/>
    </row>
    <row r="3" spans="2:19" s="190" customFormat="1" ht="14" x14ac:dyDescent="0.3">
      <c r="C3" s="204"/>
      <c r="D3" s="192"/>
      <c r="E3" s="192"/>
      <c r="F3" s="15" t="str">
        <f>Index!B3</f>
        <v>MYT Petition Formats for Chandrapur Unit 3-7</v>
      </c>
      <c r="G3" s="192"/>
      <c r="H3" s="192"/>
      <c r="I3" s="192"/>
      <c r="J3" s="192"/>
      <c r="K3" s="192"/>
      <c r="L3" s="192"/>
      <c r="M3" s="191"/>
    </row>
    <row r="4" spans="2:19" s="190" customFormat="1" ht="14" x14ac:dyDescent="0.3">
      <c r="C4" s="205"/>
      <c r="D4" s="193"/>
      <c r="E4" s="193"/>
      <c r="F4" s="17" t="s">
        <v>437</v>
      </c>
      <c r="G4" s="193"/>
      <c r="H4" s="193"/>
      <c r="I4" s="193"/>
      <c r="J4" s="193"/>
      <c r="K4" s="193"/>
      <c r="L4" s="193"/>
      <c r="M4" s="193"/>
    </row>
    <row r="6" spans="2:19" x14ac:dyDescent="0.25">
      <c r="B6" s="286" t="s">
        <v>1009</v>
      </c>
      <c r="C6" s="286" t="s">
        <v>506</v>
      </c>
    </row>
    <row r="7" spans="2:19" ht="26" x14ac:dyDescent="0.25">
      <c r="B7" s="194" t="s">
        <v>425</v>
      </c>
      <c r="C7" s="194" t="s">
        <v>37</v>
      </c>
      <c r="D7" s="194" t="s">
        <v>94</v>
      </c>
      <c r="E7" s="739" t="s">
        <v>279</v>
      </c>
      <c r="F7" s="739" t="s">
        <v>280</v>
      </c>
      <c r="G7" s="106" t="s">
        <v>281</v>
      </c>
      <c r="H7" s="106" t="s">
        <v>282</v>
      </c>
      <c r="I7" s="106" t="s">
        <v>283</v>
      </c>
      <c r="J7" s="106" t="s">
        <v>284</v>
      </c>
      <c r="K7" s="106" t="s">
        <v>285</v>
      </c>
      <c r="L7" s="106" t="s">
        <v>286</v>
      </c>
      <c r="M7" s="106" t="s">
        <v>287</v>
      </c>
      <c r="N7" s="106" t="s">
        <v>288</v>
      </c>
      <c r="O7" s="106" t="s">
        <v>289</v>
      </c>
      <c r="P7" s="106" t="s">
        <v>290</v>
      </c>
      <c r="Q7" s="195" t="s">
        <v>271</v>
      </c>
      <c r="R7" s="312"/>
    </row>
    <row r="8" spans="2:19" x14ac:dyDescent="0.25">
      <c r="B8" s="196">
        <v>1</v>
      </c>
      <c r="C8" s="197" t="s">
        <v>362</v>
      </c>
      <c r="D8" s="196" t="s">
        <v>99</v>
      </c>
      <c r="E8" s="798">
        <v>0.8</v>
      </c>
      <c r="F8" s="798">
        <v>0.8</v>
      </c>
      <c r="G8" s="798">
        <v>0.8</v>
      </c>
      <c r="H8" s="798">
        <v>0.8</v>
      </c>
      <c r="I8" s="798">
        <v>0.8</v>
      </c>
      <c r="J8" s="798">
        <v>0.8</v>
      </c>
      <c r="K8" s="798">
        <v>0.8</v>
      </c>
      <c r="L8" s="798">
        <v>0.8</v>
      </c>
      <c r="M8" s="798">
        <v>0.8</v>
      </c>
      <c r="N8" s="798">
        <v>0.8</v>
      </c>
      <c r="O8" s="798">
        <v>0.8</v>
      </c>
      <c r="P8" s="798">
        <v>0.8</v>
      </c>
      <c r="Q8" s="798">
        <f>AVERAGE(E8:P8)</f>
        <v>0.79999999999999993</v>
      </c>
      <c r="R8" s="312"/>
      <c r="S8" s="313"/>
    </row>
    <row r="9" spans="2:19" x14ac:dyDescent="0.25">
      <c r="B9" s="196">
        <f>B8+1</f>
        <v>2</v>
      </c>
      <c r="C9" s="197" t="s">
        <v>426</v>
      </c>
      <c r="D9" s="196" t="s">
        <v>99</v>
      </c>
      <c r="E9" s="588"/>
      <c r="F9" s="588"/>
      <c r="G9" s="588"/>
      <c r="H9" s="588"/>
      <c r="I9" s="588"/>
      <c r="J9" s="588"/>
      <c r="K9" s="588"/>
      <c r="L9" s="588"/>
      <c r="M9" s="588"/>
      <c r="N9" s="588"/>
      <c r="O9" s="588"/>
      <c r="P9" s="588"/>
      <c r="Q9" s="1432"/>
    </row>
    <row r="10" spans="2:19" x14ac:dyDescent="0.25">
      <c r="B10" s="196">
        <f>B9+1</f>
        <v>3</v>
      </c>
      <c r="C10" s="197" t="s">
        <v>427</v>
      </c>
      <c r="D10" s="196" t="s">
        <v>99</v>
      </c>
      <c r="E10" s="587"/>
      <c r="F10" s="587"/>
      <c r="G10" s="587"/>
      <c r="H10" s="587"/>
      <c r="I10" s="587"/>
      <c r="J10" s="587"/>
      <c r="K10" s="587"/>
      <c r="L10" s="587"/>
      <c r="M10" s="587"/>
      <c r="N10" s="587"/>
      <c r="O10" s="587"/>
      <c r="P10" s="587"/>
      <c r="Q10" s="798"/>
    </row>
    <row r="11" spans="2:19" x14ac:dyDescent="0.25">
      <c r="B11" s="196">
        <f t="shared" ref="B11:B28" si="0">B10+1</f>
        <v>4</v>
      </c>
      <c r="C11" s="197" t="s">
        <v>100</v>
      </c>
      <c r="D11" s="196" t="s">
        <v>99</v>
      </c>
      <c r="E11" s="798">
        <v>0.85</v>
      </c>
      <c r="F11" s="798">
        <v>0.85</v>
      </c>
      <c r="G11" s="798">
        <v>0.85</v>
      </c>
      <c r="H11" s="798">
        <v>0.85</v>
      </c>
      <c r="I11" s="798">
        <v>0.85</v>
      </c>
      <c r="J11" s="798">
        <v>0.85</v>
      </c>
      <c r="K11" s="798">
        <v>0.85</v>
      </c>
      <c r="L11" s="798">
        <v>0.85</v>
      </c>
      <c r="M11" s="798">
        <v>0.85</v>
      </c>
      <c r="N11" s="798">
        <v>0.85</v>
      </c>
      <c r="O11" s="798">
        <v>0.85</v>
      </c>
      <c r="P11" s="798">
        <v>0.85</v>
      </c>
      <c r="Q11" s="798">
        <f>AVERAGE(E11:P11)</f>
        <v>0.84999999999999976</v>
      </c>
    </row>
    <row r="12" spans="2:19" x14ac:dyDescent="0.25">
      <c r="B12" s="196">
        <f t="shared" si="0"/>
        <v>5</v>
      </c>
      <c r="C12" s="197" t="s">
        <v>428</v>
      </c>
      <c r="D12" s="196" t="s">
        <v>99</v>
      </c>
      <c r="E12" s="587"/>
      <c r="F12" s="587"/>
      <c r="G12" s="587"/>
      <c r="H12" s="587"/>
      <c r="I12" s="587"/>
      <c r="J12" s="587"/>
      <c r="K12" s="587"/>
      <c r="L12" s="587"/>
      <c r="M12" s="587"/>
      <c r="N12" s="587"/>
      <c r="O12" s="587"/>
      <c r="P12" s="587"/>
      <c r="Q12" s="587"/>
    </row>
    <row r="13" spans="2:19" x14ac:dyDescent="0.25">
      <c r="B13" s="196">
        <f t="shared" si="0"/>
        <v>6</v>
      </c>
      <c r="C13" s="197" t="s">
        <v>429</v>
      </c>
      <c r="D13" s="196" t="s">
        <v>99</v>
      </c>
      <c r="E13" s="587"/>
      <c r="F13" s="587"/>
      <c r="G13" s="587"/>
      <c r="H13" s="587"/>
      <c r="I13" s="587"/>
      <c r="J13" s="587"/>
      <c r="K13" s="587"/>
      <c r="L13" s="587"/>
      <c r="M13" s="587"/>
      <c r="N13" s="587"/>
      <c r="O13" s="587"/>
      <c r="P13" s="587"/>
      <c r="Q13" s="587"/>
    </row>
    <row r="14" spans="2:19" x14ac:dyDescent="0.25">
      <c r="B14" s="196">
        <f t="shared" si="0"/>
        <v>7</v>
      </c>
      <c r="C14" s="198" t="s">
        <v>430</v>
      </c>
      <c r="D14" s="201" t="s">
        <v>101</v>
      </c>
      <c r="E14" s="489">
        <v>971.94399999999996</v>
      </c>
      <c r="F14" s="489">
        <v>981.35599999999977</v>
      </c>
      <c r="G14" s="489">
        <v>738.85500000000002</v>
      </c>
      <c r="H14" s="489">
        <v>446.77200000000005</v>
      </c>
      <c r="I14" s="489">
        <v>484.60599999999999</v>
      </c>
      <c r="J14" s="489">
        <v>695.21600000000001</v>
      </c>
      <c r="K14" s="489">
        <v>739.66099999999994</v>
      </c>
      <c r="L14" s="489">
        <v>743.6880000000001</v>
      </c>
      <c r="M14" s="489">
        <v>636.28399999999999</v>
      </c>
      <c r="N14" s="489">
        <v>600.28099999999995</v>
      </c>
      <c r="O14" s="489">
        <v>508.78899999999999</v>
      </c>
      <c r="P14" s="489">
        <v>866.32100000000003</v>
      </c>
      <c r="Q14" s="489">
        <f>SUM(E14:P14)</f>
        <v>8413.7729999999992</v>
      </c>
    </row>
    <row r="15" spans="2:19" x14ac:dyDescent="0.25">
      <c r="B15" s="196">
        <f t="shared" si="0"/>
        <v>8</v>
      </c>
      <c r="C15" s="198" t="s">
        <v>431</v>
      </c>
      <c r="D15" s="201" t="s">
        <v>101</v>
      </c>
      <c r="E15" s="489">
        <v>91.695629600000018</v>
      </c>
      <c r="F15" s="489">
        <v>92.753960199999995</v>
      </c>
      <c r="G15" s="489">
        <v>74.56965510000002</v>
      </c>
      <c r="H15" s="489">
        <v>65.315695099999999</v>
      </c>
      <c r="I15" s="489">
        <v>77.037970099999981</v>
      </c>
      <c r="J15" s="489">
        <v>87.284329600000007</v>
      </c>
      <c r="K15" s="489">
        <v>88.101200299999988</v>
      </c>
      <c r="L15" s="489">
        <v>84.670705400000003</v>
      </c>
      <c r="M15" s="489">
        <v>67.888971800000007</v>
      </c>
      <c r="N15" s="489">
        <v>63.479820099999998</v>
      </c>
      <c r="O15" s="489">
        <v>51.667780199999996</v>
      </c>
      <c r="P15" s="489">
        <v>88.506685599999997</v>
      </c>
      <c r="Q15" s="489">
        <f>SUM(E15:P15)</f>
        <v>932.97240310000007</v>
      </c>
    </row>
    <row r="16" spans="2:19" x14ac:dyDescent="0.25">
      <c r="B16" s="196">
        <f t="shared" si="0"/>
        <v>9</v>
      </c>
      <c r="C16" s="198" t="s">
        <v>471</v>
      </c>
      <c r="D16" s="201" t="s">
        <v>101</v>
      </c>
      <c r="E16" s="489">
        <v>866.47900400000003</v>
      </c>
      <c r="F16" s="489">
        <v>876.00778000000003</v>
      </c>
      <c r="G16" s="489">
        <v>656.95428200000003</v>
      </c>
      <c r="H16" s="489">
        <v>389.76561099999998</v>
      </c>
      <c r="I16" s="489">
        <v>412.42157700000001</v>
      </c>
      <c r="J16" s="489">
        <v>611.99031000000002</v>
      </c>
      <c r="K16" s="489">
        <v>660.668046</v>
      </c>
      <c r="L16" s="489">
        <v>669.26430000000005</v>
      </c>
      <c r="M16" s="489">
        <v>577.50948400000004</v>
      </c>
      <c r="N16" s="489">
        <v>539.18935799999997</v>
      </c>
      <c r="O16" s="489">
        <v>466.17819800000001</v>
      </c>
      <c r="P16" s="489">
        <v>769.74386600000003</v>
      </c>
      <c r="Q16" s="489">
        <f>SUM(E16:P16)</f>
        <v>7496.1718159999991</v>
      </c>
    </row>
    <row r="17" spans="2:19" x14ac:dyDescent="0.25">
      <c r="B17" s="196">
        <f t="shared" si="0"/>
        <v>10</v>
      </c>
      <c r="C17" s="198" t="s">
        <v>476</v>
      </c>
      <c r="D17" s="201" t="s">
        <v>101</v>
      </c>
      <c r="E17" s="489"/>
      <c r="F17" s="489"/>
      <c r="G17" s="489"/>
      <c r="H17" s="489"/>
      <c r="I17" s="489"/>
      <c r="J17" s="489"/>
      <c r="K17" s="489"/>
      <c r="L17" s="489"/>
      <c r="M17" s="489"/>
      <c r="N17" s="489"/>
      <c r="O17" s="489"/>
      <c r="P17" s="489"/>
      <c r="Q17" s="489">
        <f>SUM(E17:P17)</f>
        <v>0</v>
      </c>
    </row>
    <row r="18" spans="2:19" x14ac:dyDescent="0.25">
      <c r="B18" s="196">
        <f t="shared" si="0"/>
        <v>11</v>
      </c>
      <c r="C18" s="198" t="s">
        <v>432</v>
      </c>
      <c r="D18" s="201" t="s">
        <v>440</v>
      </c>
      <c r="E18" s="489">
        <f>E22/E16*10</f>
        <v>2.6580000004247073</v>
      </c>
      <c r="F18" s="489">
        <f t="shared" ref="F18:P18" si="1">F22/F16*10</f>
        <v>2.6579999997260293</v>
      </c>
      <c r="G18" s="489">
        <f t="shared" si="1"/>
        <v>2.658000000675846</v>
      </c>
      <c r="H18" s="489">
        <f t="shared" si="1"/>
        <v>2.6579999999025055</v>
      </c>
      <c r="I18" s="489">
        <f t="shared" si="1"/>
        <v>2.6580000008098508</v>
      </c>
      <c r="J18" s="489">
        <f t="shared" si="1"/>
        <v>2.6580000000326804</v>
      </c>
      <c r="K18" s="489">
        <f t="shared" si="1"/>
        <v>2.6579999995943497</v>
      </c>
      <c r="L18" s="489">
        <f t="shared" si="1"/>
        <v>2.6579999994023282</v>
      </c>
      <c r="M18" s="489">
        <f t="shared" si="1"/>
        <v>2.6579999991826968</v>
      </c>
      <c r="N18" s="489">
        <f t="shared" si="1"/>
        <v>2.6580000008086211</v>
      </c>
      <c r="O18" s="489">
        <f t="shared" si="1"/>
        <v>2.6579999993907903</v>
      </c>
      <c r="P18" s="489">
        <f t="shared" si="1"/>
        <v>2.6580000002234505</v>
      </c>
      <c r="Q18" s="489">
        <f>Q22/Q16*10</f>
        <v>2.6580000000096056</v>
      </c>
    </row>
    <row r="19" spans="2:19" x14ac:dyDescent="0.25">
      <c r="B19" s="196">
        <f t="shared" si="0"/>
        <v>12</v>
      </c>
      <c r="C19" s="198" t="s">
        <v>477</v>
      </c>
      <c r="D19" s="201" t="s">
        <v>441</v>
      </c>
      <c r="E19" s="489">
        <v>72.1328326</v>
      </c>
      <c r="F19" s="489">
        <v>72.1328326</v>
      </c>
      <c r="G19" s="489">
        <v>72.1328326</v>
      </c>
      <c r="H19" s="489">
        <v>72.1328326</v>
      </c>
      <c r="I19" s="489">
        <v>72.1328326</v>
      </c>
      <c r="J19" s="489">
        <v>72.1328326</v>
      </c>
      <c r="K19" s="489">
        <v>72.1328326</v>
      </c>
      <c r="L19" s="489">
        <v>72.1328326</v>
      </c>
      <c r="M19" s="489">
        <v>72.1328326</v>
      </c>
      <c r="N19" s="489">
        <v>72.1328326</v>
      </c>
      <c r="O19" s="489">
        <v>72.1328326</v>
      </c>
      <c r="P19" s="489">
        <v>72.1328326</v>
      </c>
      <c r="Q19" s="489">
        <f>SUM(E19:P19)</f>
        <v>865.59399120000023</v>
      </c>
    </row>
    <row r="20" spans="2:19" x14ac:dyDescent="0.25">
      <c r="B20" s="196">
        <f t="shared" si="0"/>
        <v>13</v>
      </c>
      <c r="C20" s="198" t="s">
        <v>478</v>
      </c>
      <c r="D20" s="201" t="s">
        <v>440</v>
      </c>
      <c r="E20" s="489">
        <f>E23*10/E16</f>
        <v>0.48099999999999987</v>
      </c>
      <c r="F20" s="489">
        <f t="shared" ref="F20:P20" si="2">F23*10/F16</f>
        <v>0.48899999999999988</v>
      </c>
      <c r="G20" s="489">
        <f t="shared" si="2"/>
        <v>0.99800000000000033</v>
      </c>
      <c r="H20" s="489">
        <f t="shared" si="2"/>
        <v>1.4360000000000004</v>
      </c>
      <c r="I20" s="489">
        <f t="shared" si="2"/>
        <v>2.5000000000000009</v>
      </c>
      <c r="J20" s="489">
        <f t="shared" si="2"/>
        <v>2.4329999999999998</v>
      </c>
      <c r="K20" s="489">
        <f t="shared" si="2"/>
        <v>2.4840000000000009</v>
      </c>
      <c r="L20" s="489">
        <f t="shared" si="2"/>
        <v>1.7550000000000003</v>
      </c>
      <c r="M20" s="489">
        <f t="shared" si="2"/>
        <v>2.0069999999999997</v>
      </c>
      <c r="N20" s="489">
        <f t="shared" si="2"/>
        <v>2.0420000000000003</v>
      </c>
      <c r="O20" s="489">
        <f t="shared" si="2"/>
        <v>1.8140000000000003</v>
      </c>
      <c r="P20" s="489">
        <f t="shared" si="2"/>
        <v>1.0980000000000001</v>
      </c>
      <c r="Q20" s="489">
        <f>Q23*10/Q16</f>
        <v>1.5137172857903987</v>
      </c>
    </row>
    <row r="21" spans="2:19" x14ac:dyDescent="0.25">
      <c r="B21" s="196">
        <f t="shared" si="0"/>
        <v>14</v>
      </c>
      <c r="C21" s="198" t="s">
        <v>433</v>
      </c>
      <c r="D21" s="201" t="s">
        <v>441</v>
      </c>
      <c r="E21" s="489">
        <v>72.796432499999995</v>
      </c>
      <c r="F21" s="489">
        <v>72.850069500000004</v>
      </c>
      <c r="G21" s="489">
        <v>56.666678000000005</v>
      </c>
      <c r="H21" s="489">
        <v>31.899460200000004</v>
      </c>
      <c r="I21" s="489">
        <v>33.778868199999998</v>
      </c>
      <c r="J21" s="489">
        <v>54.418990600000036</v>
      </c>
      <c r="K21" s="489">
        <v>68.152394399999977</v>
      </c>
      <c r="L21" s="489">
        <v>61.449454300000035</v>
      </c>
      <c r="M21" s="489">
        <v>50.997412299999993</v>
      </c>
      <c r="N21" s="489">
        <v>48.867557500000004</v>
      </c>
      <c r="O21" s="489">
        <v>45.898304000000024</v>
      </c>
      <c r="P21" s="489">
        <v>72.5673137</v>
      </c>
      <c r="Q21" s="489">
        <f>SUM(E21:P21)</f>
        <v>670.34293520000006</v>
      </c>
    </row>
    <row r="22" spans="2:19" x14ac:dyDescent="0.25">
      <c r="B22" s="196">
        <f t="shared" si="0"/>
        <v>15</v>
      </c>
      <c r="C22" s="198" t="s">
        <v>434</v>
      </c>
      <c r="D22" s="201" t="s">
        <v>441</v>
      </c>
      <c r="E22" s="489">
        <v>230.3101193</v>
      </c>
      <c r="F22" s="489">
        <v>232.84286789999999</v>
      </c>
      <c r="G22" s="489">
        <v>174.61844819999999</v>
      </c>
      <c r="H22" s="489">
        <v>103.59969940000001</v>
      </c>
      <c r="I22" s="489">
        <v>109.62165520000001</v>
      </c>
      <c r="J22" s="489">
        <v>162.6670244</v>
      </c>
      <c r="K22" s="489">
        <v>175.60556659999997</v>
      </c>
      <c r="L22" s="489">
        <v>177.89045089999999</v>
      </c>
      <c r="M22" s="489">
        <v>153.5020208</v>
      </c>
      <c r="N22" s="489">
        <v>143.3165314</v>
      </c>
      <c r="O22" s="489">
        <v>123.91016499999999</v>
      </c>
      <c r="P22" s="489">
        <v>204.59791959999998</v>
      </c>
      <c r="Q22" s="489">
        <f t="shared" ref="Q22:Q28" si="3">SUM(E22:P22)</f>
        <v>1992.4824687</v>
      </c>
    </row>
    <row r="23" spans="2:19" x14ac:dyDescent="0.25">
      <c r="B23" s="196">
        <f t="shared" si="0"/>
        <v>16</v>
      </c>
      <c r="C23" s="198" t="s">
        <v>479</v>
      </c>
      <c r="D23" s="201" t="s">
        <v>441</v>
      </c>
      <c r="E23" s="489">
        <v>41.67764009239999</v>
      </c>
      <c r="F23" s="489">
        <v>42.836780441999991</v>
      </c>
      <c r="G23" s="489">
        <v>65.56403734360002</v>
      </c>
      <c r="H23" s="489">
        <v>55.970341739600009</v>
      </c>
      <c r="I23" s="489">
        <v>103.10539425000003</v>
      </c>
      <c r="J23" s="489">
        <v>148.89724242299999</v>
      </c>
      <c r="K23" s="489">
        <v>164.10994262640006</v>
      </c>
      <c r="L23" s="489">
        <v>117.45588465000003</v>
      </c>
      <c r="M23" s="489">
        <v>115.9061534388</v>
      </c>
      <c r="N23" s="489">
        <v>110.1024669036</v>
      </c>
      <c r="O23" s="489">
        <v>84.564725117200013</v>
      </c>
      <c r="P23" s="489">
        <v>84.51787648680002</v>
      </c>
      <c r="Q23" s="489">
        <f>SUM(E23:P23)</f>
        <v>1134.7084855134003</v>
      </c>
    </row>
    <row r="24" spans="2:19" x14ac:dyDescent="0.25">
      <c r="B24" s="196">
        <f t="shared" si="0"/>
        <v>17</v>
      </c>
      <c r="C24" s="198" t="s">
        <v>1051</v>
      </c>
      <c r="D24" s="201" t="s">
        <v>441</v>
      </c>
      <c r="E24" s="489">
        <v>2.793425E-3</v>
      </c>
      <c r="F24" s="489">
        <v>2.793425E-3</v>
      </c>
      <c r="G24" s="489">
        <v>2.793425E-3</v>
      </c>
      <c r="H24" s="489">
        <v>2.793425E-3</v>
      </c>
      <c r="I24" s="489">
        <v>2.793425E-3</v>
      </c>
      <c r="J24" s="489">
        <v>2.793425E-3</v>
      </c>
      <c r="K24" s="489">
        <v>2.793425E-3</v>
      </c>
      <c r="L24" s="489">
        <v>2.793425E-3</v>
      </c>
      <c r="M24" s="489">
        <v>2.793425E-3</v>
      </c>
      <c r="N24" s="489">
        <v>2.793425E-3</v>
      </c>
      <c r="O24" s="489">
        <v>2.793425E-3</v>
      </c>
      <c r="P24" s="489">
        <v>2.793425E-3</v>
      </c>
      <c r="Q24" s="489">
        <f t="shared" si="3"/>
        <v>3.3521099999999991E-2</v>
      </c>
    </row>
    <row r="25" spans="2:19" x14ac:dyDescent="0.25">
      <c r="B25" s="196">
        <f t="shared" si="0"/>
        <v>18</v>
      </c>
      <c r="C25" s="198" t="s">
        <v>853</v>
      </c>
      <c r="D25" s="201" t="s">
        <v>441</v>
      </c>
      <c r="E25" s="489"/>
      <c r="F25" s="489"/>
      <c r="G25" s="489"/>
      <c r="H25" s="489"/>
      <c r="I25" s="489"/>
      <c r="J25" s="489"/>
      <c r="K25" s="489"/>
      <c r="L25" s="489"/>
      <c r="M25" s="489"/>
      <c r="N25" s="489"/>
      <c r="O25" s="489"/>
      <c r="P25" s="489"/>
      <c r="Q25" s="489">
        <f t="shared" si="3"/>
        <v>0</v>
      </c>
    </row>
    <row r="26" spans="2:19" x14ac:dyDescent="0.25">
      <c r="B26" s="196">
        <f t="shared" si="0"/>
        <v>19</v>
      </c>
      <c r="C26" s="1320" t="s">
        <v>1021</v>
      </c>
      <c r="D26" s="490" t="s">
        <v>441</v>
      </c>
      <c r="E26" s="489">
        <v>7.0805350000000003E-2</v>
      </c>
      <c r="F26" s="489">
        <v>7.0805350000000003E-2</v>
      </c>
      <c r="G26" s="489">
        <v>7.0805350000000003E-2</v>
      </c>
      <c r="H26" s="489">
        <v>7.0805350000000003E-2</v>
      </c>
      <c r="I26" s="489">
        <v>7.0805350000000003E-2</v>
      </c>
      <c r="J26" s="489">
        <v>7.0805350000000003E-2</v>
      </c>
      <c r="K26" s="489">
        <v>7.0805350000000003E-2</v>
      </c>
      <c r="L26" s="489">
        <v>7.0805350000000003E-2</v>
      </c>
      <c r="M26" s="489">
        <v>7.0805350000000003E-2</v>
      </c>
      <c r="N26" s="489">
        <v>7.0805350000000003E-2</v>
      </c>
      <c r="O26" s="489">
        <v>7.0805350000000003E-2</v>
      </c>
      <c r="P26" s="489">
        <v>7.0805350000000003E-2</v>
      </c>
      <c r="Q26" s="489">
        <f t="shared" si="3"/>
        <v>0.84966419999999998</v>
      </c>
    </row>
    <row r="27" spans="2:19" x14ac:dyDescent="0.25">
      <c r="B27" s="196">
        <f t="shared" si="0"/>
        <v>20</v>
      </c>
      <c r="C27" s="199" t="s">
        <v>435</v>
      </c>
      <c r="D27" s="201" t="s">
        <v>441</v>
      </c>
      <c r="E27" s="356">
        <f>SUM(E21:E26)</f>
        <v>344.85779066739997</v>
      </c>
      <c r="F27" s="356">
        <f t="shared" ref="F27:P27" si="4">SUM(F21:F26)</f>
        <v>348.60331661699996</v>
      </c>
      <c r="G27" s="356">
        <f t="shared" si="4"/>
        <v>296.92276231860001</v>
      </c>
      <c r="H27" s="356">
        <f t="shared" si="4"/>
        <v>191.54310011460001</v>
      </c>
      <c r="I27" s="356">
        <f t="shared" si="4"/>
        <v>246.57951642500001</v>
      </c>
      <c r="J27" s="356">
        <f t="shared" si="4"/>
        <v>366.05685619800005</v>
      </c>
      <c r="K27" s="356">
        <f t="shared" si="4"/>
        <v>407.94150240139999</v>
      </c>
      <c r="L27" s="356">
        <f t="shared" si="4"/>
        <v>356.86938862500006</v>
      </c>
      <c r="M27" s="356">
        <f t="shared" si="4"/>
        <v>320.47918531379997</v>
      </c>
      <c r="N27" s="356">
        <f t="shared" si="4"/>
        <v>302.36015457859997</v>
      </c>
      <c r="O27" s="356">
        <f t="shared" si="4"/>
        <v>254.44679289219999</v>
      </c>
      <c r="P27" s="356">
        <f t="shared" si="4"/>
        <v>361.75670856179994</v>
      </c>
      <c r="Q27" s="356">
        <f>SUM(Q21:Q26)</f>
        <v>3798.4170747134008</v>
      </c>
    </row>
    <row r="28" spans="2:19" x14ac:dyDescent="0.25">
      <c r="B28" s="196">
        <f t="shared" si="0"/>
        <v>21</v>
      </c>
      <c r="C28" s="200" t="s">
        <v>436</v>
      </c>
      <c r="D28" s="201"/>
      <c r="E28" s="489"/>
      <c r="F28" s="489"/>
      <c r="G28" s="489"/>
      <c r="H28" s="489"/>
      <c r="I28" s="489"/>
      <c r="J28" s="489"/>
      <c r="K28" s="489"/>
      <c r="L28" s="489"/>
      <c r="M28" s="489"/>
      <c r="N28" s="489"/>
      <c r="O28" s="489"/>
      <c r="P28" s="489"/>
      <c r="Q28" s="489">
        <f t="shared" si="3"/>
        <v>0</v>
      </c>
    </row>
    <row r="29" spans="2:19" x14ac:dyDescent="0.25">
      <c r="B29" s="196"/>
      <c r="C29" s="198" t="s">
        <v>1051</v>
      </c>
      <c r="D29" s="201" t="s">
        <v>441</v>
      </c>
      <c r="E29" s="489">
        <f>E24</f>
        <v>2.793425E-3</v>
      </c>
      <c r="F29" s="489">
        <f t="shared" ref="F29:P29" si="5">F24</f>
        <v>2.793425E-3</v>
      </c>
      <c r="G29" s="489">
        <f t="shared" si="5"/>
        <v>2.793425E-3</v>
      </c>
      <c r="H29" s="489">
        <f t="shared" si="5"/>
        <v>2.793425E-3</v>
      </c>
      <c r="I29" s="489">
        <f t="shared" si="5"/>
        <v>2.793425E-3</v>
      </c>
      <c r="J29" s="489">
        <f t="shared" si="5"/>
        <v>2.793425E-3</v>
      </c>
      <c r="K29" s="489">
        <f t="shared" si="5"/>
        <v>2.793425E-3</v>
      </c>
      <c r="L29" s="489">
        <f t="shared" si="5"/>
        <v>2.793425E-3</v>
      </c>
      <c r="M29" s="489">
        <f t="shared" si="5"/>
        <v>2.793425E-3</v>
      </c>
      <c r="N29" s="489">
        <f t="shared" si="5"/>
        <v>2.793425E-3</v>
      </c>
      <c r="O29" s="489">
        <f t="shared" si="5"/>
        <v>2.793425E-3</v>
      </c>
      <c r="P29" s="489">
        <f t="shared" si="5"/>
        <v>2.793425E-3</v>
      </c>
      <c r="Q29" s="489">
        <f t="shared" ref="Q29" si="6">SUM(E29:P29)</f>
        <v>3.3521099999999991E-2</v>
      </c>
    </row>
    <row r="30" spans="2:19" x14ac:dyDescent="0.25">
      <c r="B30" s="201">
        <f>B28+1</f>
        <v>22</v>
      </c>
      <c r="C30" s="202" t="s">
        <v>351</v>
      </c>
      <c r="D30" s="201" t="s">
        <v>441</v>
      </c>
      <c r="E30" s="489">
        <f>SUM(E27:E28)-E29</f>
        <v>344.85499724239997</v>
      </c>
      <c r="F30" s="489">
        <f t="shared" ref="F30:P30" si="7">SUM(F27:F28)-F29</f>
        <v>348.60052319199997</v>
      </c>
      <c r="G30" s="489">
        <f t="shared" si="7"/>
        <v>296.91996889360001</v>
      </c>
      <c r="H30" s="489">
        <f t="shared" si="7"/>
        <v>191.54030668960002</v>
      </c>
      <c r="I30" s="489">
        <f t="shared" si="7"/>
        <v>246.57672300000002</v>
      </c>
      <c r="J30" s="489">
        <f t="shared" si="7"/>
        <v>366.05406277300006</v>
      </c>
      <c r="K30" s="489">
        <f t="shared" si="7"/>
        <v>407.93870897639999</v>
      </c>
      <c r="L30" s="489">
        <f t="shared" si="7"/>
        <v>356.86659520000006</v>
      </c>
      <c r="M30" s="489">
        <f t="shared" si="7"/>
        <v>320.47639188879998</v>
      </c>
      <c r="N30" s="489">
        <f t="shared" si="7"/>
        <v>302.35736115359998</v>
      </c>
      <c r="O30" s="489">
        <f t="shared" si="7"/>
        <v>254.4439994672</v>
      </c>
      <c r="P30" s="489">
        <f t="shared" si="7"/>
        <v>361.75391513679995</v>
      </c>
      <c r="Q30" s="356">
        <f>SUM(Q27:Q28)-Q29</f>
        <v>3798.3835536134006</v>
      </c>
      <c r="R30" s="472">
        <f>Q30-'F9'!N13</f>
        <v>0</v>
      </c>
      <c r="S30" s="472"/>
    </row>
    <row r="31" spans="2:19" x14ac:dyDescent="0.25">
      <c r="B31" s="201">
        <f>B30+1</f>
        <v>23</v>
      </c>
      <c r="C31" s="202" t="s">
        <v>442</v>
      </c>
      <c r="D31" s="201" t="s">
        <v>441</v>
      </c>
      <c r="E31" s="489">
        <f t="shared" ref="E31:P31" si="8">E30</f>
        <v>344.85499724239997</v>
      </c>
      <c r="F31" s="489">
        <f t="shared" si="8"/>
        <v>348.60052319199997</v>
      </c>
      <c r="G31" s="489">
        <f t="shared" si="8"/>
        <v>296.91996889360001</v>
      </c>
      <c r="H31" s="489">
        <f t="shared" si="8"/>
        <v>191.54030668960002</v>
      </c>
      <c r="I31" s="489">
        <f t="shared" si="8"/>
        <v>246.57672300000002</v>
      </c>
      <c r="J31" s="489">
        <f t="shared" si="8"/>
        <v>366.05406277300006</v>
      </c>
      <c r="K31" s="489">
        <f t="shared" si="8"/>
        <v>407.93870897639999</v>
      </c>
      <c r="L31" s="489">
        <f t="shared" si="8"/>
        <v>356.86659520000006</v>
      </c>
      <c r="M31" s="489">
        <f t="shared" si="8"/>
        <v>320.47639188879998</v>
      </c>
      <c r="N31" s="489">
        <f t="shared" si="8"/>
        <v>302.35736115359998</v>
      </c>
      <c r="O31" s="489">
        <f t="shared" si="8"/>
        <v>254.4439994672</v>
      </c>
      <c r="P31" s="489">
        <f t="shared" si="8"/>
        <v>361.75391513679995</v>
      </c>
      <c r="Q31" s="356">
        <f>Q30</f>
        <v>3798.3835536134006</v>
      </c>
    </row>
    <row r="32" spans="2:19" x14ac:dyDescent="0.25">
      <c r="B32" s="760"/>
      <c r="C32" s="761"/>
      <c r="D32" s="760"/>
      <c r="E32" s="762"/>
      <c r="F32" s="762"/>
      <c r="G32" s="762"/>
      <c r="H32" s="762"/>
      <c r="I32" s="762"/>
      <c r="J32" s="762"/>
      <c r="K32" s="762"/>
      <c r="L32" s="762"/>
      <c r="M32" s="762"/>
      <c r="N32" s="762"/>
      <c r="O32" s="762"/>
      <c r="P32" s="762"/>
      <c r="Q32" s="763"/>
    </row>
    <row r="33" spans="2:17" x14ac:dyDescent="0.25">
      <c r="B33" s="206" t="s">
        <v>1009</v>
      </c>
      <c r="C33" s="206" t="s">
        <v>507</v>
      </c>
    </row>
    <row r="34" spans="2:17" ht="26" x14ac:dyDescent="0.25">
      <c r="B34" s="194" t="s">
        <v>425</v>
      </c>
      <c r="C34" s="194" t="s">
        <v>37</v>
      </c>
      <c r="D34" s="194" t="s">
        <v>94</v>
      </c>
      <c r="E34" s="213" t="s">
        <v>279</v>
      </c>
      <c r="F34" s="213" t="s">
        <v>280</v>
      </c>
      <c r="G34" s="106" t="s">
        <v>281</v>
      </c>
      <c r="H34" s="106" t="s">
        <v>282</v>
      </c>
      <c r="I34" s="106" t="s">
        <v>283</v>
      </c>
      <c r="J34" s="106" t="s">
        <v>284</v>
      </c>
      <c r="K34" s="106" t="s">
        <v>285</v>
      </c>
      <c r="L34" s="106" t="s">
        <v>286</v>
      </c>
      <c r="M34" s="106" t="s">
        <v>287</v>
      </c>
      <c r="N34" s="106" t="s">
        <v>288</v>
      </c>
      <c r="O34" s="106" t="s">
        <v>289</v>
      </c>
      <c r="P34" s="106" t="s">
        <v>290</v>
      </c>
      <c r="Q34" s="195" t="s">
        <v>271</v>
      </c>
    </row>
    <row r="35" spans="2:17" x14ac:dyDescent="0.25">
      <c r="B35" s="196">
        <v>1</v>
      </c>
      <c r="C35" s="197" t="s">
        <v>362</v>
      </c>
      <c r="D35" s="196" t="s">
        <v>99</v>
      </c>
      <c r="E35" s="1433">
        <v>0.8</v>
      </c>
      <c r="F35" s="1433">
        <v>0.8</v>
      </c>
      <c r="G35" s="1433">
        <v>0.8</v>
      </c>
      <c r="H35" s="1433">
        <v>0.8</v>
      </c>
      <c r="I35" s="1433">
        <v>0.8</v>
      </c>
      <c r="J35" s="1433">
        <v>0.8</v>
      </c>
      <c r="K35" s="1433">
        <v>0.8</v>
      </c>
      <c r="L35" s="1433">
        <v>0.8</v>
      </c>
      <c r="M35" s="1433">
        <v>0.8</v>
      </c>
      <c r="N35" s="1433">
        <v>0.8</v>
      </c>
      <c r="O35" s="1433">
        <v>0.8</v>
      </c>
      <c r="P35" s="1433">
        <v>0.8</v>
      </c>
      <c r="Q35" s="798">
        <f>AVERAGE(E35:P35)</f>
        <v>0.79999999999999993</v>
      </c>
    </row>
    <row r="36" spans="2:17" x14ac:dyDescent="0.25">
      <c r="B36" s="196">
        <f>B35+1</f>
        <v>2</v>
      </c>
      <c r="C36" s="197" t="s">
        <v>426</v>
      </c>
      <c r="D36" s="196" t="s">
        <v>99</v>
      </c>
      <c r="E36" s="1434"/>
      <c r="F36" s="1434"/>
      <c r="G36" s="1434"/>
      <c r="H36" s="1434"/>
      <c r="I36" s="1434"/>
      <c r="J36" s="1434"/>
      <c r="K36" s="1434"/>
      <c r="L36" s="1434"/>
      <c r="M36" s="1434"/>
      <c r="N36" s="1434"/>
      <c r="O36" s="1434"/>
      <c r="P36" s="1434"/>
      <c r="Q36" s="1432"/>
    </row>
    <row r="37" spans="2:17" x14ac:dyDescent="0.25">
      <c r="B37" s="196">
        <f t="shared" ref="B37:B55" si="9">B36+1</f>
        <v>3</v>
      </c>
      <c r="C37" s="197" t="s">
        <v>427</v>
      </c>
      <c r="D37" s="196" t="s">
        <v>99</v>
      </c>
      <c r="E37" s="1433"/>
      <c r="F37" s="1433"/>
      <c r="G37" s="1433"/>
      <c r="H37" s="1433"/>
      <c r="I37" s="1433"/>
      <c r="J37" s="1433"/>
      <c r="K37" s="1433"/>
      <c r="L37" s="1433"/>
      <c r="M37" s="1433"/>
      <c r="N37" s="1433"/>
      <c r="O37" s="1433"/>
      <c r="P37" s="1433"/>
      <c r="Q37" s="798"/>
    </row>
    <row r="38" spans="2:17" x14ac:dyDescent="0.25">
      <c r="B38" s="196">
        <f t="shared" si="9"/>
        <v>4</v>
      </c>
      <c r="C38" s="197" t="s">
        <v>100</v>
      </c>
      <c r="D38" s="196" t="s">
        <v>99</v>
      </c>
      <c r="E38" s="1433">
        <v>0.85</v>
      </c>
      <c r="F38" s="1433">
        <v>0.85</v>
      </c>
      <c r="G38" s="1433">
        <v>0.85</v>
      </c>
      <c r="H38" s="1433">
        <v>0.85</v>
      </c>
      <c r="I38" s="1433">
        <v>0.85</v>
      </c>
      <c r="J38" s="1433">
        <v>0.85</v>
      </c>
      <c r="K38" s="1433">
        <v>0.85</v>
      </c>
      <c r="L38" s="1433">
        <v>0.85</v>
      </c>
      <c r="M38" s="1433">
        <v>0.85</v>
      </c>
      <c r="N38" s="1433">
        <v>0.85</v>
      </c>
      <c r="O38" s="1433">
        <v>0.85</v>
      </c>
      <c r="P38" s="1433">
        <v>0.85</v>
      </c>
      <c r="Q38" s="798">
        <f>AVERAGE(E38:P38)</f>
        <v>0.84999999999999976</v>
      </c>
    </row>
    <row r="39" spans="2:17" x14ac:dyDescent="0.25">
      <c r="B39" s="196">
        <f t="shared" si="9"/>
        <v>5</v>
      </c>
      <c r="C39" s="197" t="s">
        <v>428</v>
      </c>
      <c r="D39" s="196" t="s">
        <v>99</v>
      </c>
      <c r="E39" s="1124"/>
      <c r="F39" s="1124"/>
      <c r="G39" s="1124"/>
      <c r="H39" s="1124"/>
      <c r="I39" s="1124"/>
      <c r="J39" s="1124"/>
      <c r="K39" s="1124"/>
      <c r="L39" s="1124"/>
      <c r="M39" s="1124"/>
      <c r="N39" s="1124"/>
      <c r="O39" s="1124"/>
      <c r="P39" s="1124"/>
      <c r="Q39" s="587"/>
    </row>
    <row r="40" spans="2:17" x14ac:dyDescent="0.25">
      <c r="B40" s="196">
        <f t="shared" si="9"/>
        <v>6</v>
      </c>
      <c r="C40" s="197" t="s">
        <v>429</v>
      </c>
      <c r="D40" s="196" t="s">
        <v>99</v>
      </c>
      <c r="E40" s="1124"/>
      <c r="F40" s="1124"/>
      <c r="G40" s="1124"/>
      <c r="H40" s="1124"/>
      <c r="I40" s="1124"/>
      <c r="J40" s="1124"/>
      <c r="K40" s="1124"/>
      <c r="L40" s="1124"/>
      <c r="M40" s="1124"/>
      <c r="N40" s="1124"/>
      <c r="O40" s="1124"/>
      <c r="P40" s="1124"/>
      <c r="Q40" s="587"/>
    </row>
    <row r="41" spans="2:17" x14ac:dyDescent="0.25">
      <c r="B41" s="196">
        <f t="shared" si="9"/>
        <v>7</v>
      </c>
      <c r="C41" s="198" t="s">
        <v>430</v>
      </c>
      <c r="D41" s="201" t="s">
        <v>101</v>
      </c>
      <c r="E41" s="1125">
        <v>990.49</v>
      </c>
      <c r="F41" s="1125">
        <v>962.08</v>
      </c>
      <c r="G41" s="1125">
        <v>694.62</v>
      </c>
      <c r="H41" s="1125">
        <v>543.92999999999995</v>
      </c>
      <c r="I41" s="1125">
        <v>504.75</v>
      </c>
      <c r="J41" s="1125">
        <v>447.68</v>
      </c>
      <c r="K41" s="1125">
        <v>663.77</v>
      </c>
      <c r="L41" s="1125">
        <v>903.55</v>
      </c>
      <c r="M41" s="1125">
        <v>759.72</v>
      </c>
      <c r="N41" s="1125">
        <v>825.01</v>
      </c>
      <c r="O41" s="1125">
        <v>772.54</v>
      </c>
      <c r="P41" s="1125">
        <v>970.99</v>
      </c>
      <c r="Q41" s="489">
        <f>SUM(E41:P41)</f>
        <v>9039.130000000001</v>
      </c>
    </row>
    <row r="42" spans="2:17" x14ac:dyDescent="0.25">
      <c r="B42" s="196">
        <f t="shared" si="9"/>
        <v>8</v>
      </c>
      <c r="C42" s="198" t="s">
        <v>431</v>
      </c>
      <c r="D42" s="201" t="s">
        <v>101</v>
      </c>
      <c r="E42" s="1125">
        <v>91.53</v>
      </c>
      <c r="F42" s="1125">
        <v>92.23</v>
      </c>
      <c r="G42" s="1125">
        <v>71.349999999999994</v>
      </c>
      <c r="H42" s="1125">
        <v>69.709999999999994</v>
      </c>
      <c r="I42" s="1125">
        <v>63.14</v>
      </c>
      <c r="J42" s="1125">
        <v>64.91</v>
      </c>
      <c r="K42" s="1125">
        <v>64.91</v>
      </c>
      <c r="L42" s="1125">
        <v>81.99</v>
      </c>
      <c r="M42" s="1125">
        <v>87.51</v>
      </c>
      <c r="N42" s="1125">
        <v>83.14</v>
      </c>
      <c r="O42" s="1125">
        <v>79.8</v>
      </c>
      <c r="P42" s="1125">
        <v>73.709999999999994</v>
      </c>
      <c r="Q42" s="489">
        <f>SUM(E42:P42)</f>
        <v>923.93</v>
      </c>
    </row>
    <row r="43" spans="2:17" x14ac:dyDescent="0.25">
      <c r="B43" s="196">
        <f t="shared" si="9"/>
        <v>9</v>
      </c>
      <c r="C43" s="198" t="s">
        <v>471</v>
      </c>
      <c r="D43" s="201" t="s">
        <v>101</v>
      </c>
      <c r="E43" s="1125">
        <v>903.358521</v>
      </c>
      <c r="F43" s="1125">
        <v>865.09546499999999</v>
      </c>
      <c r="G43" s="1125">
        <v>621.297822</v>
      </c>
      <c r="H43" s="1125">
        <v>477.45249899999999</v>
      </c>
      <c r="I43" s="1125">
        <v>444.760943</v>
      </c>
      <c r="J43" s="1125">
        <v>384.12035500000002</v>
      </c>
      <c r="K43" s="1125">
        <v>582.49556399999994</v>
      </c>
      <c r="L43" s="1125">
        <v>815.90284399999996</v>
      </c>
      <c r="M43" s="1125">
        <v>680.79206899999997</v>
      </c>
      <c r="N43" s="1125">
        <v>746.65907000000004</v>
      </c>
      <c r="O43" s="1125">
        <v>699.47258799999997</v>
      </c>
      <c r="P43" s="1125">
        <v>886.01266699999996</v>
      </c>
      <c r="Q43" s="489">
        <f>SUM(E43:P43)</f>
        <v>8107.4204069999996</v>
      </c>
    </row>
    <row r="44" spans="2:17" x14ac:dyDescent="0.25">
      <c r="B44" s="196">
        <f t="shared" si="9"/>
        <v>10</v>
      </c>
      <c r="C44" s="198" t="s">
        <v>476</v>
      </c>
      <c r="D44" s="201" t="s">
        <v>101</v>
      </c>
      <c r="E44" s="1125"/>
      <c r="F44" s="1125"/>
      <c r="G44" s="1125"/>
      <c r="H44" s="1125"/>
      <c r="I44" s="1125"/>
      <c r="J44" s="1125"/>
      <c r="K44" s="1125"/>
      <c r="L44" s="1125"/>
      <c r="M44" s="1125"/>
      <c r="N44" s="1125"/>
      <c r="O44" s="1125"/>
      <c r="P44" s="1125"/>
      <c r="Q44" s="489">
        <f>SUM(E44:P44)</f>
        <v>0</v>
      </c>
    </row>
    <row r="45" spans="2:17" x14ac:dyDescent="0.25">
      <c r="B45" s="196">
        <f t="shared" si="9"/>
        <v>11</v>
      </c>
      <c r="C45" s="198" t="s">
        <v>432</v>
      </c>
      <c r="D45" s="201" t="s">
        <v>440</v>
      </c>
      <c r="E45" s="1125">
        <f t="shared" ref="E45:P45" si="10">E49/E43*10</f>
        <v>4.1030000003730525</v>
      </c>
      <c r="F45" s="1125">
        <f t="shared" si="10"/>
        <v>4.1030000001213738</v>
      </c>
      <c r="G45" s="1125">
        <f t="shared" si="10"/>
        <v>4.103000000537584</v>
      </c>
      <c r="H45" s="1125">
        <f t="shared" si="10"/>
        <v>4.1029999991685031</v>
      </c>
      <c r="I45" s="1125">
        <f t="shared" si="10"/>
        <v>4.1029999997099562</v>
      </c>
      <c r="J45" s="1125">
        <f t="shared" si="10"/>
        <v>4.1030000011324574</v>
      </c>
      <c r="K45" s="1125">
        <f t="shared" si="10"/>
        <v>4.1029999998420594</v>
      </c>
      <c r="L45" s="1125">
        <f t="shared" si="10"/>
        <v>4.1030000000833429</v>
      </c>
      <c r="M45" s="1125">
        <f t="shared" si="10"/>
        <v>4.1029999998428304</v>
      </c>
      <c r="N45" s="1125">
        <f t="shared" si="10"/>
        <v>4.1029999997187465</v>
      </c>
      <c r="O45" s="1125">
        <f t="shared" si="10"/>
        <v>4.1030000006233269</v>
      </c>
      <c r="P45" s="1125">
        <f t="shared" si="10"/>
        <v>4.1030000003374676</v>
      </c>
      <c r="Q45" s="489">
        <f>Q49/Q43*10</f>
        <v>4.1030000001330889</v>
      </c>
    </row>
    <row r="46" spans="2:17" x14ac:dyDescent="0.25">
      <c r="B46" s="196">
        <f t="shared" si="9"/>
        <v>12</v>
      </c>
      <c r="C46" s="198" t="s">
        <v>477</v>
      </c>
      <c r="D46" s="201" t="s">
        <v>441</v>
      </c>
      <c r="E46" s="1125">
        <v>0</v>
      </c>
      <c r="F46" s="1125">
        <v>0</v>
      </c>
      <c r="G46" s="1125">
        <v>0</v>
      </c>
      <c r="H46" s="1125">
        <v>0</v>
      </c>
      <c r="I46" s="1125">
        <v>0</v>
      </c>
      <c r="J46" s="1125">
        <v>0</v>
      </c>
      <c r="K46" s="1125">
        <v>0</v>
      </c>
      <c r="L46" s="1125">
        <v>0</v>
      </c>
      <c r="M46" s="1125">
        <v>0</v>
      </c>
      <c r="N46" s="1125">
        <v>0</v>
      </c>
      <c r="O46" s="1125">
        <v>0</v>
      </c>
      <c r="P46" s="1125">
        <v>0</v>
      </c>
      <c r="Q46" s="489"/>
    </row>
    <row r="47" spans="2:17" x14ac:dyDescent="0.25">
      <c r="B47" s="196">
        <f t="shared" si="9"/>
        <v>13</v>
      </c>
      <c r="C47" s="198" t="s">
        <v>478</v>
      </c>
      <c r="D47" s="201" t="s">
        <v>440</v>
      </c>
      <c r="E47" s="1125">
        <f t="shared" ref="E47:P47" si="11">E50*10/E43</f>
        <v>-0.16099999975757132</v>
      </c>
      <c r="F47" s="1125">
        <f t="shared" si="11"/>
        <v>-0.54199999996532178</v>
      </c>
      <c r="G47" s="1125">
        <f t="shared" si="11"/>
        <v>-0.8000000006438136</v>
      </c>
      <c r="H47" s="1125">
        <f t="shared" si="11"/>
        <v>-0.66700000034977303</v>
      </c>
      <c r="I47" s="1125">
        <f t="shared" si="11"/>
        <v>-0.25799999933897078</v>
      </c>
      <c r="J47" s="1125">
        <f t="shared" si="11"/>
        <v>-0.36699999999999999</v>
      </c>
      <c r="K47" s="1125">
        <f t="shared" si="11"/>
        <v>-0.17700000000000002</v>
      </c>
      <c r="L47" s="1125">
        <f t="shared" si="11"/>
        <v>4.6000000000000006E-2</v>
      </c>
      <c r="M47" s="1125">
        <f t="shared" si="11"/>
        <v>0.10900000000000003</v>
      </c>
      <c r="N47" s="1125">
        <f t="shared" si="11"/>
        <v>0.253</v>
      </c>
      <c r="O47" s="1125">
        <f t="shared" si="11"/>
        <v>7.1999999999999995E-2</v>
      </c>
      <c r="P47" s="1125">
        <f t="shared" si="11"/>
        <v>0.11300000000000003</v>
      </c>
      <c r="Q47" s="489">
        <f>Q50*10/Q43</f>
        <v>-0.16497475286444713</v>
      </c>
    </row>
    <row r="48" spans="2:17" x14ac:dyDescent="0.25">
      <c r="B48" s="196">
        <f t="shared" si="9"/>
        <v>14</v>
      </c>
      <c r="C48" s="198" t="s">
        <v>433</v>
      </c>
      <c r="D48" s="201" t="s">
        <v>441</v>
      </c>
      <c r="E48" s="1125">
        <v>89.188090000000017</v>
      </c>
      <c r="F48" s="1125">
        <v>80.903761799999998</v>
      </c>
      <c r="G48" s="1125">
        <v>62.142433099999998</v>
      </c>
      <c r="H48" s="1125">
        <v>45.963532300000004</v>
      </c>
      <c r="I48" s="1125">
        <v>41.497999599999986</v>
      </c>
      <c r="J48" s="1125">
        <v>37.355835499999991</v>
      </c>
      <c r="K48" s="1125">
        <v>53.831930800000031</v>
      </c>
      <c r="L48" s="1125">
        <v>79.527244199999998</v>
      </c>
      <c r="M48" s="1125">
        <v>71.57342300000002</v>
      </c>
      <c r="N48" s="1125">
        <v>80.399792200000036</v>
      </c>
      <c r="O48" s="1125">
        <v>82.980792500000007</v>
      </c>
      <c r="P48" s="1125">
        <v>100.72609179999999</v>
      </c>
      <c r="Q48" s="489">
        <f>SUM(E48:P48)</f>
        <v>826.09092680000003</v>
      </c>
    </row>
    <row r="49" spans="2:19" x14ac:dyDescent="0.25">
      <c r="B49" s="196">
        <f t="shared" si="9"/>
        <v>15</v>
      </c>
      <c r="C49" s="198" t="s">
        <v>434</v>
      </c>
      <c r="D49" s="201" t="s">
        <v>441</v>
      </c>
      <c r="E49" s="1125">
        <v>370.64800120000001</v>
      </c>
      <c r="F49" s="1125">
        <v>354.94866929999995</v>
      </c>
      <c r="G49" s="1125">
        <v>254.91849640000001</v>
      </c>
      <c r="H49" s="1125">
        <v>195.89876029999999</v>
      </c>
      <c r="I49" s="1125">
        <v>182.48541489999999</v>
      </c>
      <c r="J49" s="1125">
        <v>157.60458170000001</v>
      </c>
      <c r="K49" s="1125">
        <v>238.99792990000003</v>
      </c>
      <c r="L49" s="1125">
        <v>334.76493690000001</v>
      </c>
      <c r="M49" s="1125">
        <v>279.32898590000002</v>
      </c>
      <c r="N49" s="1125">
        <v>306.35421639999998</v>
      </c>
      <c r="O49" s="1125">
        <v>286.99360289999998</v>
      </c>
      <c r="P49" s="1125">
        <v>363.53099730000002</v>
      </c>
      <c r="Q49" s="489">
        <f>SUM(E49:P49)</f>
        <v>3326.4745931000002</v>
      </c>
    </row>
    <row r="50" spans="2:19" x14ac:dyDescent="0.25">
      <c r="B50" s="196">
        <f t="shared" si="9"/>
        <v>16</v>
      </c>
      <c r="C50" s="198" t="s">
        <v>479</v>
      </c>
      <c r="D50" s="201" t="s">
        <v>441</v>
      </c>
      <c r="E50" s="1125">
        <v>-14.544072166199999</v>
      </c>
      <c r="F50" s="1125">
        <v>-46.888174200000002</v>
      </c>
      <c r="G50" s="1125">
        <v>-49.703825799999997</v>
      </c>
      <c r="H50" s="1125">
        <v>-31.846081699999999</v>
      </c>
      <c r="I50" s="1125">
        <v>-11.474832300000001</v>
      </c>
      <c r="J50" s="1125">
        <v>-14.097217028499999</v>
      </c>
      <c r="K50" s="1125">
        <v>-10.3101714828</v>
      </c>
      <c r="L50" s="1125">
        <v>3.7531530824000003</v>
      </c>
      <c r="M50" s="1125">
        <v>7.4206335521000009</v>
      </c>
      <c r="N50" s="1125">
        <v>18.890474471000001</v>
      </c>
      <c r="O50" s="1125">
        <v>5.0362026335999994</v>
      </c>
      <c r="P50" s="1125">
        <v>10.011943137100001</v>
      </c>
      <c r="Q50" s="489">
        <f>SUM(E50:P50)</f>
        <v>-133.75196780130003</v>
      </c>
    </row>
    <row r="51" spans="2:19" x14ac:dyDescent="0.25">
      <c r="B51" s="196">
        <f t="shared" si="9"/>
        <v>17</v>
      </c>
      <c r="C51" s="198" t="s">
        <v>1051</v>
      </c>
      <c r="D51" s="201" t="s">
        <v>441</v>
      </c>
      <c r="E51" s="489"/>
      <c r="F51" s="489"/>
      <c r="G51" s="489"/>
      <c r="H51" s="489"/>
      <c r="I51" s="489"/>
      <c r="J51" s="489"/>
      <c r="K51" s="489"/>
      <c r="L51" s="489"/>
      <c r="M51" s="489"/>
      <c r="N51" s="489"/>
      <c r="O51" s="489"/>
      <c r="P51" s="489"/>
      <c r="Q51" s="489"/>
    </row>
    <row r="52" spans="2:19" x14ac:dyDescent="0.25">
      <c r="B52" s="196">
        <f t="shared" si="9"/>
        <v>18</v>
      </c>
      <c r="C52" s="198" t="s">
        <v>853</v>
      </c>
      <c r="D52" s="201" t="s">
        <v>441</v>
      </c>
      <c r="E52" s="489"/>
      <c r="F52" s="489"/>
      <c r="G52" s="489"/>
      <c r="H52" s="489"/>
      <c r="I52" s="489"/>
      <c r="J52" s="489"/>
      <c r="K52" s="489"/>
      <c r="L52" s="489"/>
      <c r="M52" s="489"/>
      <c r="N52" s="489"/>
      <c r="O52" s="489"/>
      <c r="P52" s="489"/>
      <c r="Q52" s="489"/>
    </row>
    <row r="53" spans="2:19" x14ac:dyDescent="0.25">
      <c r="B53" s="196">
        <f t="shared" si="9"/>
        <v>19</v>
      </c>
      <c r="C53" s="1320" t="s">
        <v>1021</v>
      </c>
      <c r="D53" s="490" t="s">
        <v>441</v>
      </c>
      <c r="E53" s="489">
        <v>0.2230955</v>
      </c>
      <c r="F53" s="489">
        <v>0.2230955</v>
      </c>
      <c r="G53" s="489">
        <v>0.2230955</v>
      </c>
      <c r="H53" s="489">
        <v>0.2230955</v>
      </c>
      <c r="I53" s="489">
        <v>0.2230955</v>
      </c>
      <c r="J53" s="489">
        <v>0.2230955</v>
      </c>
      <c r="K53" s="489">
        <v>0.2230955</v>
      </c>
      <c r="L53" s="489">
        <v>0.2230955</v>
      </c>
      <c r="M53" s="489">
        <v>0.2230955</v>
      </c>
      <c r="N53" s="489">
        <v>0.2230955</v>
      </c>
      <c r="O53" s="489">
        <v>0.2230955</v>
      </c>
      <c r="P53" s="489">
        <v>0.2230955</v>
      </c>
      <c r="Q53" s="489">
        <f>SUM(E53:P53)</f>
        <v>2.6771459999999991</v>
      </c>
    </row>
    <row r="54" spans="2:19" x14ac:dyDescent="0.25">
      <c r="B54" s="196">
        <f t="shared" si="9"/>
        <v>20</v>
      </c>
      <c r="C54" s="199" t="s">
        <v>435</v>
      </c>
      <c r="D54" s="201" t="s">
        <v>441</v>
      </c>
      <c r="E54" s="356">
        <f t="shared" ref="E54:P54" si="12">SUM(E48:E53)</f>
        <v>445.51511453380004</v>
      </c>
      <c r="F54" s="356">
        <f t="shared" si="12"/>
        <v>389.18735239999995</v>
      </c>
      <c r="G54" s="356">
        <f t="shared" si="12"/>
        <v>267.58019919999998</v>
      </c>
      <c r="H54" s="356">
        <f t="shared" si="12"/>
        <v>210.23930639999998</v>
      </c>
      <c r="I54" s="356">
        <f t="shared" si="12"/>
        <v>212.73167769999998</v>
      </c>
      <c r="J54" s="356">
        <f t="shared" si="12"/>
        <v>181.08629567149998</v>
      </c>
      <c r="K54" s="356">
        <f t="shared" si="12"/>
        <v>282.74278471720004</v>
      </c>
      <c r="L54" s="356">
        <f t="shared" si="12"/>
        <v>418.26842968239998</v>
      </c>
      <c r="M54" s="356">
        <f t="shared" si="12"/>
        <v>358.54613795210008</v>
      </c>
      <c r="N54" s="356">
        <f t="shared" si="12"/>
        <v>405.86757857100002</v>
      </c>
      <c r="O54" s="356">
        <f t="shared" si="12"/>
        <v>375.23369353359999</v>
      </c>
      <c r="P54" s="356">
        <f t="shared" si="12"/>
        <v>474.49212773710002</v>
      </c>
      <c r="Q54" s="356">
        <f>SUM(E54:P54)</f>
        <v>4021.4906980987002</v>
      </c>
    </row>
    <row r="55" spans="2:19" x14ac:dyDescent="0.25">
      <c r="B55" s="196">
        <f t="shared" si="9"/>
        <v>21</v>
      </c>
      <c r="C55" s="200" t="s">
        <v>436</v>
      </c>
      <c r="D55" s="201"/>
      <c r="E55" s="489"/>
      <c r="F55" s="489"/>
      <c r="G55" s="489"/>
      <c r="H55" s="489"/>
      <c r="I55" s="489"/>
      <c r="J55" s="489"/>
      <c r="K55" s="489"/>
      <c r="L55" s="489"/>
      <c r="M55" s="489"/>
      <c r="N55" s="489"/>
      <c r="O55" s="489"/>
      <c r="P55" s="489"/>
      <c r="Q55" s="489"/>
    </row>
    <row r="56" spans="2:19" x14ac:dyDescent="0.25">
      <c r="B56" s="196"/>
      <c r="C56" s="198" t="s">
        <v>1051</v>
      </c>
      <c r="D56" s="201" t="s">
        <v>441</v>
      </c>
      <c r="E56" s="489"/>
      <c r="F56" s="489"/>
      <c r="G56" s="489"/>
      <c r="H56" s="489"/>
      <c r="I56" s="489"/>
      <c r="J56" s="489"/>
      <c r="K56" s="489"/>
      <c r="L56" s="489"/>
      <c r="M56" s="489"/>
      <c r="N56" s="489"/>
      <c r="O56" s="489"/>
      <c r="P56" s="489"/>
      <c r="Q56" s="489">
        <f t="shared" ref="Q56" si="13">SUM(E56:P56)</f>
        <v>0</v>
      </c>
    </row>
    <row r="57" spans="2:19" x14ac:dyDescent="0.25">
      <c r="B57" s="201">
        <f>B55+1</f>
        <v>22</v>
      </c>
      <c r="C57" s="202" t="s">
        <v>351</v>
      </c>
      <c r="D57" s="201" t="s">
        <v>441</v>
      </c>
      <c r="E57" s="489">
        <f t="shared" ref="E57:P57" si="14">SUM(E54:E56)</f>
        <v>445.51511453380004</v>
      </c>
      <c r="F57" s="489">
        <f t="shared" si="14"/>
        <v>389.18735239999995</v>
      </c>
      <c r="G57" s="489">
        <f t="shared" si="14"/>
        <v>267.58019919999998</v>
      </c>
      <c r="H57" s="489">
        <f t="shared" si="14"/>
        <v>210.23930639999998</v>
      </c>
      <c r="I57" s="489">
        <f t="shared" si="14"/>
        <v>212.73167769999998</v>
      </c>
      <c r="J57" s="489">
        <f t="shared" si="14"/>
        <v>181.08629567149998</v>
      </c>
      <c r="K57" s="489">
        <f t="shared" si="14"/>
        <v>282.74278471720004</v>
      </c>
      <c r="L57" s="489">
        <f t="shared" si="14"/>
        <v>418.26842968239998</v>
      </c>
      <c r="M57" s="489">
        <f t="shared" si="14"/>
        <v>358.54613795210008</v>
      </c>
      <c r="N57" s="489">
        <f t="shared" si="14"/>
        <v>405.86757857100002</v>
      </c>
      <c r="O57" s="489">
        <f t="shared" si="14"/>
        <v>375.23369353359999</v>
      </c>
      <c r="P57" s="489">
        <f t="shared" si="14"/>
        <v>474.49212773710002</v>
      </c>
      <c r="Q57" s="356">
        <f>SUM(Q54:Q56)</f>
        <v>4021.4906980987002</v>
      </c>
    </row>
    <row r="58" spans="2:19" x14ac:dyDescent="0.25">
      <c r="B58" s="201">
        <f>B57+1</f>
        <v>23</v>
      </c>
      <c r="C58" s="202" t="s">
        <v>442</v>
      </c>
      <c r="D58" s="201" t="s">
        <v>441</v>
      </c>
      <c r="E58" s="489">
        <f t="shared" ref="E58:P58" si="15">E57</f>
        <v>445.51511453380004</v>
      </c>
      <c r="F58" s="489">
        <f t="shared" si="15"/>
        <v>389.18735239999995</v>
      </c>
      <c r="G58" s="489">
        <f t="shared" si="15"/>
        <v>267.58019919999998</v>
      </c>
      <c r="H58" s="489">
        <f t="shared" si="15"/>
        <v>210.23930639999998</v>
      </c>
      <c r="I58" s="489">
        <f t="shared" si="15"/>
        <v>212.73167769999998</v>
      </c>
      <c r="J58" s="489">
        <f t="shared" si="15"/>
        <v>181.08629567149998</v>
      </c>
      <c r="K58" s="489">
        <f t="shared" si="15"/>
        <v>282.74278471720004</v>
      </c>
      <c r="L58" s="489">
        <f t="shared" si="15"/>
        <v>418.26842968239998</v>
      </c>
      <c r="M58" s="489">
        <f t="shared" si="15"/>
        <v>358.54613795210008</v>
      </c>
      <c r="N58" s="489">
        <f t="shared" si="15"/>
        <v>405.86757857100002</v>
      </c>
      <c r="O58" s="489">
        <f t="shared" si="15"/>
        <v>375.23369353359999</v>
      </c>
      <c r="P58" s="489">
        <f t="shared" si="15"/>
        <v>474.49212773710002</v>
      </c>
      <c r="Q58" s="356">
        <f>Q57</f>
        <v>4021.4906980987002</v>
      </c>
      <c r="R58" s="472">
        <f>'F9'!N22-Q58</f>
        <v>0</v>
      </c>
      <c r="S58" s="472"/>
    </row>
  </sheetData>
  <pageMargins left="0.7" right="0.7" top="0.75" bottom="0.75" header="0.3" footer="0.3"/>
  <pageSetup paperSize="9" scale="4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B2:O56"/>
  <sheetViews>
    <sheetView showGridLines="0" view="pageBreakPreview" topLeftCell="A49" zoomScale="70" zoomScaleNormal="80" zoomScaleSheetLayoutView="70" workbookViewId="0">
      <selection activeCell="U91" sqref="U91"/>
    </sheetView>
  </sheetViews>
  <sheetFormatPr defaultColWidth="8.6328125" defaultRowHeight="13" x14ac:dyDescent="0.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x14ac:dyDescent="0.3">
      <c r="B2" s="1657" t="str">
        <f>Index!B2</f>
        <v xml:space="preserve">      Maharashtra State Power Generation Company Ltd.</v>
      </c>
      <c r="C2" s="1657"/>
      <c r="D2" s="1657"/>
      <c r="E2" s="1657"/>
      <c r="F2" s="1657"/>
      <c r="G2" s="1657"/>
      <c r="H2" s="1657"/>
      <c r="I2" s="1657"/>
      <c r="J2" s="1657"/>
      <c r="K2" s="1657"/>
      <c r="L2" s="1657"/>
      <c r="M2" s="1657"/>
      <c r="N2" s="1657"/>
    </row>
    <row r="3" spans="2:15" ht="14" x14ac:dyDescent="0.3">
      <c r="B3" s="1657" t="str">
        <f>Index!B3</f>
        <v>MYT Petition Formats for Chandrapur Unit 3-7</v>
      </c>
      <c r="C3" s="1657"/>
      <c r="D3" s="1657"/>
      <c r="E3" s="1657"/>
      <c r="F3" s="1657"/>
      <c r="G3" s="1657"/>
      <c r="H3" s="1657"/>
      <c r="I3" s="1657"/>
      <c r="J3" s="1657"/>
      <c r="K3" s="1657"/>
      <c r="L3" s="1657"/>
      <c r="M3" s="1657"/>
      <c r="N3" s="1657"/>
    </row>
    <row r="4" spans="2:15" ht="14" x14ac:dyDescent="0.3">
      <c r="B4" s="1869" t="s">
        <v>423</v>
      </c>
      <c r="C4" s="1869"/>
      <c r="D4" s="1869"/>
      <c r="E4" s="1869"/>
      <c r="F4" s="1869"/>
      <c r="G4" s="1869"/>
      <c r="H4" s="1869"/>
      <c r="I4" s="1869"/>
      <c r="J4" s="1869"/>
      <c r="K4" s="1869"/>
      <c r="L4" s="1869"/>
      <c r="M4" s="1869"/>
      <c r="N4" s="1869"/>
    </row>
    <row r="5" spans="2:15" ht="14" x14ac:dyDescent="0.3">
      <c r="B5" s="88"/>
      <c r="C5" s="88"/>
      <c r="D5" s="88"/>
      <c r="E5" s="88"/>
      <c r="F5" s="88"/>
      <c r="G5" s="88"/>
      <c r="H5" s="88"/>
      <c r="I5" s="88"/>
      <c r="J5" s="88"/>
      <c r="K5" s="88"/>
      <c r="L5" s="88"/>
      <c r="M5" s="88"/>
      <c r="N5" s="88"/>
    </row>
    <row r="6" spans="2:15" ht="14" x14ac:dyDescent="0.3">
      <c r="B6" s="88"/>
      <c r="C6" s="88"/>
      <c r="D6" s="88"/>
      <c r="E6" s="88"/>
      <c r="F6" s="88"/>
      <c r="G6" s="88"/>
      <c r="H6" s="88"/>
      <c r="I6" s="88"/>
      <c r="J6" s="88"/>
      <c r="K6" s="88"/>
      <c r="L6" s="88"/>
      <c r="M6" s="88"/>
      <c r="N6" s="88"/>
    </row>
    <row r="7" spans="2:15" ht="14" x14ac:dyDescent="0.3">
      <c r="B7" s="68" t="s">
        <v>1010</v>
      </c>
      <c r="N7" s="115"/>
    </row>
    <row r="8" spans="2:15" ht="14" x14ac:dyDescent="0.3">
      <c r="B8" s="68"/>
      <c r="N8" s="115" t="s">
        <v>10</v>
      </c>
    </row>
    <row r="9" spans="2:15" s="116" customFormat="1" ht="33" customHeight="1" x14ac:dyDescent="0.25">
      <c r="B9" s="1866" t="s">
        <v>278</v>
      </c>
      <c r="C9" s="1701" t="s">
        <v>294</v>
      </c>
      <c r="D9" s="1701"/>
      <c r="E9" s="1701"/>
      <c r="F9" s="1701"/>
      <c r="G9" s="1699" t="s">
        <v>295</v>
      </c>
      <c r="H9" s="1699"/>
      <c r="I9" s="1699"/>
      <c r="J9" s="1867" t="s">
        <v>296</v>
      </c>
      <c r="K9" s="1867"/>
      <c r="L9" s="1867"/>
      <c r="M9" s="1867"/>
      <c r="N9" s="1867"/>
    </row>
    <row r="10" spans="2:15" ht="72" customHeight="1" x14ac:dyDescent="0.3">
      <c r="B10" s="1866"/>
      <c r="C10" s="305" t="s">
        <v>347</v>
      </c>
      <c r="D10" s="305" t="s">
        <v>345</v>
      </c>
      <c r="E10" s="305" t="s">
        <v>740</v>
      </c>
      <c r="F10" s="305" t="s">
        <v>346</v>
      </c>
      <c r="G10" s="305" t="s">
        <v>297</v>
      </c>
      <c r="H10" s="305" t="s">
        <v>741</v>
      </c>
      <c r="I10" s="305" t="s">
        <v>298</v>
      </c>
      <c r="J10" s="305" t="s">
        <v>299</v>
      </c>
      <c r="K10" s="305" t="s">
        <v>300</v>
      </c>
      <c r="L10" s="305" t="s">
        <v>742</v>
      </c>
      <c r="M10" s="305" t="s">
        <v>743</v>
      </c>
      <c r="N10" s="306" t="s">
        <v>271</v>
      </c>
    </row>
    <row r="11" spans="2:15" ht="14.25" customHeight="1" x14ac:dyDescent="0.3">
      <c r="B11" s="110"/>
      <c r="C11" s="111"/>
      <c r="D11" s="111"/>
      <c r="E11" s="111"/>
      <c r="F11" s="111"/>
      <c r="G11" s="111"/>
      <c r="H11" s="111"/>
      <c r="I11" s="111"/>
      <c r="J11" s="111"/>
      <c r="K11" s="111"/>
      <c r="L11" s="111"/>
      <c r="M11" s="111"/>
      <c r="N11" s="112"/>
    </row>
    <row r="12" spans="2:15" ht="14.25" customHeight="1" x14ac:dyDescent="0.3">
      <c r="B12" s="148" t="s">
        <v>779</v>
      </c>
      <c r="C12" s="333">
        <f ca="1">'F1'!S27-'F1'!S11</f>
        <v>1681.9521990268695</v>
      </c>
      <c r="D12" s="333">
        <f>'F2.2'!S157</f>
        <v>4.4777632822038598</v>
      </c>
      <c r="E12" s="113"/>
      <c r="F12" s="113"/>
      <c r="G12" s="333">
        <f>'F2.2'!S37</f>
        <v>12193.623753533484</v>
      </c>
      <c r="H12" s="457">
        <v>1</v>
      </c>
      <c r="I12" s="113"/>
      <c r="J12" s="333">
        <f ca="1">C12</f>
        <v>1681.9521990268695</v>
      </c>
      <c r="K12" s="333">
        <f>G12*D12/10</f>
        <v>5460.0160720581043</v>
      </c>
      <c r="L12" s="333"/>
      <c r="M12" s="333"/>
      <c r="N12" s="331">
        <f ca="1">SUM(J12:M12)</f>
        <v>7141.9682710849738</v>
      </c>
    </row>
    <row r="13" spans="2:15" ht="14.25" customHeight="1" x14ac:dyDescent="0.3">
      <c r="B13" s="107"/>
      <c r="C13" s="113"/>
      <c r="D13" s="113"/>
      <c r="E13" s="113"/>
      <c r="F13" s="113"/>
      <c r="G13" s="113"/>
      <c r="H13" s="113"/>
      <c r="I13" s="113"/>
      <c r="J13" s="113"/>
      <c r="K13" s="113"/>
      <c r="L13" s="113"/>
      <c r="M13" s="113"/>
      <c r="N13" s="331">
        <f>SUM(J13:M13)</f>
        <v>0</v>
      </c>
    </row>
    <row r="14" spans="2:15" ht="14" x14ac:dyDescent="0.3">
      <c r="B14" s="107" t="s">
        <v>271</v>
      </c>
      <c r="C14" s="354"/>
      <c r="D14" s="354"/>
      <c r="E14" s="354"/>
      <c r="F14" s="354"/>
      <c r="G14" s="354">
        <f>SUM(G12:G13)</f>
        <v>12193.623753533484</v>
      </c>
      <c r="H14" s="354"/>
      <c r="I14" s="354"/>
      <c r="J14" s="354">
        <f ca="1">SUM(J12:J13)</f>
        <v>1681.9521990268695</v>
      </c>
      <c r="K14" s="354">
        <f>SUM(K12:K13)</f>
        <v>5460.0160720581043</v>
      </c>
      <c r="L14" s="354">
        <f>SUM(L12:L13)</f>
        <v>0</v>
      </c>
      <c r="M14" s="354">
        <f>SUM(M12:M13)</f>
        <v>0</v>
      </c>
      <c r="N14" s="354">
        <f ca="1">SUM(N12:N13)</f>
        <v>7141.9682710849738</v>
      </c>
      <c r="O14" s="335"/>
    </row>
    <row r="17" spans="2:14" ht="2.75" customHeight="1" x14ac:dyDescent="0.3"/>
    <row r="18" spans="2:14" ht="14" x14ac:dyDescent="0.3">
      <c r="B18" s="68" t="s">
        <v>1011</v>
      </c>
    </row>
    <row r="19" spans="2:14" ht="14" x14ac:dyDescent="0.3">
      <c r="B19" s="68"/>
      <c r="N19" s="115" t="s">
        <v>10</v>
      </c>
    </row>
    <row r="20" spans="2:14" ht="13.25" customHeight="1" x14ac:dyDescent="0.3">
      <c r="B20" s="1866" t="s">
        <v>278</v>
      </c>
      <c r="C20" s="1701" t="s">
        <v>294</v>
      </c>
      <c r="D20" s="1701"/>
      <c r="E20" s="1701"/>
      <c r="F20" s="1701"/>
      <c r="G20" s="1699" t="s">
        <v>295</v>
      </c>
      <c r="H20" s="1699"/>
      <c r="I20" s="1699"/>
      <c r="J20" s="1867" t="s">
        <v>296</v>
      </c>
      <c r="K20" s="1867"/>
      <c r="L20" s="1867"/>
      <c r="M20" s="1867"/>
      <c r="N20" s="1867"/>
    </row>
    <row r="21" spans="2:14" ht="69" customHeight="1" x14ac:dyDescent="0.3">
      <c r="B21" s="1866"/>
      <c r="C21" s="305" t="s">
        <v>347</v>
      </c>
      <c r="D21" s="305" t="s">
        <v>345</v>
      </c>
      <c r="E21" s="305" t="s">
        <v>740</v>
      </c>
      <c r="F21" s="305" t="s">
        <v>346</v>
      </c>
      <c r="G21" s="305" t="s">
        <v>297</v>
      </c>
      <c r="H21" s="305" t="s">
        <v>741</v>
      </c>
      <c r="I21" s="305" t="s">
        <v>298</v>
      </c>
      <c r="J21" s="305" t="s">
        <v>299</v>
      </c>
      <c r="K21" s="305" t="s">
        <v>300</v>
      </c>
      <c r="L21" s="305" t="s">
        <v>742</v>
      </c>
      <c r="M21" s="305" t="s">
        <v>743</v>
      </c>
      <c r="N21" s="306" t="s">
        <v>271</v>
      </c>
    </row>
    <row r="22" spans="2:14" x14ac:dyDescent="0.3">
      <c r="B22" s="110"/>
      <c r="C22" s="111"/>
      <c r="D22" s="111"/>
      <c r="E22" s="111"/>
      <c r="F22" s="111"/>
      <c r="G22" s="111"/>
      <c r="H22" s="111"/>
      <c r="I22" s="111"/>
      <c r="J22" s="111"/>
      <c r="K22" s="111"/>
      <c r="L22" s="111"/>
      <c r="M22" s="111"/>
      <c r="N22" s="112"/>
    </row>
    <row r="23" spans="2:14" ht="14" x14ac:dyDescent="0.3">
      <c r="B23" s="148" t="s">
        <v>779</v>
      </c>
      <c r="C23" s="332">
        <f ca="1">'F1'!T27-'F1'!T11</f>
        <v>1868.4598613037033</v>
      </c>
      <c r="D23" s="332">
        <f>'F2.2'!$T$157</f>
        <v>4.7016682106173677</v>
      </c>
      <c r="E23" s="332"/>
      <c r="F23" s="113"/>
      <c r="G23" s="333">
        <f>'F2.2'!$T$37</f>
        <v>12193.027576902752</v>
      </c>
      <c r="H23" s="457">
        <v>1</v>
      </c>
      <c r="I23" s="113"/>
      <c r="J23" s="333">
        <f ca="1">C23</f>
        <v>1868.4598613037033</v>
      </c>
      <c r="K23" s="333">
        <f>G23*D23/10</f>
        <v>5732.7570149504581</v>
      </c>
      <c r="L23" s="333"/>
      <c r="M23" s="333"/>
      <c r="N23" s="331">
        <f ca="1">SUM(J23:M23)</f>
        <v>7601.2168762541614</v>
      </c>
    </row>
    <row r="24" spans="2:14" ht="14" x14ac:dyDescent="0.3">
      <c r="B24" s="107"/>
      <c r="C24" s="113"/>
      <c r="D24" s="113"/>
      <c r="E24" s="113"/>
      <c r="F24" s="113"/>
      <c r="G24" s="113"/>
      <c r="H24" s="113"/>
      <c r="I24" s="113"/>
      <c r="J24" s="113"/>
      <c r="K24" s="113"/>
      <c r="L24" s="113"/>
      <c r="M24" s="113"/>
      <c r="N24" s="331">
        <f>SUM(J24:M24)</f>
        <v>0</v>
      </c>
    </row>
    <row r="25" spans="2:14" ht="14" x14ac:dyDescent="0.3">
      <c r="B25" s="107" t="s">
        <v>271</v>
      </c>
      <c r="C25" s="354"/>
      <c r="D25" s="354"/>
      <c r="E25" s="354"/>
      <c r="F25" s="354"/>
      <c r="G25" s="354">
        <f>SUM(G23:G24)</f>
        <v>12193.027576902752</v>
      </c>
      <c r="H25" s="354"/>
      <c r="I25" s="354"/>
      <c r="J25" s="354">
        <f ca="1">SUM(J23:J24)</f>
        <v>1868.4598613037033</v>
      </c>
      <c r="K25" s="354">
        <f>SUM(K23:K24)</f>
        <v>5732.7570149504581</v>
      </c>
      <c r="L25" s="354">
        <f>SUM(L23:L24)</f>
        <v>0</v>
      </c>
      <c r="M25" s="354">
        <f>SUM(M23:M24)</f>
        <v>0</v>
      </c>
      <c r="N25" s="354">
        <f ca="1">SUM(N23:N24)</f>
        <v>7601.2168762541614</v>
      </c>
    </row>
    <row r="29" spans="2:14" ht="14" x14ac:dyDescent="0.3">
      <c r="B29" s="68" t="s">
        <v>1012</v>
      </c>
    </row>
    <row r="30" spans="2:14" ht="14" x14ac:dyDescent="0.3">
      <c r="B30" s="68"/>
      <c r="N30" s="115" t="s">
        <v>10</v>
      </c>
    </row>
    <row r="31" spans="2:14" ht="29.75" customHeight="1" x14ac:dyDescent="0.3">
      <c r="B31" s="1866" t="s">
        <v>278</v>
      </c>
      <c r="C31" s="1701" t="s">
        <v>294</v>
      </c>
      <c r="D31" s="1701"/>
      <c r="E31" s="1701"/>
      <c r="F31" s="1701"/>
      <c r="G31" s="1699" t="s">
        <v>295</v>
      </c>
      <c r="H31" s="1699"/>
      <c r="I31" s="1699"/>
      <c r="J31" s="1867" t="s">
        <v>296</v>
      </c>
      <c r="K31" s="1867"/>
      <c r="L31" s="1867"/>
      <c r="M31" s="1867"/>
      <c r="N31" s="1867"/>
    </row>
    <row r="32" spans="2:14" ht="65.25" customHeight="1" x14ac:dyDescent="0.3">
      <c r="B32" s="1866"/>
      <c r="C32" s="305" t="s">
        <v>347</v>
      </c>
      <c r="D32" s="305" t="s">
        <v>345</v>
      </c>
      <c r="E32" s="305" t="s">
        <v>740</v>
      </c>
      <c r="F32" s="305" t="s">
        <v>346</v>
      </c>
      <c r="G32" s="305" t="s">
        <v>297</v>
      </c>
      <c r="H32" s="305" t="s">
        <v>741</v>
      </c>
      <c r="I32" s="305" t="s">
        <v>298</v>
      </c>
      <c r="J32" s="305" t="s">
        <v>299</v>
      </c>
      <c r="K32" s="305" t="s">
        <v>300</v>
      </c>
      <c r="L32" s="305" t="s">
        <v>742</v>
      </c>
      <c r="M32" s="305" t="s">
        <v>743</v>
      </c>
      <c r="N32" s="306" t="s">
        <v>271</v>
      </c>
    </row>
    <row r="33" spans="2:14" x14ac:dyDescent="0.3">
      <c r="B33" s="110"/>
      <c r="C33" s="111"/>
      <c r="D33" s="111"/>
      <c r="E33" s="111"/>
      <c r="F33" s="111"/>
      <c r="G33" s="111"/>
      <c r="H33" s="111"/>
      <c r="I33" s="111"/>
      <c r="J33" s="111"/>
      <c r="K33" s="111"/>
      <c r="L33" s="111"/>
      <c r="M33" s="111"/>
      <c r="N33" s="112"/>
    </row>
    <row r="34" spans="2:14" ht="14" x14ac:dyDescent="0.3">
      <c r="B34" s="148" t="s">
        <v>779</v>
      </c>
      <c r="C34" s="333">
        <f ca="1">'F1'!U27-'F1'!U11</f>
        <v>2091.0209637170528</v>
      </c>
      <c r="D34" s="333">
        <f>'F2.2'!$U$157</f>
        <v>5.000554762628866</v>
      </c>
      <c r="E34" s="333"/>
      <c r="F34" s="113"/>
      <c r="G34" s="333">
        <f>'F2.2'!$U$37</f>
        <v>12037.553353991236</v>
      </c>
      <c r="H34" s="457">
        <v>1</v>
      </c>
      <c r="I34" s="113"/>
      <c r="J34" s="333">
        <f ca="1">C34</f>
        <v>2091.0209637170528</v>
      </c>
      <c r="K34" s="333">
        <f>G34*D34/10</f>
        <v>6019.4444754699953</v>
      </c>
      <c r="L34" s="333"/>
      <c r="M34" s="333"/>
      <c r="N34" s="331">
        <f ca="1">SUM(J34:M34)</f>
        <v>8110.4654391870481</v>
      </c>
    </row>
    <row r="35" spans="2:14" ht="14" x14ac:dyDescent="0.3">
      <c r="B35" s="107"/>
      <c r="C35" s="113"/>
      <c r="D35" s="113"/>
      <c r="E35" s="113"/>
      <c r="F35" s="113"/>
      <c r="G35" s="113"/>
      <c r="H35" s="113"/>
      <c r="I35" s="113"/>
      <c r="J35" s="113"/>
      <c r="K35" s="113"/>
      <c r="L35" s="113"/>
      <c r="M35" s="113"/>
      <c r="N35" s="331">
        <f>SUM(J35:M35)</f>
        <v>0</v>
      </c>
    </row>
    <row r="36" spans="2:14" ht="14" x14ac:dyDescent="0.3">
      <c r="B36" s="107" t="s">
        <v>271</v>
      </c>
      <c r="C36" s="354"/>
      <c r="D36" s="354"/>
      <c r="E36" s="354"/>
      <c r="F36" s="354"/>
      <c r="G36" s="354">
        <f>SUM(G34:G35)</f>
        <v>12037.553353991236</v>
      </c>
      <c r="H36" s="354"/>
      <c r="I36" s="354"/>
      <c r="J36" s="354">
        <f ca="1">SUM(J34:J35)</f>
        <v>2091.0209637170528</v>
      </c>
      <c r="K36" s="354">
        <f>SUM(K34:K35)</f>
        <v>6019.4444754699953</v>
      </c>
      <c r="L36" s="354">
        <f>SUM(L34:L35)</f>
        <v>0</v>
      </c>
      <c r="M36" s="354">
        <f>SUM(M34:M35)</f>
        <v>0</v>
      </c>
      <c r="N36" s="354">
        <f ca="1">SUM(N34:N35)</f>
        <v>8110.4654391870481</v>
      </c>
    </row>
    <row r="37" spans="2:14" ht="14" x14ac:dyDescent="0.3">
      <c r="B37" s="235"/>
      <c r="C37" s="78"/>
      <c r="D37" s="78"/>
      <c r="E37" s="78"/>
      <c r="F37" s="78"/>
      <c r="G37" s="78"/>
      <c r="H37" s="78"/>
      <c r="I37" s="78"/>
      <c r="J37" s="78"/>
      <c r="K37" s="78"/>
      <c r="L37" s="78"/>
      <c r="M37" s="78"/>
      <c r="N37" s="78"/>
    </row>
    <row r="38" spans="2:14" ht="14" x14ac:dyDescent="0.3">
      <c r="B38" s="235"/>
      <c r="C38" s="78"/>
      <c r="D38" s="78"/>
      <c r="E38" s="78"/>
      <c r="F38" s="78"/>
      <c r="G38" s="78"/>
      <c r="H38" s="78"/>
      <c r="I38" s="78"/>
      <c r="J38" s="78"/>
      <c r="K38" s="78"/>
      <c r="L38" s="78"/>
      <c r="M38" s="78"/>
      <c r="N38" s="78"/>
    </row>
    <row r="39" spans="2:14" ht="14" x14ac:dyDescent="0.3">
      <c r="B39" s="68" t="s">
        <v>1013</v>
      </c>
    </row>
    <row r="40" spans="2:14" ht="14" x14ac:dyDescent="0.3">
      <c r="B40" s="68"/>
      <c r="N40" s="115" t="s">
        <v>10</v>
      </c>
    </row>
    <row r="41" spans="2:14" ht="14" x14ac:dyDescent="0.3">
      <c r="B41" s="1866" t="s">
        <v>278</v>
      </c>
      <c r="C41" s="1701" t="s">
        <v>294</v>
      </c>
      <c r="D41" s="1701"/>
      <c r="E41" s="1701"/>
      <c r="F41" s="1701"/>
      <c r="G41" s="1699" t="s">
        <v>295</v>
      </c>
      <c r="H41" s="1699"/>
      <c r="I41" s="1699"/>
      <c r="J41" s="1867" t="s">
        <v>296</v>
      </c>
      <c r="K41" s="1867"/>
      <c r="L41" s="1867"/>
      <c r="M41" s="1867"/>
      <c r="N41" s="1867"/>
    </row>
    <row r="42" spans="2:14" ht="70" x14ac:dyDescent="0.3">
      <c r="B42" s="1866"/>
      <c r="C42" s="739" t="s">
        <v>347</v>
      </c>
      <c r="D42" s="739" t="s">
        <v>345</v>
      </c>
      <c r="E42" s="739" t="s">
        <v>740</v>
      </c>
      <c r="F42" s="739" t="s">
        <v>346</v>
      </c>
      <c r="G42" s="739" t="s">
        <v>297</v>
      </c>
      <c r="H42" s="739" t="s">
        <v>741</v>
      </c>
      <c r="I42" s="739" t="s">
        <v>298</v>
      </c>
      <c r="J42" s="739" t="s">
        <v>299</v>
      </c>
      <c r="K42" s="739" t="s">
        <v>300</v>
      </c>
      <c r="L42" s="739" t="s">
        <v>742</v>
      </c>
      <c r="M42" s="739" t="s">
        <v>743</v>
      </c>
      <c r="N42" s="740" t="s">
        <v>271</v>
      </c>
    </row>
    <row r="43" spans="2:14" x14ac:dyDescent="0.3">
      <c r="B43" s="110"/>
      <c r="C43" s="111"/>
      <c r="D43" s="111"/>
      <c r="E43" s="111"/>
      <c r="F43" s="111"/>
      <c r="G43" s="111"/>
      <c r="H43" s="111"/>
      <c r="I43" s="111"/>
      <c r="J43" s="111"/>
      <c r="K43" s="111"/>
      <c r="L43" s="111"/>
      <c r="M43" s="111"/>
      <c r="N43" s="112"/>
    </row>
    <row r="44" spans="2:14" ht="14" x14ac:dyDescent="0.3">
      <c r="B44" s="148" t="s">
        <v>779</v>
      </c>
      <c r="C44" s="333">
        <f ca="1">'F1'!V27-'F1'!V11</f>
        <v>2216.1047270891313</v>
      </c>
      <c r="D44" s="333">
        <f>'F2.2'!$V$157</f>
        <v>5.2278153060676775</v>
      </c>
      <c r="E44" s="333"/>
      <c r="F44" s="113"/>
      <c r="G44" s="333">
        <f>'F2.2'!$V$37</f>
        <v>12036.682089398257</v>
      </c>
      <c r="H44" s="457">
        <v>1</v>
      </c>
      <c r="I44" s="113"/>
      <c r="J44" s="333">
        <f ca="1">C44</f>
        <v>2216.1047270891313</v>
      </c>
      <c r="K44" s="333">
        <f>G44*D44/10</f>
        <v>6292.5550861226884</v>
      </c>
      <c r="L44" s="333"/>
      <c r="M44" s="333"/>
      <c r="N44" s="331">
        <f ca="1">SUM(J44:M44)</f>
        <v>8508.6598132118197</v>
      </c>
    </row>
    <row r="45" spans="2:14" ht="14" x14ac:dyDescent="0.3">
      <c r="B45" s="107"/>
      <c r="C45" s="113"/>
      <c r="D45" s="113"/>
      <c r="E45" s="113"/>
      <c r="F45" s="113"/>
      <c r="G45" s="113"/>
      <c r="H45" s="113"/>
      <c r="I45" s="113"/>
      <c r="J45" s="113"/>
      <c r="K45" s="113"/>
      <c r="L45" s="113"/>
      <c r="M45" s="113"/>
      <c r="N45" s="331">
        <f>SUM(J45:M45)</f>
        <v>0</v>
      </c>
    </row>
    <row r="46" spans="2:14" ht="14" x14ac:dyDescent="0.3">
      <c r="B46" s="107" t="s">
        <v>271</v>
      </c>
      <c r="C46" s="354"/>
      <c r="D46" s="354"/>
      <c r="E46" s="354"/>
      <c r="F46" s="354"/>
      <c r="G46" s="354">
        <f>SUM(G44:G45)</f>
        <v>12036.682089398257</v>
      </c>
      <c r="H46" s="354"/>
      <c r="I46" s="354"/>
      <c r="J46" s="354">
        <f ca="1">SUM(J44:J45)</f>
        <v>2216.1047270891313</v>
      </c>
      <c r="K46" s="354">
        <f>SUM(K44:K45)</f>
        <v>6292.5550861226884</v>
      </c>
      <c r="L46" s="354">
        <f>SUM(L44:L45)</f>
        <v>0</v>
      </c>
      <c r="M46" s="354">
        <f>SUM(M44:M45)</f>
        <v>0</v>
      </c>
      <c r="N46" s="354">
        <f ca="1">SUM(N44:N45)</f>
        <v>8508.6598132118197</v>
      </c>
    </row>
    <row r="49" spans="2:14" ht="14" x14ac:dyDescent="0.3">
      <c r="B49" s="68" t="s">
        <v>1014</v>
      </c>
    </row>
    <row r="50" spans="2:14" ht="14" x14ac:dyDescent="0.3">
      <c r="B50" s="68"/>
      <c r="N50" s="115" t="s">
        <v>10</v>
      </c>
    </row>
    <row r="51" spans="2:14" ht="14" x14ac:dyDescent="0.3">
      <c r="B51" s="1866" t="s">
        <v>278</v>
      </c>
      <c r="C51" s="1701" t="s">
        <v>294</v>
      </c>
      <c r="D51" s="1701"/>
      <c r="E51" s="1701"/>
      <c r="F51" s="1701"/>
      <c r="G51" s="1699" t="s">
        <v>295</v>
      </c>
      <c r="H51" s="1699"/>
      <c r="I51" s="1699"/>
      <c r="J51" s="1867" t="s">
        <v>296</v>
      </c>
      <c r="K51" s="1867"/>
      <c r="L51" s="1867"/>
      <c r="M51" s="1867"/>
      <c r="N51" s="1867"/>
    </row>
    <row r="52" spans="2:14" ht="70" x14ac:dyDescent="0.3">
      <c r="B52" s="1866"/>
      <c r="C52" s="739" t="s">
        <v>347</v>
      </c>
      <c r="D52" s="739" t="s">
        <v>345</v>
      </c>
      <c r="E52" s="739" t="s">
        <v>740</v>
      </c>
      <c r="F52" s="739" t="s">
        <v>346</v>
      </c>
      <c r="G52" s="739" t="s">
        <v>297</v>
      </c>
      <c r="H52" s="739" t="s">
        <v>741</v>
      </c>
      <c r="I52" s="739" t="s">
        <v>298</v>
      </c>
      <c r="J52" s="739" t="s">
        <v>299</v>
      </c>
      <c r="K52" s="739" t="s">
        <v>300</v>
      </c>
      <c r="L52" s="739" t="s">
        <v>742</v>
      </c>
      <c r="M52" s="739" t="s">
        <v>743</v>
      </c>
      <c r="N52" s="740" t="s">
        <v>271</v>
      </c>
    </row>
    <row r="53" spans="2:14" x14ac:dyDescent="0.3">
      <c r="B53" s="110"/>
      <c r="C53" s="111"/>
      <c r="D53" s="111"/>
      <c r="E53" s="111"/>
      <c r="F53" s="111"/>
      <c r="G53" s="111"/>
      <c r="H53" s="111"/>
      <c r="I53" s="111"/>
      <c r="J53" s="111"/>
      <c r="K53" s="111"/>
      <c r="L53" s="111"/>
      <c r="M53" s="111"/>
      <c r="N53" s="112"/>
    </row>
    <row r="54" spans="2:14" ht="14" x14ac:dyDescent="0.3">
      <c r="B54" s="148" t="s">
        <v>779</v>
      </c>
      <c r="C54" s="333">
        <f ca="1">'F1'!W27-'F1'!W11</f>
        <v>2297.2189746395907</v>
      </c>
      <c r="D54" s="333">
        <f>'F2.2'!$W$157</f>
        <v>5.4893126746980778</v>
      </c>
      <c r="E54" s="333"/>
      <c r="F54" s="113"/>
      <c r="G54" s="333">
        <f>'F2.2'!$W$37</f>
        <v>12037.292472864519</v>
      </c>
      <c r="H54" s="457">
        <v>1</v>
      </c>
      <c r="I54" s="113"/>
      <c r="J54" s="333">
        <f ca="1">C54</f>
        <v>2297.2189746395907</v>
      </c>
      <c r="K54" s="333">
        <f>G54*D54/10</f>
        <v>6607.6462140342974</v>
      </c>
      <c r="L54" s="333"/>
      <c r="M54" s="333"/>
      <c r="N54" s="331">
        <f ca="1">SUM(J54:M54)</f>
        <v>8904.865188673888</v>
      </c>
    </row>
    <row r="55" spans="2:14" ht="14" x14ac:dyDescent="0.3">
      <c r="B55" s="107"/>
      <c r="C55" s="113"/>
      <c r="D55" s="113"/>
      <c r="E55" s="113"/>
      <c r="F55" s="113"/>
      <c r="G55" s="113"/>
      <c r="H55" s="113"/>
      <c r="I55" s="113"/>
      <c r="J55" s="113"/>
      <c r="K55" s="113"/>
      <c r="L55" s="113"/>
      <c r="M55" s="113"/>
      <c r="N55" s="331">
        <f>SUM(J55:M55)</f>
        <v>0</v>
      </c>
    </row>
    <row r="56" spans="2:14" ht="14" x14ac:dyDescent="0.3">
      <c r="B56" s="107" t="s">
        <v>271</v>
      </c>
      <c r="C56" s="354"/>
      <c r="D56" s="354"/>
      <c r="E56" s="354"/>
      <c r="F56" s="354"/>
      <c r="G56" s="354">
        <f>SUM(G54:G55)</f>
        <v>12037.292472864519</v>
      </c>
      <c r="H56" s="354"/>
      <c r="I56" s="354"/>
      <c r="J56" s="354">
        <f ca="1">SUM(J54:J55)</f>
        <v>2297.2189746395907</v>
      </c>
      <c r="K56" s="354">
        <f>SUM(K54:K55)</f>
        <v>6607.6462140342974</v>
      </c>
      <c r="L56" s="354">
        <f>SUM(L54:L55)</f>
        <v>0</v>
      </c>
      <c r="M56" s="354">
        <f>SUM(M54:M55)</f>
        <v>0</v>
      </c>
      <c r="N56" s="354">
        <f ca="1">SUM(N54:N55)</f>
        <v>8904.865188673888</v>
      </c>
    </row>
  </sheetData>
  <mergeCells count="23">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41:B42"/>
    <mergeCell ref="C41:F41"/>
    <mergeCell ref="G41:I41"/>
    <mergeCell ref="J41:N41"/>
    <mergeCell ref="B51:B52"/>
    <mergeCell ref="C51:F51"/>
    <mergeCell ref="G51:I51"/>
    <mergeCell ref="J51:N51"/>
  </mergeCells>
  <pageMargins left="0.70866141732283472" right="0.70866141732283472" top="0.74803149606299213" bottom="0.74803149606299213" header="0.31496062992125984" footer="0.31496062992125984"/>
  <pageSetup paperSize="9" scale="4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pageSetUpPr fitToPage="1"/>
  </sheetPr>
  <dimension ref="B2:N51"/>
  <sheetViews>
    <sheetView showGridLines="0" view="pageBreakPreview" topLeftCell="A3" zoomScale="80" zoomScaleNormal="80" zoomScaleSheetLayoutView="80" workbookViewId="0">
      <selection activeCell="N20" sqref="N20"/>
    </sheetView>
  </sheetViews>
  <sheetFormatPr defaultColWidth="8.6328125" defaultRowHeight="14" x14ac:dyDescent="0.3"/>
  <cols>
    <col min="1" max="1" width="8.6328125" style="236"/>
    <col min="2" max="2" width="13.453125" style="236" customWidth="1"/>
    <col min="3" max="11" width="12.36328125" style="236" customWidth="1"/>
    <col min="12" max="12" width="14.6328125" style="236" customWidth="1"/>
    <col min="13" max="14" width="12.36328125" style="236" customWidth="1"/>
    <col min="15" max="16384" width="8.6328125" style="236"/>
  </cols>
  <sheetData>
    <row r="2" spans="2:14" x14ac:dyDescent="0.3">
      <c r="B2" s="1657" t="str">
        <f>Index!B2</f>
        <v xml:space="preserve">      Maharashtra State Power Generation Company Ltd.</v>
      </c>
      <c r="C2" s="1657"/>
      <c r="D2" s="1657"/>
      <c r="E2" s="1657"/>
      <c r="F2" s="1657"/>
      <c r="G2" s="1657"/>
      <c r="H2" s="1657"/>
      <c r="I2" s="1657"/>
      <c r="J2" s="1657"/>
      <c r="K2" s="1657"/>
      <c r="L2" s="1657"/>
      <c r="M2" s="1657"/>
      <c r="N2" s="1657"/>
    </row>
    <row r="3" spans="2:14" x14ac:dyDescent="0.3">
      <c r="B3" s="1657" t="str">
        <f>Index!B3</f>
        <v>MYT Petition Formats for Chandrapur Unit 3-7</v>
      </c>
      <c r="C3" s="1657"/>
      <c r="D3" s="1657"/>
      <c r="E3" s="1657"/>
      <c r="F3" s="1657"/>
      <c r="G3" s="1657"/>
      <c r="H3" s="1657"/>
      <c r="I3" s="1657"/>
      <c r="J3" s="1657"/>
      <c r="K3" s="1657"/>
      <c r="L3" s="1657"/>
      <c r="M3" s="1657"/>
      <c r="N3" s="1657"/>
    </row>
    <row r="4" spans="2:14" x14ac:dyDescent="0.3">
      <c r="B4" s="1869" t="s">
        <v>424</v>
      </c>
      <c r="C4" s="1869"/>
      <c r="D4" s="1869"/>
      <c r="E4" s="1869"/>
      <c r="F4" s="1869"/>
      <c r="G4" s="1869"/>
      <c r="H4" s="1869"/>
      <c r="I4" s="1869"/>
      <c r="J4" s="1869"/>
      <c r="K4" s="1869"/>
      <c r="L4" s="1869"/>
      <c r="M4" s="1869"/>
      <c r="N4" s="1869"/>
    </row>
    <row r="5" spans="2:14" x14ac:dyDescent="0.3">
      <c r="B5" s="232"/>
      <c r="C5" s="232"/>
      <c r="D5" s="232"/>
      <c r="E5" s="232"/>
      <c r="F5" s="232"/>
      <c r="G5" s="232"/>
      <c r="H5" s="232"/>
      <c r="I5" s="232"/>
      <c r="J5" s="232"/>
      <c r="K5" s="232"/>
      <c r="L5" s="232"/>
      <c r="M5" s="232"/>
      <c r="N5" s="232"/>
    </row>
    <row r="6" spans="2:14" x14ac:dyDescent="0.3">
      <c r="B6" s="68" t="s">
        <v>969</v>
      </c>
    </row>
    <row r="7" spans="2:14" x14ac:dyDescent="0.3">
      <c r="B7" s="68"/>
      <c r="N7" s="44" t="s">
        <v>10</v>
      </c>
    </row>
    <row r="8" spans="2:14" s="242" customFormat="1" ht="35.75" customHeight="1" x14ac:dyDescent="0.25">
      <c r="B8" s="1662" t="s">
        <v>278</v>
      </c>
      <c r="C8" s="1701" t="s">
        <v>294</v>
      </c>
      <c r="D8" s="1701"/>
      <c r="E8" s="1701"/>
      <c r="F8" s="1701"/>
      <c r="G8" s="1699" t="s">
        <v>295</v>
      </c>
      <c r="H8" s="1699"/>
      <c r="I8" s="1699"/>
      <c r="J8" s="1867" t="s">
        <v>296</v>
      </c>
      <c r="K8" s="1867"/>
      <c r="L8" s="1867"/>
      <c r="M8" s="1867"/>
      <c r="N8" s="1867"/>
    </row>
    <row r="9" spans="2:14" ht="72" customHeight="1" x14ac:dyDescent="0.3">
      <c r="B9" s="1662"/>
      <c r="C9" s="305" t="s">
        <v>347</v>
      </c>
      <c r="D9" s="305" t="s">
        <v>345</v>
      </c>
      <c r="E9" s="305" t="s">
        <v>740</v>
      </c>
      <c r="F9" s="305" t="s">
        <v>346</v>
      </c>
      <c r="G9" s="305" t="s">
        <v>297</v>
      </c>
      <c r="H9" s="305" t="s">
        <v>741</v>
      </c>
      <c r="I9" s="305" t="s">
        <v>298</v>
      </c>
      <c r="J9" s="305" t="s">
        <v>299</v>
      </c>
      <c r="K9" s="305" t="s">
        <v>300</v>
      </c>
      <c r="L9" s="305" t="s">
        <v>742</v>
      </c>
      <c r="M9" s="305" t="s">
        <v>743</v>
      </c>
      <c r="N9" s="306" t="s">
        <v>271</v>
      </c>
    </row>
    <row r="10" spans="2:14" x14ac:dyDescent="0.3">
      <c r="B10" s="238"/>
      <c r="C10" s="239"/>
      <c r="D10" s="239"/>
      <c r="E10" s="239"/>
      <c r="F10" s="239"/>
      <c r="G10" s="239"/>
      <c r="H10" s="239"/>
      <c r="I10" s="239"/>
      <c r="J10" s="239"/>
      <c r="K10" s="239"/>
      <c r="L10" s="239"/>
      <c r="M10" s="239"/>
      <c r="N10" s="240"/>
    </row>
    <row r="11" spans="2:14" x14ac:dyDescent="0.3">
      <c r="B11" s="148" t="s">
        <v>779</v>
      </c>
      <c r="C11" s="585">
        <f ca="1">'F9.2'!C12</f>
        <v>1681.9521990268695</v>
      </c>
      <c r="D11" s="585">
        <f>'F9.2'!D12</f>
        <v>4.4777632822038598</v>
      </c>
      <c r="E11" s="585">
        <f>'F9.2'!E12</f>
        <v>0</v>
      </c>
      <c r="F11" s="585">
        <f>'F9.2'!F12</f>
        <v>0</v>
      </c>
      <c r="G11" s="585">
        <f>'F9.2'!G12</f>
        <v>12193.623753533484</v>
      </c>
      <c r="H11" s="585">
        <f>'F9.2'!H12</f>
        <v>1</v>
      </c>
      <c r="I11" s="585">
        <f>'F9.2'!I12</f>
        <v>0</v>
      </c>
      <c r="J11" s="585">
        <f ca="1">'F9.2'!J12</f>
        <v>1681.9521990268695</v>
      </c>
      <c r="K11" s="585">
        <f>'F9.2'!K12</f>
        <v>5460.0160720581043</v>
      </c>
      <c r="L11" s="585">
        <f>'F9.2'!L12</f>
        <v>0</v>
      </c>
      <c r="M11" s="585">
        <f>'F9.2'!M12</f>
        <v>0</v>
      </c>
      <c r="N11" s="308">
        <f ca="1">SUM(J11:M11)</f>
        <v>7141.9682710849738</v>
      </c>
    </row>
    <row r="12" spans="2:14" x14ac:dyDescent="0.3">
      <c r="B12" s="107"/>
      <c r="C12" s="24"/>
      <c r="D12" s="24"/>
      <c r="E12" s="24"/>
      <c r="F12" s="24"/>
      <c r="G12" s="24"/>
      <c r="H12" s="24"/>
      <c r="I12" s="24"/>
      <c r="J12" s="24"/>
      <c r="K12" s="24"/>
      <c r="L12" s="24"/>
      <c r="M12" s="24"/>
      <c r="N12" s="24"/>
    </row>
    <row r="13" spans="2:14" x14ac:dyDescent="0.3">
      <c r="B13" s="241" t="s">
        <v>271</v>
      </c>
      <c r="C13" s="334"/>
      <c r="D13" s="334"/>
      <c r="E13" s="334"/>
      <c r="F13" s="334"/>
      <c r="G13" s="334">
        <f>SUM(G11:G12)</f>
        <v>12193.623753533484</v>
      </c>
      <c r="H13" s="334"/>
      <c r="I13" s="334"/>
      <c r="J13" s="334">
        <f ca="1">SUM(J11:J12)</f>
        <v>1681.9521990268695</v>
      </c>
      <c r="K13" s="334">
        <f>SUM(K11:K12)</f>
        <v>5460.0160720581043</v>
      </c>
      <c r="L13" s="334">
        <f>SUM(L11:L12)</f>
        <v>0</v>
      </c>
      <c r="M13" s="334">
        <f>SUM(M11:M12)</f>
        <v>0</v>
      </c>
      <c r="N13" s="334">
        <f ca="1">SUM(N11:N12)</f>
        <v>7141.9682710849738</v>
      </c>
    </row>
    <row r="17" spans="2:14" x14ac:dyDescent="0.3">
      <c r="B17" s="68" t="s">
        <v>970</v>
      </c>
      <c r="N17" s="237"/>
    </row>
    <row r="18" spans="2:14" x14ac:dyDescent="0.3">
      <c r="B18" s="68"/>
      <c r="N18" s="44" t="s">
        <v>10</v>
      </c>
    </row>
    <row r="19" spans="2:14" ht="32" customHeight="1" x14ac:dyDescent="0.3">
      <c r="B19" s="1662" t="s">
        <v>278</v>
      </c>
      <c r="C19" s="1701" t="s">
        <v>294</v>
      </c>
      <c r="D19" s="1701"/>
      <c r="E19" s="1701"/>
      <c r="F19" s="1701"/>
      <c r="G19" s="1699" t="s">
        <v>295</v>
      </c>
      <c r="H19" s="1699"/>
      <c r="I19" s="1699"/>
      <c r="J19" s="1867" t="s">
        <v>296</v>
      </c>
      <c r="K19" s="1867"/>
      <c r="L19" s="1867"/>
      <c r="M19" s="1867"/>
      <c r="N19" s="1867"/>
    </row>
    <row r="20" spans="2:14" ht="68.25" customHeight="1" x14ac:dyDescent="0.3">
      <c r="B20" s="1662"/>
      <c r="C20" s="305" t="s">
        <v>347</v>
      </c>
      <c r="D20" s="305" t="s">
        <v>345</v>
      </c>
      <c r="E20" s="305" t="s">
        <v>740</v>
      </c>
      <c r="F20" s="305" t="s">
        <v>346</v>
      </c>
      <c r="G20" s="305" t="s">
        <v>297</v>
      </c>
      <c r="H20" s="305" t="s">
        <v>741</v>
      </c>
      <c r="I20" s="305" t="s">
        <v>298</v>
      </c>
      <c r="J20" s="305" t="s">
        <v>299</v>
      </c>
      <c r="K20" s="305" t="s">
        <v>300</v>
      </c>
      <c r="L20" s="305" t="s">
        <v>742</v>
      </c>
      <c r="M20" s="305" t="s">
        <v>743</v>
      </c>
      <c r="N20" s="306" t="s">
        <v>271</v>
      </c>
    </row>
    <row r="21" spans="2:14" x14ac:dyDescent="0.3">
      <c r="B21" s="238"/>
      <c r="C21" s="239"/>
      <c r="D21" s="239"/>
      <c r="E21" s="239"/>
      <c r="F21" s="239"/>
      <c r="G21" s="239"/>
      <c r="H21" s="239"/>
      <c r="I21" s="239"/>
      <c r="J21" s="239"/>
      <c r="K21" s="239"/>
      <c r="L21" s="239"/>
      <c r="M21" s="239"/>
      <c r="N21" s="240"/>
    </row>
    <row r="22" spans="2:14" x14ac:dyDescent="0.3">
      <c r="B22" s="148" t="s">
        <v>779</v>
      </c>
      <c r="C22" s="308">
        <f ca="1">'F9.2'!C23</f>
        <v>1868.4598613037033</v>
      </c>
      <c r="D22" s="308">
        <f>'F9.2'!D23</f>
        <v>4.7016682106173677</v>
      </c>
      <c r="E22" s="308">
        <f>'F9.2'!E23</f>
        <v>0</v>
      </c>
      <c r="F22" s="308">
        <f>'F9.2'!F23</f>
        <v>0</v>
      </c>
      <c r="G22" s="308">
        <f>'F9.2'!G23</f>
        <v>12193.027576902752</v>
      </c>
      <c r="H22" s="586">
        <f>'F9.2'!H23</f>
        <v>1</v>
      </c>
      <c r="I22" s="308">
        <f>'F9.2'!I23</f>
        <v>0</v>
      </c>
      <c r="J22" s="308">
        <f ca="1">'F9.2'!J23</f>
        <v>1868.4598613037033</v>
      </c>
      <c r="K22" s="308">
        <f>'F9.2'!K23</f>
        <v>5732.7570149504581</v>
      </c>
      <c r="L22" s="308">
        <f>'F9.2'!L23</f>
        <v>0</v>
      </c>
      <c r="M22" s="308">
        <f>'F9.2'!M23</f>
        <v>0</v>
      </c>
      <c r="N22" s="308">
        <f ca="1">SUM(J22:M22)</f>
        <v>7601.2168762541614</v>
      </c>
    </row>
    <row r="23" spans="2:14" x14ac:dyDescent="0.3">
      <c r="B23" s="107"/>
      <c r="C23" s="24"/>
      <c r="D23" s="24"/>
      <c r="E23" s="24"/>
      <c r="F23" s="24"/>
      <c r="G23" s="24"/>
      <c r="H23" s="24"/>
      <c r="I23" s="24"/>
      <c r="J23" s="24"/>
      <c r="K23" s="24"/>
      <c r="L23" s="24"/>
      <c r="M23" s="24"/>
      <c r="N23" s="24"/>
    </row>
    <row r="24" spans="2:14" x14ac:dyDescent="0.3">
      <c r="B24" s="241" t="s">
        <v>271</v>
      </c>
      <c r="C24" s="334"/>
      <c r="D24" s="334"/>
      <c r="E24" s="334"/>
      <c r="F24" s="334"/>
      <c r="G24" s="334">
        <f>SUM(G22:G23)</f>
        <v>12193.027576902752</v>
      </c>
      <c r="H24" s="334"/>
      <c r="I24" s="334"/>
      <c r="J24" s="334">
        <f ca="1">SUM(J22:J23)</f>
        <v>1868.4598613037033</v>
      </c>
      <c r="K24" s="334">
        <f>SUM(K22:K23)</f>
        <v>5732.7570149504581</v>
      </c>
      <c r="L24" s="334">
        <f>SUM(L22:L23)</f>
        <v>0</v>
      </c>
      <c r="M24" s="334">
        <f>SUM(M22:M23)</f>
        <v>0</v>
      </c>
      <c r="N24" s="334">
        <f ca="1">SUM(N22:N23)</f>
        <v>7601.2168762541614</v>
      </c>
    </row>
    <row r="26" spans="2:14" x14ac:dyDescent="0.3">
      <c r="B26" s="68" t="s">
        <v>971</v>
      </c>
      <c r="N26" s="237"/>
    </row>
    <row r="27" spans="2:14" x14ac:dyDescent="0.3">
      <c r="B27" s="68"/>
      <c r="N27" s="44" t="s">
        <v>10</v>
      </c>
    </row>
    <row r="28" spans="2:14" x14ac:dyDescent="0.3">
      <c r="B28" s="1662" t="s">
        <v>278</v>
      </c>
      <c r="C28" s="1701" t="s">
        <v>294</v>
      </c>
      <c r="D28" s="1701"/>
      <c r="E28" s="1701"/>
      <c r="F28" s="1701"/>
      <c r="G28" s="1699" t="s">
        <v>295</v>
      </c>
      <c r="H28" s="1699"/>
      <c r="I28" s="1699"/>
      <c r="J28" s="1867" t="s">
        <v>296</v>
      </c>
      <c r="K28" s="1867"/>
      <c r="L28" s="1867"/>
      <c r="M28" s="1867"/>
      <c r="N28" s="1867"/>
    </row>
    <row r="29" spans="2:14" ht="70" x14ac:dyDescent="0.3">
      <c r="B29" s="1662"/>
      <c r="C29" s="739" t="s">
        <v>347</v>
      </c>
      <c r="D29" s="739" t="s">
        <v>345</v>
      </c>
      <c r="E29" s="739" t="s">
        <v>740</v>
      </c>
      <c r="F29" s="739" t="s">
        <v>346</v>
      </c>
      <c r="G29" s="739" t="s">
        <v>297</v>
      </c>
      <c r="H29" s="739" t="s">
        <v>741</v>
      </c>
      <c r="I29" s="739" t="s">
        <v>298</v>
      </c>
      <c r="J29" s="739" t="s">
        <v>299</v>
      </c>
      <c r="K29" s="739" t="s">
        <v>300</v>
      </c>
      <c r="L29" s="739" t="s">
        <v>742</v>
      </c>
      <c r="M29" s="739" t="s">
        <v>743</v>
      </c>
      <c r="N29" s="740" t="s">
        <v>271</v>
      </c>
    </row>
    <row r="30" spans="2:14" x14ac:dyDescent="0.3">
      <c r="B30" s="238"/>
      <c r="C30" s="239"/>
      <c r="D30" s="239"/>
      <c r="E30" s="239"/>
      <c r="F30" s="239"/>
      <c r="G30" s="239"/>
      <c r="H30" s="239"/>
      <c r="I30" s="239"/>
      <c r="J30" s="239"/>
      <c r="K30" s="239"/>
      <c r="L30" s="239"/>
      <c r="M30" s="239"/>
      <c r="N30" s="240"/>
    </row>
    <row r="31" spans="2:14" x14ac:dyDescent="0.3">
      <c r="B31" s="148" t="s">
        <v>779</v>
      </c>
      <c r="C31" s="308">
        <f ca="1">'F9.2'!C34</f>
        <v>2091.0209637170528</v>
      </c>
      <c r="D31" s="308">
        <f>'F9.2'!D34</f>
        <v>5.000554762628866</v>
      </c>
      <c r="E31" s="308">
        <f>'F9.2'!E34</f>
        <v>0</v>
      </c>
      <c r="F31" s="308">
        <f>'F9.2'!F34</f>
        <v>0</v>
      </c>
      <c r="G31" s="308">
        <f>'F9.2'!G34</f>
        <v>12037.553353991236</v>
      </c>
      <c r="H31" s="586">
        <f>'F9.2'!H34</f>
        <v>1</v>
      </c>
      <c r="I31" s="308">
        <f>'F9.2'!I34</f>
        <v>0</v>
      </c>
      <c r="J31" s="308">
        <f ca="1">'F9.2'!J34</f>
        <v>2091.0209637170528</v>
      </c>
      <c r="K31" s="308">
        <f>'F9.2'!K34</f>
        <v>6019.4444754699953</v>
      </c>
      <c r="L31" s="308">
        <f>'F9.2'!L34</f>
        <v>0</v>
      </c>
      <c r="M31" s="308">
        <f>'F9.2'!M34</f>
        <v>0</v>
      </c>
      <c r="N31" s="308">
        <f ca="1">SUM(J31:M31)</f>
        <v>8110.4654391870481</v>
      </c>
    </row>
    <row r="32" spans="2:14" x14ac:dyDescent="0.3">
      <c r="B32" s="107"/>
      <c r="C32" s="24"/>
      <c r="D32" s="24"/>
      <c r="E32" s="24"/>
      <c r="F32" s="24"/>
      <c r="G32" s="24"/>
      <c r="H32" s="24"/>
      <c r="I32" s="24"/>
      <c r="J32" s="24"/>
      <c r="K32" s="24"/>
      <c r="L32" s="24"/>
      <c r="M32" s="24"/>
      <c r="N32" s="24"/>
    </row>
    <row r="33" spans="2:14" x14ac:dyDescent="0.3">
      <c r="B33" s="241" t="s">
        <v>271</v>
      </c>
      <c r="C33" s="334"/>
      <c r="D33" s="334"/>
      <c r="E33" s="334"/>
      <c r="F33" s="334"/>
      <c r="G33" s="334">
        <f>SUM(G31:G32)</f>
        <v>12037.553353991236</v>
      </c>
      <c r="H33" s="334"/>
      <c r="I33" s="334"/>
      <c r="J33" s="334">
        <f ca="1">SUM(J31:J32)</f>
        <v>2091.0209637170528</v>
      </c>
      <c r="K33" s="334">
        <f>SUM(K31:K32)</f>
        <v>6019.4444754699953</v>
      </c>
      <c r="L33" s="334">
        <f>SUM(L31:L32)</f>
        <v>0</v>
      </c>
      <c r="M33" s="334">
        <f>SUM(M31:M32)</f>
        <v>0</v>
      </c>
      <c r="N33" s="334">
        <f ca="1">SUM(N31:N32)</f>
        <v>8110.4654391870481</v>
      </c>
    </row>
    <row r="35" spans="2:14" x14ac:dyDescent="0.3">
      <c r="B35" s="68" t="s">
        <v>972</v>
      </c>
      <c r="N35" s="237"/>
    </row>
    <row r="36" spans="2:14" x14ac:dyDescent="0.3">
      <c r="B36" s="68"/>
      <c r="N36" s="44" t="s">
        <v>10</v>
      </c>
    </row>
    <row r="37" spans="2:14" x14ac:dyDescent="0.3">
      <c r="B37" s="1662" t="s">
        <v>278</v>
      </c>
      <c r="C37" s="1701" t="s">
        <v>294</v>
      </c>
      <c r="D37" s="1701"/>
      <c r="E37" s="1701"/>
      <c r="F37" s="1701"/>
      <c r="G37" s="1699" t="s">
        <v>295</v>
      </c>
      <c r="H37" s="1699"/>
      <c r="I37" s="1699"/>
      <c r="J37" s="1867" t="s">
        <v>296</v>
      </c>
      <c r="K37" s="1867"/>
      <c r="L37" s="1867"/>
      <c r="M37" s="1867"/>
      <c r="N37" s="1867"/>
    </row>
    <row r="38" spans="2:14" ht="70" x14ac:dyDescent="0.3">
      <c r="B38" s="1662"/>
      <c r="C38" s="739" t="s">
        <v>347</v>
      </c>
      <c r="D38" s="739" t="s">
        <v>345</v>
      </c>
      <c r="E38" s="739" t="s">
        <v>740</v>
      </c>
      <c r="F38" s="739" t="s">
        <v>346</v>
      </c>
      <c r="G38" s="739" t="s">
        <v>297</v>
      </c>
      <c r="H38" s="739" t="s">
        <v>741</v>
      </c>
      <c r="I38" s="739" t="s">
        <v>298</v>
      </c>
      <c r="J38" s="739" t="s">
        <v>299</v>
      </c>
      <c r="K38" s="739" t="s">
        <v>300</v>
      </c>
      <c r="L38" s="739" t="s">
        <v>742</v>
      </c>
      <c r="M38" s="739" t="s">
        <v>743</v>
      </c>
      <c r="N38" s="740" t="s">
        <v>271</v>
      </c>
    </row>
    <row r="39" spans="2:14" x14ac:dyDescent="0.3">
      <c r="B39" s="238"/>
      <c r="C39" s="239"/>
      <c r="D39" s="239"/>
      <c r="E39" s="239"/>
      <c r="F39" s="239"/>
      <c r="G39" s="239"/>
      <c r="H39" s="239"/>
      <c r="I39" s="239"/>
      <c r="J39" s="239"/>
      <c r="K39" s="239"/>
      <c r="L39" s="239"/>
      <c r="M39" s="239"/>
      <c r="N39" s="240"/>
    </row>
    <row r="40" spans="2:14" x14ac:dyDescent="0.3">
      <c r="B40" s="148" t="s">
        <v>779</v>
      </c>
      <c r="C40" s="308">
        <f ca="1">'F9.2'!C44</f>
        <v>2216.1047270891313</v>
      </c>
      <c r="D40" s="308">
        <f>'F9.2'!D44</f>
        <v>5.2278153060676775</v>
      </c>
      <c r="E40" s="308">
        <f>'F9.2'!E44</f>
        <v>0</v>
      </c>
      <c r="F40" s="308">
        <f>'F9.2'!F44</f>
        <v>0</v>
      </c>
      <c r="G40" s="308">
        <f>'F9.2'!G44</f>
        <v>12036.682089398257</v>
      </c>
      <c r="H40" s="586">
        <f>'F9.2'!H44</f>
        <v>1</v>
      </c>
      <c r="I40" s="308">
        <f>'F9.2'!I44</f>
        <v>0</v>
      </c>
      <c r="J40" s="308">
        <f ca="1">'F9.2'!J44</f>
        <v>2216.1047270891313</v>
      </c>
      <c r="K40" s="308">
        <f>'F9.2'!K44</f>
        <v>6292.5550861226884</v>
      </c>
      <c r="L40" s="308">
        <f>'F9.2'!L44</f>
        <v>0</v>
      </c>
      <c r="M40" s="308">
        <f>'F9.2'!M44</f>
        <v>0</v>
      </c>
      <c r="N40" s="308">
        <f ca="1">SUM(J40:M40)</f>
        <v>8508.6598132118197</v>
      </c>
    </row>
    <row r="41" spans="2:14" x14ac:dyDescent="0.3">
      <c r="B41" s="107"/>
      <c r="C41" s="24"/>
      <c r="D41" s="24"/>
      <c r="E41" s="24"/>
      <c r="F41" s="24"/>
      <c r="G41" s="24"/>
      <c r="H41" s="24"/>
      <c r="I41" s="24"/>
      <c r="J41" s="24"/>
      <c r="K41" s="24"/>
      <c r="L41" s="24"/>
      <c r="M41" s="24"/>
      <c r="N41" s="24"/>
    </row>
    <row r="42" spans="2:14" x14ac:dyDescent="0.3">
      <c r="B42" s="241" t="s">
        <v>271</v>
      </c>
      <c r="C42" s="334"/>
      <c r="D42" s="334"/>
      <c r="E42" s="334"/>
      <c r="F42" s="334"/>
      <c r="G42" s="334">
        <f>SUM(G40:G41)</f>
        <v>12036.682089398257</v>
      </c>
      <c r="H42" s="334"/>
      <c r="I42" s="334"/>
      <c r="J42" s="334">
        <f ca="1">SUM(J40:J41)</f>
        <v>2216.1047270891313</v>
      </c>
      <c r="K42" s="334">
        <f>SUM(K40:K41)</f>
        <v>6292.5550861226884</v>
      </c>
      <c r="L42" s="334">
        <f>SUM(L40:L41)</f>
        <v>0</v>
      </c>
      <c r="M42" s="334">
        <f>SUM(M40:M41)</f>
        <v>0</v>
      </c>
      <c r="N42" s="334">
        <f ca="1">SUM(N40:N41)</f>
        <v>8508.6598132118197</v>
      </c>
    </row>
    <row r="44" spans="2:14" x14ac:dyDescent="0.3">
      <c r="B44" s="68" t="s">
        <v>973</v>
      </c>
      <c r="N44" s="237"/>
    </row>
    <row r="45" spans="2:14" x14ac:dyDescent="0.3">
      <c r="B45" s="68"/>
      <c r="N45" s="44" t="s">
        <v>10</v>
      </c>
    </row>
    <row r="46" spans="2:14" x14ac:dyDescent="0.3">
      <c r="B46" s="1662" t="s">
        <v>278</v>
      </c>
      <c r="C46" s="1701" t="s">
        <v>294</v>
      </c>
      <c r="D46" s="1701"/>
      <c r="E46" s="1701"/>
      <c r="F46" s="1701"/>
      <c r="G46" s="1699" t="s">
        <v>295</v>
      </c>
      <c r="H46" s="1699"/>
      <c r="I46" s="1699"/>
      <c r="J46" s="1867" t="s">
        <v>296</v>
      </c>
      <c r="K46" s="1867"/>
      <c r="L46" s="1867"/>
      <c r="M46" s="1867"/>
      <c r="N46" s="1867"/>
    </row>
    <row r="47" spans="2:14" ht="70" x14ac:dyDescent="0.3">
      <c r="B47" s="1662"/>
      <c r="C47" s="739" t="s">
        <v>347</v>
      </c>
      <c r="D47" s="739" t="s">
        <v>345</v>
      </c>
      <c r="E47" s="739" t="s">
        <v>740</v>
      </c>
      <c r="F47" s="739" t="s">
        <v>346</v>
      </c>
      <c r="G47" s="739" t="s">
        <v>297</v>
      </c>
      <c r="H47" s="739" t="s">
        <v>741</v>
      </c>
      <c r="I47" s="739" t="s">
        <v>298</v>
      </c>
      <c r="J47" s="739" t="s">
        <v>299</v>
      </c>
      <c r="K47" s="739" t="s">
        <v>300</v>
      </c>
      <c r="L47" s="739" t="s">
        <v>742</v>
      </c>
      <c r="M47" s="739" t="s">
        <v>743</v>
      </c>
      <c r="N47" s="740" t="s">
        <v>271</v>
      </c>
    </row>
    <row r="48" spans="2:14" x14ac:dyDescent="0.3">
      <c r="B48" s="238"/>
      <c r="C48" s="239"/>
      <c r="D48" s="239"/>
      <c r="E48" s="239"/>
      <c r="F48" s="239"/>
      <c r="G48" s="239"/>
      <c r="H48" s="239"/>
      <c r="I48" s="239"/>
      <c r="J48" s="239"/>
      <c r="K48" s="239"/>
      <c r="L48" s="239"/>
      <c r="M48" s="239"/>
      <c r="N48" s="240"/>
    </row>
    <row r="49" spans="2:14" x14ac:dyDescent="0.3">
      <c r="B49" s="148" t="s">
        <v>779</v>
      </c>
      <c r="C49" s="308">
        <f ca="1">'F9.2'!C54</f>
        <v>2297.2189746395907</v>
      </c>
      <c r="D49" s="308">
        <f>'F9.2'!D54</f>
        <v>5.4893126746980778</v>
      </c>
      <c r="E49" s="308">
        <f>'F9.2'!E54</f>
        <v>0</v>
      </c>
      <c r="F49" s="308">
        <f>'F9.2'!F54</f>
        <v>0</v>
      </c>
      <c r="G49" s="308">
        <f>'F9.2'!G54</f>
        <v>12037.292472864519</v>
      </c>
      <c r="H49" s="586">
        <f>'F9.2'!H54</f>
        <v>1</v>
      </c>
      <c r="I49" s="308">
        <f>'F9.2'!I54</f>
        <v>0</v>
      </c>
      <c r="J49" s="308">
        <f ca="1">'F9.2'!J54</f>
        <v>2297.2189746395907</v>
      </c>
      <c r="K49" s="308">
        <f>'F9.2'!K54</f>
        <v>6607.6462140342974</v>
      </c>
      <c r="L49" s="308">
        <f>'F9.2'!L54</f>
        <v>0</v>
      </c>
      <c r="M49" s="308">
        <f>'F9.2'!M54</f>
        <v>0</v>
      </c>
      <c r="N49" s="308">
        <f ca="1">'F9.2'!N54</f>
        <v>8904.865188673888</v>
      </c>
    </row>
    <row r="50" spans="2:14" x14ac:dyDescent="0.3">
      <c r="B50" s="107"/>
      <c r="C50" s="24"/>
      <c r="D50" s="24"/>
      <c r="E50" s="24"/>
      <c r="F50" s="24"/>
      <c r="G50" s="24"/>
      <c r="H50" s="24"/>
      <c r="I50" s="24"/>
      <c r="J50" s="24"/>
      <c r="K50" s="24"/>
      <c r="L50" s="24"/>
      <c r="M50" s="24"/>
      <c r="N50" s="24"/>
    </row>
    <row r="51" spans="2:14" x14ac:dyDescent="0.3">
      <c r="B51" s="241" t="s">
        <v>271</v>
      </c>
      <c r="C51" s="334"/>
      <c r="D51" s="334"/>
      <c r="E51" s="334"/>
      <c r="F51" s="334"/>
      <c r="G51" s="334">
        <f>SUM(G49:G50)</f>
        <v>12037.292472864519</v>
      </c>
      <c r="H51" s="334"/>
      <c r="I51" s="334"/>
      <c r="J51" s="334">
        <f ca="1">SUM(J49:J50)</f>
        <v>2297.2189746395907</v>
      </c>
      <c r="K51" s="334">
        <f>SUM(K49:K50)</f>
        <v>6607.6462140342974</v>
      </c>
      <c r="L51" s="334">
        <f>SUM(L49:L50)</f>
        <v>0</v>
      </c>
      <c r="M51" s="334">
        <f>SUM(M49:M50)</f>
        <v>0</v>
      </c>
      <c r="N51" s="334">
        <f ca="1">SUM(N49:N50)</f>
        <v>8904.865188673888</v>
      </c>
    </row>
  </sheetData>
  <mergeCells count="23">
    <mergeCell ref="B19:B20"/>
    <mergeCell ref="C19:F19"/>
    <mergeCell ref="G19:I19"/>
    <mergeCell ref="J19:N19"/>
    <mergeCell ref="B2:N2"/>
    <mergeCell ref="B3:N3"/>
    <mergeCell ref="B4:N4"/>
    <mergeCell ref="B8:B9"/>
    <mergeCell ref="C8:F8"/>
    <mergeCell ref="G8:I8"/>
    <mergeCell ref="J8:N8"/>
    <mergeCell ref="B46:B47"/>
    <mergeCell ref="C46:F46"/>
    <mergeCell ref="G46:I46"/>
    <mergeCell ref="J46:N46"/>
    <mergeCell ref="B28:B29"/>
    <mergeCell ref="C28:F28"/>
    <mergeCell ref="G28:I28"/>
    <mergeCell ref="J28:N28"/>
    <mergeCell ref="B37:B38"/>
    <mergeCell ref="C37:F37"/>
    <mergeCell ref="G37:I37"/>
    <mergeCell ref="J37:N37"/>
  </mergeCells>
  <pageMargins left="0.7" right="0.7" top="0.75" bottom="0.75" header="0.3" footer="0.3"/>
  <pageSetup paperSize="9" scale="4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pageSetUpPr fitToPage="1"/>
  </sheetPr>
  <dimension ref="B2:X29"/>
  <sheetViews>
    <sheetView showGridLines="0" view="pageBreakPreview" zoomScale="60" zoomScaleNormal="75" workbookViewId="0">
      <selection activeCell="M63" sqref="M63"/>
    </sheetView>
  </sheetViews>
  <sheetFormatPr defaultColWidth="9.36328125" defaultRowHeight="14" x14ac:dyDescent="0.25"/>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x14ac:dyDescent="0.25">
      <c r="C2" s="117"/>
      <c r="D2" s="117"/>
      <c r="E2" s="117"/>
      <c r="F2" s="117"/>
      <c r="G2" s="117"/>
      <c r="H2" s="117"/>
      <c r="I2" s="117"/>
      <c r="J2" s="117"/>
      <c r="K2" s="84" t="str">
        <f>Index!B2</f>
        <v xml:space="preserve">      Maharashtra State Power Generation Company Ltd.</v>
      </c>
      <c r="L2" s="208"/>
      <c r="M2" s="117"/>
      <c r="N2" s="117"/>
      <c r="O2" s="117"/>
      <c r="P2" s="117"/>
      <c r="Q2" s="117"/>
      <c r="R2" s="117"/>
      <c r="S2" s="117"/>
      <c r="T2" s="117"/>
      <c r="U2" s="117"/>
      <c r="V2" s="117"/>
      <c r="W2" s="117"/>
      <c r="X2" s="117"/>
    </row>
    <row r="3" spans="2:24" s="5" customFormat="1" x14ac:dyDescent="0.3">
      <c r="C3" s="117"/>
      <c r="D3" s="117"/>
      <c r="E3" s="117"/>
      <c r="F3" s="117"/>
      <c r="G3" s="117"/>
      <c r="H3" s="117"/>
      <c r="I3" s="117"/>
      <c r="J3" s="117"/>
      <c r="K3" s="340" t="str">
        <f>Index!B3</f>
        <v>MYT Petition Formats for Chandrapur Unit 3-7</v>
      </c>
      <c r="L3" s="89"/>
      <c r="M3" s="117"/>
      <c r="N3" s="117"/>
      <c r="O3" s="117"/>
      <c r="P3" s="117"/>
      <c r="Q3" s="117"/>
      <c r="R3" s="117"/>
      <c r="S3" s="117"/>
      <c r="T3" s="117"/>
      <c r="U3" s="117"/>
      <c r="V3" s="117"/>
      <c r="W3" s="117"/>
      <c r="X3" s="117"/>
    </row>
    <row r="4" spans="2:24" s="5" customFormat="1" x14ac:dyDescent="0.3">
      <c r="C4" s="117"/>
      <c r="D4" s="117"/>
      <c r="E4" s="117"/>
      <c r="F4" s="117"/>
      <c r="G4" s="117"/>
      <c r="H4" s="117"/>
      <c r="I4" s="117"/>
      <c r="J4" s="117"/>
      <c r="K4" s="85" t="s">
        <v>324</v>
      </c>
      <c r="L4" s="209"/>
      <c r="M4" s="117"/>
      <c r="N4" s="117"/>
      <c r="O4" s="117"/>
      <c r="P4" s="117"/>
      <c r="Q4" s="117"/>
      <c r="R4" s="117"/>
      <c r="S4" s="117"/>
      <c r="T4" s="117"/>
      <c r="U4" s="117"/>
      <c r="V4" s="117"/>
      <c r="W4" s="117"/>
      <c r="X4" s="117"/>
    </row>
    <row r="6" spans="2:24" x14ac:dyDescent="0.25">
      <c r="S6" s="22" t="s">
        <v>10</v>
      </c>
    </row>
    <row r="7" spans="2:24" ht="15" customHeight="1" x14ac:dyDescent="0.25">
      <c r="B7" s="1652" t="s">
        <v>340</v>
      </c>
      <c r="C7" s="1652" t="s">
        <v>37</v>
      </c>
      <c r="D7" s="1654" t="s">
        <v>506</v>
      </c>
      <c r="E7" s="1655"/>
      <c r="F7" s="1656"/>
      <c r="G7" s="1654" t="s">
        <v>507</v>
      </c>
      <c r="H7" s="1655"/>
      <c r="I7" s="1656"/>
      <c r="J7" s="1654" t="s">
        <v>508</v>
      </c>
      <c r="K7" s="1655"/>
      <c r="L7" s="1655"/>
      <c r="M7" s="1655"/>
      <c r="N7" s="1656"/>
      <c r="O7" s="1698" t="s">
        <v>968</v>
      </c>
      <c r="P7" s="1698"/>
      <c r="Q7" s="1698"/>
      <c r="R7" s="1698"/>
      <c r="S7" s="1698"/>
      <c r="T7" s="1652" t="s">
        <v>27</v>
      </c>
    </row>
    <row r="8" spans="2:24" ht="43.5" customHeight="1" x14ac:dyDescent="0.25">
      <c r="B8" s="1700"/>
      <c r="C8" s="1700"/>
      <c r="D8" s="291" t="s">
        <v>967</v>
      </c>
      <c r="E8" s="292" t="s">
        <v>79</v>
      </c>
      <c r="F8" s="292" t="s">
        <v>449</v>
      </c>
      <c r="G8" s="291" t="s">
        <v>967</v>
      </c>
      <c r="H8" s="292" t="s">
        <v>79</v>
      </c>
      <c r="I8" s="292" t="s">
        <v>449</v>
      </c>
      <c r="J8" s="292" t="s">
        <v>967</v>
      </c>
      <c r="K8" s="292" t="s">
        <v>443</v>
      </c>
      <c r="L8" s="292" t="s">
        <v>447</v>
      </c>
      <c r="M8" s="292" t="s">
        <v>80</v>
      </c>
      <c r="N8" s="292" t="s">
        <v>450</v>
      </c>
      <c r="O8" s="696" t="s">
        <v>969</v>
      </c>
      <c r="P8" s="696" t="s">
        <v>970</v>
      </c>
      <c r="Q8" s="696" t="s">
        <v>971</v>
      </c>
      <c r="R8" s="696" t="s">
        <v>972</v>
      </c>
      <c r="S8" s="696" t="s">
        <v>973</v>
      </c>
      <c r="T8" s="1652"/>
    </row>
    <row r="9" spans="2:24" ht="19.5" customHeight="1" x14ac:dyDescent="0.25">
      <c r="B9" s="1700"/>
      <c r="C9" s="1700"/>
      <c r="D9" s="292" t="s">
        <v>81</v>
      </c>
      <c r="E9" s="292" t="s">
        <v>82</v>
      </c>
      <c r="F9" s="292" t="s">
        <v>673</v>
      </c>
      <c r="G9" s="292" t="s">
        <v>391</v>
      </c>
      <c r="H9" s="292" t="s">
        <v>409</v>
      </c>
      <c r="I9" s="292" t="s">
        <v>454</v>
      </c>
      <c r="J9" s="292" t="s">
        <v>410</v>
      </c>
      <c r="K9" s="292" t="s">
        <v>411</v>
      </c>
      <c r="L9" s="292" t="s">
        <v>589</v>
      </c>
      <c r="M9" s="292" t="s">
        <v>674</v>
      </c>
      <c r="N9" s="292" t="s">
        <v>985</v>
      </c>
      <c r="O9" s="688" t="s">
        <v>21</v>
      </c>
      <c r="P9" s="688" t="s">
        <v>21</v>
      </c>
      <c r="Q9" s="688" t="s">
        <v>21</v>
      </c>
      <c r="R9" s="688" t="s">
        <v>21</v>
      </c>
      <c r="S9" s="688" t="s">
        <v>21</v>
      </c>
      <c r="T9" s="1653"/>
    </row>
    <row r="10" spans="2:24" s="316" customFormat="1" x14ac:dyDescent="0.25">
      <c r="B10" s="238"/>
      <c r="C10" s="817"/>
      <c r="D10" s="120"/>
      <c r="E10" s="120"/>
      <c r="F10" s="120"/>
      <c r="G10" s="120"/>
      <c r="H10" s="120"/>
      <c r="I10" s="120"/>
      <c r="J10" s="119"/>
      <c r="K10" s="119"/>
      <c r="L10" s="119"/>
      <c r="M10" s="119"/>
      <c r="N10" s="119"/>
      <c r="O10" s="119"/>
      <c r="P10" s="119"/>
      <c r="Q10" s="119"/>
      <c r="R10" s="119"/>
      <c r="S10" s="119"/>
      <c r="T10" s="119"/>
    </row>
    <row r="11" spans="2:24" s="316" customFormat="1" x14ac:dyDescent="0.25">
      <c r="B11" s="238">
        <v>1</v>
      </c>
      <c r="C11" s="815" t="s">
        <v>1046</v>
      </c>
      <c r="D11" s="816"/>
      <c r="E11" s="361">
        <v>0</v>
      </c>
      <c r="F11" s="328">
        <f>E11-D11</f>
        <v>0</v>
      </c>
      <c r="G11" s="361"/>
      <c r="H11" s="361">
        <v>0</v>
      </c>
      <c r="I11" s="328">
        <f>H11-G11</f>
        <v>0</v>
      </c>
      <c r="J11" s="320"/>
      <c r="K11" s="361">
        <v>0</v>
      </c>
      <c r="L11" s="361">
        <v>0</v>
      </c>
      <c r="M11" s="320">
        <f>K11+L11</f>
        <v>0</v>
      </c>
      <c r="N11" s="320">
        <f>M11-J11</f>
        <v>0</v>
      </c>
      <c r="O11" s="320"/>
      <c r="P11" s="320"/>
      <c r="Q11" s="320"/>
      <c r="R11" s="320"/>
      <c r="S11" s="320"/>
      <c r="T11" s="320"/>
    </row>
    <row r="12" spans="2:24" s="316" customFormat="1" x14ac:dyDescent="0.25">
      <c r="B12" s="452">
        <v>2</v>
      </c>
      <c r="C12" s="814" t="s">
        <v>1047</v>
      </c>
      <c r="D12" s="361"/>
      <c r="E12" s="361">
        <v>5.4177636473399993</v>
      </c>
      <c r="F12" s="328">
        <f t="shared" ref="F12:F26" si="0">E12-D12</f>
        <v>5.4177636473399993</v>
      </c>
      <c r="G12" s="361"/>
      <c r="H12" s="361">
        <v>1.1738895630000001</v>
      </c>
      <c r="I12" s="328">
        <f t="shared" ref="I12:I26" si="1">H12-G12</f>
        <v>1.1738895630000001</v>
      </c>
      <c r="J12" s="320"/>
      <c r="K12" s="361">
        <v>0.14979728015999999</v>
      </c>
      <c r="L12" s="361">
        <v>0.14979728015999999</v>
      </c>
      <c r="M12" s="320">
        <f>K12+L12</f>
        <v>0.29959456031999998</v>
      </c>
      <c r="N12" s="320">
        <f>M12-J12</f>
        <v>0.29959456031999998</v>
      </c>
      <c r="O12" s="320"/>
      <c r="P12" s="320"/>
      <c r="Q12" s="320"/>
      <c r="R12" s="320"/>
      <c r="S12" s="320"/>
      <c r="T12" s="320"/>
    </row>
    <row r="13" spans="2:24" s="316" customFormat="1" x14ac:dyDescent="0.25">
      <c r="B13" s="452">
        <v>3</v>
      </c>
      <c r="C13" s="814" t="s">
        <v>1048</v>
      </c>
      <c r="D13" s="361"/>
      <c r="E13" s="361">
        <v>0</v>
      </c>
      <c r="F13" s="328">
        <f t="shared" si="0"/>
        <v>0</v>
      </c>
      <c r="G13" s="361"/>
      <c r="H13" s="361">
        <v>0</v>
      </c>
      <c r="I13" s="328">
        <f t="shared" si="1"/>
        <v>0</v>
      </c>
      <c r="J13" s="320"/>
      <c r="K13" s="361">
        <v>0</v>
      </c>
      <c r="L13" s="361">
        <v>0</v>
      </c>
      <c r="M13" s="320">
        <f>K13+L13</f>
        <v>0</v>
      </c>
      <c r="N13" s="320">
        <f>M13-J13</f>
        <v>0</v>
      </c>
      <c r="O13" s="320"/>
      <c r="P13" s="320"/>
      <c r="Q13" s="320"/>
      <c r="R13" s="320"/>
      <c r="S13" s="320"/>
      <c r="T13" s="320"/>
    </row>
    <row r="14" spans="2:24" s="316" customFormat="1" x14ac:dyDescent="0.25">
      <c r="B14" s="452">
        <v>4</v>
      </c>
      <c r="C14" s="814" t="s">
        <v>754</v>
      </c>
      <c r="D14" s="361"/>
      <c r="E14" s="361">
        <v>11.933613002719056</v>
      </c>
      <c r="F14" s="328"/>
      <c r="G14" s="361"/>
      <c r="H14" s="361">
        <v>9.2081448879665917</v>
      </c>
      <c r="I14" s="704"/>
      <c r="J14" s="320"/>
      <c r="K14" s="361">
        <v>2.7218593093710237</v>
      </c>
      <c r="L14" s="361">
        <v>2.7218593093710237</v>
      </c>
      <c r="M14" s="320">
        <f>K14+L14</f>
        <v>5.4437186187420474</v>
      </c>
      <c r="N14" s="320">
        <f>M14-J14</f>
        <v>5.4437186187420474</v>
      </c>
      <c r="O14" s="706"/>
      <c r="P14" s="706"/>
      <c r="Q14" s="706"/>
      <c r="R14" s="706"/>
      <c r="S14" s="706"/>
      <c r="T14" s="320"/>
    </row>
    <row r="15" spans="2:24" s="316" customFormat="1" x14ac:dyDescent="0.25">
      <c r="B15" s="452">
        <v>5</v>
      </c>
      <c r="C15" s="814" t="s">
        <v>759</v>
      </c>
      <c r="D15" s="361"/>
      <c r="E15" s="361">
        <v>0</v>
      </c>
      <c r="F15" s="328"/>
      <c r="G15" s="361"/>
      <c r="H15" s="361">
        <v>1.0937238007507497</v>
      </c>
      <c r="I15" s="704"/>
      <c r="J15" s="320"/>
      <c r="K15" s="361">
        <v>1.2086684692830001</v>
      </c>
      <c r="L15" s="361">
        <v>1.2086684692830001</v>
      </c>
      <c r="M15" s="320">
        <f>K15+L15</f>
        <v>2.4173369385660002</v>
      </c>
      <c r="N15" s="320">
        <f>M15-J15</f>
        <v>2.4173369385660002</v>
      </c>
      <c r="O15" s="706"/>
      <c r="P15" s="706"/>
      <c r="Q15" s="706"/>
      <c r="R15" s="706"/>
      <c r="S15" s="706"/>
      <c r="T15" s="320"/>
    </row>
    <row r="16" spans="2:24" s="316" customFormat="1" x14ac:dyDescent="0.25">
      <c r="B16" s="452">
        <v>6</v>
      </c>
      <c r="C16" s="814" t="s">
        <v>755</v>
      </c>
      <c r="D16" s="361"/>
      <c r="E16" s="361">
        <v>0</v>
      </c>
      <c r="F16" s="328"/>
      <c r="G16" s="361"/>
      <c r="H16" s="361">
        <v>0</v>
      </c>
      <c r="I16" s="704"/>
      <c r="J16" s="320"/>
      <c r="K16" s="361">
        <v>0</v>
      </c>
      <c r="L16" s="361">
        <v>0</v>
      </c>
      <c r="M16" s="320">
        <f t="shared" ref="M16:M17" si="2">K16+L16</f>
        <v>0</v>
      </c>
      <c r="N16" s="320"/>
      <c r="O16" s="706"/>
      <c r="P16" s="706"/>
      <c r="Q16" s="706"/>
      <c r="R16" s="706"/>
      <c r="S16" s="706"/>
      <c r="T16" s="320"/>
    </row>
    <row r="17" spans="2:20" s="316" customFormat="1" x14ac:dyDescent="0.25">
      <c r="B17" s="452">
        <v>7</v>
      </c>
      <c r="C17" s="814" t="s">
        <v>756</v>
      </c>
      <c r="D17" s="361"/>
      <c r="E17" s="361">
        <v>0.16429710132000003</v>
      </c>
      <c r="F17" s="328"/>
      <c r="G17" s="361"/>
      <c r="H17" s="361">
        <v>0.15988970844</v>
      </c>
      <c r="I17" s="704"/>
      <c r="J17" s="320"/>
      <c r="K17" s="361">
        <v>0</v>
      </c>
      <c r="L17" s="361">
        <v>0</v>
      </c>
      <c r="M17" s="320">
        <f t="shared" si="2"/>
        <v>0</v>
      </c>
      <c r="N17" s="320"/>
      <c r="O17" s="706"/>
      <c r="P17" s="706"/>
      <c r="Q17" s="706"/>
      <c r="R17" s="706"/>
      <c r="S17" s="706"/>
      <c r="T17" s="320"/>
    </row>
    <row r="18" spans="2:20" s="316" customFormat="1" x14ac:dyDescent="0.25">
      <c r="B18" s="452">
        <v>8</v>
      </c>
      <c r="C18" s="814" t="s">
        <v>1043</v>
      </c>
      <c r="D18" s="453"/>
      <c r="E18" s="361">
        <v>0</v>
      </c>
      <c r="F18" s="328"/>
      <c r="G18" s="361"/>
      <c r="H18" s="361">
        <v>0</v>
      </c>
      <c r="I18" s="704"/>
      <c r="J18" s="320"/>
      <c r="K18" s="361">
        <v>4.4357610000000006E-2</v>
      </c>
      <c r="L18" s="361">
        <v>4.4357610000000006E-2</v>
      </c>
      <c r="M18" s="320">
        <f t="shared" ref="M18:M26" si="3">K18+L18</f>
        <v>8.8715220000000011E-2</v>
      </c>
      <c r="N18" s="320">
        <f t="shared" ref="N18:N26" si="4">M18-J18</f>
        <v>8.8715220000000011E-2</v>
      </c>
      <c r="O18" s="706"/>
      <c r="P18" s="706"/>
      <c r="Q18" s="706"/>
      <c r="R18" s="706"/>
      <c r="S18" s="706"/>
      <c r="T18" s="320"/>
    </row>
    <row r="19" spans="2:20" s="316" customFormat="1" x14ac:dyDescent="0.25">
      <c r="B19" s="452">
        <v>9</v>
      </c>
      <c r="C19" s="814" t="s">
        <v>757</v>
      </c>
      <c r="D19" s="453"/>
      <c r="E19" s="361">
        <v>0.151182395</v>
      </c>
      <c r="F19" s="328"/>
      <c r="G19" s="361"/>
      <c r="H19" s="361">
        <v>0</v>
      </c>
      <c r="I19" s="704"/>
      <c r="J19" s="320"/>
      <c r="K19" s="361">
        <v>0</v>
      </c>
      <c r="L19" s="361">
        <v>0</v>
      </c>
      <c r="M19" s="320">
        <f t="shared" si="3"/>
        <v>0</v>
      </c>
      <c r="N19" s="320">
        <f t="shared" si="4"/>
        <v>0</v>
      </c>
      <c r="O19" s="706"/>
      <c r="P19" s="706"/>
      <c r="Q19" s="706"/>
      <c r="R19" s="706"/>
      <c r="S19" s="706"/>
      <c r="T19" s="320"/>
    </row>
    <row r="20" spans="2:20" s="316" customFormat="1" x14ac:dyDescent="0.25">
      <c r="B20" s="452">
        <v>10</v>
      </c>
      <c r="C20" s="814" t="s">
        <v>758</v>
      </c>
      <c r="D20" s="453"/>
      <c r="E20" s="453">
        <v>23.549434170175292</v>
      </c>
      <c r="F20" s="328"/>
      <c r="G20" s="453"/>
      <c r="H20" s="453">
        <v>24.423750755928804</v>
      </c>
      <c r="I20" s="704"/>
      <c r="J20" s="320"/>
      <c r="K20" s="453">
        <v>6.8593145528282058</v>
      </c>
      <c r="L20" s="453">
        <v>6.8593145528282058</v>
      </c>
      <c r="M20" s="320">
        <f t="shared" si="3"/>
        <v>13.718629105656412</v>
      </c>
      <c r="N20" s="320">
        <f t="shared" si="4"/>
        <v>13.718629105656412</v>
      </c>
      <c r="O20" s="706"/>
      <c r="P20" s="706"/>
      <c r="Q20" s="706"/>
      <c r="R20" s="706"/>
      <c r="S20" s="706"/>
      <c r="T20" s="320"/>
    </row>
    <row r="21" spans="2:20" s="316" customFormat="1" x14ac:dyDescent="0.25">
      <c r="B21" s="452">
        <v>11</v>
      </c>
      <c r="C21" s="814" t="s">
        <v>1049</v>
      </c>
      <c r="D21" s="453"/>
      <c r="E21" s="361">
        <v>0</v>
      </c>
      <c r="F21" s="328">
        <f t="shared" si="0"/>
        <v>0</v>
      </c>
      <c r="G21" s="361"/>
      <c r="H21" s="361">
        <v>0</v>
      </c>
      <c r="I21" s="704">
        <f t="shared" si="1"/>
        <v>0</v>
      </c>
      <c r="J21" s="320"/>
      <c r="K21" s="361">
        <v>0</v>
      </c>
      <c r="L21" s="361">
        <v>0</v>
      </c>
      <c r="M21" s="320">
        <f t="shared" si="3"/>
        <v>0</v>
      </c>
      <c r="N21" s="320">
        <f t="shared" si="4"/>
        <v>0</v>
      </c>
      <c r="O21" s="706"/>
      <c r="P21" s="706"/>
      <c r="Q21" s="706"/>
      <c r="R21" s="706"/>
      <c r="S21" s="706"/>
      <c r="T21" s="320"/>
    </row>
    <row r="22" spans="2:20" s="316" customFormat="1" x14ac:dyDescent="0.25">
      <c r="B22" s="452">
        <v>12</v>
      </c>
      <c r="C22" s="814" t="s">
        <v>762</v>
      </c>
      <c r="D22" s="453"/>
      <c r="E22" s="361">
        <v>10.16684576358</v>
      </c>
      <c r="F22" s="328">
        <f t="shared" si="0"/>
        <v>10.16684576358</v>
      </c>
      <c r="G22" s="361"/>
      <c r="H22" s="361">
        <v>7.6122066099999994</v>
      </c>
      <c r="I22" s="704">
        <f t="shared" si="1"/>
        <v>7.6122066099999994</v>
      </c>
      <c r="J22" s="320"/>
      <c r="K22" s="361">
        <v>2.2049817992131984</v>
      </c>
      <c r="L22" s="361">
        <v>2.2049817992131984</v>
      </c>
      <c r="M22" s="320">
        <f t="shared" si="3"/>
        <v>4.4099635984263967</v>
      </c>
      <c r="N22" s="320">
        <f t="shared" si="4"/>
        <v>4.4099635984263967</v>
      </c>
      <c r="O22" s="706"/>
      <c r="P22" s="706"/>
      <c r="Q22" s="706"/>
      <c r="R22" s="706"/>
      <c r="S22" s="706"/>
      <c r="T22" s="320"/>
    </row>
    <row r="23" spans="2:20" s="316" customFormat="1" x14ac:dyDescent="0.25">
      <c r="B23" s="452">
        <v>13</v>
      </c>
      <c r="C23" s="814" t="s">
        <v>763</v>
      </c>
      <c r="D23" s="361"/>
      <c r="E23" s="361">
        <v>8.6875495739999989E-2</v>
      </c>
      <c r="F23" s="328">
        <f t="shared" si="0"/>
        <v>8.6875495739999989E-2</v>
      </c>
      <c r="G23" s="361"/>
      <c r="H23" s="361">
        <v>2.6918482800000003E-3</v>
      </c>
      <c r="I23" s="704">
        <f t="shared" si="1"/>
        <v>2.6918482800000003E-3</v>
      </c>
      <c r="J23" s="320"/>
      <c r="K23" s="361">
        <v>0</v>
      </c>
      <c r="L23" s="361">
        <v>0</v>
      </c>
      <c r="M23" s="320">
        <f t="shared" si="3"/>
        <v>0</v>
      </c>
      <c r="N23" s="320">
        <f t="shared" si="4"/>
        <v>0</v>
      </c>
      <c r="O23" s="706"/>
      <c r="P23" s="706"/>
      <c r="Q23" s="706"/>
      <c r="R23" s="706"/>
      <c r="S23" s="706"/>
      <c r="T23" s="320"/>
    </row>
    <row r="24" spans="2:20" s="316" customFormat="1" x14ac:dyDescent="0.25">
      <c r="B24" s="452">
        <v>14</v>
      </c>
      <c r="C24" s="814" t="s">
        <v>1568</v>
      </c>
      <c r="D24" s="361"/>
      <c r="E24" s="361">
        <v>0</v>
      </c>
      <c r="F24" s="328"/>
      <c r="G24" s="361"/>
      <c r="H24" s="361">
        <v>0</v>
      </c>
      <c r="I24" s="704"/>
      <c r="J24" s="320"/>
      <c r="K24" s="361">
        <v>0</v>
      </c>
      <c r="L24" s="361">
        <v>0</v>
      </c>
      <c r="M24" s="320">
        <f t="shared" si="3"/>
        <v>0</v>
      </c>
      <c r="N24" s="320"/>
      <c r="O24" s="706"/>
      <c r="P24" s="706"/>
      <c r="Q24" s="706"/>
      <c r="R24" s="706"/>
      <c r="S24" s="706"/>
      <c r="T24" s="320"/>
    </row>
    <row r="25" spans="2:20" s="316" customFormat="1" x14ac:dyDescent="0.25">
      <c r="B25" s="452">
        <v>15</v>
      </c>
      <c r="C25" s="815" t="s">
        <v>1050</v>
      </c>
      <c r="D25" s="361"/>
      <c r="E25" s="361">
        <v>0</v>
      </c>
      <c r="F25" s="328"/>
      <c r="G25" s="361"/>
      <c r="H25" s="361">
        <v>0</v>
      </c>
      <c r="I25" s="704"/>
      <c r="J25" s="320"/>
      <c r="K25" s="361">
        <v>0</v>
      </c>
      <c r="L25" s="361">
        <v>0</v>
      </c>
      <c r="M25" s="320">
        <f t="shared" si="3"/>
        <v>0</v>
      </c>
      <c r="N25" s="320"/>
      <c r="O25" s="706"/>
      <c r="P25" s="706"/>
      <c r="Q25" s="706"/>
      <c r="R25" s="706"/>
      <c r="S25" s="706"/>
      <c r="T25" s="320"/>
    </row>
    <row r="26" spans="2:20" s="316" customFormat="1" x14ac:dyDescent="0.25">
      <c r="B26" s="452">
        <v>16</v>
      </c>
      <c r="C26" s="815" t="s">
        <v>1042</v>
      </c>
      <c r="D26" s="361"/>
      <c r="E26" s="361">
        <v>5.213821473364983</v>
      </c>
      <c r="F26" s="328">
        <f t="shared" si="0"/>
        <v>5.213821473364983</v>
      </c>
      <c r="G26" s="361"/>
      <c r="H26" s="361">
        <v>1.2780258909</v>
      </c>
      <c r="I26" s="328">
        <f t="shared" si="1"/>
        <v>1.2780258909</v>
      </c>
      <c r="J26" s="320"/>
      <c r="K26" s="361">
        <v>0.27759162486</v>
      </c>
      <c r="L26" s="361">
        <v>0.27759162486</v>
      </c>
      <c r="M26" s="320">
        <f t="shared" si="3"/>
        <v>0.55518324971999999</v>
      </c>
      <c r="N26" s="320">
        <f t="shared" si="4"/>
        <v>0.55518324971999999</v>
      </c>
      <c r="O26" s="320"/>
      <c r="P26" s="320"/>
      <c r="Q26" s="320"/>
      <c r="R26" s="320"/>
      <c r="S26" s="320"/>
      <c r="T26" s="320"/>
    </row>
    <row r="27" spans="2:20" s="584" customFormat="1" x14ac:dyDescent="0.25">
      <c r="B27" s="500"/>
      <c r="C27" s="501" t="s">
        <v>3</v>
      </c>
      <c r="D27" s="453">
        <v>46.503103609319339</v>
      </c>
      <c r="E27" s="453">
        <f>SUM(E11:E26)</f>
        <v>56.683833049239333</v>
      </c>
      <c r="F27" s="453">
        <f>SUM(F11:F26)</f>
        <v>20.885306380024982</v>
      </c>
      <c r="G27" s="850">
        <v>46.503103609319339</v>
      </c>
      <c r="H27" s="850">
        <f>SUM(H10:H26)-H13</f>
        <v>44.952323065266143</v>
      </c>
      <c r="I27" s="850">
        <f t="shared" ref="I27" si="5">SUM(I11:I26)</f>
        <v>10.066813912179999</v>
      </c>
      <c r="J27" s="850">
        <v>46.503103609319339</v>
      </c>
      <c r="K27" s="453">
        <f t="shared" ref="K27:N27" si="6">SUM(K11:K26)</f>
        <v>13.466570645715429</v>
      </c>
      <c r="L27" s="453">
        <f>SUM(L10:L26)-L13</f>
        <v>13.466570645715429</v>
      </c>
      <c r="M27" s="453">
        <f t="shared" si="6"/>
        <v>26.933141291430857</v>
      </c>
      <c r="N27" s="453">
        <f t="shared" si="6"/>
        <v>26.933141291430857</v>
      </c>
      <c r="O27" s="850">
        <v>44.952323065266143</v>
      </c>
      <c r="P27" s="850">
        <v>44.952323065266143</v>
      </c>
      <c r="Q27" s="850">
        <v>44.952323065266143</v>
      </c>
      <c r="R27" s="850">
        <v>44.952323065266143</v>
      </c>
      <c r="S27" s="850">
        <v>44.952323065266143</v>
      </c>
      <c r="T27" s="362"/>
    </row>
    <row r="29" spans="2:20" x14ac:dyDescent="0.25">
      <c r="B29" s="14" t="s">
        <v>977</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B1:T28"/>
  <sheetViews>
    <sheetView showGridLines="0" zoomScale="75" zoomScaleNormal="75" zoomScaleSheetLayoutView="80" workbookViewId="0">
      <pane xSplit="3" ySplit="9" topLeftCell="D11" activePane="bottomRight" state="frozen"/>
      <selection activeCell="M63" sqref="M63"/>
      <selection pane="topRight" activeCell="M63" sqref="M63"/>
      <selection pane="bottomLeft" activeCell="M63" sqref="M63"/>
      <selection pane="bottomRight" activeCell="M63" sqref="M63"/>
    </sheetView>
  </sheetViews>
  <sheetFormatPr defaultColWidth="9.36328125" defaultRowHeight="14" x14ac:dyDescent="0.3"/>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x14ac:dyDescent="0.3">
      <c r="B1" s="53"/>
    </row>
    <row r="2" spans="2:20" x14ac:dyDescent="0.3">
      <c r="B2" s="1658" t="str">
        <f>Index!B2</f>
        <v xml:space="preserve">      Maharashtra State Power Generation Company Ltd.</v>
      </c>
      <c r="C2" s="1870"/>
      <c r="D2" s="1870"/>
      <c r="E2" s="1870"/>
      <c r="F2" s="1870"/>
      <c r="G2" s="1870"/>
      <c r="H2" s="1870"/>
      <c r="I2" s="1870"/>
      <c r="J2" s="1870"/>
      <c r="K2" s="1870"/>
      <c r="L2" s="1870"/>
      <c r="M2" s="1870"/>
      <c r="N2" s="1870"/>
      <c r="O2" s="1870"/>
      <c r="P2" s="1870"/>
      <c r="Q2" s="1870"/>
      <c r="R2" s="1870"/>
      <c r="S2" s="1870"/>
      <c r="T2" s="1870"/>
    </row>
    <row r="3" spans="2:20" x14ac:dyDescent="0.3">
      <c r="B3" s="1658" t="str">
        <f>Index!B3</f>
        <v>MYT Petition Formats for Chandrapur Unit 3-7</v>
      </c>
      <c r="C3" s="1870"/>
      <c r="D3" s="1870"/>
      <c r="E3" s="1870"/>
      <c r="F3" s="1870"/>
      <c r="G3" s="1870"/>
      <c r="H3" s="1870"/>
      <c r="I3" s="1870"/>
      <c r="J3" s="1870"/>
      <c r="K3" s="1870"/>
      <c r="L3" s="1870"/>
      <c r="M3" s="1870"/>
      <c r="N3" s="1870"/>
      <c r="O3" s="1870"/>
      <c r="P3" s="1870"/>
      <c r="Q3" s="1870"/>
      <c r="R3" s="1870"/>
      <c r="S3" s="1870"/>
      <c r="T3" s="1870"/>
    </row>
    <row r="4" spans="2:20" s="79" customFormat="1" x14ac:dyDescent="0.3">
      <c r="B4" s="1683" t="s">
        <v>321</v>
      </c>
      <c r="C4" s="1871"/>
      <c r="D4" s="1871"/>
      <c r="E4" s="1871"/>
      <c r="F4" s="1871"/>
      <c r="G4" s="1871"/>
      <c r="H4" s="1871"/>
      <c r="I4" s="1871"/>
      <c r="J4" s="1871"/>
      <c r="K4" s="1871"/>
      <c r="L4" s="1871"/>
      <c r="M4" s="1871"/>
      <c r="N4" s="1871"/>
      <c r="O4" s="1871"/>
      <c r="P4" s="1871"/>
      <c r="Q4" s="1871"/>
      <c r="R4" s="1871"/>
      <c r="S4" s="1871"/>
      <c r="T4" s="1871"/>
    </row>
    <row r="5" spans="2:20" x14ac:dyDescent="0.3">
      <c r="B5" s="19"/>
      <c r="C5" s="19"/>
    </row>
    <row r="6" spans="2:20" x14ac:dyDescent="0.3">
      <c r="C6" s="63"/>
      <c r="K6" s="63"/>
      <c r="M6" s="6"/>
      <c r="N6" s="6"/>
      <c r="S6" s="22" t="s">
        <v>10</v>
      </c>
    </row>
    <row r="7" spans="2:20" s="35" customFormat="1" ht="17.25" customHeight="1" x14ac:dyDescent="0.3">
      <c r="B7" s="1769" t="s">
        <v>340</v>
      </c>
      <c r="C7" s="1769" t="s">
        <v>37</v>
      </c>
      <c r="D7" s="1654" t="s">
        <v>506</v>
      </c>
      <c r="E7" s="1655"/>
      <c r="F7" s="1656"/>
      <c r="G7" s="1654" t="s">
        <v>507</v>
      </c>
      <c r="H7" s="1655"/>
      <c r="I7" s="1656"/>
      <c r="J7" s="1654" t="s">
        <v>508</v>
      </c>
      <c r="K7" s="1655"/>
      <c r="L7" s="1655"/>
      <c r="M7" s="1655"/>
      <c r="N7" s="1656"/>
      <c r="O7" s="1698" t="s">
        <v>968</v>
      </c>
      <c r="P7" s="1698"/>
      <c r="Q7" s="1698"/>
      <c r="R7" s="1698"/>
      <c r="S7" s="1698"/>
      <c r="T7" s="1652" t="s">
        <v>27</v>
      </c>
    </row>
    <row r="8" spans="2:20" s="36" customFormat="1" ht="49.25" customHeight="1" x14ac:dyDescent="0.25">
      <c r="B8" s="1872"/>
      <c r="C8" s="1872"/>
      <c r="D8" s="291" t="s">
        <v>967</v>
      </c>
      <c r="E8" s="292" t="s">
        <v>79</v>
      </c>
      <c r="F8" s="292" t="s">
        <v>449</v>
      </c>
      <c r="G8" s="291" t="s">
        <v>967</v>
      </c>
      <c r="H8" s="292" t="s">
        <v>79</v>
      </c>
      <c r="I8" s="292" t="s">
        <v>449</v>
      </c>
      <c r="J8" s="292" t="s">
        <v>967</v>
      </c>
      <c r="K8" s="292" t="s">
        <v>443</v>
      </c>
      <c r="L8" s="292" t="s">
        <v>447</v>
      </c>
      <c r="M8" s="292" t="s">
        <v>80</v>
      </c>
      <c r="N8" s="292" t="s">
        <v>450</v>
      </c>
      <c r="O8" s="696" t="s">
        <v>969</v>
      </c>
      <c r="P8" s="696" t="s">
        <v>970</v>
      </c>
      <c r="Q8" s="696" t="s">
        <v>971</v>
      </c>
      <c r="R8" s="696" t="s">
        <v>972</v>
      </c>
      <c r="S8" s="696" t="s">
        <v>973</v>
      </c>
      <c r="T8" s="1652"/>
    </row>
    <row r="9" spans="2:20" s="6" customFormat="1" x14ac:dyDescent="0.3">
      <c r="B9" s="1872"/>
      <c r="C9" s="1872"/>
      <c r="D9" s="292" t="s">
        <v>81</v>
      </c>
      <c r="E9" s="292" t="s">
        <v>82</v>
      </c>
      <c r="F9" s="292" t="s">
        <v>673</v>
      </c>
      <c r="G9" s="292" t="s">
        <v>391</v>
      </c>
      <c r="H9" s="292" t="s">
        <v>409</v>
      </c>
      <c r="I9" s="292" t="s">
        <v>454</v>
      </c>
      <c r="J9" s="292" t="s">
        <v>410</v>
      </c>
      <c r="K9" s="292" t="s">
        <v>411</v>
      </c>
      <c r="L9" s="292" t="s">
        <v>589</v>
      </c>
      <c r="M9" s="292" t="s">
        <v>674</v>
      </c>
      <c r="N9" s="292" t="s">
        <v>503</v>
      </c>
      <c r="O9" s="688" t="s">
        <v>21</v>
      </c>
      <c r="P9" s="688" t="s">
        <v>21</v>
      </c>
      <c r="Q9" s="688" t="s">
        <v>21</v>
      </c>
      <c r="R9" s="688" t="s">
        <v>21</v>
      </c>
      <c r="S9" s="688" t="s">
        <v>21</v>
      </c>
      <c r="T9" s="1653"/>
    </row>
    <row r="10" spans="2:20" s="6" customFormat="1" ht="15.75" customHeight="1" x14ac:dyDescent="0.3">
      <c r="B10" s="95">
        <v>1</v>
      </c>
      <c r="C10" s="820" t="s">
        <v>473</v>
      </c>
      <c r="D10" s="308"/>
      <c r="E10" s="308"/>
      <c r="F10" s="308"/>
      <c r="G10" s="308"/>
      <c r="H10" s="308"/>
      <c r="I10" s="308"/>
      <c r="J10" s="308"/>
      <c r="K10" s="308"/>
      <c r="L10" s="308"/>
      <c r="M10" s="308">
        <f>K10+L10</f>
        <v>0</v>
      </c>
      <c r="N10" s="308"/>
      <c r="O10" s="844"/>
      <c r="P10" s="844"/>
      <c r="Q10" s="844"/>
      <c r="R10" s="844"/>
      <c r="S10" s="844"/>
      <c r="T10" s="24"/>
    </row>
    <row r="11" spans="2:20" s="6" customFormat="1" ht="15.75" customHeight="1" x14ac:dyDescent="0.3">
      <c r="B11" s="95">
        <f>B10+1</f>
        <v>2</v>
      </c>
      <c r="C11" s="821" t="s">
        <v>472</v>
      </c>
      <c r="D11" s="308"/>
      <c r="E11" s="308">
        <v>7.94</v>
      </c>
      <c r="F11" s="308"/>
      <c r="G11" s="308"/>
      <c r="H11" s="308">
        <v>3.67219252536986</v>
      </c>
      <c r="I11" s="308"/>
      <c r="J11" s="308"/>
      <c r="K11" s="844">
        <v>1.83609626268493</v>
      </c>
      <c r="L11" s="844">
        <v>1.83609626268493</v>
      </c>
      <c r="M11" s="308">
        <f t="shared" ref="M11:M21" si="0">K11+L11</f>
        <v>3.67219252536986</v>
      </c>
      <c r="N11" s="308"/>
      <c r="O11" s="844">
        <v>0</v>
      </c>
      <c r="P11" s="844">
        <v>0</v>
      </c>
      <c r="Q11" s="844">
        <v>0</v>
      </c>
      <c r="R11" s="844">
        <v>0</v>
      </c>
      <c r="S11" s="844">
        <v>0</v>
      </c>
      <c r="T11" s="24"/>
    </row>
    <row r="12" spans="2:20" s="6" customFormat="1" ht="15.75" customHeight="1" x14ac:dyDescent="0.3">
      <c r="B12" s="95">
        <f t="shared" ref="B12:B20" si="1">B11+1</f>
        <v>3</v>
      </c>
      <c r="C12" s="822" t="s">
        <v>327</v>
      </c>
      <c r="D12" s="308"/>
      <c r="E12" s="308"/>
      <c r="F12" s="308"/>
      <c r="G12" s="308"/>
      <c r="H12" s="308"/>
      <c r="I12" s="308"/>
      <c r="J12" s="308"/>
      <c r="K12" s="844"/>
      <c r="L12" s="844"/>
      <c r="M12" s="308">
        <f t="shared" si="0"/>
        <v>0</v>
      </c>
      <c r="N12" s="308"/>
      <c r="O12" s="844"/>
      <c r="P12" s="844"/>
      <c r="Q12" s="844"/>
      <c r="R12" s="844"/>
      <c r="S12" s="844"/>
      <c r="T12" s="24"/>
    </row>
    <row r="13" spans="2:20" s="6" customFormat="1" ht="15.75" customHeight="1" x14ac:dyDescent="0.3">
      <c r="B13" s="95">
        <f t="shared" si="1"/>
        <v>4</v>
      </c>
      <c r="C13" s="822" t="s">
        <v>301</v>
      </c>
      <c r="D13" s="308"/>
      <c r="E13" s="308"/>
      <c r="F13" s="308"/>
      <c r="G13" s="308"/>
      <c r="H13" s="308"/>
      <c r="I13" s="308"/>
      <c r="J13" s="308"/>
      <c r="K13" s="844">
        <v>0</v>
      </c>
      <c r="L13" s="844">
        <v>0</v>
      </c>
      <c r="M13" s="308">
        <f t="shared" ref="M13" si="2">K13+L13</f>
        <v>0</v>
      </c>
      <c r="N13" s="308"/>
      <c r="O13" s="844"/>
      <c r="P13" s="844"/>
      <c r="Q13" s="844"/>
      <c r="R13" s="844"/>
      <c r="S13" s="844"/>
      <c r="T13" s="24"/>
    </row>
    <row r="14" spans="2:20" s="6" customFormat="1" ht="15.75" customHeight="1" x14ac:dyDescent="0.3">
      <c r="B14" s="95">
        <f t="shared" si="1"/>
        <v>5</v>
      </c>
      <c r="C14" s="822" t="s">
        <v>474</v>
      </c>
      <c r="D14" s="308"/>
      <c r="E14" s="308"/>
      <c r="F14" s="308"/>
      <c r="G14" s="308"/>
      <c r="H14" s="308"/>
      <c r="I14" s="308"/>
      <c r="J14" s="308"/>
      <c r="K14" s="844"/>
      <c r="L14" s="844"/>
      <c r="M14" s="308">
        <f t="shared" si="0"/>
        <v>0</v>
      </c>
      <c r="N14" s="308"/>
      <c r="O14" s="844"/>
      <c r="P14" s="844"/>
      <c r="Q14" s="844"/>
      <c r="R14" s="844"/>
      <c r="S14" s="844"/>
      <c r="T14" s="24"/>
    </row>
    <row r="15" spans="2:20" s="6" customFormat="1" ht="56" x14ac:dyDescent="0.3">
      <c r="B15" s="95">
        <f t="shared" si="1"/>
        <v>6</v>
      </c>
      <c r="C15" s="822" t="s">
        <v>348</v>
      </c>
      <c r="D15" s="308"/>
      <c r="E15" s="308">
        <v>3.3521099999999998E-2</v>
      </c>
      <c r="F15" s="308"/>
      <c r="G15" s="308"/>
      <c r="H15" s="308">
        <v>0.77602175650563299</v>
      </c>
      <c r="I15" s="308"/>
      <c r="J15" s="308"/>
      <c r="K15" s="844">
        <v>0.38801087825281649</v>
      </c>
      <c r="L15" s="844">
        <v>0.38801087825281649</v>
      </c>
      <c r="M15" s="308">
        <f t="shared" si="0"/>
        <v>0.77602175650563299</v>
      </c>
      <c r="N15" s="308"/>
      <c r="O15" s="844"/>
      <c r="P15" s="844"/>
      <c r="Q15" s="844"/>
      <c r="R15" s="844"/>
      <c r="S15" s="844"/>
      <c r="T15" s="24"/>
    </row>
    <row r="16" spans="2:20" s="6" customFormat="1" x14ac:dyDescent="0.3">
      <c r="B16" s="95">
        <f t="shared" si="1"/>
        <v>7</v>
      </c>
      <c r="C16" s="823" t="s">
        <v>815</v>
      </c>
      <c r="D16" s="308"/>
      <c r="E16" s="308">
        <v>0.48</v>
      </c>
      <c r="F16" s="308"/>
      <c r="G16" s="308"/>
      <c r="H16" s="308">
        <v>0.49316125150684897</v>
      </c>
      <c r="I16" s="308"/>
      <c r="J16" s="308"/>
      <c r="K16" s="844">
        <v>0.24658062575342449</v>
      </c>
      <c r="L16" s="844">
        <v>0.24658062575342449</v>
      </c>
      <c r="M16" s="308">
        <f t="shared" si="0"/>
        <v>0.49316125150684897</v>
      </c>
      <c r="N16" s="308"/>
      <c r="O16" s="844"/>
      <c r="P16" s="844"/>
      <c r="Q16" s="844"/>
      <c r="R16" s="844"/>
      <c r="S16" s="844"/>
      <c r="T16" s="24"/>
    </row>
    <row r="17" spans="2:20" ht="15.75" customHeight="1" x14ac:dyDescent="0.3">
      <c r="B17" s="95">
        <f>B16+1</f>
        <v>8</v>
      </c>
      <c r="C17" s="823" t="s">
        <v>302</v>
      </c>
      <c r="D17" s="308"/>
      <c r="E17" s="308"/>
      <c r="F17" s="308"/>
      <c r="G17" s="308"/>
      <c r="H17" s="308"/>
      <c r="I17" s="308"/>
      <c r="J17" s="308"/>
      <c r="K17" s="844"/>
      <c r="L17" s="844"/>
      <c r="M17" s="308">
        <f t="shared" si="0"/>
        <v>0</v>
      </c>
      <c r="N17" s="308"/>
      <c r="O17" s="844"/>
      <c r="P17" s="844"/>
      <c r="Q17" s="844"/>
      <c r="R17" s="844"/>
      <c r="S17" s="844"/>
      <c r="T17" s="24"/>
    </row>
    <row r="18" spans="2:20" ht="15.75" customHeight="1" x14ac:dyDescent="0.3">
      <c r="B18" s="95">
        <f t="shared" si="1"/>
        <v>9</v>
      </c>
      <c r="C18" s="823" t="s">
        <v>303</v>
      </c>
      <c r="D18" s="308"/>
      <c r="E18" s="308"/>
      <c r="F18" s="308"/>
      <c r="G18" s="308"/>
      <c r="H18" s="308"/>
      <c r="I18" s="308"/>
      <c r="J18" s="308"/>
      <c r="K18" s="844"/>
      <c r="L18" s="844"/>
      <c r="M18" s="308">
        <f t="shared" si="0"/>
        <v>0</v>
      </c>
      <c r="N18" s="308"/>
      <c r="O18" s="844"/>
      <c r="P18" s="844"/>
      <c r="Q18" s="844"/>
      <c r="R18" s="844"/>
      <c r="S18" s="844"/>
      <c r="T18" s="24"/>
    </row>
    <row r="19" spans="2:20" ht="15.75" customHeight="1" x14ac:dyDescent="0.3">
      <c r="B19" s="95">
        <f t="shared" si="1"/>
        <v>10</v>
      </c>
      <c r="C19" s="822" t="s">
        <v>328</v>
      </c>
      <c r="D19" s="308"/>
      <c r="E19" s="308"/>
      <c r="F19" s="308"/>
      <c r="G19" s="308"/>
      <c r="H19" s="308"/>
      <c r="I19" s="308"/>
      <c r="J19" s="308"/>
      <c r="K19" s="844"/>
      <c r="L19" s="844"/>
      <c r="M19" s="308">
        <f t="shared" si="0"/>
        <v>0</v>
      </c>
      <c r="N19" s="308"/>
      <c r="O19" s="844"/>
      <c r="P19" s="844"/>
      <c r="Q19" s="844"/>
      <c r="R19" s="844"/>
      <c r="S19" s="844"/>
      <c r="T19" s="24"/>
    </row>
    <row r="20" spans="2:20" ht="15.75" customHeight="1" x14ac:dyDescent="0.3">
      <c r="B20" s="95">
        <f t="shared" si="1"/>
        <v>11</v>
      </c>
      <c r="C20" s="823" t="s">
        <v>804</v>
      </c>
      <c r="D20" s="308"/>
      <c r="E20" s="308">
        <v>0</v>
      </c>
      <c r="F20" s="308"/>
      <c r="G20" s="308"/>
      <c r="H20" s="308">
        <v>0</v>
      </c>
      <c r="I20" s="308"/>
      <c r="J20" s="308"/>
      <c r="K20" s="844">
        <v>0</v>
      </c>
      <c r="L20" s="844">
        <v>0</v>
      </c>
      <c r="M20" s="308">
        <f t="shared" si="0"/>
        <v>0</v>
      </c>
      <c r="N20" s="308"/>
      <c r="O20" s="844"/>
      <c r="P20" s="844"/>
      <c r="Q20" s="844"/>
      <c r="R20" s="844"/>
      <c r="S20" s="844"/>
      <c r="T20" s="24"/>
    </row>
    <row r="21" spans="2:20" ht="15.75" customHeight="1" x14ac:dyDescent="0.3">
      <c r="B21" s="95">
        <f t="shared" ref="B21:B26" si="3">+B20+1</f>
        <v>12</v>
      </c>
      <c r="C21" s="823" t="s">
        <v>821</v>
      </c>
      <c r="D21" s="308"/>
      <c r="E21" s="308"/>
      <c r="F21" s="308"/>
      <c r="G21" s="308"/>
      <c r="H21" s="308"/>
      <c r="I21" s="308"/>
      <c r="J21" s="308"/>
      <c r="K21" s="844"/>
      <c r="L21" s="844"/>
      <c r="M21" s="308">
        <f t="shared" si="0"/>
        <v>0</v>
      </c>
      <c r="N21" s="308"/>
      <c r="O21" s="844"/>
      <c r="P21" s="844"/>
      <c r="Q21" s="844"/>
      <c r="R21" s="844"/>
      <c r="S21" s="844"/>
      <c r="T21" s="24"/>
    </row>
    <row r="22" spans="2:20" s="11" customFormat="1" ht="67.5" customHeight="1" x14ac:dyDescent="0.3">
      <c r="B22" s="95">
        <f t="shared" si="3"/>
        <v>13</v>
      </c>
      <c r="C22" s="820" t="s">
        <v>805</v>
      </c>
      <c r="D22" s="308"/>
      <c r="E22" s="308">
        <v>1</v>
      </c>
      <c r="F22" s="308"/>
      <c r="G22" s="308"/>
      <c r="H22" s="308">
        <v>0.60836586031920203</v>
      </c>
      <c r="I22" s="308"/>
      <c r="J22" s="308"/>
      <c r="K22" s="844">
        <v>0.30418293015960102</v>
      </c>
      <c r="L22" s="844">
        <v>0.30418293015960102</v>
      </c>
      <c r="M22" s="308">
        <f>K22+L22</f>
        <v>0.60836586031920203</v>
      </c>
      <c r="N22" s="308"/>
      <c r="O22" s="844"/>
      <c r="P22" s="844"/>
      <c r="Q22" s="844"/>
      <c r="R22" s="844"/>
      <c r="S22" s="844"/>
      <c r="T22" s="119"/>
    </row>
    <row r="23" spans="2:20" s="11" customFormat="1" ht="15.75" customHeight="1" x14ac:dyDescent="0.3">
      <c r="B23" s="95">
        <f t="shared" si="3"/>
        <v>14</v>
      </c>
      <c r="C23" s="823" t="s">
        <v>802</v>
      </c>
      <c r="D23" s="308"/>
      <c r="E23" s="308">
        <v>1.32625681878877</v>
      </c>
      <c r="F23" s="308"/>
      <c r="G23" s="308"/>
      <c r="H23" s="308">
        <v>1.34957464761457</v>
      </c>
      <c r="I23" s="308"/>
      <c r="J23" s="308"/>
      <c r="K23" s="844">
        <v>0.67478732380728501</v>
      </c>
      <c r="L23" s="844">
        <v>0.67478732380728501</v>
      </c>
      <c r="M23" s="308">
        <f t="shared" ref="M23:M25" si="4">K23+L23</f>
        <v>1.34957464761457</v>
      </c>
      <c r="N23" s="308"/>
      <c r="O23" s="844"/>
      <c r="P23" s="844"/>
      <c r="Q23" s="844"/>
      <c r="R23" s="844"/>
      <c r="S23" s="844"/>
      <c r="T23" s="119"/>
    </row>
    <row r="24" spans="2:20" s="11" customFormat="1" ht="15.75" customHeight="1" x14ac:dyDescent="0.3">
      <c r="B24" s="95">
        <f t="shared" si="3"/>
        <v>15</v>
      </c>
      <c r="C24" s="823" t="s">
        <v>830</v>
      </c>
      <c r="D24" s="308"/>
      <c r="E24" s="308">
        <v>-0.19032506799999999</v>
      </c>
      <c r="F24" s="308"/>
      <c r="G24" s="308"/>
      <c r="H24" s="308">
        <v>0</v>
      </c>
      <c r="I24" s="308"/>
      <c r="J24" s="308"/>
      <c r="K24" s="844">
        <v>0</v>
      </c>
      <c r="L24" s="844">
        <v>0</v>
      </c>
      <c r="M24" s="308">
        <f t="shared" si="4"/>
        <v>0</v>
      </c>
      <c r="N24" s="308"/>
      <c r="O24" s="844"/>
      <c r="P24" s="844"/>
      <c r="Q24" s="844"/>
      <c r="R24" s="844"/>
      <c r="S24" s="844"/>
      <c r="T24" s="119"/>
    </row>
    <row r="25" spans="2:20" s="11" customFormat="1" ht="15.75" customHeight="1" x14ac:dyDescent="0.3">
      <c r="B25" s="95">
        <f t="shared" si="3"/>
        <v>16</v>
      </c>
      <c r="C25" s="823" t="s">
        <v>831</v>
      </c>
      <c r="D25" s="308"/>
      <c r="E25" s="308">
        <v>0</v>
      </c>
      <c r="F25" s="308"/>
      <c r="G25" s="308"/>
      <c r="H25" s="308">
        <v>0</v>
      </c>
      <c r="I25" s="308"/>
      <c r="J25" s="308"/>
      <c r="K25" s="844">
        <v>0</v>
      </c>
      <c r="L25" s="844">
        <v>0</v>
      </c>
      <c r="M25" s="308">
        <f t="shared" si="4"/>
        <v>0</v>
      </c>
      <c r="N25" s="308"/>
      <c r="O25" s="844"/>
      <c r="P25" s="844"/>
      <c r="Q25" s="844"/>
      <c r="R25" s="844"/>
      <c r="S25" s="844"/>
      <c r="T25" s="119"/>
    </row>
    <row r="26" spans="2:20" s="1" customFormat="1" x14ac:dyDescent="0.3">
      <c r="B26" s="95">
        <f t="shared" si="3"/>
        <v>17</v>
      </c>
      <c r="C26" s="824" t="s">
        <v>271</v>
      </c>
      <c r="D26" s="326">
        <v>30.893044635616437</v>
      </c>
      <c r="E26" s="326">
        <f>SUM(E10:E25)</f>
        <v>10.589452850788771</v>
      </c>
      <c r="F26" s="308">
        <f t="shared" ref="F26" si="5">E26-D26</f>
        <v>-20.303591784827667</v>
      </c>
      <c r="G26" s="851">
        <v>6.381133915946541</v>
      </c>
      <c r="H26" s="851">
        <f>SUM(H10:H25)</f>
        <v>6.8993160413161139</v>
      </c>
      <c r="I26" s="844">
        <f t="shared" ref="I26" si="6">H26-G26</f>
        <v>0.51818212536957287</v>
      </c>
      <c r="J26" s="851">
        <v>6.381133915946541</v>
      </c>
      <c r="K26" s="326">
        <f>SUM(K10:K25)</f>
        <v>3.4496580206580569</v>
      </c>
      <c r="L26" s="326">
        <f>SUM(L10:L25)</f>
        <v>3.4496580206580569</v>
      </c>
      <c r="M26" s="308">
        <f>K26+L26</f>
        <v>6.8993160413161139</v>
      </c>
      <c r="N26" s="308">
        <f>M26-J26</f>
        <v>0.51818212536957287</v>
      </c>
      <c r="O26" s="851">
        <v>6.8993160413161139</v>
      </c>
      <c r="P26" s="851">
        <v>6.8993160413161139</v>
      </c>
      <c r="Q26" s="851">
        <v>6.8993160413161139</v>
      </c>
      <c r="R26" s="851">
        <v>6.8993160413161139</v>
      </c>
      <c r="S26" s="851">
        <v>6.8993160413161139</v>
      </c>
      <c r="T26" s="24"/>
    </row>
    <row r="27" spans="2:20" s="1" customFormat="1" x14ac:dyDescent="0.3">
      <c r="B27" s="5"/>
      <c r="C27" s="36"/>
    </row>
    <row r="28" spans="2:20" x14ac:dyDescent="0.3">
      <c r="B28" s="7" t="s">
        <v>708</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B1:L31"/>
  <sheetViews>
    <sheetView showGridLines="0" view="pageLayout" zoomScaleNormal="75" zoomScaleSheetLayoutView="70" workbookViewId="0">
      <selection activeCell="F2" sqref="F2:F3"/>
    </sheetView>
  </sheetViews>
  <sheetFormatPr defaultColWidth="8.6328125" defaultRowHeight="14" x14ac:dyDescent="0.25"/>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x14ac:dyDescent="0.25">
      <c r="C1" s="1441"/>
      <c r="D1" s="1441"/>
      <c r="E1" s="1441"/>
    </row>
    <row r="2" spans="2:11" x14ac:dyDescent="0.25">
      <c r="C2" s="1441"/>
      <c r="D2" s="1441"/>
      <c r="E2" s="1441"/>
      <c r="F2" s="1439" t="str">
        <f>Index!B2</f>
        <v xml:space="preserve">      Maharashtra State Power Generation Company Ltd.</v>
      </c>
      <c r="G2" s="1439"/>
    </row>
    <row r="3" spans="2:11" x14ac:dyDescent="0.25">
      <c r="C3" s="1441"/>
      <c r="D3" s="1441"/>
      <c r="E3" s="1441"/>
      <c r="F3" s="1439" t="str">
        <f>Index!B3</f>
        <v>MYT Petition Formats for Chandrapur Unit 3-7</v>
      </c>
      <c r="G3" s="1440"/>
    </row>
    <row r="4" spans="2:11" x14ac:dyDescent="0.3">
      <c r="C4" s="1441"/>
      <c r="D4" s="1441"/>
      <c r="E4" s="1441"/>
      <c r="F4" s="130" t="s">
        <v>2257</v>
      </c>
      <c r="G4" s="130"/>
    </row>
    <row r="6" spans="2:11" ht="28" x14ac:dyDescent="0.25">
      <c r="B6" s="1437" t="s">
        <v>340</v>
      </c>
      <c r="C6" s="1437" t="s">
        <v>37</v>
      </c>
      <c r="D6" s="1438" t="s">
        <v>605</v>
      </c>
      <c r="E6" s="1438" t="s">
        <v>506</v>
      </c>
      <c r="F6" s="1438" t="s">
        <v>507</v>
      </c>
      <c r="G6" s="1437" t="s">
        <v>2258</v>
      </c>
    </row>
    <row r="7" spans="2:11" x14ac:dyDescent="0.25">
      <c r="B7" s="99">
        <v>1</v>
      </c>
      <c r="C7" s="1442" t="s">
        <v>606</v>
      </c>
      <c r="D7" s="1443" t="s">
        <v>81</v>
      </c>
      <c r="E7" s="24"/>
      <c r="F7" s="24"/>
      <c r="G7" s="24"/>
    </row>
    <row r="8" spans="2:11" x14ac:dyDescent="0.25">
      <c r="B8" s="99">
        <f>B7+1</f>
        <v>2</v>
      </c>
      <c r="C8" s="1442" t="s">
        <v>552</v>
      </c>
      <c r="D8" s="1443" t="s">
        <v>82</v>
      </c>
      <c r="E8" s="24"/>
      <c r="F8" s="24"/>
      <c r="G8" s="24"/>
    </row>
    <row r="9" spans="2:11" x14ac:dyDescent="0.25">
      <c r="B9" s="99">
        <f>B8+1</f>
        <v>3</v>
      </c>
      <c r="C9" s="1442" t="s">
        <v>2259</v>
      </c>
      <c r="D9" s="1443" t="s">
        <v>554</v>
      </c>
      <c r="E9" s="24"/>
      <c r="F9" s="24"/>
      <c r="G9" s="24"/>
    </row>
    <row r="10" spans="2:11" x14ac:dyDescent="0.25">
      <c r="B10" s="99"/>
      <c r="C10" s="1444"/>
      <c r="D10" s="1444"/>
      <c r="E10" s="24"/>
      <c r="F10" s="24"/>
      <c r="G10" s="24"/>
    </row>
    <row r="11" spans="2:11" x14ac:dyDescent="0.25">
      <c r="B11" s="99">
        <v>4</v>
      </c>
      <c r="C11" s="1442" t="s">
        <v>607</v>
      </c>
      <c r="D11" s="1443" t="s">
        <v>391</v>
      </c>
      <c r="E11" s="24"/>
      <c r="F11" s="24"/>
      <c r="G11" s="24"/>
    </row>
    <row r="12" spans="2:11" x14ac:dyDescent="0.25">
      <c r="B12" s="99">
        <v>5</v>
      </c>
      <c r="C12" s="1442" t="s">
        <v>727</v>
      </c>
      <c r="D12" s="1443" t="s">
        <v>392</v>
      </c>
      <c r="E12" s="24"/>
      <c r="F12" s="24"/>
      <c r="G12" s="24"/>
    </row>
    <row r="13" spans="2:11" x14ac:dyDescent="0.25">
      <c r="B13" s="99">
        <v>6</v>
      </c>
      <c r="C13" s="1442" t="s">
        <v>728</v>
      </c>
      <c r="D13" s="1443" t="s">
        <v>729</v>
      </c>
      <c r="E13" s="24"/>
      <c r="F13" s="24"/>
      <c r="G13" s="24"/>
    </row>
    <row r="14" spans="2:11" x14ac:dyDescent="0.25">
      <c r="B14" s="99">
        <v>7</v>
      </c>
      <c r="C14" s="1444" t="s">
        <v>553</v>
      </c>
      <c r="D14" s="1445" t="s">
        <v>730</v>
      </c>
      <c r="E14" s="24"/>
      <c r="F14" s="24"/>
      <c r="G14" s="24"/>
    </row>
    <row r="15" spans="2:11" x14ac:dyDescent="0.25">
      <c r="C15" s="1446"/>
      <c r="D15" s="1447"/>
    </row>
    <row r="16" spans="2:11" ht="49.65" customHeight="1" x14ac:dyDescent="0.25">
      <c r="C16" s="1859" t="s">
        <v>2260</v>
      </c>
      <c r="D16" s="1859"/>
      <c r="E16" s="1859"/>
      <c r="F16" s="1859"/>
      <c r="G16" s="1859"/>
      <c r="H16" s="1859"/>
      <c r="I16" s="1859"/>
      <c r="J16" s="1859"/>
      <c r="K16" s="1859"/>
    </row>
    <row r="17" spans="2:12" x14ac:dyDescent="0.25">
      <c r="C17" s="14" t="s">
        <v>2261</v>
      </c>
    </row>
    <row r="18" spans="2:12" x14ac:dyDescent="0.25">
      <c r="C18" s="14" t="s">
        <v>2262</v>
      </c>
    </row>
    <row r="20" spans="2:12" x14ac:dyDescent="0.25">
      <c r="C20" s="1448"/>
      <c r="D20" s="1448"/>
      <c r="E20" s="1448"/>
      <c r="F20" s="1449"/>
      <c r="G20" s="1449"/>
      <c r="H20" s="1449"/>
      <c r="I20" s="1449"/>
      <c r="J20" s="1449"/>
      <c r="K20" s="1449"/>
      <c r="L20" s="1449"/>
    </row>
    <row r="22" spans="2:12" x14ac:dyDescent="0.25">
      <c r="B22" s="1873" t="s">
        <v>2263</v>
      </c>
      <c r="C22" s="1873"/>
      <c r="D22" s="1873"/>
      <c r="E22" s="1873"/>
      <c r="F22" s="1873"/>
      <c r="G22" s="1873"/>
      <c r="H22" s="1873"/>
      <c r="I22" s="1873"/>
      <c r="J22" s="218"/>
      <c r="K22" s="218"/>
    </row>
    <row r="23" spans="2:12" x14ac:dyDescent="0.25">
      <c r="B23" s="14"/>
    </row>
    <row r="24" spans="2:12" ht="28" x14ac:dyDescent="0.25">
      <c r="B24" s="1437" t="s">
        <v>340</v>
      </c>
      <c r="C24" s="1437" t="s">
        <v>37</v>
      </c>
      <c r="D24" s="1438" t="s">
        <v>605</v>
      </c>
      <c r="E24" s="1438" t="s">
        <v>969</v>
      </c>
      <c r="F24" s="1438" t="s">
        <v>970</v>
      </c>
      <c r="G24" s="1437" t="s">
        <v>971</v>
      </c>
      <c r="H24" s="1437" t="s">
        <v>972</v>
      </c>
      <c r="I24" s="1437" t="s">
        <v>973</v>
      </c>
    </row>
    <row r="25" spans="2:12" x14ac:dyDescent="0.25">
      <c r="B25" s="99">
        <v>1</v>
      </c>
      <c r="C25" s="1442" t="s">
        <v>2264</v>
      </c>
      <c r="D25" s="1443" t="s">
        <v>81</v>
      </c>
      <c r="E25" s="1442"/>
      <c r="F25" s="1450"/>
      <c r="G25" s="1450"/>
      <c r="H25" s="1442"/>
      <c r="I25" s="1450"/>
    </row>
    <row r="26" spans="2:12" x14ac:dyDescent="0.25">
      <c r="B26" s="99"/>
      <c r="C26" s="1444"/>
      <c r="D26" s="1444"/>
      <c r="E26" s="1442"/>
      <c r="F26" s="1450"/>
      <c r="G26" s="1450"/>
      <c r="H26" s="1442"/>
      <c r="I26" s="1450"/>
    </row>
    <row r="27" spans="2:12" x14ac:dyDescent="0.25">
      <c r="B27" s="99">
        <v>2</v>
      </c>
      <c r="C27" s="1442" t="s">
        <v>2265</v>
      </c>
      <c r="D27" s="1443" t="s">
        <v>82</v>
      </c>
      <c r="E27" s="1442"/>
      <c r="F27" s="1450"/>
      <c r="G27" s="1450"/>
      <c r="H27" s="1442"/>
      <c r="I27" s="1450"/>
    </row>
    <row r="28" spans="2:12" x14ac:dyDescent="0.25">
      <c r="B28" s="99">
        <v>3</v>
      </c>
      <c r="C28" s="1444" t="s">
        <v>553</v>
      </c>
      <c r="D28" s="1445" t="s">
        <v>2266</v>
      </c>
      <c r="E28" s="1444"/>
      <c r="F28" s="1451"/>
      <c r="G28" s="1451"/>
      <c r="H28" s="1444"/>
      <c r="I28" s="1451"/>
    </row>
    <row r="29" spans="2:12" ht="29.4" customHeight="1" x14ac:dyDescent="0.25">
      <c r="B29" s="14"/>
      <c r="C29" s="1449"/>
    </row>
    <row r="30" spans="2:12" ht="43.65" customHeight="1" x14ac:dyDescent="0.25">
      <c r="B30" s="14"/>
      <c r="C30" s="1874" t="s">
        <v>2267</v>
      </c>
      <c r="D30" s="1859"/>
      <c r="E30" s="1859"/>
      <c r="F30" s="1859"/>
      <c r="G30" s="1859"/>
      <c r="H30" s="1859"/>
      <c r="I30" s="1859"/>
      <c r="J30" s="1859"/>
      <c r="K30" s="1859"/>
    </row>
    <row r="31" spans="2:12" x14ac:dyDescent="0.25">
      <c r="B31" s="14"/>
      <c r="C31" s="14" t="s">
        <v>2268</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
    <pageSetUpPr fitToPage="1"/>
  </sheetPr>
  <dimension ref="B1:R89"/>
  <sheetViews>
    <sheetView showGridLines="0" view="pageBreakPreview" zoomScale="75" zoomScaleNormal="75" zoomScaleSheetLayoutView="75" workbookViewId="0">
      <selection activeCell="M11" sqref="M11"/>
    </sheetView>
  </sheetViews>
  <sheetFormatPr defaultColWidth="9.36328125" defaultRowHeight="14" x14ac:dyDescent="0.25"/>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3" style="14" customWidth="1"/>
    <col min="14" max="14" width="11" style="14" customWidth="1"/>
    <col min="15" max="15" width="49.6328125" style="14" customWidth="1"/>
    <col min="16" max="16" width="16" style="14" customWidth="1"/>
    <col min="17" max="16384" width="9.36328125" style="14"/>
  </cols>
  <sheetData>
    <row r="1" spans="2:16" x14ac:dyDescent="0.25">
      <c r="C1" s="80"/>
    </row>
    <row r="2" spans="2:16" ht="15.65" customHeight="1" x14ac:dyDescent="0.25">
      <c r="B2" s="1657" t="str">
        <f>Index!B2</f>
        <v xml:space="preserve">      Maharashtra State Power Generation Company Ltd.</v>
      </c>
      <c r="C2" s="1657"/>
      <c r="D2" s="1657"/>
      <c r="E2" s="1657"/>
      <c r="F2" s="1657"/>
      <c r="G2" s="1657"/>
      <c r="H2" s="1657"/>
      <c r="I2" s="1657"/>
      <c r="J2" s="1657"/>
      <c r="K2" s="1657"/>
      <c r="L2" s="1657"/>
      <c r="M2" s="33"/>
      <c r="N2" s="33"/>
      <c r="O2" s="33"/>
      <c r="P2" s="33"/>
    </row>
    <row r="3" spans="2:16" s="5" customFormat="1" ht="15.65" customHeight="1" x14ac:dyDescent="0.3">
      <c r="B3" s="1657" t="str">
        <f>Index!B3</f>
        <v>MYT Petition Formats for Chandrapur Unit 3-7</v>
      </c>
      <c r="C3" s="1657"/>
      <c r="D3" s="1657"/>
      <c r="E3" s="1657"/>
      <c r="F3" s="1657"/>
      <c r="G3" s="1657"/>
      <c r="H3" s="1657"/>
      <c r="I3" s="1657"/>
      <c r="J3" s="1657"/>
      <c r="K3" s="1657"/>
      <c r="L3" s="1657"/>
      <c r="M3" s="36"/>
      <c r="N3" s="36"/>
      <c r="O3" s="36"/>
      <c r="P3" s="35"/>
    </row>
    <row r="4" spans="2:16" s="5" customFormat="1" ht="15.65" customHeight="1" x14ac:dyDescent="0.3">
      <c r="B4" s="1875" t="s">
        <v>350</v>
      </c>
      <c r="C4" s="1875"/>
      <c r="D4" s="1875"/>
      <c r="E4" s="1875"/>
      <c r="F4" s="1875"/>
      <c r="G4" s="1875"/>
      <c r="H4" s="1875"/>
      <c r="I4" s="1875"/>
      <c r="J4" s="1875"/>
      <c r="K4" s="1875"/>
      <c r="L4" s="1875"/>
      <c r="M4" s="81"/>
      <c r="N4" s="81"/>
      <c r="O4" s="81"/>
      <c r="P4" s="81"/>
    </row>
    <row r="5" spans="2:16" x14ac:dyDescent="0.25">
      <c r="B5" s="33"/>
      <c r="C5" s="33"/>
      <c r="D5" s="33"/>
      <c r="E5" s="33"/>
      <c r="F5" s="33"/>
      <c r="G5" s="33"/>
      <c r="H5" s="33"/>
      <c r="I5" s="33"/>
      <c r="J5" s="33"/>
      <c r="K5" s="33"/>
      <c r="L5" s="33"/>
      <c r="M5" s="33"/>
      <c r="N5" s="33"/>
      <c r="O5" s="33"/>
      <c r="P5" s="33"/>
    </row>
    <row r="6" spans="2:16" x14ac:dyDescent="0.25">
      <c r="B6" s="82" t="s">
        <v>506</v>
      </c>
      <c r="M6" s="33"/>
      <c r="N6" s="33"/>
      <c r="O6" s="33"/>
      <c r="P6" s="33"/>
    </row>
    <row r="7" spans="2:16" x14ac:dyDescent="0.25">
      <c r="K7" s="21"/>
      <c r="L7" s="21" t="s">
        <v>10</v>
      </c>
      <c r="M7" s="33"/>
      <c r="N7" s="33"/>
    </row>
    <row r="8" spans="2:16" ht="42" x14ac:dyDescent="0.25">
      <c r="B8" s="186" t="s">
        <v>340</v>
      </c>
      <c r="C8" s="187" t="s">
        <v>37</v>
      </c>
      <c r="D8" s="307" t="s">
        <v>961</v>
      </c>
      <c r="E8" s="230" t="s">
        <v>799</v>
      </c>
      <c r="F8" s="230" t="s">
        <v>304</v>
      </c>
      <c r="G8" s="307" t="s">
        <v>771</v>
      </c>
      <c r="H8" s="307" t="s">
        <v>772</v>
      </c>
      <c r="I8" s="230" t="s">
        <v>408</v>
      </c>
      <c r="J8" s="230" t="s">
        <v>305</v>
      </c>
      <c r="K8" s="230" t="s">
        <v>306</v>
      </c>
      <c r="L8" s="230" t="s">
        <v>485</v>
      </c>
      <c r="M8" s="33"/>
      <c r="N8" s="33"/>
    </row>
    <row r="9" spans="2:16" x14ac:dyDescent="0.25">
      <c r="B9" s="24"/>
      <c r="C9" s="24"/>
      <c r="D9" s="24" t="s">
        <v>352</v>
      </c>
      <c r="E9" s="24" t="s">
        <v>353</v>
      </c>
      <c r="F9" s="24" t="s">
        <v>773</v>
      </c>
      <c r="G9" s="24" t="s">
        <v>774</v>
      </c>
      <c r="H9" s="24"/>
      <c r="I9" s="24"/>
      <c r="J9" s="24"/>
      <c r="K9" s="24"/>
      <c r="L9" s="24"/>
      <c r="M9" s="33"/>
      <c r="N9" s="33"/>
    </row>
    <row r="10" spans="2:16" x14ac:dyDescent="0.25">
      <c r="B10" s="238">
        <v>1</v>
      </c>
      <c r="C10" s="119" t="s">
        <v>83</v>
      </c>
      <c r="D10" s="497">
        <f>'F1'!F11</f>
        <v>3319.9257524513064</v>
      </c>
      <c r="E10" s="498">
        <f>'F1'!G11</f>
        <v>3858.2805012922345</v>
      </c>
      <c r="F10" s="497">
        <f>E10-D10</f>
        <v>538.3547488409281</v>
      </c>
      <c r="G10" s="497">
        <f>E10-D10</f>
        <v>538.3547488409281</v>
      </c>
      <c r="H10" s="499">
        <f>IF(G10&lt;0,2/3,1/3)*G10</f>
        <v>179.45158294697603</v>
      </c>
      <c r="I10" s="241"/>
      <c r="J10" s="241"/>
      <c r="K10" s="241"/>
      <c r="L10" s="320">
        <f>D10+H10</f>
        <v>3499.3773353982824</v>
      </c>
      <c r="M10" s="33"/>
      <c r="N10" s="33"/>
    </row>
    <row r="11" spans="2:16" x14ac:dyDescent="0.25">
      <c r="B11" s="238">
        <v>2</v>
      </c>
      <c r="C11" s="119" t="s">
        <v>956</v>
      </c>
      <c r="D11" s="339">
        <f>'F3'!F17-D12</f>
        <v>632.73565248250213</v>
      </c>
      <c r="E11" s="492">
        <f>'F3'!G17-E12</f>
        <v>712.88032069679684</v>
      </c>
      <c r="F11" s="497">
        <f>E11-D11</f>
        <v>80.144668214294711</v>
      </c>
      <c r="G11" s="497">
        <f>E11-D11</f>
        <v>80.144668214294711</v>
      </c>
      <c r="H11" s="499">
        <f>IF(G11&lt;0,2/3,1/3)*G11</f>
        <v>26.714889404764904</v>
      </c>
      <c r="I11" s="119"/>
      <c r="J11" s="119"/>
      <c r="K11" s="119"/>
      <c r="L11" s="320">
        <f>D11+H11</f>
        <v>659.45054188726704</v>
      </c>
      <c r="M11" s="616"/>
      <c r="N11" s="33"/>
    </row>
    <row r="12" spans="2:16" x14ac:dyDescent="0.25">
      <c r="B12" s="238"/>
      <c r="C12" s="119" t="s">
        <v>903</v>
      </c>
      <c r="D12" s="492">
        <f>'F3'!F14</f>
        <v>0</v>
      </c>
      <c r="E12" s="492">
        <f>'F3'!G14</f>
        <v>0</v>
      </c>
      <c r="F12" s="497">
        <f>E12-D12</f>
        <v>0</v>
      </c>
      <c r="G12" s="497">
        <f>E12-D12</f>
        <v>0</v>
      </c>
      <c r="H12" s="499"/>
      <c r="I12" s="119"/>
      <c r="J12" s="119"/>
      <c r="K12" s="119"/>
      <c r="L12" s="320">
        <f>D12+H12</f>
        <v>0</v>
      </c>
      <c r="M12" s="617"/>
      <c r="N12" s="33"/>
    </row>
    <row r="13" spans="2:16" x14ac:dyDescent="0.25">
      <c r="B13" s="238"/>
      <c r="C13" s="119" t="s">
        <v>904</v>
      </c>
      <c r="D13" s="339">
        <f>E13</f>
        <v>16.4128319</v>
      </c>
      <c r="E13" s="492">
        <f>'F3.1'!E27</f>
        <v>16.4128319</v>
      </c>
      <c r="F13" s="497"/>
      <c r="G13" s="497"/>
      <c r="H13" s="499"/>
      <c r="I13" s="119"/>
      <c r="J13" s="119"/>
      <c r="K13" s="119"/>
      <c r="L13" s="320">
        <f>E13</f>
        <v>16.4128319</v>
      </c>
      <c r="M13" s="33"/>
      <c r="N13" s="33"/>
      <c r="O13" s="33"/>
      <c r="P13" s="33"/>
    </row>
    <row r="14" spans="2:16" x14ac:dyDescent="0.25">
      <c r="B14" s="238">
        <v>3</v>
      </c>
      <c r="C14" s="120" t="s">
        <v>85</v>
      </c>
      <c r="D14" s="339">
        <f>SUM('F1'!$F$15:$F$16)</f>
        <v>78.278283330339974</v>
      </c>
      <c r="E14" s="339">
        <f>SUM('F1'!$G$15:$G$16)</f>
        <v>78.278283330339974</v>
      </c>
      <c r="F14" s="497">
        <f>E14-D14</f>
        <v>0</v>
      </c>
      <c r="G14" s="497">
        <f t="shared" ref="G14:G23" si="0">E14-D14</f>
        <v>0</v>
      </c>
      <c r="H14" s="119"/>
      <c r="I14" s="119"/>
      <c r="J14" s="119"/>
      <c r="K14" s="119"/>
      <c r="L14" s="320">
        <f>E14</f>
        <v>78.278283330339974</v>
      </c>
      <c r="M14" s="33"/>
      <c r="N14" s="33"/>
      <c r="O14" s="33"/>
      <c r="P14" s="33"/>
    </row>
    <row r="15" spans="2:16" x14ac:dyDescent="0.25">
      <c r="B15" s="238">
        <v>4</v>
      </c>
      <c r="C15" s="119" t="s">
        <v>86</v>
      </c>
      <c r="D15" s="492">
        <f>SUM('F1'!F17:F18)</f>
        <v>63.654822250767019</v>
      </c>
      <c r="E15" s="492">
        <f>SUM('F1'!G17:G18)</f>
        <v>63.654822250767019</v>
      </c>
      <c r="F15" s="497">
        <f>E15-D15</f>
        <v>0</v>
      </c>
      <c r="G15" s="497">
        <f t="shared" si="0"/>
        <v>0</v>
      </c>
      <c r="H15" s="119"/>
      <c r="I15" s="119"/>
      <c r="J15" s="119"/>
      <c r="K15" s="119"/>
      <c r="L15" s="320">
        <f>E15</f>
        <v>63.654822250767019</v>
      </c>
      <c r="M15" s="33"/>
      <c r="N15" s="33"/>
      <c r="O15" s="33"/>
      <c r="P15" s="33"/>
    </row>
    <row r="16" spans="2:16" x14ac:dyDescent="0.25">
      <c r="B16" s="238">
        <v>5</v>
      </c>
      <c r="C16" s="502" t="s">
        <v>87</v>
      </c>
      <c r="D16" s="492">
        <f>SUM('F1'!F19:F20)</f>
        <v>111.37855367554943</v>
      </c>
      <c r="E16" s="492">
        <f>SUM('F1'!G19:G20)</f>
        <v>215.59555157145701</v>
      </c>
      <c r="F16" s="497">
        <f>E16-D16</f>
        <v>104.21699789590758</v>
      </c>
      <c r="G16" s="497">
        <f t="shared" si="0"/>
        <v>104.21699789590758</v>
      </c>
      <c r="H16" s="499">
        <f>IF(G16&lt;0,2/3,1/3)*G16</f>
        <v>34.738999298635861</v>
      </c>
      <c r="I16" s="119"/>
      <c r="J16" s="119"/>
      <c r="K16" s="119"/>
      <c r="L16" s="320">
        <f>D16+H16</f>
        <v>146.11755297418529</v>
      </c>
      <c r="M16" s="33"/>
      <c r="N16" s="33"/>
      <c r="O16" s="33"/>
      <c r="P16" s="33"/>
    </row>
    <row r="17" spans="2:18" x14ac:dyDescent="0.25">
      <c r="B17" s="238">
        <v>6</v>
      </c>
      <c r="C17" s="120" t="s">
        <v>88</v>
      </c>
      <c r="D17" s="339">
        <f>'F1'!F21</f>
        <v>56.683833049239333</v>
      </c>
      <c r="E17" s="492">
        <f>'F1'!G21</f>
        <v>56.683833049239333</v>
      </c>
      <c r="F17" s="497">
        <f>E17-D17</f>
        <v>0</v>
      </c>
      <c r="G17" s="497">
        <f t="shared" si="0"/>
        <v>0</v>
      </c>
      <c r="H17" s="119"/>
      <c r="I17" s="119"/>
      <c r="J17" s="119"/>
      <c r="K17" s="119"/>
      <c r="L17" s="320">
        <f>E17</f>
        <v>56.683833049239333</v>
      </c>
      <c r="M17" s="33"/>
      <c r="N17" s="33"/>
      <c r="O17" s="33"/>
      <c r="P17" s="33"/>
    </row>
    <row r="18" spans="2:18" x14ac:dyDescent="0.25">
      <c r="B18" s="238">
        <v>7</v>
      </c>
      <c r="C18" s="119" t="s">
        <v>89</v>
      </c>
      <c r="D18" s="339">
        <f>'F1'!F22</f>
        <v>0</v>
      </c>
      <c r="E18" s="492">
        <f>'F1'!G22</f>
        <v>0</v>
      </c>
      <c r="F18" s="497">
        <f>E18-D18</f>
        <v>0</v>
      </c>
      <c r="G18" s="497">
        <f t="shared" si="0"/>
        <v>0</v>
      </c>
      <c r="H18" s="119"/>
      <c r="I18" s="119"/>
      <c r="J18" s="119"/>
      <c r="K18" s="119"/>
      <c r="L18" s="320">
        <f>E18</f>
        <v>0</v>
      </c>
      <c r="M18" s="33"/>
      <c r="N18" s="33"/>
      <c r="O18" s="33"/>
      <c r="P18" s="33"/>
    </row>
    <row r="19" spans="2:18" x14ac:dyDescent="0.25">
      <c r="B19" s="238"/>
      <c r="C19" s="119"/>
      <c r="D19" s="119"/>
      <c r="E19" s="492"/>
      <c r="F19" s="497"/>
      <c r="G19" s="497">
        <f t="shared" si="0"/>
        <v>0</v>
      </c>
      <c r="H19" s="119"/>
      <c r="I19" s="119"/>
      <c r="J19" s="119"/>
      <c r="K19" s="119"/>
      <c r="L19" s="320"/>
      <c r="M19" s="33"/>
      <c r="N19" s="33"/>
      <c r="O19" s="33"/>
      <c r="P19" s="33"/>
      <c r="Q19" s="606"/>
    </row>
    <row r="20" spans="2:18" x14ac:dyDescent="0.25">
      <c r="B20" s="315">
        <v>8</v>
      </c>
      <c r="C20" s="241" t="s">
        <v>90</v>
      </c>
      <c r="D20" s="497">
        <f>SUM(D10:D19)</f>
        <v>4279.0697291397046</v>
      </c>
      <c r="E20" s="498">
        <f>SUM(E10:E19)</f>
        <v>5001.7861440908346</v>
      </c>
      <c r="F20" s="497">
        <f>E20-D20</f>
        <v>722.71641495112999</v>
      </c>
      <c r="G20" s="497">
        <f t="shared" si="0"/>
        <v>722.71641495112999</v>
      </c>
      <c r="H20" s="241"/>
      <c r="I20" s="241"/>
      <c r="J20" s="241"/>
      <c r="K20" s="241"/>
      <c r="L20" s="362">
        <f>SUM(L10:L19)</f>
        <v>4519.9752007900806</v>
      </c>
      <c r="M20" s="188"/>
      <c r="N20" s="33"/>
      <c r="O20" s="33"/>
      <c r="P20" s="33"/>
    </row>
    <row r="21" spans="2:18" x14ac:dyDescent="0.25">
      <c r="B21" s="238">
        <v>9</v>
      </c>
      <c r="C21" s="119" t="s">
        <v>91</v>
      </c>
      <c r="D21" s="492">
        <f>SUM('F1'!F24:F25)</f>
        <v>130.52858689614428</v>
      </c>
      <c r="E21" s="492">
        <f>SUM('F1'!G24:G25)</f>
        <v>130.52858689614428</v>
      </c>
      <c r="F21" s="497">
        <f>E21-D21</f>
        <v>0</v>
      </c>
      <c r="G21" s="497">
        <f t="shared" si="0"/>
        <v>0</v>
      </c>
      <c r="H21" s="241"/>
      <c r="I21" s="241"/>
      <c r="J21" s="241"/>
      <c r="K21" s="241"/>
      <c r="L21" s="320">
        <f>E21</f>
        <v>130.52858689614428</v>
      </c>
      <c r="M21" s="33"/>
      <c r="N21" s="33"/>
      <c r="O21" s="33"/>
      <c r="P21" s="33"/>
    </row>
    <row r="22" spans="2:18" x14ac:dyDescent="0.25">
      <c r="B22" s="238">
        <v>10</v>
      </c>
      <c r="C22" s="119" t="s">
        <v>92</v>
      </c>
      <c r="D22" s="339">
        <f>'F1'!F26</f>
        <v>10.589452850788771</v>
      </c>
      <c r="E22" s="492">
        <f>'F1'!G26</f>
        <v>10.589452850788771</v>
      </c>
      <c r="F22" s="497">
        <f>E22-D22</f>
        <v>0</v>
      </c>
      <c r="G22" s="497">
        <f t="shared" si="0"/>
        <v>0</v>
      </c>
      <c r="H22" s="119"/>
      <c r="I22" s="119"/>
      <c r="J22" s="119"/>
      <c r="K22" s="119"/>
      <c r="L22" s="320">
        <f>E22</f>
        <v>10.589452850788771</v>
      </c>
      <c r="M22" s="33"/>
      <c r="N22" s="33"/>
      <c r="O22" s="33"/>
      <c r="P22" s="33"/>
    </row>
    <row r="23" spans="2:18" x14ac:dyDescent="0.25">
      <c r="B23" s="315">
        <v>11</v>
      </c>
      <c r="C23" s="241" t="s">
        <v>93</v>
      </c>
      <c r="D23" s="497">
        <f>D20+D21-D22</f>
        <v>4399.0088631850604</v>
      </c>
      <c r="E23" s="498">
        <f>E20+E21-E22</f>
        <v>5121.7252781361904</v>
      </c>
      <c r="F23" s="497">
        <f>E23-D23</f>
        <v>722.71641495112999</v>
      </c>
      <c r="G23" s="497">
        <f t="shared" si="0"/>
        <v>722.71641495112999</v>
      </c>
      <c r="H23" s="241"/>
      <c r="I23" s="241"/>
      <c r="J23" s="241"/>
      <c r="K23" s="241"/>
      <c r="L23" s="362">
        <f>L20+L21-L22</f>
        <v>4639.9143348354364</v>
      </c>
      <c r="M23" s="1314"/>
      <c r="N23" s="33"/>
      <c r="O23" s="33"/>
      <c r="P23" s="33"/>
    </row>
    <row r="24" spans="2:18" ht="15.5" x14ac:dyDescent="0.25">
      <c r="B24" s="238">
        <v>12</v>
      </c>
      <c r="C24" s="829" t="s">
        <v>918</v>
      </c>
      <c r="D24" s="339">
        <v>137.42804593665949</v>
      </c>
      <c r="E24" s="492">
        <f>'AFC Reduction and AEC loss'!D8</f>
        <v>370.23166846998265</v>
      </c>
      <c r="F24" s="497"/>
      <c r="G24" s="497"/>
      <c r="H24" s="241"/>
      <c r="I24" s="241"/>
      <c r="J24" s="241"/>
      <c r="K24" s="241"/>
      <c r="L24" s="492">
        <f>E24</f>
        <v>370.23166846998265</v>
      </c>
      <c r="M24" s="33"/>
      <c r="N24" s="33"/>
      <c r="O24" s="33"/>
      <c r="P24" s="33"/>
    </row>
    <row r="25" spans="2:18" ht="15" x14ac:dyDescent="0.25">
      <c r="B25" s="315" t="s">
        <v>172</v>
      </c>
      <c r="C25" s="830" t="s">
        <v>1052</v>
      </c>
      <c r="D25" s="497"/>
      <c r="E25" s="498"/>
      <c r="F25" s="497"/>
      <c r="G25" s="497"/>
      <c r="H25" s="241"/>
      <c r="I25" s="241"/>
      <c r="J25" s="241"/>
      <c r="K25" s="241"/>
      <c r="L25" s="498">
        <f>L23-L24</f>
        <v>4269.6826663654538</v>
      </c>
      <c r="M25" s="33"/>
      <c r="N25" s="33"/>
      <c r="O25" s="33"/>
      <c r="P25" s="33"/>
    </row>
    <row r="26" spans="2:18" x14ac:dyDescent="0.25">
      <c r="B26" s="315"/>
      <c r="C26" s="241"/>
      <c r="D26" s="497"/>
      <c r="E26" s="498"/>
      <c r="F26" s="497"/>
      <c r="G26" s="497"/>
      <c r="H26" s="241"/>
      <c r="I26" s="241"/>
      <c r="J26" s="241"/>
      <c r="K26" s="241"/>
      <c r="L26" s="362"/>
      <c r="M26" s="33"/>
      <c r="N26" s="33"/>
      <c r="O26" s="33"/>
      <c r="P26" s="33"/>
    </row>
    <row r="27" spans="2:18" x14ac:dyDescent="0.25">
      <c r="B27" s="500" t="s">
        <v>185</v>
      </c>
      <c r="C27" s="501" t="s">
        <v>307</v>
      </c>
      <c r="D27" s="241"/>
      <c r="E27" s="498"/>
      <c r="F27" s="241"/>
      <c r="G27" s="241"/>
      <c r="H27" s="241"/>
      <c r="I27" s="241"/>
      <c r="J27" s="241"/>
      <c r="K27" s="241"/>
      <c r="L27" s="320"/>
      <c r="M27" s="33"/>
      <c r="N27" s="33"/>
      <c r="O27" s="33"/>
      <c r="P27" s="33"/>
    </row>
    <row r="28" spans="2:18" x14ac:dyDescent="0.25">
      <c r="B28" s="452">
        <v>11</v>
      </c>
      <c r="C28" s="120" t="s">
        <v>308</v>
      </c>
      <c r="D28" s="119"/>
      <c r="E28" s="492">
        <f>'F9'!N13</f>
        <v>3798.3835536134006</v>
      </c>
      <c r="F28" s="497">
        <f>E28-D28</f>
        <v>3798.3835536134006</v>
      </c>
      <c r="G28" s="497">
        <f>E28-D28</f>
        <v>3798.3835536134006</v>
      </c>
      <c r="H28" s="119"/>
      <c r="I28" s="119"/>
      <c r="J28" s="119"/>
      <c r="K28" s="119"/>
      <c r="L28" s="320">
        <f>E28</f>
        <v>3798.3835536134006</v>
      </c>
      <c r="M28" s="33"/>
      <c r="N28" s="33"/>
      <c r="O28" s="33"/>
      <c r="P28" s="33"/>
    </row>
    <row r="29" spans="2:18" x14ac:dyDescent="0.25">
      <c r="B29" s="452">
        <f>B28+1</f>
        <v>12</v>
      </c>
      <c r="C29" s="120" t="s">
        <v>901</v>
      </c>
      <c r="D29" s="119"/>
      <c r="E29" s="119"/>
      <c r="F29" s="119"/>
      <c r="G29" s="339">
        <f>'AFC Reduction and AEC loss'!$O$46</f>
        <v>63.087657088804306</v>
      </c>
      <c r="H29" s="499">
        <f>IF(G29&lt;0,2/3,1/3)*G29</f>
        <v>21.029219029601435</v>
      </c>
      <c r="I29" s="119"/>
      <c r="J29" s="119"/>
      <c r="K29" s="119"/>
      <c r="L29" s="320">
        <f>H29</f>
        <v>21.029219029601435</v>
      </c>
      <c r="M29" s="33"/>
      <c r="N29" s="33"/>
      <c r="O29" s="33"/>
      <c r="P29" s="33"/>
    </row>
    <row r="30" spans="2:18" x14ac:dyDescent="0.25">
      <c r="B30" s="452">
        <f>B29+1</f>
        <v>13</v>
      </c>
      <c r="C30" s="501" t="s">
        <v>902</v>
      </c>
      <c r="D30" s="119"/>
      <c r="E30" s="119"/>
      <c r="F30" s="119"/>
      <c r="G30" s="119"/>
      <c r="H30" s="119"/>
      <c r="I30" s="119"/>
      <c r="J30" s="119"/>
      <c r="K30" s="119"/>
      <c r="L30" s="362">
        <f>SUM(L28:L29)</f>
        <v>3819.412772643002</v>
      </c>
      <c r="M30" s="1315">
        <v>0</v>
      </c>
      <c r="N30" s="33"/>
      <c r="O30" s="33"/>
      <c r="P30" s="33"/>
    </row>
    <row r="31" spans="2:18" x14ac:dyDescent="0.25">
      <c r="B31" s="500" t="s">
        <v>186</v>
      </c>
      <c r="C31" s="501" t="s">
        <v>316</v>
      </c>
      <c r="D31" s="497"/>
      <c r="E31" s="497"/>
      <c r="F31" s="497"/>
      <c r="G31" s="497"/>
      <c r="H31" s="497"/>
      <c r="I31" s="241"/>
      <c r="J31" s="241"/>
      <c r="K31" s="241"/>
      <c r="L31" s="362">
        <f>L25-L30</f>
        <v>450.2698937224518</v>
      </c>
      <c r="M31" s="1459">
        <v>4.5474735088646412E-13</v>
      </c>
      <c r="N31" s="33"/>
      <c r="O31" s="33"/>
      <c r="P31" s="33"/>
      <c r="Q31" s="606"/>
      <c r="R31" s="606"/>
    </row>
    <row r="32" spans="2:18" x14ac:dyDescent="0.25">
      <c r="B32" s="243"/>
      <c r="C32" s="244"/>
      <c r="D32" s="221"/>
      <c r="E32" s="221"/>
      <c r="F32" s="221"/>
      <c r="G32" s="221"/>
      <c r="H32" s="221"/>
      <c r="I32" s="221"/>
      <c r="J32" s="221"/>
      <c r="K32" s="221"/>
      <c r="L32" s="217"/>
      <c r="M32" s="1462">
        <f>M31*10^7</f>
        <v>4.5474735088646412E-6</v>
      </c>
      <c r="N32" s="33"/>
      <c r="O32" s="33"/>
      <c r="P32" s="33"/>
    </row>
    <row r="33" spans="2:16" x14ac:dyDescent="0.25">
      <c r="B33" s="250" t="s">
        <v>632</v>
      </c>
      <c r="M33" s="33"/>
      <c r="N33" s="33"/>
      <c r="O33" s="33"/>
      <c r="P33" s="33"/>
    </row>
    <row r="34" spans="2:16" x14ac:dyDescent="0.25">
      <c r="B34" s="250"/>
      <c r="M34" s="33"/>
      <c r="N34" s="33"/>
      <c r="O34" s="33"/>
      <c r="P34" s="33"/>
    </row>
    <row r="35" spans="2:16" x14ac:dyDescent="0.25">
      <c r="B35" s="82" t="s">
        <v>507</v>
      </c>
      <c r="O35" s="33"/>
      <c r="P35" s="33"/>
    </row>
    <row r="36" spans="2:16" x14ac:dyDescent="0.25">
      <c r="K36" s="21"/>
      <c r="L36" s="21" t="s">
        <v>10</v>
      </c>
      <c r="O36" s="33"/>
      <c r="P36" s="33"/>
    </row>
    <row r="37" spans="2:16" ht="42" x14ac:dyDescent="0.25">
      <c r="B37" s="186" t="s">
        <v>340</v>
      </c>
      <c r="C37" s="187" t="s">
        <v>37</v>
      </c>
      <c r="D37" s="136" t="s">
        <v>25</v>
      </c>
      <c r="E37" s="87" t="s">
        <v>7</v>
      </c>
      <c r="F37" s="87" t="s">
        <v>304</v>
      </c>
      <c r="G37" s="307" t="s">
        <v>771</v>
      </c>
      <c r="H37" s="307" t="s">
        <v>772</v>
      </c>
      <c r="I37" s="136" t="s">
        <v>408</v>
      </c>
      <c r="J37" s="87" t="s">
        <v>305</v>
      </c>
      <c r="K37" s="87" t="s">
        <v>306</v>
      </c>
      <c r="L37" s="223" t="s">
        <v>485</v>
      </c>
      <c r="O37" s="33"/>
      <c r="P37" s="33"/>
    </row>
    <row r="38" spans="2:16" x14ac:dyDescent="0.25">
      <c r="B38" s="119"/>
      <c r="C38" s="119"/>
      <c r="D38" s="119" t="s">
        <v>352</v>
      </c>
      <c r="E38" s="119" t="s">
        <v>353</v>
      </c>
      <c r="F38" s="119" t="s">
        <v>773</v>
      </c>
      <c r="G38" s="119" t="s">
        <v>774</v>
      </c>
      <c r="H38" s="119"/>
      <c r="I38" s="119"/>
      <c r="J38" s="119"/>
      <c r="K38" s="119"/>
      <c r="L38" s="119"/>
      <c r="O38" s="33"/>
      <c r="P38" s="33"/>
    </row>
    <row r="39" spans="2:16" s="22" customFormat="1" x14ac:dyDescent="0.25">
      <c r="B39" s="238">
        <v>1</v>
      </c>
      <c r="C39" s="119" t="s">
        <v>83</v>
      </c>
      <c r="D39" s="498">
        <f>'F1'!J11</f>
        <v>3447.6489489382816</v>
      </c>
      <c r="E39" s="498">
        <f>'F1'!K11</f>
        <v>3689.0824667967986</v>
      </c>
      <c r="F39" s="498">
        <f>E39-D39</f>
        <v>241.43351785851701</v>
      </c>
      <c r="G39" s="498">
        <f>E39-D39</f>
        <v>241.43351785851701</v>
      </c>
      <c r="H39" s="499">
        <f>IF(G39&lt;0,2/3,1/3)*G39</f>
        <v>80.477839286172326</v>
      </c>
      <c r="I39" s="241"/>
      <c r="J39" s="241"/>
      <c r="K39" s="241"/>
      <c r="L39" s="320">
        <f>D39+H39</f>
        <v>3528.1267882244538</v>
      </c>
      <c r="O39" s="33"/>
      <c r="P39" s="33"/>
    </row>
    <row r="40" spans="2:16" s="316" customFormat="1" x14ac:dyDescent="0.25">
      <c r="B40" s="238">
        <v>2</v>
      </c>
      <c r="C40" s="119" t="s">
        <v>955</v>
      </c>
      <c r="D40" s="492">
        <f>'F3'!J17-D41</f>
        <v>660.30156716534725</v>
      </c>
      <c r="E40" s="492">
        <f>'F3'!K17-E41</f>
        <v>821.46242455847801</v>
      </c>
      <c r="F40" s="498">
        <f>E40-D40</f>
        <v>161.16085739313075</v>
      </c>
      <c r="G40" s="498">
        <f>E40-D40</f>
        <v>161.16085739313075</v>
      </c>
      <c r="H40" s="499">
        <f>IF(G40&lt;0,2/3,1/3)*G40</f>
        <v>53.720285797710247</v>
      </c>
      <c r="I40" s="119"/>
      <c r="J40" s="119"/>
      <c r="K40" s="119"/>
      <c r="L40" s="320">
        <f>D40+H40</f>
        <v>714.02185296305754</v>
      </c>
      <c r="M40" s="1316"/>
      <c r="N40" s="581"/>
      <c r="O40" s="33"/>
      <c r="P40" s="33"/>
    </row>
    <row r="41" spans="2:16" s="316" customFormat="1" x14ac:dyDescent="0.25">
      <c r="B41" s="238"/>
      <c r="C41" s="119" t="s">
        <v>958</v>
      </c>
      <c r="D41" s="492">
        <f>'F3'!$J$14</f>
        <v>62.57242993037039</v>
      </c>
      <c r="E41" s="492">
        <f>'F3'!$K$14</f>
        <v>62.57242993037039</v>
      </c>
      <c r="F41" s="362">
        <f>E41-D41</f>
        <v>0</v>
      </c>
      <c r="G41" s="498">
        <f>E41-D41</f>
        <v>0</v>
      </c>
      <c r="H41" s="499">
        <f>IF(G41&lt;0,2/3,1/3)*G41</f>
        <v>0</v>
      </c>
      <c r="I41" s="119"/>
      <c r="J41" s="119"/>
      <c r="K41" s="119"/>
      <c r="L41" s="320">
        <f>D41+H41</f>
        <v>62.57242993037039</v>
      </c>
      <c r="O41" s="33"/>
      <c r="P41" s="33"/>
    </row>
    <row r="42" spans="2:16" s="316" customFormat="1" x14ac:dyDescent="0.25">
      <c r="B42" s="238"/>
      <c r="C42" s="119" t="s">
        <v>904</v>
      </c>
      <c r="D42" s="492">
        <f>E42</f>
        <v>26.892168524000002</v>
      </c>
      <c r="E42" s="492">
        <f>'F3.1'!G27</f>
        <v>26.892168524000002</v>
      </c>
      <c r="F42" s="498"/>
      <c r="G42" s="498"/>
      <c r="H42" s="492"/>
      <c r="I42" s="119"/>
      <c r="J42" s="119"/>
      <c r="K42" s="119"/>
      <c r="L42" s="320">
        <f>E42</f>
        <v>26.892168524000002</v>
      </c>
      <c r="O42" s="33"/>
      <c r="P42" s="33"/>
    </row>
    <row r="43" spans="2:16" s="316" customFormat="1" x14ac:dyDescent="0.25">
      <c r="B43" s="238">
        <v>3</v>
      </c>
      <c r="C43" s="120" t="s">
        <v>85</v>
      </c>
      <c r="D43" s="339">
        <f>SUM('F1'!$J$15:$J$16)</f>
        <v>91.941793610907467</v>
      </c>
      <c r="E43" s="339">
        <f>SUM('F1'!$K$15:$K$16)</f>
        <v>91.941793610907467</v>
      </c>
      <c r="F43" s="498">
        <f>E43-D43</f>
        <v>0</v>
      </c>
      <c r="G43" s="498">
        <f>E43-D43</f>
        <v>0</v>
      </c>
      <c r="H43" s="492"/>
      <c r="I43" s="119"/>
      <c r="J43" s="119"/>
      <c r="K43" s="119"/>
      <c r="L43" s="320">
        <f>E43</f>
        <v>91.941793610907467</v>
      </c>
      <c r="O43" s="33"/>
      <c r="P43" s="33"/>
    </row>
    <row r="44" spans="2:16" s="316" customFormat="1" x14ac:dyDescent="0.25">
      <c r="B44" s="238">
        <v>4</v>
      </c>
      <c r="C44" s="119" t="s">
        <v>86</v>
      </c>
      <c r="D44" s="492">
        <f>SUM('F1'!J17:J18)</f>
        <v>59.333557782263924</v>
      </c>
      <c r="E44" s="492">
        <f>SUM('F1'!K17:K18)</f>
        <v>59.333557782263924</v>
      </c>
      <c r="F44" s="574">
        <f>E44-D44</f>
        <v>0</v>
      </c>
      <c r="G44" s="498">
        <f>E44-D44</f>
        <v>0</v>
      </c>
      <c r="H44" s="492"/>
      <c r="I44" s="119"/>
      <c r="J44" s="119"/>
      <c r="K44" s="119"/>
      <c r="L44" s="320">
        <f>E44</f>
        <v>59.333557782263924</v>
      </c>
      <c r="O44" s="33"/>
      <c r="P44" s="33"/>
    </row>
    <row r="45" spans="2:16" s="316" customFormat="1" x14ac:dyDescent="0.25">
      <c r="B45" s="238">
        <v>5</v>
      </c>
      <c r="C45" s="120" t="s">
        <v>87</v>
      </c>
      <c r="D45" s="492">
        <f>SUM('F1'!J19:J20)</f>
        <v>158.4753144860087</v>
      </c>
      <c r="E45" s="492">
        <f>SUM('F1'!K19:K20)</f>
        <v>272.97874436253818</v>
      </c>
      <c r="F45" s="498">
        <f>E45-D45</f>
        <v>114.50342987652948</v>
      </c>
      <c r="G45" s="498">
        <f>E45-D45</f>
        <v>114.50342987652948</v>
      </c>
      <c r="H45" s="499">
        <f>IF(G45&lt;0,2/3,1/3)*G45</f>
        <v>38.167809958843158</v>
      </c>
      <c r="I45" s="119"/>
      <c r="J45" s="119"/>
      <c r="K45" s="119"/>
      <c r="L45" s="320">
        <f>D45+H45</f>
        <v>196.64312444485185</v>
      </c>
      <c r="O45" s="33"/>
      <c r="P45" s="33"/>
    </row>
    <row r="46" spans="2:16" s="316" customFormat="1" x14ac:dyDescent="0.25">
      <c r="B46" s="238">
        <v>6</v>
      </c>
      <c r="C46" s="120" t="s">
        <v>88</v>
      </c>
      <c r="D46" s="492">
        <f>'F1'!J21</f>
        <v>44.952323065266143</v>
      </c>
      <c r="E46" s="492">
        <f>'F1'!K21</f>
        <v>44.952323065266143</v>
      </c>
      <c r="F46" s="498">
        <f>E46-D46</f>
        <v>0</v>
      </c>
      <c r="G46" s="498">
        <f>E46-D46</f>
        <v>0</v>
      </c>
      <c r="H46" s="492"/>
      <c r="I46" s="119"/>
      <c r="J46" s="119"/>
      <c r="K46" s="119"/>
      <c r="L46" s="320">
        <f>E46</f>
        <v>44.952323065266143</v>
      </c>
      <c r="O46" s="33"/>
      <c r="P46" s="33"/>
    </row>
    <row r="47" spans="2:16" s="316" customFormat="1" x14ac:dyDescent="0.25">
      <c r="B47" s="238">
        <v>7</v>
      </c>
      <c r="C47" s="119" t="s">
        <v>89</v>
      </c>
      <c r="D47" s="492">
        <f>'F1'!J22</f>
        <v>0</v>
      </c>
      <c r="E47" s="492">
        <f>'F1'!K22</f>
        <v>0</v>
      </c>
      <c r="F47" s="498">
        <f>E47-D47</f>
        <v>0</v>
      </c>
      <c r="G47" s="498">
        <f>E47-D47</f>
        <v>0</v>
      </c>
      <c r="H47" s="492"/>
      <c r="I47" s="119"/>
      <c r="J47" s="119"/>
      <c r="K47" s="119"/>
      <c r="L47" s="320">
        <f>E47</f>
        <v>0</v>
      </c>
      <c r="O47" s="33"/>
      <c r="P47" s="33"/>
    </row>
    <row r="48" spans="2:16" s="316" customFormat="1" x14ac:dyDescent="0.25">
      <c r="B48" s="238"/>
      <c r="C48" s="119"/>
      <c r="D48" s="492"/>
      <c r="E48" s="492"/>
      <c r="F48" s="492"/>
      <c r="G48" s="492"/>
      <c r="H48" s="492"/>
      <c r="I48" s="119"/>
      <c r="J48" s="119"/>
      <c r="K48" s="119"/>
      <c r="L48" s="320"/>
      <c r="O48" s="33"/>
      <c r="P48" s="33"/>
    </row>
    <row r="49" spans="2:16" s="316" customFormat="1" x14ac:dyDescent="0.25">
      <c r="B49" s="315">
        <v>8</v>
      </c>
      <c r="C49" s="241" t="s">
        <v>90</v>
      </c>
      <c r="D49" s="498">
        <f>SUM(D39:D47)</f>
        <v>4552.1181035024447</v>
      </c>
      <c r="E49" s="498">
        <f>SUM(E39:E47)</f>
        <v>5069.2159086306219</v>
      </c>
      <c r="F49" s="498">
        <f>SUM(F39:F47)</f>
        <v>517.09780512817724</v>
      </c>
      <c r="G49" s="498">
        <f>E49-D49</f>
        <v>517.09780512817724</v>
      </c>
      <c r="H49" s="492"/>
      <c r="I49" s="119"/>
      <c r="J49" s="119"/>
      <c r="K49" s="119"/>
      <c r="L49" s="362">
        <f>SUM(L39:L48)</f>
        <v>4724.4840385451707</v>
      </c>
      <c r="M49" s="1314"/>
      <c r="O49" s="33"/>
      <c r="P49" s="33"/>
    </row>
    <row r="50" spans="2:16" s="584" customFormat="1" x14ac:dyDescent="0.25">
      <c r="B50" s="238">
        <v>9</v>
      </c>
      <c r="C50" s="119" t="s">
        <v>91</v>
      </c>
      <c r="D50" s="492">
        <f>SUM('F1'!J24:J25)</f>
        <v>135.98291881197397</v>
      </c>
      <c r="E50" s="492">
        <f>SUM('F1'!K24:K25)</f>
        <v>135.98291881197397</v>
      </c>
      <c r="F50" s="498">
        <f>E50-D50</f>
        <v>0</v>
      </c>
      <c r="G50" s="498">
        <f>E50-D50</f>
        <v>0</v>
      </c>
      <c r="H50" s="498"/>
      <c r="I50" s="241"/>
      <c r="J50" s="241"/>
      <c r="K50" s="241"/>
      <c r="L50" s="320">
        <f>E50</f>
        <v>135.98291881197397</v>
      </c>
      <c r="M50" s="33"/>
      <c r="O50" s="33"/>
      <c r="P50" s="33"/>
    </row>
    <row r="51" spans="2:16" s="316" customFormat="1" x14ac:dyDescent="0.25">
      <c r="B51" s="238">
        <v>10</v>
      </c>
      <c r="C51" s="119" t="s">
        <v>92</v>
      </c>
      <c r="D51" s="492">
        <f>'F1'!J26</f>
        <v>6.8993160413161139</v>
      </c>
      <c r="E51" s="492">
        <f>'F1'!K26</f>
        <v>6.8993160413161139</v>
      </c>
      <c r="F51" s="498">
        <f>E51-D51</f>
        <v>0</v>
      </c>
      <c r="G51" s="498">
        <f>E51-D51</f>
        <v>0</v>
      </c>
      <c r="H51" s="492"/>
      <c r="I51" s="119"/>
      <c r="J51" s="119"/>
      <c r="K51" s="119"/>
      <c r="L51" s="320">
        <f>E51</f>
        <v>6.8993160413161139</v>
      </c>
      <c r="M51" s="33"/>
      <c r="O51" s="33"/>
      <c r="P51" s="33"/>
    </row>
    <row r="52" spans="2:16" s="584" customFormat="1" x14ac:dyDescent="0.25">
      <c r="B52" s="315">
        <v>11</v>
      </c>
      <c r="C52" s="241" t="s">
        <v>93</v>
      </c>
      <c r="D52" s="498">
        <f>D49+D50-D51</f>
        <v>4681.201706273102</v>
      </c>
      <c r="E52" s="498">
        <f>E49+E50-E51</f>
        <v>5198.2995114012792</v>
      </c>
      <c r="F52" s="498">
        <f>F49+F50-F51</f>
        <v>517.09780512817724</v>
      </c>
      <c r="G52" s="498">
        <f>E52-D52</f>
        <v>517.09780512817724</v>
      </c>
      <c r="H52" s="498"/>
      <c r="I52" s="241"/>
      <c r="J52" s="241"/>
      <c r="K52" s="241"/>
      <c r="L52" s="362">
        <f>L49+L50-L51</f>
        <v>4853.567641315828</v>
      </c>
      <c r="M52" s="1314"/>
      <c r="O52" s="33"/>
      <c r="P52" s="33"/>
    </row>
    <row r="53" spans="2:16" s="584" customFormat="1" ht="15.5" x14ac:dyDescent="0.25">
      <c r="B53" s="238">
        <v>12</v>
      </c>
      <c r="C53" s="829" t="s">
        <v>918</v>
      </c>
      <c r="D53" s="498"/>
      <c r="E53" s="498">
        <f>'AFC Reduction and AEC loss'!E8</f>
        <v>343.42691601857996</v>
      </c>
      <c r="F53" s="498"/>
      <c r="G53" s="498"/>
      <c r="H53" s="498"/>
      <c r="I53" s="241"/>
      <c r="J53" s="241"/>
      <c r="K53" s="241"/>
      <c r="L53" s="498">
        <f>E53</f>
        <v>343.42691601857996</v>
      </c>
      <c r="M53" s="33"/>
      <c r="O53" s="33"/>
      <c r="P53" s="33"/>
    </row>
    <row r="54" spans="2:16" s="584" customFormat="1" ht="15" x14ac:dyDescent="0.25">
      <c r="B54" s="315" t="s">
        <v>172</v>
      </c>
      <c r="C54" s="830" t="s">
        <v>1052</v>
      </c>
      <c r="D54" s="498"/>
      <c r="E54" s="498"/>
      <c r="F54" s="498"/>
      <c r="G54" s="498"/>
      <c r="H54" s="498"/>
      <c r="I54" s="241"/>
      <c r="J54" s="241"/>
      <c r="K54" s="241"/>
      <c r="L54" s="498">
        <f>L52-L53</f>
        <v>4510.1407252972476</v>
      </c>
      <c r="M54" s="33"/>
      <c r="O54" s="33"/>
      <c r="P54" s="33"/>
    </row>
    <row r="55" spans="2:16" s="584" customFormat="1" x14ac:dyDescent="0.25">
      <c r="B55" s="315"/>
      <c r="C55" s="241"/>
      <c r="D55" s="498"/>
      <c r="E55" s="498"/>
      <c r="F55" s="498"/>
      <c r="G55" s="498"/>
      <c r="H55" s="498"/>
      <c r="I55" s="241"/>
      <c r="J55" s="241"/>
      <c r="K55" s="241"/>
      <c r="L55" s="362"/>
      <c r="M55" s="33"/>
      <c r="O55" s="33"/>
      <c r="P55" s="33"/>
    </row>
    <row r="56" spans="2:16" s="584" customFormat="1" x14ac:dyDescent="0.25">
      <c r="B56" s="500" t="s">
        <v>185</v>
      </c>
      <c r="C56" s="501" t="s">
        <v>307</v>
      </c>
      <c r="D56" s="498"/>
      <c r="E56" s="498"/>
      <c r="F56" s="498"/>
      <c r="G56" s="498"/>
      <c r="H56" s="498"/>
      <c r="I56" s="241"/>
      <c r="J56" s="241"/>
      <c r="K56" s="241"/>
      <c r="L56" s="320"/>
      <c r="M56" s="33"/>
      <c r="O56" s="33"/>
      <c r="P56" s="33"/>
    </row>
    <row r="57" spans="2:16" s="316" customFormat="1" x14ac:dyDescent="0.25">
      <c r="B57" s="452">
        <v>11</v>
      </c>
      <c r="C57" s="120" t="s">
        <v>308</v>
      </c>
      <c r="D57" s="492"/>
      <c r="E57" s="492">
        <f>'F9'!N20</f>
        <v>4021.4906980987002</v>
      </c>
      <c r="F57" s="498">
        <f>E57-D57</f>
        <v>4021.4906980987002</v>
      </c>
      <c r="G57" s="498"/>
      <c r="H57" s="492"/>
      <c r="I57" s="119"/>
      <c r="J57" s="119"/>
      <c r="K57" s="119"/>
      <c r="L57" s="320">
        <f>E57</f>
        <v>4021.4906980987002</v>
      </c>
      <c r="M57" s="33"/>
      <c r="O57" s="33"/>
      <c r="P57" s="33"/>
    </row>
    <row r="58" spans="2:16" s="316" customFormat="1" x14ac:dyDescent="0.25">
      <c r="B58" s="452">
        <f>B57+1</f>
        <v>12</v>
      </c>
      <c r="C58" s="120" t="s">
        <v>901</v>
      </c>
      <c r="D58" s="492"/>
      <c r="E58" s="492"/>
      <c r="F58" s="492"/>
      <c r="G58" s="339">
        <f>'AFC Reduction and AEC loss'!$O$47</f>
        <v>44.271419084416856</v>
      </c>
      <c r="H58" s="499">
        <f>IF(G58&lt;0,2/3,1/3)*G58</f>
        <v>14.757139694805618</v>
      </c>
      <c r="I58" s="119"/>
      <c r="J58" s="119"/>
      <c r="K58" s="119"/>
      <c r="L58" s="320">
        <f>H58</f>
        <v>14.757139694805618</v>
      </c>
      <c r="M58" s="33"/>
      <c r="O58" s="33"/>
      <c r="P58" s="33"/>
    </row>
    <row r="59" spans="2:16" x14ac:dyDescent="0.25">
      <c r="B59" s="452">
        <f>B58+1</f>
        <v>13</v>
      </c>
      <c r="C59" s="501" t="s">
        <v>902</v>
      </c>
      <c r="D59" s="119"/>
      <c r="E59" s="119"/>
      <c r="F59" s="119"/>
      <c r="G59" s="119"/>
      <c r="H59" s="119"/>
      <c r="I59" s="119"/>
      <c r="J59" s="119"/>
      <c r="K59" s="119"/>
      <c r="L59" s="362">
        <f>SUM(L57:L58)</f>
        <v>4036.2478377935058</v>
      </c>
      <c r="M59" s="1315">
        <v>0</v>
      </c>
      <c r="O59" s="33"/>
      <c r="P59" s="33"/>
    </row>
    <row r="60" spans="2:16" s="22" customFormat="1" x14ac:dyDescent="0.25">
      <c r="B60" s="118" t="s">
        <v>186</v>
      </c>
      <c r="C60" s="104" t="s">
        <v>316</v>
      </c>
      <c r="D60" s="314"/>
      <c r="E60" s="314"/>
      <c r="F60" s="314"/>
      <c r="G60" s="27"/>
      <c r="H60" s="314"/>
      <c r="I60" s="27"/>
      <c r="J60" s="27"/>
      <c r="K60" s="27"/>
      <c r="L60" s="1317">
        <f>L54-L59</f>
        <v>473.8928875037418</v>
      </c>
      <c r="M60" s="1459">
        <v>1.8189894035458565E-12</v>
      </c>
      <c r="O60" s="33"/>
      <c r="P60" s="33"/>
    </row>
    <row r="61" spans="2:16" s="22" customFormat="1" x14ac:dyDescent="0.25">
      <c r="B61" s="243"/>
      <c r="C61" s="244"/>
      <c r="D61" s="221"/>
      <c r="E61" s="221"/>
      <c r="F61" s="221"/>
      <c r="G61" s="221"/>
      <c r="H61" s="221"/>
      <c r="I61" s="221"/>
      <c r="J61" s="221"/>
      <c r="K61" s="221"/>
      <c r="L61" s="217"/>
      <c r="M61" s="1462">
        <f>M60*10^7</f>
        <v>1.8189894035458565E-5</v>
      </c>
      <c r="O61" s="33"/>
      <c r="P61" s="33"/>
    </row>
    <row r="62" spans="2:16" s="22" customFormat="1" x14ac:dyDescent="0.25">
      <c r="B62" s="250" t="s">
        <v>632</v>
      </c>
      <c r="C62" s="244"/>
      <c r="D62" s="221"/>
      <c r="E62" s="221"/>
      <c r="F62" s="221"/>
      <c r="G62" s="221"/>
      <c r="H62" s="221"/>
      <c r="I62" s="221"/>
      <c r="J62" s="221"/>
      <c r="K62" s="221"/>
      <c r="L62" s="217"/>
      <c r="O62" s="33"/>
      <c r="P62" s="33"/>
    </row>
    <row r="63" spans="2:16" s="22" customFormat="1" x14ac:dyDescent="0.25">
      <c r="B63" s="250"/>
      <c r="C63" s="244"/>
      <c r="D63" s="221"/>
      <c r="E63" s="221"/>
      <c r="F63" s="221"/>
      <c r="G63" s="221"/>
      <c r="H63" s="221"/>
      <c r="I63" s="221"/>
      <c r="J63" s="221"/>
      <c r="K63" s="221"/>
      <c r="L63" s="217"/>
      <c r="O63" s="33"/>
      <c r="P63" s="33"/>
    </row>
    <row r="64" spans="2:16" x14ac:dyDescent="0.25">
      <c r="B64" s="82"/>
      <c r="C64" s="64"/>
      <c r="D64" s="64"/>
      <c r="E64" s="64"/>
      <c r="F64" s="64"/>
      <c r="G64" s="64"/>
      <c r="H64" s="64"/>
      <c r="I64" s="64"/>
      <c r="J64" s="64"/>
      <c r="K64" s="64"/>
      <c r="L64" s="64"/>
      <c r="O64" s="33"/>
      <c r="P64" s="33"/>
    </row>
    <row r="65" spans="2:16" x14ac:dyDescent="0.25">
      <c r="B65" s="64"/>
      <c r="C65" s="64"/>
      <c r="D65" s="64"/>
      <c r="E65" s="64"/>
      <c r="F65" s="64"/>
      <c r="G65" s="64"/>
      <c r="H65" s="64"/>
      <c r="I65" s="64"/>
      <c r="J65" s="64"/>
      <c r="K65" s="719"/>
      <c r="L65" s="719"/>
      <c r="O65" s="33"/>
      <c r="P65" s="33"/>
    </row>
    <row r="66" spans="2:16" x14ac:dyDescent="0.25">
      <c r="B66" s="57"/>
      <c r="C66" s="720"/>
      <c r="D66" s="692"/>
      <c r="E66" s="692"/>
      <c r="F66" s="692"/>
      <c r="G66" s="692"/>
      <c r="H66" s="692"/>
      <c r="I66" s="692"/>
      <c r="J66" s="692"/>
      <c r="K66" s="692"/>
      <c r="L66" s="692"/>
      <c r="O66" s="33"/>
      <c r="P66" s="33"/>
    </row>
    <row r="67" spans="2:16" x14ac:dyDescent="0.25">
      <c r="B67" s="64"/>
      <c r="C67" s="64"/>
      <c r="D67" s="64"/>
      <c r="E67" s="64"/>
      <c r="F67" s="64"/>
      <c r="G67" s="64"/>
      <c r="H67" s="64"/>
      <c r="I67" s="64"/>
      <c r="J67" s="64"/>
      <c r="K67" s="64"/>
      <c r="L67" s="64"/>
      <c r="O67" s="33"/>
      <c r="P67" s="33"/>
    </row>
    <row r="68" spans="2:16" s="22" customFormat="1" x14ac:dyDescent="0.25">
      <c r="B68" s="707"/>
      <c r="C68" s="64"/>
      <c r="D68" s="708"/>
      <c r="E68" s="708"/>
      <c r="F68" s="708"/>
      <c r="G68" s="708"/>
      <c r="H68" s="709"/>
      <c r="I68" s="710"/>
      <c r="J68" s="710"/>
      <c r="K68" s="710"/>
      <c r="L68" s="325"/>
      <c r="O68" s="33"/>
      <c r="P68" s="33"/>
    </row>
    <row r="69" spans="2:16" s="316" customFormat="1" x14ac:dyDescent="0.25">
      <c r="B69" s="707"/>
      <c r="C69" s="64"/>
      <c r="D69" s="711"/>
      <c r="E69" s="711"/>
      <c r="F69" s="711"/>
      <c r="G69" s="711"/>
      <c r="H69" s="709"/>
      <c r="I69" s="64"/>
      <c r="J69" s="64"/>
      <c r="K69" s="64"/>
      <c r="L69" s="325"/>
      <c r="M69" s="609">
        <f>SUM(L69:L70)-P80</f>
        <v>0</v>
      </c>
      <c r="O69" s="33"/>
      <c r="P69" s="33"/>
    </row>
    <row r="70" spans="2:16" s="316" customFormat="1" x14ac:dyDescent="0.25">
      <c r="B70" s="707"/>
      <c r="C70" s="64"/>
      <c r="D70" s="711"/>
      <c r="E70" s="711"/>
      <c r="F70" s="711"/>
      <c r="G70" s="711"/>
      <c r="H70" s="709"/>
      <c r="I70" s="64"/>
      <c r="J70" s="64"/>
      <c r="K70" s="64"/>
      <c r="L70" s="325"/>
      <c r="O70" s="33"/>
      <c r="P70" s="33"/>
    </row>
    <row r="71" spans="2:16" x14ac:dyDescent="0.25">
      <c r="B71" s="707"/>
      <c r="C71" s="64"/>
      <c r="D71" s="711"/>
      <c r="E71" s="711"/>
      <c r="F71" s="711"/>
      <c r="G71" s="711"/>
      <c r="H71" s="709"/>
      <c r="I71" s="64"/>
      <c r="J71" s="64"/>
      <c r="K71" s="64"/>
      <c r="L71" s="325"/>
      <c r="O71" s="33"/>
      <c r="P71" s="33"/>
    </row>
    <row r="72" spans="2:16" x14ac:dyDescent="0.25">
      <c r="B72" s="707"/>
      <c r="C72" s="712"/>
      <c r="D72" s="708"/>
      <c r="E72" s="711"/>
      <c r="F72" s="711"/>
      <c r="G72" s="711"/>
      <c r="H72" s="64"/>
      <c r="I72" s="64"/>
      <c r="J72" s="64"/>
      <c r="K72" s="64"/>
      <c r="L72" s="325"/>
      <c r="O72" s="33"/>
      <c r="P72" s="33"/>
    </row>
    <row r="73" spans="2:16" x14ac:dyDescent="0.25">
      <c r="B73" s="707"/>
      <c r="C73" s="64"/>
      <c r="D73" s="708"/>
      <c r="E73" s="711"/>
      <c r="F73" s="711"/>
      <c r="G73" s="711"/>
      <c r="H73" s="64"/>
      <c r="I73" s="64"/>
      <c r="J73" s="64"/>
      <c r="K73" s="64"/>
      <c r="L73" s="325"/>
      <c r="O73" s="33"/>
      <c r="P73" s="33"/>
    </row>
    <row r="74" spans="2:16" x14ac:dyDescent="0.25">
      <c r="B74" s="707"/>
      <c r="C74" s="712"/>
      <c r="D74" s="708"/>
      <c r="E74" s="711"/>
      <c r="F74" s="711"/>
      <c r="G74" s="711"/>
      <c r="H74" s="709"/>
      <c r="I74" s="64"/>
      <c r="J74" s="64"/>
      <c r="K74" s="64"/>
      <c r="L74" s="325"/>
      <c r="O74" s="33"/>
      <c r="P74" s="33"/>
    </row>
    <row r="75" spans="2:16" x14ac:dyDescent="0.25">
      <c r="B75" s="707"/>
      <c r="C75" s="712"/>
      <c r="D75" s="708"/>
      <c r="E75" s="711"/>
      <c r="F75" s="711"/>
      <c r="G75" s="711"/>
      <c r="H75" s="711"/>
      <c r="I75" s="64"/>
      <c r="J75" s="64"/>
      <c r="K75" s="64"/>
      <c r="L75" s="325"/>
      <c r="O75" s="33"/>
      <c r="P75" s="33"/>
    </row>
    <row r="76" spans="2:16" x14ac:dyDescent="0.25">
      <c r="B76" s="707"/>
      <c r="C76" s="64"/>
      <c r="D76" s="708"/>
      <c r="E76" s="711"/>
      <c r="F76" s="711"/>
      <c r="G76" s="711"/>
      <c r="H76" s="711"/>
      <c r="I76" s="64"/>
      <c r="J76" s="64"/>
      <c r="K76" s="64"/>
      <c r="L76" s="325"/>
      <c r="O76" s="33"/>
      <c r="P76" s="33"/>
    </row>
    <row r="77" spans="2:16" x14ac:dyDescent="0.25">
      <c r="B77" s="707"/>
      <c r="C77" s="64"/>
      <c r="D77" s="711"/>
      <c r="E77" s="711"/>
      <c r="F77" s="711"/>
      <c r="G77" s="711"/>
      <c r="H77" s="711"/>
      <c r="I77" s="64"/>
      <c r="J77" s="64"/>
      <c r="K77" s="64"/>
      <c r="L77" s="325"/>
      <c r="O77" s="33"/>
      <c r="P77" s="33"/>
    </row>
    <row r="78" spans="2:16" x14ac:dyDescent="0.25">
      <c r="B78" s="694"/>
      <c r="C78" s="710"/>
      <c r="D78" s="711"/>
      <c r="E78" s="711"/>
      <c r="F78" s="711"/>
      <c r="G78" s="711"/>
      <c r="H78" s="711"/>
      <c r="I78" s="64"/>
      <c r="J78" s="64"/>
      <c r="K78" s="64"/>
      <c r="L78" s="713"/>
      <c r="O78" s="33"/>
      <c r="P78" s="33"/>
    </row>
    <row r="79" spans="2:16" s="22" customFormat="1" x14ac:dyDescent="0.25">
      <c r="B79" s="707"/>
      <c r="C79" s="64"/>
      <c r="D79" s="708"/>
      <c r="E79" s="708"/>
      <c r="F79" s="708"/>
      <c r="G79" s="708"/>
      <c r="H79" s="708"/>
      <c r="I79" s="710"/>
      <c r="J79" s="710"/>
      <c r="K79" s="710"/>
      <c r="L79" s="325"/>
      <c r="O79" s="33"/>
      <c r="P79" s="33"/>
    </row>
    <row r="80" spans="2:16" x14ac:dyDescent="0.25">
      <c r="B80" s="707"/>
      <c r="C80" s="64"/>
      <c r="D80" s="708"/>
      <c r="E80" s="708"/>
      <c r="F80" s="711"/>
      <c r="G80" s="711"/>
      <c r="H80" s="711"/>
      <c r="I80" s="64"/>
      <c r="J80" s="64"/>
      <c r="K80" s="64"/>
      <c r="L80" s="325"/>
      <c r="O80" s="33"/>
      <c r="P80" s="33"/>
    </row>
    <row r="81" spans="2:16" s="22" customFormat="1" x14ac:dyDescent="0.25">
      <c r="B81" s="694"/>
      <c r="C81" s="710"/>
      <c r="D81" s="708"/>
      <c r="E81" s="708"/>
      <c r="F81" s="708"/>
      <c r="G81" s="708"/>
      <c r="H81" s="708"/>
      <c r="I81" s="710"/>
      <c r="J81" s="710"/>
      <c r="K81" s="710"/>
      <c r="L81" s="713"/>
      <c r="O81" s="33"/>
      <c r="P81" s="33"/>
    </row>
    <row r="82" spans="2:16" s="22" customFormat="1" x14ac:dyDescent="0.25">
      <c r="B82" s="714"/>
      <c r="C82" s="715"/>
      <c r="D82" s="708"/>
      <c r="E82" s="708"/>
      <c r="F82" s="708"/>
      <c r="G82" s="708"/>
      <c r="H82" s="708"/>
      <c r="I82" s="710"/>
      <c r="J82" s="710"/>
      <c r="K82" s="710"/>
      <c r="L82" s="325"/>
      <c r="O82" s="33"/>
      <c r="P82" s="33"/>
    </row>
    <row r="83" spans="2:16" s="22" customFormat="1" x14ac:dyDescent="0.25">
      <c r="B83" s="714"/>
      <c r="C83" s="715"/>
      <c r="D83" s="708"/>
      <c r="E83" s="708"/>
      <c r="F83" s="708"/>
      <c r="G83" s="708"/>
      <c r="H83" s="708"/>
      <c r="I83" s="710"/>
      <c r="J83" s="710"/>
      <c r="K83" s="710"/>
      <c r="L83" s="325"/>
    </row>
    <row r="84" spans="2:16" x14ac:dyDescent="0.25">
      <c r="B84" s="716"/>
      <c r="C84" s="712"/>
      <c r="D84" s="711"/>
      <c r="E84" s="711"/>
      <c r="F84" s="711"/>
      <c r="G84" s="711"/>
      <c r="H84" s="711"/>
      <c r="I84" s="64"/>
      <c r="J84" s="64"/>
      <c r="K84" s="64"/>
      <c r="L84" s="325"/>
      <c r="M84" s="22"/>
      <c r="O84" s="22"/>
      <c r="P84" s="22"/>
    </row>
    <row r="85" spans="2:16" x14ac:dyDescent="0.25">
      <c r="B85" s="716"/>
      <c r="C85" s="712"/>
      <c r="D85" s="711"/>
      <c r="E85" s="711"/>
      <c r="F85" s="711"/>
      <c r="G85" s="717"/>
      <c r="H85" s="709"/>
      <c r="I85" s="64"/>
      <c r="J85" s="64"/>
      <c r="K85" s="64"/>
      <c r="L85" s="325"/>
      <c r="M85" s="22"/>
      <c r="O85" s="22"/>
      <c r="P85" s="22"/>
    </row>
    <row r="86" spans="2:16" x14ac:dyDescent="0.25">
      <c r="B86" s="716"/>
      <c r="C86" s="715"/>
      <c r="D86" s="711"/>
      <c r="E86" s="711"/>
      <c r="F86" s="711"/>
      <c r="G86" s="711"/>
      <c r="H86" s="711"/>
      <c r="I86" s="64"/>
      <c r="J86" s="64"/>
      <c r="K86" s="64"/>
      <c r="L86" s="713"/>
      <c r="M86" s="22"/>
    </row>
    <row r="87" spans="2:16" s="22" customFormat="1" x14ac:dyDescent="0.25">
      <c r="B87" s="714"/>
      <c r="C87" s="715"/>
      <c r="D87" s="718"/>
      <c r="E87" s="718"/>
      <c r="F87" s="718"/>
      <c r="G87" s="718"/>
      <c r="H87" s="718"/>
      <c r="I87" s="710"/>
      <c r="J87" s="710"/>
      <c r="K87" s="710"/>
      <c r="L87" s="713"/>
      <c r="O87" s="14"/>
      <c r="P87" s="14"/>
    </row>
    <row r="88" spans="2:16" x14ac:dyDescent="0.25">
      <c r="B88" s="64"/>
      <c r="C88" s="64"/>
      <c r="D88" s="64"/>
      <c r="E88" s="64"/>
      <c r="F88" s="64"/>
      <c r="G88" s="64"/>
      <c r="H88" s="64"/>
      <c r="I88" s="64"/>
      <c r="J88" s="64"/>
      <c r="K88" s="64"/>
      <c r="L88" s="64"/>
    </row>
    <row r="89" spans="2:16" x14ac:dyDescent="0.25">
      <c r="B89" s="721"/>
      <c r="C89" s="64"/>
      <c r="D89" s="722"/>
      <c r="E89" s="722"/>
      <c r="F89" s="722"/>
      <c r="G89" s="722"/>
      <c r="H89" s="722"/>
      <c r="I89" s="722"/>
      <c r="J89" s="722"/>
      <c r="K89" s="722"/>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L29"/>
  <sheetViews>
    <sheetView showGridLines="0" view="pageBreakPreview" zoomScale="80" zoomScaleSheetLayoutView="80" workbookViewId="0">
      <selection activeCell="E3" sqref="E3"/>
    </sheetView>
  </sheetViews>
  <sheetFormatPr defaultColWidth="9.08984375" defaultRowHeight="14" x14ac:dyDescent="0.3"/>
  <cols>
    <col min="1" max="1" width="9.08984375" style="883"/>
    <col min="2" max="2" width="21.6328125" style="883" customWidth="1"/>
    <col min="3" max="3" width="23" style="883" customWidth="1"/>
    <col min="4" max="4" width="19.453125" style="883" customWidth="1"/>
    <col min="5" max="5" width="21.6328125" style="883" customWidth="1"/>
    <col min="6" max="6" width="38" style="883" customWidth="1"/>
    <col min="7" max="7" width="24.453125" style="883" customWidth="1"/>
    <col min="8" max="8" width="10.6328125" style="883" bestFit="1" customWidth="1"/>
    <col min="9" max="257" width="9.08984375" style="883"/>
    <col min="258" max="258" width="21.6328125" style="883" customWidth="1"/>
    <col min="259" max="259" width="27.90625" style="883" customWidth="1"/>
    <col min="260" max="260" width="33.90625" style="883" customWidth="1"/>
    <col min="261" max="261" width="60" style="883" customWidth="1"/>
    <col min="262" max="262" width="164.08984375" style="883" customWidth="1"/>
    <col min="263" max="263" width="24.453125" style="883" customWidth="1"/>
    <col min="264" max="264" width="10.6328125" style="883" bestFit="1" customWidth="1"/>
    <col min="265" max="513" width="9.08984375" style="883"/>
    <col min="514" max="514" width="21.6328125" style="883" customWidth="1"/>
    <col min="515" max="515" width="27.90625" style="883" customWidth="1"/>
    <col min="516" max="516" width="33.90625" style="883" customWidth="1"/>
    <col min="517" max="517" width="60" style="883" customWidth="1"/>
    <col min="518" max="518" width="164.08984375" style="883" customWidth="1"/>
    <col min="519" max="519" width="24.453125" style="883" customWidth="1"/>
    <col min="520" max="520" width="10.6328125" style="883" bestFit="1" customWidth="1"/>
    <col min="521" max="769" width="9.08984375" style="883"/>
    <col min="770" max="770" width="21.6328125" style="883" customWidth="1"/>
    <col min="771" max="771" width="27.90625" style="883" customWidth="1"/>
    <col min="772" max="772" width="33.90625" style="883" customWidth="1"/>
    <col min="773" max="773" width="60" style="883" customWidth="1"/>
    <col min="774" max="774" width="164.08984375" style="883" customWidth="1"/>
    <col min="775" max="775" width="24.453125" style="883" customWidth="1"/>
    <col min="776" max="776" width="10.6328125" style="883" bestFit="1" customWidth="1"/>
    <col min="777" max="1025" width="9.08984375" style="883"/>
    <col min="1026" max="1026" width="21.6328125" style="883" customWidth="1"/>
    <col min="1027" max="1027" width="27.90625" style="883" customWidth="1"/>
    <col min="1028" max="1028" width="33.90625" style="883" customWidth="1"/>
    <col min="1029" max="1029" width="60" style="883" customWidth="1"/>
    <col min="1030" max="1030" width="164.08984375" style="883" customWidth="1"/>
    <col min="1031" max="1031" width="24.453125" style="883" customWidth="1"/>
    <col min="1032" max="1032" width="10.6328125" style="883" bestFit="1" customWidth="1"/>
    <col min="1033" max="1281" width="9.08984375" style="883"/>
    <col min="1282" max="1282" width="21.6328125" style="883" customWidth="1"/>
    <col min="1283" max="1283" width="27.90625" style="883" customWidth="1"/>
    <col min="1284" max="1284" width="33.90625" style="883" customWidth="1"/>
    <col min="1285" max="1285" width="60" style="883" customWidth="1"/>
    <col min="1286" max="1286" width="164.08984375" style="883" customWidth="1"/>
    <col min="1287" max="1287" width="24.453125" style="883" customWidth="1"/>
    <col min="1288" max="1288" width="10.6328125" style="883" bestFit="1" customWidth="1"/>
    <col min="1289" max="1537" width="9.08984375" style="883"/>
    <col min="1538" max="1538" width="21.6328125" style="883" customWidth="1"/>
    <col min="1539" max="1539" width="27.90625" style="883" customWidth="1"/>
    <col min="1540" max="1540" width="33.90625" style="883" customWidth="1"/>
    <col min="1541" max="1541" width="60" style="883" customWidth="1"/>
    <col min="1542" max="1542" width="164.08984375" style="883" customWidth="1"/>
    <col min="1543" max="1543" width="24.453125" style="883" customWidth="1"/>
    <col min="1544" max="1544" width="10.6328125" style="883" bestFit="1" customWidth="1"/>
    <col min="1545" max="1793" width="9.08984375" style="883"/>
    <col min="1794" max="1794" width="21.6328125" style="883" customWidth="1"/>
    <col min="1795" max="1795" width="27.90625" style="883" customWidth="1"/>
    <col min="1796" max="1796" width="33.90625" style="883" customWidth="1"/>
    <col min="1797" max="1797" width="60" style="883" customWidth="1"/>
    <col min="1798" max="1798" width="164.08984375" style="883" customWidth="1"/>
    <col min="1799" max="1799" width="24.453125" style="883" customWidth="1"/>
    <col min="1800" max="1800" width="10.6328125" style="883" bestFit="1" customWidth="1"/>
    <col min="1801" max="2049" width="9.08984375" style="883"/>
    <col min="2050" max="2050" width="21.6328125" style="883" customWidth="1"/>
    <col min="2051" max="2051" width="27.90625" style="883" customWidth="1"/>
    <col min="2052" max="2052" width="33.90625" style="883" customWidth="1"/>
    <col min="2053" max="2053" width="60" style="883" customWidth="1"/>
    <col min="2054" max="2054" width="164.08984375" style="883" customWidth="1"/>
    <col min="2055" max="2055" width="24.453125" style="883" customWidth="1"/>
    <col min="2056" max="2056" width="10.6328125" style="883" bestFit="1" customWidth="1"/>
    <col min="2057" max="2305" width="9.08984375" style="883"/>
    <col min="2306" max="2306" width="21.6328125" style="883" customWidth="1"/>
    <col min="2307" max="2307" width="27.90625" style="883" customWidth="1"/>
    <col min="2308" max="2308" width="33.90625" style="883" customWidth="1"/>
    <col min="2309" max="2309" width="60" style="883" customWidth="1"/>
    <col min="2310" max="2310" width="164.08984375" style="883" customWidth="1"/>
    <col min="2311" max="2311" width="24.453125" style="883" customWidth="1"/>
    <col min="2312" max="2312" width="10.6328125" style="883" bestFit="1" customWidth="1"/>
    <col min="2313" max="2561" width="9.08984375" style="883"/>
    <col min="2562" max="2562" width="21.6328125" style="883" customWidth="1"/>
    <col min="2563" max="2563" width="27.90625" style="883" customWidth="1"/>
    <col min="2564" max="2564" width="33.90625" style="883" customWidth="1"/>
    <col min="2565" max="2565" width="60" style="883" customWidth="1"/>
    <col min="2566" max="2566" width="164.08984375" style="883" customWidth="1"/>
    <col min="2567" max="2567" width="24.453125" style="883" customWidth="1"/>
    <col min="2568" max="2568" width="10.6328125" style="883" bestFit="1" customWidth="1"/>
    <col min="2569" max="2817" width="9.08984375" style="883"/>
    <col min="2818" max="2818" width="21.6328125" style="883" customWidth="1"/>
    <col min="2819" max="2819" width="27.90625" style="883" customWidth="1"/>
    <col min="2820" max="2820" width="33.90625" style="883" customWidth="1"/>
    <col min="2821" max="2821" width="60" style="883" customWidth="1"/>
    <col min="2822" max="2822" width="164.08984375" style="883" customWidth="1"/>
    <col min="2823" max="2823" width="24.453125" style="883" customWidth="1"/>
    <col min="2824" max="2824" width="10.6328125" style="883" bestFit="1" customWidth="1"/>
    <col min="2825" max="3073" width="9.08984375" style="883"/>
    <col min="3074" max="3074" width="21.6328125" style="883" customWidth="1"/>
    <col min="3075" max="3075" width="27.90625" style="883" customWidth="1"/>
    <col min="3076" max="3076" width="33.90625" style="883" customWidth="1"/>
    <col min="3077" max="3077" width="60" style="883" customWidth="1"/>
    <col min="3078" max="3078" width="164.08984375" style="883" customWidth="1"/>
    <col min="3079" max="3079" width="24.453125" style="883" customWidth="1"/>
    <col min="3080" max="3080" width="10.6328125" style="883" bestFit="1" customWidth="1"/>
    <col min="3081" max="3329" width="9.08984375" style="883"/>
    <col min="3330" max="3330" width="21.6328125" style="883" customWidth="1"/>
    <col min="3331" max="3331" width="27.90625" style="883" customWidth="1"/>
    <col min="3332" max="3332" width="33.90625" style="883" customWidth="1"/>
    <col min="3333" max="3333" width="60" style="883" customWidth="1"/>
    <col min="3334" max="3334" width="164.08984375" style="883" customWidth="1"/>
    <col min="3335" max="3335" width="24.453125" style="883" customWidth="1"/>
    <col min="3336" max="3336" width="10.6328125" style="883" bestFit="1" customWidth="1"/>
    <col min="3337" max="3585" width="9.08984375" style="883"/>
    <col min="3586" max="3586" width="21.6328125" style="883" customWidth="1"/>
    <col min="3587" max="3587" width="27.90625" style="883" customWidth="1"/>
    <col min="3588" max="3588" width="33.90625" style="883" customWidth="1"/>
    <col min="3589" max="3589" width="60" style="883" customWidth="1"/>
    <col min="3590" max="3590" width="164.08984375" style="883" customWidth="1"/>
    <col min="3591" max="3591" width="24.453125" style="883" customWidth="1"/>
    <col min="3592" max="3592" width="10.6328125" style="883" bestFit="1" customWidth="1"/>
    <col min="3593" max="3841" width="9.08984375" style="883"/>
    <col min="3842" max="3842" width="21.6328125" style="883" customWidth="1"/>
    <col min="3843" max="3843" width="27.90625" style="883" customWidth="1"/>
    <col min="3844" max="3844" width="33.90625" style="883" customWidth="1"/>
    <col min="3845" max="3845" width="60" style="883" customWidth="1"/>
    <col min="3846" max="3846" width="164.08984375" style="883" customWidth="1"/>
    <col min="3847" max="3847" width="24.453125" style="883" customWidth="1"/>
    <col min="3848" max="3848" width="10.6328125" style="883" bestFit="1" customWidth="1"/>
    <col min="3849" max="4097" width="9.08984375" style="883"/>
    <col min="4098" max="4098" width="21.6328125" style="883" customWidth="1"/>
    <col min="4099" max="4099" width="27.90625" style="883" customWidth="1"/>
    <col min="4100" max="4100" width="33.90625" style="883" customWidth="1"/>
    <col min="4101" max="4101" width="60" style="883" customWidth="1"/>
    <col min="4102" max="4102" width="164.08984375" style="883" customWidth="1"/>
    <col min="4103" max="4103" width="24.453125" style="883" customWidth="1"/>
    <col min="4104" max="4104" width="10.6328125" style="883" bestFit="1" customWidth="1"/>
    <col min="4105" max="4353" width="9.08984375" style="883"/>
    <col min="4354" max="4354" width="21.6328125" style="883" customWidth="1"/>
    <col min="4355" max="4355" width="27.90625" style="883" customWidth="1"/>
    <col min="4356" max="4356" width="33.90625" style="883" customWidth="1"/>
    <col min="4357" max="4357" width="60" style="883" customWidth="1"/>
    <col min="4358" max="4358" width="164.08984375" style="883" customWidth="1"/>
    <col min="4359" max="4359" width="24.453125" style="883" customWidth="1"/>
    <col min="4360" max="4360" width="10.6328125" style="883" bestFit="1" customWidth="1"/>
    <col min="4361" max="4609" width="9.08984375" style="883"/>
    <col min="4610" max="4610" width="21.6328125" style="883" customWidth="1"/>
    <col min="4611" max="4611" width="27.90625" style="883" customWidth="1"/>
    <col min="4612" max="4612" width="33.90625" style="883" customWidth="1"/>
    <col min="4613" max="4613" width="60" style="883" customWidth="1"/>
    <col min="4614" max="4614" width="164.08984375" style="883" customWidth="1"/>
    <col min="4615" max="4615" width="24.453125" style="883" customWidth="1"/>
    <col min="4616" max="4616" width="10.6328125" style="883" bestFit="1" customWidth="1"/>
    <col min="4617" max="4865" width="9.08984375" style="883"/>
    <col min="4866" max="4866" width="21.6328125" style="883" customWidth="1"/>
    <col min="4867" max="4867" width="27.90625" style="883" customWidth="1"/>
    <col min="4868" max="4868" width="33.90625" style="883" customWidth="1"/>
    <col min="4869" max="4869" width="60" style="883" customWidth="1"/>
    <col min="4870" max="4870" width="164.08984375" style="883" customWidth="1"/>
    <col min="4871" max="4871" width="24.453125" style="883" customWidth="1"/>
    <col min="4872" max="4872" width="10.6328125" style="883" bestFit="1" customWidth="1"/>
    <col min="4873" max="5121" width="9.08984375" style="883"/>
    <col min="5122" max="5122" width="21.6328125" style="883" customWidth="1"/>
    <col min="5123" max="5123" width="27.90625" style="883" customWidth="1"/>
    <col min="5124" max="5124" width="33.90625" style="883" customWidth="1"/>
    <col min="5125" max="5125" width="60" style="883" customWidth="1"/>
    <col min="5126" max="5126" width="164.08984375" style="883" customWidth="1"/>
    <col min="5127" max="5127" width="24.453125" style="883" customWidth="1"/>
    <col min="5128" max="5128" width="10.6328125" style="883" bestFit="1" customWidth="1"/>
    <col min="5129" max="5377" width="9.08984375" style="883"/>
    <col min="5378" max="5378" width="21.6328125" style="883" customWidth="1"/>
    <col min="5379" max="5379" width="27.90625" style="883" customWidth="1"/>
    <col min="5380" max="5380" width="33.90625" style="883" customWidth="1"/>
    <col min="5381" max="5381" width="60" style="883" customWidth="1"/>
    <col min="5382" max="5382" width="164.08984375" style="883" customWidth="1"/>
    <col min="5383" max="5383" width="24.453125" style="883" customWidth="1"/>
    <col min="5384" max="5384" width="10.6328125" style="883" bestFit="1" customWidth="1"/>
    <col min="5385" max="5633" width="9.08984375" style="883"/>
    <col min="5634" max="5634" width="21.6328125" style="883" customWidth="1"/>
    <col min="5635" max="5635" width="27.90625" style="883" customWidth="1"/>
    <col min="5636" max="5636" width="33.90625" style="883" customWidth="1"/>
    <col min="5637" max="5637" width="60" style="883" customWidth="1"/>
    <col min="5638" max="5638" width="164.08984375" style="883" customWidth="1"/>
    <col min="5639" max="5639" width="24.453125" style="883" customWidth="1"/>
    <col min="5640" max="5640" width="10.6328125" style="883" bestFit="1" customWidth="1"/>
    <col min="5641" max="5889" width="9.08984375" style="883"/>
    <col min="5890" max="5890" width="21.6328125" style="883" customWidth="1"/>
    <col min="5891" max="5891" width="27.90625" style="883" customWidth="1"/>
    <col min="5892" max="5892" width="33.90625" style="883" customWidth="1"/>
    <col min="5893" max="5893" width="60" style="883" customWidth="1"/>
    <col min="5894" max="5894" width="164.08984375" style="883" customWidth="1"/>
    <col min="5895" max="5895" width="24.453125" style="883" customWidth="1"/>
    <col min="5896" max="5896" width="10.6328125" style="883" bestFit="1" customWidth="1"/>
    <col min="5897" max="6145" width="9.08984375" style="883"/>
    <col min="6146" max="6146" width="21.6328125" style="883" customWidth="1"/>
    <col min="6147" max="6147" width="27.90625" style="883" customWidth="1"/>
    <col min="6148" max="6148" width="33.90625" style="883" customWidth="1"/>
    <col min="6149" max="6149" width="60" style="883" customWidth="1"/>
    <col min="6150" max="6150" width="164.08984375" style="883" customWidth="1"/>
    <col min="6151" max="6151" width="24.453125" style="883" customWidth="1"/>
    <col min="6152" max="6152" width="10.6328125" style="883" bestFit="1" customWidth="1"/>
    <col min="6153" max="6401" width="9.08984375" style="883"/>
    <col min="6402" max="6402" width="21.6328125" style="883" customWidth="1"/>
    <col min="6403" max="6403" width="27.90625" style="883" customWidth="1"/>
    <col min="6404" max="6404" width="33.90625" style="883" customWidth="1"/>
    <col min="6405" max="6405" width="60" style="883" customWidth="1"/>
    <col min="6406" max="6406" width="164.08984375" style="883" customWidth="1"/>
    <col min="6407" max="6407" width="24.453125" style="883" customWidth="1"/>
    <col min="6408" max="6408" width="10.6328125" style="883" bestFit="1" customWidth="1"/>
    <col min="6409" max="6657" width="9.08984375" style="883"/>
    <col min="6658" max="6658" width="21.6328125" style="883" customWidth="1"/>
    <col min="6659" max="6659" width="27.90625" style="883" customWidth="1"/>
    <col min="6660" max="6660" width="33.90625" style="883" customWidth="1"/>
    <col min="6661" max="6661" width="60" style="883" customWidth="1"/>
    <col min="6662" max="6662" width="164.08984375" style="883" customWidth="1"/>
    <col min="6663" max="6663" width="24.453125" style="883" customWidth="1"/>
    <col min="6664" max="6664" width="10.6328125" style="883" bestFit="1" customWidth="1"/>
    <col min="6665" max="6913" width="9.08984375" style="883"/>
    <col min="6914" max="6914" width="21.6328125" style="883" customWidth="1"/>
    <col min="6915" max="6915" width="27.90625" style="883" customWidth="1"/>
    <col min="6916" max="6916" width="33.90625" style="883" customWidth="1"/>
    <col min="6917" max="6917" width="60" style="883" customWidth="1"/>
    <col min="6918" max="6918" width="164.08984375" style="883" customWidth="1"/>
    <col min="6919" max="6919" width="24.453125" style="883" customWidth="1"/>
    <col min="6920" max="6920" width="10.6328125" style="883" bestFit="1" customWidth="1"/>
    <col min="6921" max="7169" width="9.08984375" style="883"/>
    <col min="7170" max="7170" width="21.6328125" style="883" customWidth="1"/>
    <col min="7171" max="7171" width="27.90625" style="883" customWidth="1"/>
    <col min="7172" max="7172" width="33.90625" style="883" customWidth="1"/>
    <col min="7173" max="7173" width="60" style="883" customWidth="1"/>
    <col min="7174" max="7174" width="164.08984375" style="883" customWidth="1"/>
    <col min="7175" max="7175" width="24.453125" style="883" customWidth="1"/>
    <col min="7176" max="7176" width="10.6328125" style="883" bestFit="1" customWidth="1"/>
    <col min="7177" max="7425" width="9.08984375" style="883"/>
    <col min="7426" max="7426" width="21.6328125" style="883" customWidth="1"/>
    <col min="7427" max="7427" width="27.90625" style="883" customWidth="1"/>
    <col min="7428" max="7428" width="33.90625" style="883" customWidth="1"/>
    <col min="7429" max="7429" width="60" style="883" customWidth="1"/>
    <col min="7430" max="7430" width="164.08984375" style="883" customWidth="1"/>
    <col min="7431" max="7431" width="24.453125" style="883" customWidth="1"/>
    <col min="7432" max="7432" width="10.6328125" style="883" bestFit="1" customWidth="1"/>
    <col min="7433" max="7681" width="9.08984375" style="883"/>
    <col min="7682" max="7682" width="21.6328125" style="883" customWidth="1"/>
    <col min="7683" max="7683" width="27.90625" style="883" customWidth="1"/>
    <col min="7684" max="7684" width="33.90625" style="883" customWidth="1"/>
    <col min="7685" max="7685" width="60" style="883" customWidth="1"/>
    <col min="7686" max="7686" width="164.08984375" style="883" customWidth="1"/>
    <col min="7687" max="7687" width="24.453125" style="883" customWidth="1"/>
    <col min="7688" max="7688" width="10.6328125" style="883" bestFit="1" customWidth="1"/>
    <col min="7689" max="7937" width="9.08984375" style="883"/>
    <col min="7938" max="7938" width="21.6328125" style="883" customWidth="1"/>
    <col min="7939" max="7939" width="27.90625" style="883" customWidth="1"/>
    <col min="7940" max="7940" width="33.90625" style="883" customWidth="1"/>
    <col min="7941" max="7941" width="60" style="883" customWidth="1"/>
    <col min="7942" max="7942" width="164.08984375" style="883" customWidth="1"/>
    <col min="7943" max="7943" width="24.453125" style="883" customWidth="1"/>
    <col min="7944" max="7944" width="10.6328125" style="883" bestFit="1" customWidth="1"/>
    <col min="7945" max="8193" width="9.08984375" style="883"/>
    <col min="8194" max="8194" width="21.6328125" style="883" customWidth="1"/>
    <col min="8195" max="8195" width="27.90625" style="883" customWidth="1"/>
    <col min="8196" max="8196" width="33.90625" style="883" customWidth="1"/>
    <col min="8197" max="8197" width="60" style="883" customWidth="1"/>
    <col min="8198" max="8198" width="164.08984375" style="883" customWidth="1"/>
    <col min="8199" max="8199" width="24.453125" style="883" customWidth="1"/>
    <col min="8200" max="8200" width="10.6328125" style="883" bestFit="1" customWidth="1"/>
    <col min="8201" max="8449" width="9.08984375" style="883"/>
    <col min="8450" max="8450" width="21.6328125" style="883" customWidth="1"/>
    <col min="8451" max="8451" width="27.90625" style="883" customWidth="1"/>
    <col min="8452" max="8452" width="33.90625" style="883" customWidth="1"/>
    <col min="8453" max="8453" width="60" style="883" customWidth="1"/>
    <col min="8454" max="8454" width="164.08984375" style="883" customWidth="1"/>
    <col min="8455" max="8455" width="24.453125" style="883" customWidth="1"/>
    <col min="8456" max="8456" width="10.6328125" style="883" bestFit="1" customWidth="1"/>
    <col min="8457" max="8705" width="9.08984375" style="883"/>
    <col min="8706" max="8706" width="21.6328125" style="883" customWidth="1"/>
    <col min="8707" max="8707" width="27.90625" style="883" customWidth="1"/>
    <col min="8708" max="8708" width="33.90625" style="883" customWidth="1"/>
    <col min="8709" max="8709" width="60" style="883" customWidth="1"/>
    <col min="8710" max="8710" width="164.08984375" style="883" customWidth="1"/>
    <col min="8711" max="8711" width="24.453125" style="883" customWidth="1"/>
    <col min="8712" max="8712" width="10.6328125" style="883" bestFit="1" customWidth="1"/>
    <col min="8713" max="8961" width="9.08984375" style="883"/>
    <col min="8962" max="8962" width="21.6328125" style="883" customWidth="1"/>
    <col min="8963" max="8963" width="27.90625" style="883" customWidth="1"/>
    <col min="8964" max="8964" width="33.90625" style="883" customWidth="1"/>
    <col min="8965" max="8965" width="60" style="883" customWidth="1"/>
    <col min="8966" max="8966" width="164.08984375" style="883" customWidth="1"/>
    <col min="8967" max="8967" width="24.453125" style="883" customWidth="1"/>
    <col min="8968" max="8968" width="10.6328125" style="883" bestFit="1" customWidth="1"/>
    <col min="8969" max="9217" width="9.08984375" style="883"/>
    <col min="9218" max="9218" width="21.6328125" style="883" customWidth="1"/>
    <col min="9219" max="9219" width="27.90625" style="883" customWidth="1"/>
    <col min="9220" max="9220" width="33.90625" style="883" customWidth="1"/>
    <col min="9221" max="9221" width="60" style="883" customWidth="1"/>
    <col min="9222" max="9222" width="164.08984375" style="883" customWidth="1"/>
    <col min="9223" max="9223" width="24.453125" style="883" customWidth="1"/>
    <col min="9224" max="9224" width="10.6328125" style="883" bestFit="1" customWidth="1"/>
    <col min="9225" max="9473" width="9.08984375" style="883"/>
    <col min="9474" max="9474" width="21.6328125" style="883" customWidth="1"/>
    <col min="9475" max="9475" width="27.90625" style="883" customWidth="1"/>
    <col min="9476" max="9476" width="33.90625" style="883" customWidth="1"/>
    <col min="9477" max="9477" width="60" style="883" customWidth="1"/>
    <col min="9478" max="9478" width="164.08984375" style="883" customWidth="1"/>
    <col min="9479" max="9479" width="24.453125" style="883" customWidth="1"/>
    <col min="9480" max="9480" width="10.6328125" style="883" bestFit="1" customWidth="1"/>
    <col min="9481" max="9729" width="9.08984375" style="883"/>
    <col min="9730" max="9730" width="21.6328125" style="883" customWidth="1"/>
    <col min="9731" max="9731" width="27.90625" style="883" customWidth="1"/>
    <col min="9732" max="9732" width="33.90625" style="883" customWidth="1"/>
    <col min="9733" max="9733" width="60" style="883" customWidth="1"/>
    <col min="9734" max="9734" width="164.08984375" style="883" customWidth="1"/>
    <col min="9735" max="9735" width="24.453125" style="883" customWidth="1"/>
    <col min="9736" max="9736" width="10.6328125" style="883" bestFit="1" customWidth="1"/>
    <col min="9737" max="9985" width="9.08984375" style="883"/>
    <col min="9986" max="9986" width="21.6328125" style="883" customWidth="1"/>
    <col min="9987" max="9987" width="27.90625" style="883" customWidth="1"/>
    <col min="9988" max="9988" width="33.90625" style="883" customWidth="1"/>
    <col min="9989" max="9989" width="60" style="883" customWidth="1"/>
    <col min="9990" max="9990" width="164.08984375" style="883" customWidth="1"/>
    <col min="9991" max="9991" width="24.453125" style="883" customWidth="1"/>
    <col min="9992" max="9992" width="10.6328125" style="883" bestFit="1" customWidth="1"/>
    <col min="9993" max="10241" width="9.08984375" style="883"/>
    <col min="10242" max="10242" width="21.6328125" style="883" customWidth="1"/>
    <col min="10243" max="10243" width="27.90625" style="883" customWidth="1"/>
    <col min="10244" max="10244" width="33.90625" style="883" customWidth="1"/>
    <col min="10245" max="10245" width="60" style="883" customWidth="1"/>
    <col min="10246" max="10246" width="164.08984375" style="883" customWidth="1"/>
    <col min="10247" max="10247" width="24.453125" style="883" customWidth="1"/>
    <col min="10248" max="10248" width="10.6328125" style="883" bestFit="1" customWidth="1"/>
    <col min="10249" max="10497" width="9.08984375" style="883"/>
    <col min="10498" max="10498" width="21.6328125" style="883" customWidth="1"/>
    <col min="10499" max="10499" width="27.90625" style="883" customWidth="1"/>
    <col min="10500" max="10500" width="33.90625" style="883" customWidth="1"/>
    <col min="10501" max="10501" width="60" style="883" customWidth="1"/>
    <col min="10502" max="10502" width="164.08984375" style="883" customWidth="1"/>
    <col min="10503" max="10503" width="24.453125" style="883" customWidth="1"/>
    <col min="10504" max="10504" width="10.6328125" style="883" bestFit="1" customWidth="1"/>
    <col min="10505" max="10753" width="9.08984375" style="883"/>
    <col min="10754" max="10754" width="21.6328125" style="883" customWidth="1"/>
    <col min="10755" max="10755" width="27.90625" style="883" customWidth="1"/>
    <col min="10756" max="10756" width="33.90625" style="883" customWidth="1"/>
    <col min="10757" max="10757" width="60" style="883" customWidth="1"/>
    <col min="10758" max="10758" width="164.08984375" style="883" customWidth="1"/>
    <col min="10759" max="10759" width="24.453125" style="883" customWidth="1"/>
    <col min="10760" max="10760" width="10.6328125" style="883" bestFit="1" customWidth="1"/>
    <col min="10761" max="11009" width="9.08984375" style="883"/>
    <col min="11010" max="11010" width="21.6328125" style="883" customWidth="1"/>
    <col min="11011" max="11011" width="27.90625" style="883" customWidth="1"/>
    <col min="11012" max="11012" width="33.90625" style="883" customWidth="1"/>
    <col min="11013" max="11013" width="60" style="883" customWidth="1"/>
    <col min="11014" max="11014" width="164.08984375" style="883" customWidth="1"/>
    <col min="11015" max="11015" width="24.453125" style="883" customWidth="1"/>
    <col min="11016" max="11016" width="10.6328125" style="883" bestFit="1" customWidth="1"/>
    <col min="11017" max="11265" width="9.08984375" style="883"/>
    <col min="11266" max="11266" width="21.6328125" style="883" customWidth="1"/>
    <col min="11267" max="11267" width="27.90625" style="883" customWidth="1"/>
    <col min="11268" max="11268" width="33.90625" style="883" customWidth="1"/>
    <col min="11269" max="11269" width="60" style="883" customWidth="1"/>
    <col min="11270" max="11270" width="164.08984375" style="883" customWidth="1"/>
    <col min="11271" max="11271" width="24.453125" style="883" customWidth="1"/>
    <col min="11272" max="11272" width="10.6328125" style="883" bestFit="1" customWidth="1"/>
    <col min="11273" max="11521" width="9.08984375" style="883"/>
    <col min="11522" max="11522" width="21.6328125" style="883" customWidth="1"/>
    <col min="11523" max="11523" width="27.90625" style="883" customWidth="1"/>
    <col min="11524" max="11524" width="33.90625" style="883" customWidth="1"/>
    <col min="11525" max="11525" width="60" style="883" customWidth="1"/>
    <col min="11526" max="11526" width="164.08984375" style="883" customWidth="1"/>
    <col min="11527" max="11527" width="24.453125" style="883" customWidth="1"/>
    <col min="11528" max="11528" width="10.6328125" style="883" bestFit="1" customWidth="1"/>
    <col min="11529" max="11777" width="9.08984375" style="883"/>
    <col min="11778" max="11778" width="21.6328125" style="883" customWidth="1"/>
    <col min="11779" max="11779" width="27.90625" style="883" customWidth="1"/>
    <col min="11780" max="11780" width="33.90625" style="883" customWidth="1"/>
    <col min="11781" max="11781" width="60" style="883" customWidth="1"/>
    <col min="11782" max="11782" width="164.08984375" style="883" customWidth="1"/>
    <col min="11783" max="11783" width="24.453125" style="883" customWidth="1"/>
    <col min="11784" max="11784" width="10.6328125" style="883" bestFit="1" customWidth="1"/>
    <col min="11785" max="12033" width="9.08984375" style="883"/>
    <col min="12034" max="12034" width="21.6328125" style="883" customWidth="1"/>
    <col min="12035" max="12035" width="27.90625" style="883" customWidth="1"/>
    <col min="12036" max="12036" width="33.90625" style="883" customWidth="1"/>
    <col min="12037" max="12037" width="60" style="883" customWidth="1"/>
    <col min="12038" max="12038" width="164.08984375" style="883" customWidth="1"/>
    <col min="12039" max="12039" width="24.453125" style="883" customWidth="1"/>
    <col min="12040" max="12040" width="10.6328125" style="883" bestFit="1" customWidth="1"/>
    <col min="12041" max="12289" width="9.08984375" style="883"/>
    <col min="12290" max="12290" width="21.6328125" style="883" customWidth="1"/>
    <col min="12291" max="12291" width="27.90625" style="883" customWidth="1"/>
    <col min="12292" max="12292" width="33.90625" style="883" customWidth="1"/>
    <col min="12293" max="12293" width="60" style="883" customWidth="1"/>
    <col min="12294" max="12294" width="164.08984375" style="883" customWidth="1"/>
    <col min="12295" max="12295" width="24.453125" style="883" customWidth="1"/>
    <col min="12296" max="12296" width="10.6328125" style="883" bestFit="1" customWidth="1"/>
    <col min="12297" max="12545" width="9.08984375" style="883"/>
    <col min="12546" max="12546" width="21.6328125" style="883" customWidth="1"/>
    <col min="12547" max="12547" width="27.90625" style="883" customWidth="1"/>
    <col min="12548" max="12548" width="33.90625" style="883" customWidth="1"/>
    <col min="12549" max="12549" width="60" style="883" customWidth="1"/>
    <col min="12550" max="12550" width="164.08984375" style="883" customWidth="1"/>
    <col min="12551" max="12551" width="24.453125" style="883" customWidth="1"/>
    <col min="12552" max="12552" width="10.6328125" style="883" bestFit="1" customWidth="1"/>
    <col min="12553" max="12801" width="9.08984375" style="883"/>
    <col min="12802" max="12802" width="21.6328125" style="883" customWidth="1"/>
    <col min="12803" max="12803" width="27.90625" style="883" customWidth="1"/>
    <col min="12804" max="12804" width="33.90625" style="883" customWidth="1"/>
    <col min="12805" max="12805" width="60" style="883" customWidth="1"/>
    <col min="12806" max="12806" width="164.08984375" style="883" customWidth="1"/>
    <col min="12807" max="12807" width="24.453125" style="883" customWidth="1"/>
    <col min="12808" max="12808" width="10.6328125" style="883" bestFit="1" customWidth="1"/>
    <col min="12809" max="13057" width="9.08984375" style="883"/>
    <col min="13058" max="13058" width="21.6328125" style="883" customWidth="1"/>
    <col min="13059" max="13059" width="27.90625" style="883" customWidth="1"/>
    <col min="13060" max="13060" width="33.90625" style="883" customWidth="1"/>
    <col min="13061" max="13061" width="60" style="883" customWidth="1"/>
    <col min="13062" max="13062" width="164.08984375" style="883" customWidth="1"/>
    <col min="13063" max="13063" width="24.453125" style="883" customWidth="1"/>
    <col min="13064" max="13064" width="10.6328125" style="883" bestFit="1" customWidth="1"/>
    <col min="13065" max="13313" width="9.08984375" style="883"/>
    <col min="13314" max="13314" width="21.6328125" style="883" customWidth="1"/>
    <col min="13315" max="13315" width="27.90625" style="883" customWidth="1"/>
    <col min="13316" max="13316" width="33.90625" style="883" customWidth="1"/>
    <col min="13317" max="13317" width="60" style="883" customWidth="1"/>
    <col min="13318" max="13318" width="164.08984375" style="883" customWidth="1"/>
    <col min="13319" max="13319" width="24.453125" style="883" customWidth="1"/>
    <col min="13320" max="13320" width="10.6328125" style="883" bestFit="1" customWidth="1"/>
    <col min="13321" max="13569" width="9.08984375" style="883"/>
    <col min="13570" max="13570" width="21.6328125" style="883" customWidth="1"/>
    <col min="13571" max="13571" width="27.90625" style="883" customWidth="1"/>
    <col min="13572" max="13572" width="33.90625" style="883" customWidth="1"/>
    <col min="13573" max="13573" width="60" style="883" customWidth="1"/>
    <col min="13574" max="13574" width="164.08984375" style="883" customWidth="1"/>
    <col min="13575" max="13575" width="24.453125" style="883" customWidth="1"/>
    <col min="13576" max="13576" width="10.6328125" style="883" bestFit="1" customWidth="1"/>
    <col min="13577" max="13825" width="9.08984375" style="883"/>
    <col min="13826" max="13826" width="21.6328125" style="883" customWidth="1"/>
    <col min="13827" max="13827" width="27.90625" style="883" customWidth="1"/>
    <col min="13828" max="13828" width="33.90625" style="883" customWidth="1"/>
    <col min="13829" max="13829" width="60" style="883" customWidth="1"/>
    <col min="13830" max="13830" width="164.08984375" style="883" customWidth="1"/>
    <col min="13831" max="13831" width="24.453125" style="883" customWidth="1"/>
    <col min="13832" max="13832" width="10.6328125" style="883" bestFit="1" customWidth="1"/>
    <col min="13833" max="14081" width="9.08984375" style="883"/>
    <col min="14082" max="14082" width="21.6328125" style="883" customWidth="1"/>
    <col min="14083" max="14083" width="27.90625" style="883" customWidth="1"/>
    <col min="14084" max="14084" width="33.90625" style="883" customWidth="1"/>
    <col min="14085" max="14085" width="60" style="883" customWidth="1"/>
    <col min="14086" max="14086" width="164.08984375" style="883" customWidth="1"/>
    <col min="14087" max="14087" width="24.453125" style="883" customWidth="1"/>
    <col min="14088" max="14088" width="10.6328125" style="883" bestFit="1" customWidth="1"/>
    <col min="14089" max="14337" width="9.08984375" style="883"/>
    <col min="14338" max="14338" width="21.6328125" style="883" customWidth="1"/>
    <col min="14339" max="14339" width="27.90625" style="883" customWidth="1"/>
    <col min="14340" max="14340" width="33.90625" style="883" customWidth="1"/>
    <col min="14341" max="14341" width="60" style="883" customWidth="1"/>
    <col min="14342" max="14342" width="164.08984375" style="883" customWidth="1"/>
    <col min="14343" max="14343" width="24.453125" style="883" customWidth="1"/>
    <col min="14344" max="14344" width="10.6328125" style="883" bestFit="1" customWidth="1"/>
    <col min="14345" max="14593" width="9.08984375" style="883"/>
    <col min="14594" max="14594" width="21.6328125" style="883" customWidth="1"/>
    <col min="14595" max="14595" width="27.90625" style="883" customWidth="1"/>
    <col min="14596" max="14596" width="33.90625" style="883" customWidth="1"/>
    <col min="14597" max="14597" width="60" style="883" customWidth="1"/>
    <col min="14598" max="14598" width="164.08984375" style="883" customWidth="1"/>
    <col min="14599" max="14599" width="24.453125" style="883" customWidth="1"/>
    <col min="14600" max="14600" width="10.6328125" style="883" bestFit="1" customWidth="1"/>
    <col min="14601" max="14849" width="9.08984375" style="883"/>
    <col min="14850" max="14850" width="21.6328125" style="883" customWidth="1"/>
    <col min="14851" max="14851" width="27.90625" style="883" customWidth="1"/>
    <col min="14852" max="14852" width="33.90625" style="883" customWidth="1"/>
    <col min="14853" max="14853" width="60" style="883" customWidth="1"/>
    <col min="14854" max="14854" width="164.08984375" style="883" customWidth="1"/>
    <col min="14855" max="14855" width="24.453125" style="883" customWidth="1"/>
    <col min="14856" max="14856" width="10.6328125" style="883" bestFit="1" customWidth="1"/>
    <col min="14857" max="15105" width="9.08984375" style="883"/>
    <col min="15106" max="15106" width="21.6328125" style="883" customWidth="1"/>
    <col min="15107" max="15107" width="27.90625" style="883" customWidth="1"/>
    <col min="15108" max="15108" width="33.90625" style="883" customWidth="1"/>
    <col min="15109" max="15109" width="60" style="883" customWidth="1"/>
    <col min="15110" max="15110" width="164.08984375" style="883" customWidth="1"/>
    <col min="15111" max="15111" width="24.453125" style="883" customWidth="1"/>
    <col min="15112" max="15112" width="10.6328125" style="883" bestFit="1" customWidth="1"/>
    <col min="15113" max="15361" width="9.08984375" style="883"/>
    <col min="15362" max="15362" width="21.6328125" style="883" customWidth="1"/>
    <col min="15363" max="15363" width="27.90625" style="883" customWidth="1"/>
    <col min="15364" max="15364" width="33.90625" style="883" customWidth="1"/>
    <col min="15365" max="15365" width="60" style="883" customWidth="1"/>
    <col min="15366" max="15366" width="164.08984375" style="883" customWidth="1"/>
    <col min="15367" max="15367" width="24.453125" style="883" customWidth="1"/>
    <col min="15368" max="15368" width="10.6328125" style="883" bestFit="1" customWidth="1"/>
    <col min="15369" max="15617" width="9.08984375" style="883"/>
    <col min="15618" max="15618" width="21.6328125" style="883" customWidth="1"/>
    <col min="15619" max="15619" width="27.90625" style="883" customWidth="1"/>
    <col min="15620" max="15620" width="33.90625" style="883" customWidth="1"/>
    <col min="15621" max="15621" width="60" style="883" customWidth="1"/>
    <col min="15622" max="15622" width="164.08984375" style="883" customWidth="1"/>
    <col min="15623" max="15623" width="24.453125" style="883" customWidth="1"/>
    <col min="15624" max="15624" width="10.6328125" style="883" bestFit="1" customWidth="1"/>
    <col min="15625" max="15873" width="9.08984375" style="883"/>
    <col min="15874" max="15874" width="21.6328125" style="883" customWidth="1"/>
    <col min="15875" max="15875" width="27.90625" style="883" customWidth="1"/>
    <col min="15876" max="15876" width="33.90625" style="883" customWidth="1"/>
    <col min="15877" max="15877" width="60" style="883" customWidth="1"/>
    <col min="15878" max="15878" width="164.08984375" style="883" customWidth="1"/>
    <col min="15879" max="15879" width="24.453125" style="883" customWidth="1"/>
    <col min="15880" max="15880" width="10.6328125" style="883" bestFit="1" customWidth="1"/>
    <col min="15881" max="16129" width="9.08984375" style="883"/>
    <col min="16130" max="16130" width="21.6328125" style="883" customWidth="1"/>
    <col min="16131" max="16131" width="27.90625" style="883" customWidth="1"/>
    <col min="16132" max="16132" width="33.90625" style="883" customWidth="1"/>
    <col min="16133" max="16133" width="60" style="883" customWidth="1"/>
    <col min="16134" max="16134" width="164.08984375" style="883" customWidth="1"/>
    <col min="16135" max="16135" width="24.453125" style="883" customWidth="1"/>
    <col min="16136" max="16136" width="10.6328125" style="883" bestFit="1" customWidth="1"/>
    <col min="16137" max="16384" width="9.08984375" style="883"/>
  </cols>
  <sheetData>
    <row r="1" spans="2:12" x14ac:dyDescent="0.3">
      <c r="C1" s="905"/>
      <c r="D1" s="905"/>
    </row>
    <row r="2" spans="2:12" x14ac:dyDescent="0.3">
      <c r="C2" s="96"/>
      <c r="D2" s="96"/>
      <c r="E2" s="859" t="str">
        <f>Index!B2</f>
        <v xml:space="preserve">      Maharashtra State Power Generation Company Ltd.</v>
      </c>
      <c r="F2" s="96"/>
      <c r="G2" s="96"/>
      <c r="H2" s="96"/>
      <c r="I2" s="96"/>
    </row>
    <row r="3" spans="2:12" x14ac:dyDescent="0.3">
      <c r="C3" s="494"/>
      <c r="D3" s="494"/>
      <c r="E3" s="903" t="s">
        <v>1104</v>
      </c>
      <c r="F3" s="494"/>
      <c r="G3" s="494"/>
      <c r="H3" s="494"/>
      <c r="I3" s="494"/>
    </row>
    <row r="4" spans="2:12" x14ac:dyDescent="0.3">
      <c r="C4" s="494"/>
      <c r="D4" s="494"/>
      <c r="E4" s="903" t="s">
        <v>1105</v>
      </c>
      <c r="F4" s="494"/>
      <c r="G4" s="494"/>
      <c r="H4" s="494"/>
      <c r="I4" s="494"/>
    </row>
    <row r="5" spans="2:12" x14ac:dyDescent="0.3">
      <c r="B5" s="906"/>
      <c r="C5" s="906"/>
      <c r="D5" s="906"/>
    </row>
    <row r="6" spans="2:12" s="908" customFormat="1" ht="42" x14ac:dyDescent="0.25">
      <c r="B6" s="907" t="s">
        <v>37</v>
      </c>
      <c r="C6" s="907" t="s">
        <v>1106</v>
      </c>
      <c r="D6" s="907" t="s">
        <v>1107</v>
      </c>
      <c r="E6" s="907" t="s">
        <v>1108</v>
      </c>
      <c r="F6" s="907" t="s">
        <v>1109</v>
      </c>
    </row>
    <row r="7" spans="2:12" s="908" customFormat="1" x14ac:dyDescent="0.25">
      <c r="B7" s="1876" t="s">
        <v>1110</v>
      </c>
      <c r="C7" s="1877"/>
      <c r="D7" s="1877"/>
      <c r="E7" s="1877"/>
      <c r="F7" s="1878"/>
    </row>
    <row r="8" spans="2:12" s="908" customFormat="1" x14ac:dyDescent="0.25">
      <c r="B8" s="1879"/>
      <c r="C8" s="1880"/>
      <c r="D8" s="1880"/>
      <c r="E8" s="1880"/>
      <c r="F8" s="1881"/>
    </row>
    <row r="9" spans="2:12" s="908" customFormat="1" x14ac:dyDescent="0.25">
      <c r="B9" s="1879"/>
      <c r="C9" s="1880"/>
      <c r="D9" s="1880"/>
      <c r="E9" s="1880"/>
      <c r="F9" s="1881"/>
    </row>
    <row r="10" spans="2:12" s="908" customFormat="1" x14ac:dyDescent="0.25">
      <c r="B10" s="1879"/>
      <c r="C10" s="1880"/>
      <c r="D10" s="1880"/>
      <c r="E10" s="1880"/>
      <c r="F10" s="1881"/>
    </row>
    <row r="11" spans="2:12" s="908" customFormat="1" x14ac:dyDescent="0.25">
      <c r="B11" s="1879"/>
      <c r="C11" s="1880"/>
      <c r="D11" s="1880"/>
      <c r="E11" s="1880"/>
      <c r="F11" s="1881"/>
    </row>
    <row r="12" spans="2:12" s="908" customFormat="1" x14ac:dyDescent="0.25">
      <c r="B12" s="1882"/>
      <c r="C12" s="1883"/>
      <c r="D12" s="1883"/>
      <c r="E12" s="1883"/>
      <c r="F12" s="1884"/>
    </row>
    <row r="13" spans="2:12" s="908" customFormat="1" x14ac:dyDescent="0.3">
      <c r="B13" s="909"/>
      <c r="C13" s="571"/>
      <c r="D13" s="910"/>
      <c r="E13" s="909"/>
      <c r="F13" s="571"/>
      <c r="G13" s="911"/>
      <c r="H13" s="572"/>
      <c r="I13" s="910"/>
      <c r="J13" s="912"/>
      <c r="L13" s="913"/>
    </row>
    <row r="14" spans="2:12" x14ac:dyDescent="0.3">
      <c r="B14" s="883" t="s">
        <v>1111</v>
      </c>
    </row>
    <row r="29" spans="3:3" ht="29.4" customHeight="1" x14ac:dyDescent="0.3">
      <c r="C29" s="914"/>
    </row>
  </sheetData>
  <mergeCells count="1">
    <mergeCell ref="B7:F12"/>
  </mergeCells>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G29"/>
  <sheetViews>
    <sheetView showGridLines="0" view="pageBreakPreview" zoomScale="80" zoomScaleNormal="75" zoomScaleSheetLayoutView="80" workbookViewId="0">
      <selection activeCell="C3" sqref="C3"/>
    </sheetView>
  </sheetViews>
  <sheetFormatPr defaultColWidth="9.08984375" defaultRowHeight="14" x14ac:dyDescent="0.3"/>
  <cols>
    <col min="1" max="1" width="9.08984375" style="883"/>
    <col min="2" max="2" width="62.08984375" style="883" customWidth="1"/>
    <col min="3" max="3" width="24.54296875" style="883" customWidth="1"/>
    <col min="4" max="4" width="19.54296875" style="883" customWidth="1"/>
    <col min="5" max="5" width="18.453125" style="883" customWidth="1"/>
    <col min="6" max="6" width="21.6328125" style="883" customWidth="1"/>
    <col min="7" max="7" width="21.36328125" style="883" customWidth="1"/>
    <col min="8" max="258" width="9.08984375" style="883"/>
    <col min="259" max="259" width="110.36328125" style="883" customWidth="1"/>
    <col min="260" max="260" width="43.54296875" style="883" customWidth="1"/>
    <col min="261" max="261" width="35.54296875" style="883" customWidth="1"/>
    <col min="262" max="262" width="36" style="883" customWidth="1"/>
    <col min="263" max="263" width="34.90625" style="883" customWidth="1"/>
    <col min="264" max="514" width="9.08984375" style="883"/>
    <col min="515" max="515" width="110.36328125" style="883" customWidth="1"/>
    <col min="516" max="516" width="43.54296875" style="883" customWidth="1"/>
    <col min="517" max="517" width="35.54296875" style="883" customWidth="1"/>
    <col min="518" max="518" width="36" style="883" customWidth="1"/>
    <col min="519" max="519" width="34.90625" style="883" customWidth="1"/>
    <col min="520" max="770" width="9.08984375" style="883"/>
    <col min="771" max="771" width="110.36328125" style="883" customWidth="1"/>
    <col min="772" max="772" width="43.54296875" style="883" customWidth="1"/>
    <col min="773" max="773" width="35.54296875" style="883" customWidth="1"/>
    <col min="774" max="774" width="36" style="883" customWidth="1"/>
    <col min="775" max="775" width="34.90625" style="883" customWidth="1"/>
    <col min="776" max="1026" width="9.08984375" style="883"/>
    <col min="1027" max="1027" width="110.36328125" style="883" customWidth="1"/>
    <col min="1028" max="1028" width="43.54296875" style="883" customWidth="1"/>
    <col min="1029" max="1029" width="35.54296875" style="883" customWidth="1"/>
    <col min="1030" max="1030" width="36" style="883" customWidth="1"/>
    <col min="1031" max="1031" width="34.90625" style="883" customWidth="1"/>
    <col min="1032" max="1282" width="9.08984375" style="883"/>
    <col min="1283" max="1283" width="110.36328125" style="883" customWidth="1"/>
    <col min="1284" max="1284" width="43.54296875" style="883" customWidth="1"/>
    <col min="1285" max="1285" width="35.54296875" style="883" customWidth="1"/>
    <col min="1286" max="1286" width="36" style="883" customWidth="1"/>
    <col min="1287" max="1287" width="34.90625" style="883" customWidth="1"/>
    <col min="1288" max="1538" width="9.08984375" style="883"/>
    <col min="1539" max="1539" width="110.36328125" style="883" customWidth="1"/>
    <col min="1540" max="1540" width="43.54296875" style="883" customWidth="1"/>
    <col min="1541" max="1541" width="35.54296875" style="883" customWidth="1"/>
    <col min="1542" max="1542" width="36" style="883" customWidth="1"/>
    <col min="1543" max="1543" width="34.90625" style="883" customWidth="1"/>
    <col min="1544" max="1794" width="9.08984375" style="883"/>
    <col min="1795" max="1795" width="110.36328125" style="883" customWidth="1"/>
    <col min="1796" max="1796" width="43.54296875" style="883" customWidth="1"/>
    <col min="1797" max="1797" width="35.54296875" style="883" customWidth="1"/>
    <col min="1798" max="1798" width="36" style="883" customWidth="1"/>
    <col min="1799" max="1799" width="34.90625" style="883" customWidth="1"/>
    <col min="1800" max="2050" width="9.08984375" style="883"/>
    <col min="2051" max="2051" width="110.36328125" style="883" customWidth="1"/>
    <col min="2052" max="2052" width="43.54296875" style="883" customWidth="1"/>
    <col min="2053" max="2053" width="35.54296875" style="883" customWidth="1"/>
    <col min="2054" max="2054" width="36" style="883" customWidth="1"/>
    <col min="2055" max="2055" width="34.90625" style="883" customWidth="1"/>
    <col min="2056" max="2306" width="9.08984375" style="883"/>
    <col min="2307" max="2307" width="110.36328125" style="883" customWidth="1"/>
    <col min="2308" max="2308" width="43.54296875" style="883" customWidth="1"/>
    <col min="2309" max="2309" width="35.54296875" style="883" customWidth="1"/>
    <col min="2310" max="2310" width="36" style="883" customWidth="1"/>
    <col min="2311" max="2311" width="34.90625" style="883" customWidth="1"/>
    <col min="2312" max="2562" width="9.08984375" style="883"/>
    <col min="2563" max="2563" width="110.36328125" style="883" customWidth="1"/>
    <col min="2564" max="2564" width="43.54296875" style="883" customWidth="1"/>
    <col min="2565" max="2565" width="35.54296875" style="883" customWidth="1"/>
    <col min="2566" max="2566" width="36" style="883" customWidth="1"/>
    <col min="2567" max="2567" width="34.90625" style="883" customWidth="1"/>
    <col min="2568" max="2818" width="9.08984375" style="883"/>
    <col min="2819" max="2819" width="110.36328125" style="883" customWidth="1"/>
    <col min="2820" max="2820" width="43.54296875" style="883" customWidth="1"/>
    <col min="2821" max="2821" width="35.54296875" style="883" customWidth="1"/>
    <col min="2822" max="2822" width="36" style="883" customWidth="1"/>
    <col min="2823" max="2823" width="34.90625" style="883" customWidth="1"/>
    <col min="2824" max="3074" width="9.08984375" style="883"/>
    <col min="3075" max="3075" width="110.36328125" style="883" customWidth="1"/>
    <col min="3076" max="3076" width="43.54296875" style="883" customWidth="1"/>
    <col min="3077" max="3077" width="35.54296875" style="883" customWidth="1"/>
    <col min="3078" max="3078" width="36" style="883" customWidth="1"/>
    <col min="3079" max="3079" width="34.90625" style="883" customWidth="1"/>
    <col min="3080" max="3330" width="9.08984375" style="883"/>
    <col min="3331" max="3331" width="110.36328125" style="883" customWidth="1"/>
    <col min="3332" max="3332" width="43.54296875" style="883" customWidth="1"/>
    <col min="3333" max="3333" width="35.54296875" style="883" customWidth="1"/>
    <col min="3334" max="3334" width="36" style="883" customWidth="1"/>
    <col min="3335" max="3335" width="34.90625" style="883" customWidth="1"/>
    <col min="3336" max="3586" width="9.08984375" style="883"/>
    <col min="3587" max="3587" width="110.36328125" style="883" customWidth="1"/>
    <col min="3588" max="3588" width="43.54296875" style="883" customWidth="1"/>
    <col min="3589" max="3589" width="35.54296875" style="883" customWidth="1"/>
    <col min="3590" max="3590" width="36" style="883" customWidth="1"/>
    <col min="3591" max="3591" width="34.90625" style="883" customWidth="1"/>
    <col min="3592" max="3842" width="9.08984375" style="883"/>
    <col min="3843" max="3843" width="110.36328125" style="883" customWidth="1"/>
    <col min="3844" max="3844" width="43.54296875" style="883" customWidth="1"/>
    <col min="3845" max="3845" width="35.54296875" style="883" customWidth="1"/>
    <col min="3846" max="3846" width="36" style="883" customWidth="1"/>
    <col min="3847" max="3847" width="34.90625" style="883" customWidth="1"/>
    <col min="3848" max="4098" width="9.08984375" style="883"/>
    <col min="4099" max="4099" width="110.36328125" style="883" customWidth="1"/>
    <col min="4100" max="4100" width="43.54296875" style="883" customWidth="1"/>
    <col min="4101" max="4101" width="35.54296875" style="883" customWidth="1"/>
    <col min="4102" max="4102" width="36" style="883" customWidth="1"/>
    <col min="4103" max="4103" width="34.90625" style="883" customWidth="1"/>
    <col min="4104" max="4354" width="9.08984375" style="883"/>
    <col min="4355" max="4355" width="110.36328125" style="883" customWidth="1"/>
    <col min="4356" max="4356" width="43.54296875" style="883" customWidth="1"/>
    <col min="4357" max="4357" width="35.54296875" style="883" customWidth="1"/>
    <col min="4358" max="4358" width="36" style="883" customWidth="1"/>
    <col min="4359" max="4359" width="34.90625" style="883" customWidth="1"/>
    <col min="4360" max="4610" width="9.08984375" style="883"/>
    <col min="4611" max="4611" width="110.36328125" style="883" customWidth="1"/>
    <col min="4612" max="4612" width="43.54296875" style="883" customWidth="1"/>
    <col min="4613" max="4613" width="35.54296875" style="883" customWidth="1"/>
    <col min="4614" max="4614" width="36" style="883" customWidth="1"/>
    <col min="4615" max="4615" width="34.90625" style="883" customWidth="1"/>
    <col min="4616" max="4866" width="9.08984375" style="883"/>
    <col min="4867" max="4867" width="110.36328125" style="883" customWidth="1"/>
    <col min="4868" max="4868" width="43.54296875" style="883" customWidth="1"/>
    <col min="4869" max="4869" width="35.54296875" style="883" customWidth="1"/>
    <col min="4870" max="4870" width="36" style="883" customWidth="1"/>
    <col min="4871" max="4871" width="34.90625" style="883" customWidth="1"/>
    <col min="4872" max="5122" width="9.08984375" style="883"/>
    <col min="5123" max="5123" width="110.36328125" style="883" customWidth="1"/>
    <col min="5124" max="5124" width="43.54296875" style="883" customWidth="1"/>
    <col min="5125" max="5125" width="35.54296875" style="883" customWidth="1"/>
    <col min="5126" max="5126" width="36" style="883" customWidth="1"/>
    <col min="5127" max="5127" width="34.90625" style="883" customWidth="1"/>
    <col min="5128" max="5378" width="9.08984375" style="883"/>
    <col min="5379" max="5379" width="110.36328125" style="883" customWidth="1"/>
    <col min="5380" max="5380" width="43.54296875" style="883" customWidth="1"/>
    <col min="5381" max="5381" width="35.54296875" style="883" customWidth="1"/>
    <col min="5382" max="5382" width="36" style="883" customWidth="1"/>
    <col min="5383" max="5383" width="34.90625" style="883" customWidth="1"/>
    <col min="5384" max="5634" width="9.08984375" style="883"/>
    <col min="5635" max="5635" width="110.36328125" style="883" customWidth="1"/>
    <col min="5636" max="5636" width="43.54296875" style="883" customWidth="1"/>
    <col min="5637" max="5637" width="35.54296875" style="883" customWidth="1"/>
    <col min="5638" max="5638" width="36" style="883" customWidth="1"/>
    <col min="5639" max="5639" width="34.90625" style="883" customWidth="1"/>
    <col min="5640" max="5890" width="9.08984375" style="883"/>
    <col min="5891" max="5891" width="110.36328125" style="883" customWidth="1"/>
    <col min="5892" max="5892" width="43.54296875" style="883" customWidth="1"/>
    <col min="5893" max="5893" width="35.54296875" style="883" customWidth="1"/>
    <col min="5894" max="5894" width="36" style="883" customWidth="1"/>
    <col min="5895" max="5895" width="34.90625" style="883" customWidth="1"/>
    <col min="5896" max="6146" width="9.08984375" style="883"/>
    <col min="6147" max="6147" width="110.36328125" style="883" customWidth="1"/>
    <col min="6148" max="6148" width="43.54296875" style="883" customWidth="1"/>
    <col min="6149" max="6149" width="35.54296875" style="883" customWidth="1"/>
    <col min="6150" max="6150" width="36" style="883" customWidth="1"/>
    <col min="6151" max="6151" width="34.90625" style="883" customWidth="1"/>
    <col min="6152" max="6402" width="9.08984375" style="883"/>
    <col min="6403" max="6403" width="110.36328125" style="883" customWidth="1"/>
    <col min="6404" max="6404" width="43.54296875" style="883" customWidth="1"/>
    <col min="6405" max="6405" width="35.54296875" style="883" customWidth="1"/>
    <col min="6406" max="6406" width="36" style="883" customWidth="1"/>
    <col min="6407" max="6407" width="34.90625" style="883" customWidth="1"/>
    <col min="6408" max="6658" width="9.08984375" style="883"/>
    <col min="6659" max="6659" width="110.36328125" style="883" customWidth="1"/>
    <col min="6660" max="6660" width="43.54296875" style="883" customWidth="1"/>
    <col min="6661" max="6661" width="35.54296875" style="883" customWidth="1"/>
    <col min="6662" max="6662" width="36" style="883" customWidth="1"/>
    <col min="6663" max="6663" width="34.90625" style="883" customWidth="1"/>
    <col min="6664" max="6914" width="9.08984375" style="883"/>
    <col min="6915" max="6915" width="110.36328125" style="883" customWidth="1"/>
    <col min="6916" max="6916" width="43.54296875" style="883" customWidth="1"/>
    <col min="6917" max="6917" width="35.54296875" style="883" customWidth="1"/>
    <col min="6918" max="6918" width="36" style="883" customWidth="1"/>
    <col min="6919" max="6919" width="34.90625" style="883" customWidth="1"/>
    <col min="6920" max="7170" width="9.08984375" style="883"/>
    <col min="7171" max="7171" width="110.36328125" style="883" customWidth="1"/>
    <col min="7172" max="7172" width="43.54296875" style="883" customWidth="1"/>
    <col min="7173" max="7173" width="35.54296875" style="883" customWidth="1"/>
    <col min="7174" max="7174" width="36" style="883" customWidth="1"/>
    <col min="7175" max="7175" width="34.90625" style="883" customWidth="1"/>
    <col min="7176" max="7426" width="9.08984375" style="883"/>
    <col min="7427" max="7427" width="110.36328125" style="883" customWidth="1"/>
    <col min="7428" max="7428" width="43.54296875" style="883" customWidth="1"/>
    <col min="7429" max="7429" width="35.54296875" style="883" customWidth="1"/>
    <col min="7430" max="7430" width="36" style="883" customWidth="1"/>
    <col min="7431" max="7431" width="34.90625" style="883" customWidth="1"/>
    <col min="7432" max="7682" width="9.08984375" style="883"/>
    <col min="7683" max="7683" width="110.36328125" style="883" customWidth="1"/>
    <col min="7684" max="7684" width="43.54296875" style="883" customWidth="1"/>
    <col min="7685" max="7685" width="35.54296875" style="883" customWidth="1"/>
    <col min="7686" max="7686" width="36" style="883" customWidth="1"/>
    <col min="7687" max="7687" width="34.90625" style="883" customWidth="1"/>
    <col min="7688" max="7938" width="9.08984375" style="883"/>
    <col min="7939" max="7939" width="110.36328125" style="883" customWidth="1"/>
    <col min="7940" max="7940" width="43.54296875" style="883" customWidth="1"/>
    <col min="7941" max="7941" width="35.54296875" style="883" customWidth="1"/>
    <col min="7942" max="7942" width="36" style="883" customWidth="1"/>
    <col min="7943" max="7943" width="34.90625" style="883" customWidth="1"/>
    <col min="7944" max="8194" width="9.08984375" style="883"/>
    <col min="8195" max="8195" width="110.36328125" style="883" customWidth="1"/>
    <col min="8196" max="8196" width="43.54296875" style="883" customWidth="1"/>
    <col min="8197" max="8197" width="35.54296875" style="883" customWidth="1"/>
    <col min="8198" max="8198" width="36" style="883" customWidth="1"/>
    <col min="8199" max="8199" width="34.90625" style="883" customWidth="1"/>
    <col min="8200" max="8450" width="9.08984375" style="883"/>
    <col min="8451" max="8451" width="110.36328125" style="883" customWidth="1"/>
    <col min="8452" max="8452" width="43.54296875" style="883" customWidth="1"/>
    <col min="8453" max="8453" width="35.54296875" style="883" customWidth="1"/>
    <col min="8454" max="8454" width="36" style="883" customWidth="1"/>
    <col min="8455" max="8455" width="34.90625" style="883" customWidth="1"/>
    <col min="8456" max="8706" width="9.08984375" style="883"/>
    <col min="8707" max="8707" width="110.36328125" style="883" customWidth="1"/>
    <col min="8708" max="8708" width="43.54296875" style="883" customWidth="1"/>
    <col min="8709" max="8709" width="35.54296875" style="883" customWidth="1"/>
    <col min="8710" max="8710" width="36" style="883" customWidth="1"/>
    <col min="8711" max="8711" width="34.90625" style="883" customWidth="1"/>
    <col min="8712" max="8962" width="9.08984375" style="883"/>
    <col min="8963" max="8963" width="110.36328125" style="883" customWidth="1"/>
    <col min="8964" max="8964" width="43.54296875" style="883" customWidth="1"/>
    <col min="8965" max="8965" width="35.54296875" style="883" customWidth="1"/>
    <col min="8966" max="8966" width="36" style="883" customWidth="1"/>
    <col min="8967" max="8967" width="34.90625" style="883" customWidth="1"/>
    <col min="8968" max="9218" width="9.08984375" style="883"/>
    <col min="9219" max="9219" width="110.36328125" style="883" customWidth="1"/>
    <col min="9220" max="9220" width="43.54296875" style="883" customWidth="1"/>
    <col min="9221" max="9221" width="35.54296875" style="883" customWidth="1"/>
    <col min="9222" max="9222" width="36" style="883" customWidth="1"/>
    <col min="9223" max="9223" width="34.90625" style="883" customWidth="1"/>
    <col min="9224" max="9474" width="9.08984375" style="883"/>
    <col min="9475" max="9475" width="110.36328125" style="883" customWidth="1"/>
    <col min="9476" max="9476" width="43.54296875" style="883" customWidth="1"/>
    <col min="9477" max="9477" width="35.54296875" style="883" customWidth="1"/>
    <col min="9478" max="9478" width="36" style="883" customWidth="1"/>
    <col min="9479" max="9479" width="34.90625" style="883" customWidth="1"/>
    <col min="9480" max="9730" width="9.08984375" style="883"/>
    <col min="9731" max="9731" width="110.36328125" style="883" customWidth="1"/>
    <col min="9732" max="9732" width="43.54296875" style="883" customWidth="1"/>
    <col min="9733" max="9733" width="35.54296875" style="883" customWidth="1"/>
    <col min="9734" max="9734" width="36" style="883" customWidth="1"/>
    <col min="9735" max="9735" width="34.90625" style="883" customWidth="1"/>
    <col min="9736" max="9986" width="9.08984375" style="883"/>
    <col min="9987" max="9987" width="110.36328125" style="883" customWidth="1"/>
    <col min="9988" max="9988" width="43.54296875" style="883" customWidth="1"/>
    <col min="9989" max="9989" width="35.54296875" style="883" customWidth="1"/>
    <col min="9990" max="9990" width="36" style="883" customWidth="1"/>
    <col min="9991" max="9991" width="34.90625" style="883" customWidth="1"/>
    <col min="9992" max="10242" width="9.08984375" style="883"/>
    <col min="10243" max="10243" width="110.36328125" style="883" customWidth="1"/>
    <col min="10244" max="10244" width="43.54296875" style="883" customWidth="1"/>
    <col min="10245" max="10245" width="35.54296875" style="883" customWidth="1"/>
    <col min="10246" max="10246" width="36" style="883" customWidth="1"/>
    <col min="10247" max="10247" width="34.90625" style="883" customWidth="1"/>
    <col min="10248" max="10498" width="9.08984375" style="883"/>
    <col min="10499" max="10499" width="110.36328125" style="883" customWidth="1"/>
    <col min="10500" max="10500" width="43.54296875" style="883" customWidth="1"/>
    <col min="10501" max="10501" width="35.54296875" style="883" customWidth="1"/>
    <col min="10502" max="10502" width="36" style="883" customWidth="1"/>
    <col min="10503" max="10503" width="34.90625" style="883" customWidth="1"/>
    <col min="10504" max="10754" width="9.08984375" style="883"/>
    <col min="10755" max="10755" width="110.36328125" style="883" customWidth="1"/>
    <col min="10756" max="10756" width="43.54296875" style="883" customWidth="1"/>
    <col min="10757" max="10757" width="35.54296875" style="883" customWidth="1"/>
    <col min="10758" max="10758" width="36" style="883" customWidth="1"/>
    <col min="10759" max="10759" width="34.90625" style="883" customWidth="1"/>
    <col min="10760" max="11010" width="9.08984375" style="883"/>
    <col min="11011" max="11011" width="110.36328125" style="883" customWidth="1"/>
    <col min="11012" max="11012" width="43.54296875" style="883" customWidth="1"/>
    <col min="11013" max="11013" width="35.54296875" style="883" customWidth="1"/>
    <col min="11014" max="11014" width="36" style="883" customWidth="1"/>
    <col min="11015" max="11015" width="34.90625" style="883" customWidth="1"/>
    <col min="11016" max="11266" width="9.08984375" style="883"/>
    <col min="11267" max="11267" width="110.36328125" style="883" customWidth="1"/>
    <col min="11268" max="11268" width="43.54296875" style="883" customWidth="1"/>
    <col min="11269" max="11269" width="35.54296875" style="883" customWidth="1"/>
    <col min="11270" max="11270" width="36" style="883" customWidth="1"/>
    <col min="11271" max="11271" width="34.90625" style="883" customWidth="1"/>
    <col min="11272" max="11522" width="9.08984375" style="883"/>
    <col min="11523" max="11523" width="110.36328125" style="883" customWidth="1"/>
    <col min="11524" max="11524" width="43.54296875" style="883" customWidth="1"/>
    <col min="11525" max="11525" width="35.54296875" style="883" customWidth="1"/>
    <col min="11526" max="11526" width="36" style="883" customWidth="1"/>
    <col min="11527" max="11527" width="34.90625" style="883" customWidth="1"/>
    <col min="11528" max="11778" width="9.08984375" style="883"/>
    <col min="11779" max="11779" width="110.36328125" style="883" customWidth="1"/>
    <col min="11780" max="11780" width="43.54296875" style="883" customWidth="1"/>
    <col min="11781" max="11781" width="35.54296875" style="883" customWidth="1"/>
    <col min="11782" max="11782" width="36" style="883" customWidth="1"/>
    <col min="11783" max="11783" width="34.90625" style="883" customWidth="1"/>
    <col min="11784" max="12034" width="9.08984375" style="883"/>
    <col min="12035" max="12035" width="110.36328125" style="883" customWidth="1"/>
    <col min="12036" max="12036" width="43.54296875" style="883" customWidth="1"/>
    <col min="12037" max="12037" width="35.54296875" style="883" customWidth="1"/>
    <col min="12038" max="12038" width="36" style="883" customWidth="1"/>
    <col min="12039" max="12039" width="34.90625" style="883" customWidth="1"/>
    <col min="12040" max="12290" width="9.08984375" style="883"/>
    <col min="12291" max="12291" width="110.36328125" style="883" customWidth="1"/>
    <col min="12292" max="12292" width="43.54296875" style="883" customWidth="1"/>
    <col min="12293" max="12293" width="35.54296875" style="883" customWidth="1"/>
    <col min="12294" max="12294" width="36" style="883" customWidth="1"/>
    <col min="12295" max="12295" width="34.90625" style="883" customWidth="1"/>
    <col min="12296" max="12546" width="9.08984375" style="883"/>
    <col min="12547" max="12547" width="110.36328125" style="883" customWidth="1"/>
    <col min="12548" max="12548" width="43.54296875" style="883" customWidth="1"/>
    <col min="12549" max="12549" width="35.54296875" style="883" customWidth="1"/>
    <col min="12550" max="12550" width="36" style="883" customWidth="1"/>
    <col min="12551" max="12551" width="34.90625" style="883" customWidth="1"/>
    <col min="12552" max="12802" width="9.08984375" style="883"/>
    <col min="12803" max="12803" width="110.36328125" style="883" customWidth="1"/>
    <col min="12804" max="12804" width="43.54296875" style="883" customWidth="1"/>
    <col min="12805" max="12805" width="35.54296875" style="883" customWidth="1"/>
    <col min="12806" max="12806" width="36" style="883" customWidth="1"/>
    <col min="12807" max="12807" width="34.90625" style="883" customWidth="1"/>
    <col min="12808" max="13058" width="9.08984375" style="883"/>
    <col min="13059" max="13059" width="110.36328125" style="883" customWidth="1"/>
    <col min="13060" max="13060" width="43.54296875" style="883" customWidth="1"/>
    <col min="13061" max="13061" width="35.54296875" style="883" customWidth="1"/>
    <col min="13062" max="13062" width="36" style="883" customWidth="1"/>
    <col min="13063" max="13063" width="34.90625" style="883" customWidth="1"/>
    <col min="13064" max="13314" width="9.08984375" style="883"/>
    <col min="13315" max="13315" width="110.36328125" style="883" customWidth="1"/>
    <col min="13316" max="13316" width="43.54296875" style="883" customWidth="1"/>
    <col min="13317" max="13317" width="35.54296875" style="883" customWidth="1"/>
    <col min="13318" max="13318" width="36" style="883" customWidth="1"/>
    <col min="13319" max="13319" width="34.90625" style="883" customWidth="1"/>
    <col min="13320" max="13570" width="9.08984375" style="883"/>
    <col min="13571" max="13571" width="110.36328125" style="883" customWidth="1"/>
    <col min="13572" max="13572" width="43.54296875" style="883" customWidth="1"/>
    <col min="13573" max="13573" width="35.54296875" style="883" customWidth="1"/>
    <col min="13574" max="13574" width="36" style="883" customWidth="1"/>
    <col min="13575" max="13575" width="34.90625" style="883" customWidth="1"/>
    <col min="13576" max="13826" width="9.08984375" style="883"/>
    <col min="13827" max="13827" width="110.36328125" style="883" customWidth="1"/>
    <col min="13828" max="13828" width="43.54296875" style="883" customWidth="1"/>
    <col min="13829" max="13829" width="35.54296875" style="883" customWidth="1"/>
    <col min="13830" max="13830" width="36" style="883" customWidth="1"/>
    <col min="13831" max="13831" width="34.90625" style="883" customWidth="1"/>
    <col min="13832" max="14082" width="9.08984375" style="883"/>
    <col min="14083" max="14083" width="110.36328125" style="883" customWidth="1"/>
    <col min="14084" max="14084" width="43.54296875" style="883" customWidth="1"/>
    <col min="14085" max="14085" width="35.54296875" style="883" customWidth="1"/>
    <col min="14086" max="14086" width="36" style="883" customWidth="1"/>
    <col min="14087" max="14087" width="34.90625" style="883" customWidth="1"/>
    <col min="14088" max="14338" width="9.08984375" style="883"/>
    <col min="14339" max="14339" width="110.36328125" style="883" customWidth="1"/>
    <col min="14340" max="14340" width="43.54296875" style="883" customWidth="1"/>
    <col min="14341" max="14341" width="35.54296875" style="883" customWidth="1"/>
    <col min="14342" max="14342" width="36" style="883" customWidth="1"/>
    <col min="14343" max="14343" width="34.90625" style="883" customWidth="1"/>
    <col min="14344" max="14594" width="9.08984375" style="883"/>
    <col min="14595" max="14595" width="110.36328125" style="883" customWidth="1"/>
    <col min="14596" max="14596" width="43.54296875" style="883" customWidth="1"/>
    <col min="14597" max="14597" width="35.54296875" style="883" customWidth="1"/>
    <col min="14598" max="14598" width="36" style="883" customWidth="1"/>
    <col min="14599" max="14599" width="34.90625" style="883" customWidth="1"/>
    <col min="14600" max="14850" width="9.08984375" style="883"/>
    <col min="14851" max="14851" width="110.36328125" style="883" customWidth="1"/>
    <col min="14852" max="14852" width="43.54296875" style="883" customWidth="1"/>
    <col min="14853" max="14853" width="35.54296875" style="883" customWidth="1"/>
    <col min="14854" max="14854" width="36" style="883" customWidth="1"/>
    <col min="14855" max="14855" width="34.90625" style="883" customWidth="1"/>
    <col min="14856" max="15106" width="9.08984375" style="883"/>
    <col min="15107" max="15107" width="110.36328125" style="883" customWidth="1"/>
    <col min="15108" max="15108" width="43.54296875" style="883" customWidth="1"/>
    <col min="15109" max="15109" width="35.54296875" style="883" customWidth="1"/>
    <col min="15110" max="15110" width="36" style="883" customWidth="1"/>
    <col min="15111" max="15111" width="34.90625" style="883" customWidth="1"/>
    <col min="15112" max="15362" width="9.08984375" style="883"/>
    <col min="15363" max="15363" width="110.36328125" style="883" customWidth="1"/>
    <col min="15364" max="15364" width="43.54296875" style="883" customWidth="1"/>
    <col min="15365" max="15365" width="35.54296875" style="883" customWidth="1"/>
    <col min="15366" max="15366" width="36" style="883" customWidth="1"/>
    <col min="15367" max="15367" width="34.90625" style="883" customWidth="1"/>
    <col min="15368" max="15618" width="9.08984375" style="883"/>
    <col min="15619" max="15619" width="110.36328125" style="883" customWidth="1"/>
    <col min="15620" max="15620" width="43.54296875" style="883" customWidth="1"/>
    <col min="15621" max="15621" width="35.54296875" style="883" customWidth="1"/>
    <col min="15622" max="15622" width="36" style="883" customWidth="1"/>
    <col min="15623" max="15623" width="34.90625" style="883" customWidth="1"/>
    <col min="15624" max="15874" width="9.08984375" style="883"/>
    <col min="15875" max="15875" width="110.36328125" style="883" customWidth="1"/>
    <col min="15876" max="15876" width="43.54296875" style="883" customWidth="1"/>
    <col min="15877" max="15877" width="35.54296875" style="883" customWidth="1"/>
    <col min="15878" max="15878" width="36" style="883" customWidth="1"/>
    <col min="15879" max="15879" width="34.90625" style="883" customWidth="1"/>
    <col min="15880" max="16130" width="9.08984375" style="883"/>
    <col min="16131" max="16131" width="110.36328125" style="883" customWidth="1"/>
    <col min="16132" max="16132" width="43.54296875" style="883" customWidth="1"/>
    <col min="16133" max="16133" width="35.54296875" style="883" customWidth="1"/>
    <col min="16134" max="16134" width="36" style="883" customWidth="1"/>
    <col min="16135" max="16135" width="34.90625" style="883" customWidth="1"/>
    <col min="16136" max="16384" width="9.08984375" style="883"/>
  </cols>
  <sheetData>
    <row r="2" spans="2:7" x14ac:dyDescent="0.3">
      <c r="B2" s="22"/>
      <c r="C2" s="859" t="str">
        <f>Index!B2</f>
        <v xml:space="preserve">      Maharashtra State Power Generation Company Ltd.</v>
      </c>
      <c r="D2" s="22"/>
      <c r="E2" s="22"/>
      <c r="F2" s="22"/>
      <c r="G2" s="22"/>
    </row>
    <row r="3" spans="2:7" x14ac:dyDescent="0.3">
      <c r="B3" s="915"/>
      <c r="C3" s="903" t="s">
        <v>1104</v>
      </c>
      <c r="D3" s="915"/>
      <c r="E3" s="915"/>
      <c r="F3" s="915"/>
      <c r="G3" s="915"/>
    </row>
    <row r="4" spans="2:7" x14ac:dyDescent="0.3">
      <c r="B4" s="915"/>
      <c r="C4" s="903" t="s">
        <v>1112</v>
      </c>
      <c r="D4" s="915"/>
      <c r="E4" s="915"/>
      <c r="F4" s="915"/>
      <c r="G4" s="915"/>
    </row>
    <row r="5" spans="2:7" x14ac:dyDescent="0.3">
      <c r="B5" s="22"/>
      <c r="C5" s="903"/>
      <c r="D5" s="22"/>
      <c r="E5" s="22"/>
      <c r="F5" s="22"/>
      <c r="G5" s="21" t="s">
        <v>10</v>
      </c>
    </row>
    <row r="6" spans="2:7" s="919" customFormat="1" ht="61.5" customHeight="1" x14ac:dyDescent="0.25">
      <c r="B6" s="916" t="s">
        <v>37</v>
      </c>
      <c r="C6" s="917" t="s">
        <v>1113</v>
      </c>
      <c r="D6" s="917" t="s">
        <v>1114</v>
      </c>
      <c r="E6" s="917" t="s">
        <v>1115</v>
      </c>
      <c r="F6" s="918" t="s">
        <v>1116</v>
      </c>
      <c r="G6" s="917" t="s">
        <v>1117</v>
      </c>
    </row>
    <row r="7" spans="2:7" x14ac:dyDescent="0.3">
      <c r="B7" s="920" t="s">
        <v>1118</v>
      </c>
      <c r="C7" s="1885" t="s">
        <v>1110</v>
      </c>
      <c r="D7" s="1886"/>
      <c r="E7" s="1886"/>
      <c r="F7" s="1886"/>
      <c r="G7" s="1887"/>
    </row>
    <row r="8" spans="2:7" x14ac:dyDescent="0.3">
      <c r="B8" s="921" t="s">
        <v>1119</v>
      </c>
      <c r="C8" s="1888"/>
      <c r="D8" s="1889"/>
      <c r="E8" s="1889"/>
      <c r="F8" s="1889"/>
      <c r="G8" s="1890"/>
    </row>
    <row r="9" spans="2:7" x14ac:dyDescent="0.3">
      <c r="B9" s="921" t="s">
        <v>1120</v>
      </c>
      <c r="C9" s="1888"/>
      <c r="D9" s="1889"/>
      <c r="E9" s="1889"/>
      <c r="F9" s="1889"/>
      <c r="G9" s="1890"/>
    </row>
    <row r="10" spans="2:7" x14ac:dyDescent="0.3">
      <c r="B10" s="921" t="s">
        <v>1116</v>
      </c>
      <c r="C10" s="1888"/>
      <c r="D10" s="1889"/>
      <c r="E10" s="1889"/>
      <c r="F10" s="1889"/>
      <c r="G10" s="1890"/>
    </row>
    <row r="11" spans="2:7" x14ac:dyDescent="0.3">
      <c r="B11" s="920" t="s">
        <v>1121</v>
      </c>
      <c r="C11" s="1888"/>
      <c r="D11" s="1889"/>
      <c r="E11" s="1889"/>
      <c r="F11" s="1889"/>
      <c r="G11" s="1890"/>
    </row>
    <row r="12" spans="2:7" x14ac:dyDescent="0.3">
      <c r="B12" s="921"/>
      <c r="C12" s="1888"/>
      <c r="D12" s="1889"/>
      <c r="E12" s="1889"/>
      <c r="F12" s="1889"/>
      <c r="G12" s="1890"/>
    </row>
    <row r="13" spans="2:7" x14ac:dyDescent="0.3">
      <c r="B13" s="920" t="s">
        <v>1122</v>
      </c>
      <c r="C13" s="1888"/>
      <c r="D13" s="1889"/>
      <c r="E13" s="1889"/>
      <c r="F13" s="1889"/>
      <c r="G13" s="1890"/>
    </row>
    <row r="14" spans="2:7" x14ac:dyDescent="0.3">
      <c r="B14" s="921" t="s">
        <v>1119</v>
      </c>
      <c r="C14" s="1888"/>
      <c r="D14" s="1889"/>
      <c r="E14" s="1889"/>
      <c r="F14" s="1889"/>
      <c r="G14" s="1890"/>
    </row>
    <row r="15" spans="2:7" x14ac:dyDescent="0.3">
      <c r="B15" s="921" t="s">
        <v>1120</v>
      </c>
      <c r="C15" s="1888"/>
      <c r="D15" s="1889"/>
      <c r="E15" s="1889"/>
      <c r="F15" s="1889"/>
      <c r="G15" s="1890"/>
    </row>
    <row r="16" spans="2:7" x14ac:dyDescent="0.3">
      <c r="B16" s="921" t="s">
        <v>1116</v>
      </c>
      <c r="C16" s="1888"/>
      <c r="D16" s="1889"/>
      <c r="E16" s="1889"/>
      <c r="F16" s="1889"/>
      <c r="G16" s="1890"/>
    </row>
    <row r="17" spans="2:7" x14ac:dyDescent="0.3">
      <c r="B17" s="920" t="s">
        <v>1123</v>
      </c>
      <c r="C17" s="1888"/>
      <c r="D17" s="1889"/>
      <c r="E17" s="1889"/>
      <c r="F17" s="1889"/>
      <c r="G17" s="1890"/>
    </row>
    <row r="18" spans="2:7" x14ac:dyDescent="0.3">
      <c r="B18" s="921"/>
      <c r="C18" s="1888"/>
      <c r="D18" s="1889"/>
      <c r="E18" s="1889"/>
      <c r="F18" s="1889"/>
      <c r="G18" s="1890"/>
    </row>
    <row r="19" spans="2:7" x14ac:dyDescent="0.3">
      <c r="B19" s="920" t="s">
        <v>1124</v>
      </c>
      <c r="C19" s="1891"/>
      <c r="D19" s="1892"/>
      <c r="E19" s="1892"/>
      <c r="F19" s="1892"/>
      <c r="G19" s="1893"/>
    </row>
    <row r="21" spans="2:7" x14ac:dyDescent="0.3">
      <c r="B21" s="883" t="s">
        <v>1125</v>
      </c>
    </row>
    <row r="29" spans="2:7" ht="29.4" customHeight="1" x14ac:dyDescent="0.3">
      <c r="C29" s="914"/>
    </row>
  </sheetData>
  <mergeCells count="1">
    <mergeCell ref="C7:G19"/>
  </mergeCells>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V155"/>
  <sheetViews>
    <sheetView showGridLines="0" view="pageBreakPreview" zoomScale="96" zoomScaleNormal="68" zoomScaleSheetLayoutView="96" workbookViewId="0">
      <selection activeCell="H2" sqref="H2"/>
    </sheetView>
  </sheetViews>
  <sheetFormatPr defaultColWidth="9.08984375" defaultRowHeight="14" x14ac:dyDescent="0.3"/>
  <cols>
    <col min="1" max="1" width="14.54296875" style="925" customWidth="1"/>
    <col min="2" max="2" width="14.453125" style="922" customWidth="1"/>
    <col min="3" max="3" width="58.08984375" style="930" customWidth="1"/>
    <col min="4" max="17" width="15.36328125" style="925" customWidth="1"/>
    <col min="18" max="18" width="16.08984375" style="925" customWidth="1"/>
    <col min="19" max="19" width="15.36328125" style="925" customWidth="1"/>
    <col min="20" max="20" width="15.36328125" style="926" customWidth="1"/>
    <col min="21" max="21" width="15.36328125" style="927" customWidth="1"/>
    <col min="22" max="22" width="19.453125" style="925" customWidth="1"/>
    <col min="23" max="259" width="9.08984375" style="925"/>
    <col min="260" max="260" width="14.54296875" style="925" customWidth="1"/>
    <col min="261" max="261" width="14.453125" style="925" customWidth="1"/>
    <col min="262" max="262" width="58.08984375" style="925" customWidth="1"/>
    <col min="263" max="263" width="30.453125" style="925" customWidth="1"/>
    <col min="264" max="264" width="27.36328125" style="925" customWidth="1"/>
    <col min="265" max="265" width="30.90625" style="925" customWidth="1"/>
    <col min="266" max="266" width="24.90625" style="925" customWidth="1"/>
    <col min="267" max="267" width="27.36328125" style="925" customWidth="1"/>
    <col min="268" max="268" width="32" style="925" customWidth="1"/>
    <col min="269" max="269" width="25.54296875" style="925" customWidth="1"/>
    <col min="270" max="270" width="27.36328125" style="925" customWidth="1"/>
    <col min="271" max="271" width="31.453125" style="925" customWidth="1"/>
    <col min="272" max="272" width="30.54296875" style="925" customWidth="1"/>
    <col min="273" max="273" width="27.36328125" style="925" customWidth="1"/>
    <col min="274" max="274" width="32.54296875" style="925" customWidth="1"/>
    <col min="275" max="275" width="30.453125" style="925" customWidth="1"/>
    <col min="276" max="276" width="24.36328125" style="925" customWidth="1"/>
    <col min="277" max="277" width="28" style="925" customWidth="1"/>
    <col min="278" max="278" width="19.453125" style="925" customWidth="1"/>
    <col min="279" max="515" width="9.08984375" style="925"/>
    <col min="516" max="516" width="14.54296875" style="925" customWidth="1"/>
    <col min="517" max="517" width="14.453125" style="925" customWidth="1"/>
    <col min="518" max="518" width="58.08984375" style="925" customWidth="1"/>
    <col min="519" max="519" width="30.453125" style="925" customWidth="1"/>
    <col min="520" max="520" width="27.36328125" style="925" customWidth="1"/>
    <col min="521" max="521" width="30.90625" style="925" customWidth="1"/>
    <col min="522" max="522" width="24.90625" style="925" customWidth="1"/>
    <col min="523" max="523" width="27.36328125" style="925" customWidth="1"/>
    <col min="524" max="524" width="32" style="925" customWidth="1"/>
    <col min="525" max="525" width="25.54296875" style="925" customWidth="1"/>
    <col min="526" max="526" width="27.36328125" style="925" customWidth="1"/>
    <col min="527" max="527" width="31.453125" style="925" customWidth="1"/>
    <col min="528" max="528" width="30.54296875" style="925" customWidth="1"/>
    <col min="529" max="529" width="27.36328125" style="925" customWidth="1"/>
    <col min="530" max="530" width="32.54296875" style="925" customWidth="1"/>
    <col min="531" max="531" width="30.453125" style="925" customWidth="1"/>
    <col min="532" max="532" width="24.36328125" style="925" customWidth="1"/>
    <col min="533" max="533" width="28" style="925" customWidth="1"/>
    <col min="534" max="534" width="19.453125" style="925" customWidth="1"/>
    <col min="535" max="771" width="9.08984375" style="925"/>
    <col min="772" max="772" width="14.54296875" style="925" customWidth="1"/>
    <col min="773" max="773" width="14.453125" style="925" customWidth="1"/>
    <col min="774" max="774" width="58.08984375" style="925" customWidth="1"/>
    <col min="775" max="775" width="30.453125" style="925" customWidth="1"/>
    <col min="776" max="776" width="27.36328125" style="925" customWidth="1"/>
    <col min="777" max="777" width="30.90625" style="925" customWidth="1"/>
    <col min="778" max="778" width="24.90625" style="925" customWidth="1"/>
    <col min="779" max="779" width="27.36328125" style="925" customWidth="1"/>
    <col min="780" max="780" width="32" style="925" customWidth="1"/>
    <col min="781" max="781" width="25.54296875" style="925" customWidth="1"/>
    <col min="782" max="782" width="27.36328125" style="925" customWidth="1"/>
    <col min="783" max="783" width="31.453125" style="925" customWidth="1"/>
    <col min="784" max="784" width="30.54296875" style="925" customWidth="1"/>
    <col min="785" max="785" width="27.36328125" style="925" customWidth="1"/>
    <col min="786" max="786" width="32.54296875" style="925" customWidth="1"/>
    <col min="787" max="787" width="30.453125" style="925" customWidth="1"/>
    <col min="788" max="788" width="24.36328125" style="925" customWidth="1"/>
    <col min="789" max="789" width="28" style="925" customWidth="1"/>
    <col min="790" max="790" width="19.453125" style="925" customWidth="1"/>
    <col min="791" max="1027" width="9.08984375" style="925"/>
    <col min="1028" max="1028" width="14.54296875" style="925" customWidth="1"/>
    <col min="1029" max="1029" width="14.453125" style="925" customWidth="1"/>
    <col min="1030" max="1030" width="58.08984375" style="925" customWidth="1"/>
    <col min="1031" max="1031" width="30.453125" style="925" customWidth="1"/>
    <col min="1032" max="1032" width="27.36328125" style="925" customWidth="1"/>
    <col min="1033" max="1033" width="30.90625" style="925" customWidth="1"/>
    <col min="1034" max="1034" width="24.90625" style="925" customWidth="1"/>
    <col min="1035" max="1035" width="27.36328125" style="925" customWidth="1"/>
    <col min="1036" max="1036" width="32" style="925" customWidth="1"/>
    <col min="1037" max="1037" width="25.54296875" style="925" customWidth="1"/>
    <col min="1038" max="1038" width="27.36328125" style="925" customWidth="1"/>
    <col min="1039" max="1039" width="31.453125" style="925" customWidth="1"/>
    <col min="1040" max="1040" width="30.54296875" style="925" customWidth="1"/>
    <col min="1041" max="1041" width="27.36328125" style="925" customWidth="1"/>
    <col min="1042" max="1042" width="32.54296875" style="925" customWidth="1"/>
    <col min="1043" max="1043" width="30.453125" style="925" customWidth="1"/>
    <col min="1044" max="1044" width="24.36328125" style="925" customWidth="1"/>
    <col min="1045" max="1045" width="28" style="925" customWidth="1"/>
    <col min="1046" max="1046" width="19.453125" style="925" customWidth="1"/>
    <col min="1047" max="1283" width="9.08984375" style="925"/>
    <col min="1284" max="1284" width="14.54296875" style="925" customWidth="1"/>
    <col min="1285" max="1285" width="14.453125" style="925" customWidth="1"/>
    <col min="1286" max="1286" width="58.08984375" style="925" customWidth="1"/>
    <col min="1287" max="1287" width="30.453125" style="925" customWidth="1"/>
    <col min="1288" max="1288" width="27.36328125" style="925" customWidth="1"/>
    <col min="1289" max="1289" width="30.90625" style="925" customWidth="1"/>
    <col min="1290" max="1290" width="24.90625" style="925" customWidth="1"/>
    <col min="1291" max="1291" width="27.36328125" style="925" customWidth="1"/>
    <col min="1292" max="1292" width="32" style="925" customWidth="1"/>
    <col min="1293" max="1293" width="25.54296875" style="925" customWidth="1"/>
    <col min="1294" max="1294" width="27.36328125" style="925" customWidth="1"/>
    <col min="1295" max="1295" width="31.453125" style="925" customWidth="1"/>
    <col min="1296" max="1296" width="30.54296875" style="925" customWidth="1"/>
    <col min="1297" max="1297" width="27.36328125" style="925" customWidth="1"/>
    <col min="1298" max="1298" width="32.54296875" style="925" customWidth="1"/>
    <col min="1299" max="1299" width="30.453125" style="925" customWidth="1"/>
    <col min="1300" max="1300" width="24.36328125" style="925" customWidth="1"/>
    <col min="1301" max="1301" width="28" style="925" customWidth="1"/>
    <col min="1302" max="1302" width="19.453125" style="925" customWidth="1"/>
    <col min="1303" max="1539" width="9.08984375" style="925"/>
    <col min="1540" max="1540" width="14.54296875" style="925" customWidth="1"/>
    <col min="1541" max="1541" width="14.453125" style="925" customWidth="1"/>
    <col min="1542" max="1542" width="58.08984375" style="925" customWidth="1"/>
    <col min="1543" max="1543" width="30.453125" style="925" customWidth="1"/>
    <col min="1544" max="1544" width="27.36328125" style="925" customWidth="1"/>
    <col min="1545" max="1545" width="30.90625" style="925" customWidth="1"/>
    <col min="1546" max="1546" width="24.90625" style="925" customWidth="1"/>
    <col min="1547" max="1547" width="27.36328125" style="925" customWidth="1"/>
    <col min="1548" max="1548" width="32" style="925" customWidth="1"/>
    <col min="1549" max="1549" width="25.54296875" style="925" customWidth="1"/>
    <col min="1550" max="1550" width="27.36328125" style="925" customWidth="1"/>
    <col min="1551" max="1551" width="31.453125" style="925" customWidth="1"/>
    <col min="1552" max="1552" width="30.54296875" style="925" customWidth="1"/>
    <col min="1553" max="1553" width="27.36328125" style="925" customWidth="1"/>
    <col min="1554" max="1554" width="32.54296875" style="925" customWidth="1"/>
    <col min="1555" max="1555" width="30.453125" style="925" customWidth="1"/>
    <col min="1556" max="1556" width="24.36328125" style="925" customWidth="1"/>
    <col min="1557" max="1557" width="28" style="925" customWidth="1"/>
    <col min="1558" max="1558" width="19.453125" style="925" customWidth="1"/>
    <col min="1559" max="1795" width="9.08984375" style="925"/>
    <col min="1796" max="1796" width="14.54296875" style="925" customWidth="1"/>
    <col min="1797" max="1797" width="14.453125" style="925" customWidth="1"/>
    <col min="1798" max="1798" width="58.08984375" style="925" customWidth="1"/>
    <col min="1799" max="1799" width="30.453125" style="925" customWidth="1"/>
    <col min="1800" max="1800" width="27.36328125" style="925" customWidth="1"/>
    <col min="1801" max="1801" width="30.90625" style="925" customWidth="1"/>
    <col min="1802" max="1802" width="24.90625" style="925" customWidth="1"/>
    <col min="1803" max="1803" width="27.36328125" style="925" customWidth="1"/>
    <col min="1804" max="1804" width="32" style="925" customWidth="1"/>
    <col min="1805" max="1805" width="25.54296875" style="925" customWidth="1"/>
    <col min="1806" max="1806" width="27.36328125" style="925" customWidth="1"/>
    <col min="1807" max="1807" width="31.453125" style="925" customWidth="1"/>
    <col min="1808" max="1808" width="30.54296875" style="925" customWidth="1"/>
    <col min="1809" max="1809" width="27.36328125" style="925" customWidth="1"/>
    <col min="1810" max="1810" width="32.54296875" style="925" customWidth="1"/>
    <col min="1811" max="1811" width="30.453125" style="925" customWidth="1"/>
    <col min="1812" max="1812" width="24.36328125" style="925" customWidth="1"/>
    <col min="1813" max="1813" width="28" style="925" customWidth="1"/>
    <col min="1814" max="1814" width="19.453125" style="925" customWidth="1"/>
    <col min="1815" max="2051" width="9.08984375" style="925"/>
    <col min="2052" max="2052" width="14.54296875" style="925" customWidth="1"/>
    <col min="2053" max="2053" width="14.453125" style="925" customWidth="1"/>
    <col min="2054" max="2054" width="58.08984375" style="925" customWidth="1"/>
    <col min="2055" max="2055" width="30.453125" style="925" customWidth="1"/>
    <col min="2056" max="2056" width="27.36328125" style="925" customWidth="1"/>
    <col min="2057" max="2057" width="30.90625" style="925" customWidth="1"/>
    <col min="2058" max="2058" width="24.90625" style="925" customWidth="1"/>
    <col min="2059" max="2059" width="27.36328125" style="925" customWidth="1"/>
    <col min="2060" max="2060" width="32" style="925" customWidth="1"/>
    <col min="2061" max="2061" width="25.54296875" style="925" customWidth="1"/>
    <col min="2062" max="2062" width="27.36328125" style="925" customWidth="1"/>
    <col min="2063" max="2063" width="31.453125" style="925" customWidth="1"/>
    <col min="2064" max="2064" width="30.54296875" style="925" customWidth="1"/>
    <col min="2065" max="2065" width="27.36328125" style="925" customWidth="1"/>
    <col min="2066" max="2066" width="32.54296875" style="925" customWidth="1"/>
    <col min="2067" max="2067" width="30.453125" style="925" customWidth="1"/>
    <col min="2068" max="2068" width="24.36328125" style="925" customWidth="1"/>
    <col min="2069" max="2069" width="28" style="925" customWidth="1"/>
    <col min="2070" max="2070" width="19.453125" style="925" customWidth="1"/>
    <col min="2071" max="2307" width="9.08984375" style="925"/>
    <col min="2308" max="2308" width="14.54296875" style="925" customWidth="1"/>
    <col min="2309" max="2309" width="14.453125" style="925" customWidth="1"/>
    <col min="2310" max="2310" width="58.08984375" style="925" customWidth="1"/>
    <col min="2311" max="2311" width="30.453125" style="925" customWidth="1"/>
    <col min="2312" max="2312" width="27.36328125" style="925" customWidth="1"/>
    <col min="2313" max="2313" width="30.90625" style="925" customWidth="1"/>
    <col min="2314" max="2314" width="24.90625" style="925" customWidth="1"/>
    <col min="2315" max="2315" width="27.36328125" style="925" customWidth="1"/>
    <col min="2316" max="2316" width="32" style="925" customWidth="1"/>
    <col min="2317" max="2317" width="25.54296875" style="925" customWidth="1"/>
    <col min="2318" max="2318" width="27.36328125" style="925" customWidth="1"/>
    <col min="2319" max="2319" width="31.453125" style="925" customWidth="1"/>
    <col min="2320" max="2320" width="30.54296875" style="925" customWidth="1"/>
    <col min="2321" max="2321" width="27.36328125" style="925" customWidth="1"/>
    <col min="2322" max="2322" width="32.54296875" style="925" customWidth="1"/>
    <col min="2323" max="2323" width="30.453125" style="925" customWidth="1"/>
    <col min="2324" max="2324" width="24.36328125" style="925" customWidth="1"/>
    <col min="2325" max="2325" width="28" style="925" customWidth="1"/>
    <col min="2326" max="2326" width="19.453125" style="925" customWidth="1"/>
    <col min="2327" max="2563" width="9.08984375" style="925"/>
    <col min="2564" max="2564" width="14.54296875" style="925" customWidth="1"/>
    <col min="2565" max="2565" width="14.453125" style="925" customWidth="1"/>
    <col min="2566" max="2566" width="58.08984375" style="925" customWidth="1"/>
    <col min="2567" max="2567" width="30.453125" style="925" customWidth="1"/>
    <col min="2568" max="2568" width="27.36328125" style="925" customWidth="1"/>
    <col min="2569" max="2569" width="30.90625" style="925" customWidth="1"/>
    <col min="2570" max="2570" width="24.90625" style="925" customWidth="1"/>
    <col min="2571" max="2571" width="27.36328125" style="925" customWidth="1"/>
    <col min="2572" max="2572" width="32" style="925" customWidth="1"/>
    <col min="2573" max="2573" width="25.54296875" style="925" customWidth="1"/>
    <col min="2574" max="2574" width="27.36328125" style="925" customWidth="1"/>
    <col min="2575" max="2575" width="31.453125" style="925" customWidth="1"/>
    <col min="2576" max="2576" width="30.54296875" style="925" customWidth="1"/>
    <col min="2577" max="2577" width="27.36328125" style="925" customWidth="1"/>
    <col min="2578" max="2578" width="32.54296875" style="925" customWidth="1"/>
    <col min="2579" max="2579" width="30.453125" style="925" customWidth="1"/>
    <col min="2580" max="2580" width="24.36328125" style="925" customWidth="1"/>
    <col min="2581" max="2581" width="28" style="925" customWidth="1"/>
    <col min="2582" max="2582" width="19.453125" style="925" customWidth="1"/>
    <col min="2583" max="2819" width="9.08984375" style="925"/>
    <col min="2820" max="2820" width="14.54296875" style="925" customWidth="1"/>
    <col min="2821" max="2821" width="14.453125" style="925" customWidth="1"/>
    <col min="2822" max="2822" width="58.08984375" style="925" customWidth="1"/>
    <col min="2823" max="2823" width="30.453125" style="925" customWidth="1"/>
    <col min="2824" max="2824" width="27.36328125" style="925" customWidth="1"/>
    <col min="2825" max="2825" width="30.90625" style="925" customWidth="1"/>
    <col min="2826" max="2826" width="24.90625" style="925" customWidth="1"/>
    <col min="2827" max="2827" width="27.36328125" style="925" customWidth="1"/>
    <col min="2828" max="2828" width="32" style="925" customWidth="1"/>
    <col min="2829" max="2829" width="25.54296875" style="925" customWidth="1"/>
    <col min="2830" max="2830" width="27.36328125" style="925" customWidth="1"/>
    <col min="2831" max="2831" width="31.453125" style="925" customWidth="1"/>
    <col min="2832" max="2832" width="30.54296875" style="925" customWidth="1"/>
    <col min="2833" max="2833" width="27.36328125" style="925" customWidth="1"/>
    <col min="2834" max="2834" width="32.54296875" style="925" customWidth="1"/>
    <col min="2835" max="2835" width="30.453125" style="925" customWidth="1"/>
    <col min="2836" max="2836" width="24.36328125" style="925" customWidth="1"/>
    <col min="2837" max="2837" width="28" style="925" customWidth="1"/>
    <col min="2838" max="2838" width="19.453125" style="925" customWidth="1"/>
    <col min="2839" max="3075" width="9.08984375" style="925"/>
    <col min="3076" max="3076" width="14.54296875" style="925" customWidth="1"/>
    <col min="3077" max="3077" width="14.453125" style="925" customWidth="1"/>
    <col min="3078" max="3078" width="58.08984375" style="925" customWidth="1"/>
    <col min="3079" max="3079" width="30.453125" style="925" customWidth="1"/>
    <col min="3080" max="3080" width="27.36328125" style="925" customWidth="1"/>
    <col min="3081" max="3081" width="30.90625" style="925" customWidth="1"/>
    <col min="3082" max="3082" width="24.90625" style="925" customWidth="1"/>
    <col min="3083" max="3083" width="27.36328125" style="925" customWidth="1"/>
    <col min="3084" max="3084" width="32" style="925" customWidth="1"/>
    <col min="3085" max="3085" width="25.54296875" style="925" customWidth="1"/>
    <col min="3086" max="3086" width="27.36328125" style="925" customWidth="1"/>
    <col min="3087" max="3087" width="31.453125" style="925" customWidth="1"/>
    <col min="3088" max="3088" width="30.54296875" style="925" customWidth="1"/>
    <col min="3089" max="3089" width="27.36328125" style="925" customWidth="1"/>
    <col min="3090" max="3090" width="32.54296875" style="925" customWidth="1"/>
    <col min="3091" max="3091" width="30.453125" style="925" customWidth="1"/>
    <col min="3092" max="3092" width="24.36328125" style="925" customWidth="1"/>
    <col min="3093" max="3093" width="28" style="925" customWidth="1"/>
    <col min="3094" max="3094" width="19.453125" style="925" customWidth="1"/>
    <col min="3095" max="3331" width="9.08984375" style="925"/>
    <col min="3332" max="3332" width="14.54296875" style="925" customWidth="1"/>
    <col min="3333" max="3333" width="14.453125" style="925" customWidth="1"/>
    <col min="3334" max="3334" width="58.08984375" style="925" customWidth="1"/>
    <col min="3335" max="3335" width="30.453125" style="925" customWidth="1"/>
    <col min="3336" max="3336" width="27.36328125" style="925" customWidth="1"/>
    <col min="3337" max="3337" width="30.90625" style="925" customWidth="1"/>
    <col min="3338" max="3338" width="24.90625" style="925" customWidth="1"/>
    <col min="3339" max="3339" width="27.36328125" style="925" customWidth="1"/>
    <col min="3340" max="3340" width="32" style="925" customWidth="1"/>
    <col min="3341" max="3341" width="25.54296875" style="925" customWidth="1"/>
    <col min="3342" max="3342" width="27.36328125" style="925" customWidth="1"/>
    <col min="3343" max="3343" width="31.453125" style="925" customWidth="1"/>
    <col min="3344" max="3344" width="30.54296875" style="925" customWidth="1"/>
    <col min="3345" max="3345" width="27.36328125" style="925" customWidth="1"/>
    <col min="3346" max="3346" width="32.54296875" style="925" customWidth="1"/>
    <col min="3347" max="3347" width="30.453125" style="925" customWidth="1"/>
    <col min="3348" max="3348" width="24.36328125" style="925" customWidth="1"/>
    <col min="3349" max="3349" width="28" style="925" customWidth="1"/>
    <col min="3350" max="3350" width="19.453125" style="925" customWidth="1"/>
    <col min="3351" max="3587" width="9.08984375" style="925"/>
    <col min="3588" max="3588" width="14.54296875" style="925" customWidth="1"/>
    <col min="3589" max="3589" width="14.453125" style="925" customWidth="1"/>
    <col min="3590" max="3590" width="58.08984375" style="925" customWidth="1"/>
    <col min="3591" max="3591" width="30.453125" style="925" customWidth="1"/>
    <col min="3592" max="3592" width="27.36328125" style="925" customWidth="1"/>
    <col min="3593" max="3593" width="30.90625" style="925" customWidth="1"/>
    <col min="3594" max="3594" width="24.90625" style="925" customWidth="1"/>
    <col min="3595" max="3595" width="27.36328125" style="925" customWidth="1"/>
    <col min="3596" max="3596" width="32" style="925" customWidth="1"/>
    <col min="3597" max="3597" width="25.54296875" style="925" customWidth="1"/>
    <col min="3598" max="3598" width="27.36328125" style="925" customWidth="1"/>
    <col min="3599" max="3599" width="31.453125" style="925" customWidth="1"/>
    <col min="3600" max="3600" width="30.54296875" style="925" customWidth="1"/>
    <col min="3601" max="3601" width="27.36328125" style="925" customWidth="1"/>
    <col min="3602" max="3602" width="32.54296875" style="925" customWidth="1"/>
    <col min="3603" max="3603" width="30.453125" style="925" customWidth="1"/>
    <col min="3604" max="3604" width="24.36328125" style="925" customWidth="1"/>
    <col min="3605" max="3605" width="28" style="925" customWidth="1"/>
    <col min="3606" max="3606" width="19.453125" style="925" customWidth="1"/>
    <col min="3607" max="3843" width="9.08984375" style="925"/>
    <col min="3844" max="3844" width="14.54296875" style="925" customWidth="1"/>
    <col min="3845" max="3845" width="14.453125" style="925" customWidth="1"/>
    <col min="3846" max="3846" width="58.08984375" style="925" customWidth="1"/>
    <col min="3847" max="3847" width="30.453125" style="925" customWidth="1"/>
    <col min="3848" max="3848" width="27.36328125" style="925" customWidth="1"/>
    <col min="3849" max="3849" width="30.90625" style="925" customWidth="1"/>
    <col min="3850" max="3850" width="24.90625" style="925" customWidth="1"/>
    <col min="3851" max="3851" width="27.36328125" style="925" customWidth="1"/>
    <col min="3852" max="3852" width="32" style="925" customWidth="1"/>
    <col min="3853" max="3853" width="25.54296875" style="925" customWidth="1"/>
    <col min="3854" max="3854" width="27.36328125" style="925" customWidth="1"/>
    <col min="3855" max="3855" width="31.453125" style="925" customWidth="1"/>
    <col min="3856" max="3856" width="30.54296875" style="925" customWidth="1"/>
    <col min="3857" max="3857" width="27.36328125" style="925" customWidth="1"/>
    <col min="3858" max="3858" width="32.54296875" style="925" customWidth="1"/>
    <col min="3859" max="3859" width="30.453125" style="925" customWidth="1"/>
    <col min="3860" max="3860" width="24.36328125" style="925" customWidth="1"/>
    <col min="3861" max="3861" width="28" style="925" customWidth="1"/>
    <col min="3862" max="3862" width="19.453125" style="925" customWidth="1"/>
    <col min="3863" max="4099" width="9.08984375" style="925"/>
    <col min="4100" max="4100" width="14.54296875" style="925" customWidth="1"/>
    <col min="4101" max="4101" width="14.453125" style="925" customWidth="1"/>
    <col min="4102" max="4102" width="58.08984375" style="925" customWidth="1"/>
    <col min="4103" max="4103" width="30.453125" style="925" customWidth="1"/>
    <col min="4104" max="4104" width="27.36328125" style="925" customWidth="1"/>
    <col min="4105" max="4105" width="30.90625" style="925" customWidth="1"/>
    <col min="4106" max="4106" width="24.90625" style="925" customWidth="1"/>
    <col min="4107" max="4107" width="27.36328125" style="925" customWidth="1"/>
    <col min="4108" max="4108" width="32" style="925" customWidth="1"/>
    <col min="4109" max="4109" width="25.54296875" style="925" customWidth="1"/>
    <col min="4110" max="4110" width="27.36328125" style="925" customWidth="1"/>
    <col min="4111" max="4111" width="31.453125" style="925" customWidth="1"/>
    <col min="4112" max="4112" width="30.54296875" style="925" customWidth="1"/>
    <col min="4113" max="4113" width="27.36328125" style="925" customWidth="1"/>
    <col min="4114" max="4114" width="32.54296875" style="925" customWidth="1"/>
    <col min="4115" max="4115" width="30.453125" style="925" customWidth="1"/>
    <col min="4116" max="4116" width="24.36328125" style="925" customWidth="1"/>
    <col min="4117" max="4117" width="28" style="925" customWidth="1"/>
    <col min="4118" max="4118" width="19.453125" style="925" customWidth="1"/>
    <col min="4119" max="4355" width="9.08984375" style="925"/>
    <col min="4356" max="4356" width="14.54296875" style="925" customWidth="1"/>
    <col min="4357" max="4357" width="14.453125" style="925" customWidth="1"/>
    <col min="4358" max="4358" width="58.08984375" style="925" customWidth="1"/>
    <col min="4359" max="4359" width="30.453125" style="925" customWidth="1"/>
    <col min="4360" max="4360" width="27.36328125" style="925" customWidth="1"/>
    <col min="4361" max="4361" width="30.90625" style="925" customWidth="1"/>
    <col min="4362" max="4362" width="24.90625" style="925" customWidth="1"/>
    <col min="4363" max="4363" width="27.36328125" style="925" customWidth="1"/>
    <col min="4364" max="4364" width="32" style="925" customWidth="1"/>
    <col min="4365" max="4365" width="25.54296875" style="925" customWidth="1"/>
    <col min="4366" max="4366" width="27.36328125" style="925" customWidth="1"/>
    <col min="4367" max="4367" width="31.453125" style="925" customWidth="1"/>
    <col min="4368" max="4368" width="30.54296875" style="925" customWidth="1"/>
    <col min="4369" max="4369" width="27.36328125" style="925" customWidth="1"/>
    <col min="4370" max="4370" width="32.54296875" style="925" customWidth="1"/>
    <col min="4371" max="4371" width="30.453125" style="925" customWidth="1"/>
    <col min="4372" max="4372" width="24.36328125" style="925" customWidth="1"/>
    <col min="4373" max="4373" width="28" style="925" customWidth="1"/>
    <col min="4374" max="4374" width="19.453125" style="925" customWidth="1"/>
    <col min="4375" max="4611" width="9.08984375" style="925"/>
    <col min="4612" max="4612" width="14.54296875" style="925" customWidth="1"/>
    <col min="4613" max="4613" width="14.453125" style="925" customWidth="1"/>
    <col min="4614" max="4614" width="58.08984375" style="925" customWidth="1"/>
    <col min="4615" max="4615" width="30.453125" style="925" customWidth="1"/>
    <col min="4616" max="4616" width="27.36328125" style="925" customWidth="1"/>
    <col min="4617" max="4617" width="30.90625" style="925" customWidth="1"/>
    <col min="4618" max="4618" width="24.90625" style="925" customWidth="1"/>
    <col min="4619" max="4619" width="27.36328125" style="925" customWidth="1"/>
    <col min="4620" max="4620" width="32" style="925" customWidth="1"/>
    <col min="4621" max="4621" width="25.54296875" style="925" customWidth="1"/>
    <col min="4622" max="4622" width="27.36328125" style="925" customWidth="1"/>
    <col min="4623" max="4623" width="31.453125" style="925" customWidth="1"/>
    <col min="4624" max="4624" width="30.54296875" style="925" customWidth="1"/>
    <col min="4625" max="4625" width="27.36328125" style="925" customWidth="1"/>
    <col min="4626" max="4626" width="32.54296875" style="925" customWidth="1"/>
    <col min="4627" max="4627" width="30.453125" style="925" customWidth="1"/>
    <col min="4628" max="4628" width="24.36328125" style="925" customWidth="1"/>
    <col min="4629" max="4629" width="28" style="925" customWidth="1"/>
    <col min="4630" max="4630" width="19.453125" style="925" customWidth="1"/>
    <col min="4631" max="4867" width="9.08984375" style="925"/>
    <col min="4868" max="4868" width="14.54296875" style="925" customWidth="1"/>
    <col min="4869" max="4869" width="14.453125" style="925" customWidth="1"/>
    <col min="4870" max="4870" width="58.08984375" style="925" customWidth="1"/>
    <col min="4871" max="4871" width="30.453125" style="925" customWidth="1"/>
    <col min="4872" max="4872" width="27.36328125" style="925" customWidth="1"/>
    <col min="4873" max="4873" width="30.90625" style="925" customWidth="1"/>
    <col min="4874" max="4874" width="24.90625" style="925" customWidth="1"/>
    <col min="4875" max="4875" width="27.36328125" style="925" customWidth="1"/>
    <col min="4876" max="4876" width="32" style="925" customWidth="1"/>
    <col min="4877" max="4877" width="25.54296875" style="925" customWidth="1"/>
    <col min="4878" max="4878" width="27.36328125" style="925" customWidth="1"/>
    <col min="4879" max="4879" width="31.453125" style="925" customWidth="1"/>
    <col min="4880" max="4880" width="30.54296875" style="925" customWidth="1"/>
    <col min="4881" max="4881" width="27.36328125" style="925" customWidth="1"/>
    <col min="4882" max="4882" width="32.54296875" style="925" customWidth="1"/>
    <col min="4883" max="4883" width="30.453125" style="925" customWidth="1"/>
    <col min="4884" max="4884" width="24.36328125" style="925" customWidth="1"/>
    <col min="4885" max="4885" width="28" style="925" customWidth="1"/>
    <col min="4886" max="4886" width="19.453125" style="925" customWidth="1"/>
    <col min="4887" max="5123" width="9.08984375" style="925"/>
    <col min="5124" max="5124" width="14.54296875" style="925" customWidth="1"/>
    <col min="5125" max="5125" width="14.453125" style="925" customWidth="1"/>
    <col min="5126" max="5126" width="58.08984375" style="925" customWidth="1"/>
    <col min="5127" max="5127" width="30.453125" style="925" customWidth="1"/>
    <col min="5128" max="5128" width="27.36328125" style="925" customWidth="1"/>
    <col min="5129" max="5129" width="30.90625" style="925" customWidth="1"/>
    <col min="5130" max="5130" width="24.90625" style="925" customWidth="1"/>
    <col min="5131" max="5131" width="27.36328125" style="925" customWidth="1"/>
    <col min="5132" max="5132" width="32" style="925" customWidth="1"/>
    <col min="5133" max="5133" width="25.54296875" style="925" customWidth="1"/>
    <col min="5134" max="5134" width="27.36328125" style="925" customWidth="1"/>
    <col min="5135" max="5135" width="31.453125" style="925" customWidth="1"/>
    <col min="5136" max="5136" width="30.54296875" style="925" customWidth="1"/>
    <col min="5137" max="5137" width="27.36328125" style="925" customWidth="1"/>
    <col min="5138" max="5138" width="32.54296875" style="925" customWidth="1"/>
    <col min="5139" max="5139" width="30.453125" style="925" customWidth="1"/>
    <col min="5140" max="5140" width="24.36328125" style="925" customWidth="1"/>
    <col min="5141" max="5141" width="28" style="925" customWidth="1"/>
    <col min="5142" max="5142" width="19.453125" style="925" customWidth="1"/>
    <col min="5143" max="5379" width="9.08984375" style="925"/>
    <col min="5380" max="5380" width="14.54296875" style="925" customWidth="1"/>
    <col min="5381" max="5381" width="14.453125" style="925" customWidth="1"/>
    <col min="5382" max="5382" width="58.08984375" style="925" customWidth="1"/>
    <col min="5383" max="5383" width="30.453125" style="925" customWidth="1"/>
    <col min="5384" max="5384" width="27.36328125" style="925" customWidth="1"/>
    <col min="5385" max="5385" width="30.90625" style="925" customWidth="1"/>
    <col min="5386" max="5386" width="24.90625" style="925" customWidth="1"/>
    <col min="5387" max="5387" width="27.36328125" style="925" customWidth="1"/>
    <col min="5388" max="5388" width="32" style="925" customWidth="1"/>
    <col min="5389" max="5389" width="25.54296875" style="925" customWidth="1"/>
    <col min="5390" max="5390" width="27.36328125" style="925" customWidth="1"/>
    <col min="5391" max="5391" width="31.453125" style="925" customWidth="1"/>
    <col min="5392" max="5392" width="30.54296875" style="925" customWidth="1"/>
    <col min="5393" max="5393" width="27.36328125" style="925" customWidth="1"/>
    <col min="5394" max="5394" width="32.54296875" style="925" customWidth="1"/>
    <col min="5395" max="5395" width="30.453125" style="925" customWidth="1"/>
    <col min="5396" max="5396" width="24.36328125" style="925" customWidth="1"/>
    <col min="5397" max="5397" width="28" style="925" customWidth="1"/>
    <col min="5398" max="5398" width="19.453125" style="925" customWidth="1"/>
    <col min="5399" max="5635" width="9.08984375" style="925"/>
    <col min="5636" max="5636" width="14.54296875" style="925" customWidth="1"/>
    <col min="5637" max="5637" width="14.453125" style="925" customWidth="1"/>
    <col min="5638" max="5638" width="58.08984375" style="925" customWidth="1"/>
    <col min="5639" max="5639" width="30.453125" style="925" customWidth="1"/>
    <col min="5640" max="5640" width="27.36328125" style="925" customWidth="1"/>
    <col min="5641" max="5641" width="30.90625" style="925" customWidth="1"/>
    <col min="5642" max="5642" width="24.90625" style="925" customWidth="1"/>
    <col min="5643" max="5643" width="27.36328125" style="925" customWidth="1"/>
    <col min="5644" max="5644" width="32" style="925" customWidth="1"/>
    <col min="5645" max="5645" width="25.54296875" style="925" customWidth="1"/>
    <col min="5646" max="5646" width="27.36328125" style="925" customWidth="1"/>
    <col min="5647" max="5647" width="31.453125" style="925" customWidth="1"/>
    <col min="5648" max="5648" width="30.54296875" style="925" customWidth="1"/>
    <col min="5649" max="5649" width="27.36328125" style="925" customWidth="1"/>
    <col min="5650" max="5650" width="32.54296875" style="925" customWidth="1"/>
    <col min="5651" max="5651" width="30.453125" style="925" customWidth="1"/>
    <col min="5652" max="5652" width="24.36328125" style="925" customWidth="1"/>
    <col min="5653" max="5653" width="28" style="925" customWidth="1"/>
    <col min="5654" max="5654" width="19.453125" style="925" customWidth="1"/>
    <col min="5655" max="5891" width="9.08984375" style="925"/>
    <col min="5892" max="5892" width="14.54296875" style="925" customWidth="1"/>
    <col min="5893" max="5893" width="14.453125" style="925" customWidth="1"/>
    <col min="5894" max="5894" width="58.08984375" style="925" customWidth="1"/>
    <col min="5895" max="5895" width="30.453125" style="925" customWidth="1"/>
    <col min="5896" max="5896" width="27.36328125" style="925" customWidth="1"/>
    <col min="5897" max="5897" width="30.90625" style="925" customWidth="1"/>
    <col min="5898" max="5898" width="24.90625" style="925" customWidth="1"/>
    <col min="5899" max="5899" width="27.36328125" style="925" customWidth="1"/>
    <col min="5900" max="5900" width="32" style="925" customWidth="1"/>
    <col min="5901" max="5901" width="25.54296875" style="925" customWidth="1"/>
    <col min="5902" max="5902" width="27.36328125" style="925" customWidth="1"/>
    <col min="5903" max="5903" width="31.453125" style="925" customWidth="1"/>
    <col min="5904" max="5904" width="30.54296875" style="925" customWidth="1"/>
    <col min="5905" max="5905" width="27.36328125" style="925" customWidth="1"/>
    <col min="5906" max="5906" width="32.54296875" style="925" customWidth="1"/>
    <col min="5907" max="5907" width="30.453125" style="925" customWidth="1"/>
    <col min="5908" max="5908" width="24.36328125" style="925" customWidth="1"/>
    <col min="5909" max="5909" width="28" style="925" customWidth="1"/>
    <col min="5910" max="5910" width="19.453125" style="925" customWidth="1"/>
    <col min="5911" max="6147" width="9.08984375" style="925"/>
    <col min="6148" max="6148" width="14.54296875" style="925" customWidth="1"/>
    <col min="6149" max="6149" width="14.453125" style="925" customWidth="1"/>
    <col min="6150" max="6150" width="58.08984375" style="925" customWidth="1"/>
    <col min="6151" max="6151" width="30.453125" style="925" customWidth="1"/>
    <col min="6152" max="6152" width="27.36328125" style="925" customWidth="1"/>
    <col min="6153" max="6153" width="30.90625" style="925" customWidth="1"/>
    <col min="6154" max="6154" width="24.90625" style="925" customWidth="1"/>
    <col min="6155" max="6155" width="27.36328125" style="925" customWidth="1"/>
    <col min="6156" max="6156" width="32" style="925" customWidth="1"/>
    <col min="6157" max="6157" width="25.54296875" style="925" customWidth="1"/>
    <col min="6158" max="6158" width="27.36328125" style="925" customWidth="1"/>
    <col min="6159" max="6159" width="31.453125" style="925" customWidth="1"/>
    <col min="6160" max="6160" width="30.54296875" style="925" customWidth="1"/>
    <col min="6161" max="6161" width="27.36328125" style="925" customWidth="1"/>
    <col min="6162" max="6162" width="32.54296875" style="925" customWidth="1"/>
    <col min="6163" max="6163" width="30.453125" style="925" customWidth="1"/>
    <col min="6164" max="6164" width="24.36328125" style="925" customWidth="1"/>
    <col min="6165" max="6165" width="28" style="925" customWidth="1"/>
    <col min="6166" max="6166" width="19.453125" style="925" customWidth="1"/>
    <col min="6167" max="6403" width="9.08984375" style="925"/>
    <col min="6404" max="6404" width="14.54296875" style="925" customWidth="1"/>
    <col min="6405" max="6405" width="14.453125" style="925" customWidth="1"/>
    <col min="6406" max="6406" width="58.08984375" style="925" customWidth="1"/>
    <col min="6407" max="6407" width="30.453125" style="925" customWidth="1"/>
    <col min="6408" max="6408" width="27.36328125" style="925" customWidth="1"/>
    <col min="6409" max="6409" width="30.90625" style="925" customWidth="1"/>
    <col min="6410" max="6410" width="24.90625" style="925" customWidth="1"/>
    <col min="6411" max="6411" width="27.36328125" style="925" customWidth="1"/>
    <col min="6412" max="6412" width="32" style="925" customWidth="1"/>
    <col min="6413" max="6413" width="25.54296875" style="925" customWidth="1"/>
    <col min="6414" max="6414" width="27.36328125" style="925" customWidth="1"/>
    <col min="6415" max="6415" width="31.453125" style="925" customWidth="1"/>
    <col min="6416" max="6416" width="30.54296875" style="925" customWidth="1"/>
    <col min="6417" max="6417" width="27.36328125" style="925" customWidth="1"/>
    <col min="6418" max="6418" width="32.54296875" style="925" customWidth="1"/>
    <col min="6419" max="6419" width="30.453125" style="925" customWidth="1"/>
    <col min="6420" max="6420" width="24.36328125" style="925" customWidth="1"/>
    <col min="6421" max="6421" width="28" style="925" customWidth="1"/>
    <col min="6422" max="6422" width="19.453125" style="925" customWidth="1"/>
    <col min="6423" max="6659" width="9.08984375" style="925"/>
    <col min="6660" max="6660" width="14.54296875" style="925" customWidth="1"/>
    <col min="6661" max="6661" width="14.453125" style="925" customWidth="1"/>
    <col min="6662" max="6662" width="58.08984375" style="925" customWidth="1"/>
    <col min="6663" max="6663" width="30.453125" style="925" customWidth="1"/>
    <col min="6664" max="6664" width="27.36328125" style="925" customWidth="1"/>
    <col min="6665" max="6665" width="30.90625" style="925" customWidth="1"/>
    <col min="6666" max="6666" width="24.90625" style="925" customWidth="1"/>
    <col min="6667" max="6667" width="27.36328125" style="925" customWidth="1"/>
    <col min="6668" max="6668" width="32" style="925" customWidth="1"/>
    <col min="6669" max="6669" width="25.54296875" style="925" customWidth="1"/>
    <col min="6670" max="6670" width="27.36328125" style="925" customWidth="1"/>
    <col min="6671" max="6671" width="31.453125" style="925" customWidth="1"/>
    <col min="6672" max="6672" width="30.54296875" style="925" customWidth="1"/>
    <col min="6673" max="6673" width="27.36328125" style="925" customWidth="1"/>
    <col min="6674" max="6674" width="32.54296875" style="925" customWidth="1"/>
    <col min="6675" max="6675" width="30.453125" style="925" customWidth="1"/>
    <col min="6676" max="6676" width="24.36328125" style="925" customWidth="1"/>
    <col min="6677" max="6677" width="28" style="925" customWidth="1"/>
    <col min="6678" max="6678" width="19.453125" style="925" customWidth="1"/>
    <col min="6679" max="6915" width="9.08984375" style="925"/>
    <col min="6916" max="6916" width="14.54296875" style="925" customWidth="1"/>
    <col min="6917" max="6917" width="14.453125" style="925" customWidth="1"/>
    <col min="6918" max="6918" width="58.08984375" style="925" customWidth="1"/>
    <col min="6919" max="6919" width="30.453125" style="925" customWidth="1"/>
    <col min="6920" max="6920" width="27.36328125" style="925" customWidth="1"/>
    <col min="6921" max="6921" width="30.90625" style="925" customWidth="1"/>
    <col min="6922" max="6922" width="24.90625" style="925" customWidth="1"/>
    <col min="6923" max="6923" width="27.36328125" style="925" customWidth="1"/>
    <col min="6924" max="6924" width="32" style="925" customWidth="1"/>
    <col min="6925" max="6925" width="25.54296875" style="925" customWidth="1"/>
    <col min="6926" max="6926" width="27.36328125" style="925" customWidth="1"/>
    <col min="6927" max="6927" width="31.453125" style="925" customWidth="1"/>
    <col min="6928" max="6928" width="30.54296875" style="925" customWidth="1"/>
    <col min="6929" max="6929" width="27.36328125" style="925" customWidth="1"/>
    <col min="6930" max="6930" width="32.54296875" style="925" customWidth="1"/>
    <col min="6931" max="6931" width="30.453125" style="925" customWidth="1"/>
    <col min="6932" max="6932" width="24.36328125" style="925" customWidth="1"/>
    <col min="6933" max="6933" width="28" style="925" customWidth="1"/>
    <col min="6934" max="6934" width="19.453125" style="925" customWidth="1"/>
    <col min="6935" max="7171" width="9.08984375" style="925"/>
    <col min="7172" max="7172" width="14.54296875" style="925" customWidth="1"/>
    <col min="7173" max="7173" width="14.453125" style="925" customWidth="1"/>
    <col min="7174" max="7174" width="58.08984375" style="925" customWidth="1"/>
    <col min="7175" max="7175" width="30.453125" style="925" customWidth="1"/>
    <col min="7176" max="7176" width="27.36328125" style="925" customWidth="1"/>
    <col min="7177" max="7177" width="30.90625" style="925" customWidth="1"/>
    <col min="7178" max="7178" width="24.90625" style="925" customWidth="1"/>
    <col min="7179" max="7179" width="27.36328125" style="925" customWidth="1"/>
    <col min="7180" max="7180" width="32" style="925" customWidth="1"/>
    <col min="7181" max="7181" width="25.54296875" style="925" customWidth="1"/>
    <col min="7182" max="7182" width="27.36328125" style="925" customWidth="1"/>
    <col min="7183" max="7183" width="31.453125" style="925" customWidth="1"/>
    <col min="7184" max="7184" width="30.54296875" style="925" customWidth="1"/>
    <col min="7185" max="7185" width="27.36328125" style="925" customWidth="1"/>
    <col min="7186" max="7186" width="32.54296875" style="925" customWidth="1"/>
    <col min="7187" max="7187" width="30.453125" style="925" customWidth="1"/>
    <col min="7188" max="7188" width="24.36328125" style="925" customWidth="1"/>
    <col min="7189" max="7189" width="28" style="925" customWidth="1"/>
    <col min="7190" max="7190" width="19.453125" style="925" customWidth="1"/>
    <col min="7191" max="7427" width="9.08984375" style="925"/>
    <col min="7428" max="7428" width="14.54296875" style="925" customWidth="1"/>
    <col min="7429" max="7429" width="14.453125" style="925" customWidth="1"/>
    <col min="7430" max="7430" width="58.08984375" style="925" customWidth="1"/>
    <col min="7431" max="7431" width="30.453125" style="925" customWidth="1"/>
    <col min="7432" max="7432" width="27.36328125" style="925" customWidth="1"/>
    <col min="7433" max="7433" width="30.90625" style="925" customWidth="1"/>
    <col min="7434" max="7434" width="24.90625" style="925" customWidth="1"/>
    <col min="7435" max="7435" width="27.36328125" style="925" customWidth="1"/>
    <col min="7436" max="7436" width="32" style="925" customWidth="1"/>
    <col min="7437" max="7437" width="25.54296875" style="925" customWidth="1"/>
    <col min="7438" max="7438" width="27.36328125" style="925" customWidth="1"/>
    <col min="7439" max="7439" width="31.453125" style="925" customWidth="1"/>
    <col min="7440" max="7440" width="30.54296875" style="925" customWidth="1"/>
    <col min="7441" max="7441" width="27.36328125" style="925" customWidth="1"/>
    <col min="7442" max="7442" width="32.54296875" style="925" customWidth="1"/>
    <col min="7443" max="7443" width="30.453125" style="925" customWidth="1"/>
    <col min="7444" max="7444" width="24.36328125" style="925" customWidth="1"/>
    <col min="7445" max="7445" width="28" style="925" customWidth="1"/>
    <col min="7446" max="7446" width="19.453125" style="925" customWidth="1"/>
    <col min="7447" max="7683" width="9.08984375" style="925"/>
    <col min="7684" max="7684" width="14.54296875" style="925" customWidth="1"/>
    <col min="7685" max="7685" width="14.453125" style="925" customWidth="1"/>
    <col min="7686" max="7686" width="58.08984375" style="925" customWidth="1"/>
    <col min="7687" max="7687" width="30.453125" style="925" customWidth="1"/>
    <col min="7688" max="7688" width="27.36328125" style="925" customWidth="1"/>
    <col min="7689" max="7689" width="30.90625" style="925" customWidth="1"/>
    <col min="7690" max="7690" width="24.90625" style="925" customWidth="1"/>
    <col min="7691" max="7691" width="27.36328125" style="925" customWidth="1"/>
    <col min="7692" max="7692" width="32" style="925" customWidth="1"/>
    <col min="7693" max="7693" width="25.54296875" style="925" customWidth="1"/>
    <col min="7694" max="7694" width="27.36328125" style="925" customWidth="1"/>
    <col min="7695" max="7695" width="31.453125" style="925" customWidth="1"/>
    <col min="7696" max="7696" width="30.54296875" style="925" customWidth="1"/>
    <col min="7697" max="7697" width="27.36328125" style="925" customWidth="1"/>
    <col min="7698" max="7698" width="32.54296875" style="925" customWidth="1"/>
    <col min="7699" max="7699" width="30.453125" style="925" customWidth="1"/>
    <col min="7700" max="7700" width="24.36328125" style="925" customWidth="1"/>
    <col min="7701" max="7701" width="28" style="925" customWidth="1"/>
    <col min="7702" max="7702" width="19.453125" style="925" customWidth="1"/>
    <col min="7703" max="7939" width="9.08984375" style="925"/>
    <col min="7940" max="7940" width="14.54296875" style="925" customWidth="1"/>
    <col min="7941" max="7941" width="14.453125" style="925" customWidth="1"/>
    <col min="7942" max="7942" width="58.08984375" style="925" customWidth="1"/>
    <col min="7943" max="7943" width="30.453125" style="925" customWidth="1"/>
    <col min="7944" max="7944" width="27.36328125" style="925" customWidth="1"/>
    <col min="7945" max="7945" width="30.90625" style="925" customWidth="1"/>
    <col min="7946" max="7946" width="24.90625" style="925" customWidth="1"/>
    <col min="7947" max="7947" width="27.36328125" style="925" customWidth="1"/>
    <col min="7948" max="7948" width="32" style="925" customWidth="1"/>
    <col min="7949" max="7949" width="25.54296875" style="925" customWidth="1"/>
    <col min="7950" max="7950" width="27.36328125" style="925" customWidth="1"/>
    <col min="7951" max="7951" width="31.453125" style="925" customWidth="1"/>
    <col min="7952" max="7952" width="30.54296875" style="925" customWidth="1"/>
    <col min="7953" max="7953" width="27.36328125" style="925" customWidth="1"/>
    <col min="7954" max="7954" width="32.54296875" style="925" customWidth="1"/>
    <col min="7955" max="7955" width="30.453125" style="925" customWidth="1"/>
    <col min="7956" max="7956" width="24.36328125" style="925" customWidth="1"/>
    <col min="7957" max="7957" width="28" style="925" customWidth="1"/>
    <col min="7958" max="7958" width="19.453125" style="925" customWidth="1"/>
    <col min="7959" max="8195" width="9.08984375" style="925"/>
    <col min="8196" max="8196" width="14.54296875" style="925" customWidth="1"/>
    <col min="8197" max="8197" width="14.453125" style="925" customWidth="1"/>
    <col min="8198" max="8198" width="58.08984375" style="925" customWidth="1"/>
    <col min="8199" max="8199" width="30.453125" style="925" customWidth="1"/>
    <col min="8200" max="8200" width="27.36328125" style="925" customWidth="1"/>
    <col min="8201" max="8201" width="30.90625" style="925" customWidth="1"/>
    <col min="8202" max="8202" width="24.90625" style="925" customWidth="1"/>
    <col min="8203" max="8203" width="27.36328125" style="925" customWidth="1"/>
    <col min="8204" max="8204" width="32" style="925" customWidth="1"/>
    <col min="8205" max="8205" width="25.54296875" style="925" customWidth="1"/>
    <col min="8206" max="8206" width="27.36328125" style="925" customWidth="1"/>
    <col min="8207" max="8207" width="31.453125" style="925" customWidth="1"/>
    <col min="8208" max="8208" width="30.54296875" style="925" customWidth="1"/>
    <col min="8209" max="8209" width="27.36328125" style="925" customWidth="1"/>
    <col min="8210" max="8210" width="32.54296875" style="925" customWidth="1"/>
    <col min="8211" max="8211" width="30.453125" style="925" customWidth="1"/>
    <col min="8212" max="8212" width="24.36328125" style="925" customWidth="1"/>
    <col min="8213" max="8213" width="28" style="925" customWidth="1"/>
    <col min="8214" max="8214" width="19.453125" style="925" customWidth="1"/>
    <col min="8215" max="8451" width="9.08984375" style="925"/>
    <col min="8452" max="8452" width="14.54296875" style="925" customWidth="1"/>
    <col min="8453" max="8453" width="14.453125" style="925" customWidth="1"/>
    <col min="8454" max="8454" width="58.08984375" style="925" customWidth="1"/>
    <col min="8455" max="8455" width="30.453125" style="925" customWidth="1"/>
    <col min="8456" max="8456" width="27.36328125" style="925" customWidth="1"/>
    <col min="8457" max="8457" width="30.90625" style="925" customWidth="1"/>
    <col min="8458" max="8458" width="24.90625" style="925" customWidth="1"/>
    <col min="8459" max="8459" width="27.36328125" style="925" customWidth="1"/>
    <col min="8460" max="8460" width="32" style="925" customWidth="1"/>
    <col min="8461" max="8461" width="25.54296875" style="925" customWidth="1"/>
    <col min="8462" max="8462" width="27.36328125" style="925" customWidth="1"/>
    <col min="8463" max="8463" width="31.453125" style="925" customWidth="1"/>
    <col min="8464" max="8464" width="30.54296875" style="925" customWidth="1"/>
    <col min="8465" max="8465" width="27.36328125" style="925" customWidth="1"/>
    <col min="8466" max="8466" width="32.54296875" style="925" customWidth="1"/>
    <col min="8467" max="8467" width="30.453125" style="925" customWidth="1"/>
    <col min="8468" max="8468" width="24.36328125" style="925" customWidth="1"/>
    <col min="8469" max="8469" width="28" style="925" customWidth="1"/>
    <col min="8470" max="8470" width="19.453125" style="925" customWidth="1"/>
    <col min="8471" max="8707" width="9.08984375" style="925"/>
    <col min="8708" max="8708" width="14.54296875" style="925" customWidth="1"/>
    <col min="8709" max="8709" width="14.453125" style="925" customWidth="1"/>
    <col min="8710" max="8710" width="58.08984375" style="925" customWidth="1"/>
    <col min="8711" max="8711" width="30.453125" style="925" customWidth="1"/>
    <col min="8712" max="8712" width="27.36328125" style="925" customWidth="1"/>
    <col min="8713" max="8713" width="30.90625" style="925" customWidth="1"/>
    <col min="8714" max="8714" width="24.90625" style="925" customWidth="1"/>
    <col min="8715" max="8715" width="27.36328125" style="925" customWidth="1"/>
    <col min="8716" max="8716" width="32" style="925" customWidth="1"/>
    <col min="8717" max="8717" width="25.54296875" style="925" customWidth="1"/>
    <col min="8718" max="8718" width="27.36328125" style="925" customWidth="1"/>
    <col min="8719" max="8719" width="31.453125" style="925" customWidth="1"/>
    <col min="8720" max="8720" width="30.54296875" style="925" customWidth="1"/>
    <col min="8721" max="8721" width="27.36328125" style="925" customWidth="1"/>
    <col min="8722" max="8722" width="32.54296875" style="925" customWidth="1"/>
    <col min="8723" max="8723" width="30.453125" style="925" customWidth="1"/>
    <col min="8724" max="8724" width="24.36328125" style="925" customWidth="1"/>
    <col min="8725" max="8725" width="28" style="925" customWidth="1"/>
    <col min="8726" max="8726" width="19.453125" style="925" customWidth="1"/>
    <col min="8727" max="8963" width="9.08984375" style="925"/>
    <col min="8964" max="8964" width="14.54296875" style="925" customWidth="1"/>
    <col min="8965" max="8965" width="14.453125" style="925" customWidth="1"/>
    <col min="8966" max="8966" width="58.08984375" style="925" customWidth="1"/>
    <col min="8967" max="8967" width="30.453125" style="925" customWidth="1"/>
    <col min="8968" max="8968" width="27.36328125" style="925" customWidth="1"/>
    <col min="8969" max="8969" width="30.90625" style="925" customWidth="1"/>
    <col min="8970" max="8970" width="24.90625" style="925" customWidth="1"/>
    <col min="8971" max="8971" width="27.36328125" style="925" customWidth="1"/>
    <col min="8972" max="8972" width="32" style="925" customWidth="1"/>
    <col min="8973" max="8973" width="25.54296875" style="925" customWidth="1"/>
    <col min="8974" max="8974" width="27.36328125" style="925" customWidth="1"/>
    <col min="8975" max="8975" width="31.453125" style="925" customWidth="1"/>
    <col min="8976" max="8976" width="30.54296875" style="925" customWidth="1"/>
    <col min="8977" max="8977" width="27.36328125" style="925" customWidth="1"/>
    <col min="8978" max="8978" width="32.54296875" style="925" customWidth="1"/>
    <col min="8979" max="8979" width="30.453125" style="925" customWidth="1"/>
    <col min="8980" max="8980" width="24.36328125" style="925" customWidth="1"/>
    <col min="8981" max="8981" width="28" style="925" customWidth="1"/>
    <col min="8982" max="8982" width="19.453125" style="925" customWidth="1"/>
    <col min="8983" max="9219" width="9.08984375" style="925"/>
    <col min="9220" max="9220" width="14.54296875" style="925" customWidth="1"/>
    <col min="9221" max="9221" width="14.453125" style="925" customWidth="1"/>
    <col min="9222" max="9222" width="58.08984375" style="925" customWidth="1"/>
    <col min="9223" max="9223" width="30.453125" style="925" customWidth="1"/>
    <col min="9224" max="9224" width="27.36328125" style="925" customWidth="1"/>
    <col min="9225" max="9225" width="30.90625" style="925" customWidth="1"/>
    <col min="9226" max="9226" width="24.90625" style="925" customWidth="1"/>
    <col min="9227" max="9227" width="27.36328125" style="925" customWidth="1"/>
    <col min="9228" max="9228" width="32" style="925" customWidth="1"/>
    <col min="9229" max="9229" width="25.54296875" style="925" customWidth="1"/>
    <col min="9230" max="9230" width="27.36328125" style="925" customWidth="1"/>
    <col min="9231" max="9231" width="31.453125" style="925" customWidth="1"/>
    <col min="9232" max="9232" width="30.54296875" style="925" customWidth="1"/>
    <col min="9233" max="9233" width="27.36328125" style="925" customWidth="1"/>
    <col min="9234" max="9234" width="32.54296875" style="925" customWidth="1"/>
    <col min="9235" max="9235" width="30.453125" style="925" customWidth="1"/>
    <col min="9236" max="9236" width="24.36328125" style="925" customWidth="1"/>
    <col min="9237" max="9237" width="28" style="925" customWidth="1"/>
    <col min="9238" max="9238" width="19.453125" style="925" customWidth="1"/>
    <col min="9239" max="9475" width="9.08984375" style="925"/>
    <col min="9476" max="9476" width="14.54296875" style="925" customWidth="1"/>
    <col min="9477" max="9477" width="14.453125" style="925" customWidth="1"/>
    <col min="9478" max="9478" width="58.08984375" style="925" customWidth="1"/>
    <col min="9479" max="9479" width="30.453125" style="925" customWidth="1"/>
    <col min="9480" max="9480" width="27.36328125" style="925" customWidth="1"/>
    <col min="9481" max="9481" width="30.90625" style="925" customWidth="1"/>
    <col min="9482" max="9482" width="24.90625" style="925" customWidth="1"/>
    <col min="9483" max="9483" width="27.36328125" style="925" customWidth="1"/>
    <col min="9484" max="9484" width="32" style="925" customWidth="1"/>
    <col min="9485" max="9485" width="25.54296875" style="925" customWidth="1"/>
    <col min="9486" max="9486" width="27.36328125" style="925" customWidth="1"/>
    <col min="9487" max="9487" width="31.453125" style="925" customWidth="1"/>
    <col min="9488" max="9488" width="30.54296875" style="925" customWidth="1"/>
    <col min="9489" max="9489" width="27.36328125" style="925" customWidth="1"/>
    <col min="9490" max="9490" width="32.54296875" style="925" customWidth="1"/>
    <col min="9491" max="9491" width="30.453125" style="925" customWidth="1"/>
    <col min="9492" max="9492" width="24.36328125" style="925" customWidth="1"/>
    <col min="9493" max="9493" width="28" style="925" customWidth="1"/>
    <col min="9494" max="9494" width="19.453125" style="925" customWidth="1"/>
    <col min="9495" max="9731" width="9.08984375" style="925"/>
    <col min="9732" max="9732" width="14.54296875" style="925" customWidth="1"/>
    <col min="9733" max="9733" width="14.453125" style="925" customWidth="1"/>
    <col min="9734" max="9734" width="58.08984375" style="925" customWidth="1"/>
    <col min="9735" max="9735" width="30.453125" style="925" customWidth="1"/>
    <col min="9736" max="9736" width="27.36328125" style="925" customWidth="1"/>
    <col min="9737" max="9737" width="30.90625" style="925" customWidth="1"/>
    <col min="9738" max="9738" width="24.90625" style="925" customWidth="1"/>
    <col min="9739" max="9739" width="27.36328125" style="925" customWidth="1"/>
    <col min="9740" max="9740" width="32" style="925" customWidth="1"/>
    <col min="9741" max="9741" width="25.54296875" style="925" customWidth="1"/>
    <col min="9742" max="9742" width="27.36328125" style="925" customWidth="1"/>
    <col min="9743" max="9743" width="31.453125" style="925" customWidth="1"/>
    <col min="9744" max="9744" width="30.54296875" style="925" customWidth="1"/>
    <col min="9745" max="9745" width="27.36328125" style="925" customWidth="1"/>
    <col min="9746" max="9746" width="32.54296875" style="925" customWidth="1"/>
    <col min="9747" max="9747" width="30.453125" style="925" customWidth="1"/>
    <col min="9748" max="9748" width="24.36328125" style="925" customWidth="1"/>
    <col min="9749" max="9749" width="28" style="925" customWidth="1"/>
    <col min="9750" max="9750" width="19.453125" style="925" customWidth="1"/>
    <col min="9751" max="9987" width="9.08984375" style="925"/>
    <col min="9988" max="9988" width="14.54296875" style="925" customWidth="1"/>
    <col min="9989" max="9989" width="14.453125" style="925" customWidth="1"/>
    <col min="9990" max="9990" width="58.08984375" style="925" customWidth="1"/>
    <col min="9991" max="9991" width="30.453125" style="925" customWidth="1"/>
    <col min="9992" max="9992" width="27.36328125" style="925" customWidth="1"/>
    <col min="9993" max="9993" width="30.90625" style="925" customWidth="1"/>
    <col min="9994" max="9994" width="24.90625" style="925" customWidth="1"/>
    <col min="9995" max="9995" width="27.36328125" style="925" customWidth="1"/>
    <col min="9996" max="9996" width="32" style="925" customWidth="1"/>
    <col min="9997" max="9997" width="25.54296875" style="925" customWidth="1"/>
    <col min="9998" max="9998" width="27.36328125" style="925" customWidth="1"/>
    <col min="9999" max="9999" width="31.453125" style="925" customWidth="1"/>
    <col min="10000" max="10000" width="30.54296875" style="925" customWidth="1"/>
    <col min="10001" max="10001" width="27.36328125" style="925" customWidth="1"/>
    <col min="10002" max="10002" width="32.54296875" style="925" customWidth="1"/>
    <col min="10003" max="10003" width="30.453125" style="925" customWidth="1"/>
    <col min="10004" max="10004" width="24.36328125" style="925" customWidth="1"/>
    <col min="10005" max="10005" width="28" style="925" customWidth="1"/>
    <col min="10006" max="10006" width="19.453125" style="925" customWidth="1"/>
    <col min="10007" max="10243" width="9.08984375" style="925"/>
    <col min="10244" max="10244" width="14.54296875" style="925" customWidth="1"/>
    <col min="10245" max="10245" width="14.453125" style="925" customWidth="1"/>
    <col min="10246" max="10246" width="58.08984375" style="925" customWidth="1"/>
    <col min="10247" max="10247" width="30.453125" style="925" customWidth="1"/>
    <col min="10248" max="10248" width="27.36328125" style="925" customWidth="1"/>
    <col min="10249" max="10249" width="30.90625" style="925" customWidth="1"/>
    <col min="10250" max="10250" width="24.90625" style="925" customWidth="1"/>
    <col min="10251" max="10251" width="27.36328125" style="925" customWidth="1"/>
    <col min="10252" max="10252" width="32" style="925" customWidth="1"/>
    <col min="10253" max="10253" width="25.54296875" style="925" customWidth="1"/>
    <col min="10254" max="10254" width="27.36328125" style="925" customWidth="1"/>
    <col min="10255" max="10255" width="31.453125" style="925" customWidth="1"/>
    <col min="10256" max="10256" width="30.54296875" style="925" customWidth="1"/>
    <col min="10257" max="10257" width="27.36328125" style="925" customWidth="1"/>
    <col min="10258" max="10258" width="32.54296875" style="925" customWidth="1"/>
    <col min="10259" max="10259" width="30.453125" style="925" customWidth="1"/>
    <col min="10260" max="10260" width="24.36328125" style="925" customWidth="1"/>
    <col min="10261" max="10261" width="28" style="925" customWidth="1"/>
    <col min="10262" max="10262" width="19.453125" style="925" customWidth="1"/>
    <col min="10263" max="10499" width="9.08984375" style="925"/>
    <col min="10500" max="10500" width="14.54296875" style="925" customWidth="1"/>
    <col min="10501" max="10501" width="14.453125" style="925" customWidth="1"/>
    <col min="10502" max="10502" width="58.08984375" style="925" customWidth="1"/>
    <col min="10503" max="10503" width="30.453125" style="925" customWidth="1"/>
    <col min="10504" max="10504" width="27.36328125" style="925" customWidth="1"/>
    <col min="10505" max="10505" width="30.90625" style="925" customWidth="1"/>
    <col min="10506" max="10506" width="24.90625" style="925" customWidth="1"/>
    <col min="10507" max="10507" width="27.36328125" style="925" customWidth="1"/>
    <col min="10508" max="10508" width="32" style="925" customWidth="1"/>
    <col min="10509" max="10509" width="25.54296875" style="925" customWidth="1"/>
    <col min="10510" max="10510" width="27.36328125" style="925" customWidth="1"/>
    <col min="10511" max="10511" width="31.453125" style="925" customWidth="1"/>
    <col min="10512" max="10512" width="30.54296875" style="925" customWidth="1"/>
    <col min="10513" max="10513" width="27.36328125" style="925" customWidth="1"/>
    <col min="10514" max="10514" width="32.54296875" style="925" customWidth="1"/>
    <col min="10515" max="10515" width="30.453125" style="925" customWidth="1"/>
    <col min="10516" max="10516" width="24.36328125" style="925" customWidth="1"/>
    <col min="10517" max="10517" width="28" style="925" customWidth="1"/>
    <col min="10518" max="10518" width="19.453125" style="925" customWidth="1"/>
    <col min="10519" max="10755" width="9.08984375" style="925"/>
    <col min="10756" max="10756" width="14.54296875" style="925" customWidth="1"/>
    <col min="10757" max="10757" width="14.453125" style="925" customWidth="1"/>
    <col min="10758" max="10758" width="58.08984375" style="925" customWidth="1"/>
    <col min="10759" max="10759" width="30.453125" style="925" customWidth="1"/>
    <col min="10760" max="10760" width="27.36328125" style="925" customWidth="1"/>
    <col min="10761" max="10761" width="30.90625" style="925" customWidth="1"/>
    <col min="10762" max="10762" width="24.90625" style="925" customWidth="1"/>
    <col min="10763" max="10763" width="27.36328125" style="925" customWidth="1"/>
    <col min="10764" max="10764" width="32" style="925" customWidth="1"/>
    <col min="10765" max="10765" width="25.54296875" style="925" customWidth="1"/>
    <col min="10766" max="10766" width="27.36328125" style="925" customWidth="1"/>
    <col min="10767" max="10767" width="31.453125" style="925" customWidth="1"/>
    <col min="10768" max="10768" width="30.54296875" style="925" customWidth="1"/>
    <col min="10769" max="10769" width="27.36328125" style="925" customWidth="1"/>
    <col min="10770" max="10770" width="32.54296875" style="925" customWidth="1"/>
    <col min="10771" max="10771" width="30.453125" style="925" customWidth="1"/>
    <col min="10772" max="10772" width="24.36328125" style="925" customWidth="1"/>
    <col min="10773" max="10773" width="28" style="925" customWidth="1"/>
    <col min="10774" max="10774" width="19.453125" style="925" customWidth="1"/>
    <col min="10775" max="11011" width="9.08984375" style="925"/>
    <col min="11012" max="11012" width="14.54296875" style="925" customWidth="1"/>
    <col min="11013" max="11013" width="14.453125" style="925" customWidth="1"/>
    <col min="11014" max="11014" width="58.08984375" style="925" customWidth="1"/>
    <col min="11015" max="11015" width="30.453125" style="925" customWidth="1"/>
    <col min="11016" max="11016" width="27.36328125" style="925" customWidth="1"/>
    <col min="11017" max="11017" width="30.90625" style="925" customWidth="1"/>
    <col min="11018" max="11018" width="24.90625" style="925" customWidth="1"/>
    <col min="11019" max="11019" width="27.36328125" style="925" customWidth="1"/>
    <col min="11020" max="11020" width="32" style="925" customWidth="1"/>
    <col min="11021" max="11021" width="25.54296875" style="925" customWidth="1"/>
    <col min="11022" max="11022" width="27.36328125" style="925" customWidth="1"/>
    <col min="11023" max="11023" width="31.453125" style="925" customWidth="1"/>
    <col min="11024" max="11024" width="30.54296875" style="925" customWidth="1"/>
    <col min="11025" max="11025" width="27.36328125" style="925" customWidth="1"/>
    <col min="11026" max="11026" width="32.54296875" style="925" customWidth="1"/>
    <col min="11027" max="11027" width="30.453125" style="925" customWidth="1"/>
    <col min="11028" max="11028" width="24.36328125" style="925" customWidth="1"/>
    <col min="11029" max="11029" width="28" style="925" customWidth="1"/>
    <col min="11030" max="11030" width="19.453125" style="925" customWidth="1"/>
    <col min="11031" max="11267" width="9.08984375" style="925"/>
    <col min="11268" max="11268" width="14.54296875" style="925" customWidth="1"/>
    <col min="11269" max="11269" width="14.453125" style="925" customWidth="1"/>
    <col min="11270" max="11270" width="58.08984375" style="925" customWidth="1"/>
    <col min="11271" max="11271" width="30.453125" style="925" customWidth="1"/>
    <col min="11272" max="11272" width="27.36328125" style="925" customWidth="1"/>
    <col min="11273" max="11273" width="30.90625" style="925" customWidth="1"/>
    <col min="11274" max="11274" width="24.90625" style="925" customWidth="1"/>
    <col min="11275" max="11275" width="27.36328125" style="925" customWidth="1"/>
    <col min="11276" max="11276" width="32" style="925" customWidth="1"/>
    <col min="11277" max="11277" width="25.54296875" style="925" customWidth="1"/>
    <col min="11278" max="11278" width="27.36328125" style="925" customWidth="1"/>
    <col min="11279" max="11279" width="31.453125" style="925" customWidth="1"/>
    <col min="11280" max="11280" width="30.54296875" style="925" customWidth="1"/>
    <col min="11281" max="11281" width="27.36328125" style="925" customWidth="1"/>
    <col min="11282" max="11282" width="32.54296875" style="925" customWidth="1"/>
    <col min="11283" max="11283" width="30.453125" style="925" customWidth="1"/>
    <col min="11284" max="11284" width="24.36328125" style="925" customWidth="1"/>
    <col min="11285" max="11285" width="28" style="925" customWidth="1"/>
    <col min="11286" max="11286" width="19.453125" style="925" customWidth="1"/>
    <col min="11287" max="11523" width="9.08984375" style="925"/>
    <col min="11524" max="11524" width="14.54296875" style="925" customWidth="1"/>
    <col min="11525" max="11525" width="14.453125" style="925" customWidth="1"/>
    <col min="11526" max="11526" width="58.08984375" style="925" customWidth="1"/>
    <col min="11527" max="11527" width="30.453125" style="925" customWidth="1"/>
    <col min="11528" max="11528" width="27.36328125" style="925" customWidth="1"/>
    <col min="11529" max="11529" width="30.90625" style="925" customWidth="1"/>
    <col min="11530" max="11530" width="24.90625" style="925" customWidth="1"/>
    <col min="11531" max="11531" width="27.36328125" style="925" customWidth="1"/>
    <col min="11532" max="11532" width="32" style="925" customWidth="1"/>
    <col min="11533" max="11533" width="25.54296875" style="925" customWidth="1"/>
    <col min="11534" max="11534" width="27.36328125" style="925" customWidth="1"/>
    <col min="11535" max="11535" width="31.453125" style="925" customWidth="1"/>
    <col min="11536" max="11536" width="30.54296875" style="925" customWidth="1"/>
    <col min="11537" max="11537" width="27.36328125" style="925" customWidth="1"/>
    <col min="11538" max="11538" width="32.54296875" style="925" customWidth="1"/>
    <col min="11539" max="11539" width="30.453125" style="925" customWidth="1"/>
    <col min="11540" max="11540" width="24.36328125" style="925" customWidth="1"/>
    <col min="11541" max="11541" width="28" style="925" customWidth="1"/>
    <col min="11542" max="11542" width="19.453125" style="925" customWidth="1"/>
    <col min="11543" max="11779" width="9.08984375" style="925"/>
    <col min="11780" max="11780" width="14.54296875" style="925" customWidth="1"/>
    <col min="11781" max="11781" width="14.453125" style="925" customWidth="1"/>
    <col min="11782" max="11782" width="58.08984375" style="925" customWidth="1"/>
    <col min="11783" max="11783" width="30.453125" style="925" customWidth="1"/>
    <col min="11784" max="11784" width="27.36328125" style="925" customWidth="1"/>
    <col min="11785" max="11785" width="30.90625" style="925" customWidth="1"/>
    <col min="11786" max="11786" width="24.90625" style="925" customWidth="1"/>
    <col min="11787" max="11787" width="27.36328125" style="925" customWidth="1"/>
    <col min="11788" max="11788" width="32" style="925" customWidth="1"/>
    <col min="11789" max="11789" width="25.54296875" style="925" customWidth="1"/>
    <col min="11790" max="11790" width="27.36328125" style="925" customWidth="1"/>
    <col min="11791" max="11791" width="31.453125" style="925" customWidth="1"/>
    <col min="11792" max="11792" width="30.54296875" style="925" customWidth="1"/>
    <col min="11793" max="11793" width="27.36328125" style="925" customWidth="1"/>
    <col min="11794" max="11794" width="32.54296875" style="925" customWidth="1"/>
    <col min="11795" max="11795" width="30.453125" style="925" customWidth="1"/>
    <col min="11796" max="11796" width="24.36328125" style="925" customWidth="1"/>
    <col min="11797" max="11797" width="28" style="925" customWidth="1"/>
    <col min="11798" max="11798" width="19.453125" style="925" customWidth="1"/>
    <col min="11799" max="12035" width="9.08984375" style="925"/>
    <col min="12036" max="12036" width="14.54296875" style="925" customWidth="1"/>
    <col min="12037" max="12037" width="14.453125" style="925" customWidth="1"/>
    <col min="12038" max="12038" width="58.08984375" style="925" customWidth="1"/>
    <col min="12039" max="12039" width="30.453125" style="925" customWidth="1"/>
    <col min="12040" max="12040" width="27.36328125" style="925" customWidth="1"/>
    <col min="12041" max="12041" width="30.90625" style="925" customWidth="1"/>
    <col min="12042" max="12042" width="24.90625" style="925" customWidth="1"/>
    <col min="12043" max="12043" width="27.36328125" style="925" customWidth="1"/>
    <col min="12044" max="12044" width="32" style="925" customWidth="1"/>
    <col min="12045" max="12045" width="25.54296875" style="925" customWidth="1"/>
    <col min="12046" max="12046" width="27.36328125" style="925" customWidth="1"/>
    <col min="12047" max="12047" width="31.453125" style="925" customWidth="1"/>
    <col min="12048" max="12048" width="30.54296875" style="925" customWidth="1"/>
    <col min="12049" max="12049" width="27.36328125" style="925" customWidth="1"/>
    <col min="12050" max="12050" width="32.54296875" style="925" customWidth="1"/>
    <col min="12051" max="12051" width="30.453125" style="925" customWidth="1"/>
    <col min="12052" max="12052" width="24.36328125" style="925" customWidth="1"/>
    <col min="12053" max="12053" width="28" style="925" customWidth="1"/>
    <col min="12054" max="12054" width="19.453125" style="925" customWidth="1"/>
    <col min="12055" max="12291" width="9.08984375" style="925"/>
    <col min="12292" max="12292" width="14.54296875" style="925" customWidth="1"/>
    <col min="12293" max="12293" width="14.453125" style="925" customWidth="1"/>
    <col min="12294" max="12294" width="58.08984375" style="925" customWidth="1"/>
    <col min="12295" max="12295" width="30.453125" style="925" customWidth="1"/>
    <col min="12296" max="12296" width="27.36328125" style="925" customWidth="1"/>
    <col min="12297" max="12297" width="30.90625" style="925" customWidth="1"/>
    <col min="12298" max="12298" width="24.90625" style="925" customWidth="1"/>
    <col min="12299" max="12299" width="27.36328125" style="925" customWidth="1"/>
    <col min="12300" max="12300" width="32" style="925" customWidth="1"/>
    <col min="12301" max="12301" width="25.54296875" style="925" customWidth="1"/>
    <col min="12302" max="12302" width="27.36328125" style="925" customWidth="1"/>
    <col min="12303" max="12303" width="31.453125" style="925" customWidth="1"/>
    <col min="12304" max="12304" width="30.54296875" style="925" customWidth="1"/>
    <col min="12305" max="12305" width="27.36328125" style="925" customWidth="1"/>
    <col min="12306" max="12306" width="32.54296875" style="925" customWidth="1"/>
    <col min="12307" max="12307" width="30.453125" style="925" customWidth="1"/>
    <col min="12308" max="12308" width="24.36328125" style="925" customWidth="1"/>
    <col min="12309" max="12309" width="28" style="925" customWidth="1"/>
    <col min="12310" max="12310" width="19.453125" style="925" customWidth="1"/>
    <col min="12311" max="12547" width="9.08984375" style="925"/>
    <col min="12548" max="12548" width="14.54296875" style="925" customWidth="1"/>
    <col min="12549" max="12549" width="14.453125" style="925" customWidth="1"/>
    <col min="12550" max="12550" width="58.08984375" style="925" customWidth="1"/>
    <col min="12551" max="12551" width="30.453125" style="925" customWidth="1"/>
    <col min="12552" max="12552" width="27.36328125" style="925" customWidth="1"/>
    <col min="12553" max="12553" width="30.90625" style="925" customWidth="1"/>
    <col min="12554" max="12554" width="24.90625" style="925" customWidth="1"/>
    <col min="12555" max="12555" width="27.36328125" style="925" customWidth="1"/>
    <col min="12556" max="12556" width="32" style="925" customWidth="1"/>
    <col min="12557" max="12557" width="25.54296875" style="925" customWidth="1"/>
    <col min="12558" max="12558" width="27.36328125" style="925" customWidth="1"/>
    <col min="12559" max="12559" width="31.453125" style="925" customWidth="1"/>
    <col min="12560" max="12560" width="30.54296875" style="925" customWidth="1"/>
    <col min="12561" max="12561" width="27.36328125" style="925" customWidth="1"/>
    <col min="12562" max="12562" width="32.54296875" style="925" customWidth="1"/>
    <col min="12563" max="12563" width="30.453125" style="925" customWidth="1"/>
    <col min="12564" max="12564" width="24.36328125" style="925" customWidth="1"/>
    <col min="12565" max="12565" width="28" style="925" customWidth="1"/>
    <col min="12566" max="12566" width="19.453125" style="925" customWidth="1"/>
    <col min="12567" max="12803" width="9.08984375" style="925"/>
    <col min="12804" max="12804" width="14.54296875" style="925" customWidth="1"/>
    <col min="12805" max="12805" width="14.453125" style="925" customWidth="1"/>
    <col min="12806" max="12806" width="58.08984375" style="925" customWidth="1"/>
    <col min="12807" max="12807" width="30.453125" style="925" customWidth="1"/>
    <col min="12808" max="12808" width="27.36328125" style="925" customWidth="1"/>
    <col min="12809" max="12809" width="30.90625" style="925" customWidth="1"/>
    <col min="12810" max="12810" width="24.90625" style="925" customWidth="1"/>
    <col min="12811" max="12811" width="27.36328125" style="925" customWidth="1"/>
    <col min="12812" max="12812" width="32" style="925" customWidth="1"/>
    <col min="12813" max="12813" width="25.54296875" style="925" customWidth="1"/>
    <col min="12814" max="12814" width="27.36328125" style="925" customWidth="1"/>
    <col min="12815" max="12815" width="31.453125" style="925" customWidth="1"/>
    <col min="12816" max="12816" width="30.54296875" style="925" customWidth="1"/>
    <col min="12817" max="12817" width="27.36328125" style="925" customWidth="1"/>
    <col min="12818" max="12818" width="32.54296875" style="925" customWidth="1"/>
    <col min="12819" max="12819" width="30.453125" style="925" customWidth="1"/>
    <col min="12820" max="12820" width="24.36328125" style="925" customWidth="1"/>
    <col min="12821" max="12821" width="28" style="925" customWidth="1"/>
    <col min="12822" max="12822" width="19.453125" style="925" customWidth="1"/>
    <col min="12823" max="13059" width="9.08984375" style="925"/>
    <col min="13060" max="13060" width="14.54296875" style="925" customWidth="1"/>
    <col min="13061" max="13061" width="14.453125" style="925" customWidth="1"/>
    <col min="13062" max="13062" width="58.08984375" style="925" customWidth="1"/>
    <col min="13063" max="13063" width="30.453125" style="925" customWidth="1"/>
    <col min="13064" max="13064" width="27.36328125" style="925" customWidth="1"/>
    <col min="13065" max="13065" width="30.90625" style="925" customWidth="1"/>
    <col min="13066" max="13066" width="24.90625" style="925" customWidth="1"/>
    <col min="13067" max="13067" width="27.36328125" style="925" customWidth="1"/>
    <col min="13068" max="13068" width="32" style="925" customWidth="1"/>
    <col min="13069" max="13069" width="25.54296875" style="925" customWidth="1"/>
    <col min="13070" max="13070" width="27.36328125" style="925" customWidth="1"/>
    <col min="13071" max="13071" width="31.453125" style="925" customWidth="1"/>
    <col min="13072" max="13072" width="30.54296875" style="925" customWidth="1"/>
    <col min="13073" max="13073" width="27.36328125" style="925" customWidth="1"/>
    <col min="13074" max="13074" width="32.54296875" style="925" customWidth="1"/>
    <col min="13075" max="13075" width="30.453125" style="925" customWidth="1"/>
    <col min="13076" max="13076" width="24.36328125" style="925" customWidth="1"/>
    <col min="13077" max="13077" width="28" style="925" customWidth="1"/>
    <col min="13078" max="13078" width="19.453125" style="925" customWidth="1"/>
    <col min="13079" max="13315" width="9.08984375" style="925"/>
    <col min="13316" max="13316" width="14.54296875" style="925" customWidth="1"/>
    <col min="13317" max="13317" width="14.453125" style="925" customWidth="1"/>
    <col min="13318" max="13318" width="58.08984375" style="925" customWidth="1"/>
    <col min="13319" max="13319" width="30.453125" style="925" customWidth="1"/>
    <col min="13320" max="13320" width="27.36328125" style="925" customWidth="1"/>
    <col min="13321" max="13321" width="30.90625" style="925" customWidth="1"/>
    <col min="13322" max="13322" width="24.90625" style="925" customWidth="1"/>
    <col min="13323" max="13323" width="27.36328125" style="925" customWidth="1"/>
    <col min="13324" max="13324" width="32" style="925" customWidth="1"/>
    <col min="13325" max="13325" width="25.54296875" style="925" customWidth="1"/>
    <col min="13326" max="13326" width="27.36328125" style="925" customWidth="1"/>
    <col min="13327" max="13327" width="31.453125" style="925" customWidth="1"/>
    <col min="13328" max="13328" width="30.54296875" style="925" customWidth="1"/>
    <col min="13329" max="13329" width="27.36328125" style="925" customWidth="1"/>
    <col min="13330" max="13330" width="32.54296875" style="925" customWidth="1"/>
    <col min="13331" max="13331" width="30.453125" style="925" customWidth="1"/>
    <col min="13332" max="13332" width="24.36328125" style="925" customWidth="1"/>
    <col min="13333" max="13333" width="28" style="925" customWidth="1"/>
    <col min="13334" max="13334" width="19.453125" style="925" customWidth="1"/>
    <col min="13335" max="13571" width="9.08984375" style="925"/>
    <col min="13572" max="13572" width="14.54296875" style="925" customWidth="1"/>
    <col min="13573" max="13573" width="14.453125" style="925" customWidth="1"/>
    <col min="13574" max="13574" width="58.08984375" style="925" customWidth="1"/>
    <col min="13575" max="13575" width="30.453125" style="925" customWidth="1"/>
    <col min="13576" max="13576" width="27.36328125" style="925" customWidth="1"/>
    <col min="13577" max="13577" width="30.90625" style="925" customWidth="1"/>
    <col min="13578" max="13578" width="24.90625" style="925" customWidth="1"/>
    <col min="13579" max="13579" width="27.36328125" style="925" customWidth="1"/>
    <col min="13580" max="13580" width="32" style="925" customWidth="1"/>
    <col min="13581" max="13581" width="25.54296875" style="925" customWidth="1"/>
    <col min="13582" max="13582" width="27.36328125" style="925" customWidth="1"/>
    <col min="13583" max="13583" width="31.453125" style="925" customWidth="1"/>
    <col min="13584" max="13584" width="30.54296875" style="925" customWidth="1"/>
    <col min="13585" max="13585" width="27.36328125" style="925" customWidth="1"/>
    <col min="13586" max="13586" width="32.54296875" style="925" customWidth="1"/>
    <col min="13587" max="13587" width="30.453125" style="925" customWidth="1"/>
    <col min="13588" max="13588" width="24.36328125" style="925" customWidth="1"/>
    <col min="13589" max="13589" width="28" style="925" customWidth="1"/>
    <col min="13590" max="13590" width="19.453125" style="925" customWidth="1"/>
    <col min="13591" max="13827" width="9.08984375" style="925"/>
    <col min="13828" max="13828" width="14.54296875" style="925" customWidth="1"/>
    <col min="13829" max="13829" width="14.453125" style="925" customWidth="1"/>
    <col min="13830" max="13830" width="58.08984375" style="925" customWidth="1"/>
    <col min="13831" max="13831" width="30.453125" style="925" customWidth="1"/>
    <col min="13832" max="13832" width="27.36328125" style="925" customWidth="1"/>
    <col min="13833" max="13833" width="30.90625" style="925" customWidth="1"/>
    <col min="13834" max="13834" width="24.90625" style="925" customWidth="1"/>
    <col min="13835" max="13835" width="27.36328125" style="925" customWidth="1"/>
    <col min="13836" max="13836" width="32" style="925" customWidth="1"/>
    <col min="13837" max="13837" width="25.54296875" style="925" customWidth="1"/>
    <col min="13838" max="13838" width="27.36328125" style="925" customWidth="1"/>
    <col min="13839" max="13839" width="31.453125" style="925" customWidth="1"/>
    <col min="13840" max="13840" width="30.54296875" style="925" customWidth="1"/>
    <col min="13841" max="13841" width="27.36328125" style="925" customWidth="1"/>
    <col min="13842" max="13842" width="32.54296875" style="925" customWidth="1"/>
    <col min="13843" max="13843" width="30.453125" style="925" customWidth="1"/>
    <col min="13844" max="13844" width="24.36328125" style="925" customWidth="1"/>
    <col min="13845" max="13845" width="28" style="925" customWidth="1"/>
    <col min="13846" max="13846" width="19.453125" style="925" customWidth="1"/>
    <col min="13847" max="14083" width="9.08984375" style="925"/>
    <col min="14084" max="14084" width="14.54296875" style="925" customWidth="1"/>
    <col min="14085" max="14085" width="14.453125" style="925" customWidth="1"/>
    <col min="14086" max="14086" width="58.08984375" style="925" customWidth="1"/>
    <col min="14087" max="14087" width="30.453125" style="925" customWidth="1"/>
    <col min="14088" max="14088" width="27.36328125" style="925" customWidth="1"/>
    <col min="14089" max="14089" width="30.90625" style="925" customWidth="1"/>
    <col min="14090" max="14090" width="24.90625" style="925" customWidth="1"/>
    <col min="14091" max="14091" width="27.36328125" style="925" customWidth="1"/>
    <col min="14092" max="14092" width="32" style="925" customWidth="1"/>
    <col min="14093" max="14093" width="25.54296875" style="925" customWidth="1"/>
    <col min="14094" max="14094" width="27.36328125" style="925" customWidth="1"/>
    <col min="14095" max="14095" width="31.453125" style="925" customWidth="1"/>
    <col min="14096" max="14096" width="30.54296875" style="925" customWidth="1"/>
    <col min="14097" max="14097" width="27.36328125" style="925" customWidth="1"/>
    <col min="14098" max="14098" width="32.54296875" style="925" customWidth="1"/>
    <col min="14099" max="14099" width="30.453125" style="925" customWidth="1"/>
    <col min="14100" max="14100" width="24.36328125" style="925" customWidth="1"/>
    <col min="14101" max="14101" width="28" style="925" customWidth="1"/>
    <col min="14102" max="14102" width="19.453125" style="925" customWidth="1"/>
    <col min="14103" max="14339" width="9.08984375" style="925"/>
    <col min="14340" max="14340" width="14.54296875" style="925" customWidth="1"/>
    <col min="14341" max="14341" width="14.453125" style="925" customWidth="1"/>
    <col min="14342" max="14342" width="58.08984375" style="925" customWidth="1"/>
    <col min="14343" max="14343" width="30.453125" style="925" customWidth="1"/>
    <col min="14344" max="14344" width="27.36328125" style="925" customWidth="1"/>
    <col min="14345" max="14345" width="30.90625" style="925" customWidth="1"/>
    <col min="14346" max="14346" width="24.90625" style="925" customWidth="1"/>
    <col min="14347" max="14347" width="27.36328125" style="925" customWidth="1"/>
    <col min="14348" max="14348" width="32" style="925" customWidth="1"/>
    <col min="14349" max="14349" width="25.54296875" style="925" customWidth="1"/>
    <col min="14350" max="14350" width="27.36328125" style="925" customWidth="1"/>
    <col min="14351" max="14351" width="31.453125" style="925" customWidth="1"/>
    <col min="14352" max="14352" width="30.54296875" style="925" customWidth="1"/>
    <col min="14353" max="14353" width="27.36328125" style="925" customWidth="1"/>
    <col min="14354" max="14354" width="32.54296875" style="925" customWidth="1"/>
    <col min="14355" max="14355" width="30.453125" style="925" customWidth="1"/>
    <col min="14356" max="14356" width="24.36328125" style="925" customWidth="1"/>
    <col min="14357" max="14357" width="28" style="925" customWidth="1"/>
    <col min="14358" max="14358" width="19.453125" style="925" customWidth="1"/>
    <col min="14359" max="14595" width="9.08984375" style="925"/>
    <col min="14596" max="14596" width="14.54296875" style="925" customWidth="1"/>
    <col min="14597" max="14597" width="14.453125" style="925" customWidth="1"/>
    <col min="14598" max="14598" width="58.08984375" style="925" customWidth="1"/>
    <col min="14599" max="14599" width="30.453125" style="925" customWidth="1"/>
    <col min="14600" max="14600" width="27.36328125" style="925" customWidth="1"/>
    <col min="14601" max="14601" width="30.90625" style="925" customWidth="1"/>
    <col min="14602" max="14602" width="24.90625" style="925" customWidth="1"/>
    <col min="14603" max="14603" width="27.36328125" style="925" customWidth="1"/>
    <col min="14604" max="14604" width="32" style="925" customWidth="1"/>
    <col min="14605" max="14605" width="25.54296875" style="925" customWidth="1"/>
    <col min="14606" max="14606" width="27.36328125" style="925" customWidth="1"/>
    <col min="14607" max="14607" width="31.453125" style="925" customWidth="1"/>
    <col min="14608" max="14608" width="30.54296875" style="925" customWidth="1"/>
    <col min="14609" max="14609" width="27.36328125" style="925" customWidth="1"/>
    <col min="14610" max="14610" width="32.54296875" style="925" customWidth="1"/>
    <col min="14611" max="14611" width="30.453125" style="925" customWidth="1"/>
    <col min="14612" max="14612" width="24.36328125" style="925" customWidth="1"/>
    <col min="14613" max="14613" width="28" style="925" customWidth="1"/>
    <col min="14614" max="14614" width="19.453125" style="925" customWidth="1"/>
    <col min="14615" max="14851" width="9.08984375" style="925"/>
    <col min="14852" max="14852" width="14.54296875" style="925" customWidth="1"/>
    <col min="14853" max="14853" width="14.453125" style="925" customWidth="1"/>
    <col min="14854" max="14854" width="58.08984375" style="925" customWidth="1"/>
    <col min="14855" max="14855" width="30.453125" style="925" customWidth="1"/>
    <col min="14856" max="14856" width="27.36328125" style="925" customWidth="1"/>
    <col min="14857" max="14857" width="30.90625" style="925" customWidth="1"/>
    <col min="14858" max="14858" width="24.90625" style="925" customWidth="1"/>
    <col min="14859" max="14859" width="27.36328125" style="925" customWidth="1"/>
    <col min="14860" max="14860" width="32" style="925" customWidth="1"/>
    <col min="14861" max="14861" width="25.54296875" style="925" customWidth="1"/>
    <col min="14862" max="14862" width="27.36328125" style="925" customWidth="1"/>
    <col min="14863" max="14863" width="31.453125" style="925" customWidth="1"/>
    <col min="14864" max="14864" width="30.54296875" style="925" customWidth="1"/>
    <col min="14865" max="14865" width="27.36328125" style="925" customWidth="1"/>
    <col min="14866" max="14866" width="32.54296875" style="925" customWidth="1"/>
    <col min="14867" max="14867" width="30.453125" style="925" customWidth="1"/>
    <col min="14868" max="14868" width="24.36328125" style="925" customWidth="1"/>
    <col min="14869" max="14869" width="28" style="925" customWidth="1"/>
    <col min="14870" max="14870" width="19.453125" style="925" customWidth="1"/>
    <col min="14871" max="15107" width="9.08984375" style="925"/>
    <col min="15108" max="15108" width="14.54296875" style="925" customWidth="1"/>
    <col min="15109" max="15109" width="14.453125" style="925" customWidth="1"/>
    <col min="15110" max="15110" width="58.08984375" style="925" customWidth="1"/>
    <col min="15111" max="15111" width="30.453125" style="925" customWidth="1"/>
    <col min="15112" max="15112" width="27.36328125" style="925" customWidth="1"/>
    <col min="15113" max="15113" width="30.90625" style="925" customWidth="1"/>
    <col min="15114" max="15114" width="24.90625" style="925" customWidth="1"/>
    <col min="15115" max="15115" width="27.36328125" style="925" customWidth="1"/>
    <col min="15116" max="15116" width="32" style="925" customWidth="1"/>
    <col min="15117" max="15117" width="25.54296875" style="925" customWidth="1"/>
    <col min="15118" max="15118" width="27.36328125" style="925" customWidth="1"/>
    <col min="15119" max="15119" width="31.453125" style="925" customWidth="1"/>
    <col min="15120" max="15120" width="30.54296875" style="925" customWidth="1"/>
    <col min="15121" max="15121" width="27.36328125" style="925" customWidth="1"/>
    <col min="15122" max="15122" width="32.54296875" style="925" customWidth="1"/>
    <col min="15123" max="15123" width="30.453125" style="925" customWidth="1"/>
    <col min="15124" max="15124" width="24.36328125" style="925" customWidth="1"/>
    <col min="15125" max="15125" width="28" style="925" customWidth="1"/>
    <col min="15126" max="15126" width="19.453125" style="925" customWidth="1"/>
    <col min="15127" max="15363" width="9.08984375" style="925"/>
    <col min="15364" max="15364" width="14.54296875" style="925" customWidth="1"/>
    <col min="15365" max="15365" width="14.453125" style="925" customWidth="1"/>
    <col min="15366" max="15366" width="58.08984375" style="925" customWidth="1"/>
    <col min="15367" max="15367" width="30.453125" style="925" customWidth="1"/>
    <col min="15368" max="15368" width="27.36328125" style="925" customWidth="1"/>
    <col min="15369" max="15369" width="30.90625" style="925" customWidth="1"/>
    <col min="15370" max="15370" width="24.90625" style="925" customWidth="1"/>
    <col min="15371" max="15371" width="27.36328125" style="925" customWidth="1"/>
    <col min="15372" max="15372" width="32" style="925" customWidth="1"/>
    <col min="15373" max="15373" width="25.54296875" style="925" customWidth="1"/>
    <col min="15374" max="15374" width="27.36328125" style="925" customWidth="1"/>
    <col min="15375" max="15375" width="31.453125" style="925" customWidth="1"/>
    <col min="15376" max="15376" width="30.54296875" style="925" customWidth="1"/>
    <col min="15377" max="15377" width="27.36328125" style="925" customWidth="1"/>
    <col min="15378" max="15378" width="32.54296875" style="925" customWidth="1"/>
    <col min="15379" max="15379" width="30.453125" style="925" customWidth="1"/>
    <col min="15380" max="15380" width="24.36328125" style="925" customWidth="1"/>
    <col min="15381" max="15381" width="28" style="925" customWidth="1"/>
    <col min="15382" max="15382" width="19.453125" style="925" customWidth="1"/>
    <col min="15383" max="15619" width="9.08984375" style="925"/>
    <col min="15620" max="15620" width="14.54296875" style="925" customWidth="1"/>
    <col min="15621" max="15621" width="14.453125" style="925" customWidth="1"/>
    <col min="15622" max="15622" width="58.08984375" style="925" customWidth="1"/>
    <col min="15623" max="15623" width="30.453125" style="925" customWidth="1"/>
    <col min="15624" max="15624" width="27.36328125" style="925" customWidth="1"/>
    <col min="15625" max="15625" width="30.90625" style="925" customWidth="1"/>
    <col min="15626" max="15626" width="24.90625" style="925" customWidth="1"/>
    <col min="15627" max="15627" width="27.36328125" style="925" customWidth="1"/>
    <col min="15628" max="15628" width="32" style="925" customWidth="1"/>
    <col min="15629" max="15629" width="25.54296875" style="925" customWidth="1"/>
    <col min="15630" max="15630" width="27.36328125" style="925" customWidth="1"/>
    <col min="15631" max="15631" width="31.453125" style="925" customWidth="1"/>
    <col min="15632" max="15632" width="30.54296875" style="925" customWidth="1"/>
    <col min="15633" max="15633" width="27.36328125" style="925" customWidth="1"/>
    <col min="15634" max="15634" width="32.54296875" style="925" customWidth="1"/>
    <col min="15635" max="15635" width="30.453125" style="925" customWidth="1"/>
    <col min="15636" max="15636" width="24.36328125" style="925" customWidth="1"/>
    <col min="15637" max="15637" width="28" style="925" customWidth="1"/>
    <col min="15638" max="15638" width="19.453125" style="925" customWidth="1"/>
    <col min="15639" max="15875" width="9.08984375" style="925"/>
    <col min="15876" max="15876" width="14.54296875" style="925" customWidth="1"/>
    <col min="15877" max="15877" width="14.453125" style="925" customWidth="1"/>
    <col min="15878" max="15878" width="58.08984375" style="925" customWidth="1"/>
    <col min="15879" max="15879" width="30.453125" style="925" customWidth="1"/>
    <col min="15880" max="15880" width="27.36328125" style="925" customWidth="1"/>
    <col min="15881" max="15881" width="30.90625" style="925" customWidth="1"/>
    <col min="15882" max="15882" width="24.90625" style="925" customWidth="1"/>
    <col min="15883" max="15883" width="27.36328125" style="925" customWidth="1"/>
    <col min="15884" max="15884" width="32" style="925" customWidth="1"/>
    <col min="15885" max="15885" width="25.54296875" style="925" customWidth="1"/>
    <col min="15886" max="15886" width="27.36328125" style="925" customWidth="1"/>
    <col min="15887" max="15887" width="31.453125" style="925" customWidth="1"/>
    <col min="15888" max="15888" width="30.54296875" style="925" customWidth="1"/>
    <col min="15889" max="15889" width="27.36328125" style="925" customWidth="1"/>
    <col min="15890" max="15890" width="32.54296875" style="925" customWidth="1"/>
    <col min="15891" max="15891" width="30.453125" style="925" customWidth="1"/>
    <col min="15892" max="15892" width="24.36328125" style="925" customWidth="1"/>
    <col min="15893" max="15893" width="28" style="925" customWidth="1"/>
    <col min="15894" max="15894" width="19.453125" style="925" customWidth="1"/>
    <col min="15895" max="16131" width="9.08984375" style="925"/>
    <col min="16132" max="16132" width="14.54296875" style="925" customWidth="1"/>
    <col min="16133" max="16133" width="14.453125" style="925" customWidth="1"/>
    <col min="16134" max="16134" width="58.08984375" style="925" customWidth="1"/>
    <col min="16135" max="16135" width="30.453125" style="925" customWidth="1"/>
    <col min="16136" max="16136" width="27.36328125" style="925" customWidth="1"/>
    <col min="16137" max="16137" width="30.90625" style="925" customWidth="1"/>
    <col min="16138" max="16138" width="24.90625" style="925" customWidth="1"/>
    <col min="16139" max="16139" width="27.36328125" style="925" customWidth="1"/>
    <col min="16140" max="16140" width="32" style="925" customWidth="1"/>
    <col min="16141" max="16141" width="25.54296875" style="925" customWidth="1"/>
    <col min="16142" max="16142" width="27.36328125" style="925" customWidth="1"/>
    <col min="16143" max="16143" width="31.453125" style="925" customWidth="1"/>
    <col min="16144" max="16144" width="30.54296875" style="925" customWidth="1"/>
    <col min="16145" max="16145" width="27.36328125" style="925" customWidth="1"/>
    <col min="16146" max="16146" width="32.54296875" style="925" customWidth="1"/>
    <col min="16147" max="16147" width="30.453125" style="925" customWidth="1"/>
    <col min="16148" max="16148" width="24.36328125" style="925" customWidth="1"/>
    <col min="16149" max="16149" width="28" style="925" customWidth="1"/>
    <col min="16150" max="16150" width="19.453125" style="925" customWidth="1"/>
    <col min="16151" max="16384" width="9.08984375" style="925"/>
  </cols>
  <sheetData>
    <row r="1" spans="2:21" x14ac:dyDescent="0.3">
      <c r="C1" s="923"/>
      <c r="D1" s="924"/>
      <c r="E1" s="924"/>
      <c r="F1" s="924"/>
      <c r="G1" s="924"/>
      <c r="K1" s="924"/>
      <c r="L1" s="924"/>
      <c r="M1" s="924"/>
    </row>
    <row r="2" spans="2:21" s="883" customFormat="1" x14ac:dyDescent="0.3">
      <c r="B2" s="22"/>
      <c r="C2" s="928"/>
      <c r="D2" s="22"/>
      <c r="E2" s="22"/>
      <c r="F2" s="22"/>
      <c r="G2" s="22"/>
      <c r="H2" s="859" t="str">
        <f>Index!B2</f>
        <v xml:space="preserve">      Maharashtra State Power Generation Company Ltd.</v>
      </c>
    </row>
    <row r="3" spans="2:21" s="883" customFormat="1" x14ac:dyDescent="0.3">
      <c r="B3" s="929"/>
      <c r="C3" s="928"/>
      <c r="D3" s="915"/>
      <c r="E3" s="915"/>
      <c r="F3" s="915"/>
      <c r="G3" s="915"/>
      <c r="H3" s="903" t="s">
        <v>1104</v>
      </c>
    </row>
    <row r="4" spans="2:21" s="883" customFormat="1" ht="15" customHeight="1" x14ac:dyDescent="0.3">
      <c r="B4" s="929"/>
      <c r="C4" s="928"/>
      <c r="D4" s="915"/>
      <c r="E4" s="915"/>
      <c r="F4" s="915"/>
      <c r="G4" s="915"/>
      <c r="H4" s="903" t="s">
        <v>1126</v>
      </c>
    </row>
    <row r="5" spans="2:21" ht="15" customHeight="1" x14ac:dyDescent="0.3">
      <c r="U5" s="931" t="s">
        <v>10</v>
      </c>
    </row>
    <row r="6" spans="2:21" s="932" customFormat="1" x14ac:dyDescent="0.3">
      <c r="B6" s="1903" t="s">
        <v>340</v>
      </c>
      <c r="C6" s="1903" t="s">
        <v>1127</v>
      </c>
      <c r="D6" s="1908" t="s">
        <v>1128</v>
      </c>
      <c r="E6" s="1909"/>
      <c r="F6" s="1909"/>
      <c r="G6" s="1909"/>
      <c r="H6" s="1909"/>
      <c r="I6" s="1909"/>
      <c r="J6" s="1909"/>
      <c r="K6" s="1909"/>
      <c r="L6" s="1909"/>
      <c r="M6" s="1909"/>
      <c r="N6" s="1909"/>
      <c r="O6" s="1909"/>
      <c r="P6" s="1909"/>
      <c r="Q6" s="1909"/>
      <c r="R6" s="1909"/>
      <c r="S6" s="1910"/>
      <c r="T6" s="1911" t="s">
        <v>1129</v>
      </c>
      <c r="U6" s="1914" t="s">
        <v>1130</v>
      </c>
    </row>
    <row r="7" spans="2:21" s="933" customFormat="1" x14ac:dyDescent="0.25">
      <c r="B7" s="1904"/>
      <c r="C7" s="1904"/>
      <c r="D7" s="1917" t="s">
        <v>1131</v>
      </c>
      <c r="E7" s="1917"/>
      <c r="F7" s="1917"/>
      <c r="G7" s="1917"/>
      <c r="H7" s="1917" t="s">
        <v>1132</v>
      </c>
      <c r="I7" s="1917"/>
      <c r="J7" s="1917"/>
      <c r="K7" s="1917" t="s">
        <v>1132</v>
      </c>
      <c r="L7" s="1917"/>
      <c r="M7" s="1917"/>
      <c r="N7" s="1917" t="s">
        <v>1133</v>
      </c>
      <c r="O7" s="1917"/>
      <c r="P7" s="1917"/>
      <c r="Q7" s="1917" t="s">
        <v>1134</v>
      </c>
      <c r="R7" s="1917"/>
      <c r="S7" s="1917"/>
      <c r="T7" s="1912"/>
      <c r="U7" s="1915"/>
    </row>
    <row r="8" spans="2:21" s="935" customFormat="1" ht="70" x14ac:dyDescent="0.25">
      <c r="B8" s="1905"/>
      <c r="C8" s="1904"/>
      <c r="D8" s="934" t="s">
        <v>1135</v>
      </c>
      <c r="E8" s="934" t="s">
        <v>1136</v>
      </c>
      <c r="F8" s="934" t="s">
        <v>1137</v>
      </c>
      <c r="G8" s="934" t="s">
        <v>1138</v>
      </c>
      <c r="H8" s="934" t="s">
        <v>1136</v>
      </c>
      <c r="I8" s="934" t="s">
        <v>1137</v>
      </c>
      <c r="J8" s="934" t="s">
        <v>1138</v>
      </c>
      <c r="K8" s="934" t="s">
        <v>1136</v>
      </c>
      <c r="L8" s="934" t="s">
        <v>1137</v>
      </c>
      <c r="M8" s="934" t="s">
        <v>1138</v>
      </c>
      <c r="N8" s="934" t="s">
        <v>24</v>
      </c>
      <c r="O8" s="934" t="s">
        <v>24</v>
      </c>
      <c r="P8" s="934" t="s">
        <v>24</v>
      </c>
      <c r="Q8" s="934" t="s">
        <v>1136</v>
      </c>
      <c r="R8" s="934" t="s">
        <v>1137</v>
      </c>
      <c r="S8" s="934" t="s">
        <v>1138</v>
      </c>
      <c r="T8" s="1913"/>
      <c r="U8" s="1915"/>
    </row>
    <row r="9" spans="2:21" s="935" customFormat="1" x14ac:dyDescent="0.25">
      <c r="B9" s="1906"/>
      <c r="C9" s="1907"/>
      <c r="D9" s="934"/>
      <c r="E9" s="934" t="s">
        <v>81</v>
      </c>
      <c r="F9" s="934" t="s">
        <v>82</v>
      </c>
      <c r="G9" s="934" t="s">
        <v>1139</v>
      </c>
      <c r="H9" s="934" t="s">
        <v>391</v>
      </c>
      <c r="I9" s="934" t="s">
        <v>409</v>
      </c>
      <c r="J9" s="934" t="s">
        <v>1140</v>
      </c>
      <c r="K9" s="934" t="s">
        <v>410</v>
      </c>
      <c r="L9" s="934" t="s">
        <v>411</v>
      </c>
      <c r="M9" s="934" t="s">
        <v>1141</v>
      </c>
      <c r="N9" s="934"/>
      <c r="O9" s="934"/>
      <c r="P9" s="934"/>
      <c r="Q9" s="934" t="s">
        <v>1142</v>
      </c>
      <c r="R9" s="934" t="s">
        <v>1143</v>
      </c>
      <c r="S9" s="934" t="s">
        <v>1144</v>
      </c>
      <c r="T9" s="936" t="s">
        <v>1145</v>
      </c>
      <c r="U9" s="1916"/>
    </row>
    <row r="10" spans="2:21" s="939" customFormat="1" x14ac:dyDescent="0.3">
      <c r="B10" s="937">
        <v>1</v>
      </c>
      <c r="C10" s="938" t="s">
        <v>1146</v>
      </c>
      <c r="D10" s="1894" t="s">
        <v>1110</v>
      </c>
      <c r="E10" s="1895"/>
      <c r="F10" s="1895"/>
      <c r="G10" s="1895"/>
      <c r="H10" s="1895"/>
      <c r="I10" s="1895"/>
      <c r="J10" s="1895"/>
      <c r="K10" s="1895"/>
      <c r="L10" s="1895"/>
      <c r="M10" s="1895"/>
      <c r="N10" s="1895"/>
      <c r="O10" s="1895"/>
      <c r="P10" s="1895"/>
      <c r="Q10" s="1895"/>
      <c r="R10" s="1895"/>
      <c r="S10" s="1895"/>
      <c r="T10" s="1895"/>
      <c r="U10" s="1896"/>
    </row>
    <row r="11" spans="2:21" x14ac:dyDescent="0.3">
      <c r="B11" s="940">
        <v>1.1000000000000001</v>
      </c>
      <c r="C11" s="941" t="s">
        <v>1147</v>
      </c>
      <c r="D11" s="1897"/>
      <c r="E11" s="1898"/>
      <c r="F11" s="1898"/>
      <c r="G11" s="1898"/>
      <c r="H11" s="1898"/>
      <c r="I11" s="1898"/>
      <c r="J11" s="1898"/>
      <c r="K11" s="1898"/>
      <c r="L11" s="1898"/>
      <c r="M11" s="1898"/>
      <c r="N11" s="1898"/>
      <c r="O11" s="1898"/>
      <c r="P11" s="1898"/>
      <c r="Q11" s="1898"/>
      <c r="R11" s="1898"/>
      <c r="S11" s="1898"/>
      <c r="T11" s="1898"/>
      <c r="U11" s="1899"/>
    </row>
    <row r="12" spans="2:21" x14ac:dyDescent="0.3">
      <c r="B12" s="940">
        <v>1.2</v>
      </c>
      <c r="C12" s="942" t="s">
        <v>1148</v>
      </c>
      <c r="D12" s="1897"/>
      <c r="E12" s="1898"/>
      <c r="F12" s="1898"/>
      <c r="G12" s="1898"/>
      <c r="H12" s="1898"/>
      <c r="I12" s="1898"/>
      <c r="J12" s="1898"/>
      <c r="K12" s="1898"/>
      <c r="L12" s="1898"/>
      <c r="M12" s="1898"/>
      <c r="N12" s="1898"/>
      <c r="O12" s="1898"/>
      <c r="P12" s="1898"/>
      <c r="Q12" s="1898"/>
      <c r="R12" s="1898"/>
      <c r="S12" s="1898"/>
      <c r="T12" s="1898"/>
      <c r="U12" s="1899"/>
    </row>
    <row r="13" spans="2:21" x14ac:dyDescent="0.3">
      <c r="B13" s="943">
        <v>1.3</v>
      </c>
      <c r="C13" s="942" t="s">
        <v>1149</v>
      </c>
      <c r="D13" s="1897"/>
      <c r="E13" s="1898"/>
      <c r="F13" s="1898"/>
      <c r="G13" s="1898"/>
      <c r="H13" s="1898"/>
      <c r="I13" s="1898"/>
      <c r="J13" s="1898"/>
      <c r="K13" s="1898"/>
      <c r="L13" s="1898"/>
      <c r="M13" s="1898"/>
      <c r="N13" s="1898"/>
      <c r="O13" s="1898"/>
      <c r="P13" s="1898"/>
      <c r="Q13" s="1898"/>
      <c r="R13" s="1898"/>
      <c r="S13" s="1898"/>
      <c r="T13" s="1898"/>
      <c r="U13" s="1899"/>
    </row>
    <row r="14" spans="2:21" s="939" customFormat="1" x14ac:dyDescent="0.3">
      <c r="B14" s="944"/>
      <c r="C14" s="945" t="s">
        <v>1150</v>
      </c>
      <c r="D14" s="1897"/>
      <c r="E14" s="1898"/>
      <c r="F14" s="1898"/>
      <c r="G14" s="1898"/>
      <c r="H14" s="1898"/>
      <c r="I14" s="1898"/>
      <c r="J14" s="1898"/>
      <c r="K14" s="1898"/>
      <c r="L14" s="1898"/>
      <c r="M14" s="1898"/>
      <c r="N14" s="1898"/>
      <c r="O14" s="1898"/>
      <c r="P14" s="1898"/>
      <c r="Q14" s="1898"/>
      <c r="R14" s="1898"/>
      <c r="S14" s="1898"/>
      <c r="T14" s="1898"/>
      <c r="U14" s="1899"/>
    </row>
    <row r="15" spans="2:21" s="939" customFormat="1" x14ac:dyDescent="0.3">
      <c r="B15" s="944"/>
      <c r="C15" s="945"/>
      <c r="D15" s="1897"/>
      <c r="E15" s="1898"/>
      <c r="F15" s="1898"/>
      <c r="G15" s="1898"/>
      <c r="H15" s="1898"/>
      <c r="I15" s="1898"/>
      <c r="J15" s="1898"/>
      <c r="K15" s="1898"/>
      <c r="L15" s="1898"/>
      <c r="M15" s="1898"/>
      <c r="N15" s="1898"/>
      <c r="O15" s="1898"/>
      <c r="P15" s="1898"/>
      <c r="Q15" s="1898"/>
      <c r="R15" s="1898"/>
      <c r="S15" s="1898"/>
      <c r="T15" s="1898"/>
      <c r="U15" s="1899"/>
    </row>
    <row r="16" spans="2:21" s="939" customFormat="1" x14ac:dyDescent="0.3">
      <c r="B16" s="946">
        <v>2</v>
      </c>
      <c r="C16" s="945" t="s">
        <v>1151</v>
      </c>
      <c r="D16" s="1897"/>
      <c r="E16" s="1898"/>
      <c r="F16" s="1898"/>
      <c r="G16" s="1898"/>
      <c r="H16" s="1898"/>
      <c r="I16" s="1898"/>
      <c r="J16" s="1898"/>
      <c r="K16" s="1898"/>
      <c r="L16" s="1898"/>
      <c r="M16" s="1898"/>
      <c r="N16" s="1898"/>
      <c r="O16" s="1898"/>
      <c r="P16" s="1898"/>
      <c r="Q16" s="1898"/>
      <c r="R16" s="1898"/>
      <c r="S16" s="1898"/>
      <c r="T16" s="1898"/>
      <c r="U16" s="1899"/>
    </row>
    <row r="17" spans="2:22" s="939" customFormat="1" x14ac:dyDescent="0.3">
      <c r="B17" s="946">
        <v>2.1</v>
      </c>
      <c r="C17" s="945" t="s">
        <v>1152</v>
      </c>
      <c r="D17" s="1897"/>
      <c r="E17" s="1898"/>
      <c r="F17" s="1898"/>
      <c r="G17" s="1898"/>
      <c r="H17" s="1898"/>
      <c r="I17" s="1898"/>
      <c r="J17" s="1898"/>
      <c r="K17" s="1898"/>
      <c r="L17" s="1898"/>
      <c r="M17" s="1898"/>
      <c r="N17" s="1898"/>
      <c r="O17" s="1898"/>
      <c r="P17" s="1898"/>
      <c r="Q17" s="1898"/>
      <c r="R17" s="1898"/>
      <c r="S17" s="1898"/>
      <c r="T17" s="1898"/>
      <c r="U17" s="1899"/>
    </row>
    <row r="18" spans="2:22" x14ac:dyDescent="0.3">
      <c r="B18" s="947" t="s">
        <v>109</v>
      </c>
      <c r="C18" s="948" t="s">
        <v>1153</v>
      </c>
      <c r="D18" s="1897"/>
      <c r="E18" s="1898"/>
      <c r="F18" s="1898"/>
      <c r="G18" s="1898"/>
      <c r="H18" s="1898"/>
      <c r="I18" s="1898"/>
      <c r="J18" s="1898"/>
      <c r="K18" s="1898"/>
      <c r="L18" s="1898"/>
      <c r="M18" s="1898"/>
      <c r="N18" s="1898"/>
      <c r="O18" s="1898"/>
      <c r="P18" s="1898"/>
      <c r="Q18" s="1898"/>
      <c r="R18" s="1898"/>
      <c r="S18" s="1898"/>
      <c r="T18" s="1898"/>
      <c r="U18" s="1899"/>
    </row>
    <row r="19" spans="2:22" x14ac:dyDescent="0.3">
      <c r="B19" s="947" t="s">
        <v>111</v>
      </c>
      <c r="C19" s="948" t="s">
        <v>1154</v>
      </c>
      <c r="D19" s="1897"/>
      <c r="E19" s="1898"/>
      <c r="F19" s="1898"/>
      <c r="G19" s="1898"/>
      <c r="H19" s="1898"/>
      <c r="I19" s="1898"/>
      <c r="J19" s="1898"/>
      <c r="K19" s="1898"/>
      <c r="L19" s="1898"/>
      <c r="M19" s="1898"/>
      <c r="N19" s="1898"/>
      <c r="O19" s="1898"/>
      <c r="P19" s="1898"/>
      <c r="Q19" s="1898"/>
      <c r="R19" s="1898"/>
      <c r="S19" s="1898"/>
      <c r="T19" s="1898"/>
      <c r="U19" s="1899"/>
    </row>
    <row r="20" spans="2:22" x14ac:dyDescent="0.3">
      <c r="B20" s="947" t="s">
        <v>113</v>
      </c>
      <c r="C20" s="948" t="s">
        <v>1155</v>
      </c>
      <c r="D20" s="1897"/>
      <c r="E20" s="1898"/>
      <c r="F20" s="1898"/>
      <c r="G20" s="1898"/>
      <c r="H20" s="1898"/>
      <c r="I20" s="1898"/>
      <c r="J20" s="1898"/>
      <c r="K20" s="1898"/>
      <c r="L20" s="1898"/>
      <c r="M20" s="1898"/>
      <c r="N20" s="1898"/>
      <c r="O20" s="1898"/>
      <c r="P20" s="1898"/>
      <c r="Q20" s="1898"/>
      <c r="R20" s="1898"/>
      <c r="S20" s="1898"/>
      <c r="T20" s="1898"/>
      <c r="U20" s="1899"/>
    </row>
    <row r="21" spans="2:22" x14ac:dyDescent="0.3">
      <c r="B21" s="947" t="s">
        <v>744</v>
      </c>
      <c r="C21" s="948" t="s">
        <v>1156</v>
      </c>
      <c r="D21" s="1897"/>
      <c r="E21" s="1898"/>
      <c r="F21" s="1898"/>
      <c r="G21" s="1898"/>
      <c r="H21" s="1898"/>
      <c r="I21" s="1898"/>
      <c r="J21" s="1898"/>
      <c r="K21" s="1898"/>
      <c r="L21" s="1898"/>
      <c r="M21" s="1898"/>
      <c r="N21" s="1898"/>
      <c r="O21" s="1898"/>
      <c r="P21" s="1898"/>
      <c r="Q21" s="1898"/>
      <c r="R21" s="1898"/>
      <c r="S21" s="1898"/>
      <c r="T21" s="1898"/>
      <c r="U21" s="1899"/>
    </row>
    <row r="22" spans="2:22" x14ac:dyDescent="0.3">
      <c r="B22" s="947" t="s">
        <v>857</v>
      </c>
      <c r="C22" s="948" t="s">
        <v>1157</v>
      </c>
      <c r="D22" s="1897"/>
      <c r="E22" s="1898"/>
      <c r="F22" s="1898"/>
      <c r="G22" s="1898"/>
      <c r="H22" s="1898"/>
      <c r="I22" s="1898"/>
      <c r="J22" s="1898"/>
      <c r="K22" s="1898"/>
      <c r="L22" s="1898"/>
      <c r="M22" s="1898"/>
      <c r="N22" s="1898"/>
      <c r="O22" s="1898"/>
      <c r="P22" s="1898"/>
      <c r="Q22" s="1898"/>
      <c r="R22" s="1898"/>
      <c r="S22" s="1898"/>
      <c r="T22" s="1898"/>
      <c r="U22" s="1899"/>
    </row>
    <row r="23" spans="2:22" x14ac:dyDescent="0.3">
      <c r="B23" s="947" t="s">
        <v>858</v>
      </c>
      <c r="C23" s="948" t="s">
        <v>1158</v>
      </c>
      <c r="D23" s="1897"/>
      <c r="E23" s="1898"/>
      <c r="F23" s="1898"/>
      <c r="G23" s="1898"/>
      <c r="H23" s="1898"/>
      <c r="I23" s="1898"/>
      <c r="J23" s="1898"/>
      <c r="K23" s="1898"/>
      <c r="L23" s="1898"/>
      <c r="M23" s="1898"/>
      <c r="N23" s="1898"/>
      <c r="O23" s="1898"/>
      <c r="P23" s="1898"/>
      <c r="Q23" s="1898"/>
      <c r="R23" s="1898"/>
      <c r="S23" s="1898"/>
      <c r="T23" s="1898"/>
      <c r="U23" s="1899"/>
    </row>
    <row r="24" spans="2:22" x14ac:dyDescent="0.3">
      <c r="B24" s="947" t="s">
        <v>859</v>
      </c>
      <c r="C24" s="948" t="s">
        <v>1159</v>
      </c>
      <c r="D24" s="1897"/>
      <c r="E24" s="1898"/>
      <c r="F24" s="1898"/>
      <c r="G24" s="1898"/>
      <c r="H24" s="1898"/>
      <c r="I24" s="1898"/>
      <c r="J24" s="1898"/>
      <c r="K24" s="1898"/>
      <c r="L24" s="1898"/>
      <c r="M24" s="1898"/>
      <c r="N24" s="1898"/>
      <c r="O24" s="1898"/>
      <c r="P24" s="1898"/>
      <c r="Q24" s="1898"/>
      <c r="R24" s="1898"/>
      <c r="S24" s="1898"/>
      <c r="T24" s="1898"/>
      <c r="U24" s="1899"/>
    </row>
    <row r="25" spans="2:22" x14ac:dyDescent="0.3">
      <c r="B25" s="947" t="s">
        <v>1160</v>
      </c>
      <c r="C25" s="948" t="s">
        <v>1161</v>
      </c>
      <c r="D25" s="1897"/>
      <c r="E25" s="1898"/>
      <c r="F25" s="1898"/>
      <c r="G25" s="1898"/>
      <c r="H25" s="1898"/>
      <c r="I25" s="1898"/>
      <c r="J25" s="1898"/>
      <c r="K25" s="1898"/>
      <c r="L25" s="1898"/>
      <c r="M25" s="1898"/>
      <c r="N25" s="1898"/>
      <c r="O25" s="1898"/>
      <c r="P25" s="1898"/>
      <c r="Q25" s="1898"/>
      <c r="R25" s="1898"/>
      <c r="S25" s="1898"/>
      <c r="T25" s="1898"/>
      <c r="U25" s="1899"/>
    </row>
    <row r="26" spans="2:22" x14ac:dyDescent="0.3">
      <c r="B26" s="947"/>
      <c r="C26" s="948"/>
      <c r="D26" s="1897"/>
      <c r="E26" s="1898"/>
      <c r="F26" s="1898"/>
      <c r="G26" s="1898"/>
      <c r="H26" s="1898"/>
      <c r="I26" s="1898"/>
      <c r="J26" s="1898"/>
      <c r="K26" s="1898"/>
      <c r="L26" s="1898"/>
      <c r="M26" s="1898"/>
      <c r="N26" s="1898"/>
      <c r="O26" s="1898"/>
      <c r="P26" s="1898"/>
      <c r="Q26" s="1898"/>
      <c r="R26" s="1898"/>
      <c r="S26" s="1898"/>
      <c r="T26" s="1898"/>
      <c r="U26" s="1899"/>
    </row>
    <row r="27" spans="2:22" s="939" customFormat="1" x14ac:dyDescent="0.3">
      <c r="B27" s="946">
        <v>2.2000000000000002</v>
      </c>
      <c r="C27" s="945" t="s">
        <v>1162</v>
      </c>
      <c r="D27" s="1897"/>
      <c r="E27" s="1898"/>
      <c r="F27" s="1898"/>
      <c r="G27" s="1898"/>
      <c r="H27" s="1898"/>
      <c r="I27" s="1898"/>
      <c r="J27" s="1898"/>
      <c r="K27" s="1898"/>
      <c r="L27" s="1898"/>
      <c r="M27" s="1898"/>
      <c r="N27" s="1898"/>
      <c r="O27" s="1898"/>
      <c r="P27" s="1898"/>
      <c r="Q27" s="1898"/>
      <c r="R27" s="1898"/>
      <c r="S27" s="1898"/>
      <c r="T27" s="1898"/>
      <c r="U27" s="1899"/>
      <c r="V27" s="949"/>
    </row>
    <row r="28" spans="2:22" x14ac:dyDescent="0.3">
      <c r="B28" s="947" t="s">
        <v>116</v>
      </c>
      <c r="C28" s="948" t="s">
        <v>1163</v>
      </c>
      <c r="D28" s="1897"/>
      <c r="E28" s="1898"/>
      <c r="F28" s="1898"/>
      <c r="G28" s="1898"/>
      <c r="H28" s="1898"/>
      <c r="I28" s="1898"/>
      <c r="J28" s="1898"/>
      <c r="K28" s="1898"/>
      <c r="L28" s="1898"/>
      <c r="M28" s="1898"/>
      <c r="N28" s="1898"/>
      <c r="O28" s="1898"/>
      <c r="P28" s="1898"/>
      <c r="Q28" s="1898"/>
      <c r="R28" s="1898"/>
      <c r="S28" s="1898"/>
      <c r="T28" s="1898"/>
      <c r="U28" s="1899"/>
      <c r="V28" s="950"/>
    </row>
    <row r="29" spans="2:22" ht="29.4" customHeight="1" x14ac:dyDescent="0.3">
      <c r="B29" s="947" t="s">
        <v>118</v>
      </c>
      <c r="C29" s="948" t="s">
        <v>1164</v>
      </c>
      <c r="D29" s="1897"/>
      <c r="E29" s="1898"/>
      <c r="F29" s="1898"/>
      <c r="G29" s="1898"/>
      <c r="H29" s="1898"/>
      <c r="I29" s="1898"/>
      <c r="J29" s="1898"/>
      <c r="K29" s="1898"/>
      <c r="L29" s="1898"/>
      <c r="M29" s="1898"/>
      <c r="N29" s="1898"/>
      <c r="O29" s="1898"/>
      <c r="P29" s="1898"/>
      <c r="Q29" s="1898"/>
      <c r="R29" s="1898"/>
      <c r="S29" s="1898"/>
      <c r="T29" s="1898"/>
      <c r="U29" s="1899"/>
      <c r="V29" s="950"/>
    </row>
    <row r="30" spans="2:22" x14ac:dyDescent="0.3">
      <c r="B30" s="947" t="s">
        <v>119</v>
      </c>
      <c r="C30" s="948" t="s">
        <v>1165</v>
      </c>
      <c r="D30" s="1897"/>
      <c r="E30" s="1898"/>
      <c r="F30" s="1898"/>
      <c r="G30" s="1898"/>
      <c r="H30" s="1898"/>
      <c r="I30" s="1898"/>
      <c r="J30" s="1898"/>
      <c r="K30" s="1898"/>
      <c r="L30" s="1898"/>
      <c r="M30" s="1898"/>
      <c r="N30" s="1898"/>
      <c r="O30" s="1898"/>
      <c r="P30" s="1898"/>
      <c r="Q30" s="1898"/>
      <c r="R30" s="1898"/>
      <c r="S30" s="1898"/>
      <c r="T30" s="1898"/>
      <c r="U30" s="1899"/>
    </row>
    <row r="31" spans="2:22" x14ac:dyDescent="0.3">
      <c r="B31" s="947" t="s">
        <v>749</v>
      </c>
      <c r="C31" s="948" t="s">
        <v>1166</v>
      </c>
      <c r="D31" s="1897"/>
      <c r="E31" s="1898"/>
      <c r="F31" s="1898"/>
      <c r="G31" s="1898"/>
      <c r="H31" s="1898"/>
      <c r="I31" s="1898"/>
      <c r="J31" s="1898"/>
      <c r="K31" s="1898"/>
      <c r="L31" s="1898"/>
      <c r="M31" s="1898"/>
      <c r="N31" s="1898"/>
      <c r="O31" s="1898"/>
      <c r="P31" s="1898"/>
      <c r="Q31" s="1898"/>
      <c r="R31" s="1898"/>
      <c r="S31" s="1898"/>
      <c r="T31" s="1898"/>
      <c r="U31" s="1899"/>
    </row>
    <row r="32" spans="2:22" ht="28" x14ac:dyDescent="0.3">
      <c r="B32" s="947" t="s">
        <v>860</v>
      </c>
      <c r="C32" s="948" t="s">
        <v>1167</v>
      </c>
      <c r="D32" s="1897"/>
      <c r="E32" s="1898"/>
      <c r="F32" s="1898"/>
      <c r="G32" s="1898"/>
      <c r="H32" s="1898"/>
      <c r="I32" s="1898"/>
      <c r="J32" s="1898"/>
      <c r="K32" s="1898"/>
      <c r="L32" s="1898"/>
      <c r="M32" s="1898"/>
      <c r="N32" s="1898"/>
      <c r="O32" s="1898"/>
      <c r="P32" s="1898"/>
      <c r="Q32" s="1898"/>
      <c r="R32" s="1898"/>
      <c r="S32" s="1898"/>
      <c r="T32" s="1898"/>
      <c r="U32" s="1899"/>
      <c r="V32" s="926"/>
    </row>
    <row r="33" spans="2:21" x14ac:dyDescent="0.3">
      <c r="B33" s="947" t="s">
        <v>861</v>
      </c>
      <c r="C33" s="948" t="s">
        <v>1168</v>
      </c>
      <c r="D33" s="1897"/>
      <c r="E33" s="1898"/>
      <c r="F33" s="1898"/>
      <c r="G33" s="1898"/>
      <c r="H33" s="1898"/>
      <c r="I33" s="1898"/>
      <c r="J33" s="1898"/>
      <c r="K33" s="1898"/>
      <c r="L33" s="1898"/>
      <c r="M33" s="1898"/>
      <c r="N33" s="1898"/>
      <c r="O33" s="1898"/>
      <c r="P33" s="1898"/>
      <c r="Q33" s="1898"/>
      <c r="R33" s="1898"/>
      <c r="S33" s="1898"/>
      <c r="T33" s="1898"/>
      <c r="U33" s="1899"/>
    </row>
    <row r="34" spans="2:21" x14ac:dyDescent="0.3">
      <c r="B34" s="947" t="s">
        <v>862</v>
      </c>
      <c r="C34" s="948" t="s">
        <v>1169</v>
      </c>
      <c r="D34" s="1897"/>
      <c r="E34" s="1898"/>
      <c r="F34" s="1898"/>
      <c r="G34" s="1898"/>
      <c r="H34" s="1898"/>
      <c r="I34" s="1898"/>
      <c r="J34" s="1898"/>
      <c r="K34" s="1898"/>
      <c r="L34" s="1898"/>
      <c r="M34" s="1898"/>
      <c r="N34" s="1898"/>
      <c r="O34" s="1898"/>
      <c r="P34" s="1898"/>
      <c r="Q34" s="1898"/>
      <c r="R34" s="1898"/>
      <c r="S34" s="1898"/>
      <c r="T34" s="1898"/>
      <c r="U34" s="1899"/>
    </row>
    <row r="35" spans="2:21" ht="17.399999999999999" customHeight="1" x14ac:dyDescent="0.3">
      <c r="B35" s="947" t="s">
        <v>1170</v>
      </c>
      <c r="C35" s="948" t="s">
        <v>1171</v>
      </c>
      <c r="D35" s="1897"/>
      <c r="E35" s="1898"/>
      <c r="F35" s="1898"/>
      <c r="G35" s="1898"/>
      <c r="H35" s="1898"/>
      <c r="I35" s="1898"/>
      <c r="J35" s="1898"/>
      <c r="K35" s="1898"/>
      <c r="L35" s="1898"/>
      <c r="M35" s="1898"/>
      <c r="N35" s="1898"/>
      <c r="O35" s="1898"/>
      <c r="P35" s="1898"/>
      <c r="Q35" s="1898"/>
      <c r="R35" s="1898"/>
      <c r="S35" s="1898"/>
      <c r="T35" s="1898"/>
      <c r="U35" s="1899"/>
    </row>
    <row r="36" spans="2:21" x14ac:dyDescent="0.3">
      <c r="B36" s="947" t="s">
        <v>1172</v>
      </c>
      <c r="C36" s="948" t="s">
        <v>1173</v>
      </c>
      <c r="D36" s="1897"/>
      <c r="E36" s="1898"/>
      <c r="F36" s="1898"/>
      <c r="G36" s="1898"/>
      <c r="H36" s="1898"/>
      <c r="I36" s="1898"/>
      <c r="J36" s="1898"/>
      <c r="K36" s="1898"/>
      <c r="L36" s="1898"/>
      <c r="M36" s="1898"/>
      <c r="N36" s="1898"/>
      <c r="O36" s="1898"/>
      <c r="P36" s="1898"/>
      <c r="Q36" s="1898"/>
      <c r="R36" s="1898"/>
      <c r="S36" s="1898"/>
      <c r="T36" s="1898"/>
      <c r="U36" s="1899"/>
    </row>
    <row r="37" spans="2:21" s="939" customFormat="1" x14ac:dyDescent="0.3">
      <c r="B37" s="947" t="s">
        <v>1174</v>
      </c>
      <c r="C37" s="942" t="s">
        <v>1175</v>
      </c>
      <c r="D37" s="1897"/>
      <c r="E37" s="1898"/>
      <c r="F37" s="1898"/>
      <c r="G37" s="1898"/>
      <c r="H37" s="1898"/>
      <c r="I37" s="1898"/>
      <c r="J37" s="1898"/>
      <c r="K37" s="1898"/>
      <c r="L37" s="1898"/>
      <c r="M37" s="1898"/>
      <c r="N37" s="1898"/>
      <c r="O37" s="1898"/>
      <c r="P37" s="1898"/>
      <c r="Q37" s="1898"/>
      <c r="R37" s="1898"/>
      <c r="S37" s="1898"/>
      <c r="T37" s="1898"/>
      <c r="U37" s="1899"/>
    </row>
    <row r="38" spans="2:21" x14ac:dyDescent="0.3">
      <c r="B38" s="947" t="s">
        <v>1176</v>
      </c>
      <c r="C38" s="948" t="s">
        <v>1177</v>
      </c>
      <c r="D38" s="1897"/>
      <c r="E38" s="1898"/>
      <c r="F38" s="1898"/>
      <c r="G38" s="1898"/>
      <c r="H38" s="1898"/>
      <c r="I38" s="1898"/>
      <c r="J38" s="1898"/>
      <c r="K38" s="1898"/>
      <c r="L38" s="1898"/>
      <c r="M38" s="1898"/>
      <c r="N38" s="1898"/>
      <c r="O38" s="1898"/>
      <c r="P38" s="1898"/>
      <c r="Q38" s="1898"/>
      <c r="R38" s="1898"/>
      <c r="S38" s="1898"/>
      <c r="T38" s="1898"/>
      <c r="U38" s="1899"/>
    </row>
    <row r="39" spans="2:21" x14ac:dyDescent="0.3">
      <c r="B39" s="947" t="s">
        <v>1178</v>
      </c>
      <c r="C39" s="948" t="s">
        <v>1179</v>
      </c>
      <c r="D39" s="1897"/>
      <c r="E39" s="1898"/>
      <c r="F39" s="1898"/>
      <c r="G39" s="1898"/>
      <c r="H39" s="1898"/>
      <c r="I39" s="1898"/>
      <c r="J39" s="1898"/>
      <c r="K39" s="1898"/>
      <c r="L39" s="1898"/>
      <c r="M39" s="1898"/>
      <c r="N39" s="1898"/>
      <c r="O39" s="1898"/>
      <c r="P39" s="1898"/>
      <c r="Q39" s="1898"/>
      <c r="R39" s="1898"/>
      <c r="S39" s="1898"/>
      <c r="T39" s="1898"/>
      <c r="U39" s="1899"/>
    </row>
    <row r="40" spans="2:21" x14ac:dyDescent="0.3">
      <c r="B40" s="947" t="s">
        <v>1180</v>
      </c>
      <c r="C40" s="948" t="s">
        <v>1181</v>
      </c>
      <c r="D40" s="1897"/>
      <c r="E40" s="1898"/>
      <c r="F40" s="1898"/>
      <c r="G40" s="1898"/>
      <c r="H40" s="1898"/>
      <c r="I40" s="1898"/>
      <c r="J40" s="1898"/>
      <c r="K40" s="1898"/>
      <c r="L40" s="1898"/>
      <c r="M40" s="1898"/>
      <c r="N40" s="1898"/>
      <c r="O40" s="1898"/>
      <c r="P40" s="1898"/>
      <c r="Q40" s="1898"/>
      <c r="R40" s="1898"/>
      <c r="S40" s="1898"/>
      <c r="T40" s="1898"/>
      <c r="U40" s="1899"/>
    </row>
    <row r="41" spans="2:21" x14ac:dyDescent="0.3">
      <c r="B41" s="947" t="s">
        <v>1182</v>
      </c>
      <c r="C41" s="948" t="s">
        <v>1183</v>
      </c>
      <c r="D41" s="1897"/>
      <c r="E41" s="1898"/>
      <c r="F41" s="1898"/>
      <c r="G41" s="1898"/>
      <c r="H41" s="1898"/>
      <c r="I41" s="1898"/>
      <c r="J41" s="1898"/>
      <c r="K41" s="1898"/>
      <c r="L41" s="1898"/>
      <c r="M41" s="1898"/>
      <c r="N41" s="1898"/>
      <c r="O41" s="1898"/>
      <c r="P41" s="1898"/>
      <c r="Q41" s="1898"/>
      <c r="R41" s="1898"/>
      <c r="S41" s="1898"/>
      <c r="T41" s="1898"/>
      <c r="U41" s="1899"/>
    </row>
    <row r="42" spans="2:21" x14ac:dyDescent="0.3">
      <c r="B42" s="947" t="s">
        <v>1184</v>
      </c>
      <c r="C42" s="948" t="s">
        <v>1185</v>
      </c>
      <c r="D42" s="1897"/>
      <c r="E42" s="1898"/>
      <c r="F42" s="1898"/>
      <c r="G42" s="1898"/>
      <c r="H42" s="1898"/>
      <c r="I42" s="1898"/>
      <c r="J42" s="1898"/>
      <c r="K42" s="1898"/>
      <c r="L42" s="1898"/>
      <c r="M42" s="1898"/>
      <c r="N42" s="1898"/>
      <c r="O42" s="1898"/>
      <c r="P42" s="1898"/>
      <c r="Q42" s="1898"/>
      <c r="R42" s="1898"/>
      <c r="S42" s="1898"/>
      <c r="T42" s="1898"/>
      <c r="U42" s="1899"/>
    </row>
    <row r="43" spans="2:21" x14ac:dyDescent="0.3">
      <c r="B43" s="947" t="s">
        <v>1186</v>
      </c>
      <c r="C43" s="948" t="s">
        <v>1187</v>
      </c>
      <c r="D43" s="1897"/>
      <c r="E43" s="1898"/>
      <c r="F43" s="1898"/>
      <c r="G43" s="1898"/>
      <c r="H43" s="1898"/>
      <c r="I43" s="1898"/>
      <c r="J43" s="1898"/>
      <c r="K43" s="1898"/>
      <c r="L43" s="1898"/>
      <c r="M43" s="1898"/>
      <c r="N43" s="1898"/>
      <c r="O43" s="1898"/>
      <c r="P43" s="1898"/>
      <c r="Q43" s="1898"/>
      <c r="R43" s="1898"/>
      <c r="S43" s="1898"/>
      <c r="T43" s="1898"/>
      <c r="U43" s="1899"/>
    </row>
    <row r="44" spans="2:21" x14ac:dyDescent="0.3">
      <c r="B44" s="947" t="s">
        <v>1188</v>
      </c>
      <c r="C44" s="948" t="s">
        <v>1189</v>
      </c>
      <c r="D44" s="1897"/>
      <c r="E44" s="1898"/>
      <c r="F44" s="1898"/>
      <c r="G44" s="1898"/>
      <c r="H44" s="1898"/>
      <c r="I44" s="1898"/>
      <c r="J44" s="1898"/>
      <c r="K44" s="1898"/>
      <c r="L44" s="1898"/>
      <c r="M44" s="1898"/>
      <c r="N44" s="1898"/>
      <c r="O44" s="1898"/>
      <c r="P44" s="1898"/>
      <c r="Q44" s="1898"/>
      <c r="R44" s="1898"/>
      <c r="S44" s="1898"/>
      <c r="T44" s="1898"/>
      <c r="U44" s="1899"/>
    </row>
    <row r="45" spans="2:21" x14ac:dyDescent="0.3">
      <c r="B45" s="947"/>
      <c r="C45" s="948"/>
      <c r="D45" s="1897"/>
      <c r="E45" s="1898"/>
      <c r="F45" s="1898"/>
      <c r="G45" s="1898"/>
      <c r="H45" s="1898"/>
      <c r="I45" s="1898"/>
      <c r="J45" s="1898"/>
      <c r="K45" s="1898"/>
      <c r="L45" s="1898"/>
      <c r="M45" s="1898"/>
      <c r="N45" s="1898"/>
      <c r="O45" s="1898"/>
      <c r="P45" s="1898"/>
      <c r="Q45" s="1898"/>
      <c r="R45" s="1898"/>
      <c r="S45" s="1898"/>
      <c r="T45" s="1898"/>
      <c r="U45" s="1899"/>
    </row>
    <row r="46" spans="2:21" s="939" customFormat="1" x14ac:dyDescent="0.3">
      <c r="B46" s="946">
        <v>2.2999999999999998</v>
      </c>
      <c r="C46" s="945" t="s">
        <v>1190</v>
      </c>
      <c r="D46" s="1897"/>
      <c r="E46" s="1898"/>
      <c r="F46" s="1898"/>
      <c r="G46" s="1898"/>
      <c r="H46" s="1898"/>
      <c r="I46" s="1898"/>
      <c r="J46" s="1898"/>
      <c r="K46" s="1898"/>
      <c r="L46" s="1898"/>
      <c r="M46" s="1898"/>
      <c r="N46" s="1898"/>
      <c r="O46" s="1898"/>
      <c r="P46" s="1898"/>
      <c r="Q46" s="1898"/>
      <c r="R46" s="1898"/>
      <c r="S46" s="1898"/>
      <c r="T46" s="1898"/>
      <c r="U46" s="1899"/>
    </row>
    <row r="47" spans="2:21" x14ac:dyDescent="0.3">
      <c r="B47" s="947" t="s">
        <v>1191</v>
      </c>
      <c r="C47" s="948" t="s">
        <v>1192</v>
      </c>
      <c r="D47" s="1897"/>
      <c r="E47" s="1898"/>
      <c r="F47" s="1898"/>
      <c r="G47" s="1898"/>
      <c r="H47" s="1898"/>
      <c r="I47" s="1898"/>
      <c r="J47" s="1898"/>
      <c r="K47" s="1898"/>
      <c r="L47" s="1898"/>
      <c r="M47" s="1898"/>
      <c r="N47" s="1898"/>
      <c r="O47" s="1898"/>
      <c r="P47" s="1898"/>
      <c r="Q47" s="1898"/>
      <c r="R47" s="1898"/>
      <c r="S47" s="1898"/>
      <c r="T47" s="1898"/>
      <c r="U47" s="1899"/>
    </row>
    <row r="48" spans="2:21" x14ac:dyDescent="0.3">
      <c r="B48" s="947" t="s">
        <v>1193</v>
      </c>
      <c r="C48" s="948" t="s">
        <v>1194</v>
      </c>
      <c r="D48" s="1897"/>
      <c r="E48" s="1898"/>
      <c r="F48" s="1898"/>
      <c r="G48" s="1898"/>
      <c r="H48" s="1898"/>
      <c r="I48" s="1898"/>
      <c r="J48" s="1898"/>
      <c r="K48" s="1898"/>
      <c r="L48" s="1898"/>
      <c r="M48" s="1898"/>
      <c r="N48" s="1898"/>
      <c r="O48" s="1898"/>
      <c r="P48" s="1898"/>
      <c r="Q48" s="1898"/>
      <c r="R48" s="1898"/>
      <c r="S48" s="1898"/>
      <c r="T48" s="1898"/>
      <c r="U48" s="1899"/>
    </row>
    <row r="49" spans="2:21" x14ac:dyDescent="0.3">
      <c r="B49" s="947" t="s">
        <v>1195</v>
      </c>
      <c r="C49" s="948" t="s">
        <v>1196</v>
      </c>
      <c r="D49" s="1897"/>
      <c r="E49" s="1898"/>
      <c r="F49" s="1898"/>
      <c r="G49" s="1898"/>
      <c r="H49" s="1898"/>
      <c r="I49" s="1898"/>
      <c r="J49" s="1898"/>
      <c r="K49" s="1898"/>
      <c r="L49" s="1898"/>
      <c r="M49" s="1898"/>
      <c r="N49" s="1898"/>
      <c r="O49" s="1898"/>
      <c r="P49" s="1898"/>
      <c r="Q49" s="1898"/>
      <c r="R49" s="1898"/>
      <c r="S49" s="1898"/>
      <c r="T49" s="1898"/>
      <c r="U49" s="1899"/>
    </row>
    <row r="50" spans="2:21" x14ac:dyDescent="0.3">
      <c r="B50" s="947" t="s">
        <v>1197</v>
      </c>
      <c r="C50" s="948" t="s">
        <v>1198</v>
      </c>
      <c r="D50" s="1897"/>
      <c r="E50" s="1898"/>
      <c r="F50" s="1898"/>
      <c r="G50" s="1898"/>
      <c r="H50" s="1898"/>
      <c r="I50" s="1898"/>
      <c r="J50" s="1898"/>
      <c r="K50" s="1898"/>
      <c r="L50" s="1898"/>
      <c r="M50" s="1898"/>
      <c r="N50" s="1898"/>
      <c r="O50" s="1898"/>
      <c r="P50" s="1898"/>
      <c r="Q50" s="1898"/>
      <c r="R50" s="1898"/>
      <c r="S50" s="1898"/>
      <c r="T50" s="1898"/>
      <c r="U50" s="1899"/>
    </row>
    <row r="51" spans="2:21" x14ac:dyDescent="0.3">
      <c r="B51" s="947" t="s">
        <v>1199</v>
      </c>
      <c r="C51" s="948" t="s">
        <v>1200</v>
      </c>
      <c r="D51" s="1897"/>
      <c r="E51" s="1898"/>
      <c r="F51" s="1898"/>
      <c r="G51" s="1898"/>
      <c r="H51" s="1898"/>
      <c r="I51" s="1898"/>
      <c r="J51" s="1898"/>
      <c r="K51" s="1898"/>
      <c r="L51" s="1898"/>
      <c r="M51" s="1898"/>
      <c r="N51" s="1898"/>
      <c r="O51" s="1898"/>
      <c r="P51" s="1898"/>
      <c r="Q51" s="1898"/>
      <c r="R51" s="1898"/>
      <c r="S51" s="1898"/>
      <c r="T51" s="1898"/>
      <c r="U51" s="1899"/>
    </row>
    <row r="52" spans="2:21" x14ac:dyDescent="0.3">
      <c r="B52" s="947" t="s">
        <v>1201</v>
      </c>
      <c r="C52" s="948" t="s">
        <v>1202</v>
      </c>
      <c r="D52" s="1897"/>
      <c r="E52" s="1898"/>
      <c r="F52" s="1898"/>
      <c r="G52" s="1898"/>
      <c r="H52" s="1898"/>
      <c r="I52" s="1898"/>
      <c r="J52" s="1898"/>
      <c r="K52" s="1898"/>
      <c r="L52" s="1898"/>
      <c r="M52" s="1898"/>
      <c r="N52" s="1898"/>
      <c r="O52" s="1898"/>
      <c r="P52" s="1898"/>
      <c r="Q52" s="1898"/>
      <c r="R52" s="1898"/>
      <c r="S52" s="1898"/>
      <c r="T52" s="1898"/>
      <c r="U52" s="1899"/>
    </row>
    <row r="53" spans="2:21" x14ac:dyDescent="0.3">
      <c r="B53" s="947" t="s">
        <v>1203</v>
      </c>
      <c r="C53" s="948" t="s">
        <v>1204</v>
      </c>
      <c r="D53" s="1897"/>
      <c r="E53" s="1898"/>
      <c r="F53" s="1898"/>
      <c r="G53" s="1898"/>
      <c r="H53" s="1898"/>
      <c r="I53" s="1898"/>
      <c r="J53" s="1898"/>
      <c r="K53" s="1898"/>
      <c r="L53" s="1898"/>
      <c r="M53" s="1898"/>
      <c r="N53" s="1898"/>
      <c r="O53" s="1898"/>
      <c r="P53" s="1898"/>
      <c r="Q53" s="1898"/>
      <c r="R53" s="1898"/>
      <c r="S53" s="1898"/>
      <c r="T53" s="1898"/>
      <c r="U53" s="1899"/>
    </row>
    <row r="54" spans="2:21" x14ac:dyDescent="0.3">
      <c r="B54" s="947" t="s">
        <v>1205</v>
      </c>
      <c r="C54" s="948" t="s">
        <v>1206</v>
      </c>
      <c r="D54" s="1897"/>
      <c r="E54" s="1898"/>
      <c r="F54" s="1898"/>
      <c r="G54" s="1898"/>
      <c r="H54" s="1898"/>
      <c r="I54" s="1898"/>
      <c r="J54" s="1898"/>
      <c r="K54" s="1898"/>
      <c r="L54" s="1898"/>
      <c r="M54" s="1898"/>
      <c r="N54" s="1898"/>
      <c r="O54" s="1898"/>
      <c r="P54" s="1898"/>
      <c r="Q54" s="1898"/>
      <c r="R54" s="1898"/>
      <c r="S54" s="1898"/>
      <c r="T54" s="1898"/>
      <c r="U54" s="1899"/>
    </row>
    <row r="55" spans="2:21" x14ac:dyDescent="0.3">
      <c r="B55" s="947" t="s">
        <v>1207</v>
      </c>
      <c r="C55" s="948" t="s">
        <v>1208</v>
      </c>
      <c r="D55" s="1897"/>
      <c r="E55" s="1898"/>
      <c r="F55" s="1898"/>
      <c r="G55" s="1898"/>
      <c r="H55" s="1898"/>
      <c r="I55" s="1898"/>
      <c r="J55" s="1898"/>
      <c r="K55" s="1898"/>
      <c r="L55" s="1898"/>
      <c r="M55" s="1898"/>
      <c r="N55" s="1898"/>
      <c r="O55" s="1898"/>
      <c r="P55" s="1898"/>
      <c r="Q55" s="1898"/>
      <c r="R55" s="1898"/>
      <c r="S55" s="1898"/>
      <c r="T55" s="1898"/>
      <c r="U55" s="1899"/>
    </row>
    <row r="56" spans="2:21" x14ac:dyDescent="0.3">
      <c r="B56" s="947" t="s">
        <v>1209</v>
      </c>
      <c r="C56" s="948" t="s">
        <v>1210</v>
      </c>
      <c r="D56" s="1897"/>
      <c r="E56" s="1898"/>
      <c r="F56" s="1898"/>
      <c r="G56" s="1898"/>
      <c r="H56" s="1898"/>
      <c r="I56" s="1898"/>
      <c r="J56" s="1898"/>
      <c r="K56" s="1898"/>
      <c r="L56" s="1898"/>
      <c r="M56" s="1898"/>
      <c r="N56" s="1898"/>
      <c r="O56" s="1898"/>
      <c r="P56" s="1898"/>
      <c r="Q56" s="1898"/>
      <c r="R56" s="1898"/>
      <c r="S56" s="1898"/>
      <c r="T56" s="1898"/>
      <c r="U56" s="1899"/>
    </row>
    <row r="57" spans="2:21" x14ac:dyDescent="0.3">
      <c r="B57" s="947" t="s">
        <v>1211</v>
      </c>
      <c r="C57" s="948" t="s">
        <v>1212</v>
      </c>
      <c r="D57" s="1897"/>
      <c r="E57" s="1898"/>
      <c r="F57" s="1898"/>
      <c r="G57" s="1898"/>
      <c r="H57" s="1898"/>
      <c r="I57" s="1898"/>
      <c r="J57" s="1898"/>
      <c r="K57" s="1898"/>
      <c r="L57" s="1898"/>
      <c r="M57" s="1898"/>
      <c r="N57" s="1898"/>
      <c r="O57" s="1898"/>
      <c r="P57" s="1898"/>
      <c r="Q57" s="1898"/>
      <c r="R57" s="1898"/>
      <c r="S57" s="1898"/>
      <c r="T57" s="1898"/>
      <c r="U57" s="1899"/>
    </row>
    <row r="58" spans="2:21" x14ac:dyDescent="0.3">
      <c r="B58" s="947" t="s">
        <v>1213</v>
      </c>
      <c r="C58" s="948" t="s">
        <v>1214</v>
      </c>
      <c r="D58" s="1897"/>
      <c r="E58" s="1898"/>
      <c r="F58" s="1898"/>
      <c r="G58" s="1898"/>
      <c r="H58" s="1898"/>
      <c r="I58" s="1898"/>
      <c r="J58" s="1898"/>
      <c r="K58" s="1898"/>
      <c r="L58" s="1898"/>
      <c r="M58" s="1898"/>
      <c r="N58" s="1898"/>
      <c r="O58" s="1898"/>
      <c r="P58" s="1898"/>
      <c r="Q58" s="1898"/>
      <c r="R58" s="1898"/>
      <c r="S58" s="1898"/>
      <c r="T58" s="1898"/>
      <c r="U58" s="1899"/>
    </row>
    <row r="59" spans="2:21" x14ac:dyDescent="0.3">
      <c r="B59" s="947" t="s">
        <v>1215</v>
      </c>
      <c r="C59" s="948" t="s">
        <v>1216</v>
      </c>
      <c r="D59" s="1897"/>
      <c r="E59" s="1898"/>
      <c r="F59" s="1898"/>
      <c r="G59" s="1898"/>
      <c r="H59" s="1898"/>
      <c r="I59" s="1898"/>
      <c r="J59" s="1898"/>
      <c r="K59" s="1898"/>
      <c r="L59" s="1898"/>
      <c r="M59" s="1898"/>
      <c r="N59" s="1898"/>
      <c r="O59" s="1898"/>
      <c r="P59" s="1898"/>
      <c r="Q59" s="1898"/>
      <c r="R59" s="1898"/>
      <c r="S59" s="1898"/>
      <c r="T59" s="1898"/>
      <c r="U59" s="1899"/>
    </row>
    <row r="60" spans="2:21" x14ac:dyDescent="0.3">
      <c r="B60" s="947" t="s">
        <v>1217</v>
      </c>
      <c r="C60" s="948" t="s">
        <v>1218</v>
      </c>
      <c r="D60" s="1897"/>
      <c r="E60" s="1898"/>
      <c r="F60" s="1898"/>
      <c r="G60" s="1898"/>
      <c r="H60" s="1898"/>
      <c r="I60" s="1898"/>
      <c r="J60" s="1898"/>
      <c r="K60" s="1898"/>
      <c r="L60" s="1898"/>
      <c r="M60" s="1898"/>
      <c r="N60" s="1898"/>
      <c r="O60" s="1898"/>
      <c r="P60" s="1898"/>
      <c r="Q60" s="1898"/>
      <c r="R60" s="1898"/>
      <c r="S60" s="1898"/>
      <c r="T60" s="1898"/>
      <c r="U60" s="1899"/>
    </row>
    <row r="61" spans="2:21" x14ac:dyDescent="0.3">
      <c r="B61" s="947" t="s">
        <v>1219</v>
      </c>
      <c r="C61" s="948" t="s">
        <v>1220</v>
      </c>
      <c r="D61" s="1897"/>
      <c r="E61" s="1898"/>
      <c r="F61" s="1898"/>
      <c r="G61" s="1898"/>
      <c r="H61" s="1898"/>
      <c r="I61" s="1898"/>
      <c r="J61" s="1898"/>
      <c r="K61" s="1898"/>
      <c r="L61" s="1898"/>
      <c r="M61" s="1898"/>
      <c r="N61" s="1898"/>
      <c r="O61" s="1898"/>
      <c r="P61" s="1898"/>
      <c r="Q61" s="1898"/>
      <c r="R61" s="1898"/>
      <c r="S61" s="1898"/>
      <c r="T61" s="1898"/>
      <c r="U61" s="1899"/>
    </row>
    <row r="62" spans="2:21" x14ac:dyDescent="0.3">
      <c r="B62" s="947" t="s">
        <v>1221</v>
      </c>
      <c r="C62" s="948" t="s">
        <v>1222</v>
      </c>
      <c r="D62" s="1897"/>
      <c r="E62" s="1898"/>
      <c r="F62" s="1898"/>
      <c r="G62" s="1898"/>
      <c r="H62" s="1898"/>
      <c r="I62" s="1898"/>
      <c r="J62" s="1898"/>
      <c r="K62" s="1898"/>
      <c r="L62" s="1898"/>
      <c r="M62" s="1898"/>
      <c r="N62" s="1898"/>
      <c r="O62" s="1898"/>
      <c r="P62" s="1898"/>
      <c r="Q62" s="1898"/>
      <c r="R62" s="1898"/>
      <c r="S62" s="1898"/>
      <c r="T62" s="1898"/>
      <c r="U62" s="1899"/>
    </row>
    <row r="63" spans="2:21" x14ac:dyDescent="0.3">
      <c r="B63" s="947" t="s">
        <v>1223</v>
      </c>
      <c r="C63" s="948" t="s">
        <v>1224</v>
      </c>
      <c r="D63" s="1897"/>
      <c r="E63" s="1898"/>
      <c r="F63" s="1898"/>
      <c r="G63" s="1898"/>
      <c r="H63" s="1898"/>
      <c r="I63" s="1898"/>
      <c r="J63" s="1898"/>
      <c r="K63" s="1898"/>
      <c r="L63" s="1898"/>
      <c r="M63" s="1898"/>
      <c r="N63" s="1898"/>
      <c r="O63" s="1898"/>
      <c r="P63" s="1898"/>
      <c r="Q63" s="1898"/>
      <c r="R63" s="1898"/>
      <c r="S63" s="1898"/>
      <c r="T63" s="1898"/>
      <c r="U63" s="1899"/>
    </row>
    <row r="64" spans="2:21" x14ac:dyDescent="0.3">
      <c r="B64" s="947" t="s">
        <v>1225</v>
      </c>
      <c r="C64" s="948" t="s">
        <v>1226</v>
      </c>
      <c r="D64" s="1897"/>
      <c r="E64" s="1898"/>
      <c r="F64" s="1898"/>
      <c r="G64" s="1898"/>
      <c r="H64" s="1898"/>
      <c r="I64" s="1898"/>
      <c r="J64" s="1898"/>
      <c r="K64" s="1898"/>
      <c r="L64" s="1898"/>
      <c r="M64" s="1898"/>
      <c r="N64" s="1898"/>
      <c r="O64" s="1898"/>
      <c r="P64" s="1898"/>
      <c r="Q64" s="1898"/>
      <c r="R64" s="1898"/>
      <c r="S64" s="1898"/>
      <c r="T64" s="1898"/>
      <c r="U64" s="1899"/>
    </row>
    <row r="65" spans="2:21" x14ac:dyDescent="0.3">
      <c r="B65" s="947" t="s">
        <v>1227</v>
      </c>
      <c r="C65" s="948" t="s">
        <v>1228</v>
      </c>
      <c r="D65" s="1897"/>
      <c r="E65" s="1898"/>
      <c r="F65" s="1898"/>
      <c r="G65" s="1898"/>
      <c r="H65" s="1898"/>
      <c r="I65" s="1898"/>
      <c r="J65" s="1898"/>
      <c r="K65" s="1898"/>
      <c r="L65" s="1898"/>
      <c r="M65" s="1898"/>
      <c r="N65" s="1898"/>
      <c r="O65" s="1898"/>
      <c r="P65" s="1898"/>
      <c r="Q65" s="1898"/>
      <c r="R65" s="1898"/>
      <c r="S65" s="1898"/>
      <c r="T65" s="1898"/>
      <c r="U65" s="1899"/>
    </row>
    <row r="66" spans="2:21" x14ac:dyDescent="0.3">
      <c r="B66" s="947" t="s">
        <v>1229</v>
      </c>
      <c r="C66" s="948" t="s">
        <v>1230</v>
      </c>
      <c r="D66" s="1897"/>
      <c r="E66" s="1898"/>
      <c r="F66" s="1898"/>
      <c r="G66" s="1898"/>
      <c r="H66" s="1898"/>
      <c r="I66" s="1898"/>
      <c r="J66" s="1898"/>
      <c r="K66" s="1898"/>
      <c r="L66" s="1898"/>
      <c r="M66" s="1898"/>
      <c r="N66" s="1898"/>
      <c r="O66" s="1898"/>
      <c r="P66" s="1898"/>
      <c r="Q66" s="1898"/>
      <c r="R66" s="1898"/>
      <c r="S66" s="1898"/>
      <c r="T66" s="1898"/>
      <c r="U66" s="1899"/>
    </row>
    <row r="67" spans="2:21" x14ac:dyDescent="0.3">
      <c r="B67" s="947" t="s">
        <v>1231</v>
      </c>
      <c r="C67" s="948" t="s">
        <v>1232</v>
      </c>
      <c r="D67" s="1897"/>
      <c r="E67" s="1898"/>
      <c r="F67" s="1898"/>
      <c r="G67" s="1898"/>
      <c r="H67" s="1898"/>
      <c r="I67" s="1898"/>
      <c r="J67" s="1898"/>
      <c r="K67" s="1898"/>
      <c r="L67" s="1898"/>
      <c r="M67" s="1898"/>
      <c r="N67" s="1898"/>
      <c r="O67" s="1898"/>
      <c r="P67" s="1898"/>
      <c r="Q67" s="1898"/>
      <c r="R67" s="1898"/>
      <c r="S67" s="1898"/>
      <c r="T67" s="1898"/>
      <c r="U67" s="1899"/>
    </row>
    <row r="68" spans="2:21" x14ac:dyDescent="0.3">
      <c r="B68" s="947" t="s">
        <v>1233</v>
      </c>
      <c r="C68" s="948" t="s">
        <v>1234</v>
      </c>
      <c r="D68" s="1897"/>
      <c r="E68" s="1898"/>
      <c r="F68" s="1898"/>
      <c r="G68" s="1898"/>
      <c r="H68" s="1898"/>
      <c r="I68" s="1898"/>
      <c r="J68" s="1898"/>
      <c r="K68" s="1898"/>
      <c r="L68" s="1898"/>
      <c r="M68" s="1898"/>
      <c r="N68" s="1898"/>
      <c r="O68" s="1898"/>
      <c r="P68" s="1898"/>
      <c r="Q68" s="1898"/>
      <c r="R68" s="1898"/>
      <c r="S68" s="1898"/>
      <c r="T68" s="1898"/>
      <c r="U68" s="1899"/>
    </row>
    <row r="69" spans="2:21" x14ac:dyDescent="0.3">
      <c r="B69" s="947" t="s">
        <v>1235</v>
      </c>
      <c r="C69" s="948" t="s">
        <v>1236</v>
      </c>
      <c r="D69" s="1897"/>
      <c r="E69" s="1898"/>
      <c r="F69" s="1898"/>
      <c r="G69" s="1898"/>
      <c r="H69" s="1898"/>
      <c r="I69" s="1898"/>
      <c r="J69" s="1898"/>
      <c r="K69" s="1898"/>
      <c r="L69" s="1898"/>
      <c r="M69" s="1898"/>
      <c r="N69" s="1898"/>
      <c r="O69" s="1898"/>
      <c r="P69" s="1898"/>
      <c r="Q69" s="1898"/>
      <c r="R69" s="1898"/>
      <c r="S69" s="1898"/>
      <c r="T69" s="1898"/>
      <c r="U69" s="1899"/>
    </row>
    <row r="70" spans="2:21" x14ac:dyDescent="0.3">
      <c r="B70" s="947" t="s">
        <v>1237</v>
      </c>
      <c r="C70" s="948" t="s">
        <v>1238</v>
      </c>
      <c r="D70" s="1897"/>
      <c r="E70" s="1898"/>
      <c r="F70" s="1898"/>
      <c r="G70" s="1898"/>
      <c r="H70" s="1898"/>
      <c r="I70" s="1898"/>
      <c r="J70" s="1898"/>
      <c r="K70" s="1898"/>
      <c r="L70" s="1898"/>
      <c r="M70" s="1898"/>
      <c r="N70" s="1898"/>
      <c r="O70" s="1898"/>
      <c r="P70" s="1898"/>
      <c r="Q70" s="1898"/>
      <c r="R70" s="1898"/>
      <c r="S70" s="1898"/>
      <c r="T70" s="1898"/>
      <c r="U70" s="1899"/>
    </row>
    <row r="71" spans="2:21" x14ac:dyDescent="0.3">
      <c r="B71" s="947" t="s">
        <v>1239</v>
      </c>
      <c r="C71" s="948" t="s">
        <v>1240</v>
      </c>
      <c r="D71" s="1897"/>
      <c r="E71" s="1898"/>
      <c r="F71" s="1898"/>
      <c r="G71" s="1898"/>
      <c r="H71" s="1898"/>
      <c r="I71" s="1898"/>
      <c r="J71" s="1898"/>
      <c r="K71" s="1898"/>
      <c r="L71" s="1898"/>
      <c r="M71" s="1898"/>
      <c r="N71" s="1898"/>
      <c r="O71" s="1898"/>
      <c r="P71" s="1898"/>
      <c r="Q71" s="1898"/>
      <c r="R71" s="1898"/>
      <c r="S71" s="1898"/>
      <c r="T71" s="1898"/>
      <c r="U71" s="1899"/>
    </row>
    <row r="72" spans="2:21" x14ac:dyDescent="0.3">
      <c r="B72" s="947" t="s">
        <v>1241</v>
      </c>
      <c r="C72" s="948" t="s">
        <v>1242</v>
      </c>
      <c r="D72" s="1897"/>
      <c r="E72" s="1898"/>
      <c r="F72" s="1898"/>
      <c r="G72" s="1898"/>
      <c r="H72" s="1898"/>
      <c r="I72" s="1898"/>
      <c r="J72" s="1898"/>
      <c r="K72" s="1898"/>
      <c r="L72" s="1898"/>
      <c r="M72" s="1898"/>
      <c r="N72" s="1898"/>
      <c r="O72" s="1898"/>
      <c r="P72" s="1898"/>
      <c r="Q72" s="1898"/>
      <c r="R72" s="1898"/>
      <c r="S72" s="1898"/>
      <c r="T72" s="1898"/>
      <c r="U72" s="1899"/>
    </row>
    <row r="73" spans="2:21" x14ac:dyDescent="0.3">
      <c r="B73" s="947" t="s">
        <v>1243</v>
      </c>
      <c r="C73" s="948" t="s">
        <v>1244</v>
      </c>
      <c r="D73" s="1897"/>
      <c r="E73" s="1898"/>
      <c r="F73" s="1898"/>
      <c r="G73" s="1898"/>
      <c r="H73" s="1898"/>
      <c r="I73" s="1898"/>
      <c r="J73" s="1898"/>
      <c r="K73" s="1898"/>
      <c r="L73" s="1898"/>
      <c r="M73" s="1898"/>
      <c r="N73" s="1898"/>
      <c r="O73" s="1898"/>
      <c r="P73" s="1898"/>
      <c r="Q73" s="1898"/>
      <c r="R73" s="1898"/>
      <c r="S73" s="1898"/>
      <c r="T73" s="1898"/>
      <c r="U73" s="1899"/>
    </row>
    <row r="74" spans="2:21" x14ac:dyDescent="0.3">
      <c r="B74" s="947" t="s">
        <v>1245</v>
      </c>
      <c r="C74" s="948" t="s">
        <v>1246</v>
      </c>
      <c r="D74" s="1897"/>
      <c r="E74" s="1898"/>
      <c r="F74" s="1898"/>
      <c r="G74" s="1898"/>
      <c r="H74" s="1898"/>
      <c r="I74" s="1898"/>
      <c r="J74" s="1898"/>
      <c r="K74" s="1898"/>
      <c r="L74" s="1898"/>
      <c r="M74" s="1898"/>
      <c r="N74" s="1898"/>
      <c r="O74" s="1898"/>
      <c r="P74" s="1898"/>
      <c r="Q74" s="1898"/>
      <c r="R74" s="1898"/>
      <c r="S74" s="1898"/>
      <c r="T74" s="1898"/>
      <c r="U74" s="1899"/>
    </row>
    <row r="75" spans="2:21" x14ac:dyDescent="0.3">
      <c r="B75" s="947" t="s">
        <v>1247</v>
      </c>
      <c r="C75" s="948" t="s">
        <v>1248</v>
      </c>
      <c r="D75" s="1897"/>
      <c r="E75" s="1898"/>
      <c r="F75" s="1898"/>
      <c r="G75" s="1898"/>
      <c r="H75" s="1898"/>
      <c r="I75" s="1898"/>
      <c r="J75" s="1898"/>
      <c r="K75" s="1898"/>
      <c r="L75" s="1898"/>
      <c r="M75" s="1898"/>
      <c r="N75" s="1898"/>
      <c r="O75" s="1898"/>
      <c r="P75" s="1898"/>
      <c r="Q75" s="1898"/>
      <c r="R75" s="1898"/>
      <c r="S75" s="1898"/>
      <c r="T75" s="1898"/>
      <c r="U75" s="1899"/>
    </row>
    <row r="76" spans="2:21" x14ac:dyDescent="0.3">
      <c r="B76" s="947" t="s">
        <v>1249</v>
      </c>
      <c r="C76" s="948" t="s">
        <v>1250</v>
      </c>
      <c r="D76" s="1897"/>
      <c r="E76" s="1898"/>
      <c r="F76" s="1898"/>
      <c r="G76" s="1898"/>
      <c r="H76" s="1898"/>
      <c r="I76" s="1898"/>
      <c r="J76" s="1898"/>
      <c r="K76" s="1898"/>
      <c r="L76" s="1898"/>
      <c r="M76" s="1898"/>
      <c r="N76" s="1898"/>
      <c r="O76" s="1898"/>
      <c r="P76" s="1898"/>
      <c r="Q76" s="1898"/>
      <c r="R76" s="1898"/>
      <c r="S76" s="1898"/>
      <c r="T76" s="1898"/>
      <c r="U76" s="1899"/>
    </row>
    <row r="77" spans="2:21" x14ac:dyDescent="0.3">
      <c r="B77" s="947" t="s">
        <v>1251</v>
      </c>
      <c r="C77" s="948" t="s">
        <v>848</v>
      </c>
      <c r="D77" s="1897"/>
      <c r="E77" s="1898"/>
      <c r="F77" s="1898"/>
      <c r="G77" s="1898"/>
      <c r="H77" s="1898"/>
      <c r="I77" s="1898"/>
      <c r="J77" s="1898"/>
      <c r="K77" s="1898"/>
      <c r="L77" s="1898"/>
      <c r="M77" s="1898"/>
      <c r="N77" s="1898"/>
      <c r="O77" s="1898"/>
      <c r="P77" s="1898"/>
      <c r="Q77" s="1898"/>
      <c r="R77" s="1898"/>
      <c r="S77" s="1898"/>
      <c r="T77" s="1898"/>
      <c r="U77" s="1899"/>
    </row>
    <row r="78" spans="2:21" x14ac:dyDescent="0.3">
      <c r="B78" s="947" t="s">
        <v>1252</v>
      </c>
      <c r="C78" s="948" t="s">
        <v>1253</v>
      </c>
      <c r="D78" s="1897"/>
      <c r="E78" s="1898"/>
      <c r="F78" s="1898"/>
      <c r="G78" s="1898"/>
      <c r="H78" s="1898"/>
      <c r="I78" s="1898"/>
      <c r="J78" s="1898"/>
      <c r="K78" s="1898"/>
      <c r="L78" s="1898"/>
      <c r="M78" s="1898"/>
      <c r="N78" s="1898"/>
      <c r="O78" s="1898"/>
      <c r="P78" s="1898"/>
      <c r="Q78" s="1898"/>
      <c r="R78" s="1898"/>
      <c r="S78" s="1898"/>
      <c r="T78" s="1898"/>
      <c r="U78" s="1899"/>
    </row>
    <row r="79" spans="2:21" x14ac:dyDescent="0.3">
      <c r="B79" s="947" t="s">
        <v>1254</v>
      </c>
      <c r="C79" s="948" t="s">
        <v>1255</v>
      </c>
      <c r="D79" s="1897"/>
      <c r="E79" s="1898"/>
      <c r="F79" s="1898"/>
      <c r="G79" s="1898"/>
      <c r="H79" s="1898"/>
      <c r="I79" s="1898"/>
      <c r="J79" s="1898"/>
      <c r="K79" s="1898"/>
      <c r="L79" s="1898"/>
      <c r="M79" s="1898"/>
      <c r="N79" s="1898"/>
      <c r="O79" s="1898"/>
      <c r="P79" s="1898"/>
      <c r="Q79" s="1898"/>
      <c r="R79" s="1898"/>
      <c r="S79" s="1898"/>
      <c r="T79" s="1898"/>
      <c r="U79" s="1899"/>
    </row>
    <row r="80" spans="2:21" s="939" customFormat="1" x14ac:dyDescent="0.3">
      <c r="B80" s="946"/>
      <c r="C80" s="951" t="s">
        <v>1256</v>
      </c>
      <c r="D80" s="1897"/>
      <c r="E80" s="1898"/>
      <c r="F80" s="1898"/>
      <c r="G80" s="1898"/>
      <c r="H80" s="1898"/>
      <c r="I80" s="1898"/>
      <c r="J80" s="1898"/>
      <c r="K80" s="1898"/>
      <c r="L80" s="1898"/>
      <c r="M80" s="1898"/>
      <c r="N80" s="1898"/>
      <c r="O80" s="1898"/>
      <c r="P80" s="1898"/>
      <c r="Q80" s="1898"/>
      <c r="R80" s="1898"/>
      <c r="S80" s="1898"/>
      <c r="T80" s="1898"/>
      <c r="U80" s="1899"/>
    </row>
    <row r="81" spans="2:21" s="939" customFormat="1" x14ac:dyDescent="0.3">
      <c r="B81" s="946"/>
      <c r="C81" s="951"/>
      <c r="D81" s="1897"/>
      <c r="E81" s="1898"/>
      <c r="F81" s="1898"/>
      <c r="G81" s="1898"/>
      <c r="H81" s="1898"/>
      <c r="I81" s="1898"/>
      <c r="J81" s="1898"/>
      <c r="K81" s="1898"/>
      <c r="L81" s="1898"/>
      <c r="M81" s="1898"/>
      <c r="N81" s="1898"/>
      <c r="O81" s="1898"/>
      <c r="P81" s="1898"/>
      <c r="Q81" s="1898"/>
      <c r="R81" s="1898"/>
      <c r="S81" s="1898"/>
      <c r="T81" s="1898"/>
      <c r="U81" s="1899"/>
    </row>
    <row r="82" spans="2:21" s="939" customFormat="1" x14ac:dyDescent="0.3">
      <c r="B82" s="946">
        <v>2.4</v>
      </c>
      <c r="C82" s="945" t="s">
        <v>1257</v>
      </c>
      <c r="D82" s="1897"/>
      <c r="E82" s="1898"/>
      <c r="F82" s="1898"/>
      <c r="G82" s="1898"/>
      <c r="H82" s="1898"/>
      <c r="I82" s="1898"/>
      <c r="J82" s="1898"/>
      <c r="K82" s="1898"/>
      <c r="L82" s="1898"/>
      <c r="M82" s="1898"/>
      <c r="N82" s="1898"/>
      <c r="O82" s="1898"/>
      <c r="P82" s="1898"/>
      <c r="Q82" s="1898"/>
      <c r="R82" s="1898"/>
      <c r="S82" s="1898"/>
      <c r="T82" s="1898"/>
      <c r="U82" s="1899"/>
    </row>
    <row r="83" spans="2:21" x14ac:dyDescent="0.3">
      <c r="B83" s="947" t="s">
        <v>1258</v>
      </c>
      <c r="C83" s="948" t="s">
        <v>1259</v>
      </c>
      <c r="D83" s="1897"/>
      <c r="E83" s="1898"/>
      <c r="F83" s="1898"/>
      <c r="G83" s="1898"/>
      <c r="H83" s="1898"/>
      <c r="I83" s="1898"/>
      <c r="J83" s="1898"/>
      <c r="K83" s="1898"/>
      <c r="L83" s="1898"/>
      <c r="M83" s="1898"/>
      <c r="N83" s="1898"/>
      <c r="O83" s="1898"/>
      <c r="P83" s="1898"/>
      <c r="Q83" s="1898"/>
      <c r="R83" s="1898"/>
      <c r="S83" s="1898"/>
      <c r="T83" s="1898"/>
      <c r="U83" s="1899"/>
    </row>
    <row r="84" spans="2:21" x14ac:dyDescent="0.3">
      <c r="B84" s="947" t="s">
        <v>1260</v>
      </c>
      <c r="C84" s="948" t="s">
        <v>1261</v>
      </c>
      <c r="D84" s="1897"/>
      <c r="E84" s="1898"/>
      <c r="F84" s="1898"/>
      <c r="G84" s="1898"/>
      <c r="H84" s="1898"/>
      <c r="I84" s="1898"/>
      <c r="J84" s="1898"/>
      <c r="K84" s="1898"/>
      <c r="L84" s="1898"/>
      <c r="M84" s="1898"/>
      <c r="N84" s="1898"/>
      <c r="O84" s="1898"/>
      <c r="P84" s="1898"/>
      <c r="Q84" s="1898"/>
      <c r="R84" s="1898"/>
      <c r="S84" s="1898"/>
      <c r="T84" s="1898"/>
      <c r="U84" s="1899"/>
    </row>
    <row r="85" spans="2:21" x14ac:dyDescent="0.3">
      <c r="B85" s="947" t="s">
        <v>1262</v>
      </c>
      <c r="C85" s="948" t="s">
        <v>1263</v>
      </c>
      <c r="D85" s="1897"/>
      <c r="E85" s="1898"/>
      <c r="F85" s="1898"/>
      <c r="G85" s="1898"/>
      <c r="H85" s="1898"/>
      <c r="I85" s="1898"/>
      <c r="J85" s="1898"/>
      <c r="K85" s="1898"/>
      <c r="L85" s="1898"/>
      <c r="M85" s="1898"/>
      <c r="N85" s="1898"/>
      <c r="O85" s="1898"/>
      <c r="P85" s="1898"/>
      <c r="Q85" s="1898"/>
      <c r="R85" s="1898"/>
      <c r="S85" s="1898"/>
      <c r="T85" s="1898"/>
      <c r="U85" s="1899"/>
    </row>
    <row r="86" spans="2:21" x14ac:dyDescent="0.3">
      <c r="B86" s="947" t="s">
        <v>1264</v>
      </c>
      <c r="C86" s="948" t="s">
        <v>1265</v>
      </c>
      <c r="D86" s="1897"/>
      <c r="E86" s="1898"/>
      <c r="F86" s="1898"/>
      <c r="G86" s="1898"/>
      <c r="H86" s="1898"/>
      <c r="I86" s="1898"/>
      <c r="J86" s="1898"/>
      <c r="K86" s="1898"/>
      <c r="L86" s="1898"/>
      <c r="M86" s="1898"/>
      <c r="N86" s="1898"/>
      <c r="O86" s="1898"/>
      <c r="P86" s="1898"/>
      <c r="Q86" s="1898"/>
      <c r="R86" s="1898"/>
      <c r="S86" s="1898"/>
      <c r="T86" s="1898"/>
      <c r="U86" s="1899"/>
    </row>
    <row r="87" spans="2:21" x14ac:dyDescent="0.3">
      <c r="B87" s="947" t="s">
        <v>1266</v>
      </c>
      <c r="C87" s="948" t="s">
        <v>1267</v>
      </c>
      <c r="D87" s="1897"/>
      <c r="E87" s="1898"/>
      <c r="F87" s="1898"/>
      <c r="G87" s="1898"/>
      <c r="H87" s="1898"/>
      <c r="I87" s="1898"/>
      <c r="J87" s="1898"/>
      <c r="K87" s="1898"/>
      <c r="L87" s="1898"/>
      <c r="M87" s="1898"/>
      <c r="N87" s="1898"/>
      <c r="O87" s="1898"/>
      <c r="P87" s="1898"/>
      <c r="Q87" s="1898"/>
      <c r="R87" s="1898"/>
      <c r="S87" s="1898"/>
      <c r="T87" s="1898"/>
      <c r="U87" s="1899"/>
    </row>
    <row r="88" spans="2:21" x14ac:dyDescent="0.3">
      <c r="B88" s="947" t="s">
        <v>1268</v>
      </c>
      <c r="C88" s="948" t="s">
        <v>1269</v>
      </c>
      <c r="D88" s="1897"/>
      <c r="E88" s="1898"/>
      <c r="F88" s="1898"/>
      <c r="G88" s="1898"/>
      <c r="H88" s="1898"/>
      <c r="I88" s="1898"/>
      <c r="J88" s="1898"/>
      <c r="K88" s="1898"/>
      <c r="L88" s="1898"/>
      <c r="M88" s="1898"/>
      <c r="N88" s="1898"/>
      <c r="O88" s="1898"/>
      <c r="P88" s="1898"/>
      <c r="Q88" s="1898"/>
      <c r="R88" s="1898"/>
      <c r="S88" s="1898"/>
      <c r="T88" s="1898"/>
      <c r="U88" s="1899"/>
    </row>
    <row r="89" spans="2:21" x14ac:dyDescent="0.3">
      <c r="B89" s="947" t="s">
        <v>1270</v>
      </c>
      <c r="C89" s="948" t="s">
        <v>1271</v>
      </c>
      <c r="D89" s="1897"/>
      <c r="E89" s="1898"/>
      <c r="F89" s="1898"/>
      <c r="G89" s="1898"/>
      <c r="H89" s="1898"/>
      <c r="I89" s="1898"/>
      <c r="J89" s="1898"/>
      <c r="K89" s="1898"/>
      <c r="L89" s="1898"/>
      <c r="M89" s="1898"/>
      <c r="N89" s="1898"/>
      <c r="O89" s="1898"/>
      <c r="P89" s="1898"/>
      <c r="Q89" s="1898"/>
      <c r="R89" s="1898"/>
      <c r="S89" s="1898"/>
      <c r="T89" s="1898"/>
      <c r="U89" s="1899"/>
    </row>
    <row r="90" spans="2:21" x14ac:dyDescent="0.3">
      <c r="B90" s="947" t="s">
        <v>1272</v>
      </c>
      <c r="C90" s="948" t="s">
        <v>1273</v>
      </c>
      <c r="D90" s="1897"/>
      <c r="E90" s="1898"/>
      <c r="F90" s="1898"/>
      <c r="G90" s="1898"/>
      <c r="H90" s="1898"/>
      <c r="I90" s="1898"/>
      <c r="J90" s="1898"/>
      <c r="K90" s="1898"/>
      <c r="L90" s="1898"/>
      <c r="M90" s="1898"/>
      <c r="N90" s="1898"/>
      <c r="O90" s="1898"/>
      <c r="P90" s="1898"/>
      <c r="Q90" s="1898"/>
      <c r="R90" s="1898"/>
      <c r="S90" s="1898"/>
      <c r="T90" s="1898"/>
      <c r="U90" s="1899"/>
    </row>
    <row r="91" spans="2:21" x14ac:dyDescent="0.3">
      <c r="B91" s="947" t="s">
        <v>1274</v>
      </c>
      <c r="C91" s="948" t="s">
        <v>1275</v>
      </c>
      <c r="D91" s="1897"/>
      <c r="E91" s="1898"/>
      <c r="F91" s="1898"/>
      <c r="G91" s="1898"/>
      <c r="H91" s="1898"/>
      <c r="I91" s="1898"/>
      <c r="J91" s="1898"/>
      <c r="K91" s="1898"/>
      <c r="L91" s="1898"/>
      <c r="M91" s="1898"/>
      <c r="N91" s="1898"/>
      <c r="O91" s="1898"/>
      <c r="P91" s="1898"/>
      <c r="Q91" s="1898"/>
      <c r="R91" s="1898"/>
      <c r="S91" s="1898"/>
      <c r="T91" s="1898"/>
      <c r="U91" s="1899"/>
    </row>
    <row r="92" spans="2:21" x14ac:dyDescent="0.3">
      <c r="B92" s="947" t="s">
        <v>1276</v>
      </c>
      <c r="C92" s="948" t="s">
        <v>1277</v>
      </c>
      <c r="D92" s="1897"/>
      <c r="E92" s="1898"/>
      <c r="F92" s="1898"/>
      <c r="G92" s="1898"/>
      <c r="H92" s="1898"/>
      <c r="I92" s="1898"/>
      <c r="J92" s="1898"/>
      <c r="K92" s="1898"/>
      <c r="L92" s="1898"/>
      <c r="M92" s="1898"/>
      <c r="N92" s="1898"/>
      <c r="O92" s="1898"/>
      <c r="P92" s="1898"/>
      <c r="Q92" s="1898"/>
      <c r="R92" s="1898"/>
      <c r="S92" s="1898"/>
      <c r="T92" s="1898"/>
      <c r="U92" s="1899"/>
    </row>
    <row r="93" spans="2:21" x14ac:dyDescent="0.3">
      <c r="B93" s="947" t="s">
        <v>1278</v>
      </c>
      <c r="C93" s="948" t="s">
        <v>1279</v>
      </c>
      <c r="D93" s="1897"/>
      <c r="E93" s="1898"/>
      <c r="F93" s="1898"/>
      <c r="G93" s="1898"/>
      <c r="H93" s="1898"/>
      <c r="I93" s="1898"/>
      <c r="J93" s="1898"/>
      <c r="K93" s="1898"/>
      <c r="L93" s="1898"/>
      <c r="M93" s="1898"/>
      <c r="N93" s="1898"/>
      <c r="O93" s="1898"/>
      <c r="P93" s="1898"/>
      <c r="Q93" s="1898"/>
      <c r="R93" s="1898"/>
      <c r="S93" s="1898"/>
      <c r="T93" s="1898"/>
      <c r="U93" s="1899"/>
    </row>
    <row r="94" spans="2:21" x14ac:dyDescent="0.3">
      <c r="B94" s="947" t="s">
        <v>1280</v>
      </c>
      <c r="C94" s="948" t="s">
        <v>1281</v>
      </c>
      <c r="D94" s="1897"/>
      <c r="E94" s="1898"/>
      <c r="F94" s="1898"/>
      <c r="G94" s="1898"/>
      <c r="H94" s="1898"/>
      <c r="I94" s="1898"/>
      <c r="J94" s="1898"/>
      <c r="K94" s="1898"/>
      <c r="L94" s="1898"/>
      <c r="M94" s="1898"/>
      <c r="N94" s="1898"/>
      <c r="O94" s="1898"/>
      <c r="P94" s="1898"/>
      <c r="Q94" s="1898"/>
      <c r="R94" s="1898"/>
      <c r="S94" s="1898"/>
      <c r="T94" s="1898"/>
      <c r="U94" s="1899"/>
    </row>
    <row r="95" spans="2:21" x14ac:dyDescent="0.3">
      <c r="B95" s="947" t="s">
        <v>1282</v>
      </c>
      <c r="C95" s="948" t="s">
        <v>1283</v>
      </c>
      <c r="D95" s="1897"/>
      <c r="E95" s="1898"/>
      <c r="F95" s="1898"/>
      <c r="G95" s="1898"/>
      <c r="H95" s="1898"/>
      <c r="I95" s="1898"/>
      <c r="J95" s="1898"/>
      <c r="K95" s="1898"/>
      <c r="L95" s="1898"/>
      <c r="M95" s="1898"/>
      <c r="N95" s="1898"/>
      <c r="O95" s="1898"/>
      <c r="P95" s="1898"/>
      <c r="Q95" s="1898"/>
      <c r="R95" s="1898"/>
      <c r="S95" s="1898"/>
      <c r="T95" s="1898"/>
      <c r="U95" s="1899"/>
    </row>
    <row r="96" spans="2:21" x14ac:dyDescent="0.3">
      <c r="B96" s="947" t="s">
        <v>1284</v>
      </c>
      <c r="C96" s="948" t="s">
        <v>1285</v>
      </c>
      <c r="D96" s="1897"/>
      <c r="E96" s="1898"/>
      <c r="F96" s="1898"/>
      <c r="G96" s="1898"/>
      <c r="H96" s="1898"/>
      <c r="I96" s="1898"/>
      <c r="J96" s="1898"/>
      <c r="K96" s="1898"/>
      <c r="L96" s="1898"/>
      <c r="M96" s="1898"/>
      <c r="N96" s="1898"/>
      <c r="O96" s="1898"/>
      <c r="P96" s="1898"/>
      <c r="Q96" s="1898"/>
      <c r="R96" s="1898"/>
      <c r="S96" s="1898"/>
      <c r="T96" s="1898"/>
      <c r="U96" s="1899"/>
    </row>
    <row r="97" spans="2:21" x14ac:dyDescent="0.3">
      <c r="B97" s="947" t="s">
        <v>1286</v>
      </c>
      <c r="C97" s="948" t="s">
        <v>1287</v>
      </c>
      <c r="D97" s="1897"/>
      <c r="E97" s="1898"/>
      <c r="F97" s="1898"/>
      <c r="G97" s="1898"/>
      <c r="H97" s="1898"/>
      <c r="I97" s="1898"/>
      <c r="J97" s="1898"/>
      <c r="K97" s="1898"/>
      <c r="L97" s="1898"/>
      <c r="M97" s="1898"/>
      <c r="N97" s="1898"/>
      <c r="O97" s="1898"/>
      <c r="P97" s="1898"/>
      <c r="Q97" s="1898"/>
      <c r="R97" s="1898"/>
      <c r="S97" s="1898"/>
      <c r="T97" s="1898"/>
      <c r="U97" s="1899"/>
    </row>
    <row r="98" spans="2:21" s="939" customFormat="1" x14ac:dyDescent="0.3">
      <c r="B98" s="946" t="s">
        <v>1288</v>
      </c>
      <c r="C98" s="945" t="s">
        <v>1289</v>
      </c>
      <c r="D98" s="1897"/>
      <c r="E98" s="1898"/>
      <c r="F98" s="1898"/>
      <c r="G98" s="1898"/>
      <c r="H98" s="1898"/>
      <c r="I98" s="1898"/>
      <c r="J98" s="1898"/>
      <c r="K98" s="1898"/>
      <c r="L98" s="1898"/>
      <c r="M98" s="1898"/>
      <c r="N98" s="1898"/>
      <c r="O98" s="1898"/>
      <c r="P98" s="1898"/>
      <c r="Q98" s="1898"/>
      <c r="R98" s="1898"/>
      <c r="S98" s="1898"/>
      <c r="T98" s="1898"/>
      <c r="U98" s="1899"/>
    </row>
    <row r="99" spans="2:21" s="939" customFormat="1" x14ac:dyDescent="0.3">
      <c r="B99" s="946"/>
      <c r="C99" s="945" t="s">
        <v>1290</v>
      </c>
      <c r="D99" s="1897"/>
      <c r="E99" s="1898"/>
      <c r="F99" s="1898"/>
      <c r="G99" s="1898"/>
      <c r="H99" s="1898"/>
      <c r="I99" s="1898"/>
      <c r="J99" s="1898"/>
      <c r="K99" s="1898"/>
      <c r="L99" s="1898"/>
      <c r="M99" s="1898"/>
      <c r="N99" s="1898"/>
      <c r="O99" s="1898"/>
      <c r="P99" s="1898"/>
      <c r="Q99" s="1898"/>
      <c r="R99" s="1898"/>
      <c r="S99" s="1898"/>
      <c r="T99" s="1898"/>
      <c r="U99" s="1899"/>
    </row>
    <row r="100" spans="2:21" s="939" customFormat="1" x14ac:dyDescent="0.3">
      <c r="B100" s="946"/>
      <c r="C100" s="945"/>
      <c r="D100" s="1897"/>
      <c r="E100" s="1898"/>
      <c r="F100" s="1898"/>
      <c r="G100" s="1898"/>
      <c r="H100" s="1898"/>
      <c r="I100" s="1898"/>
      <c r="J100" s="1898"/>
      <c r="K100" s="1898"/>
      <c r="L100" s="1898"/>
      <c r="M100" s="1898"/>
      <c r="N100" s="1898"/>
      <c r="O100" s="1898"/>
      <c r="P100" s="1898"/>
      <c r="Q100" s="1898"/>
      <c r="R100" s="1898"/>
      <c r="S100" s="1898"/>
      <c r="T100" s="1898"/>
      <c r="U100" s="1899"/>
    </row>
    <row r="101" spans="2:21" s="939" customFormat="1" x14ac:dyDescent="0.3">
      <c r="B101" s="946">
        <v>2.5</v>
      </c>
      <c r="C101" s="951" t="s">
        <v>1291</v>
      </c>
      <c r="D101" s="1897"/>
      <c r="E101" s="1898"/>
      <c r="F101" s="1898"/>
      <c r="G101" s="1898"/>
      <c r="H101" s="1898"/>
      <c r="I101" s="1898"/>
      <c r="J101" s="1898"/>
      <c r="K101" s="1898"/>
      <c r="L101" s="1898"/>
      <c r="M101" s="1898"/>
      <c r="N101" s="1898"/>
      <c r="O101" s="1898"/>
      <c r="P101" s="1898"/>
      <c r="Q101" s="1898"/>
      <c r="R101" s="1898"/>
      <c r="S101" s="1898"/>
      <c r="T101" s="1898"/>
      <c r="U101" s="1899"/>
    </row>
    <row r="102" spans="2:21" x14ac:dyDescent="0.3">
      <c r="B102" s="952" t="s">
        <v>412</v>
      </c>
      <c r="C102" s="948" t="s">
        <v>1292</v>
      </c>
      <c r="D102" s="1897"/>
      <c r="E102" s="1898"/>
      <c r="F102" s="1898"/>
      <c r="G102" s="1898"/>
      <c r="H102" s="1898"/>
      <c r="I102" s="1898"/>
      <c r="J102" s="1898"/>
      <c r="K102" s="1898"/>
      <c r="L102" s="1898"/>
      <c r="M102" s="1898"/>
      <c r="N102" s="1898"/>
      <c r="O102" s="1898"/>
      <c r="P102" s="1898"/>
      <c r="Q102" s="1898"/>
      <c r="R102" s="1898"/>
      <c r="S102" s="1898"/>
      <c r="T102" s="1898"/>
      <c r="U102" s="1899"/>
    </row>
    <row r="103" spans="2:21" x14ac:dyDescent="0.3">
      <c r="B103" s="952" t="s">
        <v>415</v>
      </c>
      <c r="C103" s="948" t="s">
        <v>1293</v>
      </c>
      <c r="D103" s="1897"/>
      <c r="E103" s="1898"/>
      <c r="F103" s="1898"/>
      <c r="G103" s="1898"/>
      <c r="H103" s="1898"/>
      <c r="I103" s="1898"/>
      <c r="J103" s="1898"/>
      <c r="K103" s="1898"/>
      <c r="L103" s="1898"/>
      <c r="M103" s="1898"/>
      <c r="N103" s="1898"/>
      <c r="O103" s="1898"/>
      <c r="P103" s="1898"/>
      <c r="Q103" s="1898"/>
      <c r="R103" s="1898"/>
      <c r="S103" s="1898"/>
      <c r="T103" s="1898"/>
      <c r="U103" s="1899"/>
    </row>
    <row r="104" spans="2:21" s="939" customFormat="1" x14ac:dyDescent="0.3">
      <c r="B104" s="946" t="s">
        <v>416</v>
      </c>
      <c r="C104" s="953" t="s">
        <v>1294</v>
      </c>
      <c r="D104" s="1897"/>
      <c r="E104" s="1898"/>
      <c r="F104" s="1898"/>
      <c r="G104" s="1898"/>
      <c r="H104" s="1898"/>
      <c r="I104" s="1898"/>
      <c r="J104" s="1898"/>
      <c r="K104" s="1898"/>
      <c r="L104" s="1898"/>
      <c r="M104" s="1898"/>
      <c r="N104" s="1898"/>
      <c r="O104" s="1898"/>
      <c r="P104" s="1898"/>
      <c r="Q104" s="1898"/>
      <c r="R104" s="1898"/>
      <c r="S104" s="1898"/>
      <c r="T104" s="1898"/>
      <c r="U104" s="1899"/>
    </row>
    <row r="105" spans="2:21" s="939" customFormat="1" x14ac:dyDescent="0.3">
      <c r="B105" s="946"/>
      <c r="C105" s="953"/>
      <c r="D105" s="1897"/>
      <c r="E105" s="1898"/>
      <c r="F105" s="1898"/>
      <c r="G105" s="1898"/>
      <c r="H105" s="1898"/>
      <c r="I105" s="1898"/>
      <c r="J105" s="1898"/>
      <c r="K105" s="1898"/>
      <c r="L105" s="1898"/>
      <c r="M105" s="1898"/>
      <c r="N105" s="1898"/>
      <c r="O105" s="1898"/>
      <c r="P105" s="1898"/>
      <c r="Q105" s="1898"/>
      <c r="R105" s="1898"/>
      <c r="S105" s="1898"/>
      <c r="T105" s="1898"/>
      <c r="U105" s="1899"/>
    </row>
    <row r="106" spans="2:21" s="939" customFormat="1" x14ac:dyDescent="0.3">
      <c r="B106" s="946">
        <v>2.6</v>
      </c>
      <c r="C106" s="945" t="s">
        <v>1295</v>
      </c>
      <c r="D106" s="1897"/>
      <c r="E106" s="1898"/>
      <c r="F106" s="1898"/>
      <c r="G106" s="1898"/>
      <c r="H106" s="1898"/>
      <c r="I106" s="1898"/>
      <c r="J106" s="1898"/>
      <c r="K106" s="1898"/>
      <c r="L106" s="1898"/>
      <c r="M106" s="1898"/>
      <c r="N106" s="1898"/>
      <c r="O106" s="1898"/>
      <c r="P106" s="1898"/>
      <c r="Q106" s="1898"/>
      <c r="R106" s="1898"/>
      <c r="S106" s="1898"/>
      <c r="T106" s="1898"/>
      <c r="U106" s="1899"/>
    </row>
    <row r="107" spans="2:21" x14ac:dyDescent="0.3">
      <c r="B107" s="947" t="s">
        <v>1296</v>
      </c>
      <c r="C107" s="942" t="s">
        <v>1297</v>
      </c>
      <c r="D107" s="1897"/>
      <c r="E107" s="1898"/>
      <c r="F107" s="1898"/>
      <c r="G107" s="1898"/>
      <c r="H107" s="1898"/>
      <c r="I107" s="1898"/>
      <c r="J107" s="1898"/>
      <c r="K107" s="1898"/>
      <c r="L107" s="1898"/>
      <c r="M107" s="1898"/>
      <c r="N107" s="1898"/>
      <c r="O107" s="1898"/>
      <c r="P107" s="1898"/>
      <c r="Q107" s="1898"/>
      <c r="R107" s="1898"/>
      <c r="S107" s="1898"/>
      <c r="T107" s="1898"/>
      <c r="U107" s="1899"/>
    </row>
    <row r="108" spans="2:21" x14ac:dyDescent="0.3">
      <c r="B108" s="947" t="s">
        <v>1298</v>
      </c>
      <c r="C108" s="942" t="s">
        <v>1299</v>
      </c>
      <c r="D108" s="1897"/>
      <c r="E108" s="1898"/>
      <c r="F108" s="1898"/>
      <c r="G108" s="1898"/>
      <c r="H108" s="1898"/>
      <c r="I108" s="1898"/>
      <c r="J108" s="1898"/>
      <c r="K108" s="1898"/>
      <c r="L108" s="1898"/>
      <c r="M108" s="1898"/>
      <c r="N108" s="1898"/>
      <c r="O108" s="1898"/>
      <c r="P108" s="1898"/>
      <c r="Q108" s="1898"/>
      <c r="R108" s="1898"/>
      <c r="S108" s="1898"/>
      <c r="T108" s="1898"/>
      <c r="U108" s="1899"/>
    </row>
    <row r="109" spans="2:21" s="939" customFormat="1" x14ac:dyDescent="0.3">
      <c r="B109" s="946" t="s">
        <v>1300</v>
      </c>
      <c r="C109" s="945" t="s">
        <v>1301</v>
      </c>
      <c r="D109" s="1897"/>
      <c r="E109" s="1898"/>
      <c r="F109" s="1898"/>
      <c r="G109" s="1898"/>
      <c r="H109" s="1898"/>
      <c r="I109" s="1898"/>
      <c r="J109" s="1898"/>
      <c r="K109" s="1898"/>
      <c r="L109" s="1898"/>
      <c r="M109" s="1898"/>
      <c r="N109" s="1898"/>
      <c r="O109" s="1898"/>
      <c r="P109" s="1898"/>
      <c r="Q109" s="1898"/>
      <c r="R109" s="1898"/>
      <c r="S109" s="1898"/>
      <c r="T109" s="1898"/>
      <c r="U109" s="1899"/>
    </row>
    <row r="110" spans="2:21" s="939" customFormat="1" x14ac:dyDescent="0.3">
      <c r="B110" s="946" t="s">
        <v>1302</v>
      </c>
      <c r="C110" s="945" t="s">
        <v>1303</v>
      </c>
      <c r="D110" s="1897"/>
      <c r="E110" s="1898"/>
      <c r="F110" s="1898"/>
      <c r="G110" s="1898"/>
      <c r="H110" s="1898"/>
      <c r="I110" s="1898"/>
      <c r="J110" s="1898"/>
      <c r="K110" s="1898"/>
      <c r="L110" s="1898"/>
      <c r="M110" s="1898"/>
      <c r="N110" s="1898"/>
      <c r="O110" s="1898"/>
      <c r="P110" s="1898"/>
      <c r="Q110" s="1898"/>
      <c r="R110" s="1898"/>
      <c r="S110" s="1898"/>
      <c r="T110" s="1898"/>
      <c r="U110" s="1899"/>
    </row>
    <row r="111" spans="2:21" s="939" customFormat="1" x14ac:dyDescent="0.3">
      <c r="B111" s="946"/>
      <c r="C111" s="945"/>
      <c r="D111" s="1897"/>
      <c r="E111" s="1898"/>
      <c r="F111" s="1898"/>
      <c r="G111" s="1898"/>
      <c r="H111" s="1898"/>
      <c r="I111" s="1898"/>
      <c r="J111" s="1898"/>
      <c r="K111" s="1898"/>
      <c r="L111" s="1898"/>
      <c r="M111" s="1898"/>
      <c r="N111" s="1898"/>
      <c r="O111" s="1898"/>
      <c r="P111" s="1898"/>
      <c r="Q111" s="1898"/>
      <c r="R111" s="1898"/>
      <c r="S111" s="1898"/>
      <c r="T111" s="1898"/>
      <c r="U111" s="1899"/>
    </row>
    <row r="112" spans="2:21" s="939" customFormat="1" x14ac:dyDescent="0.3">
      <c r="B112" s="946">
        <v>3</v>
      </c>
      <c r="C112" s="945" t="s">
        <v>1304</v>
      </c>
      <c r="D112" s="1897"/>
      <c r="E112" s="1898"/>
      <c r="F112" s="1898"/>
      <c r="G112" s="1898"/>
      <c r="H112" s="1898"/>
      <c r="I112" s="1898"/>
      <c r="J112" s="1898"/>
      <c r="K112" s="1898"/>
      <c r="L112" s="1898"/>
      <c r="M112" s="1898"/>
      <c r="N112" s="1898"/>
      <c r="O112" s="1898"/>
      <c r="P112" s="1898"/>
      <c r="Q112" s="1898"/>
      <c r="R112" s="1898"/>
      <c r="S112" s="1898"/>
      <c r="T112" s="1898"/>
      <c r="U112" s="1899"/>
    </row>
    <row r="113" spans="2:21" s="939" customFormat="1" x14ac:dyDescent="0.3">
      <c r="B113" s="954"/>
      <c r="C113" s="954"/>
      <c r="D113" s="1897"/>
      <c r="E113" s="1898"/>
      <c r="F113" s="1898"/>
      <c r="G113" s="1898"/>
      <c r="H113" s="1898"/>
      <c r="I113" s="1898"/>
      <c r="J113" s="1898"/>
      <c r="K113" s="1898"/>
      <c r="L113" s="1898"/>
      <c r="M113" s="1898"/>
      <c r="N113" s="1898"/>
      <c r="O113" s="1898"/>
      <c r="P113" s="1898"/>
      <c r="Q113" s="1898"/>
      <c r="R113" s="1898"/>
      <c r="S113" s="1898"/>
      <c r="T113" s="1898"/>
      <c r="U113" s="1899"/>
    </row>
    <row r="114" spans="2:21" s="939" customFormat="1" x14ac:dyDescent="0.3">
      <c r="B114" s="946">
        <v>4</v>
      </c>
      <c r="C114" s="945" t="s">
        <v>1305</v>
      </c>
      <c r="D114" s="1897"/>
      <c r="E114" s="1898"/>
      <c r="F114" s="1898"/>
      <c r="G114" s="1898"/>
      <c r="H114" s="1898"/>
      <c r="I114" s="1898"/>
      <c r="J114" s="1898"/>
      <c r="K114" s="1898"/>
      <c r="L114" s="1898"/>
      <c r="M114" s="1898"/>
      <c r="N114" s="1898"/>
      <c r="O114" s="1898"/>
      <c r="P114" s="1898"/>
      <c r="Q114" s="1898"/>
      <c r="R114" s="1898"/>
      <c r="S114" s="1898"/>
      <c r="T114" s="1898"/>
      <c r="U114" s="1899"/>
    </row>
    <row r="115" spans="2:21" x14ac:dyDescent="0.3">
      <c r="B115" s="947">
        <v>4.0999999999999996</v>
      </c>
      <c r="C115" s="942" t="s">
        <v>1306</v>
      </c>
      <c r="D115" s="1897"/>
      <c r="E115" s="1898"/>
      <c r="F115" s="1898"/>
      <c r="G115" s="1898"/>
      <c r="H115" s="1898"/>
      <c r="I115" s="1898"/>
      <c r="J115" s="1898"/>
      <c r="K115" s="1898"/>
      <c r="L115" s="1898"/>
      <c r="M115" s="1898"/>
      <c r="N115" s="1898"/>
      <c r="O115" s="1898"/>
      <c r="P115" s="1898"/>
      <c r="Q115" s="1898"/>
      <c r="R115" s="1898"/>
      <c r="S115" s="1898"/>
      <c r="T115" s="1898"/>
      <c r="U115" s="1899"/>
    </row>
    <row r="116" spans="2:21" x14ac:dyDescent="0.3">
      <c r="B116" s="947">
        <v>4.2</v>
      </c>
      <c r="C116" s="942" t="s">
        <v>1307</v>
      </c>
      <c r="D116" s="1897"/>
      <c r="E116" s="1898"/>
      <c r="F116" s="1898"/>
      <c r="G116" s="1898"/>
      <c r="H116" s="1898"/>
      <c r="I116" s="1898"/>
      <c r="J116" s="1898"/>
      <c r="K116" s="1898"/>
      <c r="L116" s="1898"/>
      <c r="M116" s="1898"/>
      <c r="N116" s="1898"/>
      <c r="O116" s="1898"/>
      <c r="P116" s="1898"/>
      <c r="Q116" s="1898"/>
      <c r="R116" s="1898"/>
      <c r="S116" s="1898"/>
      <c r="T116" s="1898"/>
      <c r="U116" s="1899"/>
    </row>
    <row r="117" spans="2:21" x14ac:dyDescent="0.3">
      <c r="B117" s="947">
        <v>4.3</v>
      </c>
      <c r="C117" s="948" t="s">
        <v>1308</v>
      </c>
      <c r="D117" s="1897"/>
      <c r="E117" s="1898"/>
      <c r="F117" s="1898"/>
      <c r="G117" s="1898"/>
      <c r="H117" s="1898"/>
      <c r="I117" s="1898"/>
      <c r="J117" s="1898"/>
      <c r="K117" s="1898"/>
      <c r="L117" s="1898"/>
      <c r="M117" s="1898"/>
      <c r="N117" s="1898"/>
      <c r="O117" s="1898"/>
      <c r="P117" s="1898"/>
      <c r="Q117" s="1898"/>
      <c r="R117" s="1898"/>
      <c r="S117" s="1898"/>
      <c r="T117" s="1898"/>
      <c r="U117" s="1899"/>
    </row>
    <row r="118" spans="2:21" x14ac:dyDescent="0.3">
      <c r="B118" s="947">
        <v>4.4000000000000004</v>
      </c>
      <c r="C118" s="948" t="s">
        <v>1309</v>
      </c>
      <c r="D118" s="1897"/>
      <c r="E118" s="1898"/>
      <c r="F118" s="1898"/>
      <c r="G118" s="1898"/>
      <c r="H118" s="1898"/>
      <c r="I118" s="1898"/>
      <c r="J118" s="1898"/>
      <c r="K118" s="1898"/>
      <c r="L118" s="1898"/>
      <c r="M118" s="1898"/>
      <c r="N118" s="1898"/>
      <c r="O118" s="1898"/>
      <c r="P118" s="1898"/>
      <c r="Q118" s="1898"/>
      <c r="R118" s="1898"/>
      <c r="S118" s="1898"/>
      <c r="T118" s="1898"/>
      <c r="U118" s="1899"/>
    </row>
    <row r="119" spans="2:21" x14ac:dyDescent="0.3">
      <c r="B119" s="947">
        <v>4.5</v>
      </c>
      <c r="C119" s="948" t="s">
        <v>1310</v>
      </c>
      <c r="D119" s="1897"/>
      <c r="E119" s="1898"/>
      <c r="F119" s="1898"/>
      <c r="G119" s="1898"/>
      <c r="H119" s="1898"/>
      <c r="I119" s="1898"/>
      <c r="J119" s="1898"/>
      <c r="K119" s="1898"/>
      <c r="L119" s="1898"/>
      <c r="M119" s="1898"/>
      <c r="N119" s="1898"/>
      <c r="O119" s="1898"/>
      <c r="P119" s="1898"/>
      <c r="Q119" s="1898"/>
      <c r="R119" s="1898"/>
      <c r="S119" s="1898"/>
      <c r="T119" s="1898"/>
      <c r="U119" s="1899"/>
    </row>
    <row r="120" spans="2:21" x14ac:dyDescent="0.3">
      <c r="B120" s="947">
        <v>4.5999999999999996</v>
      </c>
      <c r="C120" s="948" t="s">
        <v>1311</v>
      </c>
      <c r="D120" s="1897"/>
      <c r="E120" s="1898"/>
      <c r="F120" s="1898"/>
      <c r="G120" s="1898"/>
      <c r="H120" s="1898"/>
      <c r="I120" s="1898"/>
      <c r="J120" s="1898"/>
      <c r="K120" s="1898"/>
      <c r="L120" s="1898"/>
      <c r="M120" s="1898"/>
      <c r="N120" s="1898"/>
      <c r="O120" s="1898"/>
      <c r="P120" s="1898"/>
      <c r="Q120" s="1898"/>
      <c r="R120" s="1898"/>
      <c r="S120" s="1898"/>
      <c r="T120" s="1898"/>
      <c r="U120" s="1899"/>
    </row>
    <row r="121" spans="2:21" x14ac:dyDescent="0.3">
      <c r="B121" s="947">
        <v>4.7</v>
      </c>
      <c r="C121" s="948" t="s">
        <v>1312</v>
      </c>
      <c r="D121" s="1897"/>
      <c r="E121" s="1898"/>
      <c r="F121" s="1898"/>
      <c r="G121" s="1898"/>
      <c r="H121" s="1898"/>
      <c r="I121" s="1898"/>
      <c r="J121" s="1898"/>
      <c r="K121" s="1898"/>
      <c r="L121" s="1898"/>
      <c r="M121" s="1898"/>
      <c r="N121" s="1898"/>
      <c r="O121" s="1898"/>
      <c r="P121" s="1898"/>
      <c r="Q121" s="1898"/>
      <c r="R121" s="1898"/>
      <c r="S121" s="1898"/>
      <c r="T121" s="1898"/>
      <c r="U121" s="1899"/>
    </row>
    <row r="122" spans="2:21" x14ac:dyDescent="0.3">
      <c r="B122" s="947">
        <v>4.8</v>
      </c>
      <c r="C122" s="942" t="s">
        <v>1313</v>
      </c>
      <c r="D122" s="1897"/>
      <c r="E122" s="1898"/>
      <c r="F122" s="1898"/>
      <c r="G122" s="1898"/>
      <c r="H122" s="1898"/>
      <c r="I122" s="1898"/>
      <c r="J122" s="1898"/>
      <c r="K122" s="1898"/>
      <c r="L122" s="1898"/>
      <c r="M122" s="1898"/>
      <c r="N122" s="1898"/>
      <c r="O122" s="1898"/>
      <c r="P122" s="1898"/>
      <c r="Q122" s="1898"/>
      <c r="R122" s="1898"/>
      <c r="S122" s="1898"/>
      <c r="T122" s="1898"/>
      <c r="U122" s="1899"/>
    </row>
    <row r="123" spans="2:21" x14ac:dyDescent="0.3">
      <c r="B123" s="947">
        <v>4.9000000000000004</v>
      </c>
      <c r="C123" s="942" t="s">
        <v>1314</v>
      </c>
      <c r="D123" s="1897"/>
      <c r="E123" s="1898"/>
      <c r="F123" s="1898"/>
      <c r="G123" s="1898"/>
      <c r="H123" s="1898"/>
      <c r="I123" s="1898"/>
      <c r="J123" s="1898"/>
      <c r="K123" s="1898"/>
      <c r="L123" s="1898"/>
      <c r="M123" s="1898"/>
      <c r="N123" s="1898"/>
      <c r="O123" s="1898"/>
      <c r="P123" s="1898"/>
      <c r="Q123" s="1898"/>
      <c r="R123" s="1898"/>
      <c r="S123" s="1898"/>
      <c r="T123" s="1898"/>
      <c r="U123" s="1899"/>
    </row>
    <row r="124" spans="2:21" x14ac:dyDescent="0.3">
      <c r="B124" s="955">
        <v>4.0999999999999996</v>
      </c>
      <c r="C124" s="942" t="s">
        <v>1315</v>
      </c>
      <c r="D124" s="1897"/>
      <c r="E124" s="1898"/>
      <c r="F124" s="1898"/>
      <c r="G124" s="1898"/>
      <c r="H124" s="1898"/>
      <c r="I124" s="1898"/>
      <c r="J124" s="1898"/>
      <c r="K124" s="1898"/>
      <c r="L124" s="1898"/>
      <c r="M124" s="1898"/>
      <c r="N124" s="1898"/>
      <c r="O124" s="1898"/>
      <c r="P124" s="1898"/>
      <c r="Q124" s="1898"/>
      <c r="R124" s="1898"/>
      <c r="S124" s="1898"/>
      <c r="T124" s="1898"/>
      <c r="U124" s="1899"/>
    </row>
    <row r="125" spans="2:21" x14ac:dyDescent="0.3">
      <c r="B125" s="955">
        <v>4.1100000000000003</v>
      </c>
      <c r="C125" s="942" t="s">
        <v>1316</v>
      </c>
      <c r="D125" s="1897"/>
      <c r="E125" s="1898"/>
      <c r="F125" s="1898"/>
      <c r="G125" s="1898"/>
      <c r="H125" s="1898"/>
      <c r="I125" s="1898"/>
      <c r="J125" s="1898"/>
      <c r="K125" s="1898"/>
      <c r="L125" s="1898"/>
      <c r="M125" s="1898"/>
      <c r="N125" s="1898"/>
      <c r="O125" s="1898"/>
      <c r="P125" s="1898"/>
      <c r="Q125" s="1898"/>
      <c r="R125" s="1898"/>
      <c r="S125" s="1898"/>
      <c r="T125" s="1898"/>
      <c r="U125" s="1899"/>
    </row>
    <row r="126" spans="2:21" x14ac:dyDescent="0.3">
      <c r="B126" s="955">
        <v>4.12</v>
      </c>
      <c r="C126" s="948" t="s">
        <v>1317</v>
      </c>
      <c r="D126" s="1897"/>
      <c r="E126" s="1898"/>
      <c r="F126" s="1898"/>
      <c r="G126" s="1898"/>
      <c r="H126" s="1898"/>
      <c r="I126" s="1898"/>
      <c r="J126" s="1898"/>
      <c r="K126" s="1898"/>
      <c r="L126" s="1898"/>
      <c r="M126" s="1898"/>
      <c r="N126" s="1898"/>
      <c r="O126" s="1898"/>
      <c r="P126" s="1898"/>
      <c r="Q126" s="1898"/>
      <c r="R126" s="1898"/>
      <c r="S126" s="1898"/>
      <c r="T126" s="1898"/>
      <c r="U126" s="1899"/>
    </row>
    <row r="127" spans="2:21" x14ac:dyDescent="0.3">
      <c r="B127" s="955">
        <v>4.13</v>
      </c>
      <c r="C127" s="942" t="s">
        <v>1318</v>
      </c>
      <c r="D127" s="1897"/>
      <c r="E127" s="1898"/>
      <c r="F127" s="1898"/>
      <c r="G127" s="1898"/>
      <c r="H127" s="1898"/>
      <c r="I127" s="1898"/>
      <c r="J127" s="1898"/>
      <c r="K127" s="1898"/>
      <c r="L127" s="1898"/>
      <c r="M127" s="1898"/>
      <c r="N127" s="1898"/>
      <c r="O127" s="1898"/>
      <c r="P127" s="1898"/>
      <c r="Q127" s="1898"/>
      <c r="R127" s="1898"/>
      <c r="S127" s="1898"/>
      <c r="T127" s="1898"/>
      <c r="U127" s="1899"/>
    </row>
    <row r="128" spans="2:21" x14ac:dyDescent="0.3">
      <c r="B128" s="955">
        <v>4.1399999999999997</v>
      </c>
      <c r="C128" s="942" t="s">
        <v>1319</v>
      </c>
      <c r="D128" s="1897"/>
      <c r="E128" s="1898"/>
      <c r="F128" s="1898"/>
      <c r="G128" s="1898"/>
      <c r="H128" s="1898"/>
      <c r="I128" s="1898"/>
      <c r="J128" s="1898"/>
      <c r="K128" s="1898"/>
      <c r="L128" s="1898"/>
      <c r="M128" s="1898"/>
      <c r="N128" s="1898"/>
      <c r="O128" s="1898"/>
      <c r="P128" s="1898"/>
      <c r="Q128" s="1898"/>
      <c r="R128" s="1898"/>
      <c r="S128" s="1898"/>
      <c r="T128" s="1898"/>
      <c r="U128" s="1899"/>
    </row>
    <row r="129" spans="2:21" x14ac:dyDescent="0.3">
      <c r="B129" s="955">
        <v>4.1500000000000004</v>
      </c>
      <c r="C129" s="942" t="s">
        <v>1320</v>
      </c>
      <c r="D129" s="1897"/>
      <c r="E129" s="1898"/>
      <c r="F129" s="1898"/>
      <c r="G129" s="1898"/>
      <c r="H129" s="1898"/>
      <c r="I129" s="1898"/>
      <c r="J129" s="1898"/>
      <c r="K129" s="1898"/>
      <c r="L129" s="1898"/>
      <c r="M129" s="1898"/>
      <c r="N129" s="1898"/>
      <c r="O129" s="1898"/>
      <c r="P129" s="1898"/>
      <c r="Q129" s="1898"/>
      <c r="R129" s="1898"/>
      <c r="S129" s="1898"/>
      <c r="T129" s="1898"/>
      <c r="U129" s="1899"/>
    </row>
    <row r="130" spans="2:21" x14ac:dyDescent="0.3">
      <c r="B130" s="955">
        <v>4.16</v>
      </c>
      <c r="C130" s="942" t="s">
        <v>1321</v>
      </c>
      <c r="D130" s="1897"/>
      <c r="E130" s="1898"/>
      <c r="F130" s="1898"/>
      <c r="G130" s="1898"/>
      <c r="H130" s="1898"/>
      <c r="I130" s="1898"/>
      <c r="J130" s="1898"/>
      <c r="K130" s="1898"/>
      <c r="L130" s="1898"/>
      <c r="M130" s="1898"/>
      <c r="N130" s="1898"/>
      <c r="O130" s="1898"/>
      <c r="P130" s="1898"/>
      <c r="Q130" s="1898"/>
      <c r="R130" s="1898"/>
      <c r="S130" s="1898"/>
      <c r="T130" s="1898"/>
      <c r="U130" s="1899"/>
    </row>
    <row r="131" spans="2:21" x14ac:dyDescent="0.3">
      <c r="B131" s="955">
        <v>4.17</v>
      </c>
      <c r="C131" s="942" t="s">
        <v>251</v>
      </c>
      <c r="D131" s="1897"/>
      <c r="E131" s="1898"/>
      <c r="F131" s="1898"/>
      <c r="G131" s="1898"/>
      <c r="H131" s="1898"/>
      <c r="I131" s="1898"/>
      <c r="J131" s="1898"/>
      <c r="K131" s="1898"/>
      <c r="L131" s="1898"/>
      <c r="M131" s="1898"/>
      <c r="N131" s="1898"/>
      <c r="O131" s="1898"/>
      <c r="P131" s="1898"/>
      <c r="Q131" s="1898"/>
      <c r="R131" s="1898"/>
      <c r="S131" s="1898"/>
      <c r="T131" s="1898"/>
      <c r="U131" s="1899"/>
    </row>
    <row r="132" spans="2:21" s="939" customFormat="1" x14ac:dyDescent="0.3">
      <c r="B132" s="956"/>
      <c r="C132" s="945" t="s">
        <v>1322</v>
      </c>
      <c r="D132" s="1897"/>
      <c r="E132" s="1898"/>
      <c r="F132" s="1898"/>
      <c r="G132" s="1898"/>
      <c r="H132" s="1898"/>
      <c r="I132" s="1898"/>
      <c r="J132" s="1898"/>
      <c r="K132" s="1898"/>
      <c r="L132" s="1898"/>
      <c r="M132" s="1898"/>
      <c r="N132" s="1898"/>
      <c r="O132" s="1898"/>
      <c r="P132" s="1898"/>
      <c r="Q132" s="1898"/>
      <c r="R132" s="1898"/>
      <c r="S132" s="1898"/>
      <c r="T132" s="1898"/>
      <c r="U132" s="1899"/>
    </row>
    <row r="133" spans="2:21" x14ac:dyDescent="0.3">
      <c r="B133" s="955"/>
      <c r="C133" s="942"/>
      <c r="D133" s="1897"/>
      <c r="E133" s="1898"/>
      <c r="F133" s="1898"/>
      <c r="G133" s="1898"/>
      <c r="H133" s="1898"/>
      <c r="I133" s="1898"/>
      <c r="J133" s="1898"/>
      <c r="K133" s="1898"/>
      <c r="L133" s="1898"/>
      <c r="M133" s="1898"/>
      <c r="N133" s="1898"/>
      <c r="O133" s="1898"/>
      <c r="P133" s="1898"/>
      <c r="Q133" s="1898"/>
      <c r="R133" s="1898"/>
      <c r="S133" s="1898"/>
      <c r="T133" s="1898"/>
      <c r="U133" s="1899"/>
    </row>
    <row r="134" spans="2:21" s="939" customFormat="1" x14ac:dyDescent="0.3">
      <c r="B134" s="946">
        <v>5</v>
      </c>
      <c r="C134" s="953" t="s">
        <v>1323</v>
      </c>
      <c r="D134" s="1897"/>
      <c r="E134" s="1898"/>
      <c r="F134" s="1898"/>
      <c r="G134" s="1898"/>
      <c r="H134" s="1898"/>
      <c r="I134" s="1898"/>
      <c r="J134" s="1898"/>
      <c r="K134" s="1898"/>
      <c r="L134" s="1898"/>
      <c r="M134" s="1898"/>
      <c r="N134" s="1898"/>
      <c r="O134" s="1898"/>
      <c r="P134" s="1898"/>
      <c r="Q134" s="1898"/>
      <c r="R134" s="1898"/>
      <c r="S134" s="1898"/>
      <c r="T134" s="1898"/>
      <c r="U134" s="1899"/>
    </row>
    <row r="135" spans="2:21" x14ac:dyDescent="0.3">
      <c r="B135" s="947">
        <v>5.0999999999999996</v>
      </c>
      <c r="C135" s="942" t="s">
        <v>1324</v>
      </c>
      <c r="D135" s="1897"/>
      <c r="E135" s="1898"/>
      <c r="F135" s="1898"/>
      <c r="G135" s="1898"/>
      <c r="H135" s="1898"/>
      <c r="I135" s="1898"/>
      <c r="J135" s="1898"/>
      <c r="K135" s="1898"/>
      <c r="L135" s="1898"/>
      <c r="M135" s="1898"/>
      <c r="N135" s="1898"/>
      <c r="O135" s="1898"/>
      <c r="P135" s="1898"/>
      <c r="Q135" s="1898"/>
      <c r="R135" s="1898"/>
      <c r="S135" s="1898"/>
      <c r="T135" s="1898"/>
      <c r="U135" s="1899"/>
    </row>
    <row r="136" spans="2:21" x14ac:dyDescent="0.3">
      <c r="B136" s="947">
        <v>5.2</v>
      </c>
      <c r="C136" s="942" t="s">
        <v>1325</v>
      </c>
      <c r="D136" s="1897"/>
      <c r="E136" s="1898"/>
      <c r="F136" s="1898"/>
      <c r="G136" s="1898"/>
      <c r="H136" s="1898"/>
      <c r="I136" s="1898"/>
      <c r="J136" s="1898"/>
      <c r="K136" s="1898"/>
      <c r="L136" s="1898"/>
      <c r="M136" s="1898"/>
      <c r="N136" s="1898"/>
      <c r="O136" s="1898"/>
      <c r="P136" s="1898"/>
      <c r="Q136" s="1898"/>
      <c r="R136" s="1898"/>
      <c r="S136" s="1898"/>
      <c r="T136" s="1898"/>
      <c r="U136" s="1899"/>
    </row>
    <row r="137" spans="2:21" x14ac:dyDescent="0.3">
      <c r="B137" s="947">
        <v>5.3</v>
      </c>
      <c r="C137" s="942" t="s">
        <v>1326</v>
      </c>
      <c r="D137" s="1897"/>
      <c r="E137" s="1898"/>
      <c r="F137" s="1898"/>
      <c r="G137" s="1898"/>
      <c r="H137" s="1898"/>
      <c r="I137" s="1898"/>
      <c r="J137" s="1898"/>
      <c r="K137" s="1898"/>
      <c r="L137" s="1898"/>
      <c r="M137" s="1898"/>
      <c r="N137" s="1898"/>
      <c r="O137" s="1898"/>
      <c r="P137" s="1898"/>
      <c r="Q137" s="1898"/>
      <c r="R137" s="1898"/>
      <c r="S137" s="1898"/>
      <c r="T137" s="1898"/>
      <c r="U137" s="1899"/>
    </row>
    <row r="138" spans="2:21" x14ac:dyDescent="0.3">
      <c r="B138" s="947">
        <v>5.4</v>
      </c>
      <c r="C138" s="942" t="s">
        <v>1327</v>
      </c>
      <c r="D138" s="1897"/>
      <c r="E138" s="1898"/>
      <c r="F138" s="1898"/>
      <c r="G138" s="1898"/>
      <c r="H138" s="1898"/>
      <c r="I138" s="1898"/>
      <c r="J138" s="1898"/>
      <c r="K138" s="1898"/>
      <c r="L138" s="1898"/>
      <c r="M138" s="1898"/>
      <c r="N138" s="1898"/>
      <c r="O138" s="1898"/>
      <c r="P138" s="1898"/>
      <c r="Q138" s="1898"/>
      <c r="R138" s="1898"/>
      <c r="S138" s="1898"/>
      <c r="T138" s="1898"/>
      <c r="U138" s="1899"/>
    </row>
    <row r="139" spans="2:21" x14ac:dyDescent="0.3">
      <c r="B139" s="947">
        <v>5.5</v>
      </c>
      <c r="C139" s="942" t="s">
        <v>1328</v>
      </c>
      <c r="D139" s="1897"/>
      <c r="E139" s="1898"/>
      <c r="F139" s="1898"/>
      <c r="G139" s="1898"/>
      <c r="H139" s="1898"/>
      <c r="I139" s="1898"/>
      <c r="J139" s="1898"/>
      <c r="K139" s="1898"/>
      <c r="L139" s="1898"/>
      <c r="M139" s="1898"/>
      <c r="N139" s="1898"/>
      <c r="O139" s="1898"/>
      <c r="P139" s="1898"/>
      <c r="Q139" s="1898"/>
      <c r="R139" s="1898"/>
      <c r="S139" s="1898"/>
      <c r="T139" s="1898"/>
      <c r="U139" s="1899"/>
    </row>
    <row r="140" spans="2:21" x14ac:dyDescent="0.3">
      <c r="B140" s="947">
        <v>5.6</v>
      </c>
      <c r="C140" s="942" t="s">
        <v>1329</v>
      </c>
      <c r="D140" s="1897"/>
      <c r="E140" s="1898"/>
      <c r="F140" s="1898"/>
      <c r="G140" s="1898"/>
      <c r="H140" s="1898"/>
      <c r="I140" s="1898"/>
      <c r="J140" s="1898"/>
      <c r="K140" s="1898"/>
      <c r="L140" s="1898"/>
      <c r="M140" s="1898"/>
      <c r="N140" s="1898"/>
      <c r="O140" s="1898"/>
      <c r="P140" s="1898"/>
      <c r="Q140" s="1898"/>
      <c r="R140" s="1898"/>
      <c r="S140" s="1898"/>
      <c r="T140" s="1898"/>
      <c r="U140" s="1899"/>
    </row>
    <row r="141" spans="2:21" s="939" customFormat="1" x14ac:dyDescent="0.3">
      <c r="B141" s="946">
        <v>5.7</v>
      </c>
      <c r="C141" s="953" t="s">
        <v>1330</v>
      </c>
      <c r="D141" s="1897"/>
      <c r="E141" s="1898"/>
      <c r="F141" s="1898"/>
      <c r="G141" s="1898"/>
      <c r="H141" s="1898"/>
      <c r="I141" s="1898"/>
      <c r="J141" s="1898"/>
      <c r="K141" s="1898"/>
      <c r="L141" s="1898"/>
      <c r="M141" s="1898"/>
      <c r="N141" s="1898"/>
      <c r="O141" s="1898"/>
      <c r="P141" s="1898"/>
      <c r="Q141" s="1898"/>
      <c r="R141" s="1898"/>
      <c r="S141" s="1898"/>
      <c r="T141" s="1898"/>
      <c r="U141" s="1899"/>
    </row>
    <row r="142" spans="2:21" s="939" customFormat="1" x14ac:dyDescent="0.3">
      <c r="B142" s="946"/>
      <c r="C142" s="953"/>
      <c r="D142" s="1897"/>
      <c r="E142" s="1898"/>
      <c r="F142" s="1898"/>
      <c r="G142" s="1898"/>
      <c r="H142" s="1898"/>
      <c r="I142" s="1898"/>
      <c r="J142" s="1898"/>
      <c r="K142" s="1898"/>
      <c r="L142" s="1898"/>
      <c r="M142" s="1898"/>
      <c r="N142" s="1898"/>
      <c r="O142" s="1898"/>
      <c r="P142" s="1898"/>
      <c r="Q142" s="1898"/>
      <c r="R142" s="1898"/>
      <c r="S142" s="1898"/>
      <c r="T142" s="1898"/>
      <c r="U142" s="1899"/>
    </row>
    <row r="143" spans="2:21" s="939" customFormat="1" x14ac:dyDescent="0.3">
      <c r="B143" s="946">
        <v>6</v>
      </c>
      <c r="C143" s="945" t="s">
        <v>1331</v>
      </c>
      <c r="D143" s="1897"/>
      <c r="E143" s="1898"/>
      <c r="F143" s="1898"/>
      <c r="G143" s="1898"/>
      <c r="H143" s="1898"/>
      <c r="I143" s="1898"/>
      <c r="J143" s="1898"/>
      <c r="K143" s="1898"/>
      <c r="L143" s="1898"/>
      <c r="M143" s="1898"/>
      <c r="N143" s="1898"/>
      <c r="O143" s="1898"/>
      <c r="P143" s="1898"/>
      <c r="Q143" s="1898"/>
      <c r="R143" s="1898"/>
      <c r="S143" s="1898"/>
      <c r="T143" s="1898"/>
      <c r="U143" s="1899"/>
    </row>
    <row r="144" spans="2:21" x14ac:dyDescent="0.3">
      <c r="B144" s="947">
        <v>6.1</v>
      </c>
      <c r="C144" s="942" t="s">
        <v>1332</v>
      </c>
      <c r="D144" s="1897"/>
      <c r="E144" s="1898"/>
      <c r="F144" s="1898"/>
      <c r="G144" s="1898"/>
      <c r="H144" s="1898"/>
      <c r="I144" s="1898"/>
      <c r="J144" s="1898"/>
      <c r="K144" s="1898"/>
      <c r="L144" s="1898"/>
      <c r="M144" s="1898"/>
      <c r="N144" s="1898"/>
      <c r="O144" s="1898"/>
      <c r="P144" s="1898"/>
      <c r="Q144" s="1898"/>
      <c r="R144" s="1898"/>
      <c r="S144" s="1898"/>
      <c r="T144" s="1898"/>
      <c r="U144" s="1899"/>
    </row>
    <row r="145" spans="2:21" x14ac:dyDescent="0.3">
      <c r="B145" s="952">
        <v>6.2</v>
      </c>
      <c r="C145" s="948" t="s">
        <v>1333</v>
      </c>
      <c r="D145" s="1897"/>
      <c r="E145" s="1898"/>
      <c r="F145" s="1898"/>
      <c r="G145" s="1898"/>
      <c r="H145" s="1898"/>
      <c r="I145" s="1898"/>
      <c r="J145" s="1898"/>
      <c r="K145" s="1898"/>
      <c r="L145" s="1898"/>
      <c r="M145" s="1898"/>
      <c r="N145" s="1898"/>
      <c r="O145" s="1898"/>
      <c r="P145" s="1898"/>
      <c r="Q145" s="1898"/>
      <c r="R145" s="1898"/>
      <c r="S145" s="1898"/>
      <c r="T145" s="1898"/>
      <c r="U145" s="1899"/>
    </row>
    <row r="146" spans="2:21" x14ac:dyDescent="0.3">
      <c r="B146" s="947">
        <v>6.3</v>
      </c>
      <c r="C146" s="942" t="s">
        <v>1334</v>
      </c>
      <c r="D146" s="1897"/>
      <c r="E146" s="1898"/>
      <c r="F146" s="1898"/>
      <c r="G146" s="1898"/>
      <c r="H146" s="1898"/>
      <c r="I146" s="1898"/>
      <c r="J146" s="1898"/>
      <c r="K146" s="1898"/>
      <c r="L146" s="1898"/>
      <c r="M146" s="1898"/>
      <c r="N146" s="1898"/>
      <c r="O146" s="1898"/>
      <c r="P146" s="1898"/>
      <c r="Q146" s="1898"/>
      <c r="R146" s="1898"/>
      <c r="S146" s="1898"/>
      <c r="T146" s="1898"/>
      <c r="U146" s="1899"/>
    </row>
    <row r="147" spans="2:21" x14ac:dyDescent="0.3">
      <c r="B147" s="952">
        <v>6.4</v>
      </c>
      <c r="C147" s="942" t="s">
        <v>1335</v>
      </c>
      <c r="D147" s="1897"/>
      <c r="E147" s="1898"/>
      <c r="F147" s="1898"/>
      <c r="G147" s="1898"/>
      <c r="H147" s="1898"/>
      <c r="I147" s="1898"/>
      <c r="J147" s="1898"/>
      <c r="K147" s="1898"/>
      <c r="L147" s="1898"/>
      <c r="M147" s="1898"/>
      <c r="N147" s="1898"/>
      <c r="O147" s="1898"/>
      <c r="P147" s="1898"/>
      <c r="Q147" s="1898"/>
      <c r="R147" s="1898"/>
      <c r="S147" s="1898"/>
      <c r="T147" s="1898"/>
      <c r="U147" s="1899"/>
    </row>
    <row r="148" spans="2:21" s="939" customFormat="1" x14ac:dyDescent="0.3">
      <c r="B148" s="946">
        <v>6.5</v>
      </c>
      <c r="C148" s="945" t="s">
        <v>1336</v>
      </c>
      <c r="D148" s="1897"/>
      <c r="E148" s="1898"/>
      <c r="F148" s="1898"/>
      <c r="G148" s="1898"/>
      <c r="H148" s="1898"/>
      <c r="I148" s="1898"/>
      <c r="J148" s="1898"/>
      <c r="K148" s="1898"/>
      <c r="L148" s="1898"/>
      <c r="M148" s="1898"/>
      <c r="N148" s="1898"/>
      <c r="O148" s="1898"/>
      <c r="P148" s="1898"/>
      <c r="Q148" s="1898"/>
      <c r="R148" s="1898"/>
      <c r="S148" s="1898"/>
      <c r="T148" s="1898"/>
      <c r="U148" s="1899"/>
    </row>
    <row r="149" spans="2:21" s="939" customFormat="1" x14ac:dyDescent="0.3">
      <c r="B149" s="946"/>
      <c r="C149" s="945"/>
      <c r="D149" s="1897"/>
      <c r="E149" s="1898"/>
      <c r="F149" s="1898"/>
      <c r="G149" s="1898"/>
      <c r="H149" s="1898"/>
      <c r="I149" s="1898"/>
      <c r="J149" s="1898"/>
      <c r="K149" s="1898"/>
      <c r="L149" s="1898"/>
      <c r="M149" s="1898"/>
      <c r="N149" s="1898"/>
      <c r="O149" s="1898"/>
      <c r="P149" s="1898"/>
      <c r="Q149" s="1898"/>
      <c r="R149" s="1898"/>
      <c r="S149" s="1898"/>
      <c r="T149" s="1898"/>
      <c r="U149" s="1899"/>
    </row>
    <row r="150" spans="2:21" s="939" customFormat="1" x14ac:dyDescent="0.3">
      <c r="B150" s="946">
        <v>7</v>
      </c>
      <c r="C150" s="945" t="s">
        <v>1337</v>
      </c>
      <c r="D150" s="1897"/>
      <c r="E150" s="1898"/>
      <c r="F150" s="1898"/>
      <c r="G150" s="1898"/>
      <c r="H150" s="1898"/>
      <c r="I150" s="1898"/>
      <c r="J150" s="1898"/>
      <c r="K150" s="1898"/>
      <c r="L150" s="1898"/>
      <c r="M150" s="1898"/>
      <c r="N150" s="1898"/>
      <c r="O150" s="1898"/>
      <c r="P150" s="1898"/>
      <c r="Q150" s="1898"/>
      <c r="R150" s="1898"/>
      <c r="S150" s="1898"/>
      <c r="T150" s="1898"/>
      <c r="U150" s="1899"/>
    </row>
    <row r="151" spans="2:21" s="939" customFormat="1" ht="18" customHeight="1" x14ac:dyDescent="0.3">
      <c r="B151" s="952">
        <v>7.1</v>
      </c>
      <c r="C151" s="942" t="s">
        <v>1338</v>
      </c>
      <c r="D151" s="1897"/>
      <c r="E151" s="1898"/>
      <c r="F151" s="1898"/>
      <c r="G151" s="1898"/>
      <c r="H151" s="1898"/>
      <c r="I151" s="1898"/>
      <c r="J151" s="1898"/>
      <c r="K151" s="1898"/>
      <c r="L151" s="1898"/>
      <c r="M151" s="1898"/>
      <c r="N151" s="1898"/>
      <c r="O151" s="1898"/>
      <c r="P151" s="1898"/>
      <c r="Q151" s="1898"/>
      <c r="R151" s="1898"/>
      <c r="S151" s="1898"/>
      <c r="T151" s="1898"/>
      <c r="U151" s="1899"/>
    </row>
    <row r="152" spans="2:21" x14ac:dyDescent="0.3">
      <c r="B152" s="952">
        <v>7.2</v>
      </c>
      <c r="C152" s="948" t="s">
        <v>1339</v>
      </c>
      <c r="D152" s="1897"/>
      <c r="E152" s="1898"/>
      <c r="F152" s="1898"/>
      <c r="G152" s="1898"/>
      <c r="H152" s="1898"/>
      <c r="I152" s="1898"/>
      <c r="J152" s="1898"/>
      <c r="K152" s="1898"/>
      <c r="L152" s="1898"/>
      <c r="M152" s="1898"/>
      <c r="N152" s="1898"/>
      <c r="O152" s="1898"/>
      <c r="P152" s="1898"/>
      <c r="Q152" s="1898"/>
      <c r="R152" s="1898"/>
      <c r="S152" s="1898"/>
      <c r="T152" s="1898"/>
      <c r="U152" s="1899"/>
    </row>
    <row r="153" spans="2:21" x14ac:dyDescent="0.3">
      <c r="B153" s="952"/>
      <c r="C153" s="948"/>
      <c r="D153" s="1897"/>
      <c r="E153" s="1898"/>
      <c r="F153" s="1898"/>
      <c r="G153" s="1898"/>
      <c r="H153" s="1898"/>
      <c r="I153" s="1898"/>
      <c r="J153" s="1898"/>
      <c r="K153" s="1898"/>
      <c r="L153" s="1898"/>
      <c r="M153" s="1898"/>
      <c r="N153" s="1898"/>
      <c r="O153" s="1898"/>
      <c r="P153" s="1898"/>
      <c r="Q153" s="1898"/>
      <c r="R153" s="1898"/>
      <c r="S153" s="1898"/>
      <c r="T153" s="1898"/>
      <c r="U153" s="1899"/>
    </row>
    <row r="154" spans="2:21" s="939" customFormat="1" x14ac:dyDescent="0.3">
      <c r="B154" s="946">
        <v>8</v>
      </c>
      <c r="C154" s="945" t="s">
        <v>1340</v>
      </c>
      <c r="D154" s="1900"/>
      <c r="E154" s="1901"/>
      <c r="F154" s="1901"/>
      <c r="G154" s="1901"/>
      <c r="H154" s="1901"/>
      <c r="I154" s="1901"/>
      <c r="J154" s="1901"/>
      <c r="K154" s="1901"/>
      <c r="L154" s="1901"/>
      <c r="M154" s="1901"/>
      <c r="N154" s="1901"/>
      <c r="O154" s="1901"/>
      <c r="P154" s="1901"/>
      <c r="Q154" s="1901"/>
      <c r="R154" s="1901"/>
      <c r="S154" s="1901"/>
      <c r="T154" s="1901"/>
      <c r="U154" s="1902"/>
    </row>
    <row r="155" spans="2:21" x14ac:dyDescent="0.3">
      <c r="L155" s="957"/>
    </row>
  </sheetData>
  <mergeCells count="11">
    <mergeCell ref="D10:U154"/>
    <mergeCell ref="B6:B9"/>
    <mergeCell ref="C6:C9"/>
    <mergeCell ref="D6:S6"/>
    <mergeCell ref="T6:T8"/>
    <mergeCell ref="U6:U9"/>
    <mergeCell ref="D7:G7"/>
    <mergeCell ref="H7:J7"/>
    <mergeCell ref="K7:M7"/>
    <mergeCell ref="N7:P7"/>
    <mergeCell ref="Q7:S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N76"/>
  <sheetViews>
    <sheetView showGridLines="0" view="pageBreakPreview" zoomScale="80" zoomScaleNormal="60" zoomScaleSheetLayoutView="80" workbookViewId="0">
      <selection activeCell="H3" sqref="H3"/>
    </sheetView>
  </sheetViews>
  <sheetFormatPr defaultColWidth="9.08984375" defaultRowHeight="14" x14ac:dyDescent="0.3"/>
  <cols>
    <col min="1" max="1" width="4.6328125" style="958" customWidth="1"/>
    <col min="2" max="2" width="9.08984375" style="958" customWidth="1"/>
    <col min="3" max="12" width="16.54296875" style="958" customWidth="1"/>
    <col min="13" max="13" width="16.54296875" style="960" customWidth="1"/>
    <col min="14" max="14" width="23.08984375" style="958" customWidth="1"/>
    <col min="15" max="256" width="9.08984375" style="958"/>
    <col min="257" max="257" width="4.6328125" style="958" customWidth="1"/>
    <col min="258" max="258" width="10.54296875" style="958" customWidth="1"/>
    <col min="259" max="259" width="49.08984375" style="958" customWidth="1"/>
    <col min="260" max="260" width="68.54296875" style="958" customWidth="1"/>
    <col min="261" max="261" width="35.453125" style="958" customWidth="1"/>
    <col min="262" max="262" width="21" style="958" customWidth="1"/>
    <col min="263" max="263" width="28.453125" style="958" customWidth="1"/>
    <col min="264" max="264" width="30.6328125" style="958" customWidth="1"/>
    <col min="265" max="265" width="29.54296875" style="958" customWidth="1"/>
    <col min="266" max="266" width="33.54296875" style="958" customWidth="1"/>
    <col min="267" max="267" width="26.54296875" style="958" customWidth="1"/>
    <col min="268" max="268" width="31.54296875" style="958" customWidth="1"/>
    <col min="269" max="269" width="34.36328125" style="958" customWidth="1"/>
    <col min="270" max="270" width="45.08984375" style="958" customWidth="1"/>
    <col min="271" max="512" width="9.08984375" style="958"/>
    <col min="513" max="513" width="4.6328125" style="958" customWidth="1"/>
    <col min="514" max="514" width="10.54296875" style="958" customWidth="1"/>
    <col min="515" max="515" width="49.08984375" style="958" customWidth="1"/>
    <col min="516" max="516" width="68.54296875" style="958" customWidth="1"/>
    <col min="517" max="517" width="35.453125" style="958" customWidth="1"/>
    <col min="518" max="518" width="21" style="958" customWidth="1"/>
    <col min="519" max="519" width="28.453125" style="958" customWidth="1"/>
    <col min="520" max="520" width="30.6328125" style="958" customWidth="1"/>
    <col min="521" max="521" width="29.54296875" style="958" customWidth="1"/>
    <col min="522" max="522" width="33.54296875" style="958" customWidth="1"/>
    <col min="523" max="523" width="26.54296875" style="958" customWidth="1"/>
    <col min="524" max="524" width="31.54296875" style="958" customWidth="1"/>
    <col min="525" max="525" width="34.36328125" style="958" customWidth="1"/>
    <col min="526" max="526" width="45.08984375" style="958" customWidth="1"/>
    <col min="527" max="768" width="9.08984375" style="958"/>
    <col min="769" max="769" width="4.6328125" style="958" customWidth="1"/>
    <col min="770" max="770" width="10.54296875" style="958" customWidth="1"/>
    <col min="771" max="771" width="49.08984375" style="958" customWidth="1"/>
    <col min="772" max="772" width="68.54296875" style="958" customWidth="1"/>
    <col min="773" max="773" width="35.453125" style="958" customWidth="1"/>
    <col min="774" max="774" width="21" style="958" customWidth="1"/>
    <col min="775" max="775" width="28.453125" style="958" customWidth="1"/>
    <col min="776" max="776" width="30.6328125" style="958" customWidth="1"/>
    <col min="777" max="777" width="29.54296875" style="958" customWidth="1"/>
    <col min="778" max="778" width="33.54296875" style="958" customWidth="1"/>
    <col min="779" max="779" width="26.54296875" style="958" customWidth="1"/>
    <col min="780" max="780" width="31.54296875" style="958" customWidth="1"/>
    <col min="781" max="781" width="34.36328125" style="958" customWidth="1"/>
    <col min="782" max="782" width="45.08984375" style="958" customWidth="1"/>
    <col min="783" max="1024" width="9.08984375" style="958"/>
    <col min="1025" max="1025" width="4.6328125" style="958" customWidth="1"/>
    <col min="1026" max="1026" width="10.54296875" style="958" customWidth="1"/>
    <col min="1027" max="1027" width="49.08984375" style="958" customWidth="1"/>
    <col min="1028" max="1028" width="68.54296875" style="958" customWidth="1"/>
    <col min="1029" max="1029" width="35.453125" style="958" customWidth="1"/>
    <col min="1030" max="1030" width="21" style="958" customWidth="1"/>
    <col min="1031" max="1031" width="28.453125" style="958" customWidth="1"/>
    <col min="1032" max="1032" width="30.6328125" style="958" customWidth="1"/>
    <col min="1033" max="1033" width="29.54296875" style="958" customWidth="1"/>
    <col min="1034" max="1034" width="33.54296875" style="958" customWidth="1"/>
    <col min="1035" max="1035" width="26.54296875" style="958" customWidth="1"/>
    <col min="1036" max="1036" width="31.54296875" style="958" customWidth="1"/>
    <col min="1037" max="1037" width="34.36328125" style="958" customWidth="1"/>
    <col min="1038" max="1038" width="45.08984375" style="958" customWidth="1"/>
    <col min="1039" max="1280" width="9.08984375" style="958"/>
    <col min="1281" max="1281" width="4.6328125" style="958" customWidth="1"/>
    <col min="1282" max="1282" width="10.54296875" style="958" customWidth="1"/>
    <col min="1283" max="1283" width="49.08984375" style="958" customWidth="1"/>
    <col min="1284" max="1284" width="68.54296875" style="958" customWidth="1"/>
    <col min="1285" max="1285" width="35.453125" style="958" customWidth="1"/>
    <col min="1286" max="1286" width="21" style="958" customWidth="1"/>
    <col min="1287" max="1287" width="28.453125" style="958" customWidth="1"/>
    <col min="1288" max="1288" width="30.6328125" style="958" customWidth="1"/>
    <col min="1289" max="1289" width="29.54296875" style="958" customWidth="1"/>
    <col min="1290" max="1290" width="33.54296875" style="958" customWidth="1"/>
    <col min="1291" max="1291" width="26.54296875" style="958" customWidth="1"/>
    <col min="1292" max="1292" width="31.54296875" style="958" customWidth="1"/>
    <col min="1293" max="1293" width="34.36328125" style="958" customWidth="1"/>
    <col min="1294" max="1294" width="45.08984375" style="958" customWidth="1"/>
    <col min="1295" max="1536" width="9.08984375" style="958"/>
    <col min="1537" max="1537" width="4.6328125" style="958" customWidth="1"/>
    <col min="1538" max="1538" width="10.54296875" style="958" customWidth="1"/>
    <col min="1539" max="1539" width="49.08984375" style="958" customWidth="1"/>
    <col min="1540" max="1540" width="68.54296875" style="958" customWidth="1"/>
    <col min="1541" max="1541" width="35.453125" style="958" customWidth="1"/>
    <col min="1542" max="1542" width="21" style="958" customWidth="1"/>
    <col min="1543" max="1543" width="28.453125" style="958" customWidth="1"/>
    <col min="1544" max="1544" width="30.6328125" style="958" customWidth="1"/>
    <col min="1545" max="1545" width="29.54296875" style="958" customWidth="1"/>
    <col min="1546" max="1546" width="33.54296875" style="958" customWidth="1"/>
    <col min="1547" max="1547" width="26.54296875" style="958" customWidth="1"/>
    <col min="1548" max="1548" width="31.54296875" style="958" customWidth="1"/>
    <col min="1549" max="1549" width="34.36328125" style="958" customWidth="1"/>
    <col min="1550" max="1550" width="45.08984375" style="958" customWidth="1"/>
    <col min="1551" max="1792" width="9.08984375" style="958"/>
    <col min="1793" max="1793" width="4.6328125" style="958" customWidth="1"/>
    <col min="1794" max="1794" width="10.54296875" style="958" customWidth="1"/>
    <col min="1795" max="1795" width="49.08984375" style="958" customWidth="1"/>
    <col min="1796" max="1796" width="68.54296875" style="958" customWidth="1"/>
    <col min="1797" max="1797" width="35.453125" style="958" customWidth="1"/>
    <col min="1798" max="1798" width="21" style="958" customWidth="1"/>
    <col min="1799" max="1799" width="28.453125" style="958" customWidth="1"/>
    <col min="1800" max="1800" width="30.6328125" style="958" customWidth="1"/>
    <col min="1801" max="1801" width="29.54296875" style="958" customWidth="1"/>
    <col min="1802" max="1802" width="33.54296875" style="958" customWidth="1"/>
    <col min="1803" max="1803" width="26.54296875" style="958" customWidth="1"/>
    <col min="1804" max="1804" width="31.54296875" style="958" customWidth="1"/>
    <col min="1805" max="1805" width="34.36328125" style="958" customWidth="1"/>
    <col min="1806" max="1806" width="45.08984375" style="958" customWidth="1"/>
    <col min="1807" max="2048" width="9.08984375" style="958"/>
    <col min="2049" max="2049" width="4.6328125" style="958" customWidth="1"/>
    <col min="2050" max="2050" width="10.54296875" style="958" customWidth="1"/>
    <col min="2051" max="2051" width="49.08984375" style="958" customWidth="1"/>
    <col min="2052" max="2052" width="68.54296875" style="958" customWidth="1"/>
    <col min="2053" max="2053" width="35.453125" style="958" customWidth="1"/>
    <col min="2054" max="2054" width="21" style="958" customWidth="1"/>
    <col min="2055" max="2055" width="28.453125" style="958" customWidth="1"/>
    <col min="2056" max="2056" width="30.6328125" style="958" customWidth="1"/>
    <col min="2057" max="2057" width="29.54296875" style="958" customWidth="1"/>
    <col min="2058" max="2058" width="33.54296875" style="958" customWidth="1"/>
    <col min="2059" max="2059" width="26.54296875" style="958" customWidth="1"/>
    <col min="2060" max="2060" width="31.54296875" style="958" customWidth="1"/>
    <col min="2061" max="2061" width="34.36328125" style="958" customWidth="1"/>
    <col min="2062" max="2062" width="45.08984375" style="958" customWidth="1"/>
    <col min="2063" max="2304" width="9.08984375" style="958"/>
    <col min="2305" max="2305" width="4.6328125" style="958" customWidth="1"/>
    <col min="2306" max="2306" width="10.54296875" style="958" customWidth="1"/>
    <col min="2307" max="2307" width="49.08984375" style="958" customWidth="1"/>
    <col min="2308" max="2308" width="68.54296875" style="958" customWidth="1"/>
    <col min="2309" max="2309" width="35.453125" style="958" customWidth="1"/>
    <col min="2310" max="2310" width="21" style="958" customWidth="1"/>
    <col min="2311" max="2311" width="28.453125" style="958" customWidth="1"/>
    <col min="2312" max="2312" width="30.6328125" style="958" customWidth="1"/>
    <col min="2313" max="2313" width="29.54296875" style="958" customWidth="1"/>
    <col min="2314" max="2314" width="33.54296875" style="958" customWidth="1"/>
    <col min="2315" max="2315" width="26.54296875" style="958" customWidth="1"/>
    <col min="2316" max="2316" width="31.54296875" style="958" customWidth="1"/>
    <col min="2317" max="2317" width="34.36328125" style="958" customWidth="1"/>
    <col min="2318" max="2318" width="45.08984375" style="958" customWidth="1"/>
    <col min="2319" max="2560" width="9.08984375" style="958"/>
    <col min="2561" max="2561" width="4.6328125" style="958" customWidth="1"/>
    <col min="2562" max="2562" width="10.54296875" style="958" customWidth="1"/>
    <col min="2563" max="2563" width="49.08984375" style="958" customWidth="1"/>
    <col min="2564" max="2564" width="68.54296875" style="958" customWidth="1"/>
    <col min="2565" max="2565" width="35.453125" style="958" customWidth="1"/>
    <col min="2566" max="2566" width="21" style="958" customWidth="1"/>
    <col min="2567" max="2567" width="28.453125" style="958" customWidth="1"/>
    <col min="2568" max="2568" width="30.6328125" style="958" customWidth="1"/>
    <col min="2569" max="2569" width="29.54296875" style="958" customWidth="1"/>
    <col min="2570" max="2570" width="33.54296875" style="958" customWidth="1"/>
    <col min="2571" max="2571" width="26.54296875" style="958" customWidth="1"/>
    <col min="2572" max="2572" width="31.54296875" style="958" customWidth="1"/>
    <col min="2573" max="2573" width="34.36328125" style="958" customWidth="1"/>
    <col min="2574" max="2574" width="45.08984375" style="958" customWidth="1"/>
    <col min="2575" max="2816" width="9.08984375" style="958"/>
    <col min="2817" max="2817" width="4.6328125" style="958" customWidth="1"/>
    <col min="2818" max="2818" width="10.54296875" style="958" customWidth="1"/>
    <col min="2819" max="2819" width="49.08984375" style="958" customWidth="1"/>
    <col min="2820" max="2820" width="68.54296875" style="958" customWidth="1"/>
    <col min="2821" max="2821" width="35.453125" style="958" customWidth="1"/>
    <col min="2822" max="2822" width="21" style="958" customWidth="1"/>
    <col min="2823" max="2823" width="28.453125" style="958" customWidth="1"/>
    <col min="2824" max="2824" width="30.6328125" style="958" customWidth="1"/>
    <col min="2825" max="2825" width="29.54296875" style="958" customWidth="1"/>
    <col min="2826" max="2826" width="33.54296875" style="958" customWidth="1"/>
    <col min="2827" max="2827" width="26.54296875" style="958" customWidth="1"/>
    <col min="2828" max="2828" width="31.54296875" style="958" customWidth="1"/>
    <col min="2829" max="2829" width="34.36328125" style="958" customWidth="1"/>
    <col min="2830" max="2830" width="45.08984375" style="958" customWidth="1"/>
    <col min="2831" max="3072" width="9.08984375" style="958"/>
    <col min="3073" max="3073" width="4.6328125" style="958" customWidth="1"/>
    <col min="3074" max="3074" width="10.54296875" style="958" customWidth="1"/>
    <col min="3075" max="3075" width="49.08984375" style="958" customWidth="1"/>
    <col min="3076" max="3076" width="68.54296875" style="958" customWidth="1"/>
    <col min="3077" max="3077" width="35.453125" style="958" customWidth="1"/>
    <col min="3078" max="3078" width="21" style="958" customWidth="1"/>
    <col min="3079" max="3079" width="28.453125" style="958" customWidth="1"/>
    <col min="3080" max="3080" width="30.6328125" style="958" customWidth="1"/>
    <col min="3081" max="3081" width="29.54296875" style="958" customWidth="1"/>
    <col min="3082" max="3082" width="33.54296875" style="958" customWidth="1"/>
    <col min="3083" max="3083" width="26.54296875" style="958" customWidth="1"/>
    <col min="3084" max="3084" width="31.54296875" style="958" customWidth="1"/>
    <col min="3085" max="3085" width="34.36328125" style="958" customWidth="1"/>
    <col min="3086" max="3086" width="45.08984375" style="958" customWidth="1"/>
    <col min="3087" max="3328" width="9.08984375" style="958"/>
    <col min="3329" max="3329" width="4.6328125" style="958" customWidth="1"/>
    <col min="3330" max="3330" width="10.54296875" style="958" customWidth="1"/>
    <col min="3331" max="3331" width="49.08984375" style="958" customWidth="1"/>
    <col min="3332" max="3332" width="68.54296875" style="958" customWidth="1"/>
    <col min="3333" max="3333" width="35.453125" style="958" customWidth="1"/>
    <col min="3334" max="3334" width="21" style="958" customWidth="1"/>
    <col min="3335" max="3335" width="28.453125" style="958" customWidth="1"/>
    <col min="3336" max="3336" width="30.6328125" style="958" customWidth="1"/>
    <col min="3337" max="3337" width="29.54296875" style="958" customWidth="1"/>
    <col min="3338" max="3338" width="33.54296875" style="958" customWidth="1"/>
    <col min="3339" max="3339" width="26.54296875" style="958" customWidth="1"/>
    <col min="3340" max="3340" width="31.54296875" style="958" customWidth="1"/>
    <col min="3341" max="3341" width="34.36328125" style="958" customWidth="1"/>
    <col min="3342" max="3342" width="45.08984375" style="958" customWidth="1"/>
    <col min="3343" max="3584" width="9.08984375" style="958"/>
    <col min="3585" max="3585" width="4.6328125" style="958" customWidth="1"/>
    <col min="3586" max="3586" width="10.54296875" style="958" customWidth="1"/>
    <col min="3587" max="3587" width="49.08984375" style="958" customWidth="1"/>
    <col min="3588" max="3588" width="68.54296875" style="958" customWidth="1"/>
    <col min="3589" max="3589" width="35.453125" style="958" customWidth="1"/>
    <col min="3590" max="3590" width="21" style="958" customWidth="1"/>
    <col min="3591" max="3591" width="28.453125" style="958" customWidth="1"/>
    <col min="3592" max="3592" width="30.6328125" style="958" customWidth="1"/>
    <col min="3593" max="3593" width="29.54296875" style="958" customWidth="1"/>
    <col min="3594" max="3594" width="33.54296875" style="958" customWidth="1"/>
    <col min="3595" max="3595" width="26.54296875" style="958" customWidth="1"/>
    <col min="3596" max="3596" width="31.54296875" style="958" customWidth="1"/>
    <col min="3597" max="3597" width="34.36328125" style="958" customWidth="1"/>
    <col min="3598" max="3598" width="45.08984375" style="958" customWidth="1"/>
    <col min="3599" max="3840" width="9.08984375" style="958"/>
    <col min="3841" max="3841" width="4.6328125" style="958" customWidth="1"/>
    <col min="3842" max="3842" width="10.54296875" style="958" customWidth="1"/>
    <col min="3843" max="3843" width="49.08984375" style="958" customWidth="1"/>
    <col min="3844" max="3844" width="68.54296875" style="958" customWidth="1"/>
    <col min="3845" max="3845" width="35.453125" style="958" customWidth="1"/>
    <col min="3846" max="3846" width="21" style="958" customWidth="1"/>
    <col min="3847" max="3847" width="28.453125" style="958" customWidth="1"/>
    <col min="3848" max="3848" width="30.6328125" style="958" customWidth="1"/>
    <col min="3849" max="3849" width="29.54296875" style="958" customWidth="1"/>
    <col min="3850" max="3850" width="33.54296875" style="958" customWidth="1"/>
    <col min="3851" max="3851" width="26.54296875" style="958" customWidth="1"/>
    <col min="3852" max="3852" width="31.54296875" style="958" customWidth="1"/>
    <col min="3853" max="3853" width="34.36328125" style="958" customWidth="1"/>
    <col min="3854" max="3854" width="45.08984375" style="958" customWidth="1"/>
    <col min="3855" max="4096" width="9.08984375" style="958"/>
    <col min="4097" max="4097" width="4.6328125" style="958" customWidth="1"/>
    <col min="4098" max="4098" width="10.54296875" style="958" customWidth="1"/>
    <col min="4099" max="4099" width="49.08984375" style="958" customWidth="1"/>
    <col min="4100" max="4100" width="68.54296875" style="958" customWidth="1"/>
    <col min="4101" max="4101" width="35.453125" style="958" customWidth="1"/>
    <col min="4102" max="4102" width="21" style="958" customWidth="1"/>
    <col min="4103" max="4103" width="28.453125" style="958" customWidth="1"/>
    <col min="4104" max="4104" width="30.6328125" style="958" customWidth="1"/>
    <col min="4105" max="4105" width="29.54296875" style="958" customWidth="1"/>
    <col min="4106" max="4106" width="33.54296875" style="958" customWidth="1"/>
    <col min="4107" max="4107" width="26.54296875" style="958" customWidth="1"/>
    <col min="4108" max="4108" width="31.54296875" style="958" customWidth="1"/>
    <col min="4109" max="4109" width="34.36328125" style="958" customWidth="1"/>
    <col min="4110" max="4110" width="45.08984375" style="958" customWidth="1"/>
    <col min="4111" max="4352" width="9.08984375" style="958"/>
    <col min="4353" max="4353" width="4.6328125" style="958" customWidth="1"/>
    <col min="4354" max="4354" width="10.54296875" style="958" customWidth="1"/>
    <col min="4355" max="4355" width="49.08984375" style="958" customWidth="1"/>
    <col min="4356" max="4356" width="68.54296875" style="958" customWidth="1"/>
    <col min="4357" max="4357" width="35.453125" style="958" customWidth="1"/>
    <col min="4358" max="4358" width="21" style="958" customWidth="1"/>
    <col min="4359" max="4359" width="28.453125" style="958" customWidth="1"/>
    <col min="4360" max="4360" width="30.6328125" style="958" customWidth="1"/>
    <col min="4361" max="4361" width="29.54296875" style="958" customWidth="1"/>
    <col min="4362" max="4362" width="33.54296875" style="958" customWidth="1"/>
    <col min="4363" max="4363" width="26.54296875" style="958" customWidth="1"/>
    <col min="4364" max="4364" width="31.54296875" style="958" customWidth="1"/>
    <col min="4365" max="4365" width="34.36328125" style="958" customWidth="1"/>
    <col min="4366" max="4366" width="45.08984375" style="958" customWidth="1"/>
    <col min="4367" max="4608" width="9.08984375" style="958"/>
    <col min="4609" max="4609" width="4.6328125" style="958" customWidth="1"/>
    <col min="4610" max="4610" width="10.54296875" style="958" customWidth="1"/>
    <col min="4611" max="4611" width="49.08984375" style="958" customWidth="1"/>
    <col min="4612" max="4612" width="68.54296875" style="958" customWidth="1"/>
    <col min="4613" max="4613" width="35.453125" style="958" customWidth="1"/>
    <col min="4614" max="4614" width="21" style="958" customWidth="1"/>
    <col min="4615" max="4615" width="28.453125" style="958" customWidth="1"/>
    <col min="4616" max="4616" width="30.6328125" style="958" customWidth="1"/>
    <col min="4617" max="4617" width="29.54296875" style="958" customWidth="1"/>
    <col min="4618" max="4618" width="33.54296875" style="958" customWidth="1"/>
    <col min="4619" max="4619" width="26.54296875" style="958" customWidth="1"/>
    <col min="4620" max="4620" width="31.54296875" style="958" customWidth="1"/>
    <col min="4621" max="4621" width="34.36328125" style="958" customWidth="1"/>
    <col min="4622" max="4622" width="45.08984375" style="958" customWidth="1"/>
    <col min="4623" max="4864" width="9.08984375" style="958"/>
    <col min="4865" max="4865" width="4.6328125" style="958" customWidth="1"/>
    <col min="4866" max="4866" width="10.54296875" style="958" customWidth="1"/>
    <col min="4867" max="4867" width="49.08984375" style="958" customWidth="1"/>
    <col min="4868" max="4868" width="68.54296875" style="958" customWidth="1"/>
    <col min="4869" max="4869" width="35.453125" style="958" customWidth="1"/>
    <col min="4870" max="4870" width="21" style="958" customWidth="1"/>
    <col min="4871" max="4871" width="28.453125" style="958" customWidth="1"/>
    <col min="4872" max="4872" width="30.6328125" style="958" customWidth="1"/>
    <col min="4873" max="4873" width="29.54296875" style="958" customWidth="1"/>
    <col min="4874" max="4874" width="33.54296875" style="958" customWidth="1"/>
    <col min="4875" max="4875" width="26.54296875" style="958" customWidth="1"/>
    <col min="4876" max="4876" width="31.54296875" style="958" customWidth="1"/>
    <col min="4877" max="4877" width="34.36328125" style="958" customWidth="1"/>
    <col min="4878" max="4878" width="45.08984375" style="958" customWidth="1"/>
    <col min="4879" max="5120" width="9.08984375" style="958"/>
    <col min="5121" max="5121" width="4.6328125" style="958" customWidth="1"/>
    <col min="5122" max="5122" width="10.54296875" style="958" customWidth="1"/>
    <col min="5123" max="5123" width="49.08984375" style="958" customWidth="1"/>
    <col min="5124" max="5124" width="68.54296875" style="958" customWidth="1"/>
    <col min="5125" max="5125" width="35.453125" style="958" customWidth="1"/>
    <col min="5126" max="5126" width="21" style="958" customWidth="1"/>
    <col min="5127" max="5127" width="28.453125" style="958" customWidth="1"/>
    <col min="5128" max="5128" width="30.6328125" style="958" customWidth="1"/>
    <col min="5129" max="5129" width="29.54296875" style="958" customWidth="1"/>
    <col min="5130" max="5130" width="33.54296875" style="958" customWidth="1"/>
    <col min="5131" max="5131" width="26.54296875" style="958" customWidth="1"/>
    <col min="5132" max="5132" width="31.54296875" style="958" customWidth="1"/>
    <col min="5133" max="5133" width="34.36328125" style="958" customWidth="1"/>
    <col min="5134" max="5134" width="45.08984375" style="958" customWidth="1"/>
    <col min="5135" max="5376" width="9.08984375" style="958"/>
    <col min="5377" max="5377" width="4.6328125" style="958" customWidth="1"/>
    <col min="5378" max="5378" width="10.54296875" style="958" customWidth="1"/>
    <col min="5379" max="5379" width="49.08984375" style="958" customWidth="1"/>
    <col min="5380" max="5380" width="68.54296875" style="958" customWidth="1"/>
    <col min="5381" max="5381" width="35.453125" style="958" customWidth="1"/>
    <col min="5382" max="5382" width="21" style="958" customWidth="1"/>
    <col min="5383" max="5383" width="28.453125" style="958" customWidth="1"/>
    <col min="5384" max="5384" width="30.6328125" style="958" customWidth="1"/>
    <col min="5385" max="5385" width="29.54296875" style="958" customWidth="1"/>
    <col min="5386" max="5386" width="33.54296875" style="958" customWidth="1"/>
    <col min="5387" max="5387" width="26.54296875" style="958" customWidth="1"/>
    <col min="5388" max="5388" width="31.54296875" style="958" customWidth="1"/>
    <col min="5389" max="5389" width="34.36328125" style="958" customWidth="1"/>
    <col min="5390" max="5390" width="45.08984375" style="958" customWidth="1"/>
    <col min="5391" max="5632" width="9.08984375" style="958"/>
    <col min="5633" max="5633" width="4.6328125" style="958" customWidth="1"/>
    <col min="5634" max="5634" width="10.54296875" style="958" customWidth="1"/>
    <col min="5635" max="5635" width="49.08984375" style="958" customWidth="1"/>
    <col min="5636" max="5636" width="68.54296875" style="958" customWidth="1"/>
    <col min="5637" max="5637" width="35.453125" style="958" customWidth="1"/>
    <col min="5638" max="5638" width="21" style="958" customWidth="1"/>
    <col min="5639" max="5639" width="28.453125" style="958" customWidth="1"/>
    <col min="5640" max="5640" width="30.6328125" style="958" customWidth="1"/>
    <col min="5641" max="5641" width="29.54296875" style="958" customWidth="1"/>
    <col min="5642" max="5642" width="33.54296875" style="958" customWidth="1"/>
    <col min="5643" max="5643" width="26.54296875" style="958" customWidth="1"/>
    <col min="5644" max="5644" width="31.54296875" style="958" customWidth="1"/>
    <col min="5645" max="5645" width="34.36328125" style="958" customWidth="1"/>
    <col min="5646" max="5646" width="45.08984375" style="958" customWidth="1"/>
    <col min="5647" max="5888" width="9.08984375" style="958"/>
    <col min="5889" max="5889" width="4.6328125" style="958" customWidth="1"/>
    <col min="5890" max="5890" width="10.54296875" style="958" customWidth="1"/>
    <col min="5891" max="5891" width="49.08984375" style="958" customWidth="1"/>
    <col min="5892" max="5892" width="68.54296875" style="958" customWidth="1"/>
    <col min="5893" max="5893" width="35.453125" style="958" customWidth="1"/>
    <col min="5894" max="5894" width="21" style="958" customWidth="1"/>
    <col min="5895" max="5895" width="28.453125" style="958" customWidth="1"/>
    <col min="5896" max="5896" width="30.6328125" style="958" customWidth="1"/>
    <col min="5897" max="5897" width="29.54296875" style="958" customWidth="1"/>
    <col min="5898" max="5898" width="33.54296875" style="958" customWidth="1"/>
    <col min="5899" max="5899" width="26.54296875" style="958" customWidth="1"/>
    <col min="5900" max="5900" width="31.54296875" style="958" customWidth="1"/>
    <col min="5901" max="5901" width="34.36328125" style="958" customWidth="1"/>
    <col min="5902" max="5902" width="45.08984375" style="958" customWidth="1"/>
    <col min="5903" max="6144" width="9.08984375" style="958"/>
    <col min="6145" max="6145" width="4.6328125" style="958" customWidth="1"/>
    <col min="6146" max="6146" width="10.54296875" style="958" customWidth="1"/>
    <col min="6147" max="6147" width="49.08984375" style="958" customWidth="1"/>
    <col min="6148" max="6148" width="68.54296875" style="958" customWidth="1"/>
    <col min="6149" max="6149" width="35.453125" style="958" customWidth="1"/>
    <col min="6150" max="6150" width="21" style="958" customWidth="1"/>
    <col min="6151" max="6151" width="28.453125" style="958" customWidth="1"/>
    <col min="6152" max="6152" width="30.6328125" style="958" customWidth="1"/>
    <col min="6153" max="6153" width="29.54296875" style="958" customWidth="1"/>
    <col min="6154" max="6154" width="33.54296875" style="958" customWidth="1"/>
    <col min="6155" max="6155" width="26.54296875" style="958" customWidth="1"/>
    <col min="6156" max="6156" width="31.54296875" style="958" customWidth="1"/>
    <col min="6157" max="6157" width="34.36328125" style="958" customWidth="1"/>
    <col min="6158" max="6158" width="45.08984375" style="958" customWidth="1"/>
    <col min="6159" max="6400" width="9.08984375" style="958"/>
    <col min="6401" max="6401" width="4.6328125" style="958" customWidth="1"/>
    <col min="6402" max="6402" width="10.54296875" style="958" customWidth="1"/>
    <col min="6403" max="6403" width="49.08984375" style="958" customWidth="1"/>
    <col min="6404" max="6404" width="68.54296875" style="958" customWidth="1"/>
    <col min="6405" max="6405" width="35.453125" style="958" customWidth="1"/>
    <col min="6406" max="6406" width="21" style="958" customWidth="1"/>
    <col min="6407" max="6407" width="28.453125" style="958" customWidth="1"/>
    <col min="6408" max="6408" width="30.6328125" style="958" customWidth="1"/>
    <col min="6409" max="6409" width="29.54296875" style="958" customWidth="1"/>
    <col min="6410" max="6410" width="33.54296875" style="958" customWidth="1"/>
    <col min="6411" max="6411" width="26.54296875" style="958" customWidth="1"/>
    <col min="6412" max="6412" width="31.54296875" style="958" customWidth="1"/>
    <col min="6413" max="6413" width="34.36328125" style="958" customWidth="1"/>
    <col min="6414" max="6414" width="45.08984375" style="958" customWidth="1"/>
    <col min="6415" max="6656" width="9.08984375" style="958"/>
    <col min="6657" max="6657" width="4.6328125" style="958" customWidth="1"/>
    <col min="6658" max="6658" width="10.54296875" style="958" customWidth="1"/>
    <col min="6659" max="6659" width="49.08984375" style="958" customWidth="1"/>
    <col min="6660" max="6660" width="68.54296875" style="958" customWidth="1"/>
    <col min="6661" max="6661" width="35.453125" style="958" customWidth="1"/>
    <col min="6662" max="6662" width="21" style="958" customWidth="1"/>
    <col min="6663" max="6663" width="28.453125" style="958" customWidth="1"/>
    <col min="6664" max="6664" width="30.6328125" style="958" customWidth="1"/>
    <col min="6665" max="6665" width="29.54296875" style="958" customWidth="1"/>
    <col min="6666" max="6666" width="33.54296875" style="958" customWidth="1"/>
    <col min="6667" max="6667" width="26.54296875" style="958" customWidth="1"/>
    <col min="6668" max="6668" width="31.54296875" style="958" customWidth="1"/>
    <col min="6669" max="6669" width="34.36328125" style="958" customWidth="1"/>
    <col min="6670" max="6670" width="45.08984375" style="958" customWidth="1"/>
    <col min="6671" max="6912" width="9.08984375" style="958"/>
    <col min="6913" max="6913" width="4.6328125" style="958" customWidth="1"/>
    <col min="6914" max="6914" width="10.54296875" style="958" customWidth="1"/>
    <col min="6915" max="6915" width="49.08984375" style="958" customWidth="1"/>
    <col min="6916" max="6916" width="68.54296875" style="958" customWidth="1"/>
    <col min="6917" max="6917" width="35.453125" style="958" customWidth="1"/>
    <col min="6918" max="6918" width="21" style="958" customWidth="1"/>
    <col min="6919" max="6919" width="28.453125" style="958" customWidth="1"/>
    <col min="6920" max="6920" width="30.6328125" style="958" customWidth="1"/>
    <col min="6921" max="6921" width="29.54296875" style="958" customWidth="1"/>
    <col min="6922" max="6922" width="33.54296875" style="958" customWidth="1"/>
    <col min="6923" max="6923" width="26.54296875" style="958" customWidth="1"/>
    <col min="6924" max="6924" width="31.54296875" style="958" customWidth="1"/>
    <col min="6925" max="6925" width="34.36328125" style="958" customWidth="1"/>
    <col min="6926" max="6926" width="45.08984375" style="958" customWidth="1"/>
    <col min="6927" max="7168" width="9.08984375" style="958"/>
    <col min="7169" max="7169" width="4.6328125" style="958" customWidth="1"/>
    <col min="7170" max="7170" width="10.54296875" style="958" customWidth="1"/>
    <col min="7171" max="7171" width="49.08984375" style="958" customWidth="1"/>
    <col min="7172" max="7172" width="68.54296875" style="958" customWidth="1"/>
    <col min="7173" max="7173" width="35.453125" style="958" customWidth="1"/>
    <col min="7174" max="7174" width="21" style="958" customWidth="1"/>
    <col min="7175" max="7175" width="28.453125" style="958" customWidth="1"/>
    <col min="7176" max="7176" width="30.6328125" style="958" customWidth="1"/>
    <col min="7177" max="7177" width="29.54296875" style="958" customWidth="1"/>
    <col min="7178" max="7178" width="33.54296875" style="958" customWidth="1"/>
    <col min="7179" max="7179" width="26.54296875" style="958" customWidth="1"/>
    <col min="7180" max="7180" width="31.54296875" style="958" customWidth="1"/>
    <col min="7181" max="7181" width="34.36328125" style="958" customWidth="1"/>
    <col min="7182" max="7182" width="45.08984375" style="958" customWidth="1"/>
    <col min="7183" max="7424" width="9.08984375" style="958"/>
    <col min="7425" max="7425" width="4.6328125" style="958" customWidth="1"/>
    <col min="7426" max="7426" width="10.54296875" style="958" customWidth="1"/>
    <col min="7427" max="7427" width="49.08984375" style="958" customWidth="1"/>
    <col min="7428" max="7428" width="68.54296875" style="958" customWidth="1"/>
    <col min="7429" max="7429" width="35.453125" style="958" customWidth="1"/>
    <col min="7430" max="7430" width="21" style="958" customWidth="1"/>
    <col min="7431" max="7431" width="28.453125" style="958" customWidth="1"/>
    <col min="7432" max="7432" width="30.6328125" style="958" customWidth="1"/>
    <col min="7433" max="7433" width="29.54296875" style="958" customWidth="1"/>
    <col min="7434" max="7434" width="33.54296875" style="958" customWidth="1"/>
    <col min="7435" max="7435" width="26.54296875" style="958" customWidth="1"/>
    <col min="7436" max="7436" width="31.54296875" style="958" customWidth="1"/>
    <col min="7437" max="7437" width="34.36328125" style="958" customWidth="1"/>
    <col min="7438" max="7438" width="45.08984375" style="958" customWidth="1"/>
    <col min="7439" max="7680" width="9.08984375" style="958"/>
    <col min="7681" max="7681" width="4.6328125" style="958" customWidth="1"/>
    <col min="7682" max="7682" width="10.54296875" style="958" customWidth="1"/>
    <col min="7683" max="7683" width="49.08984375" style="958" customWidth="1"/>
    <col min="7684" max="7684" width="68.54296875" style="958" customWidth="1"/>
    <col min="7685" max="7685" width="35.453125" style="958" customWidth="1"/>
    <col min="7686" max="7686" width="21" style="958" customWidth="1"/>
    <col min="7687" max="7687" width="28.453125" style="958" customWidth="1"/>
    <col min="7688" max="7688" width="30.6328125" style="958" customWidth="1"/>
    <col min="7689" max="7689" width="29.54296875" style="958" customWidth="1"/>
    <col min="7690" max="7690" width="33.54296875" style="958" customWidth="1"/>
    <col min="7691" max="7691" width="26.54296875" style="958" customWidth="1"/>
    <col min="7692" max="7692" width="31.54296875" style="958" customWidth="1"/>
    <col min="7693" max="7693" width="34.36328125" style="958" customWidth="1"/>
    <col min="7694" max="7694" width="45.08984375" style="958" customWidth="1"/>
    <col min="7695" max="7936" width="9.08984375" style="958"/>
    <col min="7937" max="7937" width="4.6328125" style="958" customWidth="1"/>
    <col min="7938" max="7938" width="10.54296875" style="958" customWidth="1"/>
    <col min="7939" max="7939" width="49.08984375" style="958" customWidth="1"/>
    <col min="7940" max="7940" width="68.54296875" style="958" customWidth="1"/>
    <col min="7941" max="7941" width="35.453125" style="958" customWidth="1"/>
    <col min="7942" max="7942" width="21" style="958" customWidth="1"/>
    <col min="7943" max="7943" width="28.453125" style="958" customWidth="1"/>
    <col min="7944" max="7944" width="30.6328125" style="958" customWidth="1"/>
    <col min="7945" max="7945" width="29.54296875" style="958" customWidth="1"/>
    <col min="7946" max="7946" width="33.54296875" style="958" customWidth="1"/>
    <col min="7947" max="7947" width="26.54296875" style="958" customWidth="1"/>
    <col min="7948" max="7948" width="31.54296875" style="958" customWidth="1"/>
    <col min="7949" max="7949" width="34.36328125" style="958" customWidth="1"/>
    <col min="7950" max="7950" width="45.08984375" style="958" customWidth="1"/>
    <col min="7951" max="8192" width="9.08984375" style="958"/>
    <col min="8193" max="8193" width="4.6328125" style="958" customWidth="1"/>
    <col min="8194" max="8194" width="10.54296875" style="958" customWidth="1"/>
    <col min="8195" max="8195" width="49.08984375" style="958" customWidth="1"/>
    <col min="8196" max="8196" width="68.54296875" style="958" customWidth="1"/>
    <col min="8197" max="8197" width="35.453125" style="958" customWidth="1"/>
    <col min="8198" max="8198" width="21" style="958" customWidth="1"/>
    <col min="8199" max="8199" width="28.453125" style="958" customWidth="1"/>
    <col min="8200" max="8200" width="30.6328125" style="958" customWidth="1"/>
    <col min="8201" max="8201" width="29.54296875" style="958" customWidth="1"/>
    <col min="8202" max="8202" width="33.54296875" style="958" customWidth="1"/>
    <col min="8203" max="8203" width="26.54296875" style="958" customWidth="1"/>
    <col min="8204" max="8204" width="31.54296875" style="958" customWidth="1"/>
    <col min="8205" max="8205" width="34.36328125" style="958" customWidth="1"/>
    <col min="8206" max="8206" width="45.08984375" style="958" customWidth="1"/>
    <col min="8207" max="8448" width="9.08984375" style="958"/>
    <col min="8449" max="8449" width="4.6328125" style="958" customWidth="1"/>
    <col min="8450" max="8450" width="10.54296875" style="958" customWidth="1"/>
    <col min="8451" max="8451" width="49.08984375" style="958" customWidth="1"/>
    <col min="8452" max="8452" width="68.54296875" style="958" customWidth="1"/>
    <col min="8453" max="8453" width="35.453125" style="958" customWidth="1"/>
    <col min="8454" max="8454" width="21" style="958" customWidth="1"/>
    <col min="8455" max="8455" width="28.453125" style="958" customWidth="1"/>
    <col min="8456" max="8456" width="30.6328125" style="958" customWidth="1"/>
    <col min="8457" max="8457" width="29.54296875" style="958" customWidth="1"/>
    <col min="8458" max="8458" width="33.54296875" style="958" customWidth="1"/>
    <col min="8459" max="8459" width="26.54296875" style="958" customWidth="1"/>
    <col min="8460" max="8460" width="31.54296875" style="958" customWidth="1"/>
    <col min="8461" max="8461" width="34.36328125" style="958" customWidth="1"/>
    <col min="8462" max="8462" width="45.08984375" style="958" customWidth="1"/>
    <col min="8463" max="8704" width="9.08984375" style="958"/>
    <col min="8705" max="8705" width="4.6328125" style="958" customWidth="1"/>
    <col min="8706" max="8706" width="10.54296875" style="958" customWidth="1"/>
    <col min="8707" max="8707" width="49.08984375" style="958" customWidth="1"/>
    <col min="8708" max="8708" width="68.54296875" style="958" customWidth="1"/>
    <col min="8709" max="8709" width="35.453125" style="958" customWidth="1"/>
    <col min="8710" max="8710" width="21" style="958" customWidth="1"/>
    <col min="8711" max="8711" width="28.453125" style="958" customWidth="1"/>
    <col min="8712" max="8712" width="30.6328125" style="958" customWidth="1"/>
    <col min="8713" max="8713" width="29.54296875" style="958" customWidth="1"/>
    <col min="8714" max="8714" width="33.54296875" style="958" customWidth="1"/>
    <col min="8715" max="8715" width="26.54296875" style="958" customWidth="1"/>
    <col min="8716" max="8716" width="31.54296875" style="958" customWidth="1"/>
    <col min="8717" max="8717" width="34.36328125" style="958" customWidth="1"/>
    <col min="8718" max="8718" width="45.08984375" style="958" customWidth="1"/>
    <col min="8719" max="8960" width="9.08984375" style="958"/>
    <col min="8961" max="8961" width="4.6328125" style="958" customWidth="1"/>
    <col min="8962" max="8962" width="10.54296875" style="958" customWidth="1"/>
    <col min="8963" max="8963" width="49.08984375" style="958" customWidth="1"/>
    <col min="8964" max="8964" width="68.54296875" style="958" customWidth="1"/>
    <col min="8965" max="8965" width="35.453125" style="958" customWidth="1"/>
    <col min="8966" max="8966" width="21" style="958" customWidth="1"/>
    <col min="8967" max="8967" width="28.453125" style="958" customWidth="1"/>
    <col min="8968" max="8968" width="30.6328125" style="958" customWidth="1"/>
    <col min="8969" max="8969" width="29.54296875" style="958" customWidth="1"/>
    <col min="8970" max="8970" width="33.54296875" style="958" customWidth="1"/>
    <col min="8971" max="8971" width="26.54296875" style="958" customWidth="1"/>
    <col min="8972" max="8972" width="31.54296875" style="958" customWidth="1"/>
    <col min="8973" max="8973" width="34.36328125" style="958" customWidth="1"/>
    <col min="8974" max="8974" width="45.08984375" style="958" customWidth="1"/>
    <col min="8975" max="9216" width="9.08984375" style="958"/>
    <col min="9217" max="9217" width="4.6328125" style="958" customWidth="1"/>
    <col min="9218" max="9218" width="10.54296875" style="958" customWidth="1"/>
    <col min="9219" max="9219" width="49.08984375" style="958" customWidth="1"/>
    <col min="9220" max="9220" width="68.54296875" style="958" customWidth="1"/>
    <col min="9221" max="9221" width="35.453125" style="958" customWidth="1"/>
    <col min="9222" max="9222" width="21" style="958" customWidth="1"/>
    <col min="9223" max="9223" width="28.453125" style="958" customWidth="1"/>
    <col min="9224" max="9224" width="30.6328125" style="958" customWidth="1"/>
    <col min="9225" max="9225" width="29.54296875" style="958" customWidth="1"/>
    <col min="9226" max="9226" width="33.54296875" style="958" customWidth="1"/>
    <col min="9227" max="9227" width="26.54296875" style="958" customWidth="1"/>
    <col min="9228" max="9228" width="31.54296875" style="958" customWidth="1"/>
    <col min="9229" max="9229" width="34.36328125" style="958" customWidth="1"/>
    <col min="9230" max="9230" width="45.08984375" style="958" customWidth="1"/>
    <col min="9231" max="9472" width="9.08984375" style="958"/>
    <col min="9473" max="9473" width="4.6328125" style="958" customWidth="1"/>
    <col min="9474" max="9474" width="10.54296875" style="958" customWidth="1"/>
    <col min="9475" max="9475" width="49.08984375" style="958" customWidth="1"/>
    <col min="9476" max="9476" width="68.54296875" style="958" customWidth="1"/>
    <col min="9477" max="9477" width="35.453125" style="958" customWidth="1"/>
    <col min="9478" max="9478" width="21" style="958" customWidth="1"/>
    <col min="9479" max="9479" width="28.453125" style="958" customWidth="1"/>
    <col min="9480" max="9480" width="30.6328125" style="958" customWidth="1"/>
    <col min="9481" max="9481" width="29.54296875" style="958" customWidth="1"/>
    <col min="9482" max="9482" width="33.54296875" style="958" customWidth="1"/>
    <col min="9483" max="9483" width="26.54296875" style="958" customWidth="1"/>
    <col min="9484" max="9484" width="31.54296875" style="958" customWidth="1"/>
    <col min="9485" max="9485" width="34.36328125" style="958" customWidth="1"/>
    <col min="9486" max="9486" width="45.08984375" style="958" customWidth="1"/>
    <col min="9487" max="9728" width="9.08984375" style="958"/>
    <col min="9729" max="9729" width="4.6328125" style="958" customWidth="1"/>
    <col min="9730" max="9730" width="10.54296875" style="958" customWidth="1"/>
    <col min="9731" max="9731" width="49.08984375" style="958" customWidth="1"/>
    <col min="9732" max="9732" width="68.54296875" style="958" customWidth="1"/>
    <col min="9733" max="9733" width="35.453125" style="958" customWidth="1"/>
    <col min="9734" max="9734" width="21" style="958" customWidth="1"/>
    <col min="9735" max="9735" width="28.453125" style="958" customWidth="1"/>
    <col min="9736" max="9736" width="30.6328125" style="958" customWidth="1"/>
    <col min="9737" max="9737" width="29.54296875" style="958" customWidth="1"/>
    <col min="9738" max="9738" width="33.54296875" style="958" customWidth="1"/>
    <col min="9739" max="9739" width="26.54296875" style="958" customWidth="1"/>
    <col min="9740" max="9740" width="31.54296875" style="958" customWidth="1"/>
    <col min="9741" max="9741" width="34.36328125" style="958" customWidth="1"/>
    <col min="9742" max="9742" width="45.08984375" style="958" customWidth="1"/>
    <col min="9743" max="9984" width="9.08984375" style="958"/>
    <col min="9985" max="9985" width="4.6328125" style="958" customWidth="1"/>
    <col min="9986" max="9986" width="10.54296875" style="958" customWidth="1"/>
    <col min="9987" max="9987" width="49.08984375" style="958" customWidth="1"/>
    <col min="9988" max="9988" width="68.54296875" style="958" customWidth="1"/>
    <col min="9989" max="9989" width="35.453125" style="958" customWidth="1"/>
    <col min="9990" max="9990" width="21" style="958" customWidth="1"/>
    <col min="9991" max="9991" width="28.453125" style="958" customWidth="1"/>
    <col min="9992" max="9992" width="30.6328125" style="958" customWidth="1"/>
    <col min="9993" max="9993" width="29.54296875" style="958" customWidth="1"/>
    <col min="9994" max="9994" width="33.54296875" style="958" customWidth="1"/>
    <col min="9995" max="9995" width="26.54296875" style="958" customWidth="1"/>
    <col min="9996" max="9996" width="31.54296875" style="958" customWidth="1"/>
    <col min="9997" max="9997" width="34.36328125" style="958" customWidth="1"/>
    <col min="9998" max="9998" width="45.08984375" style="958" customWidth="1"/>
    <col min="9999" max="10240" width="9.08984375" style="958"/>
    <col min="10241" max="10241" width="4.6328125" style="958" customWidth="1"/>
    <col min="10242" max="10242" width="10.54296875" style="958" customWidth="1"/>
    <col min="10243" max="10243" width="49.08984375" style="958" customWidth="1"/>
    <col min="10244" max="10244" width="68.54296875" style="958" customWidth="1"/>
    <col min="10245" max="10245" width="35.453125" style="958" customWidth="1"/>
    <col min="10246" max="10246" width="21" style="958" customWidth="1"/>
    <col min="10247" max="10247" width="28.453125" style="958" customWidth="1"/>
    <col min="10248" max="10248" width="30.6328125" style="958" customWidth="1"/>
    <col min="10249" max="10249" width="29.54296875" style="958" customWidth="1"/>
    <col min="10250" max="10250" width="33.54296875" style="958" customWidth="1"/>
    <col min="10251" max="10251" width="26.54296875" style="958" customWidth="1"/>
    <col min="10252" max="10252" width="31.54296875" style="958" customWidth="1"/>
    <col min="10253" max="10253" width="34.36328125" style="958" customWidth="1"/>
    <col min="10254" max="10254" width="45.08984375" style="958" customWidth="1"/>
    <col min="10255" max="10496" width="9.08984375" style="958"/>
    <col min="10497" max="10497" width="4.6328125" style="958" customWidth="1"/>
    <col min="10498" max="10498" width="10.54296875" style="958" customWidth="1"/>
    <col min="10499" max="10499" width="49.08984375" style="958" customWidth="1"/>
    <col min="10500" max="10500" width="68.54296875" style="958" customWidth="1"/>
    <col min="10501" max="10501" width="35.453125" style="958" customWidth="1"/>
    <col min="10502" max="10502" width="21" style="958" customWidth="1"/>
    <col min="10503" max="10503" width="28.453125" style="958" customWidth="1"/>
    <col min="10504" max="10504" width="30.6328125" style="958" customWidth="1"/>
    <col min="10505" max="10505" width="29.54296875" style="958" customWidth="1"/>
    <col min="10506" max="10506" width="33.54296875" style="958" customWidth="1"/>
    <col min="10507" max="10507" width="26.54296875" style="958" customWidth="1"/>
    <col min="10508" max="10508" width="31.54296875" style="958" customWidth="1"/>
    <col min="10509" max="10509" width="34.36328125" style="958" customWidth="1"/>
    <col min="10510" max="10510" width="45.08984375" style="958" customWidth="1"/>
    <col min="10511" max="10752" width="9.08984375" style="958"/>
    <col min="10753" max="10753" width="4.6328125" style="958" customWidth="1"/>
    <col min="10754" max="10754" width="10.54296875" style="958" customWidth="1"/>
    <col min="10755" max="10755" width="49.08984375" style="958" customWidth="1"/>
    <col min="10756" max="10756" width="68.54296875" style="958" customWidth="1"/>
    <col min="10757" max="10757" width="35.453125" style="958" customWidth="1"/>
    <col min="10758" max="10758" width="21" style="958" customWidth="1"/>
    <col min="10759" max="10759" width="28.453125" style="958" customWidth="1"/>
    <col min="10760" max="10760" width="30.6328125" style="958" customWidth="1"/>
    <col min="10761" max="10761" width="29.54296875" style="958" customWidth="1"/>
    <col min="10762" max="10762" width="33.54296875" style="958" customWidth="1"/>
    <col min="10763" max="10763" width="26.54296875" style="958" customWidth="1"/>
    <col min="10764" max="10764" width="31.54296875" style="958" customWidth="1"/>
    <col min="10765" max="10765" width="34.36328125" style="958" customWidth="1"/>
    <col min="10766" max="10766" width="45.08984375" style="958" customWidth="1"/>
    <col min="10767" max="11008" width="9.08984375" style="958"/>
    <col min="11009" max="11009" width="4.6328125" style="958" customWidth="1"/>
    <col min="11010" max="11010" width="10.54296875" style="958" customWidth="1"/>
    <col min="11011" max="11011" width="49.08984375" style="958" customWidth="1"/>
    <col min="11012" max="11012" width="68.54296875" style="958" customWidth="1"/>
    <col min="11013" max="11013" width="35.453125" style="958" customWidth="1"/>
    <col min="11014" max="11014" width="21" style="958" customWidth="1"/>
    <col min="11015" max="11015" width="28.453125" style="958" customWidth="1"/>
    <col min="11016" max="11016" width="30.6328125" style="958" customWidth="1"/>
    <col min="11017" max="11017" width="29.54296875" style="958" customWidth="1"/>
    <col min="11018" max="11018" width="33.54296875" style="958" customWidth="1"/>
    <col min="11019" max="11019" width="26.54296875" style="958" customWidth="1"/>
    <col min="11020" max="11020" width="31.54296875" style="958" customWidth="1"/>
    <col min="11021" max="11021" width="34.36328125" style="958" customWidth="1"/>
    <col min="11022" max="11022" width="45.08984375" style="958" customWidth="1"/>
    <col min="11023" max="11264" width="9.08984375" style="958"/>
    <col min="11265" max="11265" width="4.6328125" style="958" customWidth="1"/>
    <col min="11266" max="11266" width="10.54296875" style="958" customWidth="1"/>
    <col min="11267" max="11267" width="49.08984375" style="958" customWidth="1"/>
    <col min="11268" max="11268" width="68.54296875" style="958" customWidth="1"/>
    <col min="11269" max="11269" width="35.453125" style="958" customWidth="1"/>
    <col min="11270" max="11270" width="21" style="958" customWidth="1"/>
    <col min="11271" max="11271" width="28.453125" style="958" customWidth="1"/>
    <col min="11272" max="11272" width="30.6328125" style="958" customWidth="1"/>
    <col min="11273" max="11273" width="29.54296875" style="958" customWidth="1"/>
    <col min="11274" max="11274" width="33.54296875" style="958" customWidth="1"/>
    <col min="11275" max="11275" width="26.54296875" style="958" customWidth="1"/>
    <col min="11276" max="11276" width="31.54296875" style="958" customWidth="1"/>
    <col min="11277" max="11277" width="34.36328125" style="958" customWidth="1"/>
    <col min="11278" max="11278" width="45.08984375" style="958" customWidth="1"/>
    <col min="11279" max="11520" width="9.08984375" style="958"/>
    <col min="11521" max="11521" width="4.6328125" style="958" customWidth="1"/>
    <col min="11522" max="11522" width="10.54296875" style="958" customWidth="1"/>
    <col min="11523" max="11523" width="49.08984375" style="958" customWidth="1"/>
    <col min="11524" max="11524" width="68.54296875" style="958" customWidth="1"/>
    <col min="11525" max="11525" width="35.453125" style="958" customWidth="1"/>
    <col min="11526" max="11526" width="21" style="958" customWidth="1"/>
    <col min="11527" max="11527" width="28.453125" style="958" customWidth="1"/>
    <col min="11528" max="11528" width="30.6328125" style="958" customWidth="1"/>
    <col min="11529" max="11529" width="29.54296875" style="958" customWidth="1"/>
    <col min="11530" max="11530" width="33.54296875" style="958" customWidth="1"/>
    <col min="11531" max="11531" width="26.54296875" style="958" customWidth="1"/>
    <col min="11532" max="11532" width="31.54296875" style="958" customWidth="1"/>
    <col min="11533" max="11533" width="34.36328125" style="958" customWidth="1"/>
    <col min="11534" max="11534" width="45.08984375" style="958" customWidth="1"/>
    <col min="11535" max="11776" width="9.08984375" style="958"/>
    <col min="11777" max="11777" width="4.6328125" style="958" customWidth="1"/>
    <col min="11778" max="11778" width="10.54296875" style="958" customWidth="1"/>
    <col min="11779" max="11779" width="49.08984375" style="958" customWidth="1"/>
    <col min="11780" max="11780" width="68.54296875" style="958" customWidth="1"/>
    <col min="11781" max="11781" width="35.453125" style="958" customWidth="1"/>
    <col min="11782" max="11782" width="21" style="958" customWidth="1"/>
    <col min="11783" max="11783" width="28.453125" style="958" customWidth="1"/>
    <col min="11784" max="11784" width="30.6328125" style="958" customWidth="1"/>
    <col min="11785" max="11785" width="29.54296875" style="958" customWidth="1"/>
    <col min="11786" max="11786" width="33.54296875" style="958" customWidth="1"/>
    <col min="11787" max="11787" width="26.54296875" style="958" customWidth="1"/>
    <col min="11788" max="11788" width="31.54296875" style="958" customWidth="1"/>
    <col min="11789" max="11789" width="34.36328125" style="958" customWidth="1"/>
    <col min="11790" max="11790" width="45.08984375" style="958" customWidth="1"/>
    <col min="11791" max="12032" width="9.08984375" style="958"/>
    <col min="12033" max="12033" width="4.6328125" style="958" customWidth="1"/>
    <col min="12034" max="12034" width="10.54296875" style="958" customWidth="1"/>
    <col min="12035" max="12035" width="49.08984375" style="958" customWidth="1"/>
    <col min="12036" max="12036" width="68.54296875" style="958" customWidth="1"/>
    <col min="12037" max="12037" width="35.453125" style="958" customWidth="1"/>
    <col min="12038" max="12038" width="21" style="958" customWidth="1"/>
    <col min="12039" max="12039" width="28.453125" style="958" customWidth="1"/>
    <col min="12040" max="12040" width="30.6328125" style="958" customWidth="1"/>
    <col min="12041" max="12041" width="29.54296875" style="958" customWidth="1"/>
    <col min="12042" max="12042" width="33.54296875" style="958" customWidth="1"/>
    <col min="12043" max="12043" width="26.54296875" style="958" customWidth="1"/>
    <col min="12044" max="12044" width="31.54296875" style="958" customWidth="1"/>
    <col min="12045" max="12045" width="34.36328125" style="958" customWidth="1"/>
    <col min="12046" max="12046" width="45.08984375" style="958" customWidth="1"/>
    <col min="12047" max="12288" width="9.08984375" style="958"/>
    <col min="12289" max="12289" width="4.6328125" style="958" customWidth="1"/>
    <col min="12290" max="12290" width="10.54296875" style="958" customWidth="1"/>
    <col min="12291" max="12291" width="49.08984375" style="958" customWidth="1"/>
    <col min="12292" max="12292" width="68.54296875" style="958" customWidth="1"/>
    <col min="12293" max="12293" width="35.453125" style="958" customWidth="1"/>
    <col min="12294" max="12294" width="21" style="958" customWidth="1"/>
    <col min="12295" max="12295" width="28.453125" style="958" customWidth="1"/>
    <col min="12296" max="12296" width="30.6328125" style="958" customWidth="1"/>
    <col min="12297" max="12297" width="29.54296875" style="958" customWidth="1"/>
    <col min="12298" max="12298" width="33.54296875" style="958" customWidth="1"/>
    <col min="12299" max="12299" width="26.54296875" style="958" customWidth="1"/>
    <col min="12300" max="12300" width="31.54296875" style="958" customWidth="1"/>
    <col min="12301" max="12301" width="34.36328125" style="958" customWidth="1"/>
    <col min="12302" max="12302" width="45.08984375" style="958" customWidth="1"/>
    <col min="12303" max="12544" width="9.08984375" style="958"/>
    <col min="12545" max="12545" width="4.6328125" style="958" customWidth="1"/>
    <col min="12546" max="12546" width="10.54296875" style="958" customWidth="1"/>
    <col min="12547" max="12547" width="49.08984375" style="958" customWidth="1"/>
    <col min="12548" max="12548" width="68.54296875" style="958" customWidth="1"/>
    <col min="12549" max="12549" width="35.453125" style="958" customWidth="1"/>
    <col min="12550" max="12550" width="21" style="958" customWidth="1"/>
    <col min="12551" max="12551" width="28.453125" style="958" customWidth="1"/>
    <col min="12552" max="12552" width="30.6328125" style="958" customWidth="1"/>
    <col min="12553" max="12553" width="29.54296875" style="958" customWidth="1"/>
    <col min="12554" max="12554" width="33.54296875" style="958" customWidth="1"/>
    <col min="12555" max="12555" width="26.54296875" style="958" customWidth="1"/>
    <col min="12556" max="12556" width="31.54296875" style="958" customWidth="1"/>
    <col min="12557" max="12557" width="34.36328125" style="958" customWidth="1"/>
    <col min="12558" max="12558" width="45.08984375" style="958" customWidth="1"/>
    <col min="12559" max="12800" width="9.08984375" style="958"/>
    <col min="12801" max="12801" width="4.6328125" style="958" customWidth="1"/>
    <col min="12802" max="12802" width="10.54296875" style="958" customWidth="1"/>
    <col min="12803" max="12803" width="49.08984375" style="958" customWidth="1"/>
    <col min="12804" max="12804" width="68.54296875" style="958" customWidth="1"/>
    <col min="12805" max="12805" width="35.453125" style="958" customWidth="1"/>
    <col min="12806" max="12806" width="21" style="958" customWidth="1"/>
    <col min="12807" max="12807" width="28.453125" style="958" customWidth="1"/>
    <col min="12808" max="12808" width="30.6328125" style="958" customWidth="1"/>
    <col min="12809" max="12809" width="29.54296875" style="958" customWidth="1"/>
    <col min="12810" max="12810" width="33.54296875" style="958" customWidth="1"/>
    <col min="12811" max="12811" width="26.54296875" style="958" customWidth="1"/>
    <col min="12812" max="12812" width="31.54296875" style="958" customWidth="1"/>
    <col min="12813" max="12813" width="34.36328125" style="958" customWidth="1"/>
    <col min="12814" max="12814" width="45.08984375" style="958" customWidth="1"/>
    <col min="12815" max="13056" width="9.08984375" style="958"/>
    <col min="13057" max="13057" width="4.6328125" style="958" customWidth="1"/>
    <col min="13058" max="13058" width="10.54296875" style="958" customWidth="1"/>
    <col min="13059" max="13059" width="49.08984375" style="958" customWidth="1"/>
    <col min="13060" max="13060" width="68.54296875" style="958" customWidth="1"/>
    <col min="13061" max="13061" width="35.453125" style="958" customWidth="1"/>
    <col min="13062" max="13062" width="21" style="958" customWidth="1"/>
    <col min="13063" max="13063" width="28.453125" style="958" customWidth="1"/>
    <col min="13064" max="13064" width="30.6328125" style="958" customWidth="1"/>
    <col min="13065" max="13065" width="29.54296875" style="958" customWidth="1"/>
    <col min="13066" max="13066" width="33.54296875" style="958" customWidth="1"/>
    <col min="13067" max="13067" width="26.54296875" style="958" customWidth="1"/>
    <col min="13068" max="13068" width="31.54296875" style="958" customWidth="1"/>
    <col min="13069" max="13069" width="34.36328125" style="958" customWidth="1"/>
    <col min="13070" max="13070" width="45.08984375" style="958" customWidth="1"/>
    <col min="13071" max="13312" width="9.08984375" style="958"/>
    <col min="13313" max="13313" width="4.6328125" style="958" customWidth="1"/>
    <col min="13314" max="13314" width="10.54296875" style="958" customWidth="1"/>
    <col min="13315" max="13315" width="49.08984375" style="958" customWidth="1"/>
    <col min="13316" max="13316" width="68.54296875" style="958" customWidth="1"/>
    <col min="13317" max="13317" width="35.453125" style="958" customWidth="1"/>
    <col min="13318" max="13318" width="21" style="958" customWidth="1"/>
    <col min="13319" max="13319" width="28.453125" style="958" customWidth="1"/>
    <col min="13320" max="13320" width="30.6328125" style="958" customWidth="1"/>
    <col min="13321" max="13321" width="29.54296875" style="958" customWidth="1"/>
    <col min="13322" max="13322" width="33.54296875" style="958" customWidth="1"/>
    <col min="13323" max="13323" width="26.54296875" style="958" customWidth="1"/>
    <col min="13324" max="13324" width="31.54296875" style="958" customWidth="1"/>
    <col min="13325" max="13325" width="34.36328125" style="958" customWidth="1"/>
    <col min="13326" max="13326" width="45.08984375" style="958" customWidth="1"/>
    <col min="13327" max="13568" width="9.08984375" style="958"/>
    <col min="13569" max="13569" width="4.6328125" style="958" customWidth="1"/>
    <col min="13570" max="13570" width="10.54296875" style="958" customWidth="1"/>
    <col min="13571" max="13571" width="49.08984375" style="958" customWidth="1"/>
    <col min="13572" max="13572" width="68.54296875" style="958" customWidth="1"/>
    <col min="13573" max="13573" width="35.453125" style="958" customWidth="1"/>
    <col min="13574" max="13574" width="21" style="958" customWidth="1"/>
    <col min="13575" max="13575" width="28.453125" style="958" customWidth="1"/>
    <col min="13576" max="13576" width="30.6328125" style="958" customWidth="1"/>
    <col min="13577" max="13577" width="29.54296875" style="958" customWidth="1"/>
    <col min="13578" max="13578" width="33.54296875" style="958" customWidth="1"/>
    <col min="13579" max="13579" width="26.54296875" style="958" customWidth="1"/>
    <col min="13580" max="13580" width="31.54296875" style="958" customWidth="1"/>
    <col min="13581" max="13581" width="34.36328125" style="958" customWidth="1"/>
    <col min="13582" max="13582" width="45.08984375" style="958" customWidth="1"/>
    <col min="13583" max="13824" width="9.08984375" style="958"/>
    <col min="13825" max="13825" width="4.6328125" style="958" customWidth="1"/>
    <col min="13826" max="13826" width="10.54296875" style="958" customWidth="1"/>
    <col min="13827" max="13827" width="49.08984375" style="958" customWidth="1"/>
    <col min="13828" max="13828" width="68.54296875" style="958" customWidth="1"/>
    <col min="13829" max="13829" width="35.453125" style="958" customWidth="1"/>
    <col min="13830" max="13830" width="21" style="958" customWidth="1"/>
    <col min="13831" max="13831" width="28.453125" style="958" customWidth="1"/>
    <col min="13832" max="13832" width="30.6328125" style="958" customWidth="1"/>
    <col min="13833" max="13833" width="29.54296875" style="958" customWidth="1"/>
    <col min="13834" max="13834" width="33.54296875" style="958" customWidth="1"/>
    <col min="13835" max="13835" width="26.54296875" style="958" customWidth="1"/>
    <col min="13836" max="13836" width="31.54296875" style="958" customWidth="1"/>
    <col min="13837" max="13837" width="34.36328125" style="958" customWidth="1"/>
    <col min="13838" max="13838" width="45.08984375" style="958" customWidth="1"/>
    <col min="13839" max="14080" width="9.08984375" style="958"/>
    <col min="14081" max="14081" width="4.6328125" style="958" customWidth="1"/>
    <col min="14082" max="14082" width="10.54296875" style="958" customWidth="1"/>
    <col min="14083" max="14083" width="49.08984375" style="958" customWidth="1"/>
    <col min="14084" max="14084" width="68.54296875" style="958" customWidth="1"/>
    <col min="14085" max="14085" width="35.453125" style="958" customWidth="1"/>
    <col min="14086" max="14086" width="21" style="958" customWidth="1"/>
    <col min="14087" max="14087" width="28.453125" style="958" customWidth="1"/>
    <col min="14088" max="14088" width="30.6328125" style="958" customWidth="1"/>
    <col min="14089" max="14089" width="29.54296875" style="958" customWidth="1"/>
    <col min="14090" max="14090" width="33.54296875" style="958" customWidth="1"/>
    <col min="14091" max="14091" width="26.54296875" style="958" customWidth="1"/>
    <col min="14092" max="14092" width="31.54296875" style="958" customWidth="1"/>
    <col min="14093" max="14093" width="34.36328125" style="958" customWidth="1"/>
    <col min="14094" max="14094" width="45.08984375" style="958" customWidth="1"/>
    <col min="14095" max="14336" width="9.08984375" style="958"/>
    <col min="14337" max="14337" width="4.6328125" style="958" customWidth="1"/>
    <col min="14338" max="14338" width="10.54296875" style="958" customWidth="1"/>
    <col min="14339" max="14339" width="49.08984375" style="958" customWidth="1"/>
    <col min="14340" max="14340" width="68.54296875" style="958" customWidth="1"/>
    <col min="14341" max="14341" width="35.453125" style="958" customWidth="1"/>
    <col min="14342" max="14342" width="21" style="958" customWidth="1"/>
    <col min="14343" max="14343" width="28.453125" style="958" customWidth="1"/>
    <col min="14344" max="14344" width="30.6328125" style="958" customWidth="1"/>
    <col min="14345" max="14345" width="29.54296875" style="958" customWidth="1"/>
    <col min="14346" max="14346" width="33.54296875" style="958" customWidth="1"/>
    <col min="14347" max="14347" width="26.54296875" style="958" customWidth="1"/>
    <col min="14348" max="14348" width="31.54296875" style="958" customWidth="1"/>
    <col min="14349" max="14349" width="34.36328125" style="958" customWidth="1"/>
    <col min="14350" max="14350" width="45.08984375" style="958" customWidth="1"/>
    <col min="14351" max="14592" width="9.08984375" style="958"/>
    <col min="14593" max="14593" width="4.6328125" style="958" customWidth="1"/>
    <col min="14594" max="14594" width="10.54296875" style="958" customWidth="1"/>
    <col min="14595" max="14595" width="49.08984375" style="958" customWidth="1"/>
    <col min="14596" max="14596" width="68.54296875" style="958" customWidth="1"/>
    <col min="14597" max="14597" width="35.453125" style="958" customWidth="1"/>
    <col min="14598" max="14598" width="21" style="958" customWidth="1"/>
    <col min="14599" max="14599" width="28.453125" style="958" customWidth="1"/>
    <col min="14600" max="14600" width="30.6328125" style="958" customWidth="1"/>
    <col min="14601" max="14601" width="29.54296875" style="958" customWidth="1"/>
    <col min="14602" max="14602" width="33.54296875" style="958" customWidth="1"/>
    <col min="14603" max="14603" width="26.54296875" style="958" customWidth="1"/>
    <col min="14604" max="14604" width="31.54296875" style="958" customWidth="1"/>
    <col min="14605" max="14605" width="34.36328125" style="958" customWidth="1"/>
    <col min="14606" max="14606" width="45.08984375" style="958" customWidth="1"/>
    <col min="14607" max="14848" width="9.08984375" style="958"/>
    <col min="14849" max="14849" width="4.6328125" style="958" customWidth="1"/>
    <col min="14850" max="14850" width="10.54296875" style="958" customWidth="1"/>
    <col min="14851" max="14851" width="49.08984375" style="958" customWidth="1"/>
    <col min="14852" max="14852" width="68.54296875" style="958" customWidth="1"/>
    <col min="14853" max="14853" width="35.453125" style="958" customWidth="1"/>
    <col min="14854" max="14854" width="21" style="958" customWidth="1"/>
    <col min="14855" max="14855" width="28.453125" style="958" customWidth="1"/>
    <col min="14856" max="14856" width="30.6328125" style="958" customWidth="1"/>
    <col min="14857" max="14857" width="29.54296875" style="958" customWidth="1"/>
    <col min="14858" max="14858" width="33.54296875" style="958" customWidth="1"/>
    <col min="14859" max="14859" width="26.54296875" style="958" customWidth="1"/>
    <col min="14860" max="14860" width="31.54296875" style="958" customWidth="1"/>
    <col min="14861" max="14861" width="34.36328125" style="958" customWidth="1"/>
    <col min="14862" max="14862" width="45.08984375" style="958" customWidth="1"/>
    <col min="14863" max="15104" width="9.08984375" style="958"/>
    <col min="15105" max="15105" width="4.6328125" style="958" customWidth="1"/>
    <col min="15106" max="15106" width="10.54296875" style="958" customWidth="1"/>
    <col min="15107" max="15107" width="49.08984375" style="958" customWidth="1"/>
    <col min="15108" max="15108" width="68.54296875" style="958" customWidth="1"/>
    <col min="15109" max="15109" width="35.453125" style="958" customWidth="1"/>
    <col min="15110" max="15110" width="21" style="958" customWidth="1"/>
    <col min="15111" max="15111" width="28.453125" style="958" customWidth="1"/>
    <col min="15112" max="15112" width="30.6328125" style="958" customWidth="1"/>
    <col min="15113" max="15113" width="29.54296875" style="958" customWidth="1"/>
    <col min="15114" max="15114" width="33.54296875" style="958" customWidth="1"/>
    <col min="15115" max="15115" width="26.54296875" style="958" customWidth="1"/>
    <col min="15116" max="15116" width="31.54296875" style="958" customWidth="1"/>
    <col min="15117" max="15117" width="34.36328125" style="958" customWidth="1"/>
    <col min="15118" max="15118" width="45.08984375" style="958" customWidth="1"/>
    <col min="15119" max="15360" width="9.08984375" style="958"/>
    <col min="15361" max="15361" width="4.6328125" style="958" customWidth="1"/>
    <col min="15362" max="15362" width="10.54296875" style="958" customWidth="1"/>
    <col min="15363" max="15363" width="49.08984375" style="958" customWidth="1"/>
    <col min="15364" max="15364" width="68.54296875" style="958" customWidth="1"/>
    <col min="15365" max="15365" width="35.453125" style="958" customWidth="1"/>
    <col min="15366" max="15366" width="21" style="958" customWidth="1"/>
    <col min="15367" max="15367" width="28.453125" style="958" customWidth="1"/>
    <col min="15368" max="15368" width="30.6328125" style="958" customWidth="1"/>
    <col min="15369" max="15369" width="29.54296875" style="958" customWidth="1"/>
    <col min="15370" max="15370" width="33.54296875" style="958" customWidth="1"/>
    <col min="15371" max="15371" width="26.54296875" style="958" customWidth="1"/>
    <col min="15372" max="15372" width="31.54296875" style="958" customWidth="1"/>
    <col min="15373" max="15373" width="34.36328125" style="958" customWidth="1"/>
    <col min="15374" max="15374" width="45.08984375" style="958" customWidth="1"/>
    <col min="15375" max="15616" width="9.08984375" style="958"/>
    <col min="15617" max="15617" width="4.6328125" style="958" customWidth="1"/>
    <col min="15618" max="15618" width="10.54296875" style="958" customWidth="1"/>
    <col min="15619" max="15619" width="49.08984375" style="958" customWidth="1"/>
    <col min="15620" max="15620" width="68.54296875" style="958" customWidth="1"/>
    <col min="15621" max="15621" width="35.453125" style="958" customWidth="1"/>
    <col min="15622" max="15622" width="21" style="958" customWidth="1"/>
    <col min="15623" max="15623" width="28.453125" style="958" customWidth="1"/>
    <col min="15624" max="15624" width="30.6328125" style="958" customWidth="1"/>
    <col min="15625" max="15625" width="29.54296875" style="958" customWidth="1"/>
    <col min="15626" max="15626" width="33.54296875" style="958" customWidth="1"/>
    <col min="15627" max="15627" width="26.54296875" style="958" customWidth="1"/>
    <col min="15628" max="15628" width="31.54296875" style="958" customWidth="1"/>
    <col min="15629" max="15629" width="34.36328125" style="958" customWidth="1"/>
    <col min="15630" max="15630" width="45.08984375" style="958" customWidth="1"/>
    <col min="15631" max="15872" width="9.08984375" style="958"/>
    <col min="15873" max="15873" width="4.6328125" style="958" customWidth="1"/>
    <col min="15874" max="15874" width="10.54296875" style="958" customWidth="1"/>
    <col min="15875" max="15875" width="49.08984375" style="958" customWidth="1"/>
    <col min="15876" max="15876" width="68.54296875" style="958" customWidth="1"/>
    <col min="15877" max="15877" width="35.453125" style="958" customWidth="1"/>
    <col min="15878" max="15878" width="21" style="958" customWidth="1"/>
    <col min="15879" max="15879" width="28.453125" style="958" customWidth="1"/>
    <col min="15880" max="15880" width="30.6328125" style="958" customWidth="1"/>
    <col min="15881" max="15881" width="29.54296875" style="958" customWidth="1"/>
    <col min="15882" max="15882" width="33.54296875" style="958" customWidth="1"/>
    <col min="15883" max="15883" width="26.54296875" style="958" customWidth="1"/>
    <col min="15884" max="15884" width="31.54296875" style="958" customWidth="1"/>
    <col min="15885" max="15885" width="34.36328125" style="958" customWidth="1"/>
    <col min="15886" max="15886" width="45.08984375" style="958" customWidth="1"/>
    <col min="15887" max="16128" width="9.08984375" style="958"/>
    <col min="16129" max="16129" width="4.6328125" style="958" customWidth="1"/>
    <col min="16130" max="16130" width="10.54296875" style="958" customWidth="1"/>
    <col min="16131" max="16131" width="49.08984375" style="958" customWidth="1"/>
    <col min="16132" max="16132" width="68.54296875" style="958" customWidth="1"/>
    <col min="16133" max="16133" width="35.453125" style="958" customWidth="1"/>
    <col min="16134" max="16134" width="21" style="958" customWidth="1"/>
    <col min="16135" max="16135" width="28.453125" style="958" customWidth="1"/>
    <col min="16136" max="16136" width="30.6328125" style="958" customWidth="1"/>
    <col min="16137" max="16137" width="29.54296875" style="958" customWidth="1"/>
    <col min="16138" max="16138" width="33.54296875" style="958" customWidth="1"/>
    <col min="16139" max="16139" width="26.54296875" style="958" customWidth="1"/>
    <col min="16140" max="16140" width="31.54296875" style="958" customWidth="1"/>
    <col min="16141" max="16141" width="34.36328125" style="958" customWidth="1"/>
    <col min="16142" max="16142" width="45.08984375" style="958" customWidth="1"/>
    <col min="16143" max="16384" width="9.08984375" style="958"/>
  </cols>
  <sheetData>
    <row r="1" spans="2:14" x14ac:dyDescent="0.3">
      <c r="C1" s="959"/>
      <c r="D1" s="959"/>
    </row>
    <row r="2" spans="2:14" ht="31.5" customHeight="1" x14ac:dyDescent="0.3">
      <c r="C2" s="929"/>
      <c r="D2" s="929"/>
      <c r="E2" s="929"/>
      <c r="F2" s="929"/>
      <c r="G2" s="929"/>
      <c r="H2" s="929"/>
      <c r="I2" s="929"/>
      <c r="J2" s="929"/>
      <c r="K2" s="929"/>
      <c r="L2" s="929"/>
      <c r="M2" s="929"/>
      <c r="N2" s="929"/>
    </row>
    <row r="3" spans="2:14" s="883" customFormat="1" x14ac:dyDescent="0.3">
      <c r="B3" s="22"/>
      <c r="C3" s="928"/>
      <c r="D3" s="22"/>
      <c r="E3" s="22"/>
      <c r="F3" s="22"/>
      <c r="G3" s="22"/>
      <c r="H3" s="859" t="str">
        <f>Index!B2</f>
        <v xml:space="preserve">      Maharashtra State Power Generation Company Ltd.</v>
      </c>
    </row>
    <row r="4" spans="2:14" s="883" customFormat="1" x14ac:dyDescent="0.3">
      <c r="B4" s="929"/>
      <c r="C4" s="928"/>
      <c r="D4" s="915"/>
      <c r="E4" s="915"/>
      <c r="F4" s="915"/>
      <c r="G4" s="915"/>
      <c r="H4" s="903" t="s">
        <v>1104</v>
      </c>
    </row>
    <row r="5" spans="2:14" s="883" customFormat="1" x14ac:dyDescent="0.3">
      <c r="B5" s="929"/>
      <c r="C5" s="928"/>
      <c r="D5" s="915"/>
      <c r="E5" s="915"/>
      <c r="F5" s="915"/>
      <c r="G5" s="915"/>
      <c r="H5" s="961" t="s">
        <v>1341</v>
      </c>
    </row>
    <row r="6" spans="2:14" s="883" customFormat="1" x14ac:dyDescent="0.3">
      <c r="B6" s="929"/>
      <c r="C6" s="928"/>
      <c r="D6" s="915"/>
      <c r="E6" s="915"/>
      <c r="F6" s="915"/>
      <c r="G6" s="915"/>
      <c r="H6" s="961"/>
    </row>
    <row r="7" spans="2:14" ht="81" customHeight="1" x14ac:dyDescent="0.3">
      <c r="B7" s="962" t="s">
        <v>340</v>
      </c>
      <c r="C7" s="962" t="s">
        <v>1342</v>
      </c>
      <c r="D7" s="962" t="s">
        <v>1343</v>
      </c>
      <c r="E7" s="962" t="s">
        <v>1344</v>
      </c>
      <c r="F7" s="962" t="s">
        <v>1345</v>
      </c>
      <c r="G7" s="962" t="s">
        <v>1346</v>
      </c>
      <c r="H7" s="962" t="s">
        <v>1347</v>
      </c>
      <c r="I7" s="962" t="s">
        <v>1348</v>
      </c>
      <c r="J7" s="962" t="s">
        <v>1349</v>
      </c>
      <c r="K7" s="962" t="s">
        <v>1350</v>
      </c>
      <c r="L7" s="962" t="s">
        <v>1351</v>
      </c>
      <c r="M7" s="963" t="s">
        <v>1352</v>
      </c>
      <c r="N7" s="962" t="s">
        <v>1353</v>
      </c>
    </row>
    <row r="8" spans="2:14" x14ac:dyDescent="0.3">
      <c r="B8" s="964"/>
      <c r="C8" s="1918" t="s">
        <v>1110</v>
      </c>
      <c r="D8" s="1919"/>
      <c r="E8" s="1919"/>
      <c r="F8" s="1919"/>
      <c r="G8" s="1919"/>
      <c r="H8" s="1919"/>
      <c r="I8" s="1919"/>
      <c r="J8" s="1919"/>
      <c r="K8" s="1919"/>
      <c r="L8" s="1919"/>
      <c r="M8" s="1919"/>
      <c r="N8" s="1920"/>
    </row>
    <row r="9" spans="2:14" s="965" customFormat="1" x14ac:dyDescent="0.3">
      <c r="B9" s="964"/>
      <c r="C9" s="1921"/>
      <c r="D9" s="1922"/>
      <c r="E9" s="1922"/>
      <c r="F9" s="1922"/>
      <c r="G9" s="1922"/>
      <c r="H9" s="1922"/>
      <c r="I9" s="1922"/>
      <c r="J9" s="1922"/>
      <c r="K9" s="1922"/>
      <c r="L9" s="1922"/>
      <c r="M9" s="1922"/>
      <c r="N9" s="1923"/>
    </row>
    <row r="10" spans="2:14" x14ac:dyDescent="0.3">
      <c r="B10" s="964"/>
      <c r="C10" s="1921"/>
      <c r="D10" s="1922"/>
      <c r="E10" s="1922"/>
      <c r="F10" s="1922"/>
      <c r="G10" s="1922"/>
      <c r="H10" s="1922"/>
      <c r="I10" s="1922"/>
      <c r="J10" s="1922"/>
      <c r="K10" s="1922"/>
      <c r="L10" s="1922"/>
      <c r="M10" s="1922"/>
      <c r="N10" s="1923"/>
    </row>
    <row r="11" spans="2:14" x14ac:dyDescent="0.3">
      <c r="B11" s="964"/>
      <c r="C11" s="1921"/>
      <c r="D11" s="1922"/>
      <c r="E11" s="1922"/>
      <c r="F11" s="1922"/>
      <c r="G11" s="1922"/>
      <c r="H11" s="1922"/>
      <c r="I11" s="1922"/>
      <c r="J11" s="1922"/>
      <c r="K11" s="1922"/>
      <c r="L11" s="1922"/>
      <c r="M11" s="1922"/>
      <c r="N11" s="1923"/>
    </row>
    <row r="12" spans="2:14" x14ac:dyDescent="0.3">
      <c r="B12" s="964"/>
      <c r="C12" s="1921"/>
      <c r="D12" s="1922"/>
      <c r="E12" s="1922"/>
      <c r="F12" s="1922"/>
      <c r="G12" s="1922"/>
      <c r="H12" s="1922"/>
      <c r="I12" s="1922"/>
      <c r="J12" s="1922"/>
      <c r="K12" s="1922"/>
      <c r="L12" s="1922"/>
      <c r="M12" s="1922"/>
      <c r="N12" s="1923"/>
    </row>
    <row r="13" spans="2:14" ht="14.5" thickBot="1" x14ac:dyDescent="0.35">
      <c r="B13" s="966"/>
      <c r="C13" s="1924"/>
      <c r="D13" s="1925"/>
      <c r="E13" s="1925"/>
      <c r="F13" s="1925"/>
      <c r="G13" s="1925"/>
      <c r="H13" s="1925"/>
      <c r="I13" s="1925"/>
      <c r="J13" s="1925"/>
      <c r="K13" s="1925"/>
      <c r="L13" s="1925"/>
      <c r="M13" s="1925"/>
      <c r="N13" s="1926"/>
    </row>
    <row r="14" spans="2:14" x14ac:dyDescent="0.3">
      <c r="M14" s="958"/>
    </row>
    <row r="15" spans="2:14" x14ac:dyDescent="0.3">
      <c r="M15" s="958"/>
    </row>
    <row r="16" spans="2:14" x14ac:dyDescent="0.3">
      <c r="M16" s="958"/>
    </row>
    <row r="17" spans="3:13" x14ac:dyDescent="0.3">
      <c r="M17" s="958"/>
    </row>
    <row r="18" spans="3:13" x14ac:dyDescent="0.3">
      <c r="M18" s="958"/>
    </row>
    <row r="19" spans="3:13" x14ac:dyDescent="0.3">
      <c r="M19" s="958"/>
    </row>
    <row r="20" spans="3:13" x14ac:dyDescent="0.3">
      <c r="M20" s="958"/>
    </row>
    <row r="21" spans="3:13" x14ac:dyDescent="0.3">
      <c r="M21" s="958"/>
    </row>
    <row r="22" spans="3:13" x14ac:dyDescent="0.3">
      <c r="M22" s="958"/>
    </row>
    <row r="23" spans="3:13" ht="27.75" customHeight="1" x14ac:dyDescent="0.3">
      <c r="M23" s="958"/>
    </row>
    <row r="24" spans="3:13" ht="27.75" customHeight="1" x14ac:dyDescent="0.3">
      <c r="M24" s="958"/>
    </row>
    <row r="25" spans="3:13" x14ac:dyDescent="0.3">
      <c r="M25" s="958"/>
    </row>
    <row r="26" spans="3:13" x14ac:dyDescent="0.3">
      <c r="M26" s="958"/>
    </row>
    <row r="27" spans="3:13" x14ac:dyDescent="0.3">
      <c r="M27" s="958"/>
    </row>
    <row r="28" spans="3:13" x14ac:dyDescent="0.3">
      <c r="M28" s="958"/>
    </row>
    <row r="29" spans="3:13" ht="29.4" customHeight="1" x14ac:dyDescent="0.3">
      <c r="C29" s="967"/>
      <c r="M29" s="958"/>
    </row>
    <row r="30" spans="3:13" x14ac:dyDescent="0.3">
      <c r="M30" s="958"/>
    </row>
    <row r="31" spans="3:13" x14ac:dyDescent="0.3">
      <c r="M31" s="958"/>
    </row>
    <row r="32" spans="3:13" x14ac:dyDescent="0.3">
      <c r="M32" s="958"/>
    </row>
    <row r="33" spans="13:14" x14ac:dyDescent="0.3">
      <c r="M33" s="958"/>
    </row>
    <row r="34" spans="13:14" x14ac:dyDescent="0.3">
      <c r="M34" s="958"/>
    </row>
    <row r="35" spans="13:14" x14ac:dyDescent="0.3">
      <c r="M35" s="958"/>
    </row>
    <row r="36" spans="13:14" x14ac:dyDescent="0.3">
      <c r="M36" s="958"/>
    </row>
    <row r="37" spans="13:14" x14ac:dyDescent="0.3">
      <c r="M37" s="958"/>
    </row>
    <row r="38" spans="13:14" x14ac:dyDescent="0.3">
      <c r="M38" s="958"/>
    </row>
    <row r="39" spans="13:14" x14ac:dyDescent="0.3">
      <c r="M39" s="958"/>
    </row>
    <row r="40" spans="13:14" x14ac:dyDescent="0.3">
      <c r="M40" s="958"/>
    </row>
    <row r="41" spans="13:14" x14ac:dyDescent="0.3">
      <c r="M41" s="958"/>
    </row>
    <row r="42" spans="13:14" x14ac:dyDescent="0.3">
      <c r="M42" s="958"/>
    </row>
    <row r="43" spans="13:14" x14ac:dyDescent="0.3">
      <c r="M43" s="958"/>
    </row>
    <row r="44" spans="13:14" x14ac:dyDescent="0.3">
      <c r="M44" s="958"/>
    </row>
    <row r="45" spans="13:14" x14ac:dyDescent="0.3">
      <c r="M45" s="958"/>
      <c r="N45" s="968"/>
    </row>
    <row r="46" spans="13:14" x14ac:dyDescent="0.3">
      <c r="M46" s="958"/>
    </row>
    <row r="47" spans="13:14" x14ac:dyDescent="0.3">
      <c r="M47" s="958"/>
    </row>
    <row r="48" spans="13:14" x14ac:dyDescent="0.3">
      <c r="M48" s="958"/>
    </row>
    <row r="49" spans="4:14" x14ac:dyDescent="0.3">
      <c r="M49" s="958"/>
    </row>
    <row r="50" spans="4:14" x14ac:dyDescent="0.3">
      <c r="M50" s="958"/>
    </row>
    <row r="51" spans="4:14" x14ac:dyDescent="0.3">
      <c r="M51" s="958"/>
    </row>
    <row r="52" spans="4:14" x14ac:dyDescent="0.3">
      <c r="M52" s="958"/>
    </row>
    <row r="53" spans="4:14" x14ac:dyDescent="0.3">
      <c r="M53" s="958"/>
    </row>
    <row r="54" spans="4:14" x14ac:dyDescent="0.3">
      <c r="M54" s="958"/>
    </row>
    <row r="55" spans="4:14" x14ac:dyDescent="0.3">
      <c r="M55" s="958"/>
    </row>
    <row r="56" spans="4:14" x14ac:dyDescent="0.3">
      <c r="M56" s="958"/>
    </row>
    <row r="57" spans="4:14" x14ac:dyDescent="0.3">
      <c r="M57" s="958"/>
    </row>
    <row r="58" spans="4:14" x14ac:dyDescent="0.3">
      <c r="M58" s="958"/>
    </row>
    <row r="59" spans="4:14" x14ac:dyDescent="0.3">
      <c r="M59" s="958"/>
      <c r="N59" s="968"/>
    </row>
    <row r="60" spans="4:14" x14ac:dyDescent="0.3">
      <c r="M60" s="958"/>
    </row>
    <row r="61" spans="4:14" x14ac:dyDescent="0.3">
      <c r="M61" s="958"/>
    </row>
    <row r="62" spans="4:14" x14ac:dyDescent="0.3">
      <c r="M62" s="969"/>
    </row>
    <row r="63" spans="4:14" x14ac:dyDescent="0.3">
      <c r="M63" s="970"/>
    </row>
    <row r="64" spans="4:14" x14ac:dyDescent="0.3">
      <c r="D64" s="971"/>
    </row>
    <row r="65" spans="13:13" x14ac:dyDescent="0.3">
      <c r="M65" s="970"/>
    </row>
    <row r="70" spans="13:13" x14ac:dyDescent="0.3">
      <c r="M70" s="969"/>
    </row>
    <row r="73" spans="13:13" x14ac:dyDescent="0.3">
      <c r="M73" s="969"/>
    </row>
    <row r="75" spans="13:13" x14ac:dyDescent="0.3">
      <c r="M75" s="972"/>
    </row>
    <row r="76" spans="13:13" x14ac:dyDescent="0.3">
      <c r="M76" s="973"/>
    </row>
  </sheetData>
  <mergeCells count="1">
    <mergeCell ref="C8:N13"/>
  </mergeCells>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T29"/>
  <sheetViews>
    <sheetView showGridLines="0" view="pageBreakPreview" zoomScale="80" zoomScaleSheetLayoutView="80" workbookViewId="0">
      <selection activeCell="G3" sqref="G3"/>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859" t="str">
        <f>Index!B2</f>
        <v xml:space="preserve">      Maharashtra State Power Generation Company Ltd.</v>
      </c>
      <c r="H2" s="22"/>
      <c r="I2" s="22"/>
      <c r="J2" s="22"/>
      <c r="K2" s="22"/>
      <c r="L2" s="22"/>
      <c r="M2" s="22"/>
      <c r="N2" s="22"/>
      <c r="O2" s="22"/>
      <c r="P2" s="22"/>
      <c r="Q2" s="22"/>
      <c r="R2" s="22"/>
    </row>
    <row r="3" spans="2:18" x14ac:dyDescent="0.3">
      <c r="B3" s="282"/>
      <c r="C3" s="282"/>
      <c r="D3" s="282"/>
      <c r="E3" s="282"/>
      <c r="F3" s="282"/>
      <c r="G3" s="903" t="s">
        <v>1104</v>
      </c>
      <c r="H3" s="282"/>
      <c r="I3" s="282"/>
      <c r="J3" s="282"/>
      <c r="K3" s="282"/>
      <c r="L3" s="282"/>
      <c r="M3" s="282"/>
      <c r="N3" s="282"/>
      <c r="O3" s="282"/>
      <c r="P3" s="282"/>
      <c r="Q3" s="282"/>
      <c r="R3" s="282"/>
    </row>
    <row r="4" spans="2:18" x14ac:dyDescent="0.3">
      <c r="B4" s="22"/>
      <c r="C4" s="22"/>
      <c r="D4" s="22"/>
      <c r="E4" s="22"/>
      <c r="F4" s="22"/>
      <c r="G4" s="961" t="s">
        <v>1354</v>
      </c>
      <c r="H4" s="22"/>
      <c r="I4" s="22"/>
      <c r="J4" s="22"/>
      <c r="K4" s="22"/>
      <c r="L4" s="22"/>
      <c r="M4" s="22"/>
      <c r="N4" s="22"/>
      <c r="O4" s="22"/>
      <c r="P4" s="22"/>
      <c r="Q4" s="22"/>
      <c r="R4" s="22"/>
    </row>
    <row r="6" spans="2:18" x14ac:dyDescent="0.3">
      <c r="B6" s="44" t="s">
        <v>1355</v>
      </c>
      <c r="C6" s="44"/>
      <c r="D6" s="44"/>
      <c r="E6" s="44"/>
      <c r="F6" s="44"/>
      <c r="G6" s="44"/>
      <c r="H6" s="44"/>
      <c r="I6" s="44"/>
      <c r="J6" s="44"/>
      <c r="K6" s="44"/>
      <c r="L6" s="44"/>
      <c r="M6" s="44"/>
      <c r="N6" s="44"/>
      <c r="O6" s="44"/>
      <c r="P6" s="44"/>
      <c r="Q6" s="44"/>
    </row>
    <row r="7" spans="2:18" x14ac:dyDescent="0.3">
      <c r="B7" s="44" t="s">
        <v>1356</v>
      </c>
      <c r="C7" s="44"/>
      <c r="D7" s="44"/>
      <c r="E7" s="44"/>
      <c r="F7" s="44"/>
      <c r="G7" s="44"/>
      <c r="H7" s="44"/>
      <c r="I7" s="44"/>
      <c r="J7" s="44"/>
      <c r="K7" s="44"/>
      <c r="L7" s="44"/>
      <c r="M7" s="44"/>
      <c r="N7" s="44"/>
      <c r="O7" s="44"/>
      <c r="P7" s="44"/>
      <c r="Q7" s="44"/>
    </row>
    <row r="9" spans="2:18" ht="32.4" customHeight="1" x14ac:dyDescent="0.3">
      <c r="B9" s="184"/>
      <c r="C9" s="1935" t="s">
        <v>1357</v>
      </c>
      <c r="D9" s="1936"/>
      <c r="E9" s="1937"/>
      <c r="F9" s="1935" t="s">
        <v>1358</v>
      </c>
      <c r="G9" s="1936"/>
      <c r="H9" s="1937"/>
      <c r="I9" s="1935" t="s">
        <v>1359</v>
      </c>
      <c r="J9" s="1936"/>
      <c r="K9" s="1937"/>
      <c r="L9" s="1935" t="s">
        <v>1360</v>
      </c>
      <c r="M9" s="1936"/>
      <c r="N9" s="1937"/>
      <c r="O9" s="1935" t="s">
        <v>1361</v>
      </c>
      <c r="P9" s="1936"/>
      <c r="Q9" s="1937"/>
    </row>
    <row r="10" spans="2:18" ht="70" x14ac:dyDescent="0.3">
      <c r="B10" s="974"/>
      <c r="C10" s="865" t="s">
        <v>1362</v>
      </c>
      <c r="D10" s="865" t="s">
        <v>1363</v>
      </c>
      <c r="E10" s="865" t="s">
        <v>1364</v>
      </c>
      <c r="F10" s="865" t="s">
        <v>1365</v>
      </c>
      <c r="G10" s="865" t="s">
        <v>1363</v>
      </c>
      <c r="H10" s="865" t="s">
        <v>1364</v>
      </c>
      <c r="I10" s="865" t="s">
        <v>1365</v>
      </c>
      <c r="J10" s="865" t="s">
        <v>1363</v>
      </c>
      <c r="K10" s="865" t="s">
        <v>1364</v>
      </c>
      <c r="L10" s="865" t="s">
        <v>1365</v>
      </c>
      <c r="M10" s="865" t="s">
        <v>1363</v>
      </c>
      <c r="N10" s="865" t="s">
        <v>1364</v>
      </c>
      <c r="O10" s="865" t="s">
        <v>1365</v>
      </c>
      <c r="P10" s="865" t="s">
        <v>1363</v>
      </c>
      <c r="Q10" s="865" t="s">
        <v>1364</v>
      </c>
    </row>
    <row r="11" spans="2:18" x14ac:dyDescent="0.3">
      <c r="B11" s="975" t="s">
        <v>1366</v>
      </c>
      <c r="C11" s="1927" t="s">
        <v>1110</v>
      </c>
      <c r="D11" s="1928"/>
      <c r="E11" s="1928"/>
      <c r="F11" s="1928"/>
      <c r="G11" s="1928"/>
      <c r="H11" s="1928"/>
      <c r="I11" s="1928"/>
      <c r="J11" s="1928"/>
      <c r="K11" s="1928"/>
      <c r="L11" s="1928"/>
      <c r="M11" s="1928"/>
      <c r="N11" s="1928"/>
      <c r="O11" s="1928"/>
      <c r="P11" s="1928"/>
      <c r="Q11" s="1929"/>
      <c r="R11" s="976"/>
    </row>
    <row r="12" spans="2:18" x14ac:dyDescent="0.3">
      <c r="B12" s="9" t="s">
        <v>1119</v>
      </c>
      <c r="C12" s="1930"/>
      <c r="D12" s="1875"/>
      <c r="E12" s="1875"/>
      <c r="F12" s="1875"/>
      <c r="G12" s="1875"/>
      <c r="H12" s="1875"/>
      <c r="I12" s="1875"/>
      <c r="J12" s="1875"/>
      <c r="K12" s="1875"/>
      <c r="L12" s="1875"/>
      <c r="M12" s="1875"/>
      <c r="N12" s="1875"/>
      <c r="O12" s="1875"/>
      <c r="P12" s="1875"/>
      <c r="Q12" s="1931"/>
      <c r="R12" s="977"/>
    </row>
    <row r="13" spans="2:18" x14ac:dyDescent="0.3">
      <c r="B13" s="9" t="s">
        <v>1119</v>
      </c>
      <c r="C13" s="1930"/>
      <c r="D13" s="1875"/>
      <c r="E13" s="1875"/>
      <c r="F13" s="1875"/>
      <c r="G13" s="1875"/>
      <c r="H13" s="1875"/>
      <c r="I13" s="1875"/>
      <c r="J13" s="1875"/>
      <c r="K13" s="1875"/>
      <c r="L13" s="1875"/>
      <c r="M13" s="1875"/>
      <c r="N13" s="1875"/>
      <c r="O13" s="1875"/>
      <c r="P13" s="1875"/>
      <c r="Q13" s="1931"/>
    </row>
    <row r="14" spans="2:18" x14ac:dyDescent="0.3">
      <c r="B14" s="40" t="s">
        <v>1367</v>
      </c>
      <c r="C14" s="1930"/>
      <c r="D14" s="1875"/>
      <c r="E14" s="1875"/>
      <c r="F14" s="1875"/>
      <c r="G14" s="1875"/>
      <c r="H14" s="1875"/>
      <c r="I14" s="1875"/>
      <c r="J14" s="1875"/>
      <c r="K14" s="1875"/>
      <c r="L14" s="1875"/>
      <c r="M14" s="1875"/>
      <c r="N14" s="1875"/>
      <c r="O14" s="1875"/>
      <c r="P14" s="1875"/>
      <c r="Q14" s="1931"/>
      <c r="R14" s="978"/>
    </row>
    <row r="15" spans="2:18" x14ac:dyDescent="0.3">
      <c r="B15" s="9" t="s">
        <v>1368</v>
      </c>
      <c r="C15" s="1930"/>
      <c r="D15" s="1875"/>
      <c r="E15" s="1875"/>
      <c r="F15" s="1875"/>
      <c r="G15" s="1875"/>
      <c r="H15" s="1875"/>
      <c r="I15" s="1875"/>
      <c r="J15" s="1875"/>
      <c r="K15" s="1875"/>
      <c r="L15" s="1875"/>
      <c r="M15" s="1875"/>
      <c r="N15" s="1875"/>
      <c r="O15" s="1875"/>
      <c r="P15" s="1875"/>
      <c r="Q15" s="1931"/>
    </row>
    <row r="16" spans="2:18" x14ac:dyDescent="0.3">
      <c r="B16" s="979" t="s">
        <v>1369</v>
      </c>
      <c r="C16" s="1930"/>
      <c r="D16" s="1875"/>
      <c r="E16" s="1875"/>
      <c r="F16" s="1875"/>
      <c r="G16" s="1875"/>
      <c r="H16" s="1875"/>
      <c r="I16" s="1875"/>
      <c r="J16" s="1875"/>
      <c r="K16" s="1875"/>
      <c r="L16" s="1875"/>
      <c r="M16" s="1875"/>
      <c r="N16" s="1875"/>
      <c r="O16" s="1875"/>
      <c r="P16" s="1875"/>
      <c r="Q16" s="1931"/>
      <c r="R16" s="978"/>
    </row>
    <row r="17" spans="2:20" x14ac:dyDescent="0.3">
      <c r="B17" s="980" t="s">
        <v>1370</v>
      </c>
      <c r="C17" s="1930"/>
      <c r="D17" s="1875"/>
      <c r="E17" s="1875"/>
      <c r="F17" s="1875"/>
      <c r="G17" s="1875"/>
      <c r="H17" s="1875"/>
      <c r="I17" s="1875"/>
      <c r="J17" s="1875"/>
      <c r="K17" s="1875"/>
      <c r="L17" s="1875"/>
      <c r="M17" s="1875"/>
      <c r="N17" s="1875"/>
      <c r="O17" s="1875"/>
      <c r="P17" s="1875"/>
      <c r="Q17" s="1931"/>
      <c r="R17" s="981"/>
    </row>
    <row r="18" spans="2:20" x14ac:dyDescent="0.3">
      <c r="B18" s="979" t="s">
        <v>1371</v>
      </c>
      <c r="C18" s="1930"/>
      <c r="D18" s="1875"/>
      <c r="E18" s="1875"/>
      <c r="F18" s="1875"/>
      <c r="G18" s="1875"/>
      <c r="H18" s="1875"/>
      <c r="I18" s="1875"/>
      <c r="J18" s="1875"/>
      <c r="K18" s="1875"/>
      <c r="L18" s="1875"/>
      <c r="M18" s="1875"/>
      <c r="N18" s="1875"/>
      <c r="O18" s="1875"/>
      <c r="P18" s="1875"/>
      <c r="Q18" s="1931"/>
      <c r="R18" s="976"/>
      <c r="T18" s="976"/>
    </row>
    <row r="19" spans="2:20" x14ac:dyDescent="0.3">
      <c r="B19" s="40" t="s">
        <v>1372</v>
      </c>
      <c r="C19" s="1930"/>
      <c r="D19" s="1875"/>
      <c r="E19" s="1875"/>
      <c r="F19" s="1875"/>
      <c r="G19" s="1875"/>
      <c r="H19" s="1875"/>
      <c r="I19" s="1875"/>
      <c r="J19" s="1875"/>
      <c r="K19" s="1875"/>
      <c r="L19" s="1875"/>
      <c r="M19" s="1875"/>
      <c r="N19" s="1875"/>
      <c r="O19" s="1875"/>
      <c r="P19" s="1875"/>
      <c r="Q19" s="1931"/>
      <c r="R19" s="982"/>
      <c r="T19" s="976"/>
    </row>
    <row r="20" spans="2:20" s="44" customFormat="1" x14ac:dyDescent="0.3">
      <c r="B20" s="40" t="s">
        <v>1373</v>
      </c>
      <c r="C20" s="1930"/>
      <c r="D20" s="1875"/>
      <c r="E20" s="1875"/>
      <c r="F20" s="1875"/>
      <c r="G20" s="1875"/>
      <c r="H20" s="1875"/>
      <c r="I20" s="1875"/>
      <c r="J20" s="1875"/>
      <c r="K20" s="1875"/>
      <c r="L20" s="1875"/>
      <c r="M20" s="1875"/>
      <c r="N20" s="1875"/>
      <c r="O20" s="1875"/>
      <c r="P20" s="1875"/>
      <c r="Q20" s="1931"/>
      <c r="R20" s="983"/>
      <c r="S20" s="983"/>
    </row>
    <row r="21" spans="2:20" ht="60.75" customHeight="1" x14ac:dyDescent="0.3">
      <c r="B21" s="984" t="s">
        <v>1374</v>
      </c>
      <c r="C21" s="1932"/>
      <c r="D21" s="1933"/>
      <c r="E21" s="1933"/>
      <c r="F21" s="1933"/>
      <c r="G21" s="1933"/>
      <c r="H21" s="1933"/>
      <c r="I21" s="1933"/>
      <c r="J21" s="1933"/>
      <c r="K21" s="1933"/>
      <c r="L21" s="1933"/>
      <c r="M21" s="1933"/>
      <c r="N21" s="1933"/>
      <c r="O21" s="1933"/>
      <c r="P21" s="1933"/>
      <c r="Q21" s="1934"/>
      <c r="R21" s="978"/>
    </row>
    <row r="22" spans="2:20" x14ac:dyDescent="0.3">
      <c r="B22" s="985"/>
      <c r="C22" s="986"/>
      <c r="D22" s="130"/>
      <c r="E22" s="987"/>
      <c r="F22" s="988"/>
      <c r="G22" s="976"/>
      <c r="H22" s="989"/>
      <c r="I22" s="990"/>
      <c r="J22" s="978"/>
      <c r="K22" s="991"/>
      <c r="L22" s="991"/>
      <c r="M22" s="991"/>
      <c r="N22" s="991"/>
      <c r="O22" s="988"/>
      <c r="P22" s="976"/>
      <c r="Q22" s="991"/>
    </row>
    <row r="23" spans="2:20" x14ac:dyDescent="0.3">
      <c r="B23" s="1" t="s">
        <v>1375</v>
      </c>
      <c r="G23" s="976"/>
      <c r="H23" s="992"/>
      <c r="I23" s="992"/>
      <c r="J23" s="978"/>
      <c r="K23" s="992"/>
      <c r="L23" s="992"/>
      <c r="M23" s="992"/>
      <c r="N23" s="992"/>
      <c r="P23" s="976"/>
      <c r="Q23" s="992"/>
      <c r="R23" s="978"/>
    </row>
    <row r="24" spans="2:20" x14ac:dyDescent="0.3">
      <c r="H24" s="993"/>
      <c r="K24" s="993"/>
      <c r="L24" s="993"/>
      <c r="M24" s="993"/>
      <c r="N24" s="993"/>
      <c r="Q24" s="993"/>
    </row>
    <row r="25" spans="2:20" x14ac:dyDescent="0.3">
      <c r="C25" s="976"/>
      <c r="D25" s="976"/>
      <c r="E25" s="976"/>
      <c r="F25" s="976"/>
      <c r="G25" s="976"/>
      <c r="H25" s="976"/>
      <c r="I25" s="976"/>
      <c r="J25" s="976"/>
      <c r="K25" s="976"/>
      <c r="L25" s="976"/>
      <c r="M25" s="976"/>
      <c r="N25" s="976"/>
      <c r="O25" s="976"/>
      <c r="P25" s="976"/>
      <c r="Q25" s="976"/>
    </row>
    <row r="26" spans="2:20" x14ac:dyDescent="0.3">
      <c r="H26" s="976"/>
      <c r="K26" s="976"/>
      <c r="L26" s="976"/>
      <c r="M26" s="976"/>
      <c r="N26" s="976"/>
      <c r="Q26" s="976"/>
      <c r="S26" s="976"/>
    </row>
    <row r="27" spans="2:20" x14ac:dyDescent="0.3">
      <c r="C27" s="976"/>
      <c r="D27" s="976"/>
      <c r="F27" s="976"/>
      <c r="G27" s="976"/>
      <c r="H27" s="976"/>
      <c r="I27" s="976"/>
      <c r="J27" s="976"/>
      <c r="K27" s="976"/>
      <c r="L27" s="976"/>
      <c r="M27" s="976"/>
      <c r="N27" s="976"/>
      <c r="O27" s="976"/>
      <c r="P27" s="976"/>
      <c r="Q27" s="976"/>
    </row>
    <row r="29" spans="2:20" ht="29.4" customHeight="1" x14ac:dyDescent="0.3">
      <c r="C29" s="494"/>
      <c r="E29" s="976"/>
    </row>
  </sheetData>
  <mergeCells count="6">
    <mergeCell ref="C11:Q21"/>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C37"/>
  <sheetViews>
    <sheetView showGridLines="0" view="pageBreakPreview" zoomScale="70" zoomScaleNormal="75" zoomScaleSheetLayoutView="70" workbookViewId="0">
      <selection activeCell="B2" sqref="B2:C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562"/>
    </row>
    <row r="2" spans="2:3" x14ac:dyDescent="0.3">
      <c r="B2" s="1657" t="str">
        <f>Index!B2</f>
        <v xml:space="preserve">      Maharashtra State Power Generation Company Ltd.</v>
      </c>
      <c r="C2" s="1657"/>
    </row>
    <row r="3" spans="2:3" ht="16.5" customHeight="1" x14ac:dyDescent="0.3">
      <c r="B3" s="1939" t="s">
        <v>1104</v>
      </c>
      <c r="C3" s="1939"/>
    </row>
    <row r="4" spans="2:3" ht="14" customHeight="1" x14ac:dyDescent="0.3">
      <c r="B4" s="1940" t="s">
        <v>1376</v>
      </c>
      <c r="C4" s="1940"/>
    </row>
    <row r="7" spans="2:3" x14ac:dyDescent="0.3">
      <c r="B7" s="864" t="s">
        <v>37</v>
      </c>
      <c r="C7" s="864" t="s">
        <v>1377</v>
      </c>
    </row>
    <row r="8" spans="2:3" x14ac:dyDescent="0.3">
      <c r="B8" s="994"/>
      <c r="C8" s="1941" t="s">
        <v>1110</v>
      </c>
    </row>
    <row r="9" spans="2:3" x14ac:dyDescent="0.3">
      <c r="B9" s="182" t="s">
        <v>1378</v>
      </c>
      <c r="C9" s="1942"/>
    </row>
    <row r="10" spans="2:3" x14ac:dyDescent="0.3">
      <c r="B10" s="9" t="s">
        <v>1365</v>
      </c>
      <c r="C10" s="1942"/>
    </row>
    <row r="11" spans="2:3" x14ac:dyDescent="0.3">
      <c r="B11" s="9" t="s">
        <v>1379</v>
      </c>
      <c r="C11" s="1942"/>
    </row>
    <row r="12" spans="2:3" x14ac:dyDescent="0.3">
      <c r="B12" s="995" t="s">
        <v>1380</v>
      </c>
      <c r="C12" s="1942"/>
    </row>
    <row r="13" spans="2:3" x14ac:dyDescent="0.3">
      <c r="B13" s="9" t="s">
        <v>1381</v>
      </c>
      <c r="C13" s="1942"/>
    </row>
    <row r="14" spans="2:3" x14ac:dyDescent="0.3">
      <c r="B14" s="161" t="s">
        <v>1382</v>
      </c>
      <c r="C14" s="1942"/>
    </row>
    <row r="15" spans="2:3" x14ac:dyDescent="0.3">
      <c r="B15" s="9" t="s">
        <v>1383</v>
      </c>
      <c r="C15" s="1942"/>
    </row>
    <row r="16" spans="2:3" x14ac:dyDescent="0.3">
      <c r="B16" s="9" t="s">
        <v>1384</v>
      </c>
      <c r="C16" s="1942"/>
    </row>
    <row r="17" spans="2:3" x14ac:dyDescent="0.3">
      <c r="B17" s="9" t="s">
        <v>1385</v>
      </c>
      <c r="C17" s="1942"/>
    </row>
    <row r="18" spans="2:3" x14ac:dyDescent="0.3">
      <c r="B18" s="9" t="s">
        <v>1386</v>
      </c>
      <c r="C18" s="1942"/>
    </row>
    <row r="19" spans="2:3" x14ac:dyDescent="0.3">
      <c r="B19" s="9" t="s">
        <v>1387</v>
      </c>
      <c r="C19" s="1942"/>
    </row>
    <row r="20" spans="2:3" x14ac:dyDescent="0.3">
      <c r="B20" s="9" t="s">
        <v>1388</v>
      </c>
      <c r="C20" s="1942"/>
    </row>
    <row r="21" spans="2:3" x14ac:dyDescent="0.3">
      <c r="B21" s="9" t="s">
        <v>1389</v>
      </c>
      <c r="C21" s="1942"/>
    </row>
    <row r="22" spans="2:3" x14ac:dyDescent="0.3">
      <c r="B22" s="9" t="s">
        <v>1390</v>
      </c>
      <c r="C22" s="1942"/>
    </row>
    <row r="23" spans="2:3" x14ac:dyDescent="0.3">
      <c r="B23" s="9" t="s">
        <v>1391</v>
      </c>
      <c r="C23" s="1942"/>
    </row>
    <row r="24" spans="2:3" x14ac:dyDescent="0.3">
      <c r="B24" s="9" t="s">
        <v>1392</v>
      </c>
      <c r="C24" s="1942"/>
    </row>
    <row r="25" spans="2:3" x14ac:dyDescent="0.3">
      <c r="B25" s="9" t="s">
        <v>1393</v>
      </c>
      <c r="C25" s="1943"/>
    </row>
    <row r="27" spans="2:3" x14ac:dyDescent="0.3">
      <c r="B27" s="1938" t="s">
        <v>1394</v>
      </c>
      <c r="C27" s="1938"/>
    </row>
    <row r="28" spans="2:3" x14ac:dyDescent="0.3">
      <c r="B28" s="1938" t="s">
        <v>1395</v>
      </c>
      <c r="C28" s="1938"/>
    </row>
    <row r="29" spans="2:3" ht="29.4" customHeight="1" x14ac:dyDescent="0.3">
      <c r="B29" s="996" t="s">
        <v>1396</v>
      </c>
      <c r="C29" s="494"/>
    </row>
    <row r="30" spans="2:3" x14ac:dyDescent="0.3">
      <c r="B30" s="1938" t="s">
        <v>1397</v>
      </c>
      <c r="C30" s="1938"/>
    </row>
    <row r="31" spans="2:3" x14ac:dyDescent="0.3">
      <c r="B31" s="1938" t="s">
        <v>1398</v>
      </c>
      <c r="C31" s="1938"/>
    </row>
    <row r="32" spans="2:3" x14ac:dyDescent="0.3">
      <c r="B32" s="1938" t="s">
        <v>1399</v>
      </c>
      <c r="C32" s="1938"/>
    </row>
    <row r="33" spans="2:3" x14ac:dyDescent="0.3">
      <c r="B33" s="1938" t="s">
        <v>1400</v>
      </c>
      <c r="C33" s="1938"/>
    </row>
    <row r="34" spans="2:3" x14ac:dyDescent="0.3">
      <c r="B34" s="1938" t="s">
        <v>1401</v>
      </c>
      <c r="C34" s="1938"/>
    </row>
    <row r="35" spans="2:3" x14ac:dyDescent="0.3">
      <c r="B35" s="1938" t="s">
        <v>1402</v>
      </c>
      <c r="C35" s="1938"/>
    </row>
    <row r="36" spans="2:3" x14ac:dyDescent="0.3">
      <c r="B36" s="1938" t="s">
        <v>1403</v>
      </c>
      <c r="C36" s="1938"/>
    </row>
    <row r="37" spans="2:3" x14ac:dyDescent="0.3">
      <c r="B37" s="1938" t="s">
        <v>1404</v>
      </c>
      <c r="C37" s="1938"/>
    </row>
  </sheetData>
  <mergeCells count="14">
    <mergeCell ref="B36:C36"/>
    <mergeCell ref="B37:C37"/>
    <mergeCell ref="B30:C30"/>
    <mergeCell ref="B31:C31"/>
    <mergeCell ref="B32:C32"/>
    <mergeCell ref="B33:C33"/>
    <mergeCell ref="B34:C34"/>
    <mergeCell ref="B35:C35"/>
    <mergeCell ref="B28:C28"/>
    <mergeCell ref="B2:C2"/>
    <mergeCell ref="B3:C3"/>
    <mergeCell ref="B4:C4"/>
    <mergeCell ref="C8:C25"/>
    <mergeCell ref="B27:C27"/>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N29"/>
  <sheetViews>
    <sheetView showGridLines="0" view="pageBreakPreview" topLeftCell="D1" zoomScale="90" zoomScaleSheetLayoutView="90" workbookViewId="0">
      <selection activeCell="F2" sqref="F2"/>
    </sheetView>
  </sheetViews>
  <sheetFormatPr defaultColWidth="9.08984375" defaultRowHeight="14" x14ac:dyDescent="0.3"/>
  <cols>
    <col min="1" max="1" width="9.08984375" style="925"/>
    <col min="2" max="2" width="4.6328125" style="925" customWidth="1"/>
    <col min="3" max="3" width="17.453125" style="925" customWidth="1"/>
    <col min="4" max="4" width="18.08984375" style="925" customWidth="1"/>
    <col min="5" max="5" width="20.36328125" style="1007" customWidth="1"/>
    <col min="6" max="6" width="16.08984375" style="927" customWidth="1"/>
    <col min="7" max="7" width="19.6328125" style="1007" customWidth="1"/>
    <col min="8" max="10" width="20" style="927" customWidth="1"/>
    <col min="11" max="11" width="20.6328125" style="1007" customWidth="1"/>
    <col min="12" max="12" width="14.36328125" style="927" customWidth="1"/>
    <col min="13" max="13" width="19.6328125" style="925" customWidth="1"/>
    <col min="14" max="14" width="20.453125" style="925" customWidth="1"/>
    <col min="15" max="259" width="9.08984375" style="925"/>
    <col min="260" max="260" width="4.6328125" style="925" customWidth="1"/>
    <col min="261" max="261" width="11.08984375" style="925" customWidth="1"/>
    <col min="262" max="262" width="23.453125" style="925" customWidth="1"/>
    <col min="263" max="263" width="16.6328125" style="925" customWidth="1"/>
    <col min="264" max="264" width="16.08984375" style="925" customWidth="1"/>
    <col min="265" max="265" width="15.08984375" style="925" customWidth="1"/>
    <col min="266" max="266" width="20" style="925" customWidth="1"/>
    <col min="267" max="267" width="16.6328125" style="925" customWidth="1"/>
    <col min="268" max="268" width="12.08984375" style="925" customWidth="1"/>
    <col min="269" max="515" width="9.08984375" style="925"/>
    <col min="516" max="516" width="4.6328125" style="925" customWidth="1"/>
    <col min="517" max="517" width="11.08984375" style="925" customWidth="1"/>
    <col min="518" max="518" width="23.453125" style="925" customWidth="1"/>
    <col min="519" max="519" width="16.6328125" style="925" customWidth="1"/>
    <col min="520" max="520" width="16.08984375" style="925" customWidth="1"/>
    <col min="521" max="521" width="15.08984375" style="925" customWidth="1"/>
    <col min="522" max="522" width="20" style="925" customWidth="1"/>
    <col min="523" max="523" width="16.6328125" style="925" customWidth="1"/>
    <col min="524" max="524" width="12.08984375" style="925" customWidth="1"/>
    <col min="525" max="771" width="9.08984375" style="925"/>
    <col min="772" max="772" width="4.6328125" style="925" customWidth="1"/>
    <col min="773" max="773" width="11.08984375" style="925" customWidth="1"/>
    <col min="774" max="774" width="23.453125" style="925" customWidth="1"/>
    <col min="775" max="775" width="16.6328125" style="925" customWidth="1"/>
    <col min="776" max="776" width="16.08984375" style="925" customWidth="1"/>
    <col min="777" max="777" width="15.08984375" style="925" customWidth="1"/>
    <col min="778" max="778" width="20" style="925" customWidth="1"/>
    <col min="779" max="779" width="16.6328125" style="925" customWidth="1"/>
    <col min="780" max="780" width="12.08984375" style="925" customWidth="1"/>
    <col min="781" max="1027" width="9.08984375" style="925"/>
    <col min="1028" max="1028" width="4.6328125" style="925" customWidth="1"/>
    <col min="1029" max="1029" width="11.08984375" style="925" customWidth="1"/>
    <col min="1030" max="1030" width="23.453125" style="925" customWidth="1"/>
    <col min="1031" max="1031" width="16.6328125" style="925" customWidth="1"/>
    <col min="1032" max="1032" width="16.08984375" style="925" customWidth="1"/>
    <col min="1033" max="1033" width="15.08984375" style="925" customWidth="1"/>
    <col min="1034" max="1034" width="20" style="925" customWidth="1"/>
    <col min="1035" max="1035" width="16.6328125" style="925" customWidth="1"/>
    <col min="1036" max="1036" width="12.08984375" style="925" customWidth="1"/>
    <col min="1037" max="1283" width="9.08984375" style="925"/>
    <col min="1284" max="1284" width="4.6328125" style="925" customWidth="1"/>
    <col min="1285" max="1285" width="11.08984375" style="925" customWidth="1"/>
    <col min="1286" max="1286" width="23.453125" style="925" customWidth="1"/>
    <col min="1287" max="1287" width="16.6328125" style="925" customWidth="1"/>
    <col min="1288" max="1288" width="16.08984375" style="925" customWidth="1"/>
    <col min="1289" max="1289" width="15.08984375" style="925" customWidth="1"/>
    <col min="1290" max="1290" width="20" style="925" customWidth="1"/>
    <col min="1291" max="1291" width="16.6328125" style="925" customWidth="1"/>
    <col min="1292" max="1292" width="12.08984375" style="925" customWidth="1"/>
    <col min="1293" max="1539" width="9.08984375" style="925"/>
    <col min="1540" max="1540" width="4.6328125" style="925" customWidth="1"/>
    <col min="1541" max="1541" width="11.08984375" style="925" customWidth="1"/>
    <col min="1542" max="1542" width="23.453125" style="925" customWidth="1"/>
    <col min="1543" max="1543" width="16.6328125" style="925" customWidth="1"/>
    <col min="1544" max="1544" width="16.08984375" style="925" customWidth="1"/>
    <col min="1545" max="1545" width="15.08984375" style="925" customWidth="1"/>
    <col min="1546" max="1546" width="20" style="925" customWidth="1"/>
    <col min="1547" max="1547" width="16.6328125" style="925" customWidth="1"/>
    <col min="1548" max="1548" width="12.08984375" style="925" customWidth="1"/>
    <col min="1549" max="1795" width="9.08984375" style="925"/>
    <col min="1796" max="1796" width="4.6328125" style="925" customWidth="1"/>
    <col min="1797" max="1797" width="11.08984375" style="925" customWidth="1"/>
    <col min="1798" max="1798" width="23.453125" style="925" customWidth="1"/>
    <col min="1799" max="1799" width="16.6328125" style="925" customWidth="1"/>
    <col min="1800" max="1800" width="16.08984375" style="925" customWidth="1"/>
    <col min="1801" max="1801" width="15.08984375" style="925" customWidth="1"/>
    <col min="1802" max="1802" width="20" style="925" customWidth="1"/>
    <col min="1803" max="1803" width="16.6328125" style="925" customWidth="1"/>
    <col min="1804" max="1804" width="12.08984375" style="925" customWidth="1"/>
    <col min="1805" max="2051" width="9.08984375" style="925"/>
    <col min="2052" max="2052" width="4.6328125" style="925" customWidth="1"/>
    <col min="2053" max="2053" width="11.08984375" style="925" customWidth="1"/>
    <col min="2054" max="2054" width="23.453125" style="925" customWidth="1"/>
    <col min="2055" max="2055" width="16.6328125" style="925" customWidth="1"/>
    <col min="2056" max="2056" width="16.08984375" style="925" customWidth="1"/>
    <col min="2057" max="2057" width="15.08984375" style="925" customWidth="1"/>
    <col min="2058" max="2058" width="20" style="925" customWidth="1"/>
    <col min="2059" max="2059" width="16.6328125" style="925" customWidth="1"/>
    <col min="2060" max="2060" width="12.08984375" style="925" customWidth="1"/>
    <col min="2061" max="2307" width="9.08984375" style="925"/>
    <col min="2308" max="2308" width="4.6328125" style="925" customWidth="1"/>
    <col min="2309" max="2309" width="11.08984375" style="925" customWidth="1"/>
    <col min="2310" max="2310" width="23.453125" style="925" customWidth="1"/>
    <col min="2311" max="2311" width="16.6328125" style="925" customWidth="1"/>
    <col min="2312" max="2312" width="16.08984375" style="925" customWidth="1"/>
    <col min="2313" max="2313" width="15.08984375" style="925" customWidth="1"/>
    <col min="2314" max="2314" width="20" style="925" customWidth="1"/>
    <col min="2315" max="2315" width="16.6328125" style="925" customWidth="1"/>
    <col min="2316" max="2316" width="12.08984375" style="925" customWidth="1"/>
    <col min="2317" max="2563" width="9.08984375" style="925"/>
    <col min="2564" max="2564" width="4.6328125" style="925" customWidth="1"/>
    <col min="2565" max="2565" width="11.08984375" style="925" customWidth="1"/>
    <col min="2566" max="2566" width="23.453125" style="925" customWidth="1"/>
    <col min="2567" max="2567" width="16.6328125" style="925" customWidth="1"/>
    <col min="2568" max="2568" width="16.08984375" style="925" customWidth="1"/>
    <col min="2569" max="2569" width="15.08984375" style="925" customWidth="1"/>
    <col min="2570" max="2570" width="20" style="925" customWidth="1"/>
    <col min="2571" max="2571" width="16.6328125" style="925" customWidth="1"/>
    <col min="2572" max="2572" width="12.08984375" style="925" customWidth="1"/>
    <col min="2573" max="2819" width="9.08984375" style="925"/>
    <col min="2820" max="2820" width="4.6328125" style="925" customWidth="1"/>
    <col min="2821" max="2821" width="11.08984375" style="925" customWidth="1"/>
    <col min="2822" max="2822" width="23.453125" style="925" customWidth="1"/>
    <col min="2823" max="2823" width="16.6328125" style="925" customWidth="1"/>
    <col min="2824" max="2824" width="16.08984375" style="925" customWidth="1"/>
    <col min="2825" max="2825" width="15.08984375" style="925" customWidth="1"/>
    <col min="2826" max="2826" width="20" style="925" customWidth="1"/>
    <col min="2827" max="2827" width="16.6328125" style="925" customWidth="1"/>
    <col min="2828" max="2828" width="12.08984375" style="925" customWidth="1"/>
    <col min="2829" max="3075" width="9.08984375" style="925"/>
    <col min="3076" max="3076" width="4.6328125" style="925" customWidth="1"/>
    <col min="3077" max="3077" width="11.08984375" style="925" customWidth="1"/>
    <col min="3078" max="3078" width="23.453125" style="925" customWidth="1"/>
    <col min="3079" max="3079" width="16.6328125" style="925" customWidth="1"/>
    <col min="3080" max="3080" width="16.08984375" style="925" customWidth="1"/>
    <col min="3081" max="3081" width="15.08984375" style="925" customWidth="1"/>
    <col min="3082" max="3082" width="20" style="925" customWidth="1"/>
    <col min="3083" max="3083" width="16.6328125" style="925" customWidth="1"/>
    <col min="3084" max="3084" width="12.08984375" style="925" customWidth="1"/>
    <col min="3085" max="3331" width="9.08984375" style="925"/>
    <col min="3332" max="3332" width="4.6328125" style="925" customWidth="1"/>
    <col min="3333" max="3333" width="11.08984375" style="925" customWidth="1"/>
    <col min="3334" max="3334" width="23.453125" style="925" customWidth="1"/>
    <col min="3335" max="3335" width="16.6328125" style="925" customWidth="1"/>
    <col min="3336" max="3336" width="16.08984375" style="925" customWidth="1"/>
    <col min="3337" max="3337" width="15.08984375" style="925" customWidth="1"/>
    <col min="3338" max="3338" width="20" style="925" customWidth="1"/>
    <col min="3339" max="3339" width="16.6328125" style="925" customWidth="1"/>
    <col min="3340" max="3340" width="12.08984375" style="925" customWidth="1"/>
    <col min="3341" max="3587" width="9.08984375" style="925"/>
    <col min="3588" max="3588" width="4.6328125" style="925" customWidth="1"/>
    <col min="3589" max="3589" width="11.08984375" style="925" customWidth="1"/>
    <col min="3590" max="3590" width="23.453125" style="925" customWidth="1"/>
    <col min="3591" max="3591" width="16.6328125" style="925" customWidth="1"/>
    <col min="3592" max="3592" width="16.08984375" style="925" customWidth="1"/>
    <col min="3593" max="3593" width="15.08984375" style="925" customWidth="1"/>
    <col min="3594" max="3594" width="20" style="925" customWidth="1"/>
    <col min="3595" max="3595" width="16.6328125" style="925" customWidth="1"/>
    <col min="3596" max="3596" width="12.08984375" style="925" customWidth="1"/>
    <col min="3597" max="3843" width="9.08984375" style="925"/>
    <col min="3844" max="3844" width="4.6328125" style="925" customWidth="1"/>
    <col min="3845" max="3845" width="11.08984375" style="925" customWidth="1"/>
    <col min="3846" max="3846" width="23.453125" style="925" customWidth="1"/>
    <col min="3847" max="3847" width="16.6328125" style="925" customWidth="1"/>
    <col min="3848" max="3848" width="16.08984375" style="925" customWidth="1"/>
    <col min="3849" max="3849" width="15.08984375" style="925" customWidth="1"/>
    <col min="3850" max="3850" width="20" style="925" customWidth="1"/>
    <col min="3851" max="3851" width="16.6328125" style="925" customWidth="1"/>
    <col min="3852" max="3852" width="12.08984375" style="925" customWidth="1"/>
    <col min="3853" max="4099" width="9.08984375" style="925"/>
    <col min="4100" max="4100" width="4.6328125" style="925" customWidth="1"/>
    <col min="4101" max="4101" width="11.08984375" style="925" customWidth="1"/>
    <col min="4102" max="4102" width="23.453125" style="925" customWidth="1"/>
    <col min="4103" max="4103" width="16.6328125" style="925" customWidth="1"/>
    <col min="4104" max="4104" width="16.08984375" style="925" customWidth="1"/>
    <col min="4105" max="4105" width="15.08984375" style="925" customWidth="1"/>
    <col min="4106" max="4106" width="20" style="925" customWidth="1"/>
    <col min="4107" max="4107" width="16.6328125" style="925" customWidth="1"/>
    <col min="4108" max="4108" width="12.08984375" style="925" customWidth="1"/>
    <col min="4109" max="4355" width="9.08984375" style="925"/>
    <col min="4356" max="4356" width="4.6328125" style="925" customWidth="1"/>
    <col min="4357" max="4357" width="11.08984375" style="925" customWidth="1"/>
    <col min="4358" max="4358" width="23.453125" style="925" customWidth="1"/>
    <col min="4359" max="4359" width="16.6328125" style="925" customWidth="1"/>
    <col min="4360" max="4360" width="16.08984375" style="925" customWidth="1"/>
    <col min="4361" max="4361" width="15.08984375" style="925" customWidth="1"/>
    <col min="4362" max="4362" width="20" style="925" customWidth="1"/>
    <col min="4363" max="4363" width="16.6328125" style="925" customWidth="1"/>
    <col min="4364" max="4364" width="12.08984375" style="925" customWidth="1"/>
    <col min="4365" max="4611" width="9.08984375" style="925"/>
    <col min="4612" max="4612" width="4.6328125" style="925" customWidth="1"/>
    <col min="4613" max="4613" width="11.08984375" style="925" customWidth="1"/>
    <col min="4614" max="4614" width="23.453125" style="925" customWidth="1"/>
    <col min="4615" max="4615" width="16.6328125" style="925" customWidth="1"/>
    <col min="4616" max="4616" width="16.08984375" style="925" customWidth="1"/>
    <col min="4617" max="4617" width="15.08984375" style="925" customWidth="1"/>
    <col min="4618" max="4618" width="20" style="925" customWidth="1"/>
    <col min="4619" max="4619" width="16.6328125" style="925" customWidth="1"/>
    <col min="4620" max="4620" width="12.08984375" style="925" customWidth="1"/>
    <col min="4621" max="4867" width="9.08984375" style="925"/>
    <col min="4868" max="4868" width="4.6328125" style="925" customWidth="1"/>
    <col min="4869" max="4869" width="11.08984375" style="925" customWidth="1"/>
    <col min="4870" max="4870" width="23.453125" style="925" customWidth="1"/>
    <col min="4871" max="4871" width="16.6328125" style="925" customWidth="1"/>
    <col min="4872" max="4872" width="16.08984375" style="925" customWidth="1"/>
    <col min="4873" max="4873" width="15.08984375" style="925" customWidth="1"/>
    <col min="4874" max="4874" width="20" style="925" customWidth="1"/>
    <col min="4875" max="4875" width="16.6328125" style="925" customWidth="1"/>
    <col min="4876" max="4876" width="12.08984375" style="925" customWidth="1"/>
    <col min="4877" max="5123" width="9.08984375" style="925"/>
    <col min="5124" max="5124" width="4.6328125" style="925" customWidth="1"/>
    <col min="5125" max="5125" width="11.08984375" style="925" customWidth="1"/>
    <col min="5126" max="5126" width="23.453125" style="925" customWidth="1"/>
    <col min="5127" max="5127" width="16.6328125" style="925" customWidth="1"/>
    <col min="5128" max="5128" width="16.08984375" style="925" customWidth="1"/>
    <col min="5129" max="5129" width="15.08984375" style="925" customWidth="1"/>
    <col min="5130" max="5130" width="20" style="925" customWidth="1"/>
    <col min="5131" max="5131" width="16.6328125" style="925" customWidth="1"/>
    <col min="5132" max="5132" width="12.08984375" style="925" customWidth="1"/>
    <col min="5133" max="5379" width="9.08984375" style="925"/>
    <col min="5380" max="5380" width="4.6328125" style="925" customWidth="1"/>
    <col min="5381" max="5381" width="11.08984375" style="925" customWidth="1"/>
    <col min="5382" max="5382" width="23.453125" style="925" customWidth="1"/>
    <col min="5383" max="5383" width="16.6328125" style="925" customWidth="1"/>
    <col min="5384" max="5384" width="16.08984375" style="925" customWidth="1"/>
    <col min="5385" max="5385" width="15.08984375" style="925" customWidth="1"/>
    <col min="5386" max="5386" width="20" style="925" customWidth="1"/>
    <col min="5387" max="5387" width="16.6328125" style="925" customWidth="1"/>
    <col min="5388" max="5388" width="12.08984375" style="925" customWidth="1"/>
    <col min="5389" max="5635" width="9.08984375" style="925"/>
    <col min="5636" max="5636" width="4.6328125" style="925" customWidth="1"/>
    <col min="5637" max="5637" width="11.08984375" style="925" customWidth="1"/>
    <col min="5638" max="5638" width="23.453125" style="925" customWidth="1"/>
    <col min="5639" max="5639" width="16.6328125" style="925" customWidth="1"/>
    <col min="5640" max="5640" width="16.08984375" style="925" customWidth="1"/>
    <col min="5641" max="5641" width="15.08984375" style="925" customWidth="1"/>
    <col min="5642" max="5642" width="20" style="925" customWidth="1"/>
    <col min="5643" max="5643" width="16.6328125" style="925" customWidth="1"/>
    <col min="5644" max="5644" width="12.08984375" style="925" customWidth="1"/>
    <col min="5645" max="5891" width="9.08984375" style="925"/>
    <col min="5892" max="5892" width="4.6328125" style="925" customWidth="1"/>
    <col min="5893" max="5893" width="11.08984375" style="925" customWidth="1"/>
    <col min="5894" max="5894" width="23.453125" style="925" customWidth="1"/>
    <col min="5895" max="5895" width="16.6328125" style="925" customWidth="1"/>
    <col min="5896" max="5896" width="16.08984375" style="925" customWidth="1"/>
    <col min="5897" max="5897" width="15.08984375" style="925" customWidth="1"/>
    <col min="5898" max="5898" width="20" style="925" customWidth="1"/>
    <col min="5899" max="5899" width="16.6328125" style="925" customWidth="1"/>
    <col min="5900" max="5900" width="12.08984375" style="925" customWidth="1"/>
    <col min="5901" max="6147" width="9.08984375" style="925"/>
    <col min="6148" max="6148" width="4.6328125" style="925" customWidth="1"/>
    <col min="6149" max="6149" width="11.08984375" style="925" customWidth="1"/>
    <col min="6150" max="6150" width="23.453125" style="925" customWidth="1"/>
    <col min="6151" max="6151" width="16.6328125" style="925" customWidth="1"/>
    <col min="6152" max="6152" width="16.08984375" style="925" customWidth="1"/>
    <col min="6153" max="6153" width="15.08984375" style="925" customWidth="1"/>
    <col min="6154" max="6154" width="20" style="925" customWidth="1"/>
    <col min="6155" max="6155" width="16.6328125" style="925" customWidth="1"/>
    <col min="6156" max="6156" width="12.08984375" style="925" customWidth="1"/>
    <col min="6157" max="6403" width="9.08984375" style="925"/>
    <col min="6404" max="6404" width="4.6328125" style="925" customWidth="1"/>
    <col min="6405" max="6405" width="11.08984375" style="925" customWidth="1"/>
    <col min="6406" max="6406" width="23.453125" style="925" customWidth="1"/>
    <col min="6407" max="6407" width="16.6328125" style="925" customWidth="1"/>
    <col min="6408" max="6408" width="16.08984375" style="925" customWidth="1"/>
    <col min="6409" max="6409" width="15.08984375" style="925" customWidth="1"/>
    <col min="6410" max="6410" width="20" style="925" customWidth="1"/>
    <col min="6411" max="6411" width="16.6328125" style="925" customWidth="1"/>
    <col min="6412" max="6412" width="12.08984375" style="925" customWidth="1"/>
    <col min="6413" max="6659" width="9.08984375" style="925"/>
    <col min="6660" max="6660" width="4.6328125" style="925" customWidth="1"/>
    <col min="6661" max="6661" width="11.08984375" style="925" customWidth="1"/>
    <col min="6662" max="6662" width="23.453125" style="925" customWidth="1"/>
    <col min="6663" max="6663" width="16.6328125" style="925" customWidth="1"/>
    <col min="6664" max="6664" width="16.08984375" style="925" customWidth="1"/>
    <col min="6665" max="6665" width="15.08984375" style="925" customWidth="1"/>
    <col min="6666" max="6666" width="20" style="925" customWidth="1"/>
    <col min="6667" max="6667" width="16.6328125" style="925" customWidth="1"/>
    <col min="6668" max="6668" width="12.08984375" style="925" customWidth="1"/>
    <col min="6669" max="6915" width="9.08984375" style="925"/>
    <col min="6916" max="6916" width="4.6328125" style="925" customWidth="1"/>
    <col min="6917" max="6917" width="11.08984375" style="925" customWidth="1"/>
    <col min="6918" max="6918" width="23.453125" style="925" customWidth="1"/>
    <col min="6919" max="6919" width="16.6328125" style="925" customWidth="1"/>
    <col min="6920" max="6920" width="16.08984375" style="925" customWidth="1"/>
    <col min="6921" max="6921" width="15.08984375" style="925" customWidth="1"/>
    <col min="6922" max="6922" width="20" style="925" customWidth="1"/>
    <col min="6923" max="6923" width="16.6328125" style="925" customWidth="1"/>
    <col min="6924" max="6924" width="12.08984375" style="925" customWidth="1"/>
    <col min="6925" max="7171" width="9.08984375" style="925"/>
    <col min="7172" max="7172" width="4.6328125" style="925" customWidth="1"/>
    <col min="7173" max="7173" width="11.08984375" style="925" customWidth="1"/>
    <col min="7174" max="7174" width="23.453125" style="925" customWidth="1"/>
    <col min="7175" max="7175" width="16.6328125" style="925" customWidth="1"/>
    <col min="7176" max="7176" width="16.08984375" style="925" customWidth="1"/>
    <col min="7177" max="7177" width="15.08984375" style="925" customWidth="1"/>
    <col min="7178" max="7178" width="20" style="925" customWidth="1"/>
    <col min="7179" max="7179" width="16.6328125" style="925" customWidth="1"/>
    <col min="7180" max="7180" width="12.08984375" style="925" customWidth="1"/>
    <col min="7181" max="7427" width="9.08984375" style="925"/>
    <col min="7428" max="7428" width="4.6328125" style="925" customWidth="1"/>
    <col min="7429" max="7429" width="11.08984375" style="925" customWidth="1"/>
    <col min="7430" max="7430" width="23.453125" style="925" customWidth="1"/>
    <col min="7431" max="7431" width="16.6328125" style="925" customWidth="1"/>
    <col min="7432" max="7432" width="16.08984375" style="925" customWidth="1"/>
    <col min="7433" max="7433" width="15.08984375" style="925" customWidth="1"/>
    <col min="7434" max="7434" width="20" style="925" customWidth="1"/>
    <col min="7435" max="7435" width="16.6328125" style="925" customWidth="1"/>
    <col min="7436" max="7436" width="12.08984375" style="925" customWidth="1"/>
    <col min="7437" max="7683" width="9.08984375" style="925"/>
    <col min="7684" max="7684" width="4.6328125" style="925" customWidth="1"/>
    <col min="7685" max="7685" width="11.08984375" style="925" customWidth="1"/>
    <col min="7686" max="7686" width="23.453125" style="925" customWidth="1"/>
    <col min="7687" max="7687" width="16.6328125" style="925" customWidth="1"/>
    <col min="7688" max="7688" width="16.08984375" style="925" customWidth="1"/>
    <col min="7689" max="7689" width="15.08984375" style="925" customWidth="1"/>
    <col min="7690" max="7690" width="20" style="925" customWidth="1"/>
    <col min="7691" max="7691" width="16.6328125" style="925" customWidth="1"/>
    <col min="7692" max="7692" width="12.08984375" style="925" customWidth="1"/>
    <col min="7693" max="7939" width="9.08984375" style="925"/>
    <col min="7940" max="7940" width="4.6328125" style="925" customWidth="1"/>
    <col min="7941" max="7941" width="11.08984375" style="925" customWidth="1"/>
    <col min="7942" max="7942" width="23.453125" style="925" customWidth="1"/>
    <col min="7943" max="7943" width="16.6328125" style="925" customWidth="1"/>
    <col min="7944" max="7944" width="16.08984375" style="925" customWidth="1"/>
    <col min="7945" max="7945" width="15.08984375" style="925" customWidth="1"/>
    <col min="7946" max="7946" width="20" style="925" customWidth="1"/>
    <col min="7947" max="7947" width="16.6328125" style="925" customWidth="1"/>
    <col min="7948" max="7948" width="12.08984375" style="925" customWidth="1"/>
    <col min="7949" max="8195" width="9.08984375" style="925"/>
    <col min="8196" max="8196" width="4.6328125" style="925" customWidth="1"/>
    <col min="8197" max="8197" width="11.08984375" style="925" customWidth="1"/>
    <col min="8198" max="8198" width="23.453125" style="925" customWidth="1"/>
    <col min="8199" max="8199" width="16.6328125" style="925" customWidth="1"/>
    <col min="8200" max="8200" width="16.08984375" style="925" customWidth="1"/>
    <col min="8201" max="8201" width="15.08984375" style="925" customWidth="1"/>
    <col min="8202" max="8202" width="20" style="925" customWidth="1"/>
    <col min="8203" max="8203" width="16.6328125" style="925" customWidth="1"/>
    <col min="8204" max="8204" width="12.08984375" style="925" customWidth="1"/>
    <col min="8205" max="8451" width="9.08984375" style="925"/>
    <col min="8452" max="8452" width="4.6328125" style="925" customWidth="1"/>
    <col min="8453" max="8453" width="11.08984375" style="925" customWidth="1"/>
    <col min="8454" max="8454" width="23.453125" style="925" customWidth="1"/>
    <col min="8455" max="8455" width="16.6328125" style="925" customWidth="1"/>
    <col min="8456" max="8456" width="16.08984375" style="925" customWidth="1"/>
    <col min="8457" max="8457" width="15.08984375" style="925" customWidth="1"/>
    <col min="8458" max="8458" width="20" style="925" customWidth="1"/>
    <col min="8459" max="8459" width="16.6328125" style="925" customWidth="1"/>
    <col min="8460" max="8460" width="12.08984375" style="925" customWidth="1"/>
    <col min="8461" max="8707" width="9.08984375" style="925"/>
    <col min="8708" max="8708" width="4.6328125" style="925" customWidth="1"/>
    <col min="8709" max="8709" width="11.08984375" style="925" customWidth="1"/>
    <col min="8710" max="8710" width="23.453125" style="925" customWidth="1"/>
    <col min="8711" max="8711" width="16.6328125" style="925" customWidth="1"/>
    <col min="8712" max="8712" width="16.08984375" style="925" customWidth="1"/>
    <col min="8713" max="8713" width="15.08984375" style="925" customWidth="1"/>
    <col min="8714" max="8714" width="20" style="925" customWidth="1"/>
    <col min="8715" max="8715" width="16.6328125" style="925" customWidth="1"/>
    <col min="8716" max="8716" width="12.08984375" style="925" customWidth="1"/>
    <col min="8717" max="8963" width="9.08984375" style="925"/>
    <col min="8964" max="8964" width="4.6328125" style="925" customWidth="1"/>
    <col min="8965" max="8965" width="11.08984375" style="925" customWidth="1"/>
    <col min="8966" max="8966" width="23.453125" style="925" customWidth="1"/>
    <col min="8967" max="8967" width="16.6328125" style="925" customWidth="1"/>
    <col min="8968" max="8968" width="16.08984375" style="925" customWidth="1"/>
    <col min="8969" max="8969" width="15.08984375" style="925" customWidth="1"/>
    <col min="8970" max="8970" width="20" style="925" customWidth="1"/>
    <col min="8971" max="8971" width="16.6328125" style="925" customWidth="1"/>
    <col min="8972" max="8972" width="12.08984375" style="925" customWidth="1"/>
    <col min="8973" max="9219" width="9.08984375" style="925"/>
    <col min="9220" max="9220" width="4.6328125" style="925" customWidth="1"/>
    <col min="9221" max="9221" width="11.08984375" style="925" customWidth="1"/>
    <col min="9222" max="9222" width="23.453125" style="925" customWidth="1"/>
    <col min="9223" max="9223" width="16.6328125" style="925" customWidth="1"/>
    <col min="9224" max="9224" width="16.08984375" style="925" customWidth="1"/>
    <col min="9225" max="9225" width="15.08984375" style="925" customWidth="1"/>
    <col min="9226" max="9226" width="20" style="925" customWidth="1"/>
    <col min="9227" max="9227" width="16.6328125" style="925" customWidth="1"/>
    <col min="9228" max="9228" width="12.08984375" style="925" customWidth="1"/>
    <col min="9229" max="9475" width="9.08984375" style="925"/>
    <col min="9476" max="9476" width="4.6328125" style="925" customWidth="1"/>
    <col min="9477" max="9477" width="11.08984375" style="925" customWidth="1"/>
    <col min="9478" max="9478" width="23.453125" style="925" customWidth="1"/>
    <col min="9479" max="9479" width="16.6328125" style="925" customWidth="1"/>
    <col min="9480" max="9480" width="16.08984375" style="925" customWidth="1"/>
    <col min="9481" max="9481" width="15.08984375" style="925" customWidth="1"/>
    <col min="9482" max="9482" width="20" style="925" customWidth="1"/>
    <col min="9483" max="9483" width="16.6328125" style="925" customWidth="1"/>
    <col min="9484" max="9484" width="12.08984375" style="925" customWidth="1"/>
    <col min="9485" max="9731" width="9.08984375" style="925"/>
    <col min="9732" max="9732" width="4.6328125" style="925" customWidth="1"/>
    <col min="9733" max="9733" width="11.08984375" style="925" customWidth="1"/>
    <col min="9734" max="9734" width="23.453125" style="925" customWidth="1"/>
    <col min="9735" max="9735" width="16.6328125" style="925" customWidth="1"/>
    <col min="9736" max="9736" width="16.08984375" style="925" customWidth="1"/>
    <col min="9737" max="9737" width="15.08984375" style="925" customWidth="1"/>
    <col min="9738" max="9738" width="20" style="925" customWidth="1"/>
    <col min="9739" max="9739" width="16.6328125" style="925" customWidth="1"/>
    <col min="9740" max="9740" width="12.08984375" style="925" customWidth="1"/>
    <col min="9741" max="9987" width="9.08984375" style="925"/>
    <col min="9988" max="9988" width="4.6328125" style="925" customWidth="1"/>
    <col min="9989" max="9989" width="11.08984375" style="925" customWidth="1"/>
    <col min="9990" max="9990" width="23.453125" style="925" customWidth="1"/>
    <col min="9991" max="9991" width="16.6328125" style="925" customWidth="1"/>
    <col min="9992" max="9992" width="16.08984375" style="925" customWidth="1"/>
    <col min="9993" max="9993" width="15.08984375" style="925" customWidth="1"/>
    <col min="9994" max="9994" width="20" style="925" customWidth="1"/>
    <col min="9995" max="9995" width="16.6328125" style="925" customWidth="1"/>
    <col min="9996" max="9996" width="12.08984375" style="925" customWidth="1"/>
    <col min="9997" max="10243" width="9.08984375" style="925"/>
    <col min="10244" max="10244" width="4.6328125" style="925" customWidth="1"/>
    <col min="10245" max="10245" width="11.08984375" style="925" customWidth="1"/>
    <col min="10246" max="10246" width="23.453125" style="925" customWidth="1"/>
    <col min="10247" max="10247" width="16.6328125" style="925" customWidth="1"/>
    <col min="10248" max="10248" width="16.08984375" style="925" customWidth="1"/>
    <col min="10249" max="10249" width="15.08984375" style="925" customWidth="1"/>
    <col min="10250" max="10250" width="20" style="925" customWidth="1"/>
    <col min="10251" max="10251" width="16.6328125" style="925" customWidth="1"/>
    <col min="10252" max="10252" width="12.08984375" style="925" customWidth="1"/>
    <col min="10253" max="10499" width="9.08984375" style="925"/>
    <col min="10500" max="10500" width="4.6328125" style="925" customWidth="1"/>
    <col min="10501" max="10501" width="11.08984375" style="925" customWidth="1"/>
    <col min="10502" max="10502" width="23.453125" style="925" customWidth="1"/>
    <col min="10503" max="10503" width="16.6328125" style="925" customWidth="1"/>
    <col min="10504" max="10504" width="16.08984375" style="925" customWidth="1"/>
    <col min="10505" max="10505" width="15.08984375" style="925" customWidth="1"/>
    <col min="10506" max="10506" width="20" style="925" customWidth="1"/>
    <col min="10507" max="10507" width="16.6328125" style="925" customWidth="1"/>
    <col min="10508" max="10508" width="12.08984375" style="925" customWidth="1"/>
    <col min="10509" max="10755" width="9.08984375" style="925"/>
    <col min="10756" max="10756" width="4.6328125" style="925" customWidth="1"/>
    <col min="10757" max="10757" width="11.08984375" style="925" customWidth="1"/>
    <col min="10758" max="10758" width="23.453125" style="925" customWidth="1"/>
    <col min="10759" max="10759" width="16.6328125" style="925" customWidth="1"/>
    <col min="10760" max="10760" width="16.08984375" style="925" customWidth="1"/>
    <col min="10761" max="10761" width="15.08984375" style="925" customWidth="1"/>
    <col min="10762" max="10762" width="20" style="925" customWidth="1"/>
    <col min="10763" max="10763" width="16.6328125" style="925" customWidth="1"/>
    <col min="10764" max="10764" width="12.08984375" style="925" customWidth="1"/>
    <col min="10765" max="11011" width="9.08984375" style="925"/>
    <col min="11012" max="11012" width="4.6328125" style="925" customWidth="1"/>
    <col min="11013" max="11013" width="11.08984375" style="925" customWidth="1"/>
    <col min="11014" max="11014" width="23.453125" style="925" customWidth="1"/>
    <col min="11015" max="11015" width="16.6328125" style="925" customWidth="1"/>
    <col min="11016" max="11016" width="16.08984375" style="925" customWidth="1"/>
    <col min="11017" max="11017" width="15.08984375" style="925" customWidth="1"/>
    <col min="11018" max="11018" width="20" style="925" customWidth="1"/>
    <col min="11019" max="11019" width="16.6328125" style="925" customWidth="1"/>
    <col min="11020" max="11020" width="12.08984375" style="925" customWidth="1"/>
    <col min="11021" max="11267" width="9.08984375" style="925"/>
    <col min="11268" max="11268" width="4.6328125" style="925" customWidth="1"/>
    <col min="11269" max="11269" width="11.08984375" style="925" customWidth="1"/>
    <col min="11270" max="11270" width="23.453125" style="925" customWidth="1"/>
    <col min="11271" max="11271" width="16.6328125" style="925" customWidth="1"/>
    <col min="11272" max="11272" width="16.08984375" style="925" customWidth="1"/>
    <col min="11273" max="11273" width="15.08984375" style="925" customWidth="1"/>
    <col min="11274" max="11274" width="20" style="925" customWidth="1"/>
    <col min="11275" max="11275" width="16.6328125" style="925" customWidth="1"/>
    <col min="11276" max="11276" width="12.08984375" style="925" customWidth="1"/>
    <col min="11277" max="11523" width="9.08984375" style="925"/>
    <col min="11524" max="11524" width="4.6328125" style="925" customWidth="1"/>
    <col min="11525" max="11525" width="11.08984375" style="925" customWidth="1"/>
    <col min="11526" max="11526" width="23.453125" style="925" customWidth="1"/>
    <col min="11527" max="11527" width="16.6328125" style="925" customWidth="1"/>
    <col min="11528" max="11528" width="16.08984375" style="925" customWidth="1"/>
    <col min="11529" max="11529" width="15.08984375" style="925" customWidth="1"/>
    <col min="11530" max="11530" width="20" style="925" customWidth="1"/>
    <col min="11531" max="11531" width="16.6328125" style="925" customWidth="1"/>
    <col min="11532" max="11532" width="12.08984375" style="925" customWidth="1"/>
    <col min="11533" max="11779" width="9.08984375" style="925"/>
    <col min="11780" max="11780" width="4.6328125" style="925" customWidth="1"/>
    <col min="11781" max="11781" width="11.08984375" style="925" customWidth="1"/>
    <col min="11782" max="11782" width="23.453125" style="925" customWidth="1"/>
    <col min="11783" max="11783" width="16.6328125" style="925" customWidth="1"/>
    <col min="11784" max="11784" width="16.08984375" style="925" customWidth="1"/>
    <col min="11785" max="11785" width="15.08984375" style="925" customWidth="1"/>
    <col min="11786" max="11786" width="20" style="925" customWidth="1"/>
    <col min="11787" max="11787" width="16.6328125" style="925" customWidth="1"/>
    <col min="11788" max="11788" width="12.08984375" style="925" customWidth="1"/>
    <col min="11789" max="12035" width="9.08984375" style="925"/>
    <col min="12036" max="12036" width="4.6328125" style="925" customWidth="1"/>
    <col min="12037" max="12037" width="11.08984375" style="925" customWidth="1"/>
    <col min="12038" max="12038" width="23.453125" style="925" customWidth="1"/>
    <col min="12039" max="12039" width="16.6328125" style="925" customWidth="1"/>
    <col min="12040" max="12040" width="16.08984375" style="925" customWidth="1"/>
    <col min="12041" max="12041" width="15.08984375" style="925" customWidth="1"/>
    <col min="12042" max="12042" width="20" style="925" customWidth="1"/>
    <col min="12043" max="12043" width="16.6328125" style="925" customWidth="1"/>
    <col min="12044" max="12044" width="12.08984375" style="925" customWidth="1"/>
    <col min="12045" max="12291" width="9.08984375" style="925"/>
    <col min="12292" max="12292" width="4.6328125" style="925" customWidth="1"/>
    <col min="12293" max="12293" width="11.08984375" style="925" customWidth="1"/>
    <col min="12294" max="12294" width="23.453125" style="925" customWidth="1"/>
    <col min="12295" max="12295" width="16.6328125" style="925" customWidth="1"/>
    <col min="12296" max="12296" width="16.08984375" style="925" customWidth="1"/>
    <col min="12297" max="12297" width="15.08984375" style="925" customWidth="1"/>
    <col min="12298" max="12298" width="20" style="925" customWidth="1"/>
    <col min="12299" max="12299" width="16.6328125" style="925" customWidth="1"/>
    <col min="12300" max="12300" width="12.08984375" style="925" customWidth="1"/>
    <col min="12301" max="12547" width="9.08984375" style="925"/>
    <col min="12548" max="12548" width="4.6328125" style="925" customWidth="1"/>
    <col min="12549" max="12549" width="11.08984375" style="925" customWidth="1"/>
    <col min="12550" max="12550" width="23.453125" style="925" customWidth="1"/>
    <col min="12551" max="12551" width="16.6328125" style="925" customWidth="1"/>
    <col min="12552" max="12552" width="16.08984375" style="925" customWidth="1"/>
    <col min="12553" max="12553" width="15.08984375" style="925" customWidth="1"/>
    <col min="12554" max="12554" width="20" style="925" customWidth="1"/>
    <col min="12555" max="12555" width="16.6328125" style="925" customWidth="1"/>
    <col min="12556" max="12556" width="12.08984375" style="925" customWidth="1"/>
    <col min="12557" max="12803" width="9.08984375" style="925"/>
    <col min="12804" max="12804" width="4.6328125" style="925" customWidth="1"/>
    <col min="12805" max="12805" width="11.08984375" style="925" customWidth="1"/>
    <col min="12806" max="12806" width="23.453125" style="925" customWidth="1"/>
    <col min="12807" max="12807" width="16.6328125" style="925" customWidth="1"/>
    <col min="12808" max="12808" width="16.08984375" style="925" customWidth="1"/>
    <col min="12809" max="12809" width="15.08984375" style="925" customWidth="1"/>
    <col min="12810" max="12810" width="20" style="925" customWidth="1"/>
    <col min="12811" max="12811" width="16.6328125" style="925" customWidth="1"/>
    <col min="12812" max="12812" width="12.08984375" style="925" customWidth="1"/>
    <col min="12813" max="13059" width="9.08984375" style="925"/>
    <col min="13060" max="13060" width="4.6328125" style="925" customWidth="1"/>
    <col min="13061" max="13061" width="11.08984375" style="925" customWidth="1"/>
    <col min="13062" max="13062" width="23.453125" style="925" customWidth="1"/>
    <col min="13063" max="13063" width="16.6328125" style="925" customWidth="1"/>
    <col min="13064" max="13064" width="16.08984375" style="925" customWidth="1"/>
    <col min="13065" max="13065" width="15.08984375" style="925" customWidth="1"/>
    <col min="13066" max="13066" width="20" style="925" customWidth="1"/>
    <col min="13067" max="13067" width="16.6328125" style="925" customWidth="1"/>
    <col min="13068" max="13068" width="12.08984375" style="925" customWidth="1"/>
    <col min="13069" max="13315" width="9.08984375" style="925"/>
    <col min="13316" max="13316" width="4.6328125" style="925" customWidth="1"/>
    <col min="13317" max="13317" width="11.08984375" style="925" customWidth="1"/>
    <col min="13318" max="13318" width="23.453125" style="925" customWidth="1"/>
    <col min="13319" max="13319" width="16.6328125" style="925" customWidth="1"/>
    <col min="13320" max="13320" width="16.08984375" style="925" customWidth="1"/>
    <col min="13321" max="13321" width="15.08984375" style="925" customWidth="1"/>
    <col min="13322" max="13322" width="20" style="925" customWidth="1"/>
    <col min="13323" max="13323" width="16.6328125" style="925" customWidth="1"/>
    <col min="13324" max="13324" width="12.08984375" style="925" customWidth="1"/>
    <col min="13325" max="13571" width="9.08984375" style="925"/>
    <col min="13572" max="13572" width="4.6328125" style="925" customWidth="1"/>
    <col min="13573" max="13573" width="11.08984375" style="925" customWidth="1"/>
    <col min="13574" max="13574" width="23.453125" style="925" customWidth="1"/>
    <col min="13575" max="13575" width="16.6328125" style="925" customWidth="1"/>
    <col min="13576" max="13576" width="16.08984375" style="925" customWidth="1"/>
    <col min="13577" max="13577" width="15.08984375" style="925" customWidth="1"/>
    <col min="13578" max="13578" width="20" style="925" customWidth="1"/>
    <col min="13579" max="13579" width="16.6328125" style="925" customWidth="1"/>
    <col min="13580" max="13580" width="12.08984375" style="925" customWidth="1"/>
    <col min="13581" max="13827" width="9.08984375" style="925"/>
    <col min="13828" max="13828" width="4.6328125" style="925" customWidth="1"/>
    <col min="13829" max="13829" width="11.08984375" style="925" customWidth="1"/>
    <col min="13830" max="13830" width="23.453125" style="925" customWidth="1"/>
    <col min="13831" max="13831" width="16.6328125" style="925" customWidth="1"/>
    <col min="13832" max="13832" width="16.08984375" style="925" customWidth="1"/>
    <col min="13833" max="13833" width="15.08984375" style="925" customWidth="1"/>
    <col min="13834" max="13834" width="20" style="925" customWidth="1"/>
    <col min="13835" max="13835" width="16.6328125" style="925" customWidth="1"/>
    <col min="13836" max="13836" width="12.08984375" style="925" customWidth="1"/>
    <col min="13837" max="14083" width="9.08984375" style="925"/>
    <col min="14084" max="14084" width="4.6328125" style="925" customWidth="1"/>
    <col min="14085" max="14085" width="11.08984375" style="925" customWidth="1"/>
    <col min="14086" max="14086" width="23.453125" style="925" customWidth="1"/>
    <col min="14087" max="14087" width="16.6328125" style="925" customWidth="1"/>
    <col min="14088" max="14088" width="16.08984375" style="925" customWidth="1"/>
    <col min="14089" max="14089" width="15.08984375" style="925" customWidth="1"/>
    <col min="14090" max="14090" width="20" style="925" customWidth="1"/>
    <col min="14091" max="14091" width="16.6328125" style="925" customWidth="1"/>
    <col min="14092" max="14092" width="12.08984375" style="925" customWidth="1"/>
    <col min="14093" max="14339" width="9.08984375" style="925"/>
    <col min="14340" max="14340" width="4.6328125" style="925" customWidth="1"/>
    <col min="14341" max="14341" width="11.08984375" style="925" customWidth="1"/>
    <col min="14342" max="14342" width="23.453125" style="925" customWidth="1"/>
    <col min="14343" max="14343" width="16.6328125" style="925" customWidth="1"/>
    <col min="14344" max="14344" width="16.08984375" style="925" customWidth="1"/>
    <col min="14345" max="14345" width="15.08984375" style="925" customWidth="1"/>
    <col min="14346" max="14346" width="20" style="925" customWidth="1"/>
    <col min="14347" max="14347" width="16.6328125" style="925" customWidth="1"/>
    <col min="14348" max="14348" width="12.08984375" style="925" customWidth="1"/>
    <col min="14349" max="14595" width="9.08984375" style="925"/>
    <col min="14596" max="14596" width="4.6328125" style="925" customWidth="1"/>
    <col min="14597" max="14597" width="11.08984375" style="925" customWidth="1"/>
    <col min="14598" max="14598" width="23.453125" style="925" customWidth="1"/>
    <col min="14599" max="14599" width="16.6328125" style="925" customWidth="1"/>
    <col min="14600" max="14600" width="16.08984375" style="925" customWidth="1"/>
    <col min="14601" max="14601" width="15.08984375" style="925" customWidth="1"/>
    <col min="14602" max="14602" width="20" style="925" customWidth="1"/>
    <col min="14603" max="14603" width="16.6328125" style="925" customWidth="1"/>
    <col min="14604" max="14604" width="12.08984375" style="925" customWidth="1"/>
    <col min="14605" max="14851" width="9.08984375" style="925"/>
    <col min="14852" max="14852" width="4.6328125" style="925" customWidth="1"/>
    <col min="14853" max="14853" width="11.08984375" style="925" customWidth="1"/>
    <col min="14854" max="14854" width="23.453125" style="925" customWidth="1"/>
    <col min="14855" max="14855" width="16.6328125" style="925" customWidth="1"/>
    <col min="14856" max="14856" width="16.08984375" style="925" customWidth="1"/>
    <col min="14857" max="14857" width="15.08984375" style="925" customWidth="1"/>
    <col min="14858" max="14858" width="20" style="925" customWidth="1"/>
    <col min="14859" max="14859" width="16.6328125" style="925" customWidth="1"/>
    <col min="14860" max="14860" width="12.08984375" style="925" customWidth="1"/>
    <col min="14861" max="15107" width="9.08984375" style="925"/>
    <col min="15108" max="15108" width="4.6328125" style="925" customWidth="1"/>
    <col min="15109" max="15109" width="11.08984375" style="925" customWidth="1"/>
    <col min="15110" max="15110" width="23.453125" style="925" customWidth="1"/>
    <col min="15111" max="15111" width="16.6328125" style="925" customWidth="1"/>
    <col min="15112" max="15112" width="16.08984375" style="925" customWidth="1"/>
    <col min="15113" max="15113" width="15.08984375" style="925" customWidth="1"/>
    <col min="15114" max="15114" width="20" style="925" customWidth="1"/>
    <col min="15115" max="15115" width="16.6328125" style="925" customWidth="1"/>
    <col min="15116" max="15116" width="12.08984375" style="925" customWidth="1"/>
    <col min="15117" max="15363" width="9.08984375" style="925"/>
    <col min="15364" max="15364" width="4.6328125" style="925" customWidth="1"/>
    <col min="15365" max="15365" width="11.08984375" style="925" customWidth="1"/>
    <col min="15366" max="15366" width="23.453125" style="925" customWidth="1"/>
    <col min="15367" max="15367" width="16.6328125" style="925" customWidth="1"/>
    <col min="15368" max="15368" width="16.08984375" style="925" customWidth="1"/>
    <col min="15369" max="15369" width="15.08984375" style="925" customWidth="1"/>
    <col min="15370" max="15370" width="20" style="925" customWidth="1"/>
    <col min="15371" max="15371" width="16.6328125" style="925" customWidth="1"/>
    <col min="15372" max="15372" width="12.08984375" style="925" customWidth="1"/>
    <col min="15373" max="15619" width="9.08984375" style="925"/>
    <col min="15620" max="15620" width="4.6328125" style="925" customWidth="1"/>
    <col min="15621" max="15621" width="11.08984375" style="925" customWidth="1"/>
    <col min="15622" max="15622" width="23.453125" style="925" customWidth="1"/>
    <col min="15623" max="15623" width="16.6328125" style="925" customWidth="1"/>
    <col min="15624" max="15624" width="16.08984375" style="925" customWidth="1"/>
    <col min="15625" max="15625" width="15.08984375" style="925" customWidth="1"/>
    <col min="15626" max="15626" width="20" style="925" customWidth="1"/>
    <col min="15627" max="15627" width="16.6328125" style="925" customWidth="1"/>
    <col min="15628" max="15628" width="12.08984375" style="925" customWidth="1"/>
    <col min="15629" max="15875" width="9.08984375" style="925"/>
    <col min="15876" max="15876" width="4.6328125" style="925" customWidth="1"/>
    <col min="15877" max="15877" width="11.08984375" style="925" customWidth="1"/>
    <col min="15878" max="15878" width="23.453125" style="925" customWidth="1"/>
    <col min="15879" max="15879" width="16.6328125" style="925" customWidth="1"/>
    <col min="15880" max="15880" width="16.08984375" style="925" customWidth="1"/>
    <col min="15881" max="15881" width="15.08984375" style="925" customWidth="1"/>
    <col min="15882" max="15882" width="20" style="925" customWidth="1"/>
    <col min="15883" max="15883" width="16.6328125" style="925" customWidth="1"/>
    <col min="15884" max="15884" width="12.08984375" style="925" customWidth="1"/>
    <col min="15885" max="16131" width="9.08984375" style="925"/>
    <col min="16132" max="16132" width="4.6328125" style="925" customWidth="1"/>
    <col min="16133" max="16133" width="11.08984375" style="925" customWidth="1"/>
    <col min="16134" max="16134" width="23.453125" style="925" customWidth="1"/>
    <col min="16135" max="16135" width="16.6328125" style="925" customWidth="1"/>
    <col min="16136" max="16136" width="16.08984375" style="925" customWidth="1"/>
    <col min="16137" max="16137" width="15.08984375" style="925" customWidth="1"/>
    <col min="16138" max="16138" width="20" style="925" customWidth="1"/>
    <col min="16139" max="16139" width="16.6328125" style="925" customWidth="1"/>
    <col min="16140" max="16140" width="12.08984375" style="925" customWidth="1"/>
    <col min="16141" max="16384" width="9.08984375" style="925"/>
  </cols>
  <sheetData>
    <row r="1" spans="2:14" x14ac:dyDescent="0.3">
      <c r="B1" s="924"/>
      <c r="C1" s="924"/>
      <c r="E1" s="925"/>
      <c r="F1" s="925"/>
      <c r="G1" s="925"/>
      <c r="H1" s="925"/>
      <c r="I1" s="925"/>
      <c r="J1" s="925"/>
      <c r="K1" s="925"/>
      <c r="L1" s="925"/>
    </row>
    <row r="2" spans="2:14" x14ac:dyDescent="0.3">
      <c r="B2" s="22"/>
      <c r="C2" s="22"/>
      <c r="D2" s="22"/>
      <c r="E2" s="22"/>
      <c r="F2" s="859" t="str">
        <f>Index!B2</f>
        <v xml:space="preserve">      Maharashtra State Power Generation Company Ltd.</v>
      </c>
      <c r="G2" s="22"/>
      <c r="H2" s="22"/>
      <c r="I2" s="22"/>
      <c r="J2" s="22"/>
      <c r="K2" s="22"/>
      <c r="L2" s="22"/>
    </row>
    <row r="3" spans="2:14" x14ac:dyDescent="0.3">
      <c r="C3" s="997"/>
      <c r="D3" s="997"/>
      <c r="E3" s="997"/>
      <c r="F3" s="903" t="s">
        <v>1104</v>
      </c>
      <c r="G3" s="997"/>
      <c r="H3" s="997"/>
      <c r="I3" s="997"/>
      <c r="J3" s="997"/>
      <c r="K3" s="997"/>
      <c r="L3" s="997"/>
    </row>
    <row r="4" spans="2:14" x14ac:dyDescent="0.3">
      <c r="B4" s="22"/>
      <c r="C4" s="22"/>
      <c r="D4" s="22"/>
      <c r="E4" s="22"/>
      <c r="F4" s="998" t="s">
        <v>1405</v>
      </c>
      <c r="G4" s="22"/>
      <c r="H4" s="22"/>
      <c r="I4" s="22"/>
      <c r="J4" s="22"/>
      <c r="K4" s="22"/>
      <c r="L4" s="22"/>
    </row>
    <row r="5" spans="2:14" x14ac:dyDescent="0.3">
      <c r="E5" s="925"/>
      <c r="F5" s="925"/>
      <c r="G5" s="925"/>
      <c r="H5" s="925"/>
      <c r="I5" s="925"/>
      <c r="J5" s="925"/>
      <c r="K5" s="925"/>
      <c r="L5" s="925"/>
    </row>
    <row r="6" spans="2:14" x14ac:dyDescent="0.3">
      <c r="E6" s="925"/>
      <c r="F6" s="925"/>
      <c r="G6" s="925"/>
      <c r="H6" s="925"/>
      <c r="I6" s="925"/>
      <c r="J6" s="925"/>
      <c r="K6" s="925"/>
      <c r="L6" s="925"/>
    </row>
    <row r="7" spans="2:14" s="932" customFormat="1" x14ac:dyDescent="0.3">
      <c r="B7" s="1914" t="s">
        <v>340</v>
      </c>
      <c r="C7" s="1914" t="s">
        <v>413</v>
      </c>
      <c r="D7" s="1914" t="s">
        <v>1406</v>
      </c>
      <c r="E7" s="1944" t="s">
        <v>969</v>
      </c>
      <c r="F7" s="1945"/>
      <c r="G7" s="1944" t="s">
        <v>970</v>
      </c>
      <c r="H7" s="1945"/>
      <c r="I7" s="1944" t="s">
        <v>971</v>
      </c>
      <c r="J7" s="1945"/>
      <c r="K7" s="1944" t="s">
        <v>972</v>
      </c>
      <c r="L7" s="1945"/>
      <c r="M7" s="1944" t="s">
        <v>973</v>
      </c>
      <c r="N7" s="1945"/>
    </row>
    <row r="8" spans="2:14" ht="42" x14ac:dyDescent="0.3">
      <c r="B8" s="1916"/>
      <c r="C8" s="1916"/>
      <c r="D8" s="1916"/>
      <c r="E8" s="999" t="s">
        <v>1407</v>
      </c>
      <c r="F8" s="999" t="s">
        <v>1408</v>
      </c>
      <c r="G8" s="999" t="s">
        <v>1407</v>
      </c>
      <c r="H8" s="999" t="s">
        <v>1408</v>
      </c>
      <c r="I8" s="999" t="s">
        <v>1407</v>
      </c>
      <c r="J8" s="999" t="s">
        <v>1408</v>
      </c>
      <c r="K8" s="999" t="s">
        <v>1407</v>
      </c>
      <c r="L8" s="999" t="s">
        <v>1408</v>
      </c>
      <c r="M8" s="999" t="s">
        <v>1407</v>
      </c>
      <c r="N8" s="999" t="s">
        <v>1408</v>
      </c>
    </row>
    <row r="9" spans="2:14" x14ac:dyDescent="0.3">
      <c r="B9" s="1000"/>
      <c r="C9" s="1000"/>
      <c r="D9" s="1946" t="s">
        <v>1110</v>
      </c>
      <c r="E9" s="1947"/>
      <c r="F9" s="1947"/>
      <c r="G9" s="1947"/>
      <c r="H9" s="1947"/>
      <c r="I9" s="1947"/>
      <c r="J9" s="1947"/>
      <c r="K9" s="1947"/>
      <c r="L9" s="1947"/>
      <c r="M9" s="1947"/>
      <c r="N9" s="1948"/>
    </row>
    <row r="10" spans="2:14" x14ac:dyDescent="0.3">
      <c r="B10" s="1001" t="s">
        <v>1409</v>
      </c>
      <c r="C10" s="1002" t="s">
        <v>1410</v>
      </c>
      <c r="D10" s="1949"/>
      <c r="E10" s="1950"/>
      <c r="F10" s="1950"/>
      <c r="G10" s="1950"/>
      <c r="H10" s="1950"/>
      <c r="I10" s="1950"/>
      <c r="J10" s="1950"/>
      <c r="K10" s="1950"/>
      <c r="L10" s="1950"/>
      <c r="M10" s="1950"/>
      <c r="N10" s="1951"/>
    </row>
    <row r="11" spans="2:14" x14ac:dyDescent="0.3">
      <c r="B11" s="1003"/>
      <c r="C11" s="1004"/>
      <c r="D11" s="1949"/>
      <c r="E11" s="1950"/>
      <c r="F11" s="1950"/>
      <c r="G11" s="1950"/>
      <c r="H11" s="1950"/>
      <c r="I11" s="1950"/>
      <c r="J11" s="1950"/>
      <c r="K11" s="1950"/>
      <c r="L11" s="1950"/>
      <c r="M11" s="1950"/>
      <c r="N11" s="1951"/>
    </row>
    <row r="12" spans="2:14" x14ac:dyDescent="0.3">
      <c r="B12" s="1003"/>
      <c r="C12" s="1004"/>
      <c r="D12" s="1949"/>
      <c r="E12" s="1950"/>
      <c r="F12" s="1950"/>
      <c r="G12" s="1950"/>
      <c r="H12" s="1950"/>
      <c r="I12" s="1950"/>
      <c r="J12" s="1950"/>
      <c r="K12" s="1950"/>
      <c r="L12" s="1950"/>
      <c r="M12" s="1950"/>
      <c r="N12" s="1951"/>
    </row>
    <row r="13" spans="2:14" x14ac:dyDescent="0.3">
      <c r="B13" s="1003"/>
      <c r="C13" s="1004"/>
      <c r="D13" s="1949"/>
      <c r="E13" s="1950"/>
      <c r="F13" s="1950"/>
      <c r="G13" s="1950"/>
      <c r="H13" s="1950"/>
      <c r="I13" s="1950"/>
      <c r="J13" s="1950"/>
      <c r="K13" s="1950"/>
      <c r="L13" s="1950"/>
      <c r="M13" s="1950"/>
      <c r="N13" s="1951"/>
    </row>
    <row r="14" spans="2:14" x14ac:dyDescent="0.3">
      <c r="B14" s="1003" t="s">
        <v>185</v>
      </c>
      <c r="C14" s="1004" t="s">
        <v>1411</v>
      </c>
      <c r="D14" s="1949"/>
      <c r="E14" s="1950"/>
      <c r="F14" s="1950"/>
      <c r="G14" s="1950"/>
      <c r="H14" s="1950"/>
      <c r="I14" s="1950"/>
      <c r="J14" s="1950"/>
      <c r="K14" s="1950"/>
      <c r="L14" s="1950"/>
      <c r="M14" s="1950"/>
      <c r="N14" s="1951"/>
    </row>
    <row r="15" spans="2:14" x14ac:dyDescent="0.3">
      <c r="B15" s="1003"/>
      <c r="C15" s="1004"/>
      <c r="D15" s="1949"/>
      <c r="E15" s="1950"/>
      <c r="F15" s="1950"/>
      <c r="G15" s="1950"/>
      <c r="H15" s="1950"/>
      <c r="I15" s="1950"/>
      <c r="J15" s="1950"/>
      <c r="K15" s="1950"/>
      <c r="L15" s="1950"/>
      <c r="M15" s="1950"/>
      <c r="N15" s="1951"/>
    </row>
    <row r="16" spans="2:14" x14ac:dyDescent="0.3">
      <c r="B16" s="1003"/>
      <c r="C16" s="1004"/>
      <c r="D16" s="1949"/>
      <c r="E16" s="1950"/>
      <c r="F16" s="1950"/>
      <c r="G16" s="1950"/>
      <c r="H16" s="1950"/>
      <c r="I16" s="1950"/>
      <c r="J16" s="1950"/>
      <c r="K16" s="1950"/>
      <c r="L16" s="1950"/>
      <c r="M16" s="1950"/>
      <c r="N16" s="1951"/>
    </row>
    <row r="17" spans="2:14" s="939" customFormat="1" ht="14.5" thickBot="1" x14ac:dyDescent="0.35">
      <c r="B17" s="1005"/>
      <c r="C17" s="1006" t="s">
        <v>271</v>
      </c>
      <c r="D17" s="1952"/>
      <c r="E17" s="1953"/>
      <c r="F17" s="1953"/>
      <c r="G17" s="1953"/>
      <c r="H17" s="1953"/>
      <c r="I17" s="1953"/>
      <c r="J17" s="1953"/>
      <c r="K17" s="1953"/>
      <c r="L17" s="1953"/>
      <c r="M17" s="1953"/>
      <c r="N17" s="1954"/>
    </row>
    <row r="19" spans="2:14" x14ac:dyDescent="0.3">
      <c r="C19" s="925" t="s">
        <v>1412</v>
      </c>
    </row>
    <row r="20" spans="2:14" x14ac:dyDescent="0.3">
      <c r="C20" s="925" t="s">
        <v>1413</v>
      </c>
    </row>
    <row r="21" spans="2:14" x14ac:dyDescent="0.3">
      <c r="C21" s="925" t="s">
        <v>1414</v>
      </c>
    </row>
    <row r="29" spans="2:14" ht="29.4" customHeight="1" x14ac:dyDescent="0.3">
      <c r="C29" s="930"/>
    </row>
  </sheetData>
  <mergeCells count="9">
    <mergeCell ref="K7:L7"/>
    <mergeCell ref="M7:N7"/>
    <mergeCell ref="D9:N1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J29"/>
  <sheetViews>
    <sheetView showGridLines="0" view="pageBreakPreview" zoomScale="90" zoomScaleNormal="75" zoomScaleSheetLayoutView="90" workbookViewId="0">
      <selection activeCell="C2" sqref="C2"/>
    </sheetView>
  </sheetViews>
  <sheetFormatPr defaultColWidth="9.08984375" defaultRowHeight="14" x14ac:dyDescent="0.3"/>
  <cols>
    <col min="1" max="1" width="9.08984375" style="883"/>
    <col min="2" max="2" width="39" style="883" customWidth="1"/>
    <col min="3" max="3" width="19.08984375" style="883" customWidth="1"/>
    <col min="4" max="7" width="15.6328125" style="883" customWidth="1"/>
    <col min="8" max="259" width="9.08984375" style="883"/>
    <col min="260" max="260" width="82.6328125" style="883" bestFit="1" customWidth="1"/>
    <col min="261" max="263" width="28.6328125" style="883" customWidth="1"/>
    <col min="264" max="515" width="9.08984375" style="883"/>
    <col min="516" max="516" width="82.6328125" style="883" bestFit="1" customWidth="1"/>
    <col min="517" max="519" width="28.6328125" style="883" customWidth="1"/>
    <col min="520" max="771" width="9.08984375" style="883"/>
    <col min="772" max="772" width="82.6328125" style="883" bestFit="1" customWidth="1"/>
    <col min="773" max="775" width="28.6328125" style="883" customWidth="1"/>
    <col min="776" max="1027" width="9.08984375" style="883"/>
    <col min="1028" max="1028" width="82.6328125" style="883" bestFit="1" customWidth="1"/>
    <col min="1029" max="1031" width="28.6328125" style="883" customWidth="1"/>
    <col min="1032" max="1283" width="9.08984375" style="883"/>
    <col min="1284" max="1284" width="82.6328125" style="883" bestFit="1" customWidth="1"/>
    <col min="1285" max="1287" width="28.6328125" style="883" customWidth="1"/>
    <col min="1288" max="1539" width="9.08984375" style="883"/>
    <col min="1540" max="1540" width="82.6328125" style="883" bestFit="1" customWidth="1"/>
    <col min="1541" max="1543" width="28.6328125" style="883" customWidth="1"/>
    <col min="1544" max="1795" width="9.08984375" style="883"/>
    <col min="1796" max="1796" width="82.6328125" style="883" bestFit="1" customWidth="1"/>
    <col min="1797" max="1799" width="28.6328125" style="883" customWidth="1"/>
    <col min="1800" max="2051" width="9.08984375" style="883"/>
    <col min="2052" max="2052" width="82.6328125" style="883" bestFit="1" customWidth="1"/>
    <col min="2053" max="2055" width="28.6328125" style="883" customWidth="1"/>
    <col min="2056" max="2307" width="9.08984375" style="883"/>
    <col min="2308" max="2308" width="82.6328125" style="883" bestFit="1" customWidth="1"/>
    <col min="2309" max="2311" width="28.6328125" style="883" customWidth="1"/>
    <col min="2312" max="2563" width="9.08984375" style="883"/>
    <col min="2564" max="2564" width="82.6328125" style="883" bestFit="1" customWidth="1"/>
    <col min="2565" max="2567" width="28.6328125" style="883" customWidth="1"/>
    <col min="2568" max="2819" width="9.08984375" style="883"/>
    <col min="2820" max="2820" width="82.6328125" style="883" bestFit="1" customWidth="1"/>
    <col min="2821" max="2823" width="28.6328125" style="883" customWidth="1"/>
    <col min="2824" max="3075" width="9.08984375" style="883"/>
    <col min="3076" max="3076" width="82.6328125" style="883" bestFit="1" customWidth="1"/>
    <col min="3077" max="3079" width="28.6328125" style="883" customWidth="1"/>
    <col min="3080" max="3331" width="9.08984375" style="883"/>
    <col min="3332" max="3332" width="82.6328125" style="883" bestFit="1" customWidth="1"/>
    <col min="3333" max="3335" width="28.6328125" style="883" customWidth="1"/>
    <col min="3336" max="3587" width="9.08984375" style="883"/>
    <col min="3588" max="3588" width="82.6328125" style="883" bestFit="1" customWidth="1"/>
    <col min="3589" max="3591" width="28.6328125" style="883" customWidth="1"/>
    <col min="3592" max="3843" width="9.08984375" style="883"/>
    <col min="3844" max="3844" width="82.6328125" style="883" bestFit="1" customWidth="1"/>
    <col min="3845" max="3847" width="28.6328125" style="883" customWidth="1"/>
    <col min="3848" max="4099" width="9.08984375" style="883"/>
    <col min="4100" max="4100" width="82.6328125" style="883" bestFit="1" customWidth="1"/>
    <col min="4101" max="4103" width="28.6328125" style="883" customWidth="1"/>
    <col min="4104" max="4355" width="9.08984375" style="883"/>
    <col min="4356" max="4356" width="82.6328125" style="883" bestFit="1" customWidth="1"/>
    <col min="4357" max="4359" width="28.6328125" style="883" customWidth="1"/>
    <col min="4360" max="4611" width="9.08984375" style="883"/>
    <col min="4612" max="4612" width="82.6328125" style="883" bestFit="1" customWidth="1"/>
    <col min="4613" max="4615" width="28.6328125" style="883" customWidth="1"/>
    <col min="4616" max="4867" width="9.08984375" style="883"/>
    <col min="4868" max="4868" width="82.6328125" style="883" bestFit="1" customWidth="1"/>
    <col min="4869" max="4871" width="28.6328125" style="883" customWidth="1"/>
    <col min="4872" max="5123" width="9.08984375" style="883"/>
    <col min="5124" max="5124" width="82.6328125" style="883" bestFit="1" customWidth="1"/>
    <col min="5125" max="5127" width="28.6328125" style="883" customWidth="1"/>
    <col min="5128" max="5379" width="9.08984375" style="883"/>
    <col min="5380" max="5380" width="82.6328125" style="883" bestFit="1" customWidth="1"/>
    <col min="5381" max="5383" width="28.6328125" style="883" customWidth="1"/>
    <col min="5384" max="5635" width="9.08984375" style="883"/>
    <col min="5636" max="5636" width="82.6328125" style="883" bestFit="1" customWidth="1"/>
    <col min="5637" max="5639" width="28.6328125" style="883" customWidth="1"/>
    <col min="5640" max="5891" width="9.08984375" style="883"/>
    <col min="5892" max="5892" width="82.6328125" style="883" bestFit="1" customWidth="1"/>
    <col min="5893" max="5895" width="28.6328125" style="883" customWidth="1"/>
    <col min="5896" max="6147" width="9.08984375" style="883"/>
    <col min="6148" max="6148" width="82.6328125" style="883" bestFit="1" customWidth="1"/>
    <col min="6149" max="6151" width="28.6328125" style="883" customWidth="1"/>
    <col min="6152" max="6403" width="9.08984375" style="883"/>
    <col min="6404" max="6404" width="82.6328125" style="883" bestFit="1" customWidth="1"/>
    <col min="6405" max="6407" width="28.6328125" style="883" customWidth="1"/>
    <col min="6408" max="6659" width="9.08984375" style="883"/>
    <col min="6660" max="6660" width="82.6328125" style="883" bestFit="1" customWidth="1"/>
    <col min="6661" max="6663" width="28.6328125" style="883" customWidth="1"/>
    <col min="6664" max="6915" width="9.08984375" style="883"/>
    <col min="6916" max="6916" width="82.6328125" style="883" bestFit="1" customWidth="1"/>
    <col min="6917" max="6919" width="28.6328125" style="883" customWidth="1"/>
    <col min="6920" max="7171" width="9.08984375" style="883"/>
    <col min="7172" max="7172" width="82.6328125" style="883" bestFit="1" customWidth="1"/>
    <col min="7173" max="7175" width="28.6328125" style="883" customWidth="1"/>
    <col min="7176" max="7427" width="9.08984375" style="883"/>
    <col min="7428" max="7428" width="82.6328125" style="883" bestFit="1" customWidth="1"/>
    <col min="7429" max="7431" width="28.6328125" style="883" customWidth="1"/>
    <col min="7432" max="7683" width="9.08984375" style="883"/>
    <col min="7684" max="7684" width="82.6328125" style="883" bestFit="1" customWidth="1"/>
    <col min="7685" max="7687" width="28.6328125" style="883" customWidth="1"/>
    <col min="7688" max="7939" width="9.08984375" style="883"/>
    <col min="7940" max="7940" width="82.6328125" style="883" bestFit="1" customWidth="1"/>
    <col min="7941" max="7943" width="28.6328125" style="883" customWidth="1"/>
    <col min="7944" max="8195" width="9.08984375" style="883"/>
    <col min="8196" max="8196" width="82.6328125" style="883" bestFit="1" customWidth="1"/>
    <col min="8197" max="8199" width="28.6328125" style="883" customWidth="1"/>
    <col min="8200" max="8451" width="9.08984375" style="883"/>
    <col min="8452" max="8452" width="82.6328125" style="883" bestFit="1" customWidth="1"/>
    <col min="8453" max="8455" width="28.6328125" style="883" customWidth="1"/>
    <col min="8456" max="8707" width="9.08984375" style="883"/>
    <col min="8708" max="8708" width="82.6328125" style="883" bestFit="1" customWidth="1"/>
    <col min="8709" max="8711" width="28.6328125" style="883" customWidth="1"/>
    <col min="8712" max="8963" width="9.08984375" style="883"/>
    <col min="8964" max="8964" width="82.6328125" style="883" bestFit="1" customWidth="1"/>
    <col min="8965" max="8967" width="28.6328125" style="883" customWidth="1"/>
    <col min="8968" max="9219" width="9.08984375" style="883"/>
    <col min="9220" max="9220" width="82.6328125" style="883" bestFit="1" customWidth="1"/>
    <col min="9221" max="9223" width="28.6328125" style="883" customWidth="1"/>
    <col min="9224" max="9475" width="9.08984375" style="883"/>
    <col min="9476" max="9476" width="82.6328125" style="883" bestFit="1" customWidth="1"/>
    <col min="9477" max="9479" width="28.6328125" style="883" customWidth="1"/>
    <col min="9480" max="9731" width="9.08984375" style="883"/>
    <col min="9732" max="9732" width="82.6328125" style="883" bestFit="1" customWidth="1"/>
    <col min="9733" max="9735" width="28.6328125" style="883" customWidth="1"/>
    <col min="9736" max="9987" width="9.08984375" style="883"/>
    <col min="9988" max="9988" width="82.6328125" style="883" bestFit="1" customWidth="1"/>
    <col min="9989" max="9991" width="28.6328125" style="883" customWidth="1"/>
    <col min="9992" max="10243" width="9.08984375" style="883"/>
    <col min="10244" max="10244" width="82.6328125" style="883" bestFit="1" customWidth="1"/>
    <col min="10245" max="10247" width="28.6328125" style="883" customWidth="1"/>
    <col min="10248" max="10499" width="9.08984375" style="883"/>
    <col min="10500" max="10500" width="82.6328125" style="883" bestFit="1" customWidth="1"/>
    <col min="10501" max="10503" width="28.6328125" style="883" customWidth="1"/>
    <col min="10504" max="10755" width="9.08984375" style="883"/>
    <col min="10756" max="10756" width="82.6328125" style="883" bestFit="1" customWidth="1"/>
    <col min="10757" max="10759" width="28.6328125" style="883" customWidth="1"/>
    <col min="10760" max="11011" width="9.08984375" style="883"/>
    <col min="11012" max="11012" width="82.6328125" style="883" bestFit="1" customWidth="1"/>
    <col min="11013" max="11015" width="28.6328125" style="883" customWidth="1"/>
    <col min="11016" max="11267" width="9.08984375" style="883"/>
    <col min="11268" max="11268" width="82.6328125" style="883" bestFit="1" customWidth="1"/>
    <col min="11269" max="11271" width="28.6328125" style="883" customWidth="1"/>
    <col min="11272" max="11523" width="9.08984375" style="883"/>
    <col min="11524" max="11524" width="82.6328125" style="883" bestFit="1" customWidth="1"/>
    <col min="11525" max="11527" width="28.6328125" style="883" customWidth="1"/>
    <col min="11528" max="11779" width="9.08984375" style="883"/>
    <col min="11780" max="11780" width="82.6328125" style="883" bestFit="1" customWidth="1"/>
    <col min="11781" max="11783" width="28.6328125" style="883" customWidth="1"/>
    <col min="11784" max="12035" width="9.08984375" style="883"/>
    <col min="12036" max="12036" width="82.6328125" style="883" bestFit="1" customWidth="1"/>
    <col min="12037" max="12039" width="28.6328125" style="883" customWidth="1"/>
    <col min="12040" max="12291" width="9.08984375" style="883"/>
    <col min="12292" max="12292" width="82.6328125" style="883" bestFit="1" customWidth="1"/>
    <col min="12293" max="12295" width="28.6328125" style="883" customWidth="1"/>
    <col min="12296" max="12547" width="9.08984375" style="883"/>
    <col min="12548" max="12548" width="82.6328125" style="883" bestFit="1" customWidth="1"/>
    <col min="12549" max="12551" width="28.6328125" style="883" customWidth="1"/>
    <col min="12552" max="12803" width="9.08984375" style="883"/>
    <col min="12804" max="12804" width="82.6328125" style="883" bestFit="1" customWidth="1"/>
    <col min="12805" max="12807" width="28.6328125" style="883" customWidth="1"/>
    <col min="12808" max="13059" width="9.08984375" style="883"/>
    <col min="13060" max="13060" width="82.6328125" style="883" bestFit="1" customWidth="1"/>
    <col min="13061" max="13063" width="28.6328125" style="883" customWidth="1"/>
    <col min="13064" max="13315" width="9.08984375" style="883"/>
    <col min="13316" max="13316" width="82.6328125" style="883" bestFit="1" customWidth="1"/>
    <col min="13317" max="13319" width="28.6328125" style="883" customWidth="1"/>
    <col min="13320" max="13571" width="9.08984375" style="883"/>
    <col min="13572" max="13572" width="82.6328125" style="883" bestFit="1" customWidth="1"/>
    <col min="13573" max="13575" width="28.6328125" style="883" customWidth="1"/>
    <col min="13576" max="13827" width="9.08984375" style="883"/>
    <col min="13828" max="13828" width="82.6328125" style="883" bestFit="1" customWidth="1"/>
    <col min="13829" max="13831" width="28.6328125" style="883" customWidth="1"/>
    <col min="13832" max="14083" width="9.08984375" style="883"/>
    <col min="14084" max="14084" width="82.6328125" style="883" bestFit="1" customWidth="1"/>
    <col min="14085" max="14087" width="28.6328125" style="883" customWidth="1"/>
    <col min="14088" max="14339" width="9.08984375" style="883"/>
    <col min="14340" max="14340" width="82.6328125" style="883" bestFit="1" customWidth="1"/>
    <col min="14341" max="14343" width="28.6328125" style="883" customWidth="1"/>
    <col min="14344" max="14595" width="9.08984375" style="883"/>
    <col min="14596" max="14596" width="82.6328125" style="883" bestFit="1" customWidth="1"/>
    <col min="14597" max="14599" width="28.6328125" style="883" customWidth="1"/>
    <col min="14600" max="14851" width="9.08984375" style="883"/>
    <col min="14852" max="14852" width="82.6328125" style="883" bestFit="1" customWidth="1"/>
    <col min="14853" max="14855" width="28.6328125" style="883" customWidth="1"/>
    <col min="14856" max="15107" width="9.08984375" style="883"/>
    <col min="15108" max="15108" width="82.6328125" style="883" bestFit="1" customWidth="1"/>
    <col min="15109" max="15111" width="28.6328125" style="883" customWidth="1"/>
    <col min="15112" max="15363" width="9.08984375" style="883"/>
    <col min="15364" max="15364" width="82.6328125" style="883" bestFit="1" customWidth="1"/>
    <col min="15365" max="15367" width="28.6328125" style="883" customWidth="1"/>
    <col min="15368" max="15619" width="9.08984375" style="883"/>
    <col min="15620" max="15620" width="82.6328125" style="883" bestFit="1" customWidth="1"/>
    <col min="15621" max="15623" width="28.6328125" style="883" customWidth="1"/>
    <col min="15624" max="15875" width="9.08984375" style="883"/>
    <col min="15876" max="15876" width="82.6328125" style="883" bestFit="1" customWidth="1"/>
    <col min="15877" max="15879" width="28.6328125" style="883" customWidth="1"/>
    <col min="15880" max="16131" width="9.08984375" style="883"/>
    <col min="16132" max="16132" width="82.6328125" style="883" bestFit="1" customWidth="1"/>
    <col min="16133" max="16135" width="28.6328125" style="883" customWidth="1"/>
    <col min="16136" max="16384" width="9.08984375" style="883"/>
  </cols>
  <sheetData>
    <row r="1" spans="2:10" x14ac:dyDescent="0.3">
      <c r="B1" s="905"/>
    </row>
    <row r="2" spans="2:10" x14ac:dyDescent="0.3">
      <c r="B2" s="22"/>
      <c r="C2" s="859" t="str">
        <f>Index!B2</f>
        <v xml:space="preserve">      Maharashtra State Power Generation Company Ltd.</v>
      </c>
      <c r="D2" s="859"/>
      <c r="E2" s="859"/>
      <c r="F2" s="22"/>
      <c r="G2" s="22"/>
    </row>
    <row r="3" spans="2:10" x14ac:dyDescent="0.3">
      <c r="B3" s="915"/>
      <c r="C3" s="903" t="s">
        <v>1104</v>
      </c>
      <c r="D3" s="903"/>
      <c r="E3" s="903"/>
      <c r="F3" s="915"/>
      <c r="G3" s="915"/>
    </row>
    <row r="4" spans="2:10" x14ac:dyDescent="0.3">
      <c r="B4" s="22"/>
      <c r="C4" s="998" t="s">
        <v>1415</v>
      </c>
      <c r="D4" s="998"/>
      <c r="E4" s="998"/>
      <c r="F4" s="22"/>
      <c r="G4" s="22"/>
      <c r="J4" s="859"/>
    </row>
    <row r="5" spans="2:10" x14ac:dyDescent="0.3">
      <c r="G5" s="1008" t="s">
        <v>10</v>
      </c>
      <c r="J5" s="903"/>
    </row>
    <row r="6" spans="2:10" s="1009" customFormat="1" x14ac:dyDescent="0.3">
      <c r="B6" s="907" t="s">
        <v>1416</v>
      </c>
      <c r="C6" s="907" t="s">
        <v>969</v>
      </c>
      <c r="D6" s="907" t="s">
        <v>970</v>
      </c>
      <c r="E6" s="907" t="s">
        <v>971</v>
      </c>
      <c r="F6" s="907" t="s">
        <v>972</v>
      </c>
      <c r="G6" s="907" t="s">
        <v>973</v>
      </c>
      <c r="J6" s="998"/>
    </row>
    <row r="7" spans="2:10" x14ac:dyDescent="0.3">
      <c r="B7" s="1010"/>
      <c r="C7" s="1885" t="s">
        <v>1110</v>
      </c>
      <c r="D7" s="1886"/>
      <c r="E7" s="1886"/>
      <c r="F7" s="1886"/>
      <c r="G7" s="1887"/>
    </row>
    <row r="8" spans="2:10" x14ac:dyDescent="0.3">
      <c r="B8" s="1011" t="s">
        <v>1417</v>
      </c>
      <c r="C8" s="1888"/>
      <c r="D8" s="1889"/>
      <c r="E8" s="1889"/>
      <c r="F8" s="1889"/>
      <c r="G8" s="1890"/>
    </row>
    <row r="9" spans="2:10" x14ac:dyDescent="0.3">
      <c r="B9" s="1012"/>
      <c r="C9" s="1888"/>
      <c r="D9" s="1889"/>
      <c r="E9" s="1889"/>
      <c r="F9" s="1889"/>
      <c r="G9" s="1890"/>
    </row>
    <row r="10" spans="2:10" x14ac:dyDescent="0.3">
      <c r="B10" s="1012" t="s">
        <v>1418</v>
      </c>
      <c r="C10" s="1888"/>
      <c r="D10" s="1889"/>
      <c r="E10" s="1889"/>
      <c r="F10" s="1889"/>
      <c r="G10" s="1890"/>
    </row>
    <row r="11" spans="2:10" x14ac:dyDescent="0.3">
      <c r="B11" s="1011" t="s">
        <v>1119</v>
      </c>
      <c r="C11" s="1888"/>
      <c r="D11" s="1889"/>
      <c r="E11" s="1889"/>
      <c r="F11" s="1889"/>
      <c r="G11" s="1890"/>
    </row>
    <row r="12" spans="2:10" x14ac:dyDescent="0.3">
      <c r="B12" s="1011" t="s">
        <v>1120</v>
      </c>
      <c r="C12" s="1888"/>
      <c r="D12" s="1889"/>
      <c r="E12" s="1889"/>
      <c r="F12" s="1889"/>
      <c r="G12" s="1890"/>
    </row>
    <row r="13" spans="2:10" x14ac:dyDescent="0.3">
      <c r="B13" s="1011" t="s">
        <v>1116</v>
      </c>
      <c r="C13" s="1888"/>
      <c r="D13" s="1889"/>
      <c r="E13" s="1889"/>
      <c r="F13" s="1889"/>
      <c r="G13" s="1890"/>
    </row>
    <row r="14" spans="2:10" x14ac:dyDescent="0.3">
      <c r="B14" s="1013" t="s">
        <v>1367</v>
      </c>
      <c r="C14" s="1888"/>
      <c r="D14" s="1889"/>
      <c r="E14" s="1889"/>
      <c r="F14" s="1889"/>
      <c r="G14" s="1890"/>
    </row>
    <row r="15" spans="2:10" x14ac:dyDescent="0.3">
      <c r="B15" s="1010"/>
      <c r="C15" s="1888"/>
      <c r="D15" s="1889"/>
      <c r="E15" s="1889"/>
      <c r="F15" s="1889"/>
      <c r="G15" s="1890"/>
    </row>
    <row r="16" spans="2:10" x14ac:dyDescent="0.3">
      <c r="B16" s="1014" t="s">
        <v>1419</v>
      </c>
      <c r="C16" s="1888"/>
      <c r="D16" s="1889"/>
      <c r="E16" s="1889"/>
      <c r="F16" s="1889"/>
      <c r="G16" s="1890"/>
    </row>
    <row r="17" spans="2:7" x14ac:dyDescent="0.3">
      <c r="B17" s="1013" t="s">
        <v>1420</v>
      </c>
      <c r="C17" s="1888"/>
      <c r="D17" s="1889"/>
      <c r="E17" s="1889"/>
      <c r="F17" s="1889"/>
      <c r="G17" s="1890"/>
    </row>
    <row r="18" spans="2:7" x14ac:dyDescent="0.3">
      <c r="B18" s="1013" t="s">
        <v>1421</v>
      </c>
      <c r="C18" s="1888"/>
      <c r="D18" s="1889"/>
      <c r="E18" s="1889"/>
      <c r="F18" s="1889"/>
      <c r="G18" s="1890"/>
    </row>
    <row r="19" spans="2:7" x14ac:dyDescent="0.3">
      <c r="B19" s="1010"/>
      <c r="C19" s="1888"/>
      <c r="D19" s="1889"/>
      <c r="E19" s="1889"/>
      <c r="F19" s="1889"/>
      <c r="G19" s="1890"/>
    </row>
    <row r="20" spans="2:7" x14ac:dyDescent="0.3">
      <c r="B20" s="1013" t="s">
        <v>271</v>
      </c>
      <c r="C20" s="1891"/>
      <c r="D20" s="1892"/>
      <c r="E20" s="1892"/>
      <c r="F20" s="1892"/>
      <c r="G20" s="1893"/>
    </row>
    <row r="21" spans="2:7" x14ac:dyDescent="0.3">
      <c r="C21" s="912"/>
      <c r="D21" s="912"/>
      <c r="E21" s="912"/>
      <c r="F21" s="1015"/>
      <c r="G21" s="978"/>
    </row>
    <row r="29" spans="2:7" ht="29.4" customHeight="1" x14ac:dyDescent="0.3">
      <c r="C29" s="914"/>
    </row>
  </sheetData>
  <mergeCells count="1">
    <mergeCell ref="C7:G20"/>
  </mergeCells>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Z55"/>
  <sheetViews>
    <sheetView view="pageBreakPreview" zoomScale="80" zoomScaleSheetLayoutView="80" workbookViewId="0">
      <pane ySplit="7" topLeftCell="A8" activePane="bottomLeft" state="frozen"/>
      <selection activeCell="A2" sqref="A2:T2"/>
      <selection pane="bottomLeft" activeCell="L3" sqref="L3"/>
    </sheetView>
  </sheetViews>
  <sheetFormatPr defaultColWidth="9.08984375" defaultRowHeight="14" x14ac:dyDescent="0.3"/>
  <cols>
    <col min="1" max="1" width="2.90625" style="1017" customWidth="1"/>
    <col min="2" max="2" width="9.6328125" style="1017" customWidth="1"/>
    <col min="3" max="3" width="36.36328125" style="1017" customWidth="1"/>
    <col min="4" max="20" width="9.08984375" style="1017" customWidth="1"/>
    <col min="21" max="23" width="9.08984375" style="1017"/>
    <col min="24" max="24" width="11.36328125" style="1017" customWidth="1"/>
    <col min="25" max="25" width="10.36328125" style="1017" customWidth="1"/>
    <col min="26" max="233" width="9.08984375" style="1017"/>
    <col min="234" max="234" width="2.90625" style="1017" customWidth="1"/>
    <col min="235" max="235" width="13.08984375" style="1017" customWidth="1"/>
    <col min="236" max="236" width="60.36328125" style="1017" customWidth="1"/>
    <col min="237" max="241" width="10.90625" style="1017" bestFit="1" customWidth="1"/>
    <col min="242" max="242" width="11.90625" style="1017" bestFit="1" customWidth="1"/>
    <col min="243" max="243" width="14.36328125" style="1017" bestFit="1" customWidth="1"/>
    <col min="244" max="244" width="17.453125" style="1017" bestFit="1" customWidth="1"/>
    <col min="245" max="247" width="17.54296875" style="1017" bestFit="1" customWidth="1"/>
    <col min="248" max="254" width="21" style="1017" bestFit="1" customWidth="1"/>
    <col min="255" max="262" width="21.08984375" style="1017" bestFit="1" customWidth="1"/>
    <col min="263" max="263" width="22.6328125" style="1017" customWidth="1"/>
    <col min="264" max="264" width="22" style="1017" customWidth="1"/>
    <col min="265" max="265" width="22.6328125" style="1017" customWidth="1"/>
    <col min="266" max="271" width="21.08984375" style="1017" bestFit="1" customWidth="1"/>
    <col min="272" max="272" width="19.54296875" style="1017" customWidth="1"/>
    <col min="273" max="273" width="21.08984375" style="1017" bestFit="1" customWidth="1"/>
    <col min="274" max="274" width="22.6328125" style="1017" customWidth="1"/>
    <col min="275" max="275" width="22" style="1017" customWidth="1"/>
    <col min="276" max="276" width="23.453125" style="1017" bestFit="1" customWidth="1"/>
    <col min="277" max="279" width="9.08984375" style="1017"/>
    <col min="280" max="280" width="11.36328125" style="1017" customWidth="1"/>
    <col min="281" max="281" width="10.36328125" style="1017" customWidth="1"/>
    <col min="282" max="489" width="9.08984375" style="1017"/>
    <col min="490" max="490" width="2.90625" style="1017" customWidth="1"/>
    <col min="491" max="491" width="13.08984375" style="1017" customWidth="1"/>
    <col min="492" max="492" width="60.36328125" style="1017" customWidth="1"/>
    <col min="493" max="497" width="10.90625" style="1017" bestFit="1" customWidth="1"/>
    <col min="498" max="498" width="11.90625" style="1017" bestFit="1" customWidth="1"/>
    <col min="499" max="499" width="14.36328125" style="1017" bestFit="1" customWidth="1"/>
    <col min="500" max="500" width="17.453125" style="1017" bestFit="1" customWidth="1"/>
    <col min="501" max="503" width="17.54296875" style="1017" bestFit="1" customWidth="1"/>
    <col min="504" max="510" width="21" style="1017" bestFit="1" customWidth="1"/>
    <col min="511" max="518" width="21.08984375" style="1017" bestFit="1" customWidth="1"/>
    <col min="519" max="519" width="22.6328125" style="1017" customWidth="1"/>
    <col min="520" max="520" width="22" style="1017" customWidth="1"/>
    <col min="521" max="521" width="22.6328125" style="1017" customWidth="1"/>
    <col min="522" max="527" width="21.08984375" style="1017" bestFit="1" customWidth="1"/>
    <col min="528" max="528" width="19.54296875" style="1017" customWidth="1"/>
    <col min="529" max="529" width="21.08984375" style="1017" bestFit="1" customWidth="1"/>
    <col min="530" max="530" width="22.6328125" style="1017" customWidth="1"/>
    <col min="531" max="531" width="22" style="1017" customWidth="1"/>
    <col min="532" max="532" width="23.453125" style="1017" bestFit="1" customWidth="1"/>
    <col min="533" max="535" width="9.08984375" style="1017"/>
    <col min="536" max="536" width="11.36328125" style="1017" customWidth="1"/>
    <col min="537" max="537" width="10.36328125" style="1017" customWidth="1"/>
    <col min="538" max="745" width="9.08984375" style="1017"/>
    <col min="746" max="746" width="2.90625" style="1017" customWidth="1"/>
    <col min="747" max="747" width="13.08984375" style="1017" customWidth="1"/>
    <col min="748" max="748" width="60.36328125" style="1017" customWidth="1"/>
    <col min="749" max="753" width="10.90625" style="1017" bestFit="1" customWidth="1"/>
    <col min="754" max="754" width="11.90625" style="1017" bestFit="1" customWidth="1"/>
    <col min="755" max="755" width="14.36328125" style="1017" bestFit="1" customWidth="1"/>
    <col min="756" max="756" width="17.453125" style="1017" bestFit="1" customWidth="1"/>
    <col min="757" max="759" width="17.54296875" style="1017" bestFit="1" customWidth="1"/>
    <col min="760" max="766" width="21" style="1017" bestFit="1" customWidth="1"/>
    <col min="767" max="774" width="21.08984375" style="1017" bestFit="1" customWidth="1"/>
    <col min="775" max="775" width="22.6328125" style="1017" customWidth="1"/>
    <col min="776" max="776" width="22" style="1017" customWidth="1"/>
    <col min="777" max="777" width="22.6328125" style="1017" customWidth="1"/>
    <col min="778" max="783" width="21.08984375" style="1017" bestFit="1" customWidth="1"/>
    <col min="784" max="784" width="19.54296875" style="1017" customWidth="1"/>
    <col min="785" max="785" width="21.08984375" style="1017" bestFit="1" customWidth="1"/>
    <col min="786" max="786" width="22.6328125" style="1017" customWidth="1"/>
    <col min="787" max="787" width="22" style="1017" customWidth="1"/>
    <col min="788" max="788" width="23.453125" style="1017" bestFit="1" customWidth="1"/>
    <col min="789" max="791" width="9.08984375" style="1017"/>
    <col min="792" max="792" width="11.36328125" style="1017" customWidth="1"/>
    <col min="793" max="793" width="10.36328125" style="1017" customWidth="1"/>
    <col min="794" max="1001" width="9.08984375" style="1017"/>
    <col min="1002" max="1002" width="2.90625" style="1017" customWidth="1"/>
    <col min="1003" max="1003" width="13.08984375" style="1017" customWidth="1"/>
    <col min="1004" max="1004" width="60.36328125" style="1017" customWidth="1"/>
    <col min="1005" max="1009" width="10.90625" style="1017" bestFit="1" customWidth="1"/>
    <col min="1010" max="1010" width="11.90625" style="1017" bestFit="1" customWidth="1"/>
    <col min="1011" max="1011" width="14.36328125" style="1017" bestFit="1" customWidth="1"/>
    <col min="1012" max="1012" width="17.453125" style="1017" bestFit="1" customWidth="1"/>
    <col min="1013" max="1015" width="17.54296875" style="1017" bestFit="1" customWidth="1"/>
    <col min="1016" max="1022" width="21" style="1017" bestFit="1" customWidth="1"/>
    <col min="1023" max="1030" width="21.08984375" style="1017" bestFit="1" customWidth="1"/>
    <col min="1031" max="1031" width="22.6328125" style="1017" customWidth="1"/>
    <col min="1032" max="1032" width="22" style="1017" customWidth="1"/>
    <col min="1033" max="1033" width="22.6328125" style="1017" customWidth="1"/>
    <col min="1034" max="1039" width="21.08984375" style="1017" bestFit="1" customWidth="1"/>
    <col min="1040" max="1040" width="19.54296875" style="1017" customWidth="1"/>
    <col min="1041" max="1041" width="21.08984375" style="1017" bestFit="1" customWidth="1"/>
    <col min="1042" max="1042" width="22.6328125" style="1017" customWidth="1"/>
    <col min="1043" max="1043" width="22" style="1017" customWidth="1"/>
    <col min="1044" max="1044" width="23.453125" style="1017" bestFit="1" customWidth="1"/>
    <col min="1045" max="1047" width="9.08984375" style="1017"/>
    <col min="1048" max="1048" width="11.36328125" style="1017" customWidth="1"/>
    <col min="1049" max="1049" width="10.36328125" style="1017" customWidth="1"/>
    <col min="1050" max="1257" width="9.08984375" style="1017"/>
    <col min="1258" max="1258" width="2.90625" style="1017" customWidth="1"/>
    <col min="1259" max="1259" width="13.08984375" style="1017" customWidth="1"/>
    <col min="1260" max="1260" width="60.36328125" style="1017" customWidth="1"/>
    <col min="1261" max="1265" width="10.90625" style="1017" bestFit="1" customWidth="1"/>
    <col min="1266" max="1266" width="11.90625" style="1017" bestFit="1" customWidth="1"/>
    <col min="1267" max="1267" width="14.36328125" style="1017" bestFit="1" customWidth="1"/>
    <col min="1268" max="1268" width="17.453125" style="1017" bestFit="1" customWidth="1"/>
    <col min="1269" max="1271" width="17.54296875" style="1017" bestFit="1" customWidth="1"/>
    <col min="1272" max="1278" width="21" style="1017" bestFit="1" customWidth="1"/>
    <col min="1279" max="1286" width="21.08984375" style="1017" bestFit="1" customWidth="1"/>
    <col min="1287" max="1287" width="22.6328125" style="1017" customWidth="1"/>
    <col min="1288" max="1288" width="22" style="1017" customWidth="1"/>
    <col min="1289" max="1289" width="22.6328125" style="1017" customWidth="1"/>
    <col min="1290" max="1295" width="21.08984375" style="1017" bestFit="1" customWidth="1"/>
    <col min="1296" max="1296" width="19.54296875" style="1017" customWidth="1"/>
    <col min="1297" max="1297" width="21.08984375" style="1017" bestFit="1" customWidth="1"/>
    <col min="1298" max="1298" width="22.6328125" style="1017" customWidth="1"/>
    <col min="1299" max="1299" width="22" style="1017" customWidth="1"/>
    <col min="1300" max="1300" width="23.453125" style="1017" bestFit="1" customWidth="1"/>
    <col min="1301" max="1303" width="9.08984375" style="1017"/>
    <col min="1304" max="1304" width="11.36328125" style="1017" customWidth="1"/>
    <col min="1305" max="1305" width="10.36328125" style="1017" customWidth="1"/>
    <col min="1306" max="1513" width="9.08984375" style="1017"/>
    <col min="1514" max="1514" width="2.90625" style="1017" customWidth="1"/>
    <col min="1515" max="1515" width="13.08984375" style="1017" customWidth="1"/>
    <col min="1516" max="1516" width="60.36328125" style="1017" customWidth="1"/>
    <col min="1517" max="1521" width="10.90625" style="1017" bestFit="1" customWidth="1"/>
    <col min="1522" max="1522" width="11.90625" style="1017" bestFit="1" customWidth="1"/>
    <col min="1523" max="1523" width="14.36328125" style="1017" bestFit="1" customWidth="1"/>
    <col min="1524" max="1524" width="17.453125" style="1017" bestFit="1" customWidth="1"/>
    <col min="1525" max="1527" width="17.54296875" style="1017" bestFit="1" customWidth="1"/>
    <col min="1528" max="1534" width="21" style="1017" bestFit="1" customWidth="1"/>
    <col min="1535" max="1542" width="21.08984375" style="1017" bestFit="1" customWidth="1"/>
    <col min="1543" max="1543" width="22.6328125" style="1017" customWidth="1"/>
    <col min="1544" max="1544" width="22" style="1017" customWidth="1"/>
    <col min="1545" max="1545" width="22.6328125" style="1017" customWidth="1"/>
    <col min="1546" max="1551" width="21.08984375" style="1017" bestFit="1" customWidth="1"/>
    <col min="1552" max="1552" width="19.54296875" style="1017" customWidth="1"/>
    <col min="1553" max="1553" width="21.08984375" style="1017" bestFit="1" customWidth="1"/>
    <col min="1554" max="1554" width="22.6328125" style="1017" customWidth="1"/>
    <col min="1555" max="1555" width="22" style="1017" customWidth="1"/>
    <col min="1556" max="1556" width="23.453125" style="1017" bestFit="1" customWidth="1"/>
    <col min="1557" max="1559" width="9.08984375" style="1017"/>
    <col min="1560" max="1560" width="11.36328125" style="1017" customWidth="1"/>
    <col min="1561" max="1561" width="10.36328125" style="1017" customWidth="1"/>
    <col min="1562" max="1769" width="9.08984375" style="1017"/>
    <col min="1770" max="1770" width="2.90625" style="1017" customWidth="1"/>
    <col min="1771" max="1771" width="13.08984375" style="1017" customWidth="1"/>
    <col min="1772" max="1772" width="60.36328125" style="1017" customWidth="1"/>
    <col min="1773" max="1777" width="10.90625" style="1017" bestFit="1" customWidth="1"/>
    <col min="1778" max="1778" width="11.90625" style="1017" bestFit="1" customWidth="1"/>
    <col min="1779" max="1779" width="14.36328125" style="1017" bestFit="1" customWidth="1"/>
    <col min="1780" max="1780" width="17.453125" style="1017" bestFit="1" customWidth="1"/>
    <col min="1781" max="1783" width="17.54296875" style="1017" bestFit="1" customWidth="1"/>
    <col min="1784" max="1790" width="21" style="1017" bestFit="1" customWidth="1"/>
    <col min="1791" max="1798" width="21.08984375" style="1017" bestFit="1" customWidth="1"/>
    <col min="1799" max="1799" width="22.6328125" style="1017" customWidth="1"/>
    <col min="1800" max="1800" width="22" style="1017" customWidth="1"/>
    <col min="1801" max="1801" width="22.6328125" style="1017" customWidth="1"/>
    <col min="1802" max="1807" width="21.08984375" style="1017" bestFit="1" customWidth="1"/>
    <col min="1808" max="1808" width="19.54296875" style="1017" customWidth="1"/>
    <col min="1809" max="1809" width="21.08984375" style="1017" bestFit="1" customWidth="1"/>
    <col min="1810" max="1810" width="22.6328125" style="1017" customWidth="1"/>
    <col min="1811" max="1811" width="22" style="1017" customWidth="1"/>
    <col min="1812" max="1812" width="23.453125" style="1017" bestFit="1" customWidth="1"/>
    <col min="1813" max="1815" width="9.08984375" style="1017"/>
    <col min="1816" max="1816" width="11.36328125" style="1017" customWidth="1"/>
    <col min="1817" max="1817" width="10.36328125" style="1017" customWidth="1"/>
    <col min="1818" max="2025" width="9.08984375" style="1017"/>
    <col min="2026" max="2026" width="2.90625" style="1017" customWidth="1"/>
    <col min="2027" max="2027" width="13.08984375" style="1017" customWidth="1"/>
    <col min="2028" max="2028" width="60.36328125" style="1017" customWidth="1"/>
    <col min="2029" max="2033" width="10.90625" style="1017" bestFit="1" customWidth="1"/>
    <col min="2034" max="2034" width="11.90625" style="1017" bestFit="1" customWidth="1"/>
    <col min="2035" max="2035" width="14.36328125" style="1017" bestFit="1" customWidth="1"/>
    <col min="2036" max="2036" width="17.453125" style="1017" bestFit="1" customWidth="1"/>
    <col min="2037" max="2039" width="17.54296875" style="1017" bestFit="1" customWidth="1"/>
    <col min="2040" max="2046" width="21" style="1017" bestFit="1" customWidth="1"/>
    <col min="2047" max="2054" width="21.08984375" style="1017" bestFit="1" customWidth="1"/>
    <col min="2055" max="2055" width="22.6328125" style="1017" customWidth="1"/>
    <col min="2056" max="2056" width="22" style="1017" customWidth="1"/>
    <col min="2057" max="2057" width="22.6328125" style="1017" customWidth="1"/>
    <col min="2058" max="2063" width="21.08984375" style="1017" bestFit="1" customWidth="1"/>
    <col min="2064" max="2064" width="19.54296875" style="1017" customWidth="1"/>
    <col min="2065" max="2065" width="21.08984375" style="1017" bestFit="1" customWidth="1"/>
    <col min="2066" max="2066" width="22.6328125" style="1017" customWidth="1"/>
    <col min="2067" max="2067" width="22" style="1017" customWidth="1"/>
    <col min="2068" max="2068" width="23.453125" style="1017" bestFit="1" customWidth="1"/>
    <col min="2069" max="2071" width="9.08984375" style="1017"/>
    <col min="2072" max="2072" width="11.36328125" style="1017" customWidth="1"/>
    <col min="2073" max="2073" width="10.36328125" style="1017" customWidth="1"/>
    <col min="2074" max="2281" width="9.08984375" style="1017"/>
    <col min="2282" max="2282" width="2.90625" style="1017" customWidth="1"/>
    <col min="2283" max="2283" width="13.08984375" style="1017" customWidth="1"/>
    <col min="2284" max="2284" width="60.36328125" style="1017" customWidth="1"/>
    <col min="2285" max="2289" width="10.90625" style="1017" bestFit="1" customWidth="1"/>
    <col min="2290" max="2290" width="11.90625" style="1017" bestFit="1" customWidth="1"/>
    <col min="2291" max="2291" width="14.36328125" style="1017" bestFit="1" customWidth="1"/>
    <col min="2292" max="2292" width="17.453125" style="1017" bestFit="1" customWidth="1"/>
    <col min="2293" max="2295" width="17.54296875" style="1017" bestFit="1" customWidth="1"/>
    <col min="2296" max="2302" width="21" style="1017" bestFit="1" customWidth="1"/>
    <col min="2303" max="2310" width="21.08984375" style="1017" bestFit="1" customWidth="1"/>
    <col min="2311" max="2311" width="22.6328125" style="1017" customWidth="1"/>
    <col min="2312" max="2312" width="22" style="1017" customWidth="1"/>
    <col min="2313" max="2313" width="22.6328125" style="1017" customWidth="1"/>
    <col min="2314" max="2319" width="21.08984375" style="1017" bestFit="1" customWidth="1"/>
    <col min="2320" max="2320" width="19.54296875" style="1017" customWidth="1"/>
    <col min="2321" max="2321" width="21.08984375" style="1017" bestFit="1" customWidth="1"/>
    <col min="2322" max="2322" width="22.6328125" style="1017" customWidth="1"/>
    <col min="2323" max="2323" width="22" style="1017" customWidth="1"/>
    <col min="2324" max="2324" width="23.453125" style="1017" bestFit="1" customWidth="1"/>
    <col min="2325" max="2327" width="9.08984375" style="1017"/>
    <col min="2328" max="2328" width="11.36328125" style="1017" customWidth="1"/>
    <col min="2329" max="2329" width="10.36328125" style="1017" customWidth="1"/>
    <col min="2330" max="2537" width="9.08984375" style="1017"/>
    <col min="2538" max="2538" width="2.90625" style="1017" customWidth="1"/>
    <col min="2539" max="2539" width="13.08984375" style="1017" customWidth="1"/>
    <col min="2540" max="2540" width="60.36328125" style="1017" customWidth="1"/>
    <col min="2541" max="2545" width="10.90625" style="1017" bestFit="1" customWidth="1"/>
    <col min="2546" max="2546" width="11.90625" style="1017" bestFit="1" customWidth="1"/>
    <col min="2547" max="2547" width="14.36328125" style="1017" bestFit="1" customWidth="1"/>
    <col min="2548" max="2548" width="17.453125" style="1017" bestFit="1" customWidth="1"/>
    <col min="2549" max="2551" width="17.54296875" style="1017" bestFit="1" customWidth="1"/>
    <col min="2552" max="2558" width="21" style="1017" bestFit="1" customWidth="1"/>
    <col min="2559" max="2566" width="21.08984375" style="1017" bestFit="1" customWidth="1"/>
    <col min="2567" max="2567" width="22.6328125" style="1017" customWidth="1"/>
    <col min="2568" max="2568" width="22" style="1017" customWidth="1"/>
    <col min="2569" max="2569" width="22.6328125" style="1017" customWidth="1"/>
    <col min="2570" max="2575" width="21.08984375" style="1017" bestFit="1" customWidth="1"/>
    <col min="2576" max="2576" width="19.54296875" style="1017" customWidth="1"/>
    <col min="2577" max="2577" width="21.08984375" style="1017" bestFit="1" customWidth="1"/>
    <col min="2578" max="2578" width="22.6328125" style="1017" customWidth="1"/>
    <col min="2579" max="2579" width="22" style="1017" customWidth="1"/>
    <col min="2580" max="2580" width="23.453125" style="1017" bestFit="1" customWidth="1"/>
    <col min="2581" max="2583" width="9.08984375" style="1017"/>
    <col min="2584" max="2584" width="11.36328125" style="1017" customWidth="1"/>
    <col min="2585" max="2585" width="10.36328125" style="1017" customWidth="1"/>
    <col min="2586" max="2793" width="9.08984375" style="1017"/>
    <col min="2794" max="2794" width="2.90625" style="1017" customWidth="1"/>
    <col min="2795" max="2795" width="13.08984375" style="1017" customWidth="1"/>
    <col min="2796" max="2796" width="60.36328125" style="1017" customWidth="1"/>
    <col min="2797" max="2801" width="10.90625" style="1017" bestFit="1" customWidth="1"/>
    <col min="2802" max="2802" width="11.90625" style="1017" bestFit="1" customWidth="1"/>
    <col min="2803" max="2803" width="14.36328125" style="1017" bestFit="1" customWidth="1"/>
    <col min="2804" max="2804" width="17.453125" style="1017" bestFit="1" customWidth="1"/>
    <col min="2805" max="2807" width="17.54296875" style="1017" bestFit="1" customWidth="1"/>
    <col min="2808" max="2814" width="21" style="1017" bestFit="1" customWidth="1"/>
    <col min="2815" max="2822" width="21.08984375" style="1017" bestFit="1" customWidth="1"/>
    <col min="2823" max="2823" width="22.6328125" style="1017" customWidth="1"/>
    <col min="2824" max="2824" width="22" style="1017" customWidth="1"/>
    <col min="2825" max="2825" width="22.6328125" style="1017" customWidth="1"/>
    <col min="2826" max="2831" width="21.08984375" style="1017" bestFit="1" customWidth="1"/>
    <col min="2832" max="2832" width="19.54296875" style="1017" customWidth="1"/>
    <col min="2833" max="2833" width="21.08984375" style="1017" bestFit="1" customWidth="1"/>
    <col min="2834" max="2834" width="22.6328125" style="1017" customWidth="1"/>
    <col min="2835" max="2835" width="22" style="1017" customWidth="1"/>
    <col min="2836" max="2836" width="23.453125" style="1017" bestFit="1" customWidth="1"/>
    <col min="2837" max="2839" width="9.08984375" style="1017"/>
    <col min="2840" max="2840" width="11.36328125" style="1017" customWidth="1"/>
    <col min="2841" max="2841" width="10.36328125" style="1017" customWidth="1"/>
    <col min="2842" max="3049" width="9.08984375" style="1017"/>
    <col min="3050" max="3050" width="2.90625" style="1017" customWidth="1"/>
    <col min="3051" max="3051" width="13.08984375" style="1017" customWidth="1"/>
    <col min="3052" max="3052" width="60.36328125" style="1017" customWidth="1"/>
    <col min="3053" max="3057" width="10.90625" style="1017" bestFit="1" customWidth="1"/>
    <col min="3058" max="3058" width="11.90625" style="1017" bestFit="1" customWidth="1"/>
    <col min="3059" max="3059" width="14.36328125" style="1017" bestFit="1" customWidth="1"/>
    <col min="3060" max="3060" width="17.453125" style="1017" bestFit="1" customWidth="1"/>
    <col min="3061" max="3063" width="17.54296875" style="1017" bestFit="1" customWidth="1"/>
    <col min="3064" max="3070" width="21" style="1017" bestFit="1" customWidth="1"/>
    <col min="3071" max="3078" width="21.08984375" style="1017" bestFit="1" customWidth="1"/>
    <col min="3079" max="3079" width="22.6328125" style="1017" customWidth="1"/>
    <col min="3080" max="3080" width="22" style="1017" customWidth="1"/>
    <col min="3081" max="3081" width="22.6328125" style="1017" customWidth="1"/>
    <col min="3082" max="3087" width="21.08984375" style="1017" bestFit="1" customWidth="1"/>
    <col min="3088" max="3088" width="19.54296875" style="1017" customWidth="1"/>
    <col min="3089" max="3089" width="21.08984375" style="1017" bestFit="1" customWidth="1"/>
    <col min="3090" max="3090" width="22.6328125" style="1017" customWidth="1"/>
    <col min="3091" max="3091" width="22" style="1017" customWidth="1"/>
    <col min="3092" max="3092" width="23.453125" style="1017" bestFit="1" customWidth="1"/>
    <col min="3093" max="3095" width="9.08984375" style="1017"/>
    <col min="3096" max="3096" width="11.36328125" style="1017" customWidth="1"/>
    <col min="3097" max="3097" width="10.36328125" style="1017" customWidth="1"/>
    <col min="3098" max="3305" width="9.08984375" style="1017"/>
    <col min="3306" max="3306" width="2.90625" style="1017" customWidth="1"/>
    <col min="3307" max="3307" width="13.08984375" style="1017" customWidth="1"/>
    <col min="3308" max="3308" width="60.36328125" style="1017" customWidth="1"/>
    <col min="3309" max="3313" width="10.90625" style="1017" bestFit="1" customWidth="1"/>
    <col min="3314" max="3314" width="11.90625" style="1017" bestFit="1" customWidth="1"/>
    <col min="3315" max="3315" width="14.36328125" style="1017" bestFit="1" customWidth="1"/>
    <col min="3316" max="3316" width="17.453125" style="1017" bestFit="1" customWidth="1"/>
    <col min="3317" max="3319" width="17.54296875" style="1017" bestFit="1" customWidth="1"/>
    <col min="3320" max="3326" width="21" style="1017" bestFit="1" customWidth="1"/>
    <col min="3327" max="3334" width="21.08984375" style="1017" bestFit="1" customWidth="1"/>
    <col min="3335" max="3335" width="22.6328125" style="1017" customWidth="1"/>
    <col min="3336" max="3336" width="22" style="1017" customWidth="1"/>
    <col min="3337" max="3337" width="22.6328125" style="1017" customWidth="1"/>
    <col min="3338" max="3343" width="21.08984375" style="1017" bestFit="1" customWidth="1"/>
    <col min="3344" max="3344" width="19.54296875" style="1017" customWidth="1"/>
    <col min="3345" max="3345" width="21.08984375" style="1017" bestFit="1" customWidth="1"/>
    <col min="3346" max="3346" width="22.6328125" style="1017" customWidth="1"/>
    <col min="3347" max="3347" width="22" style="1017" customWidth="1"/>
    <col min="3348" max="3348" width="23.453125" style="1017" bestFit="1" customWidth="1"/>
    <col min="3349" max="3351" width="9.08984375" style="1017"/>
    <col min="3352" max="3352" width="11.36328125" style="1017" customWidth="1"/>
    <col min="3353" max="3353" width="10.36328125" style="1017" customWidth="1"/>
    <col min="3354" max="3561" width="9.08984375" style="1017"/>
    <col min="3562" max="3562" width="2.90625" style="1017" customWidth="1"/>
    <col min="3563" max="3563" width="13.08984375" style="1017" customWidth="1"/>
    <col min="3564" max="3564" width="60.36328125" style="1017" customWidth="1"/>
    <col min="3565" max="3569" width="10.90625" style="1017" bestFit="1" customWidth="1"/>
    <col min="3570" max="3570" width="11.90625" style="1017" bestFit="1" customWidth="1"/>
    <col min="3571" max="3571" width="14.36328125" style="1017" bestFit="1" customWidth="1"/>
    <col min="3572" max="3572" width="17.453125" style="1017" bestFit="1" customWidth="1"/>
    <col min="3573" max="3575" width="17.54296875" style="1017" bestFit="1" customWidth="1"/>
    <col min="3576" max="3582" width="21" style="1017" bestFit="1" customWidth="1"/>
    <col min="3583" max="3590" width="21.08984375" style="1017" bestFit="1" customWidth="1"/>
    <col min="3591" max="3591" width="22.6328125" style="1017" customWidth="1"/>
    <col min="3592" max="3592" width="22" style="1017" customWidth="1"/>
    <col min="3593" max="3593" width="22.6328125" style="1017" customWidth="1"/>
    <col min="3594" max="3599" width="21.08984375" style="1017" bestFit="1" customWidth="1"/>
    <col min="3600" max="3600" width="19.54296875" style="1017" customWidth="1"/>
    <col min="3601" max="3601" width="21.08984375" style="1017" bestFit="1" customWidth="1"/>
    <col min="3602" max="3602" width="22.6328125" style="1017" customWidth="1"/>
    <col min="3603" max="3603" width="22" style="1017" customWidth="1"/>
    <col min="3604" max="3604" width="23.453125" style="1017" bestFit="1" customWidth="1"/>
    <col min="3605" max="3607" width="9.08984375" style="1017"/>
    <col min="3608" max="3608" width="11.36328125" style="1017" customWidth="1"/>
    <col min="3609" max="3609" width="10.36328125" style="1017" customWidth="1"/>
    <col min="3610" max="3817" width="9.08984375" style="1017"/>
    <col min="3818" max="3818" width="2.90625" style="1017" customWidth="1"/>
    <col min="3819" max="3819" width="13.08984375" style="1017" customWidth="1"/>
    <col min="3820" max="3820" width="60.36328125" style="1017" customWidth="1"/>
    <col min="3821" max="3825" width="10.90625" style="1017" bestFit="1" customWidth="1"/>
    <col min="3826" max="3826" width="11.90625" style="1017" bestFit="1" customWidth="1"/>
    <col min="3827" max="3827" width="14.36328125" style="1017" bestFit="1" customWidth="1"/>
    <col min="3828" max="3828" width="17.453125" style="1017" bestFit="1" customWidth="1"/>
    <col min="3829" max="3831" width="17.54296875" style="1017" bestFit="1" customWidth="1"/>
    <col min="3832" max="3838" width="21" style="1017" bestFit="1" customWidth="1"/>
    <col min="3839" max="3846" width="21.08984375" style="1017" bestFit="1" customWidth="1"/>
    <col min="3847" max="3847" width="22.6328125" style="1017" customWidth="1"/>
    <col min="3848" max="3848" width="22" style="1017" customWidth="1"/>
    <col min="3849" max="3849" width="22.6328125" style="1017" customWidth="1"/>
    <col min="3850" max="3855" width="21.08984375" style="1017" bestFit="1" customWidth="1"/>
    <col min="3856" max="3856" width="19.54296875" style="1017" customWidth="1"/>
    <col min="3857" max="3857" width="21.08984375" style="1017" bestFit="1" customWidth="1"/>
    <col min="3858" max="3858" width="22.6328125" style="1017" customWidth="1"/>
    <col min="3859" max="3859" width="22" style="1017" customWidth="1"/>
    <col min="3860" max="3860" width="23.453125" style="1017" bestFit="1" customWidth="1"/>
    <col min="3861" max="3863" width="9.08984375" style="1017"/>
    <col min="3864" max="3864" width="11.36328125" style="1017" customWidth="1"/>
    <col min="3865" max="3865" width="10.36328125" style="1017" customWidth="1"/>
    <col min="3866" max="4073" width="9.08984375" style="1017"/>
    <col min="4074" max="4074" width="2.90625" style="1017" customWidth="1"/>
    <col min="4075" max="4075" width="13.08984375" style="1017" customWidth="1"/>
    <col min="4076" max="4076" width="60.36328125" style="1017" customWidth="1"/>
    <col min="4077" max="4081" width="10.90625" style="1017" bestFit="1" customWidth="1"/>
    <col min="4082" max="4082" width="11.90625" style="1017" bestFit="1" customWidth="1"/>
    <col min="4083" max="4083" width="14.36328125" style="1017" bestFit="1" customWidth="1"/>
    <col min="4084" max="4084" width="17.453125" style="1017" bestFit="1" customWidth="1"/>
    <col min="4085" max="4087" width="17.54296875" style="1017" bestFit="1" customWidth="1"/>
    <col min="4088" max="4094" width="21" style="1017" bestFit="1" customWidth="1"/>
    <col min="4095" max="4102" width="21.08984375" style="1017" bestFit="1" customWidth="1"/>
    <col min="4103" max="4103" width="22.6328125" style="1017" customWidth="1"/>
    <col min="4104" max="4104" width="22" style="1017" customWidth="1"/>
    <col min="4105" max="4105" width="22.6328125" style="1017" customWidth="1"/>
    <col min="4106" max="4111" width="21.08984375" style="1017" bestFit="1" customWidth="1"/>
    <col min="4112" max="4112" width="19.54296875" style="1017" customWidth="1"/>
    <col min="4113" max="4113" width="21.08984375" style="1017" bestFit="1" customWidth="1"/>
    <col min="4114" max="4114" width="22.6328125" style="1017" customWidth="1"/>
    <col min="4115" max="4115" width="22" style="1017" customWidth="1"/>
    <col min="4116" max="4116" width="23.453125" style="1017" bestFit="1" customWidth="1"/>
    <col min="4117" max="4119" width="9.08984375" style="1017"/>
    <col min="4120" max="4120" width="11.36328125" style="1017" customWidth="1"/>
    <col min="4121" max="4121" width="10.36328125" style="1017" customWidth="1"/>
    <col min="4122" max="4329" width="9.08984375" style="1017"/>
    <col min="4330" max="4330" width="2.90625" style="1017" customWidth="1"/>
    <col min="4331" max="4331" width="13.08984375" style="1017" customWidth="1"/>
    <col min="4332" max="4332" width="60.36328125" style="1017" customWidth="1"/>
    <col min="4333" max="4337" width="10.90625" style="1017" bestFit="1" customWidth="1"/>
    <col min="4338" max="4338" width="11.90625" style="1017" bestFit="1" customWidth="1"/>
    <col min="4339" max="4339" width="14.36328125" style="1017" bestFit="1" customWidth="1"/>
    <col min="4340" max="4340" width="17.453125" style="1017" bestFit="1" customWidth="1"/>
    <col min="4341" max="4343" width="17.54296875" style="1017" bestFit="1" customWidth="1"/>
    <col min="4344" max="4350" width="21" style="1017" bestFit="1" customWidth="1"/>
    <col min="4351" max="4358" width="21.08984375" style="1017" bestFit="1" customWidth="1"/>
    <col min="4359" max="4359" width="22.6328125" style="1017" customWidth="1"/>
    <col min="4360" max="4360" width="22" style="1017" customWidth="1"/>
    <col min="4361" max="4361" width="22.6328125" style="1017" customWidth="1"/>
    <col min="4362" max="4367" width="21.08984375" style="1017" bestFit="1" customWidth="1"/>
    <col min="4368" max="4368" width="19.54296875" style="1017" customWidth="1"/>
    <col min="4369" max="4369" width="21.08984375" style="1017" bestFit="1" customWidth="1"/>
    <col min="4370" max="4370" width="22.6328125" style="1017" customWidth="1"/>
    <col min="4371" max="4371" width="22" style="1017" customWidth="1"/>
    <col min="4372" max="4372" width="23.453125" style="1017" bestFit="1" customWidth="1"/>
    <col min="4373" max="4375" width="9.08984375" style="1017"/>
    <col min="4376" max="4376" width="11.36328125" style="1017" customWidth="1"/>
    <col min="4377" max="4377" width="10.36328125" style="1017" customWidth="1"/>
    <col min="4378" max="4585" width="9.08984375" style="1017"/>
    <col min="4586" max="4586" width="2.90625" style="1017" customWidth="1"/>
    <col min="4587" max="4587" width="13.08984375" style="1017" customWidth="1"/>
    <col min="4588" max="4588" width="60.36328125" style="1017" customWidth="1"/>
    <col min="4589" max="4593" width="10.90625" style="1017" bestFit="1" customWidth="1"/>
    <col min="4594" max="4594" width="11.90625" style="1017" bestFit="1" customWidth="1"/>
    <col min="4595" max="4595" width="14.36328125" style="1017" bestFit="1" customWidth="1"/>
    <col min="4596" max="4596" width="17.453125" style="1017" bestFit="1" customWidth="1"/>
    <col min="4597" max="4599" width="17.54296875" style="1017" bestFit="1" customWidth="1"/>
    <col min="4600" max="4606" width="21" style="1017" bestFit="1" customWidth="1"/>
    <col min="4607" max="4614" width="21.08984375" style="1017" bestFit="1" customWidth="1"/>
    <col min="4615" max="4615" width="22.6328125" style="1017" customWidth="1"/>
    <col min="4616" max="4616" width="22" style="1017" customWidth="1"/>
    <col min="4617" max="4617" width="22.6328125" style="1017" customWidth="1"/>
    <col min="4618" max="4623" width="21.08984375" style="1017" bestFit="1" customWidth="1"/>
    <col min="4624" max="4624" width="19.54296875" style="1017" customWidth="1"/>
    <col min="4625" max="4625" width="21.08984375" style="1017" bestFit="1" customWidth="1"/>
    <col min="4626" max="4626" width="22.6328125" style="1017" customWidth="1"/>
    <col min="4627" max="4627" width="22" style="1017" customWidth="1"/>
    <col min="4628" max="4628" width="23.453125" style="1017" bestFit="1" customWidth="1"/>
    <col min="4629" max="4631" width="9.08984375" style="1017"/>
    <col min="4632" max="4632" width="11.36328125" style="1017" customWidth="1"/>
    <col min="4633" max="4633" width="10.36328125" style="1017" customWidth="1"/>
    <col min="4634" max="4841" width="9.08984375" style="1017"/>
    <col min="4842" max="4842" width="2.90625" style="1017" customWidth="1"/>
    <col min="4843" max="4843" width="13.08984375" style="1017" customWidth="1"/>
    <col min="4844" max="4844" width="60.36328125" style="1017" customWidth="1"/>
    <col min="4845" max="4849" width="10.90625" style="1017" bestFit="1" customWidth="1"/>
    <col min="4850" max="4850" width="11.90625" style="1017" bestFit="1" customWidth="1"/>
    <col min="4851" max="4851" width="14.36328125" style="1017" bestFit="1" customWidth="1"/>
    <col min="4852" max="4852" width="17.453125" style="1017" bestFit="1" customWidth="1"/>
    <col min="4853" max="4855" width="17.54296875" style="1017" bestFit="1" customWidth="1"/>
    <col min="4856" max="4862" width="21" style="1017" bestFit="1" customWidth="1"/>
    <col min="4863" max="4870" width="21.08984375" style="1017" bestFit="1" customWidth="1"/>
    <col min="4871" max="4871" width="22.6328125" style="1017" customWidth="1"/>
    <col min="4872" max="4872" width="22" style="1017" customWidth="1"/>
    <col min="4873" max="4873" width="22.6328125" style="1017" customWidth="1"/>
    <col min="4874" max="4879" width="21.08984375" style="1017" bestFit="1" customWidth="1"/>
    <col min="4880" max="4880" width="19.54296875" style="1017" customWidth="1"/>
    <col min="4881" max="4881" width="21.08984375" style="1017" bestFit="1" customWidth="1"/>
    <col min="4882" max="4882" width="22.6328125" style="1017" customWidth="1"/>
    <col min="4883" max="4883" width="22" style="1017" customWidth="1"/>
    <col min="4884" max="4884" width="23.453125" style="1017" bestFit="1" customWidth="1"/>
    <col min="4885" max="4887" width="9.08984375" style="1017"/>
    <col min="4888" max="4888" width="11.36328125" style="1017" customWidth="1"/>
    <col min="4889" max="4889" width="10.36328125" style="1017" customWidth="1"/>
    <col min="4890" max="5097" width="9.08984375" style="1017"/>
    <col min="5098" max="5098" width="2.90625" style="1017" customWidth="1"/>
    <col min="5099" max="5099" width="13.08984375" style="1017" customWidth="1"/>
    <col min="5100" max="5100" width="60.36328125" style="1017" customWidth="1"/>
    <col min="5101" max="5105" width="10.90625" style="1017" bestFit="1" customWidth="1"/>
    <col min="5106" max="5106" width="11.90625" style="1017" bestFit="1" customWidth="1"/>
    <col min="5107" max="5107" width="14.36328125" style="1017" bestFit="1" customWidth="1"/>
    <col min="5108" max="5108" width="17.453125" style="1017" bestFit="1" customWidth="1"/>
    <col min="5109" max="5111" width="17.54296875" style="1017" bestFit="1" customWidth="1"/>
    <col min="5112" max="5118" width="21" style="1017" bestFit="1" customWidth="1"/>
    <col min="5119" max="5126" width="21.08984375" style="1017" bestFit="1" customWidth="1"/>
    <col min="5127" max="5127" width="22.6328125" style="1017" customWidth="1"/>
    <col min="5128" max="5128" width="22" style="1017" customWidth="1"/>
    <col min="5129" max="5129" width="22.6328125" style="1017" customWidth="1"/>
    <col min="5130" max="5135" width="21.08984375" style="1017" bestFit="1" customWidth="1"/>
    <col min="5136" max="5136" width="19.54296875" style="1017" customWidth="1"/>
    <col min="5137" max="5137" width="21.08984375" style="1017" bestFit="1" customWidth="1"/>
    <col min="5138" max="5138" width="22.6328125" style="1017" customWidth="1"/>
    <col min="5139" max="5139" width="22" style="1017" customWidth="1"/>
    <col min="5140" max="5140" width="23.453125" style="1017" bestFit="1" customWidth="1"/>
    <col min="5141" max="5143" width="9.08984375" style="1017"/>
    <col min="5144" max="5144" width="11.36328125" style="1017" customWidth="1"/>
    <col min="5145" max="5145" width="10.36328125" style="1017" customWidth="1"/>
    <col min="5146" max="5353" width="9.08984375" style="1017"/>
    <col min="5354" max="5354" width="2.90625" style="1017" customWidth="1"/>
    <col min="5355" max="5355" width="13.08984375" style="1017" customWidth="1"/>
    <col min="5356" max="5356" width="60.36328125" style="1017" customWidth="1"/>
    <col min="5357" max="5361" width="10.90625" style="1017" bestFit="1" customWidth="1"/>
    <col min="5362" max="5362" width="11.90625" style="1017" bestFit="1" customWidth="1"/>
    <col min="5363" max="5363" width="14.36328125" style="1017" bestFit="1" customWidth="1"/>
    <col min="5364" max="5364" width="17.453125" style="1017" bestFit="1" customWidth="1"/>
    <col min="5365" max="5367" width="17.54296875" style="1017" bestFit="1" customWidth="1"/>
    <col min="5368" max="5374" width="21" style="1017" bestFit="1" customWidth="1"/>
    <col min="5375" max="5382" width="21.08984375" style="1017" bestFit="1" customWidth="1"/>
    <col min="5383" max="5383" width="22.6328125" style="1017" customWidth="1"/>
    <col min="5384" max="5384" width="22" style="1017" customWidth="1"/>
    <col min="5385" max="5385" width="22.6328125" style="1017" customWidth="1"/>
    <col min="5386" max="5391" width="21.08984375" style="1017" bestFit="1" customWidth="1"/>
    <col min="5392" max="5392" width="19.54296875" style="1017" customWidth="1"/>
    <col min="5393" max="5393" width="21.08984375" style="1017" bestFit="1" customWidth="1"/>
    <col min="5394" max="5394" width="22.6328125" style="1017" customWidth="1"/>
    <col min="5395" max="5395" width="22" style="1017" customWidth="1"/>
    <col min="5396" max="5396" width="23.453125" style="1017" bestFit="1" customWidth="1"/>
    <col min="5397" max="5399" width="9.08984375" style="1017"/>
    <col min="5400" max="5400" width="11.36328125" style="1017" customWidth="1"/>
    <col min="5401" max="5401" width="10.36328125" style="1017" customWidth="1"/>
    <col min="5402" max="5609" width="9.08984375" style="1017"/>
    <col min="5610" max="5610" width="2.90625" style="1017" customWidth="1"/>
    <col min="5611" max="5611" width="13.08984375" style="1017" customWidth="1"/>
    <col min="5612" max="5612" width="60.36328125" style="1017" customWidth="1"/>
    <col min="5613" max="5617" width="10.90625" style="1017" bestFit="1" customWidth="1"/>
    <col min="5618" max="5618" width="11.90625" style="1017" bestFit="1" customWidth="1"/>
    <col min="5619" max="5619" width="14.36328125" style="1017" bestFit="1" customWidth="1"/>
    <col min="5620" max="5620" width="17.453125" style="1017" bestFit="1" customWidth="1"/>
    <col min="5621" max="5623" width="17.54296875" style="1017" bestFit="1" customWidth="1"/>
    <col min="5624" max="5630" width="21" style="1017" bestFit="1" customWidth="1"/>
    <col min="5631" max="5638" width="21.08984375" style="1017" bestFit="1" customWidth="1"/>
    <col min="5639" max="5639" width="22.6328125" style="1017" customWidth="1"/>
    <col min="5640" max="5640" width="22" style="1017" customWidth="1"/>
    <col min="5641" max="5641" width="22.6328125" style="1017" customWidth="1"/>
    <col min="5642" max="5647" width="21.08984375" style="1017" bestFit="1" customWidth="1"/>
    <col min="5648" max="5648" width="19.54296875" style="1017" customWidth="1"/>
    <col min="5649" max="5649" width="21.08984375" style="1017" bestFit="1" customWidth="1"/>
    <col min="5650" max="5650" width="22.6328125" style="1017" customWidth="1"/>
    <col min="5651" max="5651" width="22" style="1017" customWidth="1"/>
    <col min="5652" max="5652" width="23.453125" style="1017" bestFit="1" customWidth="1"/>
    <col min="5653" max="5655" width="9.08984375" style="1017"/>
    <col min="5656" max="5656" width="11.36328125" style="1017" customWidth="1"/>
    <col min="5657" max="5657" width="10.36328125" style="1017" customWidth="1"/>
    <col min="5658" max="5865" width="9.08984375" style="1017"/>
    <col min="5866" max="5866" width="2.90625" style="1017" customWidth="1"/>
    <col min="5867" max="5867" width="13.08984375" style="1017" customWidth="1"/>
    <col min="5868" max="5868" width="60.36328125" style="1017" customWidth="1"/>
    <col min="5869" max="5873" width="10.90625" style="1017" bestFit="1" customWidth="1"/>
    <col min="5874" max="5874" width="11.90625" style="1017" bestFit="1" customWidth="1"/>
    <col min="5875" max="5875" width="14.36328125" style="1017" bestFit="1" customWidth="1"/>
    <col min="5876" max="5876" width="17.453125" style="1017" bestFit="1" customWidth="1"/>
    <col min="5877" max="5879" width="17.54296875" style="1017" bestFit="1" customWidth="1"/>
    <col min="5880" max="5886" width="21" style="1017" bestFit="1" customWidth="1"/>
    <col min="5887" max="5894" width="21.08984375" style="1017" bestFit="1" customWidth="1"/>
    <col min="5895" max="5895" width="22.6328125" style="1017" customWidth="1"/>
    <col min="5896" max="5896" width="22" style="1017" customWidth="1"/>
    <col min="5897" max="5897" width="22.6328125" style="1017" customWidth="1"/>
    <col min="5898" max="5903" width="21.08984375" style="1017" bestFit="1" customWidth="1"/>
    <col min="5904" max="5904" width="19.54296875" style="1017" customWidth="1"/>
    <col min="5905" max="5905" width="21.08984375" style="1017" bestFit="1" customWidth="1"/>
    <col min="5906" max="5906" width="22.6328125" style="1017" customWidth="1"/>
    <col min="5907" max="5907" width="22" style="1017" customWidth="1"/>
    <col min="5908" max="5908" width="23.453125" style="1017" bestFit="1" customWidth="1"/>
    <col min="5909" max="5911" width="9.08984375" style="1017"/>
    <col min="5912" max="5912" width="11.36328125" style="1017" customWidth="1"/>
    <col min="5913" max="5913" width="10.36328125" style="1017" customWidth="1"/>
    <col min="5914" max="6121" width="9.08984375" style="1017"/>
    <col min="6122" max="6122" width="2.90625" style="1017" customWidth="1"/>
    <col min="6123" max="6123" width="13.08984375" style="1017" customWidth="1"/>
    <col min="6124" max="6124" width="60.36328125" style="1017" customWidth="1"/>
    <col min="6125" max="6129" width="10.90625" style="1017" bestFit="1" customWidth="1"/>
    <col min="6130" max="6130" width="11.90625" style="1017" bestFit="1" customWidth="1"/>
    <col min="6131" max="6131" width="14.36328125" style="1017" bestFit="1" customWidth="1"/>
    <col min="6132" max="6132" width="17.453125" style="1017" bestFit="1" customWidth="1"/>
    <col min="6133" max="6135" width="17.54296875" style="1017" bestFit="1" customWidth="1"/>
    <col min="6136" max="6142" width="21" style="1017" bestFit="1" customWidth="1"/>
    <col min="6143" max="6150" width="21.08984375" style="1017" bestFit="1" customWidth="1"/>
    <col min="6151" max="6151" width="22.6328125" style="1017" customWidth="1"/>
    <col min="6152" max="6152" width="22" style="1017" customWidth="1"/>
    <col min="6153" max="6153" width="22.6328125" style="1017" customWidth="1"/>
    <col min="6154" max="6159" width="21.08984375" style="1017" bestFit="1" customWidth="1"/>
    <col min="6160" max="6160" width="19.54296875" style="1017" customWidth="1"/>
    <col min="6161" max="6161" width="21.08984375" style="1017" bestFit="1" customWidth="1"/>
    <col min="6162" max="6162" width="22.6328125" style="1017" customWidth="1"/>
    <col min="6163" max="6163" width="22" style="1017" customWidth="1"/>
    <col min="6164" max="6164" width="23.453125" style="1017" bestFit="1" customWidth="1"/>
    <col min="6165" max="6167" width="9.08984375" style="1017"/>
    <col min="6168" max="6168" width="11.36328125" style="1017" customWidth="1"/>
    <col min="6169" max="6169" width="10.36328125" style="1017" customWidth="1"/>
    <col min="6170" max="6377" width="9.08984375" style="1017"/>
    <col min="6378" max="6378" width="2.90625" style="1017" customWidth="1"/>
    <col min="6379" max="6379" width="13.08984375" style="1017" customWidth="1"/>
    <col min="6380" max="6380" width="60.36328125" style="1017" customWidth="1"/>
    <col min="6381" max="6385" width="10.90625" style="1017" bestFit="1" customWidth="1"/>
    <col min="6386" max="6386" width="11.90625" style="1017" bestFit="1" customWidth="1"/>
    <col min="6387" max="6387" width="14.36328125" style="1017" bestFit="1" customWidth="1"/>
    <col min="6388" max="6388" width="17.453125" style="1017" bestFit="1" customWidth="1"/>
    <col min="6389" max="6391" width="17.54296875" style="1017" bestFit="1" customWidth="1"/>
    <col min="6392" max="6398" width="21" style="1017" bestFit="1" customWidth="1"/>
    <col min="6399" max="6406" width="21.08984375" style="1017" bestFit="1" customWidth="1"/>
    <col min="6407" max="6407" width="22.6328125" style="1017" customWidth="1"/>
    <col min="6408" max="6408" width="22" style="1017" customWidth="1"/>
    <col min="6409" max="6409" width="22.6328125" style="1017" customWidth="1"/>
    <col min="6410" max="6415" width="21.08984375" style="1017" bestFit="1" customWidth="1"/>
    <col min="6416" max="6416" width="19.54296875" style="1017" customWidth="1"/>
    <col min="6417" max="6417" width="21.08984375" style="1017" bestFit="1" customWidth="1"/>
    <col min="6418" max="6418" width="22.6328125" style="1017" customWidth="1"/>
    <col min="6419" max="6419" width="22" style="1017" customWidth="1"/>
    <col min="6420" max="6420" width="23.453125" style="1017" bestFit="1" customWidth="1"/>
    <col min="6421" max="6423" width="9.08984375" style="1017"/>
    <col min="6424" max="6424" width="11.36328125" style="1017" customWidth="1"/>
    <col min="6425" max="6425" width="10.36328125" style="1017" customWidth="1"/>
    <col min="6426" max="6633" width="9.08984375" style="1017"/>
    <col min="6634" max="6634" width="2.90625" style="1017" customWidth="1"/>
    <col min="6635" max="6635" width="13.08984375" style="1017" customWidth="1"/>
    <col min="6636" max="6636" width="60.36328125" style="1017" customWidth="1"/>
    <col min="6637" max="6641" width="10.90625" style="1017" bestFit="1" customWidth="1"/>
    <col min="6642" max="6642" width="11.90625" style="1017" bestFit="1" customWidth="1"/>
    <col min="6643" max="6643" width="14.36328125" style="1017" bestFit="1" customWidth="1"/>
    <col min="6644" max="6644" width="17.453125" style="1017" bestFit="1" customWidth="1"/>
    <col min="6645" max="6647" width="17.54296875" style="1017" bestFit="1" customWidth="1"/>
    <col min="6648" max="6654" width="21" style="1017" bestFit="1" customWidth="1"/>
    <col min="6655" max="6662" width="21.08984375" style="1017" bestFit="1" customWidth="1"/>
    <col min="6663" max="6663" width="22.6328125" style="1017" customWidth="1"/>
    <col min="6664" max="6664" width="22" style="1017" customWidth="1"/>
    <col min="6665" max="6665" width="22.6328125" style="1017" customWidth="1"/>
    <col min="6666" max="6671" width="21.08984375" style="1017" bestFit="1" customWidth="1"/>
    <col min="6672" max="6672" width="19.54296875" style="1017" customWidth="1"/>
    <col min="6673" max="6673" width="21.08984375" style="1017" bestFit="1" customWidth="1"/>
    <col min="6674" max="6674" width="22.6328125" style="1017" customWidth="1"/>
    <col min="6675" max="6675" width="22" style="1017" customWidth="1"/>
    <col min="6676" max="6676" width="23.453125" style="1017" bestFit="1" customWidth="1"/>
    <col min="6677" max="6679" width="9.08984375" style="1017"/>
    <col min="6680" max="6680" width="11.36328125" style="1017" customWidth="1"/>
    <col min="6681" max="6681" width="10.36328125" style="1017" customWidth="1"/>
    <col min="6682" max="6889" width="9.08984375" style="1017"/>
    <col min="6890" max="6890" width="2.90625" style="1017" customWidth="1"/>
    <col min="6891" max="6891" width="13.08984375" style="1017" customWidth="1"/>
    <col min="6892" max="6892" width="60.36328125" style="1017" customWidth="1"/>
    <col min="6893" max="6897" width="10.90625" style="1017" bestFit="1" customWidth="1"/>
    <col min="6898" max="6898" width="11.90625" style="1017" bestFit="1" customWidth="1"/>
    <col min="6899" max="6899" width="14.36328125" style="1017" bestFit="1" customWidth="1"/>
    <col min="6900" max="6900" width="17.453125" style="1017" bestFit="1" customWidth="1"/>
    <col min="6901" max="6903" width="17.54296875" style="1017" bestFit="1" customWidth="1"/>
    <col min="6904" max="6910" width="21" style="1017" bestFit="1" customWidth="1"/>
    <col min="6911" max="6918" width="21.08984375" style="1017" bestFit="1" customWidth="1"/>
    <col min="6919" max="6919" width="22.6328125" style="1017" customWidth="1"/>
    <col min="6920" max="6920" width="22" style="1017" customWidth="1"/>
    <col min="6921" max="6921" width="22.6328125" style="1017" customWidth="1"/>
    <col min="6922" max="6927" width="21.08984375" style="1017" bestFit="1" customWidth="1"/>
    <col min="6928" max="6928" width="19.54296875" style="1017" customWidth="1"/>
    <col min="6929" max="6929" width="21.08984375" style="1017" bestFit="1" customWidth="1"/>
    <col min="6930" max="6930" width="22.6328125" style="1017" customWidth="1"/>
    <col min="6931" max="6931" width="22" style="1017" customWidth="1"/>
    <col min="6932" max="6932" width="23.453125" style="1017" bestFit="1" customWidth="1"/>
    <col min="6933" max="6935" width="9.08984375" style="1017"/>
    <col min="6936" max="6936" width="11.36328125" style="1017" customWidth="1"/>
    <col min="6937" max="6937" width="10.36328125" style="1017" customWidth="1"/>
    <col min="6938" max="7145" width="9.08984375" style="1017"/>
    <col min="7146" max="7146" width="2.90625" style="1017" customWidth="1"/>
    <col min="7147" max="7147" width="13.08984375" style="1017" customWidth="1"/>
    <col min="7148" max="7148" width="60.36328125" style="1017" customWidth="1"/>
    <col min="7149" max="7153" width="10.90625" style="1017" bestFit="1" customWidth="1"/>
    <col min="7154" max="7154" width="11.90625" style="1017" bestFit="1" customWidth="1"/>
    <col min="7155" max="7155" width="14.36328125" style="1017" bestFit="1" customWidth="1"/>
    <col min="7156" max="7156" width="17.453125" style="1017" bestFit="1" customWidth="1"/>
    <col min="7157" max="7159" width="17.54296875" style="1017" bestFit="1" customWidth="1"/>
    <col min="7160" max="7166" width="21" style="1017" bestFit="1" customWidth="1"/>
    <col min="7167" max="7174" width="21.08984375" style="1017" bestFit="1" customWidth="1"/>
    <col min="7175" max="7175" width="22.6328125" style="1017" customWidth="1"/>
    <col min="7176" max="7176" width="22" style="1017" customWidth="1"/>
    <col min="7177" max="7177" width="22.6328125" style="1017" customWidth="1"/>
    <col min="7178" max="7183" width="21.08984375" style="1017" bestFit="1" customWidth="1"/>
    <col min="7184" max="7184" width="19.54296875" style="1017" customWidth="1"/>
    <col min="7185" max="7185" width="21.08984375" style="1017" bestFit="1" customWidth="1"/>
    <col min="7186" max="7186" width="22.6328125" style="1017" customWidth="1"/>
    <col min="7187" max="7187" width="22" style="1017" customWidth="1"/>
    <col min="7188" max="7188" width="23.453125" style="1017" bestFit="1" customWidth="1"/>
    <col min="7189" max="7191" width="9.08984375" style="1017"/>
    <col min="7192" max="7192" width="11.36328125" style="1017" customWidth="1"/>
    <col min="7193" max="7193" width="10.36328125" style="1017" customWidth="1"/>
    <col min="7194" max="7401" width="9.08984375" style="1017"/>
    <col min="7402" max="7402" width="2.90625" style="1017" customWidth="1"/>
    <col min="7403" max="7403" width="13.08984375" style="1017" customWidth="1"/>
    <col min="7404" max="7404" width="60.36328125" style="1017" customWidth="1"/>
    <col min="7405" max="7409" width="10.90625" style="1017" bestFit="1" customWidth="1"/>
    <col min="7410" max="7410" width="11.90625" style="1017" bestFit="1" customWidth="1"/>
    <col min="7411" max="7411" width="14.36328125" style="1017" bestFit="1" customWidth="1"/>
    <col min="7412" max="7412" width="17.453125" style="1017" bestFit="1" customWidth="1"/>
    <col min="7413" max="7415" width="17.54296875" style="1017" bestFit="1" customWidth="1"/>
    <col min="7416" max="7422" width="21" style="1017" bestFit="1" customWidth="1"/>
    <col min="7423" max="7430" width="21.08984375" style="1017" bestFit="1" customWidth="1"/>
    <col min="7431" max="7431" width="22.6328125" style="1017" customWidth="1"/>
    <col min="7432" max="7432" width="22" style="1017" customWidth="1"/>
    <col min="7433" max="7433" width="22.6328125" style="1017" customWidth="1"/>
    <col min="7434" max="7439" width="21.08984375" style="1017" bestFit="1" customWidth="1"/>
    <col min="7440" max="7440" width="19.54296875" style="1017" customWidth="1"/>
    <col min="7441" max="7441" width="21.08984375" style="1017" bestFit="1" customWidth="1"/>
    <col min="7442" max="7442" width="22.6328125" style="1017" customWidth="1"/>
    <col min="7443" max="7443" width="22" style="1017" customWidth="1"/>
    <col min="7444" max="7444" width="23.453125" style="1017" bestFit="1" customWidth="1"/>
    <col min="7445" max="7447" width="9.08984375" style="1017"/>
    <col min="7448" max="7448" width="11.36328125" style="1017" customWidth="1"/>
    <col min="7449" max="7449" width="10.36328125" style="1017" customWidth="1"/>
    <col min="7450" max="7657" width="9.08984375" style="1017"/>
    <col min="7658" max="7658" width="2.90625" style="1017" customWidth="1"/>
    <col min="7659" max="7659" width="13.08984375" style="1017" customWidth="1"/>
    <col min="7660" max="7660" width="60.36328125" style="1017" customWidth="1"/>
    <col min="7661" max="7665" width="10.90625" style="1017" bestFit="1" customWidth="1"/>
    <col min="7666" max="7666" width="11.90625" style="1017" bestFit="1" customWidth="1"/>
    <col min="7667" max="7667" width="14.36328125" style="1017" bestFit="1" customWidth="1"/>
    <col min="7668" max="7668" width="17.453125" style="1017" bestFit="1" customWidth="1"/>
    <col min="7669" max="7671" width="17.54296875" style="1017" bestFit="1" customWidth="1"/>
    <col min="7672" max="7678" width="21" style="1017" bestFit="1" customWidth="1"/>
    <col min="7679" max="7686" width="21.08984375" style="1017" bestFit="1" customWidth="1"/>
    <col min="7687" max="7687" width="22.6328125" style="1017" customWidth="1"/>
    <col min="7688" max="7688" width="22" style="1017" customWidth="1"/>
    <col min="7689" max="7689" width="22.6328125" style="1017" customWidth="1"/>
    <col min="7690" max="7695" width="21.08984375" style="1017" bestFit="1" customWidth="1"/>
    <col min="7696" max="7696" width="19.54296875" style="1017" customWidth="1"/>
    <col min="7697" max="7697" width="21.08984375" style="1017" bestFit="1" customWidth="1"/>
    <col min="7698" max="7698" width="22.6328125" style="1017" customWidth="1"/>
    <col min="7699" max="7699" width="22" style="1017" customWidth="1"/>
    <col min="7700" max="7700" width="23.453125" style="1017" bestFit="1" customWidth="1"/>
    <col min="7701" max="7703" width="9.08984375" style="1017"/>
    <col min="7704" max="7704" width="11.36328125" style="1017" customWidth="1"/>
    <col min="7705" max="7705" width="10.36328125" style="1017" customWidth="1"/>
    <col min="7706" max="7913" width="9.08984375" style="1017"/>
    <col min="7914" max="7914" width="2.90625" style="1017" customWidth="1"/>
    <col min="7915" max="7915" width="13.08984375" style="1017" customWidth="1"/>
    <col min="7916" max="7916" width="60.36328125" style="1017" customWidth="1"/>
    <col min="7917" max="7921" width="10.90625" style="1017" bestFit="1" customWidth="1"/>
    <col min="7922" max="7922" width="11.90625" style="1017" bestFit="1" customWidth="1"/>
    <col min="7923" max="7923" width="14.36328125" style="1017" bestFit="1" customWidth="1"/>
    <col min="7924" max="7924" width="17.453125" style="1017" bestFit="1" customWidth="1"/>
    <col min="7925" max="7927" width="17.54296875" style="1017" bestFit="1" customWidth="1"/>
    <col min="7928" max="7934" width="21" style="1017" bestFit="1" customWidth="1"/>
    <col min="7935" max="7942" width="21.08984375" style="1017" bestFit="1" customWidth="1"/>
    <col min="7943" max="7943" width="22.6328125" style="1017" customWidth="1"/>
    <col min="7944" max="7944" width="22" style="1017" customWidth="1"/>
    <col min="7945" max="7945" width="22.6328125" style="1017" customWidth="1"/>
    <col min="7946" max="7951" width="21.08984375" style="1017" bestFit="1" customWidth="1"/>
    <col min="7952" max="7952" width="19.54296875" style="1017" customWidth="1"/>
    <col min="7953" max="7953" width="21.08984375" style="1017" bestFit="1" customWidth="1"/>
    <col min="7954" max="7954" width="22.6328125" style="1017" customWidth="1"/>
    <col min="7955" max="7955" width="22" style="1017" customWidth="1"/>
    <col min="7956" max="7956" width="23.453125" style="1017" bestFit="1" customWidth="1"/>
    <col min="7957" max="7959" width="9.08984375" style="1017"/>
    <col min="7960" max="7960" width="11.36328125" style="1017" customWidth="1"/>
    <col min="7961" max="7961" width="10.36328125" style="1017" customWidth="1"/>
    <col min="7962" max="8169" width="9.08984375" style="1017"/>
    <col min="8170" max="8170" width="2.90625" style="1017" customWidth="1"/>
    <col min="8171" max="8171" width="13.08984375" style="1017" customWidth="1"/>
    <col min="8172" max="8172" width="60.36328125" style="1017" customWidth="1"/>
    <col min="8173" max="8177" width="10.90625" style="1017" bestFit="1" customWidth="1"/>
    <col min="8178" max="8178" width="11.90625" style="1017" bestFit="1" customWidth="1"/>
    <col min="8179" max="8179" width="14.36328125" style="1017" bestFit="1" customWidth="1"/>
    <col min="8180" max="8180" width="17.453125" style="1017" bestFit="1" customWidth="1"/>
    <col min="8181" max="8183" width="17.54296875" style="1017" bestFit="1" customWidth="1"/>
    <col min="8184" max="8190" width="21" style="1017" bestFit="1" customWidth="1"/>
    <col min="8191" max="8198" width="21.08984375" style="1017" bestFit="1" customWidth="1"/>
    <col min="8199" max="8199" width="22.6328125" style="1017" customWidth="1"/>
    <col min="8200" max="8200" width="22" style="1017" customWidth="1"/>
    <col min="8201" max="8201" width="22.6328125" style="1017" customWidth="1"/>
    <col min="8202" max="8207" width="21.08984375" style="1017" bestFit="1" customWidth="1"/>
    <col min="8208" max="8208" width="19.54296875" style="1017" customWidth="1"/>
    <col min="8209" max="8209" width="21.08984375" style="1017" bestFit="1" customWidth="1"/>
    <col min="8210" max="8210" width="22.6328125" style="1017" customWidth="1"/>
    <col min="8211" max="8211" width="22" style="1017" customWidth="1"/>
    <col min="8212" max="8212" width="23.453125" style="1017" bestFit="1" customWidth="1"/>
    <col min="8213" max="8215" width="9.08984375" style="1017"/>
    <col min="8216" max="8216" width="11.36328125" style="1017" customWidth="1"/>
    <col min="8217" max="8217" width="10.36328125" style="1017" customWidth="1"/>
    <col min="8218" max="8425" width="9.08984375" style="1017"/>
    <col min="8426" max="8426" width="2.90625" style="1017" customWidth="1"/>
    <col min="8427" max="8427" width="13.08984375" style="1017" customWidth="1"/>
    <col min="8428" max="8428" width="60.36328125" style="1017" customWidth="1"/>
    <col min="8429" max="8433" width="10.90625" style="1017" bestFit="1" customWidth="1"/>
    <col min="8434" max="8434" width="11.90625" style="1017" bestFit="1" customWidth="1"/>
    <col min="8435" max="8435" width="14.36328125" style="1017" bestFit="1" customWidth="1"/>
    <col min="8436" max="8436" width="17.453125" style="1017" bestFit="1" customWidth="1"/>
    <col min="8437" max="8439" width="17.54296875" style="1017" bestFit="1" customWidth="1"/>
    <col min="8440" max="8446" width="21" style="1017" bestFit="1" customWidth="1"/>
    <col min="8447" max="8454" width="21.08984375" style="1017" bestFit="1" customWidth="1"/>
    <col min="8455" max="8455" width="22.6328125" style="1017" customWidth="1"/>
    <col min="8456" max="8456" width="22" style="1017" customWidth="1"/>
    <col min="8457" max="8457" width="22.6328125" style="1017" customWidth="1"/>
    <col min="8458" max="8463" width="21.08984375" style="1017" bestFit="1" customWidth="1"/>
    <col min="8464" max="8464" width="19.54296875" style="1017" customWidth="1"/>
    <col min="8465" max="8465" width="21.08984375" style="1017" bestFit="1" customWidth="1"/>
    <col min="8466" max="8466" width="22.6328125" style="1017" customWidth="1"/>
    <col min="8467" max="8467" width="22" style="1017" customWidth="1"/>
    <col min="8468" max="8468" width="23.453125" style="1017" bestFit="1" customWidth="1"/>
    <col min="8469" max="8471" width="9.08984375" style="1017"/>
    <col min="8472" max="8472" width="11.36328125" style="1017" customWidth="1"/>
    <col min="8473" max="8473" width="10.36328125" style="1017" customWidth="1"/>
    <col min="8474" max="8681" width="9.08984375" style="1017"/>
    <col min="8682" max="8682" width="2.90625" style="1017" customWidth="1"/>
    <col min="8683" max="8683" width="13.08984375" style="1017" customWidth="1"/>
    <col min="8684" max="8684" width="60.36328125" style="1017" customWidth="1"/>
    <col min="8685" max="8689" width="10.90625" style="1017" bestFit="1" customWidth="1"/>
    <col min="8690" max="8690" width="11.90625" style="1017" bestFit="1" customWidth="1"/>
    <col min="8691" max="8691" width="14.36328125" style="1017" bestFit="1" customWidth="1"/>
    <col min="8692" max="8692" width="17.453125" style="1017" bestFit="1" customWidth="1"/>
    <col min="8693" max="8695" width="17.54296875" style="1017" bestFit="1" customWidth="1"/>
    <col min="8696" max="8702" width="21" style="1017" bestFit="1" customWidth="1"/>
    <col min="8703" max="8710" width="21.08984375" style="1017" bestFit="1" customWidth="1"/>
    <col min="8711" max="8711" width="22.6328125" style="1017" customWidth="1"/>
    <col min="8712" max="8712" width="22" style="1017" customWidth="1"/>
    <col min="8713" max="8713" width="22.6328125" style="1017" customWidth="1"/>
    <col min="8714" max="8719" width="21.08984375" style="1017" bestFit="1" customWidth="1"/>
    <col min="8720" max="8720" width="19.54296875" style="1017" customWidth="1"/>
    <col min="8721" max="8721" width="21.08984375" style="1017" bestFit="1" customWidth="1"/>
    <col min="8722" max="8722" width="22.6328125" style="1017" customWidth="1"/>
    <col min="8723" max="8723" width="22" style="1017" customWidth="1"/>
    <col min="8724" max="8724" width="23.453125" style="1017" bestFit="1" customWidth="1"/>
    <col min="8725" max="8727" width="9.08984375" style="1017"/>
    <col min="8728" max="8728" width="11.36328125" style="1017" customWidth="1"/>
    <col min="8729" max="8729" width="10.36328125" style="1017" customWidth="1"/>
    <col min="8730" max="8937" width="9.08984375" style="1017"/>
    <col min="8938" max="8938" width="2.90625" style="1017" customWidth="1"/>
    <col min="8939" max="8939" width="13.08984375" style="1017" customWidth="1"/>
    <col min="8940" max="8940" width="60.36328125" style="1017" customWidth="1"/>
    <col min="8941" max="8945" width="10.90625" style="1017" bestFit="1" customWidth="1"/>
    <col min="8946" max="8946" width="11.90625" style="1017" bestFit="1" customWidth="1"/>
    <col min="8947" max="8947" width="14.36328125" style="1017" bestFit="1" customWidth="1"/>
    <col min="8948" max="8948" width="17.453125" style="1017" bestFit="1" customWidth="1"/>
    <col min="8949" max="8951" width="17.54296875" style="1017" bestFit="1" customWidth="1"/>
    <col min="8952" max="8958" width="21" style="1017" bestFit="1" customWidth="1"/>
    <col min="8959" max="8966" width="21.08984375" style="1017" bestFit="1" customWidth="1"/>
    <col min="8967" max="8967" width="22.6328125" style="1017" customWidth="1"/>
    <col min="8968" max="8968" width="22" style="1017" customWidth="1"/>
    <col min="8969" max="8969" width="22.6328125" style="1017" customWidth="1"/>
    <col min="8970" max="8975" width="21.08984375" style="1017" bestFit="1" customWidth="1"/>
    <col min="8976" max="8976" width="19.54296875" style="1017" customWidth="1"/>
    <col min="8977" max="8977" width="21.08984375" style="1017" bestFit="1" customWidth="1"/>
    <col min="8978" max="8978" width="22.6328125" style="1017" customWidth="1"/>
    <col min="8979" max="8979" width="22" style="1017" customWidth="1"/>
    <col min="8980" max="8980" width="23.453125" style="1017" bestFit="1" customWidth="1"/>
    <col min="8981" max="8983" width="9.08984375" style="1017"/>
    <col min="8984" max="8984" width="11.36328125" style="1017" customWidth="1"/>
    <col min="8985" max="8985" width="10.36328125" style="1017" customWidth="1"/>
    <col min="8986" max="9193" width="9.08984375" style="1017"/>
    <col min="9194" max="9194" width="2.90625" style="1017" customWidth="1"/>
    <col min="9195" max="9195" width="13.08984375" style="1017" customWidth="1"/>
    <col min="9196" max="9196" width="60.36328125" style="1017" customWidth="1"/>
    <col min="9197" max="9201" width="10.90625" style="1017" bestFit="1" customWidth="1"/>
    <col min="9202" max="9202" width="11.90625" style="1017" bestFit="1" customWidth="1"/>
    <col min="9203" max="9203" width="14.36328125" style="1017" bestFit="1" customWidth="1"/>
    <col min="9204" max="9204" width="17.453125" style="1017" bestFit="1" customWidth="1"/>
    <col min="9205" max="9207" width="17.54296875" style="1017" bestFit="1" customWidth="1"/>
    <col min="9208" max="9214" width="21" style="1017" bestFit="1" customWidth="1"/>
    <col min="9215" max="9222" width="21.08984375" style="1017" bestFit="1" customWidth="1"/>
    <col min="9223" max="9223" width="22.6328125" style="1017" customWidth="1"/>
    <col min="9224" max="9224" width="22" style="1017" customWidth="1"/>
    <col min="9225" max="9225" width="22.6328125" style="1017" customWidth="1"/>
    <col min="9226" max="9231" width="21.08984375" style="1017" bestFit="1" customWidth="1"/>
    <col min="9232" max="9232" width="19.54296875" style="1017" customWidth="1"/>
    <col min="9233" max="9233" width="21.08984375" style="1017" bestFit="1" customWidth="1"/>
    <col min="9234" max="9234" width="22.6328125" style="1017" customWidth="1"/>
    <col min="9235" max="9235" width="22" style="1017" customWidth="1"/>
    <col min="9236" max="9236" width="23.453125" style="1017" bestFit="1" customWidth="1"/>
    <col min="9237" max="9239" width="9.08984375" style="1017"/>
    <col min="9240" max="9240" width="11.36328125" style="1017" customWidth="1"/>
    <col min="9241" max="9241" width="10.36328125" style="1017" customWidth="1"/>
    <col min="9242" max="9449" width="9.08984375" style="1017"/>
    <col min="9450" max="9450" width="2.90625" style="1017" customWidth="1"/>
    <col min="9451" max="9451" width="13.08984375" style="1017" customWidth="1"/>
    <col min="9452" max="9452" width="60.36328125" style="1017" customWidth="1"/>
    <col min="9453" max="9457" width="10.90625" style="1017" bestFit="1" customWidth="1"/>
    <col min="9458" max="9458" width="11.90625" style="1017" bestFit="1" customWidth="1"/>
    <col min="9459" max="9459" width="14.36328125" style="1017" bestFit="1" customWidth="1"/>
    <col min="9460" max="9460" width="17.453125" style="1017" bestFit="1" customWidth="1"/>
    <col min="9461" max="9463" width="17.54296875" style="1017" bestFit="1" customWidth="1"/>
    <col min="9464" max="9470" width="21" style="1017" bestFit="1" customWidth="1"/>
    <col min="9471" max="9478" width="21.08984375" style="1017" bestFit="1" customWidth="1"/>
    <col min="9479" max="9479" width="22.6328125" style="1017" customWidth="1"/>
    <col min="9480" max="9480" width="22" style="1017" customWidth="1"/>
    <col min="9481" max="9481" width="22.6328125" style="1017" customWidth="1"/>
    <col min="9482" max="9487" width="21.08984375" style="1017" bestFit="1" customWidth="1"/>
    <col min="9488" max="9488" width="19.54296875" style="1017" customWidth="1"/>
    <col min="9489" max="9489" width="21.08984375" style="1017" bestFit="1" customWidth="1"/>
    <col min="9490" max="9490" width="22.6328125" style="1017" customWidth="1"/>
    <col min="9491" max="9491" width="22" style="1017" customWidth="1"/>
    <col min="9492" max="9492" width="23.453125" style="1017" bestFit="1" customWidth="1"/>
    <col min="9493" max="9495" width="9.08984375" style="1017"/>
    <col min="9496" max="9496" width="11.36328125" style="1017" customWidth="1"/>
    <col min="9497" max="9497" width="10.36328125" style="1017" customWidth="1"/>
    <col min="9498" max="9705" width="9.08984375" style="1017"/>
    <col min="9706" max="9706" width="2.90625" style="1017" customWidth="1"/>
    <col min="9707" max="9707" width="13.08984375" style="1017" customWidth="1"/>
    <col min="9708" max="9708" width="60.36328125" style="1017" customWidth="1"/>
    <col min="9709" max="9713" width="10.90625" style="1017" bestFit="1" customWidth="1"/>
    <col min="9714" max="9714" width="11.90625" style="1017" bestFit="1" customWidth="1"/>
    <col min="9715" max="9715" width="14.36328125" style="1017" bestFit="1" customWidth="1"/>
    <col min="9716" max="9716" width="17.453125" style="1017" bestFit="1" customWidth="1"/>
    <col min="9717" max="9719" width="17.54296875" style="1017" bestFit="1" customWidth="1"/>
    <col min="9720" max="9726" width="21" style="1017" bestFit="1" customWidth="1"/>
    <col min="9727" max="9734" width="21.08984375" style="1017" bestFit="1" customWidth="1"/>
    <col min="9735" max="9735" width="22.6328125" style="1017" customWidth="1"/>
    <col min="9736" max="9736" width="22" style="1017" customWidth="1"/>
    <col min="9737" max="9737" width="22.6328125" style="1017" customWidth="1"/>
    <col min="9738" max="9743" width="21.08984375" style="1017" bestFit="1" customWidth="1"/>
    <col min="9744" max="9744" width="19.54296875" style="1017" customWidth="1"/>
    <col min="9745" max="9745" width="21.08984375" style="1017" bestFit="1" customWidth="1"/>
    <col min="9746" max="9746" width="22.6328125" style="1017" customWidth="1"/>
    <col min="9747" max="9747" width="22" style="1017" customWidth="1"/>
    <col min="9748" max="9748" width="23.453125" style="1017" bestFit="1" customWidth="1"/>
    <col min="9749" max="9751" width="9.08984375" style="1017"/>
    <col min="9752" max="9752" width="11.36328125" style="1017" customWidth="1"/>
    <col min="9753" max="9753" width="10.36328125" style="1017" customWidth="1"/>
    <col min="9754" max="9961" width="9.08984375" style="1017"/>
    <col min="9962" max="9962" width="2.90625" style="1017" customWidth="1"/>
    <col min="9963" max="9963" width="13.08984375" style="1017" customWidth="1"/>
    <col min="9964" max="9964" width="60.36328125" style="1017" customWidth="1"/>
    <col min="9965" max="9969" width="10.90625" style="1017" bestFit="1" customWidth="1"/>
    <col min="9970" max="9970" width="11.90625" style="1017" bestFit="1" customWidth="1"/>
    <col min="9971" max="9971" width="14.36328125" style="1017" bestFit="1" customWidth="1"/>
    <col min="9972" max="9972" width="17.453125" style="1017" bestFit="1" customWidth="1"/>
    <col min="9973" max="9975" width="17.54296875" style="1017" bestFit="1" customWidth="1"/>
    <col min="9976" max="9982" width="21" style="1017" bestFit="1" customWidth="1"/>
    <col min="9983" max="9990" width="21.08984375" style="1017" bestFit="1" customWidth="1"/>
    <col min="9991" max="9991" width="22.6328125" style="1017" customWidth="1"/>
    <col min="9992" max="9992" width="22" style="1017" customWidth="1"/>
    <col min="9993" max="9993" width="22.6328125" style="1017" customWidth="1"/>
    <col min="9994" max="9999" width="21.08984375" style="1017" bestFit="1" customWidth="1"/>
    <col min="10000" max="10000" width="19.54296875" style="1017" customWidth="1"/>
    <col min="10001" max="10001" width="21.08984375" style="1017" bestFit="1" customWidth="1"/>
    <col min="10002" max="10002" width="22.6328125" style="1017" customWidth="1"/>
    <col min="10003" max="10003" width="22" style="1017" customWidth="1"/>
    <col min="10004" max="10004" width="23.453125" style="1017" bestFit="1" customWidth="1"/>
    <col min="10005" max="10007" width="9.08984375" style="1017"/>
    <col min="10008" max="10008" width="11.36328125" style="1017" customWidth="1"/>
    <col min="10009" max="10009" width="10.36328125" style="1017" customWidth="1"/>
    <col min="10010" max="10217" width="9.08984375" style="1017"/>
    <col min="10218" max="10218" width="2.90625" style="1017" customWidth="1"/>
    <col min="10219" max="10219" width="13.08984375" style="1017" customWidth="1"/>
    <col min="10220" max="10220" width="60.36328125" style="1017" customWidth="1"/>
    <col min="10221" max="10225" width="10.90625" style="1017" bestFit="1" customWidth="1"/>
    <col min="10226" max="10226" width="11.90625" style="1017" bestFit="1" customWidth="1"/>
    <col min="10227" max="10227" width="14.36328125" style="1017" bestFit="1" customWidth="1"/>
    <col min="10228" max="10228" width="17.453125" style="1017" bestFit="1" customWidth="1"/>
    <col min="10229" max="10231" width="17.54296875" style="1017" bestFit="1" customWidth="1"/>
    <col min="10232" max="10238" width="21" style="1017" bestFit="1" customWidth="1"/>
    <col min="10239" max="10246" width="21.08984375" style="1017" bestFit="1" customWidth="1"/>
    <col min="10247" max="10247" width="22.6328125" style="1017" customWidth="1"/>
    <col min="10248" max="10248" width="22" style="1017" customWidth="1"/>
    <col min="10249" max="10249" width="22.6328125" style="1017" customWidth="1"/>
    <col min="10250" max="10255" width="21.08984375" style="1017" bestFit="1" customWidth="1"/>
    <col min="10256" max="10256" width="19.54296875" style="1017" customWidth="1"/>
    <col min="10257" max="10257" width="21.08984375" style="1017" bestFit="1" customWidth="1"/>
    <col min="10258" max="10258" width="22.6328125" style="1017" customWidth="1"/>
    <col min="10259" max="10259" width="22" style="1017" customWidth="1"/>
    <col min="10260" max="10260" width="23.453125" style="1017" bestFit="1" customWidth="1"/>
    <col min="10261" max="10263" width="9.08984375" style="1017"/>
    <col min="10264" max="10264" width="11.36328125" style="1017" customWidth="1"/>
    <col min="10265" max="10265" width="10.36328125" style="1017" customWidth="1"/>
    <col min="10266" max="10473" width="9.08984375" style="1017"/>
    <col min="10474" max="10474" width="2.90625" style="1017" customWidth="1"/>
    <col min="10475" max="10475" width="13.08984375" style="1017" customWidth="1"/>
    <col min="10476" max="10476" width="60.36328125" style="1017" customWidth="1"/>
    <col min="10477" max="10481" width="10.90625" style="1017" bestFit="1" customWidth="1"/>
    <col min="10482" max="10482" width="11.90625" style="1017" bestFit="1" customWidth="1"/>
    <col min="10483" max="10483" width="14.36328125" style="1017" bestFit="1" customWidth="1"/>
    <col min="10484" max="10484" width="17.453125" style="1017" bestFit="1" customWidth="1"/>
    <col min="10485" max="10487" width="17.54296875" style="1017" bestFit="1" customWidth="1"/>
    <col min="10488" max="10494" width="21" style="1017" bestFit="1" customWidth="1"/>
    <col min="10495" max="10502" width="21.08984375" style="1017" bestFit="1" customWidth="1"/>
    <col min="10503" max="10503" width="22.6328125" style="1017" customWidth="1"/>
    <col min="10504" max="10504" width="22" style="1017" customWidth="1"/>
    <col min="10505" max="10505" width="22.6328125" style="1017" customWidth="1"/>
    <col min="10506" max="10511" width="21.08984375" style="1017" bestFit="1" customWidth="1"/>
    <col min="10512" max="10512" width="19.54296875" style="1017" customWidth="1"/>
    <col min="10513" max="10513" width="21.08984375" style="1017" bestFit="1" customWidth="1"/>
    <col min="10514" max="10514" width="22.6328125" style="1017" customWidth="1"/>
    <col min="10515" max="10515" width="22" style="1017" customWidth="1"/>
    <col min="10516" max="10516" width="23.453125" style="1017" bestFit="1" customWidth="1"/>
    <col min="10517" max="10519" width="9.08984375" style="1017"/>
    <col min="10520" max="10520" width="11.36328125" style="1017" customWidth="1"/>
    <col min="10521" max="10521" width="10.36328125" style="1017" customWidth="1"/>
    <col min="10522" max="10729" width="9.08984375" style="1017"/>
    <col min="10730" max="10730" width="2.90625" style="1017" customWidth="1"/>
    <col min="10731" max="10731" width="13.08984375" style="1017" customWidth="1"/>
    <col min="10732" max="10732" width="60.36328125" style="1017" customWidth="1"/>
    <col min="10733" max="10737" width="10.90625" style="1017" bestFit="1" customWidth="1"/>
    <col min="10738" max="10738" width="11.90625" style="1017" bestFit="1" customWidth="1"/>
    <col min="10739" max="10739" width="14.36328125" style="1017" bestFit="1" customWidth="1"/>
    <col min="10740" max="10740" width="17.453125" style="1017" bestFit="1" customWidth="1"/>
    <col min="10741" max="10743" width="17.54296875" style="1017" bestFit="1" customWidth="1"/>
    <col min="10744" max="10750" width="21" style="1017" bestFit="1" customWidth="1"/>
    <col min="10751" max="10758" width="21.08984375" style="1017" bestFit="1" customWidth="1"/>
    <col min="10759" max="10759" width="22.6328125" style="1017" customWidth="1"/>
    <col min="10760" max="10760" width="22" style="1017" customWidth="1"/>
    <col min="10761" max="10761" width="22.6328125" style="1017" customWidth="1"/>
    <col min="10762" max="10767" width="21.08984375" style="1017" bestFit="1" customWidth="1"/>
    <col min="10768" max="10768" width="19.54296875" style="1017" customWidth="1"/>
    <col min="10769" max="10769" width="21.08984375" style="1017" bestFit="1" customWidth="1"/>
    <col min="10770" max="10770" width="22.6328125" style="1017" customWidth="1"/>
    <col min="10771" max="10771" width="22" style="1017" customWidth="1"/>
    <col min="10772" max="10772" width="23.453125" style="1017" bestFit="1" customWidth="1"/>
    <col min="10773" max="10775" width="9.08984375" style="1017"/>
    <col min="10776" max="10776" width="11.36328125" style="1017" customWidth="1"/>
    <col min="10777" max="10777" width="10.36328125" style="1017" customWidth="1"/>
    <col min="10778" max="10985" width="9.08984375" style="1017"/>
    <col min="10986" max="10986" width="2.90625" style="1017" customWidth="1"/>
    <col min="10987" max="10987" width="13.08984375" style="1017" customWidth="1"/>
    <col min="10988" max="10988" width="60.36328125" style="1017" customWidth="1"/>
    <col min="10989" max="10993" width="10.90625" style="1017" bestFit="1" customWidth="1"/>
    <col min="10994" max="10994" width="11.90625" style="1017" bestFit="1" customWidth="1"/>
    <col min="10995" max="10995" width="14.36328125" style="1017" bestFit="1" customWidth="1"/>
    <col min="10996" max="10996" width="17.453125" style="1017" bestFit="1" customWidth="1"/>
    <col min="10997" max="10999" width="17.54296875" style="1017" bestFit="1" customWidth="1"/>
    <col min="11000" max="11006" width="21" style="1017" bestFit="1" customWidth="1"/>
    <col min="11007" max="11014" width="21.08984375" style="1017" bestFit="1" customWidth="1"/>
    <col min="11015" max="11015" width="22.6328125" style="1017" customWidth="1"/>
    <col min="11016" max="11016" width="22" style="1017" customWidth="1"/>
    <col min="11017" max="11017" width="22.6328125" style="1017" customWidth="1"/>
    <col min="11018" max="11023" width="21.08984375" style="1017" bestFit="1" customWidth="1"/>
    <col min="11024" max="11024" width="19.54296875" style="1017" customWidth="1"/>
    <col min="11025" max="11025" width="21.08984375" style="1017" bestFit="1" customWidth="1"/>
    <col min="11026" max="11026" width="22.6328125" style="1017" customWidth="1"/>
    <col min="11027" max="11027" width="22" style="1017" customWidth="1"/>
    <col min="11028" max="11028" width="23.453125" style="1017" bestFit="1" customWidth="1"/>
    <col min="11029" max="11031" width="9.08984375" style="1017"/>
    <col min="11032" max="11032" width="11.36328125" style="1017" customWidth="1"/>
    <col min="11033" max="11033" width="10.36328125" style="1017" customWidth="1"/>
    <col min="11034" max="11241" width="9.08984375" style="1017"/>
    <col min="11242" max="11242" width="2.90625" style="1017" customWidth="1"/>
    <col min="11243" max="11243" width="13.08984375" style="1017" customWidth="1"/>
    <col min="11244" max="11244" width="60.36328125" style="1017" customWidth="1"/>
    <col min="11245" max="11249" width="10.90625" style="1017" bestFit="1" customWidth="1"/>
    <col min="11250" max="11250" width="11.90625" style="1017" bestFit="1" customWidth="1"/>
    <col min="11251" max="11251" width="14.36328125" style="1017" bestFit="1" customWidth="1"/>
    <col min="11252" max="11252" width="17.453125" style="1017" bestFit="1" customWidth="1"/>
    <col min="11253" max="11255" width="17.54296875" style="1017" bestFit="1" customWidth="1"/>
    <col min="11256" max="11262" width="21" style="1017" bestFit="1" customWidth="1"/>
    <col min="11263" max="11270" width="21.08984375" style="1017" bestFit="1" customWidth="1"/>
    <col min="11271" max="11271" width="22.6328125" style="1017" customWidth="1"/>
    <col min="11272" max="11272" width="22" style="1017" customWidth="1"/>
    <col min="11273" max="11273" width="22.6328125" style="1017" customWidth="1"/>
    <col min="11274" max="11279" width="21.08984375" style="1017" bestFit="1" customWidth="1"/>
    <col min="11280" max="11280" width="19.54296875" style="1017" customWidth="1"/>
    <col min="11281" max="11281" width="21.08984375" style="1017" bestFit="1" customWidth="1"/>
    <col min="11282" max="11282" width="22.6328125" style="1017" customWidth="1"/>
    <col min="11283" max="11283" width="22" style="1017" customWidth="1"/>
    <col min="11284" max="11284" width="23.453125" style="1017" bestFit="1" customWidth="1"/>
    <col min="11285" max="11287" width="9.08984375" style="1017"/>
    <col min="11288" max="11288" width="11.36328125" style="1017" customWidth="1"/>
    <col min="11289" max="11289" width="10.36328125" style="1017" customWidth="1"/>
    <col min="11290" max="11497" width="9.08984375" style="1017"/>
    <col min="11498" max="11498" width="2.90625" style="1017" customWidth="1"/>
    <col min="11499" max="11499" width="13.08984375" style="1017" customWidth="1"/>
    <col min="11500" max="11500" width="60.36328125" style="1017" customWidth="1"/>
    <col min="11501" max="11505" width="10.90625" style="1017" bestFit="1" customWidth="1"/>
    <col min="11506" max="11506" width="11.90625" style="1017" bestFit="1" customWidth="1"/>
    <col min="11507" max="11507" width="14.36328125" style="1017" bestFit="1" customWidth="1"/>
    <col min="11508" max="11508" width="17.453125" style="1017" bestFit="1" customWidth="1"/>
    <col min="11509" max="11511" width="17.54296875" style="1017" bestFit="1" customWidth="1"/>
    <col min="11512" max="11518" width="21" style="1017" bestFit="1" customWidth="1"/>
    <col min="11519" max="11526" width="21.08984375" style="1017" bestFit="1" customWidth="1"/>
    <col min="11527" max="11527" width="22.6328125" style="1017" customWidth="1"/>
    <col min="11528" max="11528" width="22" style="1017" customWidth="1"/>
    <col min="11529" max="11529" width="22.6328125" style="1017" customWidth="1"/>
    <col min="11530" max="11535" width="21.08984375" style="1017" bestFit="1" customWidth="1"/>
    <col min="11536" max="11536" width="19.54296875" style="1017" customWidth="1"/>
    <col min="11537" max="11537" width="21.08984375" style="1017" bestFit="1" customWidth="1"/>
    <col min="11538" max="11538" width="22.6328125" style="1017" customWidth="1"/>
    <col min="11539" max="11539" width="22" style="1017" customWidth="1"/>
    <col min="11540" max="11540" width="23.453125" style="1017" bestFit="1" customWidth="1"/>
    <col min="11541" max="11543" width="9.08984375" style="1017"/>
    <col min="11544" max="11544" width="11.36328125" style="1017" customWidth="1"/>
    <col min="11545" max="11545" width="10.36328125" style="1017" customWidth="1"/>
    <col min="11546" max="11753" width="9.08984375" style="1017"/>
    <col min="11754" max="11754" width="2.90625" style="1017" customWidth="1"/>
    <col min="11755" max="11755" width="13.08984375" style="1017" customWidth="1"/>
    <col min="11756" max="11756" width="60.36328125" style="1017" customWidth="1"/>
    <col min="11757" max="11761" width="10.90625" style="1017" bestFit="1" customWidth="1"/>
    <col min="11762" max="11762" width="11.90625" style="1017" bestFit="1" customWidth="1"/>
    <col min="11763" max="11763" width="14.36328125" style="1017" bestFit="1" customWidth="1"/>
    <col min="11764" max="11764" width="17.453125" style="1017" bestFit="1" customWidth="1"/>
    <col min="11765" max="11767" width="17.54296875" style="1017" bestFit="1" customWidth="1"/>
    <col min="11768" max="11774" width="21" style="1017" bestFit="1" customWidth="1"/>
    <col min="11775" max="11782" width="21.08984375" style="1017" bestFit="1" customWidth="1"/>
    <col min="11783" max="11783" width="22.6328125" style="1017" customWidth="1"/>
    <col min="11784" max="11784" width="22" style="1017" customWidth="1"/>
    <col min="11785" max="11785" width="22.6328125" style="1017" customWidth="1"/>
    <col min="11786" max="11791" width="21.08984375" style="1017" bestFit="1" customWidth="1"/>
    <col min="11792" max="11792" width="19.54296875" style="1017" customWidth="1"/>
    <col min="11793" max="11793" width="21.08984375" style="1017" bestFit="1" customWidth="1"/>
    <col min="11794" max="11794" width="22.6328125" style="1017" customWidth="1"/>
    <col min="11795" max="11795" width="22" style="1017" customWidth="1"/>
    <col min="11796" max="11796" width="23.453125" style="1017" bestFit="1" customWidth="1"/>
    <col min="11797" max="11799" width="9.08984375" style="1017"/>
    <col min="11800" max="11800" width="11.36328125" style="1017" customWidth="1"/>
    <col min="11801" max="11801" width="10.36328125" style="1017" customWidth="1"/>
    <col min="11802" max="12009" width="9.08984375" style="1017"/>
    <col min="12010" max="12010" width="2.90625" style="1017" customWidth="1"/>
    <col min="12011" max="12011" width="13.08984375" style="1017" customWidth="1"/>
    <col min="12012" max="12012" width="60.36328125" style="1017" customWidth="1"/>
    <col min="12013" max="12017" width="10.90625" style="1017" bestFit="1" customWidth="1"/>
    <col min="12018" max="12018" width="11.90625" style="1017" bestFit="1" customWidth="1"/>
    <col min="12019" max="12019" width="14.36328125" style="1017" bestFit="1" customWidth="1"/>
    <col min="12020" max="12020" width="17.453125" style="1017" bestFit="1" customWidth="1"/>
    <col min="12021" max="12023" width="17.54296875" style="1017" bestFit="1" customWidth="1"/>
    <col min="12024" max="12030" width="21" style="1017" bestFit="1" customWidth="1"/>
    <col min="12031" max="12038" width="21.08984375" style="1017" bestFit="1" customWidth="1"/>
    <col min="12039" max="12039" width="22.6328125" style="1017" customWidth="1"/>
    <col min="12040" max="12040" width="22" style="1017" customWidth="1"/>
    <col min="12041" max="12041" width="22.6328125" style="1017" customWidth="1"/>
    <col min="12042" max="12047" width="21.08984375" style="1017" bestFit="1" customWidth="1"/>
    <col min="12048" max="12048" width="19.54296875" style="1017" customWidth="1"/>
    <col min="12049" max="12049" width="21.08984375" style="1017" bestFit="1" customWidth="1"/>
    <col min="12050" max="12050" width="22.6328125" style="1017" customWidth="1"/>
    <col min="12051" max="12051" width="22" style="1017" customWidth="1"/>
    <col min="12052" max="12052" width="23.453125" style="1017" bestFit="1" customWidth="1"/>
    <col min="12053" max="12055" width="9.08984375" style="1017"/>
    <col min="12056" max="12056" width="11.36328125" style="1017" customWidth="1"/>
    <col min="12057" max="12057" width="10.36328125" style="1017" customWidth="1"/>
    <col min="12058" max="12265" width="9.08984375" style="1017"/>
    <col min="12266" max="12266" width="2.90625" style="1017" customWidth="1"/>
    <col min="12267" max="12267" width="13.08984375" style="1017" customWidth="1"/>
    <col min="12268" max="12268" width="60.36328125" style="1017" customWidth="1"/>
    <col min="12269" max="12273" width="10.90625" style="1017" bestFit="1" customWidth="1"/>
    <col min="12274" max="12274" width="11.90625" style="1017" bestFit="1" customWidth="1"/>
    <col min="12275" max="12275" width="14.36328125" style="1017" bestFit="1" customWidth="1"/>
    <col min="12276" max="12276" width="17.453125" style="1017" bestFit="1" customWidth="1"/>
    <col min="12277" max="12279" width="17.54296875" style="1017" bestFit="1" customWidth="1"/>
    <col min="12280" max="12286" width="21" style="1017" bestFit="1" customWidth="1"/>
    <col min="12287" max="12294" width="21.08984375" style="1017" bestFit="1" customWidth="1"/>
    <col min="12295" max="12295" width="22.6328125" style="1017" customWidth="1"/>
    <col min="12296" max="12296" width="22" style="1017" customWidth="1"/>
    <col min="12297" max="12297" width="22.6328125" style="1017" customWidth="1"/>
    <col min="12298" max="12303" width="21.08984375" style="1017" bestFit="1" customWidth="1"/>
    <col min="12304" max="12304" width="19.54296875" style="1017" customWidth="1"/>
    <col min="12305" max="12305" width="21.08984375" style="1017" bestFit="1" customWidth="1"/>
    <col min="12306" max="12306" width="22.6328125" style="1017" customWidth="1"/>
    <col min="12307" max="12307" width="22" style="1017" customWidth="1"/>
    <col min="12308" max="12308" width="23.453125" style="1017" bestFit="1" customWidth="1"/>
    <col min="12309" max="12311" width="9.08984375" style="1017"/>
    <col min="12312" max="12312" width="11.36328125" style="1017" customWidth="1"/>
    <col min="12313" max="12313" width="10.36328125" style="1017" customWidth="1"/>
    <col min="12314" max="12521" width="9.08984375" style="1017"/>
    <col min="12522" max="12522" width="2.90625" style="1017" customWidth="1"/>
    <col min="12523" max="12523" width="13.08984375" style="1017" customWidth="1"/>
    <col min="12524" max="12524" width="60.36328125" style="1017" customWidth="1"/>
    <col min="12525" max="12529" width="10.90625" style="1017" bestFit="1" customWidth="1"/>
    <col min="12530" max="12530" width="11.90625" style="1017" bestFit="1" customWidth="1"/>
    <col min="12531" max="12531" width="14.36328125" style="1017" bestFit="1" customWidth="1"/>
    <col min="12532" max="12532" width="17.453125" style="1017" bestFit="1" customWidth="1"/>
    <col min="12533" max="12535" width="17.54296875" style="1017" bestFit="1" customWidth="1"/>
    <col min="12536" max="12542" width="21" style="1017" bestFit="1" customWidth="1"/>
    <col min="12543" max="12550" width="21.08984375" style="1017" bestFit="1" customWidth="1"/>
    <col min="12551" max="12551" width="22.6328125" style="1017" customWidth="1"/>
    <col min="12552" max="12552" width="22" style="1017" customWidth="1"/>
    <col min="12553" max="12553" width="22.6328125" style="1017" customWidth="1"/>
    <col min="12554" max="12559" width="21.08984375" style="1017" bestFit="1" customWidth="1"/>
    <col min="12560" max="12560" width="19.54296875" style="1017" customWidth="1"/>
    <col min="12561" max="12561" width="21.08984375" style="1017" bestFit="1" customWidth="1"/>
    <col min="12562" max="12562" width="22.6328125" style="1017" customWidth="1"/>
    <col min="12563" max="12563" width="22" style="1017" customWidth="1"/>
    <col min="12564" max="12564" width="23.453125" style="1017" bestFit="1" customWidth="1"/>
    <col min="12565" max="12567" width="9.08984375" style="1017"/>
    <col min="12568" max="12568" width="11.36328125" style="1017" customWidth="1"/>
    <col min="12569" max="12569" width="10.36328125" style="1017" customWidth="1"/>
    <col min="12570" max="12777" width="9.08984375" style="1017"/>
    <col min="12778" max="12778" width="2.90625" style="1017" customWidth="1"/>
    <col min="12779" max="12779" width="13.08984375" style="1017" customWidth="1"/>
    <col min="12780" max="12780" width="60.36328125" style="1017" customWidth="1"/>
    <col min="12781" max="12785" width="10.90625" style="1017" bestFit="1" customWidth="1"/>
    <col min="12786" max="12786" width="11.90625" style="1017" bestFit="1" customWidth="1"/>
    <col min="12787" max="12787" width="14.36328125" style="1017" bestFit="1" customWidth="1"/>
    <col min="12788" max="12788" width="17.453125" style="1017" bestFit="1" customWidth="1"/>
    <col min="12789" max="12791" width="17.54296875" style="1017" bestFit="1" customWidth="1"/>
    <col min="12792" max="12798" width="21" style="1017" bestFit="1" customWidth="1"/>
    <col min="12799" max="12806" width="21.08984375" style="1017" bestFit="1" customWidth="1"/>
    <col min="12807" max="12807" width="22.6328125" style="1017" customWidth="1"/>
    <col min="12808" max="12808" width="22" style="1017" customWidth="1"/>
    <col min="12809" max="12809" width="22.6328125" style="1017" customWidth="1"/>
    <col min="12810" max="12815" width="21.08984375" style="1017" bestFit="1" customWidth="1"/>
    <col min="12816" max="12816" width="19.54296875" style="1017" customWidth="1"/>
    <col min="12817" max="12817" width="21.08984375" style="1017" bestFit="1" customWidth="1"/>
    <col min="12818" max="12818" width="22.6328125" style="1017" customWidth="1"/>
    <col min="12819" max="12819" width="22" style="1017" customWidth="1"/>
    <col min="12820" max="12820" width="23.453125" style="1017" bestFit="1" customWidth="1"/>
    <col min="12821" max="12823" width="9.08984375" style="1017"/>
    <col min="12824" max="12824" width="11.36328125" style="1017" customWidth="1"/>
    <col min="12825" max="12825" width="10.36328125" style="1017" customWidth="1"/>
    <col min="12826" max="13033" width="9.08984375" style="1017"/>
    <col min="13034" max="13034" width="2.90625" style="1017" customWidth="1"/>
    <col min="13035" max="13035" width="13.08984375" style="1017" customWidth="1"/>
    <col min="13036" max="13036" width="60.36328125" style="1017" customWidth="1"/>
    <col min="13037" max="13041" width="10.90625" style="1017" bestFit="1" customWidth="1"/>
    <col min="13042" max="13042" width="11.90625" style="1017" bestFit="1" customWidth="1"/>
    <col min="13043" max="13043" width="14.36328125" style="1017" bestFit="1" customWidth="1"/>
    <col min="13044" max="13044" width="17.453125" style="1017" bestFit="1" customWidth="1"/>
    <col min="13045" max="13047" width="17.54296875" style="1017" bestFit="1" customWidth="1"/>
    <col min="13048" max="13054" width="21" style="1017" bestFit="1" customWidth="1"/>
    <col min="13055" max="13062" width="21.08984375" style="1017" bestFit="1" customWidth="1"/>
    <col min="13063" max="13063" width="22.6328125" style="1017" customWidth="1"/>
    <col min="13064" max="13064" width="22" style="1017" customWidth="1"/>
    <col min="13065" max="13065" width="22.6328125" style="1017" customWidth="1"/>
    <col min="13066" max="13071" width="21.08984375" style="1017" bestFit="1" customWidth="1"/>
    <col min="13072" max="13072" width="19.54296875" style="1017" customWidth="1"/>
    <col min="13073" max="13073" width="21.08984375" style="1017" bestFit="1" customWidth="1"/>
    <col min="13074" max="13074" width="22.6328125" style="1017" customWidth="1"/>
    <col min="13075" max="13075" width="22" style="1017" customWidth="1"/>
    <col min="13076" max="13076" width="23.453125" style="1017" bestFit="1" customWidth="1"/>
    <col min="13077" max="13079" width="9.08984375" style="1017"/>
    <col min="13080" max="13080" width="11.36328125" style="1017" customWidth="1"/>
    <col min="13081" max="13081" width="10.36328125" style="1017" customWidth="1"/>
    <col min="13082" max="13289" width="9.08984375" style="1017"/>
    <col min="13290" max="13290" width="2.90625" style="1017" customWidth="1"/>
    <col min="13291" max="13291" width="13.08984375" style="1017" customWidth="1"/>
    <col min="13292" max="13292" width="60.36328125" style="1017" customWidth="1"/>
    <col min="13293" max="13297" width="10.90625" style="1017" bestFit="1" customWidth="1"/>
    <col min="13298" max="13298" width="11.90625" style="1017" bestFit="1" customWidth="1"/>
    <col min="13299" max="13299" width="14.36328125" style="1017" bestFit="1" customWidth="1"/>
    <col min="13300" max="13300" width="17.453125" style="1017" bestFit="1" customWidth="1"/>
    <col min="13301" max="13303" width="17.54296875" style="1017" bestFit="1" customWidth="1"/>
    <col min="13304" max="13310" width="21" style="1017" bestFit="1" customWidth="1"/>
    <col min="13311" max="13318" width="21.08984375" style="1017" bestFit="1" customWidth="1"/>
    <col min="13319" max="13319" width="22.6328125" style="1017" customWidth="1"/>
    <col min="13320" max="13320" width="22" style="1017" customWidth="1"/>
    <col min="13321" max="13321" width="22.6328125" style="1017" customWidth="1"/>
    <col min="13322" max="13327" width="21.08984375" style="1017" bestFit="1" customWidth="1"/>
    <col min="13328" max="13328" width="19.54296875" style="1017" customWidth="1"/>
    <col min="13329" max="13329" width="21.08984375" style="1017" bestFit="1" customWidth="1"/>
    <col min="13330" max="13330" width="22.6328125" style="1017" customWidth="1"/>
    <col min="13331" max="13331" width="22" style="1017" customWidth="1"/>
    <col min="13332" max="13332" width="23.453125" style="1017" bestFit="1" customWidth="1"/>
    <col min="13333" max="13335" width="9.08984375" style="1017"/>
    <col min="13336" max="13336" width="11.36328125" style="1017" customWidth="1"/>
    <col min="13337" max="13337" width="10.36328125" style="1017" customWidth="1"/>
    <col min="13338" max="13545" width="9.08984375" style="1017"/>
    <col min="13546" max="13546" width="2.90625" style="1017" customWidth="1"/>
    <col min="13547" max="13547" width="13.08984375" style="1017" customWidth="1"/>
    <col min="13548" max="13548" width="60.36328125" style="1017" customWidth="1"/>
    <col min="13549" max="13553" width="10.90625" style="1017" bestFit="1" customWidth="1"/>
    <col min="13554" max="13554" width="11.90625" style="1017" bestFit="1" customWidth="1"/>
    <col min="13555" max="13555" width="14.36328125" style="1017" bestFit="1" customWidth="1"/>
    <col min="13556" max="13556" width="17.453125" style="1017" bestFit="1" customWidth="1"/>
    <col min="13557" max="13559" width="17.54296875" style="1017" bestFit="1" customWidth="1"/>
    <col min="13560" max="13566" width="21" style="1017" bestFit="1" customWidth="1"/>
    <col min="13567" max="13574" width="21.08984375" style="1017" bestFit="1" customWidth="1"/>
    <col min="13575" max="13575" width="22.6328125" style="1017" customWidth="1"/>
    <col min="13576" max="13576" width="22" style="1017" customWidth="1"/>
    <col min="13577" max="13577" width="22.6328125" style="1017" customWidth="1"/>
    <col min="13578" max="13583" width="21.08984375" style="1017" bestFit="1" customWidth="1"/>
    <col min="13584" max="13584" width="19.54296875" style="1017" customWidth="1"/>
    <col min="13585" max="13585" width="21.08984375" style="1017" bestFit="1" customWidth="1"/>
    <col min="13586" max="13586" width="22.6328125" style="1017" customWidth="1"/>
    <col min="13587" max="13587" width="22" style="1017" customWidth="1"/>
    <col min="13588" max="13588" width="23.453125" style="1017" bestFit="1" customWidth="1"/>
    <col min="13589" max="13591" width="9.08984375" style="1017"/>
    <col min="13592" max="13592" width="11.36328125" style="1017" customWidth="1"/>
    <col min="13593" max="13593" width="10.36328125" style="1017" customWidth="1"/>
    <col min="13594" max="13801" width="9.08984375" style="1017"/>
    <col min="13802" max="13802" width="2.90625" style="1017" customWidth="1"/>
    <col min="13803" max="13803" width="13.08984375" style="1017" customWidth="1"/>
    <col min="13804" max="13804" width="60.36328125" style="1017" customWidth="1"/>
    <col min="13805" max="13809" width="10.90625" style="1017" bestFit="1" customWidth="1"/>
    <col min="13810" max="13810" width="11.90625" style="1017" bestFit="1" customWidth="1"/>
    <col min="13811" max="13811" width="14.36328125" style="1017" bestFit="1" customWidth="1"/>
    <col min="13812" max="13812" width="17.453125" style="1017" bestFit="1" customWidth="1"/>
    <col min="13813" max="13815" width="17.54296875" style="1017" bestFit="1" customWidth="1"/>
    <col min="13816" max="13822" width="21" style="1017" bestFit="1" customWidth="1"/>
    <col min="13823" max="13830" width="21.08984375" style="1017" bestFit="1" customWidth="1"/>
    <col min="13831" max="13831" width="22.6328125" style="1017" customWidth="1"/>
    <col min="13832" max="13832" width="22" style="1017" customWidth="1"/>
    <col min="13833" max="13833" width="22.6328125" style="1017" customWidth="1"/>
    <col min="13834" max="13839" width="21.08984375" style="1017" bestFit="1" customWidth="1"/>
    <col min="13840" max="13840" width="19.54296875" style="1017" customWidth="1"/>
    <col min="13841" max="13841" width="21.08984375" style="1017" bestFit="1" customWidth="1"/>
    <col min="13842" max="13842" width="22.6328125" style="1017" customWidth="1"/>
    <col min="13843" max="13843" width="22" style="1017" customWidth="1"/>
    <col min="13844" max="13844" width="23.453125" style="1017" bestFit="1" customWidth="1"/>
    <col min="13845" max="13847" width="9.08984375" style="1017"/>
    <col min="13848" max="13848" width="11.36328125" style="1017" customWidth="1"/>
    <col min="13849" max="13849" width="10.36328125" style="1017" customWidth="1"/>
    <col min="13850" max="14057" width="9.08984375" style="1017"/>
    <col min="14058" max="14058" width="2.90625" style="1017" customWidth="1"/>
    <col min="14059" max="14059" width="13.08984375" style="1017" customWidth="1"/>
    <col min="14060" max="14060" width="60.36328125" style="1017" customWidth="1"/>
    <col min="14061" max="14065" width="10.90625" style="1017" bestFit="1" customWidth="1"/>
    <col min="14066" max="14066" width="11.90625" style="1017" bestFit="1" customWidth="1"/>
    <col min="14067" max="14067" width="14.36328125" style="1017" bestFit="1" customWidth="1"/>
    <col min="14068" max="14068" width="17.453125" style="1017" bestFit="1" customWidth="1"/>
    <col min="14069" max="14071" width="17.54296875" style="1017" bestFit="1" customWidth="1"/>
    <col min="14072" max="14078" width="21" style="1017" bestFit="1" customWidth="1"/>
    <col min="14079" max="14086" width="21.08984375" style="1017" bestFit="1" customWidth="1"/>
    <col min="14087" max="14087" width="22.6328125" style="1017" customWidth="1"/>
    <col min="14088" max="14088" width="22" style="1017" customWidth="1"/>
    <col min="14089" max="14089" width="22.6328125" style="1017" customWidth="1"/>
    <col min="14090" max="14095" width="21.08984375" style="1017" bestFit="1" customWidth="1"/>
    <col min="14096" max="14096" width="19.54296875" style="1017" customWidth="1"/>
    <col min="14097" max="14097" width="21.08984375" style="1017" bestFit="1" customWidth="1"/>
    <col min="14098" max="14098" width="22.6328125" style="1017" customWidth="1"/>
    <col min="14099" max="14099" width="22" style="1017" customWidth="1"/>
    <col min="14100" max="14100" width="23.453125" style="1017" bestFit="1" customWidth="1"/>
    <col min="14101" max="14103" width="9.08984375" style="1017"/>
    <col min="14104" max="14104" width="11.36328125" style="1017" customWidth="1"/>
    <col min="14105" max="14105" width="10.36328125" style="1017" customWidth="1"/>
    <col min="14106" max="14313" width="9.08984375" style="1017"/>
    <col min="14314" max="14314" width="2.90625" style="1017" customWidth="1"/>
    <col min="14315" max="14315" width="13.08984375" style="1017" customWidth="1"/>
    <col min="14316" max="14316" width="60.36328125" style="1017" customWidth="1"/>
    <col min="14317" max="14321" width="10.90625" style="1017" bestFit="1" customWidth="1"/>
    <col min="14322" max="14322" width="11.90625" style="1017" bestFit="1" customWidth="1"/>
    <col min="14323" max="14323" width="14.36328125" style="1017" bestFit="1" customWidth="1"/>
    <col min="14324" max="14324" width="17.453125" style="1017" bestFit="1" customWidth="1"/>
    <col min="14325" max="14327" width="17.54296875" style="1017" bestFit="1" customWidth="1"/>
    <col min="14328" max="14334" width="21" style="1017" bestFit="1" customWidth="1"/>
    <col min="14335" max="14342" width="21.08984375" style="1017" bestFit="1" customWidth="1"/>
    <col min="14343" max="14343" width="22.6328125" style="1017" customWidth="1"/>
    <col min="14344" max="14344" width="22" style="1017" customWidth="1"/>
    <col min="14345" max="14345" width="22.6328125" style="1017" customWidth="1"/>
    <col min="14346" max="14351" width="21.08984375" style="1017" bestFit="1" customWidth="1"/>
    <col min="14352" max="14352" width="19.54296875" style="1017" customWidth="1"/>
    <col min="14353" max="14353" width="21.08984375" style="1017" bestFit="1" customWidth="1"/>
    <col min="14354" max="14354" width="22.6328125" style="1017" customWidth="1"/>
    <col min="14355" max="14355" width="22" style="1017" customWidth="1"/>
    <col min="14356" max="14356" width="23.453125" style="1017" bestFit="1" customWidth="1"/>
    <col min="14357" max="14359" width="9.08984375" style="1017"/>
    <col min="14360" max="14360" width="11.36328125" style="1017" customWidth="1"/>
    <col min="14361" max="14361" width="10.36328125" style="1017" customWidth="1"/>
    <col min="14362" max="14569" width="9.08984375" style="1017"/>
    <col min="14570" max="14570" width="2.90625" style="1017" customWidth="1"/>
    <col min="14571" max="14571" width="13.08984375" style="1017" customWidth="1"/>
    <col min="14572" max="14572" width="60.36328125" style="1017" customWidth="1"/>
    <col min="14573" max="14577" width="10.90625" style="1017" bestFit="1" customWidth="1"/>
    <col min="14578" max="14578" width="11.90625" style="1017" bestFit="1" customWidth="1"/>
    <col min="14579" max="14579" width="14.36328125" style="1017" bestFit="1" customWidth="1"/>
    <col min="14580" max="14580" width="17.453125" style="1017" bestFit="1" customWidth="1"/>
    <col min="14581" max="14583" width="17.54296875" style="1017" bestFit="1" customWidth="1"/>
    <col min="14584" max="14590" width="21" style="1017" bestFit="1" customWidth="1"/>
    <col min="14591" max="14598" width="21.08984375" style="1017" bestFit="1" customWidth="1"/>
    <col min="14599" max="14599" width="22.6328125" style="1017" customWidth="1"/>
    <col min="14600" max="14600" width="22" style="1017" customWidth="1"/>
    <col min="14601" max="14601" width="22.6328125" style="1017" customWidth="1"/>
    <col min="14602" max="14607" width="21.08984375" style="1017" bestFit="1" customWidth="1"/>
    <col min="14608" max="14608" width="19.54296875" style="1017" customWidth="1"/>
    <col min="14609" max="14609" width="21.08984375" style="1017" bestFit="1" customWidth="1"/>
    <col min="14610" max="14610" width="22.6328125" style="1017" customWidth="1"/>
    <col min="14611" max="14611" width="22" style="1017" customWidth="1"/>
    <col min="14612" max="14612" width="23.453125" style="1017" bestFit="1" customWidth="1"/>
    <col min="14613" max="14615" width="9.08984375" style="1017"/>
    <col min="14616" max="14616" width="11.36328125" style="1017" customWidth="1"/>
    <col min="14617" max="14617" width="10.36328125" style="1017" customWidth="1"/>
    <col min="14618" max="14825" width="9.08984375" style="1017"/>
    <col min="14826" max="14826" width="2.90625" style="1017" customWidth="1"/>
    <col min="14827" max="14827" width="13.08984375" style="1017" customWidth="1"/>
    <col min="14828" max="14828" width="60.36328125" style="1017" customWidth="1"/>
    <col min="14829" max="14833" width="10.90625" style="1017" bestFit="1" customWidth="1"/>
    <col min="14834" max="14834" width="11.90625" style="1017" bestFit="1" customWidth="1"/>
    <col min="14835" max="14835" width="14.36328125" style="1017" bestFit="1" customWidth="1"/>
    <col min="14836" max="14836" width="17.453125" style="1017" bestFit="1" customWidth="1"/>
    <col min="14837" max="14839" width="17.54296875" style="1017" bestFit="1" customWidth="1"/>
    <col min="14840" max="14846" width="21" style="1017" bestFit="1" customWidth="1"/>
    <col min="14847" max="14854" width="21.08984375" style="1017" bestFit="1" customWidth="1"/>
    <col min="14855" max="14855" width="22.6328125" style="1017" customWidth="1"/>
    <col min="14856" max="14856" width="22" style="1017" customWidth="1"/>
    <col min="14857" max="14857" width="22.6328125" style="1017" customWidth="1"/>
    <col min="14858" max="14863" width="21.08984375" style="1017" bestFit="1" customWidth="1"/>
    <col min="14864" max="14864" width="19.54296875" style="1017" customWidth="1"/>
    <col min="14865" max="14865" width="21.08984375" style="1017" bestFit="1" customWidth="1"/>
    <col min="14866" max="14866" width="22.6328125" style="1017" customWidth="1"/>
    <col min="14867" max="14867" width="22" style="1017" customWidth="1"/>
    <col min="14868" max="14868" width="23.453125" style="1017" bestFit="1" customWidth="1"/>
    <col min="14869" max="14871" width="9.08984375" style="1017"/>
    <col min="14872" max="14872" width="11.36328125" style="1017" customWidth="1"/>
    <col min="14873" max="14873" width="10.36328125" style="1017" customWidth="1"/>
    <col min="14874" max="15081" width="9.08984375" style="1017"/>
    <col min="15082" max="15082" width="2.90625" style="1017" customWidth="1"/>
    <col min="15083" max="15083" width="13.08984375" style="1017" customWidth="1"/>
    <col min="15084" max="15084" width="60.36328125" style="1017" customWidth="1"/>
    <col min="15085" max="15089" width="10.90625" style="1017" bestFit="1" customWidth="1"/>
    <col min="15090" max="15090" width="11.90625" style="1017" bestFit="1" customWidth="1"/>
    <col min="15091" max="15091" width="14.36328125" style="1017" bestFit="1" customWidth="1"/>
    <col min="15092" max="15092" width="17.453125" style="1017" bestFit="1" customWidth="1"/>
    <col min="15093" max="15095" width="17.54296875" style="1017" bestFit="1" customWidth="1"/>
    <col min="15096" max="15102" width="21" style="1017" bestFit="1" customWidth="1"/>
    <col min="15103" max="15110" width="21.08984375" style="1017" bestFit="1" customWidth="1"/>
    <col min="15111" max="15111" width="22.6328125" style="1017" customWidth="1"/>
    <col min="15112" max="15112" width="22" style="1017" customWidth="1"/>
    <col min="15113" max="15113" width="22.6328125" style="1017" customWidth="1"/>
    <col min="15114" max="15119" width="21.08984375" style="1017" bestFit="1" customWidth="1"/>
    <col min="15120" max="15120" width="19.54296875" style="1017" customWidth="1"/>
    <col min="15121" max="15121" width="21.08984375" style="1017" bestFit="1" customWidth="1"/>
    <col min="15122" max="15122" width="22.6328125" style="1017" customWidth="1"/>
    <col min="15123" max="15123" width="22" style="1017" customWidth="1"/>
    <col min="15124" max="15124" width="23.453125" style="1017" bestFit="1" customWidth="1"/>
    <col min="15125" max="15127" width="9.08984375" style="1017"/>
    <col min="15128" max="15128" width="11.36328125" style="1017" customWidth="1"/>
    <col min="15129" max="15129" width="10.36328125" style="1017" customWidth="1"/>
    <col min="15130" max="15337" width="9.08984375" style="1017"/>
    <col min="15338" max="15338" width="2.90625" style="1017" customWidth="1"/>
    <col min="15339" max="15339" width="13.08984375" style="1017" customWidth="1"/>
    <col min="15340" max="15340" width="60.36328125" style="1017" customWidth="1"/>
    <col min="15341" max="15345" width="10.90625" style="1017" bestFit="1" customWidth="1"/>
    <col min="15346" max="15346" width="11.90625" style="1017" bestFit="1" customWidth="1"/>
    <col min="15347" max="15347" width="14.36328125" style="1017" bestFit="1" customWidth="1"/>
    <col min="15348" max="15348" width="17.453125" style="1017" bestFit="1" customWidth="1"/>
    <col min="15349" max="15351" width="17.54296875" style="1017" bestFit="1" customWidth="1"/>
    <col min="15352" max="15358" width="21" style="1017" bestFit="1" customWidth="1"/>
    <col min="15359" max="15366" width="21.08984375" style="1017" bestFit="1" customWidth="1"/>
    <col min="15367" max="15367" width="22.6328125" style="1017" customWidth="1"/>
    <col min="15368" max="15368" width="22" style="1017" customWidth="1"/>
    <col min="15369" max="15369" width="22.6328125" style="1017" customWidth="1"/>
    <col min="15370" max="15375" width="21.08984375" style="1017" bestFit="1" customWidth="1"/>
    <col min="15376" max="15376" width="19.54296875" style="1017" customWidth="1"/>
    <col min="15377" max="15377" width="21.08984375" style="1017" bestFit="1" customWidth="1"/>
    <col min="15378" max="15378" width="22.6328125" style="1017" customWidth="1"/>
    <col min="15379" max="15379" width="22" style="1017" customWidth="1"/>
    <col min="15380" max="15380" width="23.453125" style="1017" bestFit="1" customWidth="1"/>
    <col min="15381" max="15383" width="9.08984375" style="1017"/>
    <col min="15384" max="15384" width="11.36328125" style="1017" customWidth="1"/>
    <col min="15385" max="15385" width="10.36328125" style="1017" customWidth="1"/>
    <col min="15386" max="15593" width="9.08984375" style="1017"/>
    <col min="15594" max="15594" width="2.90625" style="1017" customWidth="1"/>
    <col min="15595" max="15595" width="13.08984375" style="1017" customWidth="1"/>
    <col min="15596" max="15596" width="60.36328125" style="1017" customWidth="1"/>
    <col min="15597" max="15601" width="10.90625" style="1017" bestFit="1" customWidth="1"/>
    <col min="15602" max="15602" width="11.90625" style="1017" bestFit="1" customWidth="1"/>
    <col min="15603" max="15603" width="14.36328125" style="1017" bestFit="1" customWidth="1"/>
    <col min="15604" max="15604" width="17.453125" style="1017" bestFit="1" customWidth="1"/>
    <col min="15605" max="15607" width="17.54296875" style="1017" bestFit="1" customWidth="1"/>
    <col min="15608" max="15614" width="21" style="1017" bestFit="1" customWidth="1"/>
    <col min="15615" max="15622" width="21.08984375" style="1017" bestFit="1" customWidth="1"/>
    <col min="15623" max="15623" width="22.6328125" style="1017" customWidth="1"/>
    <col min="15624" max="15624" width="22" style="1017" customWidth="1"/>
    <col min="15625" max="15625" width="22.6328125" style="1017" customWidth="1"/>
    <col min="15626" max="15631" width="21.08984375" style="1017" bestFit="1" customWidth="1"/>
    <col min="15632" max="15632" width="19.54296875" style="1017" customWidth="1"/>
    <col min="15633" max="15633" width="21.08984375" style="1017" bestFit="1" customWidth="1"/>
    <col min="15634" max="15634" width="22.6328125" style="1017" customWidth="1"/>
    <col min="15635" max="15635" width="22" style="1017" customWidth="1"/>
    <col min="15636" max="15636" width="23.453125" style="1017" bestFit="1" customWidth="1"/>
    <col min="15637" max="15639" width="9.08984375" style="1017"/>
    <col min="15640" max="15640" width="11.36328125" style="1017" customWidth="1"/>
    <col min="15641" max="15641" width="10.36328125" style="1017" customWidth="1"/>
    <col min="15642" max="15849" width="9.08984375" style="1017"/>
    <col min="15850" max="15850" width="2.90625" style="1017" customWidth="1"/>
    <col min="15851" max="15851" width="13.08984375" style="1017" customWidth="1"/>
    <col min="15852" max="15852" width="60.36328125" style="1017" customWidth="1"/>
    <col min="15853" max="15857" width="10.90625" style="1017" bestFit="1" customWidth="1"/>
    <col min="15858" max="15858" width="11.90625" style="1017" bestFit="1" customWidth="1"/>
    <col min="15859" max="15859" width="14.36328125" style="1017" bestFit="1" customWidth="1"/>
    <col min="15860" max="15860" width="17.453125" style="1017" bestFit="1" customWidth="1"/>
    <col min="15861" max="15863" width="17.54296875" style="1017" bestFit="1" customWidth="1"/>
    <col min="15864" max="15870" width="21" style="1017" bestFit="1" customWidth="1"/>
    <col min="15871" max="15878" width="21.08984375" style="1017" bestFit="1" customWidth="1"/>
    <col min="15879" max="15879" width="22.6328125" style="1017" customWidth="1"/>
    <col min="15880" max="15880" width="22" style="1017" customWidth="1"/>
    <col min="15881" max="15881" width="22.6328125" style="1017" customWidth="1"/>
    <col min="15882" max="15887" width="21.08984375" style="1017" bestFit="1" customWidth="1"/>
    <col min="15888" max="15888" width="19.54296875" style="1017" customWidth="1"/>
    <col min="15889" max="15889" width="21.08984375" style="1017" bestFit="1" customWidth="1"/>
    <col min="15890" max="15890" width="22.6328125" style="1017" customWidth="1"/>
    <col min="15891" max="15891" width="22" style="1017" customWidth="1"/>
    <col min="15892" max="15892" width="23.453125" style="1017" bestFit="1" customWidth="1"/>
    <col min="15893" max="15895" width="9.08984375" style="1017"/>
    <col min="15896" max="15896" width="11.36328125" style="1017" customWidth="1"/>
    <col min="15897" max="15897" width="10.36328125" style="1017" customWidth="1"/>
    <col min="15898" max="16105" width="9.08984375" style="1017"/>
    <col min="16106" max="16106" width="2.90625" style="1017" customWidth="1"/>
    <col min="16107" max="16107" width="13.08984375" style="1017" customWidth="1"/>
    <col min="16108" max="16108" width="60.36328125" style="1017" customWidth="1"/>
    <col min="16109" max="16113" width="10.90625" style="1017" bestFit="1" customWidth="1"/>
    <col min="16114" max="16114" width="11.90625" style="1017" bestFit="1" customWidth="1"/>
    <col min="16115" max="16115" width="14.36328125" style="1017" bestFit="1" customWidth="1"/>
    <col min="16116" max="16116" width="17.453125" style="1017" bestFit="1" customWidth="1"/>
    <col min="16117" max="16119" width="17.54296875" style="1017" bestFit="1" customWidth="1"/>
    <col min="16120" max="16126" width="21" style="1017" bestFit="1" customWidth="1"/>
    <col min="16127" max="16134" width="21.08984375" style="1017" bestFit="1" customWidth="1"/>
    <col min="16135" max="16135" width="22.6328125" style="1017" customWidth="1"/>
    <col min="16136" max="16136" width="22" style="1017" customWidth="1"/>
    <col min="16137" max="16137" width="22.6328125" style="1017" customWidth="1"/>
    <col min="16138" max="16143" width="21.08984375" style="1017" bestFit="1" customWidth="1"/>
    <col min="16144" max="16144" width="19.54296875" style="1017" customWidth="1"/>
    <col min="16145" max="16145" width="21.08984375" style="1017" bestFit="1" customWidth="1"/>
    <col min="16146" max="16146" width="22.6328125" style="1017" customWidth="1"/>
    <col min="16147" max="16147" width="22" style="1017" customWidth="1"/>
    <col min="16148" max="16148" width="23.453125" style="1017" bestFit="1" customWidth="1"/>
    <col min="16149" max="16151" width="9.08984375" style="1017"/>
    <col min="16152" max="16152" width="11.36328125" style="1017" customWidth="1"/>
    <col min="16153" max="16153" width="10.36328125" style="1017" customWidth="1"/>
    <col min="16154" max="16384" width="9.08984375" style="1017"/>
  </cols>
  <sheetData>
    <row r="1" spans="2:26" x14ac:dyDescent="0.3">
      <c r="B1" s="1016"/>
    </row>
    <row r="2" spans="2:26" x14ac:dyDescent="0.3">
      <c r="B2" s="1018"/>
      <c r="C2" s="1018"/>
      <c r="D2" s="1018"/>
      <c r="E2" s="1019"/>
      <c r="F2" s="1019"/>
      <c r="G2" s="1019"/>
      <c r="H2" s="1019"/>
      <c r="I2" s="1019"/>
      <c r="J2" s="1019"/>
      <c r="K2" s="1019"/>
      <c r="L2" s="859" t="str">
        <f>Index!B2</f>
        <v xml:space="preserve">      Maharashtra State Power Generation Company Ltd.</v>
      </c>
      <c r="M2" s="1019"/>
      <c r="N2" s="1019"/>
      <c r="O2" s="1019"/>
      <c r="P2" s="1018"/>
      <c r="Q2" s="1019"/>
      <c r="R2" s="1019"/>
      <c r="S2" s="1019"/>
      <c r="T2" s="1019"/>
      <c r="U2" s="1019"/>
      <c r="V2" s="1019"/>
      <c r="W2" s="1019"/>
      <c r="X2" s="1019"/>
      <c r="Y2" s="1019"/>
      <c r="Z2" s="1019"/>
    </row>
    <row r="3" spans="2:26" x14ac:dyDescent="0.3">
      <c r="B3" s="1020"/>
      <c r="C3" s="1021"/>
      <c r="E3" s="1020"/>
      <c r="F3" s="1020"/>
      <c r="G3" s="1020"/>
      <c r="H3" s="1020"/>
      <c r="I3" s="1020"/>
      <c r="J3" s="1020"/>
      <c r="K3" s="1020"/>
      <c r="L3" s="1022" t="s">
        <v>1104</v>
      </c>
      <c r="M3" s="1020"/>
      <c r="N3" s="1020"/>
      <c r="O3" s="1020"/>
      <c r="P3" s="1020"/>
      <c r="Q3" s="1020"/>
      <c r="R3" s="1020"/>
      <c r="S3" s="1020"/>
      <c r="T3" s="1020"/>
      <c r="U3" s="1020"/>
      <c r="V3" s="1020"/>
      <c r="W3" s="1020"/>
      <c r="X3" s="1021"/>
      <c r="Y3" s="1021"/>
      <c r="Z3" s="1021"/>
    </row>
    <row r="4" spans="2:26" x14ac:dyDescent="0.3">
      <c r="B4" s="1018"/>
      <c r="C4" s="1018"/>
      <c r="D4" s="1018"/>
      <c r="L4" s="1023" t="s">
        <v>1422</v>
      </c>
      <c r="P4" s="1018"/>
    </row>
    <row r="5" spans="2:26" x14ac:dyDescent="0.3">
      <c r="B5" s="1024"/>
      <c r="C5" s="1024"/>
      <c r="D5" s="1024"/>
    </row>
    <row r="6" spans="2:26" x14ac:dyDescent="0.3">
      <c r="B6" s="1955" t="s">
        <v>1423</v>
      </c>
      <c r="C6" s="1025" t="s">
        <v>1424</v>
      </c>
      <c r="D6" s="1958" t="s">
        <v>1425</v>
      </c>
      <c r="E6" s="1958"/>
      <c r="F6" s="1958"/>
      <c r="G6" s="1958"/>
      <c r="H6" s="1958" t="s">
        <v>1425</v>
      </c>
      <c r="I6" s="1958"/>
      <c r="J6" s="1958"/>
      <c r="K6" s="1958"/>
      <c r="L6" s="1958" t="s">
        <v>420</v>
      </c>
      <c r="M6" s="1958"/>
      <c r="N6" s="1958"/>
      <c r="O6" s="1958"/>
      <c r="P6" s="1958" t="s">
        <v>1426</v>
      </c>
      <c r="Q6" s="1958"/>
      <c r="R6" s="1958"/>
      <c r="S6" s="1958"/>
      <c r="T6" s="1026"/>
    </row>
    <row r="7" spans="2:26" x14ac:dyDescent="0.3">
      <c r="B7" s="1956"/>
      <c r="C7" s="1027" t="s">
        <v>1427</v>
      </c>
      <c r="D7" s="1028" t="s">
        <v>1428</v>
      </c>
      <c r="E7" s="1028" t="s">
        <v>1429</v>
      </c>
      <c r="F7" s="1028" t="s">
        <v>1430</v>
      </c>
      <c r="G7" s="1028" t="s">
        <v>1431</v>
      </c>
      <c r="H7" s="1028" t="s">
        <v>1428</v>
      </c>
      <c r="I7" s="1028" t="s">
        <v>1429</v>
      </c>
      <c r="J7" s="1028" t="s">
        <v>1430</v>
      </c>
      <c r="K7" s="1028" t="s">
        <v>1431</v>
      </c>
      <c r="L7" s="1028" t="s">
        <v>1428</v>
      </c>
      <c r="M7" s="1028" t="s">
        <v>1429</v>
      </c>
      <c r="N7" s="1028" t="s">
        <v>1430</v>
      </c>
      <c r="O7" s="1028" t="s">
        <v>1431</v>
      </c>
      <c r="P7" s="1028" t="s">
        <v>1428</v>
      </c>
      <c r="Q7" s="1028" t="s">
        <v>1429</v>
      </c>
      <c r="R7" s="1028" t="s">
        <v>1430</v>
      </c>
      <c r="S7" s="1028" t="s">
        <v>1431</v>
      </c>
      <c r="T7" s="1028" t="s">
        <v>271</v>
      </c>
    </row>
    <row r="8" spans="2:26" x14ac:dyDescent="0.3">
      <c r="B8" s="1957"/>
      <c r="C8" s="1025" t="s">
        <v>1432</v>
      </c>
      <c r="D8" s="1026"/>
      <c r="E8" s="1026"/>
      <c r="F8" s="1026"/>
      <c r="G8" s="1026"/>
      <c r="H8" s="1026"/>
      <c r="I8" s="1026"/>
      <c r="J8" s="1026"/>
      <c r="K8" s="1026"/>
      <c r="L8" s="1026"/>
      <c r="M8" s="1026"/>
      <c r="N8" s="1026"/>
      <c r="O8" s="1026"/>
      <c r="P8" s="1026"/>
      <c r="Q8" s="1026"/>
      <c r="R8" s="1026"/>
      <c r="S8" s="1026"/>
      <c r="T8" s="1026"/>
    </row>
    <row r="9" spans="2:26" x14ac:dyDescent="0.3">
      <c r="B9" s="1029"/>
      <c r="C9" s="1029"/>
      <c r="D9" s="1029"/>
      <c r="E9" s="1029"/>
      <c r="F9" s="1029"/>
      <c r="G9" s="1029"/>
      <c r="H9" s="1029"/>
      <c r="I9" s="1029"/>
      <c r="J9" s="1029"/>
      <c r="K9" s="1029"/>
      <c r="L9" s="1029"/>
      <c r="M9" s="1029"/>
      <c r="N9" s="1029"/>
      <c r="O9" s="1029"/>
      <c r="P9" s="1029"/>
      <c r="Q9" s="1029"/>
      <c r="R9" s="1029"/>
      <c r="S9" s="1029"/>
      <c r="T9" s="1029"/>
    </row>
    <row r="10" spans="2:26" x14ac:dyDescent="0.3">
      <c r="B10" s="1030">
        <v>1.1000000000000001</v>
      </c>
      <c r="C10" s="1031" t="s">
        <v>422</v>
      </c>
      <c r="D10" s="1029"/>
      <c r="E10" s="1029"/>
      <c r="F10" s="1029"/>
      <c r="G10" s="1029"/>
      <c r="H10" s="1029"/>
      <c r="I10" s="1029"/>
      <c r="J10" s="1029"/>
      <c r="K10" s="1029"/>
      <c r="L10" s="1029"/>
      <c r="M10" s="1029"/>
      <c r="N10" s="1029"/>
      <c r="O10" s="1029"/>
      <c r="P10" s="1029"/>
      <c r="Q10" s="1029"/>
      <c r="R10" s="1029"/>
      <c r="S10" s="1029"/>
      <c r="T10" s="1029"/>
    </row>
    <row r="11" spans="2:26" x14ac:dyDescent="0.3">
      <c r="B11" s="1029"/>
      <c r="C11" s="1029" t="s">
        <v>1433</v>
      </c>
      <c r="D11" s="1032"/>
      <c r="E11" s="1032"/>
      <c r="F11" s="1032"/>
      <c r="G11" s="1032"/>
      <c r="H11" s="1032"/>
      <c r="I11" s="1032"/>
      <c r="J11" s="1032"/>
      <c r="K11" s="1032"/>
      <c r="L11" s="1032"/>
      <c r="M11" s="1032"/>
      <c r="N11" s="1032"/>
      <c r="O11" s="1032"/>
      <c r="P11" s="1032"/>
      <c r="Q11" s="1032"/>
      <c r="R11" s="1032"/>
      <c r="S11" s="1032"/>
      <c r="T11" s="1033"/>
    </row>
    <row r="12" spans="2:26" x14ac:dyDescent="0.3">
      <c r="B12" s="1029"/>
      <c r="C12" s="1029" t="s">
        <v>1434</v>
      </c>
      <c r="D12" s="1034"/>
      <c r="E12" s="1034"/>
      <c r="F12" s="1034"/>
      <c r="G12" s="1034"/>
      <c r="H12" s="1034"/>
      <c r="I12" s="1034"/>
      <c r="J12" s="1034"/>
      <c r="K12" s="1034"/>
      <c r="L12" s="1034"/>
      <c r="M12" s="1034"/>
      <c r="N12" s="1034"/>
      <c r="O12" s="1034"/>
      <c r="P12" s="1034"/>
      <c r="Q12" s="1034"/>
      <c r="R12" s="1034"/>
      <c r="S12" s="1034"/>
      <c r="T12" s="1033"/>
    </row>
    <row r="13" spans="2:26" x14ac:dyDescent="0.3">
      <c r="B13" s="1029"/>
      <c r="C13" s="1029" t="s">
        <v>414</v>
      </c>
      <c r="D13" s="1032"/>
      <c r="E13" s="1032"/>
      <c r="F13" s="1032"/>
      <c r="G13" s="1032"/>
      <c r="H13" s="1032"/>
      <c r="I13" s="1032"/>
      <c r="J13" s="1032"/>
      <c r="K13" s="1032"/>
      <c r="L13" s="1032"/>
      <c r="M13" s="1032"/>
      <c r="N13" s="1032"/>
      <c r="O13" s="1032"/>
      <c r="P13" s="1032"/>
      <c r="Q13" s="1032"/>
      <c r="R13" s="1032"/>
      <c r="S13" s="1032"/>
      <c r="T13" s="1035"/>
      <c r="U13" s="1036"/>
    </row>
    <row r="14" spans="2:26" x14ac:dyDescent="0.3">
      <c r="B14" s="1029"/>
      <c r="C14" s="1029" t="s">
        <v>1435</v>
      </c>
      <c r="D14" s="1032"/>
      <c r="E14" s="1032"/>
      <c r="F14" s="1032"/>
      <c r="G14" s="1032"/>
      <c r="H14" s="1032"/>
      <c r="I14" s="1032"/>
      <c r="J14" s="1032"/>
      <c r="K14" s="1032"/>
      <c r="L14" s="1032"/>
      <c r="M14" s="1032"/>
      <c r="N14" s="1032"/>
      <c r="O14" s="1032"/>
      <c r="P14" s="1032"/>
      <c r="Q14" s="1032"/>
      <c r="R14" s="1032"/>
      <c r="S14" s="1032"/>
      <c r="T14" s="1033"/>
    </row>
    <row r="15" spans="2:26" x14ac:dyDescent="0.3">
      <c r="B15" s="1029"/>
      <c r="C15" s="1029" t="s">
        <v>1436</v>
      </c>
      <c r="D15" s="1032"/>
      <c r="E15" s="1032"/>
      <c r="F15" s="1032"/>
      <c r="G15" s="1032"/>
      <c r="H15" s="1032"/>
      <c r="I15" s="1032"/>
      <c r="J15" s="1032"/>
      <c r="K15" s="1032"/>
      <c r="L15" s="1032"/>
      <c r="M15" s="1032"/>
      <c r="N15" s="1032"/>
      <c r="O15" s="1032"/>
      <c r="P15" s="1032"/>
      <c r="Q15" s="1032"/>
      <c r="R15" s="1032"/>
      <c r="S15" s="1032"/>
      <c r="T15" s="1033"/>
    </row>
    <row r="16" spans="2:26" x14ac:dyDescent="0.3">
      <c r="B16" s="1029"/>
      <c r="C16" s="1029"/>
      <c r="D16" s="1032"/>
      <c r="E16" s="1032"/>
      <c r="F16" s="1032"/>
      <c r="G16" s="1032"/>
      <c r="H16" s="1032"/>
      <c r="I16" s="1032"/>
      <c r="J16" s="1032"/>
      <c r="K16" s="1032"/>
      <c r="L16" s="1032"/>
      <c r="M16" s="1032"/>
      <c r="N16" s="1032"/>
      <c r="O16" s="1032"/>
      <c r="P16" s="1032"/>
      <c r="Q16" s="1032"/>
      <c r="R16" s="1032"/>
      <c r="S16" s="1032"/>
      <c r="T16" s="1033"/>
    </row>
    <row r="17" spans="2:21" s="1039" customFormat="1" x14ac:dyDescent="0.3">
      <c r="B17" s="1031">
        <v>1.2</v>
      </c>
      <c r="C17" s="1031" t="s">
        <v>421</v>
      </c>
      <c r="D17" s="1037"/>
      <c r="E17" s="1037"/>
      <c r="F17" s="1037"/>
      <c r="G17" s="1037"/>
      <c r="H17" s="1037"/>
      <c r="I17" s="1037"/>
      <c r="J17" s="1037"/>
      <c r="K17" s="1037"/>
      <c r="L17" s="1037"/>
      <c r="M17" s="1037"/>
      <c r="N17" s="1037"/>
      <c r="O17" s="1037"/>
      <c r="P17" s="1037"/>
      <c r="Q17" s="1037"/>
      <c r="R17" s="1037"/>
      <c r="S17" s="1037"/>
      <c r="T17" s="1038"/>
    </row>
    <row r="18" spans="2:21" x14ac:dyDescent="0.3">
      <c r="B18" s="1029"/>
      <c r="C18" s="1029" t="s">
        <v>1433</v>
      </c>
      <c r="D18" s="1033"/>
      <c r="E18" s="1033"/>
      <c r="F18" s="1033"/>
      <c r="G18" s="1033"/>
      <c r="H18" s="1033"/>
      <c r="I18" s="1033"/>
      <c r="J18" s="1033"/>
      <c r="K18" s="1033"/>
      <c r="L18" s="1033"/>
      <c r="M18" s="1033"/>
      <c r="N18" s="1033"/>
      <c r="O18" s="1033"/>
      <c r="P18" s="1033"/>
      <c r="Q18" s="1033"/>
      <c r="R18" s="1033"/>
      <c r="S18" s="1033"/>
      <c r="T18" s="1033"/>
    </row>
    <row r="19" spans="2:21" x14ac:dyDescent="0.3">
      <c r="B19" s="1029"/>
      <c r="C19" s="1029" t="s">
        <v>1434</v>
      </c>
      <c r="D19" s="1040"/>
      <c r="E19" s="1040"/>
      <c r="F19" s="1040"/>
      <c r="G19" s="1040"/>
      <c r="H19" s="1040"/>
      <c r="I19" s="1040"/>
      <c r="J19" s="1040"/>
      <c r="K19" s="1040"/>
      <c r="L19" s="1040"/>
      <c r="M19" s="1040"/>
      <c r="N19" s="1040"/>
      <c r="O19" s="1040"/>
      <c r="P19" s="1040"/>
      <c r="Q19" s="1040"/>
      <c r="R19" s="1040"/>
      <c r="S19" s="1040"/>
      <c r="T19" s="1033"/>
    </row>
    <row r="20" spans="2:21" x14ac:dyDescent="0.3">
      <c r="B20" s="1029"/>
      <c r="C20" s="1029" t="s">
        <v>414</v>
      </c>
      <c r="D20" s="1033"/>
      <c r="E20" s="1033"/>
      <c r="F20" s="1033"/>
      <c r="G20" s="1033"/>
      <c r="H20" s="1033"/>
      <c r="I20" s="1033"/>
      <c r="J20" s="1033"/>
      <c r="K20" s="1033"/>
      <c r="L20" s="1033"/>
      <c r="M20" s="1033"/>
      <c r="N20" s="1033"/>
      <c r="O20" s="1033"/>
      <c r="P20" s="1033"/>
      <c r="Q20" s="1033"/>
      <c r="R20" s="1033"/>
      <c r="S20" s="1033"/>
      <c r="T20" s="1035"/>
      <c r="U20" s="1036"/>
    </row>
    <row r="21" spans="2:21" x14ac:dyDescent="0.3">
      <c r="B21" s="1029"/>
      <c r="C21" s="1029" t="s">
        <v>1435</v>
      </c>
      <c r="D21" s="1033"/>
      <c r="E21" s="1033"/>
      <c r="F21" s="1033"/>
      <c r="G21" s="1033"/>
      <c r="H21" s="1033"/>
      <c r="I21" s="1033"/>
      <c r="J21" s="1033"/>
      <c r="K21" s="1033"/>
      <c r="L21" s="1033"/>
      <c r="M21" s="1033"/>
      <c r="N21" s="1033"/>
      <c r="O21" s="1033"/>
      <c r="P21" s="1033"/>
      <c r="Q21" s="1033"/>
      <c r="R21" s="1033"/>
      <c r="S21" s="1033"/>
      <c r="T21" s="1033"/>
    </row>
    <row r="22" spans="2:21" x14ac:dyDescent="0.3">
      <c r="B22" s="1029"/>
      <c r="C22" s="1029" t="s">
        <v>1436</v>
      </c>
      <c r="D22" s="1033"/>
      <c r="E22" s="1033"/>
      <c r="F22" s="1033"/>
      <c r="G22" s="1033"/>
      <c r="H22" s="1033"/>
      <c r="I22" s="1033"/>
      <c r="J22" s="1033"/>
      <c r="K22" s="1033"/>
      <c r="L22" s="1033"/>
      <c r="M22" s="1033"/>
      <c r="N22" s="1033"/>
      <c r="O22" s="1033"/>
      <c r="P22" s="1033"/>
      <c r="Q22" s="1033"/>
      <c r="R22" s="1033"/>
      <c r="S22" s="1033"/>
      <c r="T22" s="1033"/>
    </row>
    <row r="23" spans="2:21" x14ac:dyDescent="0.3">
      <c r="B23" s="1029"/>
      <c r="C23" s="1029"/>
      <c r="D23" s="1033"/>
      <c r="E23" s="1033"/>
      <c r="F23" s="1033"/>
      <c r="G23" s="1033"/>
      <c r="H23" s="1033"/>
      <c r="I23" s="1033"/>
      <c r="J23" s="1033"/>
      <c r="K23" s="1033"/>
      <c r="L23" s="1033"/>
      <c r="M23" s="1033"/>
      <c r="N23" s="1033"/>
      <c r="O23" s="1033"/>
      <c r="P23" s="1033"/>
      <c r="Q23" s="1033"/>
      <c r="R23" s="1033"/>
      <c r="S23" s="1033"/>
      <c r="T23" s="1033"/>
    </row>
    <row r="24" spans="2:21" x14ac:dyDescent="0.3">
      <c r="B24" s="1031">
        <v>1.3</v>
      </c>
      <c r="C24" s="1031" t="s">
        <v>1437</v>
      </c>
      <c r="D24" s="1033"/>
      <c r="E24" s="1033"/>
      <c r="F24" s="1033"/>
      <c r="G24" s="1033"/>
      <c r="H24" s="1033"/>
      <c r="I24" s="1033"/>
      <c r="J24" s="1033"/>
      <c r="K24" s="1033"/>
      <c r="L24" s="1033"/>
      <c r="M24" s="1033"/>
      <c r="N24" s="1033"/>
      <c r="O24" s="1033"/>
      <c r="P24" s="1033"/>
      <c r="Q24" s="1033"/>
      <c r="R24" s="1033"/>
      <c r="S24" s="1033"/>
      <c r="T24" s="1033"/>
    </row>
    <row r="25" spans="2:21" x14ac:dyDescent="0.3">
      <c r="B25" s="1029"/>
      <c r="C25" s="1029" t="s">
        <v>1433</v>
      </c>
      <c r="D25" s="1033"/>
      <c r="E25" s="1033"/>
      <c r="F25" s="1033"/>
      <c r="G25" s="1033"/>
      <c r="H25" s="1033"/>
      <c r="I25" s="1033"/>
      <c r="J25" s="1033"/>
      <c r="K25" s="1033"/>
      <c r="L25" s="1033"/>
      <c r="M25" s="1033"/>
      <c r="N25" s="1033"/>
      <c r="O25" s="1033"/>
      <c r="P25" s="1033"/>
      <c r="Q25" s="1033"/>
      <c r="R25" s="1033"/>
      <c r="S25" s="1033"/>
      <c r="T25" s="1033"/>
    </row>
    <row r="26" spans="2:21" x14ac:dyDescent="0.3">
      <c r="B26" s="1029"/>
      <c r="C26" s="1029" t="s">
        <v>1434</v>
      </c>
      <c r="D26" s="1040"/>
      <c r="E26" s="1040"/>
      <c r="F26" s="1040"/>
      <c r="G26" s="1040"/>
      <c r="H26" s="1040"/>
      <c r="I26" s="1040"/>
      <c r="J26" s="1040"/>
      <c r="K26" s="1040"/>
      <c r="L26" s="1040"/>
      <c r="M26" s="1040"/>
      <c r="N26" s="1040"/>
      <c r="O26" s="1040"/>
      <c r="P26" s="1040"/>
      <c r="Q26" s="1040"/>
      <c r="R26" s="1040"/>
      <c r="S26" s="1040"/>
      <c r="T26" s="1035"/>
    </row>
    <row r="27" spans="2:21" x14ac:dyDescent="0.3">
      <c r="B27" s="1029"/>
      <c r="C27" s="1029" t="s">
        <v>414</v>
      </c>
      <c r="D27" s="1033"/>
      <c r="E27" s="1033"/>
      <c r="F27" s="1033"/>
      <c r="G27" s="1033"/>
      <c r="H27" s="1033"/>
      <c r="I27" s="1033"/>
      <c r="J27" s="1033"/>
      <c r="K27" s="1033"/>
      <c r="L27" s="1033"/>
      <c r="M27" s="1033"/>
      <c r="N27" s="1033"/>
      <c r="O27" s="1033"/>
      <c r="P27" s="1033"/>
      <c r="Q27" s="1033"/>
      <c r="R27" s="1033"/>
      <c r="S27" s="1033"/>
      <c r="T27" s="1035"/>
      <c r="U27" s="1036"/>
    </row>
    <row r="28" spans="2:21" x14ac:dyDescent="0.3">
      <c r="B28" s="1029"/>
      <c r="C28" s="1029" t="s">
        <v>1435</v>
      </c>
      <c r="D28" s="1033"/>
      <c r="E28" s="1033"/>
      <c r="F28" s="1033"/>
      <c r="G28" s="1033"/>
      <c r="H28" s="1033"/>
      <c r="I28" s="1033"/>
      <c r="J28" s="1033"/>
      <c r="K28" s="1033"/>
      <c r="L28" s="1033"/>
      <c r="M28" s="1033"/>
      <c r="N28" s="1033"/>
      <c r="O28" s="1033"/>
      <c r="P28" s="1033"/>
      <c r="Q28" s="1033"/>
      <c r="R28" s="1033"/>
      <c r="S28" s="1033"/>
      <c r="T28" s="1033"/>
    </row>
    <row r="29" spans="2:21" ht="29.4" customHeight="1" x14ac:dyDescent="0.3">
      <c r="B29" s="1029"/>
      <c r="C29" s="1041" t="s">
        <v>1436</v>
      </c>
      <c r="D29" s="1033"/>
      <c r="E29" s="1033"/>
      <c r="F29" s="1033"/>
      <c r="G29" s="1033"/>
      <c r="H29" s="1033"/>
      <c r="I29" s="1033"/>
      <c r="J29" s="1033"/>
      <c r="K29" s="1033"/>
      <c r="L29" s="1033"/>
      <c r="M29" s="1033"/>
      <c r="N29" s="1033"/>
      <c r="O29" s="1033"/>
      <c r="P29" s="1033"/>
      <c r="Q29" s="1033"/>
      <c r="R29" s="1033"/>
      <c r="S29" s="1033"/>
      <c r="T29" s="1033"/>
    </row>
    <row r="30" spans="2:21" x14ac:dyDescent="0.3">
      <c r="B30" s="1029"/>
      <c r="C30" s="1029"/>
      <c r="D30" s="1033"/>
      <c r="E30" s="1033"/>
      <c r="F30" s="1033"/>
      <c r="G30" s="1033"/>
      <c r="H30" s="1033"/>
      <c r="I30" s="1033"/>
      <c r="J30" s="1033"/>
      <c r="K30" s="1033"/>
      <c r="L30" s="1033"/>
      <c r="M30" s="1033"/>
      <c r="N30" s="1033"/>
      <c r="O30" s="1033"/>
      <c r="P30" s="1033"/>
      <c r="Q30" s="1033"/>
      <c r="R30" s="1033"/>
      <c r="S30" s="1033"/>
      <c r="T30" s="1033"/>
    </row>
    <row r="31" spans="2:21" x14ac:dyDescent="0.3">
      <c r="B31" s="1029"/>
      <c r="C31" s="1029"/>
      <c r="D31" s="1033"/>
      <c r="E31" s="1033"/>
      <c r="F31" s="1033"/>
      <c r="G31" s="1033"/>
      <c r="H31" s="1033"/>
      <c r="I31" s="1033"/>
      <c r="J31" s="1033"/>
      <c r="K31" s="1033"/>
      <c r="L31" s="1033"/>
      <c r="M31" s="1033"/>
      <c r="N31" s="1033"/>
      <c r="O31" s="1033"/>
      <c r="P31" s="1033"/>
      <c r="Q31" s="1033"/>
      <c r="R31" s="1033"/>
      <c r="S31" s="1033"/>
      <c r="T31" s="1033"/>
    </row>
    <row r="32" spans="2:21" x14ac:dyDescent="0.3">
      <c r="B32" s="1030">
        <v>1.4</v>
      </c>
      <c r="C32" s="1031" t="s">
        <v>1438</v>
      </c>
      <c r="D32" s="1033"/>
      <c r="E32" s="1033"/>
      <c r="F32" s="1033"/>
      <c r="G32" s="1033"/>
      <c r="H32" s="1033"/>
      <c r="I32" s="1033"/>
      <c r="J32" s="1033"/>
      <c r="K32" s="1033"/>
      <c r="L32" s="1033"/>
      <c r="M32" s="1033"/>
      <c r="N32" s="1033"/>
      <c r="O32" s="1033"/>
      <c r="P32" s="1033"/>
      <c r="Q32" s="1033"/>
      <c r="R32" s="1033"/>
      <c r="S32" s="1033"/>
      <c r="T32" s="1033"/>
    </row>
    <row r="33" spans="2:21" x14ac:dyDescent="0.3">
      <c r="B33" s="1029"/>
      <c r="C33" s="1029" t="s">
        <v>1433</v>
      </c>
      <c r="D33" s="1040"/>
      <c r="E33" s="1040"/>
      <c r="F33" s="1040"/>
      <c r="G33" s="1040"/>
      <c r="H33" s="1040"/>
      <c r="I33" s="1040"/>
      <c r="J33" s="1040"/>
      <c r="K33" s="1040"/>
      <c r="L33" s="1040"/>
      <c r="M33" s="1040"/>
      <c r="N33" s="1040"/>
      <c r="O33" s="1040"/>
      <c r="P33" s="1040"/>
      <c r="Q33" s="1040"/>
      <c r="R33" s="1040"/>
      <c r="S33" s="1040"/>
      <c r="T33" s="1033"/>
    </row>
    <row r="34" spans="2:21" x14ac:dyDescent="0.3">
      <c r="B34" s="1029"/>
      <c r="C34" s="1029" t="s">
        <v>1434</v>
      </c>
      <c r="D34" s="1040"/>
      <c r="E34" s="1040"/>
      <c r="F34" s="1040"/>
      <c r="G34" s="1040"/>
      <c r="H34" s="1040"/>
      <c r="I34" s="1040"/>
      <c r="J34" s="1040"/>
      <c r="K34" s="1040"/>
      <c r="L34" s="1040"/>
      <c r="M34" s="1040"/>
      <c r="N34" s="1040"/>
      <c r="O34" s="1040"/>
      <c r="P34" s="1040"/>
      <c r="Q34" s="1040"/>
      <c r="R34" s="1040"/>
      <c r="S34" s="1040"/>
      <c r="T34" s="1033"/>
    </row>
    <row r="35" spans="2:21" x14ac:dyDescent="0.3">
      <c r="B35" s="1029"/>
      <c r="C35" s="1029" t="s">
        <v>414</v>
      </c>
      <c r="D35" s="1040"/>
      <c r="E35" s="1040"/>
      <c r="F35" s="1040"/>
      <c r="G35" s="1040"/>
      <c r="H35" s="1040"/>
      <c r="I35" s="1040"/>
      <c r="J35" s="1040"/>
      <c r="K35" s="1040"/>
      <c r="L35" s="1040"/>
      <c r="M35" s="1040"/>
      <c r="N35" s="1040"/>
      <c r="O35" s="1040"/>
      <c r="P35" s="1040"/>
      <c r="Q35" s="1040"/>
      <c r="R35" s="1040"/>
      <c r="S35" s="1040"/>
      <c r="T35" s="1033"/>
    </row>
    <row r="36" spans="2:21" x14ac:dyDescent="0.3">
      <c r="B36" s="1029"/>
      <c r="C36" s="1029" t="s">
        <v>1435</v>
      </c>
      <c r="D36" s="1040"/>
      <c r="E36" s="1040"/>
      <c r="F36" s="1040"/>
      <c r="G36" s="1040"/>
      <c r="H36" s="1040"/>
      <c r="I36" s="1040"/>
      <c r="J36" s="1040"/>
      <c r="K36" s="1040"/>
      <c r="L36" s="1040"/>
      <c r="M36" s="1040"/>
      <c r="N36" s="1040"/>
      <c r="O36" s="1040"/>
      <c r="P36" s="1040"/>
      <c r="Q36" s="1040"/>
      <c r="R36" s="1040"/>
      <c r="S36" s="1040"/>
      <c r="T36" s="1033"/>
    </row>
    <row r="37" spans="2:21" x14ac:dyDescent="0.3">
      <c r="B37" s="1029"/>
      <c r="C37" s="1029" t="s">
        <v>1436</v>
      </c>
      <c r="D37" s="1033"/>
      <c r="E37" s="1033"/>
      <c r="F37" s="1033"/>
      <c r="G37" s="1033"/>
      <c r="H37" s="1033"/>
      <c r="I37" s="1033"/>
      <c r="J37" s="1033"/>
      <c r="K37" s="1033"/>
      <c r="L37" s="1033"/>
      <c r="M37" s="1033"/>
      <c r="N37" s="1033"/>
      <c r="O37" s="1033"/>
      <c r="P37" s="1033"/>
      <c r="Q37" s="1033"/>
      <c r="R37" s="1033"/>
      <c r="S37" s="1033"/>
      <c r="T37" s="1033"/>
    </row>
    <row r="38" spans="2:21" x14ac:dyDescent="0.3">
      <c r="B38" s="1029"/>
      <c r="C38" s="1029"/>
      <c r="D38" s="1033"/>
      <c r="E38" s="1033"/>
      <c r="F38" s="1033"/>
      <c r="G38" s="1033"/>
      <c r="H38" s="1033"/>
      <c r="I38" s="1033"/>
      <c r="J38" s="1033"/>
      <c r="K38" s="1033"/>
      <c r="L38" s="1033"/>
      <c r="M38" s="1033"/>
      <c r="N38" s="1033"/>
      <c r="O38" s="1033"/>
      <c r="P38" s="1033"/>
      <c r="Q38" s="1033"/>
      <c r="R38" s="1033"/>
      <c r="S38" s="1033"/>
      <c r="T38" s="1033"/>
    </row>
    <row r="39" spans="2:21" x14ac:dyDescent="0.3">
      <c r="B39" s="1029">
        <v>2</v>
      </c>
      <c r="C39" s="1031" t="s">
        <v>1439</v>
      </c>
      <c r="D39" s="1033"/>
      <c r="E39" s="1033"/>
      <c r="F39" s="1033"/>
      <c r="G39" s="1033"/>
      <c r="H39" s="1033"/>
      <c r="I39" s="1033"/>
      <c r="J39" s="1033"/>
      <c r="K39" s="1033"/>
      <c r="L39" s="1033"/>
      <c r="M39" s="1033"/>
      <c r="N39" s="1033"/>
      <c r="O39" s="1033"/>
      <c r="P39" s="1033"/>
      <c r="Q39" s="1033"/>
      <c r="R39" s="1033"/>
      <c r="S39" s="1033"/>
      <c r="T39" s="1042">
        <f>SUM(D39:S39)</f>
        <v>0</v>
      </c>
    </row>
    <row r="40" spans="2:21" x14ac:dyDescent="0.3">
      <c r="B40" s="1029"/>
      <c r="C40" s="1043" t="s">
        <v>1440</v>
      </c>
      <c r="D40" s="1040"/>
      <c r="E40" s="1040"/>
      <c r="F40" s="1040"/>
      <c r="G40" s="1040"/>
      <c r="H40" s="1040"/>
      <c r="I40" s="1040"/>
      <c r="J40" s="1040"/>
      <c r="K40" s="1040"/>
      <c r="L40" s="1040"/>
      <c r="M40" s="1040"/>
      <c r="N40" s="1040"/>
      <c r="O40" s="1040"/>
      <c r="P40" s="1040"/>
      <c r="Q40" s="1040"/>
      <c r="R40" s="1040"/>
      <c r="S40" s="1040"/>
      <c r="T40" s="1033"/>
    </row>
    <row r="41" spans="2:21" x14ac:dyDescent="0.3">
      <c r="B41" s="1029"/>
      <c r="C41" s="1043" t="s">
        <v>1441</v>
      </c>
      <c r="D41" s="1040"/>
      <c r="E41" s="1040"/>
      <c r="F41" s="1040"/>
      <c r="G41" s="1040"/>
      <c r="H41" s="1040"/>
      <c r="I41" s="1040"/>
      <c r="J41" s="1040"/>
      <c r="K41" s="1040"/>
      <c r="L41" s="1040"/>
      <c r="M41" s="1040"/>
      <c r="N41" s="1040"/>
      <c r="O41" s="1040"/>
      <c r="P41" s="1040"/>
      <c r="Q41" s="1040"/>
      <c r="R41" s="1040"/>
      <c r="S41" s="1040"/>
      <c r="T41" s="1033"/>
    </row>
    <row r="42" spans="2:21" x14ac:dyDescent="0.3">
      <c r="B42" s="1029"/>
      <c r="C42" s="1031" t="s">
        <v>1442</v>
      </c>
      <c r="D42" s="1040"/>
      <c r="E42" s="1040"/>
      <c r="F42" s="1040"/>
      <c r="G42" s="1040"/>
      <c r="H42" s="1040"/>
      <c r="I42" s="1040"/>
      <c r="J42" s="1040"/>
      <c r="K42" s="1040"/>
      <c r="L42" s="1040"/>
      <c r="M42" s="1040"/>
      <c r="N42" s="1040"/>
      <c r="O42" s="1040"/>
      <c r="P42" s="1040"/>
      <c r="Q42" s="1040"/>
      <c r="R42" s="1040"/>
      <c r="S42" s="1040"/>
      <c r="T42" s="1033"/>
      <c r="U42" s="1036"/>
    </row>
    <row r="51" spans="9:11" x14ac:dyDescent="0.3">
      <c r="I51" s="1036"/>
      <c r="K51" s="1036"/>
    </row>
    <row r="52" spans="9:11" x14ac:dyDescent="0.3">
      <c r="I52" s="1036"/>
      <c r="K52" s="1036"/>
    </row>
    <row r="53" spans="9:11" x14ac:dyDescent="0.3">
      <c r="I53" s="1036"/>
      <c r="K53" s="1036"/>
    </row>
    <row r="54" spans="9:11" x14ac:dyDescent="0.3">
      <c r="I54" s="1036"/>
      <c r="K54" s="1036"/>
    </row>
    <row r="55" spans="9:11" x14ac:dyDescent="0.3">
      <c r="K55" s="1036"/>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AJ329"/>
  <sheetViews>
    <sheetView workbookViewId="0">
      <selection activeCell="A3" sqref="A3:T3"/>
    </sheetView>
  </sheetViews>
  <sheetFormatPr defaultColWidth="8.6328125" defaultRowHeight="12.5" x14ac:dyDescent="0.25"/>
  <cols>
    <col min="1" max="1" width="14.6328125" style="1044" customWidth="1"/>
    <col min="2" max="2" width="32.6328125" style="1065" bestFit="1" customWidth="1"/>
    <col min="3" max="3" width="23.08984375" style="1044" customWidth="1"/>
    <col min="4" max="4" width="19.6328125" style="1044" customWidth="1"/>
    <col min="5" max="5" width="19" style="1044" customWidth="1"/>
    <col min="6" max="14" width="22.36328125" style="1044" customWidth="1"/>
    <col min="15" max="15" width="23.453125" style="1044" customWidth="1"/>
    <col min="16" max="33" width="22.36328125" style="1044" customWidth="1"/>
    <col min="34" max="34" width="9.36328125" style="1044" bestFit="1" customWidth="1"/>
    <col min="35" max="35" width="25.6328125" style="1044" customWidth="1"/>
    <col min="36" max="36" width="22.36328125" style="1044" customWidth="1"/>
    <col min="37" max="16384" width="8.6328125" style="1044"/>
  </cols>
  <sheetData>
    <row r="2" spans="1:33" ht="14.15" customHeight="1" x14ac:dyDescent="0.25">
      <c r="A2" s="1939" t="str">
        <f>Index!B2</f>
        <v xml:space="preserve">      Maharashtra State Power Generation Company Ltd.</v>
      </c>
      <c r="B2" s="1870"/>
      <c r="C2" s="1870"/>
      <c r="D2" s="1870"/>
      <c r="E2" s="1870"/>
      <c r="F2" s="1870"/>
      <c r="G2" s="1870"/>
      <c r="H2" s="1870"/>
      <c r="I2" s="1870"/>
      <c r="J2" s="1870"/>
      <c r="K2" s="1870"/>
      <c r="L2" s="1870"/>
      <c r="M2" s="1870"/>
      <c r="N2" s="1870"/>
      <c r="O2" s="1870"/>
      <c r="P2" s="1870"/>
      <c r="Q2" s="1870"/>
      <c r="R2" s="1870"/>
      <c r="S2" s="1870"/>
      <c r="T2" s="1870"/>
    </row>
    <row r="3" spans="1:33" ht="14.15" customHeight="1" x14ac:dyDescent="0.25">
      <c r="A3" s="1939" t="s">
        <v>1443</v>
      </c>
      <c r="B3" s="1870"/>
      <c r="C3" s="1870"/>
      <c r="D3" s="1870"/>
      <c r="E3" s="1870"/>
      <c r="F3" s="1870"/>
      <c r="G3" s="1870"/>
      <c r="H3" s="1870"/>
      <c r="I3" s="1870"/>
      <c r="J3" s="1870"/>
      <c r="K3" s="1870"/>
      <c r="L3" s="1870"/>
      <c r="M3" s="1870"/>
      <c r="N3" s="1870"/>
      <c r="O3" s="1870"/>
      <c r="P3" s="1870"/>
      <c r="Q3" s="1870"/>
      <c r="R3" s="1870"/>
      <c r="S3" s="1870"/>
      <c r="T3" s="1870"/>
    </row>
    <row r="4" spans="1:33" ht="14.15" customHeight="1" x14ac:dyDescent="0.25">
      <c r="A4" s="1959" t="s">
        <v>1444</v>
      </c>
      <c r="B4" s="1871"/>
      <c r="C4" s="1871"/>
      <c r="D4" s="1871"/>
      <c r="E4" s="1871"/>
      <c r="F4" s="1871"/>
      <c r="G4" s="1871"/>
      <c r="H4" s="1871"/>
      <c r="I4" s="1871"/>
      <c r="J4" s="1871"/>
      <c r="K4" s="1871"/>
      <c r="L4" s="1871"/>
      <c r="M4" s="1871"/>
      <c r="N4" s="1871"/>
      <c r="O4" s="1871"/>
      <c r="P4" s="1871"/>
      <c r="Q4" s="1871"/>
      <c r="R4" s="1871"/>
      <c r="S4" s="1871"/>
      <c r="T4" s="1871"/>
    </row>
    <row r="5" spans="1:33" ht="13" x14ac:dyDescent="0.3">
      <c r="B5" s="1045" t="s">
        <v>512</v>
      </c>
      <c r="F5" s="1046" t="s">
        <v>10</v>
      </c>
    </row>
    <row r="6" spans="1:33" ht="26.15" customHeight="1" x14ac:dyDescent="0.35">
      <c r="A6" s="1047"/>
      <c r="B6" s="1960" t="s">
        <v>413</v>
      </c>
      <c r="C6" s="1962" t="s">
        <v>739</v>
      </c>
      <c r="D6" s="1962" t="s">
        <v>514</v>
      </c>
      <c r="E6" s="1962" t="s">
        <v>584</v>
      </c>
      <c r="F6" s="1964" t="s">
        <v>585</v>
      </c>
      <c r="G6" s="1965"/>
      <c r="H6" s="1965"/>
      <c r="I6" s="1965"/>
      <c r="J6" s="1965"/>
      <c r="K6" s="1965"/>
      <c r="L6" s="1965"/>
      <c r="M6" s="1965"/>
      <c r="N6" s="1965"/>
      <c r="O6" s="1965"/>
      <c r="P6" s="1965"/>
      <c r="Q6" s="1965"/>
      <c r="R6" s="1965"/>
      <c r="S6" s="1965"/>
      <c r="T6" s="1965"/>
      <c r="U6" s="1965"/>
      <c r="V6" s="1965"/>
      <c r="W6" s="1965"/>
      <c r="X6" s="1965"/>
      <c r="Y6" s="1965"/>
      <c r="Z6" s="1965"/>
      <c r="AA6" s="1965"/>
      <c r="AB6" s="1965"/>
      <c r="AC6" s="1965"/>
      <c r="AD6" s="1966"/>
      <c r="AE6" s="1048" t="s">
        <v>536</v>
      </c>
      <c r="AF6" s="1048" t="s">
        <v>529</v>
      </c>
      <c r="AG6" s="1048" t="s">
        <v>537</v>
      </c>
    </row>
    <row r="7" spans="1:33" ht="12.9" customHeight="1" x14ac:dyDescent="0.25">
      <c r="A7" s="1047"/>
      <c r="B7" s="1961"/>
      <c r="C7" s="1963"/>
      <c r="D7" s="1963"/>
      <c r="E7" s="1963"/>
      <c r="F7" s="1049" t="s">
        <v>515</v>
      </c>
      <c r="G7" s="1049" t="s">
        <v>516</v>
      </c>
      <c r="H7" s="1049" t="s">
        <v>517</v>
      </c>
      <c r="I7" s="1049" t="s">
        <v>518</v>
      </c>
      <c r="J7" s="1049" t="s">
        <v>519</v>
      </c>
      <c r="K7" s="1049" t="s">
        <v>520</v>
      </c>
      <c r="L7" s="1049" t="s">
        <v>521</v>
      </c>
      <c r="M7" s="1049" t="s">
        <v>522</v>
      </c>
      <c r="N7" s="1049" t="s">
        <v>523</v>
      </c>
      <c r="O7" s="1049" t="s">
        <v>524</v>
      </c>
      <c r="P7" s="1049" t="s">
        <v>525</v>
      </c>
      <c r="Q7" s="1049" t="s">
        <v>526</v>
      </c>
      <c r="R7" s="1049" t="s">
        <v>527</v>
      </c>
      <c r="S7" s="1049" t="s">
        <v>528</v>
      </c>
      <c r="T7" s="1049" t="s">
        <v>325</v>
      </c>
      <c r="U7" s="1049" t="s">
        <v>504</v>
      </c>
      <c r="V7" s="1049" t="s">
        <v>505</v>
      </c>
      <c r="W7" s="1049" t="s">
        <v>506</v>
      </c>
      <c r="X7" s="1049" t="s">
        <v>507</v>
      </c>
      <c r="Y7" s="1049" t="s">
        <v>508</v>
      </c>
      <c r="Z7" s="1049" t="s">
        <v>969</v>
      </c>
      <c r="AA7" s="1049" t="s">
        <v>970</v>
      </c>
      <c r="AB7" s="1049" t="s">
        <v>971</v>
      </c>
      <c r="AC7" s="1049" t="s">
        <v>972</v>
      </c>
      <c r="AD7" s="1049" t="s">
        <v>973</v>
      </c>
      <c r="AE7" s="1048"/>
      <c r="AF7" s="1048"/>
      <c r="AG7" s="1048"/>
    </row>
    <row r="8" spans="1:33" x14ac:dyDescent="0.25">
      <c r="A8" s="1050" t="s">
        <v>530</v>
      </c>
      <c r="B8" s="1051">
        <v>2005</v>
      </c>
      <c r="C8" s="1052"/>
      <c r="D8" s="245"/>
      <c r="E8" s="245"/>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45"/>
      <c r="AF8" s="245"/>
      <c r="AG8" s="245"/>
    </row>
    <row r="9" spans="1:33" x14ac:dyDescent="0.25">
      <c r="A9" s="1050" t="s">
        <v>531</v>
      </c>
      <c r="B9" s="1051" t="s">
        <v>515</v>
      </c>
      <c r="C9" s="1050"/>
      <c r="D9" s="245"/>
      <c r="E9" s="245"/>
      <c r="F9" s="247"/>
      <c r="G9" s="256"/>
      <c r="H9" s="256"/>
      <c r="I9" s="256"/>
      <c r="J9" s="256"/>
      <c r="K9" s="256"/>
      <c r="L9" s="256"/>
      <c r="M9" s="256"/>
      <c r="N9" s="256"/>
      <c r="O9" s="256"/>
      <c r="P9" s="256"/>
      <c r="Q9" s="256"/>
      <c r="R9" s="256"/>
      <c r="S9" s="256"/>
      <c r="T9" s="256"/>
      <c r="U9" s="256"/>
      <c r="V9" s="256"/>
      <c r="W9" s="256"/>
      <c r="X9" s="256"/>
      <c r="Y9" s="256"/>
      <c r="Z9" s="256"/>
      <c r="AA9" s="256"/>
      <c r="AB9" s="256"/>
      <c r="AC9" s="256"/>
      <c r="AD9" s="256"/>
      <c r="AE9" s="245"/>
      <c r="AF9" s="245"/>
      <c r="AG9" s="245"/>
    </row>
    <row r="10" spans="1:33" x14ac:dyDescent="0.25">
      <c r="A10" s="1050" t="s">
        <v>531</v>
      </c>
      <c r="B10" s="1051" t="s">
        <v>516</v>
      </c>
      <c r="C10" s="1050"/>
      <c r="D10" s="245"/>
      <c r="E10" s="245"/>
      <c r="F10" s="257"/>
      <c r="G10" s="247"/>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45"/>
      <c r="AF10" s="245"/>
      <c r="AG10" s="245"/>
    </row>
    <row r="11" spans="1:33" x14ac:dyDescent="0.25">
      <c r="A11" s="1050" t="s">
        <v>531</v>
      </c>
      <c r="B11" s="1051" t="s">
        <v>517</v>
      </c>
      <c r="C11" s="1050"/>
      <c r="D11" s="245"/>
      <c r="E11" s="245"/>
      <c r="F11" s="257"/>
      <c r="G11" s="257"/>
      <c r="H11" s="247"/>
      <c r="I11" s="256"/>
      <c r="J11" s="256"/>
      <c r="K11" s="256"/>
      <c r="L11" s="256"/>
      <c r="M11" s="256"/>
      <c r="N11" s="256"/>
      <c r="O11" s="256"/>
      <c r="P11" s="256"/>
      <c r="Q11" s="256"/>
      <c r="R11" s="256"/>
      <c r="S11" s="256"/>
      <c r="T11" s="256"/>
      <c r="U11" s="256"/>
      <c r="V11" s="256"/>
      <c r="W11" s="256"/>
      <c r="X11" s="256"/>
      <c r="Y11" s="256"/>
      <c r="Z11" s="256"/>
      <c r="AA11" s="256"/>
      <c r="AB11" s="256"/>
      <c r="AC11" s="256"/>
      <c r="AD11" s="256"/>
      <c r="AE11" s="245"/>
      <c r="AF11" s="245"/>
      <c r="AG11" s="245"/>
    </row>
    <row r="12" spans="1:33" x14ac:dyDescent="0.25">
      <c r="A12" s="1050" t="s">
        <v>531</v>
      </c>
      <c r="B12" s="1051" t="s">
        <v>518</v>
      </c>
      <c r="C12" s="1050"/>
      <c r="D12" s="245"/>
      <c r="E12" s="245"/>
      <c r="F12" s="257"/>
      <c r="G12" s="257"/>
      <c r="H12" s="257"/>
      <c r="I12" s="247"/>
      <c r="J12" s="256"/>
      <c r="K12" s="256"/>
      <c r="L12" s="256"/>
      <c r="M12" s="256"/>
      <c r="N12" s="256"/>
      <c r="O12" s="256"/>
      <c r="P12" s="256"/>
      <c r="Q12" s="256"/>
      <c r="R12" s="256"/>
      <c r="S12" s="256"/>
      <c r="T12" s="256"/>
      <c r="U12" s="256"/>
      <c r="V12" s="256"/>
      <c r="W12" s="256"/>
      <c r="X12" s="256"/>
      <c r="Y12" s="256"/>
      <c r="Z12" s="256"/>
      <c r="AA12" s="256"/>
      <c r="AB12" s="256"/>
      <c r="AC12" s="256"/>
      <c r="AD12" s="256"/>
      <c r="AE12" s="245"/>
      <c r="AF12" s="245"/>
      <c r="AG12" s="245"/>
    </row>
    <row r="13" spans="1:33" x14ac:dyDescent="0.25">
      <c r="A13" s="1050" t="s">
        <v>531</v>
      </c>
      <c r="B13" s="1051" t="s">
        <v>519</v>
      </c>
      <c r="C13" s="1050"/>
      <c r="D13" s="245"/>
      <c r="E13" s="245"/>
      <c r="F13" s="257"/>
      <c r="G13" s="257"/>
      <c r="H13" s="257"/>
      <c r="I13" s="257"/>
      <c r="J13" s="247"/>
      <c r="K13" s="256"/>
      <c r="L13" s="256"/>
      <c r="M13" s="256"/>
      <c r="N13" s="256"/>
      <c r="O13" s="256"/>
      <c r="P13" s="256"/>
      <c r="Q13" s="256"/>
      <c r="R13" s="256"/>
      <c r="S13" s="256"/>
      <c r="T13" s="256"/>
      <c r="U13" s="256"/>
      <c r="V13" s="256"/>
      <c r="W13" s="256"/>
      <c r="X13" s="256"/>
      <c r="Y13" s="256"/>
      <c r="Z13" s="256"/>
      <c r="AA13" s="256"/>
      <c r="AB13" s="256"/>
      <c r="AC13" s="256"/>
      <c r="AD13" s="256"/>
      <c r="AE13" s="245"/>
      <c r="AF13" s="245"/>
      <c r="AG13" s="245"/>
    </row>
    <row r="14" spans="1:33" x14ac:dyDescent="0.25">
      <c r="A14" s="1050" t="s">
        <v>531</v>
      </c>
      <c r="B14" s="1051" t="s">
        <v>520</v>
      </c>
      <c r="C14" s="1050"/>
      <c r="D14" s="245"/>
      <c r="E14" s="245"/>
      <c r="F14" s="257"/>
      <c r="G14" s="257"/>
      <c r="H14" s="257"/>
      <c r="I14" s="257"/>
      <c r="J14" s="257"/>
      <c r="K14" s="247"/>
      <c r="L14" s="256"/>
      <c r="M14" s="256"/>
      <c r="N14" s="256"/>
      <c r="O14" s="256"/>
      <c r="P14" s="256"/>
      <c r="Q14" s="256"/>
      <c r="R14" s="256"/>
      <c r="S14" s="256"/>
      <c r="T14" s="256"/>
      <c r="U14" s="256"/>
      <c r="V14" s="256"/>
      <c r="W14" s="256"/>
      <c r="X14" s="256"/>
      <c r="Y14" s="256"/>
      <c r="Z14" s="256"/>
      <c r="AA14" s="256"/>
      <c r="AB14" s="256"/>
      <c r="AC14" s="256"/>
      <c r="AD14" s="256"/>
      <c r="AE14" s="245"/>
      <c r="AF14" s="245"/>
      <c r="AG14" s="245"/>
    </row>
    <row r="15" spans="1:33" x14ac:dyDescent="0.25">
      <c r="A15" s="1050" t="s">
        <v>531</v>
      </c>
      <c r="B15" s="1051" t="s">
        <v>521</v>
      </c>
      <c r="C15" s="1050"/>
      <c r="D15" s="245"/>
      <c r="E15" s="245"/>
      <c r="F15" s="257"/>
      <c r="G15" s="257"/>
      <c r="H15" s="257"/>
      <c r="I15" s="257"/>
      <c r="J15" s="257"/>
      <c r="K15" s="257"/>
      <c r="L15" s="247"/>
      <c r="M15" s="256"/>
      <c r="N15" s="256"/>
      <c r="O15" s="256"/>
      <c r="P15" s="256"/>
      <c r="Q15" s="256"/>
      <c r="R15" s="256"/>
      <c r="S15" s="256"/>
      <c r="T15" s="256"/>
      <c r="U15" s="256"/>
      <c r="V15" s="256"/>
      <c r="W15" s="256"/>
      <c r="X15" s="256"/>
      <c r="Y15" s="256"/>
      <c r="Z15" s="256"/>
      <c r="AA15" s="256"/>
      <c r="AB15" s="256"/>
      <c r="AC15" s="256"/>
      <c r="AD15" s="256"/>
      <c r="AE15" s="245"/>
      <c r="AF15" s="245"/>
      <c r="AG15" s="245"/>
    </row>
    <row r="16" spans="1:33" x14ac:dyDescent="0.25">
      <c r="A16" s="1050" t="s">
        <v>531</v>
      </c>
      <c r="B16" s="1051" t="s">
        <v>522</v>
      </c>
      <c r="C16" s="1050"/>
      <c r="D16" s="245"/>
      <c r="E16" s="245"/>
      <c r="F16" s="257"/>
      <c r="G16" s="257"/>
      <c r="H16" s="257"/>
      <c r="I16" s="257"/>
      <c r="J16" s="257"/>
      <c r="K16" s="257"/>
      <c r="L16" s="257"/>
      <c r="M16" s="247"/>
      <c r="N16" s="256"/>
      <c r="O16" s="256"/>
      <c r="P16" s="256"/>
      <c r="Q16" s="256"/>
      <c r="R16" s="256"/>
      <c r="S16" s="256"/>
      <c r="T16" s="256"/>
      <c r="U16" s="256"/>
      <c r="V16" s="256"/>
      <c r="W16" s="256"/>
      <c r="X16" s="256"/>
      <c r="Y16" s="256"/>
      <c r="Z16" s="256"/>
      <c r="AA16" s="256"/>
      <c r="AB16" s="256"/>
      <c r="AC16" s="256"/>
      <c r="AD16" s="256"/>
      <c r="AE16" s="245"/>
      <c r="AF16" s="245"/>
      <c r="AG16" s="245"/>
    </row>
    <row r="17" spans="1:33" x14ac:dyDescent="0.25">
      <c r="A17" s="1050" t="s">
        <v>531</v>
      </c>
      <c r="B17" s="1051" t="s">
        <v>523</v>
      </c>
      <c r="C17" s="1050"/>
      <c r="D17" s="245"/>
      <c r="E17" s="245"/>
      <c r="F17" s="257"/>
      <c r="G17" s="257"/>
      <c r="H17" s="257"/>
      <c r="I17" s="257"/>
      <c r="J17" s="257"/>
      <c r="K17" s="257"/>
      <c r="L17" s="257"/>
      <c r="M17" s="257"/>
      <c r="N17" s="247"/>
      <c r="O17" s="256"/>
      <c r="P17" s="256"/>
      <c r="Q17" s="256"/>
      <c r="R17" s="256"/>
      <c r="S17" s="256"/>
      <c r="T17" s="256"/>
      <c r="U17" s="256"/>
      <c r="V17" s="256"/>
      <c r="W17" s="256"/>
      <c r="X17" s="256"/>
      <c r="Y17" s="256"/>
      <c r="Z17" s="256"/>
      <c r="AA17" s="256"/>
      <c r="AB17" s="256"/>
      <c r="AC17" s="256"/>
      <c r="AD17" s="256"/>
      <c r="AE17" s="245"/>
      <c r="AF17" s="245"/>
      <c r="AG17" s="245"/>
    </row>
    <row r="18" spans="1:33" x14ac:dyDescent="0.25">
      <c r="A18" s="1050" t="s">
        <v>531</v>
      </c>
      <c r="B18" s="1051" t="s">
        <v>524</v>
      </c>
      <c r="C18" s="245"/>
      <c r="D18" s="245"/>
      <c r="E18" s="245"/>
      <c r="F18" s="257"/>
      <c r="G18" s="257"/>
      <c r="H18" s="257"/>
      <c r="I18" s="257"/>
      <c r="J18" s="257"/>
      <c r="K18" s="257"/>
      <c r="L18" s="257"/>
      <c r="M18" s="257"/>
      <c r="N18" s="257"/>
      <c r="O18" s="247"/>
      <c r="P18" s="256"/>
      <c r="Q18" s="256"/>
      <c r="R18" s="256"/>
      <c r="S18" s="256"/>
      <c r="T18" s="256"/>
      <c r="U18" s="256"/>
      <c r="V18" s="256"/>
      <c r="W18" s="256"/>
      <c r="X18" s="256"/>
      <c r="Y18" s="256"/>
      <c r="Z18" s="256"/>
      <c r="AA18" s="256"/>
      <c r="AB18" s="256"/>
      <c r="AC18" s="256"/>
      <c r="AD18" s="256"/>
      <c r="AE18" s="245"/>
      <c r="AF18" s="245"/>
      <c r="AG18" s="245"/>
    </row>
    <row r="19" spans="1:33" x14ac:dyDescent="0.25">
      <c r="A19" s="1050" t="s">
        <v>531</v>
      </c>
      <c r="B19" s="1051" t="s">
        <v>525</v>
      </c>
      <c r="C19" s="245"/>
      <c r="D19" s="245"/>
      <c r="E19" s="245"/>
      <c r="F19" s="257"/>
      <c r="G19" s="257"/>
      <c r="H19" s="257"/>
      <c r="I19" s="257"/>
      <c r="J19" s="257"/>
      <c r="K19" s="257"/>
      <c r="L19" s="257"/>
      <c r="M19" s="257"/>
      <c r="N19" s="257"/>
      <c r="O19" s="257"/>
      <c r="P19" s="247"/>
      <c r="Q19" s="256"/>
      <c r="R19" s="256"/>
      <c r="S19" s="256"/>
      <c r="T19" s="256"/>
      <c r="U19" s="256"/>
      <c r="V19" s="256"/>
      <c r="W19" s="256"/>
      <c r="X19" s="256"/>
      <c r="Y19" s="256"/>
      <c r="Z19" s="256"/>
      <c r="AA19" s="256"/>
      <c r="AB19" s="256"/>
      <c r="AC19" s="256"/>
      <c r="AD19" s="256"/>
      <c r="AE19" s="245"/>
      <c r="AF19" s="245"/>
      <c r="AG19" s="245"/>
    </row>
    <row r="20" spans="1:33" x14ac:dyDescent="0.25">
      <c r="A20" s="1050" t="s">
        <v>531</v>
      </c>
      <c r="B20" s="1051" t="s">
        <v>526</v>
      </c>
      <c r="C20" s="245"/>
      <c r="D20" s="245"/>
      <c r="E20" s="245"/>
      <c r="F20" s="257"/>
      <c r="G20" s="257"/>
      <c r="H20" s="257"/>
      <c r="I20" s="257"/>
      <c r="J20" s="257"/>
      <c r="K20" s="257"/>
      <c r="L20" s="257"/>
      <c r="M20" s="257"/>
      <c r="N20" s="257"/>
      <c r="O20" s="257"/>
      <c r="P20" s="257"/>
      <c r="Q20" s="247"/>
      <c r="R20" s="256"/>
      <c r="S20" s="256"/>
      <c r="T20" s="256"/>
      <c r="U20" s="256"/>
      <c r="V20" s="256"/>
      <c r="W20" s="256"/>
      <c r="X20" s="256"/>
      <c r="Y20" s="256"/>
      <c r="Z20" s="256"/>
      <c r="AA20" s="256"/>
      <c r="AB20" s="256"/>
      <c r="AC20" s="256"/>
      <c r="AD20" s="256"/>
      <c r="AE20" s="245"/>
      <c r="AF20" s="245"/>
      <c r="AG20" s="245"/>
    </row>
    <row r="21" spans="1:33" x14ac:dyDescent="0.25">
      <c r="A21" s="1050" t="s">
        <v>531</v>
      </c>
      <c r="B21" s="1051" t="s">
        <v>527</v>
      </c>
      <c r="C21" s="245"/>
      <c r="D21" s="245"/>
      <c r="E21" s="245"/>
      <c r="F21" s="257"/>
      <c r="G21" s="257"/>
      <c r="H21" s="257"/>
      <c r="I21" s="257"/>
      <c r="J21" s="257"/>
      <c r="K21" s="257"/>
      <c r="L21" s="257"/>
      <c r="M21" s="257"/>
      <c r="N21" s="257"/>
      <c r="O21" s="257"/>
      <c r="P21" s="257"/>
      <c r="Q21" s="257"/>
      <c r="R21" s="247"/>
      <c r="S21" s="256"/>
      <c r="T21" s="256"/>
      <c r="U21" s="256"/>
      <c r="V21" s="256"/>
      <c r="W21" s="256"/>
      <c r="X21" s="256"/>
      <c r="Y21" s="256"/>
      <c r="Z21" s="256"/>
      <c r="AA21" s="256"/>
      <c r="AB21" s="256"/>
      <c r="AC21" s="256"/>
      <c r="AD21" s="256"/>
      <c r="AE21" s="245"/>
      <c r="AF21" s="245"/>
      <c r="AG21" s="245"/>
    </row>
    <row r="22" spans="1:33" x14ac:dyDescent="0.25">
      <c r="A22" s="1050" t="s">
        <v>531</v>
      </c>
      <c r="B22" s="1051" t="s">
        <v>528</v>
      </c>
      <c r="C22" s="245"/>
      <c r="D22" s="245"/>
      <c r="E22" s="245"/>
      <c r="F22" s="257"/>
      <c r="G22" s="257"/>
      <c r="H22" s="257"/>
      <c r="I22" s="257"/>
      <c r="J22" s="257"/>
      <c r="K22" s="257"/>
      <c r="L22" s="257"/>
      <c r="M22" s="257"/>
      <c r="N22" s="257"/>
      <c r="O22" s="257"/>
      <c r="P22" s="257"/>
      <c r="Q22" s="257"/>
      <c r="R22" s="257"/>
      <c r="S22" s="247"/>
      <c r="T22" s="256"/>
      <c r="U22" s="256"/>
      <c r="V22" s="256"/>
      <c r="W22" s="256"/>
      <c r="X22" s="256"/>
      <c r="Y22" s="256"/>
      <c r="Z22" s="256"/>
      <c r="AA22" s="256"/>
      <c r="AB22" s="256"/>
      <c r="AC22" s="256"/>
      <c r="AD22" s="256"/>
      <c r="AE22" s="245"/>
      <c r="AF22" s="245"/>
      <c r="AG22" s="245"/>
    </row>
    <row r="23" spans="1:33" x14ac:dyDescent="0.25">
      <c r="A23" s="1050" t="s">
        <v>531</v>
      </c>
      <c r="B23" s="1051" t="s">
        <v>532</v>
      </c>
      <c r="C23" s="245"/>
      <c r="D23" s="245"/>
      <c r="E23" s="245"/>
      <c r="F23" s="257"/>
      <c r="G23" s="257"/>
      <c r="H23" s="257"/>
      <c r="I23" s="257"/>
      <c r="J23" s="257"/>
      <c r="K23" s="257"/>
      <c r="L23" s="257"/>
      <c r="M23" s="257"/>
      <c r="N23" s="257"/>
      <c r="O23" s="257"/>
      <c r="P23" s="257"/>
      <c r="Q23" s="257"/>
      <c r="R23" s="257"/>
      <c r="S23" s="257"/>
      <c r="T23" s="247"/>
      <c r="U23" s="256"/>
      <c r="V23" s="256"/>
      <c r="W23" s="256"/>
      <c r="X23" s="256"/>
      <c r="Y23" s="256"/>
      <c r="Z23" s="256"/>
      <c r="AA23" s="256"/>
      <c r="AB23" s="256"/>
      <c r="AC23" s="256"/>
      <c r="AD23" s="256"/>
      <c r="AE23" s="245"/>
      <c r="AF23" s="245"/>
      <c r="AG23" s="245"/>
    </row>
    <row r="24" spans="1:33" x14ac:dyDescent="0.25">
      <c r="A24" s="1050" t="s">
        <v>531</v>
      </c>
      <c r="B24" s="1051" t="s">
        <v>533</v>
      </c>
      <c r="C24" s="245"/>
      <c r="D24" s="245"/>
      <c r="E24" s="245"/>
      <c r="F24" s="257"/>
      <c r="G24" s="257"/>
      <c r="H24" s="257"/>
      <c r="I24" s="257"/>
      <c r="J24" s="257"/>
      <c r="K24" s="257"/>
      <c r="L24" s="257"/>
      <c r="M24" s="257"/>
      <c r="N24" s="257"/>
      <c r="O24" s="257"/>
      <c r="P24" s="257"/>
      <c r="Q24" s="257"/>
      <c r="R24" s="257"/>
      <c r="S24" s="257"/>
      <c r="T24" s="257"/>
      <c r="U24" s="247"/>
      <c r="V24" s="256"/>
      <c r="W24" s="256"/>
      <c r="X24" s="256"/>
      <c r="Y24" s="256"/>
      <c r="Z24" s="256"/>
      <c r="AA24" s="256"/>
      <c r="AB24" s="256"/>
      <c r="AC24" s="256"/>
      <c r="AD24" s="256"/>
      <c r="AE24" s="245"/>
      <c r="AF24" s="245"/>
      <c r="AG24" s="245"/>
    </row>
    <row r="25" spans="1:33" x14ac:dyDescent="0.25">
      <c r="A25" s="1050" t="s">
        <v>531</v>
      </c>
      <c r="B25" s="1051" t="s">
        <v>534</v>
      </c>
      <c r="C25" s="245"/>
      <c r="D25" s="245"/>
      <c r="E25" s="245"/>
      <c r="F25" s="257"/>
      <c r="G25" s="257"/>
      <c r="H25" s="257"/>
      <c r="I25" s="257"/>
      <c r="J25" s="257"/>
      <c r="K25" s="257"/>
      <c r="L25" s="257"/>
      <c r="M25" s="257"/>
      <c r="N25" s="257"/>
      <c r="O25" s="257"/>
      <c r="P25" s="257"/>
      <c r="Q25" s="257"/>
      <c r="R25" s="257"/>
      <c r="S25" s="257"/>
      <c r="T25" s="257"/>
      <c r="U25" s="257"/>
      <c r="V25" s="247"/>
      <c r="W25" s="256"/>
      <c r="X25" s="256"/>
      <c r="Y25" s="256"/>
      <c r="Z25" s="256"/>
      <c r="AA25" s="256"/>
      <c r="AB25" s="256"/>
      <c r="AC25" s="256"/>
      <c r="AD25" s="256"/>
      <c r="AE25" s="245"/>
      <c r="AF25" s="245"/>
      <c r="AG25" s="245"/>
    </row>
    <row r="26" spans="1:33" x14ac:dyDescent="0.25">
      <c r="A26" s="1050" t="s">
        <v>531</v>
      </c>
      <c r="B26" s="1051" t="s">
        <v>544</v>
      </c>
      <c r="C26" s="245"/>
      <c r="D26" s="245"/>
      <c r="E26" s="245"/>
      <c r="F26" s="257"/>
      <c r="G26" s="257"/>
      <c r="H26" s="257"/>
      <c r="I26" s="257"/>
      <c r="J26" s="257"/>
      <c r="K26" s="257"/>
      <c r="L26" s="257"/>
      <c r="M26" s="257"/>
      <c r="N26" s="257"/>
      <c r="O26" s="257"/>
      <c r="P26" s="257"/>
      <c r="Q26" s="257"/>
      <c r="R26" s="257"/>
      <c r="S26" s="257"/>
      <c r="T26" s="257"/>
      <c r="U26" s="257"/>
      <c r="V26" s="257"/>
      <c r="W26" s="247"/>
      <c r="X26" s="256"/>
      <c r="Y26" s="256"/>
      <c r="Z26" s="256"/>
      <c r="AA26" s="256"/>
      <c r="AB26" s="256"/>
      <c r="AC26" s="256"/>
      <c r="AD26" s="256"/>
      <c r="AE26" s="245"/>
      <c r="AF26" s="245"/>
      <c r="AG26" s="245"/>
    </row>
    <row r="27" spans="1:33" x14ac:dyDescent="0.25">
      <c r="A27" s="1050" t="s">
        <v>531</v>
      </c>
      <c r="B27" s="1051" t="s">
        <v>545</v>
      </c>
      <c r="C27" s="245"/>
      <c r="D27" s="245"/>
      <c r="E27" s="245"/>
      <c r="F27" s="257"/>
      <c r="G27" s="257"/>
      <c r="H27" s="257"/>
      <c r="I27" s="257"/>
      <c r="J27" s="257"/>
      <c r="K27" s="257"/>
      <c r="L27" s="257"/>
      <c r="M27" s="257"/>
      <c r="N27" s="257"/>
      <c r="O27" s="257"/>
      <c r="P27" s="257"/>
      <c r="Q27" s="257"/>
      <c r="R27" s="257"/>
      <c r="S27" s="257"/>
      <c r="T27" s="257"/>
      <c r="U27" s="257"/>
      <c r="V27" s="257"/>
      <c r="W27" s="257"/>
      <c r="X27" s="247"/>
      <c r="Y27" s="256"/>
      <c r="Z27" s="256"/>
      <c r="AA27" s="256"/>
      <c r="AB27" s="256"/>
      <c r="AC27" s="256"/>
      <c r="AD27" s="256"/>
      <c r="AE27" s="245"/>
      <c r="AF27" s="245"/>
      <c r="AG27" s="245"/>
    </row>
    <row r="28" spans="1:33" x14ac:dyDescent="0.25">
      <c r="A28" s="1050" t="s">
        <v>531</v>
      </c>
      <c r="B28" s="1051" t="s">
        <v>546</v>
      </c>
      <c r="C28" s="245"/>
      <c r="D28" s="245"/>
      <c r="E28" s="245"/>
      <c r="F28" s="257"/>
      <c r="G28" s="257"/>
      <c r="H28" s="257"/>
      <c r="I28" s="257"/>
      <c r="J28" s="257"/>
      <c r="K28" s="257"/>
      <c r="L28" s="257"/>
      <c r="M28" s="257"/>
      <c r="N28" s="257"/>
      <c r="O28" s="257"/>
      <c r="P28" s="257"/>
      <c r="Q28" s="257"/>
      <c r="R28" s="257"/>
      <c r="S28" s="257"/>
      <c r="T28" s="257"/>
      <c r="U28" s="257"/>
      <c r="V28" s="257"/>
      <c r="W28" s="257"/>
      <c r="X28" s="257"/>
      <c r="Y28" s="247"/>
      <c r="Z28" s="256"/>
      <c r="AA28" s="256"/>
      <c r="AB28" s="256"/>
      <c r="AC28" s="256"/>
      <c r="AD28" s="256"/>
      <c r="AE28" s="245"/>
      <c r="AF28" s="245"/>
      <c r="AG28" s="245"/>
    </row>
    <row r="29" spans="1:33" ht="29.4" customHeight="1" x14ac:dyDescent="0.25">
      <c r="A29" s="1050" t="s">
        <v>531</v>
      </c>
      <c r="B29" s="1051" t="s">
        <v>1445</v>
      </c>
      <c r="C29" s="1053"/>
      <c r="D29" s="245"/>
      <c r="E29" s="245"/>
      <c r="F29" s="257"/>
      <c r="G29" s="257"/>
      <c r="H29" s="257"/>
      <c r="I29" s="257"/>
      <c r="J29" s="257"/>
      <c r="K29" s="257"/>
      <c r="L29" s="257"/>
      <c r="M29" s="257"/>
      <c r="N29" s="257"/>
      <c r="O29" s="257"/>
      <c r="P29" s="257"/>
      <c r="Q29" s="257"/>
      <c r="R29" s="257"/>
      <c r="S29" s="257"/>
      <c r="T29" s="257"/>
      <c r="U29" s="257"/>
      <c r="V29" s="257"/>
      <c r="W29" s="257"/>
      <c r="X29" s="257"/>
      <c r="Y29" s="257"/>
      <c r="Z29" s="247"/>
      <c r="AA29" s="256"/>
      <c r="AB29" s="256"/>
      <c r="AC29" s="256"/>
      <c r="AD29" s="256"/>
      <c r="AE29" s="245"/>
      <c r="AF29" s="245"/>
      <c r="AG29" s="245"/>
    </row>
    <row r="30" spans="1:33" x14ac:dyDescent="0.25">
      <c r="A30" s="1050" t="s">
        <v>531</v>
      </c>
      <c r="B30" s="1051" t="s">
        <v>1446</v>
      </c>
      <c r="C30" s="245"/>
      <c r="D30" s="245"/>
      <c r="E30" s="245"/>
      <c r="F30" s="257"/>
      <c r="G30" s="257"/>
      <c r="H30" s="257"/>
      <c r="I30" s="257"/>
      <c r="J30" s="257"/>
      <c r="K30" s="257"/>
      <c r="L30" s="257"/>
      <c r="M30" s="257"/>
      <c r="N30" s="257"/>
      <c r="O30" s="257"/>
      <c r="P30" s="257"/>
      <c r="Q30" s="257"/>
      <c r="R30" s="257"/>
      <c r="S30" s="257"/>
      <c r="T30" s="257"/>
      <c r="U30" s="257"/>
      <c r="V30" s="257"/>
      <c r="W30" s="257"/>
      <c r="X30" s="257"/>
      <c r="Y30" s="257"/>
      <c r="Z30" s="257"/>
      <c r="AA30" s="247"/>
      <c r="AB30" s="256"/>
      <c r="AC30" s="256"/>
      <c r="AD30" s="256"/>
      <c r="AE30" s="245"/>
      <c r="AF30" s="245"/>
      <c r="AG30" s="245"/>
    </row>
    <row r="31" spans="1:33" x14ac:dyDescent="0.25">
      <c r="A31" s="1050" t="s">
        <v>531</v>
      </c>
      <c r="B31" s="1051" t="s">
        <v>1447</v>
      </c>
      <c r="C31" s="245"/>
      <c r="D31" s="245"/>
      <c r="E31" s="245"/>
      <c r="F31" s="257"/>
      <c r="G31" s="257"/>
      <c r="H31" s="257"/>
      <c r="I31" s="257"/>
      <c r="J31" s="257"/>
      <c r="K31" s="257"/>
      <c r="L31" s="257"/>
      <c r="M31" s="257"/>
      <c r="N31" s="257"/>
      <c r="O31" s="257"/>
      <c r="P31" s="257"/>
      <c r="Q31" s="257"/>
      <c r="R31" s="257"/>
      <c r="S31" s="257"/>
      <c r="T31" s="257"/>
      <c r="U31" s="257"/>
      <c r="V31" s="257"/>
      <c r="W31" s="257"/>
      <c r="X31" s="257"/>
      <c r="Y31" s="257"/>
      <c r="Z31" s="257"/>
      <c r="AA31" s="257"/>
      <c r="AB31" s="247"/>
      <c r="AC31" s="256"/>
      <c r="AD31" s="256"/>
      <c r="AE31" s="245"/>
      <c r="AF31" s="245"/>
      <c r="AG31" s="245"/>
    </row>
    <row r="32" spans="1:33" x14ac:dyDescent="0.25">
      <c r="A32" s="1050" t="s">
        <v>531</v>
      </c>
      <c r="B32" s="1051" t="s">
        <v>1448</v>
      </c>
      <c r="C32" s="245"/>
      <c r="D32" s="245"/>
      <c r="E32" s="245"/>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47"/>
      <c r="AD32" s="256"/>
      <c r="AE32" s="245"/>
      <c r="AF32" s="245"/>
      <c r="AG32" s="245"/>
    </row>
    <row r="33" spans="1:36" x14ac:dyDescent="0.25">
      <c r="A33" s="1050" t="s">
        <v>531</v>
      </c>
      <c r="B33" s="1051" t="s">
        <v>1449</v>
      </c>
      <c r="C33" s="245"/>
      <c r="D33" s="245"/>
      <c r="E33" s="245"/>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47"/>
      <c r="AE33" s="245"/>
      <c r="AF33" s="245"/>
      <c r="AG33" s="245"/>
    </row>
    <row r="34" spans="1:36" ht="13" x14ac:dyDescent="0.3">
      <c r="A34" s="1054"/>
      <c r="B34" s="1055" t="s">
        <v>271</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row>
    <row r="36" spans="1:36" s="1057" customFormat="1" ht="13" x14ac:dyDescent="0.3">
      <c r="A36" s="1044"/>
      <c r="B36" s="1045" t="s">
        <v>535</v>
      </c>
      <c r="C36" s="1044"/>
      <c r="D36" s="1044"/>
      <c r="E36" s="1044"/>
      <c r="F36" s="1046" t="s">
        <v>10</v>
      </c>
      <c r="G36" s="1044"/>
      <c r="H36" s="1056"/>
      <c r="I36" s="1044"/>
      <c r="J36" s="1056"/>
      <c r="K36" s="1056"/>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I36" s="1058"/>
      <c r="AJ36" s="1058"/>
    </row>
    <row r="37" spans="1:36" ht="26.15" customHeight="1" x14ac:dyDescent="0.35">
      <c r="A37" s="1059"/>
      <c r="B37" s="1060" t="s">
        <v>413</v>
      </c>
      <c r="C37" s="1962" t="s">
        <v>513</v>
      </c>
      <c r="D37" s="1962" t="s">
        <v>514</v>
      </c>
      <c r="E37" s="1962" t="s">
        <v>584</v>
      </c>
      <c r="F37" s="1964" t="s">
        <v>585</v>
      </c>
      <c r="G37" s="1965"/>
      <c r="H37" s="1965"/>
      <c r="I37" s="1965"/>
      <c r="J37" s="1965"/>
      <c r="K37" s="1965"/>
      <c r="L37" s="1965"/>
      <c r="M37" s="1965"/>
      <c r="N37" s="1965"/>
      <c r="O37" s="1965"/>
      <c r="P37" s="1965"/>
      <c r="Q37" s="1965"/>
      <c r="R37" s="1965"/>
      <c r="S37" s="1965"/>
      <c r="T37" s="1965"/>
      <c r="U37" s="1965"/>
      <c r="V37" s="1965"/>
      <c r="W37" s="1965"/>
      <c r="X37" s="1965"/>
      <c r="Y37" s="1965"/>
      <c r="Z37" s="1965"/>
      <c r="AA37" s="1965"/>
      <c r="AB37" s="1965"/>
      <c r="AC37" s="1965"/>
      <c r="AD37" s="1966"/>
      <c r="AE37" s="1048" t="s">
        <v>536</v>
      </c>
      <c r="AF37" s="1048" t="s">
        <v>529</v>
      </c>
      <c r="AG37" s="1048" t="s">
        <v>537</v>
      </c>
    </row>
    <row r="38" spans="1:36" ht="12.9" customHeight="1" x14ac:dyDescent="0.25">
      <c r="A38" s="1059"/>
      <c r="B38" s="1060"/>
      <c r="C38" s="1963"/>
      <c r="D38" s="1963"/>
      <c r="E38" s="1963"/>
      <c r="F38" s="1049" t="s">
        <v>515</v>
      </c>
      <c r="G38" s="1049" t="s">
        <v>516</v>
      </c>
      <c r="H38" s="1049" t="s">
        <v>517</v>
      </c>
      <c r="I38" s="1049" t="s">
        <v>518</v>
      </c>
      <c r="J38" s="1049" t="s">
        <v>519</v>
      </c>
      <c r="K38" s="1049" t="s">
        <v>520</v>
      </c>
      <c r="L38" s="1049" t="s">
        <v>521</v>
      </c>
      <c r="M38" s="1049" t="s">
        <v>522</v>
      </c>
      <c r="N38" s="1049" t="s">
        <v>523</v>
      </c>
      <c r="O38" s="1049" t="s">
        <v>524</v>
      </c>
      <c r="P38" s="1049" t="s">
        <v>525</v>
      </c>
      <c r="Q38" s="1049" t="s">
        <v>526</v>
      </c>
      <c r="R38" s="1049" t="s">
        <v>527</v>
      </c>
      <c r="S38" s="1049" t="s">
        <v>528</v>
      </c>
      <c r="T38" s="1049" t="s">
        <v>325</v>
      </c>
      <c r="U38" s="1049" t="s">
        <v>504</v>
      </c>
      <c r="V38" s="1049" t="s">
        <v>505</v>
      </c>
      <c r="W38" s="1049" t="s">
        <v>506</v>
      </c>
      <c r="X38" s="1049" t="s">
        <v>507</v>
      </c>
      <c r="Y38" s="1049" t="s">
        <v>508</v>
      </c>
      <c r="Z38" s="1049" t="s">
        <v>969</v>
      </c>
      <c r="AA38" s="1049" t="s">
        <v>970</v>
      </c>
      <c r="AB38" s="1049" t="s">
        <v>971</v>
      </c>
      <c r="AC38" s="1049" t="s">
        <v>972</v>
      </c>
      <c r="AD38" s="1049" t="s">
        <v>973</v>
      </c>
      <c r="AE38" s="1048"/>
      <c r="AF38" s="1048"/>
      <c r="AG38" s="1048"/>
    </row>
    <row r="39" spans="1:36" x14ac:dyDescent="0.25">
      <c r="A39" s="1050" t="s">
        <v>530</v>
      </c>
      <c r="B39" s="1051">
        <v>2005</v>
      </c>
      <c r="C39" s="1050"/>
      <c r="D39" s="1050"/>
      <c r="E39" s="1061"/>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45"/>
      <c r="AF39" s="245"/>
      <c r="AG39" s="1062"/>
      <c r="AI39" s="1056"/>
    </row>
    <row r="40" spans="1:36" x14ac:dyDescent="0.25">
      <c r="A40" s="1050" t="s">
        <v>531</v>
      </c>
      <c r="B40" s="1051" t="s">
        <v>515</v>
      </c>
      <c r="C40" s="1050"/>
      <c r="D40" s="1050"/>
      <c r="E40" s="1061"/>
      <c r="F40" s="247"/>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45"/>
      <c r="AF40" s="245"/>
      <c r="AG40" s="1062"/>
    </row>
    <row r="41" spans="1:36" x14ac:dyDescent="0.25">
      <c r="A41" s="1050" t="s">
        <v>531</v>
      </c>
      <c r="B41" s="1051" t="s">
        <v>516</v>
      </c>
      <c r="C41" s="1050"/>
      <c r="D41" s="1050"/>
      <c r="E41" s="1061"/>
      <c r="F41" s="257"/>
      <c r="G41" s="247"/>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45"/>
      <c r="AF41" s="245"/>
      <c r="AG41" s="1062"/>
    </row>
    <row r="42" spans="1:36" x14ac:dyDescent="0.25">
      <c r="A42" s="1050" t="s">
        <v>531</v>
      </c>
      <c r="B42" s="1051" t="s">
        <v>517</v>
      </c>
      <c r="C42" s="1050"/>
      <c r="D42" s="1050"/>
      <c r="E42" s="1061"/>
      <c r="F42" s="257"/>
      <c r="G42" s="257"/>
      <c r="H42" s="247"/>
      <c r="I42" s="256"/>
      <c r="J42" s="256"/>
      <c r="K42" s="256"/>
      <c r="L42" s="256"/>
      <c r="M42" s="256"/>
      <c r="N42" s="256"/>
      <c r="O42" s="256"/>
      <c r="P42" s="256"/>
      <c r="Q42" s="256"/>
      <c r="R42" s="256"/>
      <c r="S42" s="256"/>
      <c r="T42" s="256"/>
      <c r="U42" s="256"/>
      <c r="V42" s="256"/>
      <c r="W42" s="256"/>
      <c r="X42" s="256"/>
      <c r="Y42" s="256"/>
      <c r="Z42" s="256"/>
      <c r="AA42" s="256"/>
      <c r="AB42" s="256"/>
      <c r="AC42" s="256"/>
      <c r="AD42" s="256"/>
      <c r="AE42" s="245"/>
      <c r="AF42" s="245"/>
      <c r="AG42" s="1062"/>
    </row>
    <row r="43" spans="1:36" x14ac:dyDescent="0.25">
      <c r="A43" s="1050" t="s">
        <v>531</v>
      </c>
      <c r="B43" s="1051" t="s">
        <v>518</v>
      </c>
      <c r="C43" s="1050"/>
      <c r="D43" s="1050"/>
      <c r="E43" s="1061"/>
      <c r="F43" s="257"/>
      <c r="G43" s="257"/>
      <c r="H43" s="257"/>
      <c r="I43" s="247"/>
      <c r="J43" s="256"/>
      <c r="K43" s="256"/>
      <c r="L43" s="256"/>
      <c r="M43" s="256"/>
      <c r="N43" s="256"/>
      <c r="O43" s="256"/>
      <c r="P43" s="256"/>
      <c r="Q43" s="256"/>
      <c r="R43" s="256"/>
      <c r="S43" s="256"/>
      <c r="T43" s="256"/>
      <c r="U43" s="256"/>
      <c r="V43" s="256"/>
      <c r="W43" s="256"/>
      <c r="X43" s="256"/>
      <c r="Y43" s="256"/>
      <c r="Z43" s="256"/>
      <c r="AA43" s="256"/>
      <c r="AB43" s="256"/>
      <c r="AC43" s="256"/>
      <c r="AD43" s="256"/>
      <c r="AE43" s="245"/>
      <c r="AF43" s="245"/>
      <c r="AG43" s="1062"/>
    </row>
    <row r="44" spans="1:36" x14ac:dyDescent="0.25">
      <c r="A44" s="1050" t="s">
        <v>531</v>
      </c>
      <c r="B44" s="1051" t="s">
        <v>519</v>
      </c>
      <c r="C44" s="1050"/>
      <c r="D44" s="1050"/>
      <c r="E44" s="1061"/>
      <c r="F44" s="257"/>
      <c r="G44" s="257"/>
      <c r="H44" s="257"/>
      <c r="I44" s="257"/>
      <c r="J44" s="247"/>
      <c r="K44" s="256"/>
      <c r="L44" s="256"/>
      <c r="M44" s="256"/>
      <c r="N44" s="256"/>
      <c r="O44" s="256"/>
      <c r="P44" s="256"/>
      <c r="Q44" s="256"/>
      <c r="R44" s="256"/>
      <c r="S44" s="256"/>
      <c r="T44" s="256"/>
      <c r="U44" s="256"/>
      <c r="V44" s="256"/>
      <c r="W44" s="256"/>
      <c r="X44" s="256"/>
      <c r="Y44" s="256"/>
      <c r="Z44" s="256"/>
      <c r="AA44" s="256"/>
      <c r="AB44" s="256"/>
      <c r="AC44" s="256"/>
      <c r="AD44" s="256"/>
      <c r="AE44" s="245"/>
      <c r="AF44" s="245"/>
      <c r="AG44" s="1062"/>
    </row>
    <row r="45" spans="1:36" x14ac:dyDescent="0.25">
      <c r="A45" s="1050" t="s">
        <v>531</v>
      </c>
      <c r="B45" s="1051" t="s">
        <v>520</v>
      </c>
      <c r="C45" s="1050"/>
      <c r="D45" s="1050"/>
      <c r="E45" s="1061"/>
      <c r="F45" s="257"/>
      <c r="G45" s="257"/>
      <c r="H45" s="257"/>
      <c r="I45" s="257"/>
      <c r="J45" s="257"/>
      <c r="K45" s="247"/>
      <c r="L45" s="256"/>
      <c r="M45" s="256"/>
      <c r="N45" s="256"/>
      <c r="O45" s="256"/>
      <c r="P45" s="256"/>
      <c r="Q45" s="256"/>
      <c r="R45" s="256"/>
      <c r="S45" s="256"/>
      <c r="T45" s="256"/>
      <c r="U45" s="256"/>
      <c r="V45" s="256"/>
      <c r="W45" s="256"/>
      <c r="X45" s="256"/>
      <c r="Y45" s="256"/>
      <c r="Z45" s="256"/>
      <c r="AA45" s="256"/>
      <c r="AB45" s="256"/>
      <c r="AC45" s="256"/>
      <c r="AD45" s="256"/>
      <c r="AE45" s="245"/>
      <c r="AF45" s="245"/>
      <c r="AG45" s="1062"/>
    </row>
    <row r="46" spans="1:36" x14ac:dyDescent="0.25">
      <c r="A46" s="1050" t="s">
        <v>531</v>
      </c>
      <c r="B46" s="1051" t="s">
        <v>521</v>
      </c>
      <c r="C46" s="1050"/>
      <c r="D46" s="1050"/>
      <c r="E46" s="1061"/>
      <c r="F46" s="257"/>
      <c r="G46" s="257"/>
      <c r="H46" s="257"/>
      <c r="I46" s="257"/>
      <c r="J46" s="257"/>
      <c r="K46" s="257"/>
      <c r="L46" s="247"/>
      <c r="M46" s="256"/>
      <c r="N46" s="256"/>
      <c r="O46" s="256"/>
      <c r="P46" s="256"/>
      <c r="Q46" s="256"/>
      <c r="R46" s="256"/>
      <c r="S46" s="256"/>
      <c r="T46" s="256"/>
      <c r="U46" s="256"/>
      <c r="V46" s="256"/>
      <c r="W46" s="256"/>
      <c r="X46" s="256"/>
      <c r="Y46" s="256"/>
      <c r="Z46" s="256"/>
      <c r="AA46" s="256"/>
      <c r="AB46" s="256"/>
      <c r="AC46" s="256"/>
      <c r="AD46" s="256"/>
      <c r="AE46" s="245"/>
      <c r="AF46" s="245"/>
      <c r="AG46" s="1062"/>
    </row>
    <row r="47" spans="1:36" x14ac:dyDescent="0.25">
      <c r="A47" s="1050" t="s">
        <v>531</v>
      </c>
      <c r="B47" s="1051" t="s">
        <v>522</v>
      </c>
      <c r="C47" s="1050"/>
      <c r="D47" s="1050"/>
      <c r="E47" s="1061"/>
      <c r="F47" s="257"/>
      <c r="G47" s="257"/>
      <c r="H47" s="257"/>
      <c r="I47" s="257"/>
      <c r="J47" s="257"/>
      <c r="K47" s="257"/>
      <c r="L47" s="257"/>
      <c r="M47" s="247"/>
      <c r="N47" s="256"/>
      <c r="O47" s="256"/>
      <c r="P47" s="256"/>
      <c r="Q47" s="256"/>
      <c r="R47" s="256"/>
      <c r="S47" s="256"/>
      <c r="T47" s="256"/>
      <c r="U47" s="256"/>
      <c r="V47" s="256"/>
      <c r="W47" s="256"/>
      <c r="X47" s="256"/>
      <c r="Y47" s="256"/>
      <c r="Z47" s="256"/>
      <c r="AA47" s="256"/>
      <c r="AB47" s="256"/>
      <c r="AC47" s="256"/>
      <c r="AD47" s="256"/>
      <c r="AE47" s="245"/>
      <c r="AF47" s="245"/>
      <c r="AG47" s="1062"/>
    </row>
    <row r="48" spans="1:36" x14ac:dyDescent="0.25">
      <c r="A48" s="1050" t="s">
        <v>531</v>
      </c>
      <c r="B48" s="1051" t="s">
        <v>523</v>
      </c>
      <c r="C48" s="1050"/>
      <c r="D48" s="1050"/>
      <c r="E48" s="1061"/>
      <c r="F48" s="257"/>
      <c r="G48" s="257"/>
      <c r="H48" s="257"/>
      <c r="I48" s="257"/>
      <c r="J48" s="257"/>
      <c r="K48" s="257"/>
      <c r="L48" s="257"/>
      <c r="M48" s="257"/>
      <c r="N48" s="247"/>
      <c r="O48" s="256"/>
      <c r="P48" s="256"/>
      <c r="Q48" s="256"/>
      <c r="R48" s="256"/>
      <c r="S48" s="256"/>
      <c r="T48" s="256"/>
      <c r="U48" s="256"/>
      <c r="V48" s="256"/>
      <c r="W48" s="256"/>
      <c r="X48" s="256"/>
      <c r="Y48" s="256"/>
      <c r="Z48" s="256"/>
      <c r="AA48" s="256"/>
      <c r="AB48" s="256"/>
      <c r="AC48" s="256"/>
      <c r="AD48" s="256"/>
      <c r="AE48" s="245"/>
      <c r="AF48" s="245"/>
      <c r="AG48" s="1062"/>
    </row>
    <row r="49" spans="1:33" x14ac:dyDescent="0.25">
      <c r="A49" s="1050" t="s">
        <v>531</v>
      </c>
      <c r="B49" s="1051" t="s">
        <v>524</v>
      </c>
      <c r="C49" s="245"/>
      <c r="D49" s="1050"/>
      <c r="E49" s="1061"/>
      <c r="F49" s="257"/>
      <c r="G49" s="257"/>
      <c r="H49" s="257"/>
      <c r="I49" s="257"/>
      <c r="J49" s="257"/>
      <c r="K49" s="257"/>
      <c r="L49" s="257"/>
      <c r="M49" s="257"/>
      <c r="N49" s="257"/>
      <c r="O49" s="247"/>
      <c r="P49" s="256"/>
      <c r="Q49" s="256"/>
      <c r="R49" s="256"/>
      <c r="S49" s="256"/>
      <c r="T49" s="256"/>
      <c r="U49" s="256"/>
      <c r="V49" s="256"/>
      <c r="W49" s="256"/>
      <c r="X49" s="256"/>
      <c r="Y49" s="256"/>
      <c r="Z49" s="256"/>
      <c r="AA49" s="256"/>
      <c r="AB49" s="256"/>
      <c r="AC49" s="256"/>
      <c r="AD49" s="256"/>
      <c r="AE49" s="245"/>
      <c r="AF49" s="245"/>
      <c r="AG49" s="1062"/>
    </row>
    <row r="50" spans="1:33" x14ac:dyDescent="0.25">
      <c r="A50" s="1050" t="s">
        <v>531</v>
      </c>
      <c r="B50" s="1051" t="s">
        <v>525</v>
      </c>
      <c r="C50" s="245"/>
      <c r="D50" s="1050"/>
      <c r="E50" s="1061"/>
      <c r="F50" s="257"/>
      <c r="G50" s="257"/>
      <c r="H50" s="257"/>
      <c r="I50" s="257"/>
      <c r="J50" s="257"/>
      <c r="K50" s="257"/>
      <c r="L50" s="257"/>
      <c r="M50" s="257"/>
      <c r="N50" s="257"/>
      <c r="O50" s="257"/>
      <c r="P50" s="247"/>
      <c r="Q50" s="256"/>
      <c r="R50" s="256"/>
      <c r="S50" s="256"/>
      <c r="T50" s="256"/>
      <c r="U50" s="256"/>
      <c r="V50" s="256"/>
      <c r="W50" s="256"/>
      <c r="X50" s="256"/>
      <c r="Y50" s="256"/>
      <c r="Z50" s="256"/>
      <c r="AA50" s="256"/>
      <c r="AB50" s="256"/>
      <c r="AC50" s="256"/>
      <c r="AD50" s="256"/>
      <c r="AE50" s="245"/>
      <c r="AF50" s="245"/>
      <c r="AG50" s="1062"/>
    </row>
    <row r="51" spans="1:33" x14ac:dyDescent="0.25">
      <c r="A51" s="1050" t="s">
        <v>531</v>
      </c>
      <c r="B51" s="1051" t="s">
        <v>526</v>
      </c>
      <c r="C51" s="1063"/>
      <c r="D51" s="245"/>
      <c r="E51" s="1061"/>
      <c r="F51" s="257"/>
      <c r="G51" s="257"/>
      <c r="H51" s="257"/>
      <c r="I51" s="257"/>
      <c r="J51" s="257"/>
      <c r="K51" s="257"/>
      <c r="L51" s="257"/>
      <c r="M51" s="257"/>
      <c r="N51" s="257"/>
      <c r="O51" s="257"/>
      <c r="P51" s="257"/>
      <c r="Q51" s="247"/>
      <c r="R51" s="256"/>
      <c r="S51" s="256"/>
      <c r="T51" s="256"/>
      <c r="U51" s="256"/>
      <c r="V51" s="256"/>
      <c r="W51" s="256"/>
      <c r="X51" s="256"/>
      <c r="Y51" s="256"/>
      <c r="Z51" s="256"/>
      <c r="AA51" s="256"/>
      <c r="AB51" s="256"/>
      <c r="AC51" s="256"/>
      <c r="AD51" s="256"/>
      <c r="AE51" s="245"/>
      <c r="AF51" s="245"/>
      <c r="AG51" s="1062"/>
    </row>
    <row r="52" spans="1:33" x14ac:dyDescent="0.25">
      <c r="A52" s="1050" t="s">
        <v>531</v>
      </c>
      <c r="B52" s="1051" t="s">
        <v>527</v>
      </c>
      <c r="C52" s="245"/>
      <c r="D52" s="245"/>
      <c r="E52" s="1061"/>
      <c r="F52" s="257"/>
      <c r="G52" s="257"/>
      <c r="H52" s="257"/>
      <c r="I52" s="257"/>
      <c r="J52" s="257"/>
      <c r="K52" s="257"/>
      <c r="L52" s="257"/>
      <c r="M52" s="257"/>
      <c r="N52" s="257"/>
      <c r="O52" s="257"/>
      <c r="P52" s="257"/>
      <c r="Q52" s="257"/>
      <c r="R52" s="247"/>
      <c r="S52" s="256"/>
      <c r="T52" s="256"/>
      <c r="U52" s="256"/>
      <c r="V52" s="256"/>
      <c r="W52" s="256"/>
      <c r="X52" s="256"/>
      <c r="Y52" s="256"/>
      <c r="Z52" s="256"/>
      <c r="AA52" s="256"/>
      <c r="AB52" s="256"/>
      <c r="AC52" s="256"/>
      <c r="AD52" s="256"/>
      <c r="AE52" s="245"/>
      <c r="AF52" s="245"/>
      <c r="AG52" s="1062"/>
    </row>
    <row r="53" spans="1:33" x14ac:dyDescent="0.25">
      <c r="A53" s="1050" t="s">
        <v>531</v>
      </c>
      <c r="B53" s="1051" t="s">
        <v>528</v>
      </c>
      <c r="C53" s="245"/>
      <c r="D53" s="245"/>
      <c r="E53" s="1061"/>
      <c r="F53" s="257"/>
      <c r="G53" s="257"/>
      <c r="H53" s="257"/>
      <c r="I53" s="257"/>
      <c r="J53" s="257"/>
      <c r="K53" s="257"/>
      <c r="L53" s="257"/>
      <c r="M53" s="257"/>
      <c r="N53" s="257"/>
      <c r="O53" s="257"/>
      <c r="P53" s="257"/>
      <c r="Q53" s="257"/>
      <c r="R53" s="257"/>
      <c r="S53" s="247"/>
      <c r="T53" s="256"/>
      <c r="U53" s="256"/>
      <c r="V53" s="256"/>
      <c r="W53" s="256"/>
      <c r="X53" s="256"/>
      <c r="Y53" s="256"/>
      <c r="Z53" s="256"/>
      <c r="AA53" s="256"/>
      <c r="AB53" s="256"/>
      <c r="AC53" s="256"/>
      <c r="AD53" s="256"/>
      <c r="AE53" s="245"/>
      <c r="AF53" s="245"/>
      <c r="AG53" s="1062"/>
    </row>
    <row r="54" spans="1:33" x14ac:dyDescent="0.25">
      <c r="A54" s="1050" t="s">
        <v>531</v>
      </c>
      <c r="B54" s="1051" t="s">
        <v>532</v>
      </c>
      <c r="C54" s="245"/>
      <c r="D54" s="245"/>
      <c r="E54" s="1064"/>
      <c r="F54" s="257"/>
      <c r="G54" s="257"/>
      <c r="H54" s="257"/>
      <c r="I54" s="257"/>
      <c r="J54" s="257"/>
      <c r="K54" s="257"/>
      <c r="L54" s="257"/>
      <c r="M54" s="257"/>
      <c r="N54" s="257"/>
      <c r="O54" s="257"/>
      <c r="P54" s="257"/>
      <c r="Q54" s="257"/>
      <c r="R54" s="257"/>
      <c r="S54" s="257"/>
      <c r="T54" s="247"/>
      <c r="U54" s="256"/>
      <c r="V54" s="256"/>
      <c r="W54" s="256"/>
      <c r="X54" s="256"/>
      <c r="Y54" s="256"/>
      <c r="Z54" s="256"/>
      <c r="AA54" s="256"/>
      <c r="AB54" s="256"/>
      <c r="AC54" s="256"/>
      <c r="AD54" s="256"/>
      <c r="AE54" s="245"/>
      <c r="AF54" s="245"/>
      <c r="AG54" s="1062"/>
    </row>
    <row r="55" spans="1:33" x14ac:dyDescent="0.25">
      <c r="A55" s="1050" t="s">
        <v>531</v>
      </c>
      <c r="B55" s="1051" t="s">
        <v>533</v>
      </c>
      <c r="C55" s="245"/>
      <c r="D55" s="245"/>
      <c r="E55" s="1064"/>
      <c r="F55" s="257"/>
      <c r="G55" s="257"/>
      <c r="H55" s="257"/>
      <c r="I55" s="257"/>
      <c r="J55" s="257"/>
      <c r="K55" s="257"/>
      <c r="L55" s="257"/>
      <c r="M55" s="257"/>
      <c r="N55" s="257"/>
      <c r="O55" s="257"/>
      <c r="P55" s="257"/>
      <c r="Q55" s="257"/>
      <c r="R55" s="257"/>
      <c r="S55" s="257"/>
      <c r="T55" s="257"/>
      <c r="U55" s="247"/>
      <c r="V55" s="256"/>
      <c r="W55" s="256"/>
      <c r="X55" s="256"/>
      <c r="Y55" s="256"/>
      <c r="Z55" s="256"/>
      <c r="AA55" s="256"/>
      <c r="AB55" s="256"/>
      <c r="AC55" s="256"/>
      <c r="AD55" s="256"/>
      <c r="AE55" s="245"/>
      <c r="AF55" s="245"/>
      <c r="AG55" s="1062"/>
    </row>
    <row r="56" spans="1:33" x14ac:dyDescent="0.25">
      <c r="A56" s="1050" t="s">
        <v>531</v>
      </c>
      <c r="B56" s="1051" t="s">
        <v>534</v>
      </c>
      <c r="C56" s="245"/>
      <c r="D56" s="245"/>
      <c r="E56" s="1064"/>
      <c r="F56" s="257"/>
      <c r="G56" s="257"/>
      <c r="H56" s="257"/>
      <c r="I56" s="257"/>
      <c r="J56" s="257"/>
      <c r="K56" s="257"/>
      <c r="L56" s="257"/>
      <c r="M56" s="257"/>
      <c r="N56" s="257"/>
      <c r="O56" s="257"/>
      <c r="P56" s="257"/>
      <c r="Q56" s="257"/>
      <c r="R56" s="257"/>
      <c r="S56" s="257"/>
      <c r="T56" s="257"/>
      <c r="U56" s="257"/>
      <c r="V56" s="247"/>
      <c r="W56" s="256"/>
      <c r="X56" s="256"/>
      <c r="Y56" s="256"/>
      <c r="Z56" s="256"/>
      <c r="AA56" s="256"/>
      <c r="AB56" s="256"/>
      <c r="AC56" s="256"/>
      <c r="AD56" s="256"/>
      <c r="AE56" s="245"/>
      <c r="AF56" s="245"/>
      <c r="AG56" s="1062"/>
    </row>
    <row r="57" spans="1:33" x14ac:dyDescent="0.25">
      <c r="A57" s="1050" t="s">
        <v>531</v>
      </c>
      <c r="B57" s="1051" t="s">
        <v>544</v>
      </c>
      <c r="C57" s="245"/>
      <c r="D57" s="245"/>
      <c r="E57" s="1064"/>
      <c r="F57" s="257"/>
      <c r="G57" s="257"/>
      <c r="H57" s="257"/>
      <c r="I57" s="257"/>
      <c r="J57" s="257"/>
      <c r="K57" s="257"/>
      <c r="L57" s="257"/>
      <c r="M57" s="257"/>
      <c r="N57" s="257"/>
      <c r="O57" s="257"/>
      <c r="P57" s="257"/>
      <c r="Q57" s="257"/>
      <c r="R57" s="257"/>
      <c r="S57" s="257"/>
      <c r="T57" s="257"/>
      <c r="U57" s="257"/>
      <c r="V57" s="257"/>
      <c r="W57" s="247"/>
      <c r="X57" s="256"/>
      <c r="Y57" s="256"/>
      <c r="Z57" s="256"/>
      <c r="AA57" s="256"/>
      <c r="AB57" s="256"/>
      <c r="AC57" s="256"/>
      <c r="AD57" s="256"/>
      <c r="AE57" s="245"/>
      <c r="AF57" s="245"/>
      <c r="AG57" s="1062"/>
    </row>
    <row r="58" spans="1:33" x14ac:dyDescent="0.25">
      <c r="A58" s="1050" t="s">
        <v>531</v>
      </c>
      <c r="B58" s="1051" t="s">
        <v>545</v>
      </c>
      <c r="C58" s="245"/>
      <c r="D58" s="245"/>
      <c r="E58" s="1064"/>
      <c r="F58" s="257"/>
      <c r="G58" s="257"/>
      <c r="H58" s="257"/>
      <c r="I58" s="257"/>
      <c r="J58" s="257"/>
      <c r="K58" s="257"/>
      <c r="L58" s="257"/>
      <c r="M58" s="257"/>
      <c r="N58" s="257"/>
      <c r="O58" s="257"/>
      <c r="P58" s="257"/>
      <c r="Q58" s="257"/>
      <c r="R58" s="257"/>
      <c r="S58" s="257"/>
      <c r="T58" s="257"/>
      <c r="U58" s="257"/>
      <c r="V58" s="257"/>
      <c r="W58" s="257"/>
      <c r="X58" s="247"/>
      <c r="Y58" s="256"/>
      <c r="Z58" s="256"/>
      <c r="AA58" s="256"/>
      <c r="AB58" s="256"/>
      <c r="AC58" s="256"/>
      <c r="AD58" s="256"/>
      <c r="AE58" s="245"/>
      <c r="AF58" s="245"/>
      <c r="AG58" s="1062"/>
    </row>
    <row r="59" spans="1:33" x14ac:dyDescent="0.25">
      <c r="A59" s="1050" t="s">
        <v>531</v>
      </c>
      <c r="B59" s="1051" t="s">
        <v>546</v>
      </c>
      <c r="C59" s="245"/>
      <c r="D59" s="245"/>
      <c r="E59" s="1064"/>
      <c r="F59" s="257"/>
      <c r="G59" s="257"/>
      <c r="H59" s="257"/>
      <c r="I59" s="257"/>
      <c r="J59" s="257"/>
      <c r="K59" s="257"/>
      <c r="L59" s="257"/>
      <c r="M59" s="257"/>
      <c r="N59" s="257"/>
      <c r="O59" s="257"/>
      <c r="P59" s="257"/>
      <c r="Q59" s="257"/>
      <c r="R59" s="257"/>
      <c r="S59" s="257"/>
      <c r="T59" s="257"/>
      <c r="U59" s="257"/>
      <c r="V59" s="257"/>
      <c r="W59" s="257"/>
      <c r="X59" s="257"/>
      <c r="Y59" s="247"/>
      <c r="Z59" s="256"/>
      <c r="AA59" s="256"/>
      <c r="AB59" s="256"/>
      <c r="AC59" s="256"/>
      <c r="AD59" s="256"/>
      <c r="AE59" s="245"/>
      <c r="AF59" s="245"/>
      <c r="AG59" s="1062"/>
    </row>
    <row r="60" spans="1:33" x14ac:dyDescent="0.25">
      <c r="A60" s="1050" t="s">
        <v>531</v>
      </c>
      <c r="B60" s="1051" t="s">
        <v>1445</v>
      </c>
      <c r="C60" s="245"/>
      <c r="D60" s="245"/>
      <c r="E60" s="1064"/>
      <c r="F60" s="257"/>
      <c r="G60" s="257"/>
      <c r="H60" s="257"/>
      <c r="I60" s="257"/>
      <c r="J60" s="257"/>
      <c r="K60" s="257"/>
      <c r="L60" s="257"/>
      <c r="M60" s="257"/>
      <c r="N60" s="257"/>
      <c r="O60" s="257"/>
      <c r="P60" s="257"/>
      <c r="Q60" s="257"/>
      <c r="R60" s="257"/>
      <c r="S60" s="257"/>
      <c r="T60" s="257"/>
      <c r="U60" s="257"/>
      <c r="V60" s="257"/>
      <c r="W60" s="257"/>
      <c r="X60" s="257"/>
      <c r="Y60" s="257"/>
      <c r="Z60" s="247"/>
      <c r="AA60" s="256"/>
      <c r="AB60" s="256"/>
      <c r="AC60" s="256"/>
      <c r="AD60" s="256"/>
      <c r="AE60" s="245"/>
      <c r="AF60" s="245"/>
      <c r="AG60" s="1062"/>
    </row>
    <row r="61" spans="1:33" x14ac:dyDescent="0.25">
      <c r="A61" s="1050" t="s">
        <v>531</v>
      </c>
      <c r="B61" s="1051" t="s">
        <v>1446</v>
      </c>
      <c r="C61" s="245"/>
      <c r="D61" s="245"/>
      <c r="E61" s="1064"/>
      <c r="F61" s="257"/>
      <c r="G61" s="257"/>
      <c r="H61" s="257"/>
      <c r="I61" s="257"/>
      <c r="J61" s="257"/>
      <c r="K61" s="257"/>
      <c r="L61" s="257"/>
      <c r="M61" s="257"/>
      <c r="N61" s="257"/>
      <c r="O61" s="257"/>
      <c r="P61" s="257"/>
      <c r="Q61" s="257"/>
      <c r="R61" s="257"/>
      <c r="S61" s="257"/>
      <c r="T61" s="257"/>
      <c r="U61" s="257"/>
      <c r="V61" s="257"/>
      <c r="W61" s="257"/>
      <c r="X61" s="257"/>
      <c r="Y61" s="257"/>
      <c r="Z61" s="257"/>
      <c r="AA61" s="247"/>
      <c r="AB61" s="256"/>
      <c r="AC61" s="256"/>
      <c r="AD61" s="256"/>
      <c r="AE61" s="245"/>
      <c r="AF61" s="245"/>
      <c r="AG61" s="1062"/>
    </row>
    <row r="62" spans="1:33" x14ac:dyDescent="0.25">
      <c r="A62" s="1050" t="s">
        <v>531</v>
      </c>
      <c r="B62" s="1051" t="s">
        <v>1447</v>
      </c>
      <c r="C62" s="245"/>
      <c r="D62" s="245"/>
      <c r="E62" s="1064"/>
      <c r="F62" s="257"/>
      <c r="G62" s="257"/>
      <c r="H62" s="257"/>
      <c r="I62" s="257"/>
      <c r="J62" s="257"/>
      <c r="K62" s="257"/>
      <c r="L62" s="257"/>
      <c r="M62" s="257"/>
      <c r="N62" s="257"/>
      <c r="O62" s="257"/>
      <c r="P62" s="257"/>
      <c r="Q62" s="257"/>
      <c r="R62" s="257"/>
      <c r="S62" s="257"/>
      <c r="T62" s="257"/>
      <c r="U62" s="257"/>
      <c r="V62" s="257"/>
      <c r="W62" s="257"/>
      <c r="X62" s="257"/>
      <c r="Y62" s="257"/>
      <c r="Z62" s="257"/>
      <c r="AA62" s="257"/>
      <c r="AB62" s="247"/>
      <c r="AC62" s="256"/>
      <c r="AD62" s="256"/>
      <c r="AE62" s="245"/>
      <c r="AF62" s="245"/>
      <c r="AG62" s="1062"/>
    </row>
    <row r="63" spans="1:33" x14ac:dyDescent="0.25">
      <c r="A63" s="1050" t="s">
        <v>531</v>
      </c>
      <c r="B63" s="1051" t="s">
        <v>1448</v>
      </c>
      <c r="C63" s="245"/>
      <c r="D63" s="245"/>
      <c r="E63" s="1064"/>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47"/>
      <c r="AD63" s="256"/>
      <c r="AE63" s="245"/>
      <c r="AF63" s="245"/>
      <c r="AG63" s="1062"/>
    </row>
    <row r="64" spans="1:33" x14ac:dyDescent="0.25">
      <c r="A64" s="1050" t="s">
        <v>531</v>
      </c>
      <c r="B64" s="1051" t="s">
        <v>1449</v>
      </c>
      <c r="C64" s="245"/>
      <c r="D64" s="245"/>
      <c r="E64" s="1064"/>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47"/>
      <c r="AE64" s="245"/>
      <c r="AF64" s="245"/>
      <c r="AG64" s="1062"/>
    </row>
    <row r="65" spans="1:33" ht="13" x14ac:dyDescent="0.3">
      <c r="A65" s="1054"/>
      <c r="B65" s="1055" t="s">
        <v>271</v>
      </c>
      <c r="C65" s="248"/>
      <c r="D65" s="248"/>
      <c r="E65" s="248"/>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8"/>
      <c r="AF65" s="248"/>
      <c r="AG65" s="248"/>
    </row>
    <row r="66" spans="1:33" x14ac:dyDescent="0.25">
      <c r="C66" s="1066"/>
    </row>
    <row r="68" spans="1:33" s="1067" customFormat="1" x14ac:dyDescent="0.25">
      <c r="A68" s="1044"/>
      <c r="B68" s="1065"/>
      <c r="C68" s="1044"/>
      <c r="D68" s="1044"/>
      <c r="E68" s="1044"/>
      <c r="F68" s="1044"/>
      <c r="G68" s="1044"/>
      <c r="H68" s="1044"/>
      <c r="I68" s="1044"/>
      <c r="J68" s="1044"/>
      <c r="K68" s="1044"/>
      <c r="L68" s="1044"/>
      <c r="M68" s="1044"/>
      <c r="N68" s="1044"/>
      <c r="O68" s="1044"/>
      <c r="P68" s="1044"/>
      <c r="Q68" s="1044"/>
      <c r="R68" s="1044"/>
      <c r="S68" s="1044"/>
      <c r="T68" s="1044"/>
      <c r="U68" s="1044"/>
      <c r="V68" s="1044"/>
      <c r="W68" s="1044"/>
      <c r="X68" s="1044"/>
      <c r="Y68" s="1044"/>
      <c r="Z68" s="1044"/>
      <c r="AA68" s="1044"/>
      <c r="AB68" s="1044"/>
      <c r="AC68" s="1044"/>
      <c r="AD68" s="1044"/>
      <c r="AE68" s="1044"/>
      <c r="AF68" s="1044"/>
      <c r="AG68" s="1044"/>
    </row>
    <row r="69" spans="1:33" ht="13" x14ac:dyDescent="0.3">
      <c r="B69" s="1045" t="s">
        <v>538</v>
      </c>
      <c r="F69" s="1046" t="s">
        <v>10</v>
      </c>
    </row>
    <row r="70" spans="1:33" ht="26.15" customHeight="1" x14ac:dyDescent="0.35">
      <c r="A70" s="1047"/>
      <c r="B70" s="1060" t="s">
        <v>413</v>
      </c>
      <c r="C70" s="1962" t="s">
        <v>513</v>
      </c>
      <c r="D70" s="1962" t="s">
        <v>514</v>
      </c>
      <c r="E70" s="1962" t="s">
        <v>584</v>
      </c>
      <c r="F70" s="1964" t="s">
        <v>585</v>
      </c>
      <c r="G70" s="1965"/>
      <c r="H70" s="1965"/>
      <c r="I70" s="1965"/>
      <c r="J70" s="1965"/>
      <c r="K70" s="1965"/>
      <c r="L70" s="1965"/>
      <c r="M70" s="1965"/>
      <c r="N70" s="1965"/>
      <c r="O70" s="1965"/>
      <c r="P70" s="1965"/>
      <c r="Q70" s="1965"/>
      <c r="R70" s="1965"/>
      <c r="S70" s="1965"/>
      <c r="T70" s="1965"/>
      <c r="U70" s="1965"/>
      <c r="V70" s="1965"/>
      <c r="W70" s="1965"/>
      <c r="X70" s="1965"/>
      <c r="Y70" s="1965"/>
      <c r="Z70" s="1965"/>
      <c r="AA70" s="1965"/>
      <c r="AB70" s="1965"/>
      <c r="AC70" s="1965"/>
      <c r="AD70" s="1966"/>
      <c r="AE70" s="1048" t="s">
        <v>536</v>
      </c>
      <c r="AF70" s="1048" t="s">
        <v>529</v>
      </c>
      <c r="AG70" s="1048" t="s">
        <v>537</v>
      </c>
    </row>
    <row r="71" spans="1:33" ht="12.9" customHeight="1" x14ac:dyDescent="0.25">
      <c r="A71" s="1047"/>
      <c r="B71" s="1060"/>
      <c r="C71" s="1963"/>
      <c r="D71" s="1963"/>
      <c r="E71" s="1963"/>
      <c r="F71" s="1049" t="s">
        <v>515</v>
      </c>
      <c r="G71" s="1049" t="s">
        <v>516</v>
      </c>
      <c r="H71" s="1049" t="s">
        <v>517</v>
      </c>
      <c r="I71" s="1049" t="s">
        <v>518</v>
      </c>
      <c r="J71" s="1049" t="s">
        <v>519</v>
      </c>
      <c r="K71" s="1049" t="s">
        <v>520</v>
      </c>
      <c r="L71" s="1049" t="s">
        <v>521</v>
      </c>
      <c r="M71" s="1049" t="s">
        <v>522</v>
      </c>
      <c r="N71" s="1049" t="s">
        <v>523</v>
      </c>
      <c r="O71" s="1049" t="s">
        <v>524</v>
      </c>
      <c r="P71" s="1049" t="s">
        <v>525</v>
      </c>
      <c r="Q71" s="1049" t="s">
        <v>526</v>
      </c>
      <c r="R71" s="1049" t="s">
        <v>527</v>
      </c>
      <c r="S71" s="1049" t="s">
        <v>528</v>
      </c>
      <c r="T71" s="1049" t="s">
        <v>325</v>
      </c>
      <c r="U71" s="1049" t="s">
        <v>504</v>
      </c>
      <c r="V71" s="1049" t="s">
        <v>505</v>
      </c>
      <c r="W71" s="1049" t="s">
        <v>506</v>
      </c>
      <c r="X71" s="1049" t="s">
        <v>507</v>
      </c>
      <c r="Y71" s="1049" t="s">
        <v>508</v>
      </c>
      <c r="Z71" s="1049" t="s">
        <v>969</v>
      </c>
      <c r="AA71" s="1049" t="s">
        <v>970</v>
      </c>
      <c r="AB71" s="1049" t="s">
        <v>971</v>
      </c>
      <c r="AC71" s="1049" t="s">
        <v>972</v>
      </c>
      <c r="AD71" s="1049" t="s">
        <v>973</v>
      </c>
      <c r="AE71" s="1048"/>
      <c r="AF71" s="1048"/>
      <c r="AG71" s="1048"/>
    </row>
    <row r="72" spans="1:33" x14ac:dyDescent="0.25">
      <c r="A72" s="1050" t="s">
        <v>530</v>
      </c>
      <c r="B72" s="1051">
        <v>2005</v>
      </c>
      <c r="C72" s="1068"/>
      <c r="D72" s="1068"/>
      <c r="E72" s="1061"/>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1062"/>
      <c r="AF72" s="1062"/>
      <c r="AG72" s="1062"/>
    </row>
    <row r="73" spans="1:33" x14ac:dyDescent="0.25">
      <c r="A73" s="1050" t="s">
        <v>531</v>
      </c>
      <c r="B73" s="1051" t="s">
        <v>515</v>
      </c>
      <c r="C73" s="1068"/>
      <c r="D73" s="1068"/>
      <c r="E73" s="1061"/>
      <c r="F73" s="247"/>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1062"/>
      <c r="AF73" s="1062"/>
      <c r="AG73" s="1062"/>
    </row>
    <row r="74" spans="1:33" x14ac:dyDescent="0.25">
      <c r="A74" s="1050" t="s">
        <v>531</v>
      </c>
      <c r="B74" s="1051" t="s">
        <v>516</v>
      </c>
      <c r="C74" s="1068"/>
      <c r="D74" s="1068"/>
      <c r="E74" s="1061"/>
      <c r="F74" s="257"/>
      <c r="G74" s="247"/>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1062"/>
      <c r="AF74" s="1062"/>
      <c r="AG74" s="1062"/>
    </row>
    <row r="75" spans="1:33" x14ac:dyDescent="0.25">
      <c r="A75" s="1050" t="s">
        <v>531</v>
      </c>
      <c r="B75" s="1051" t="s">
        <v>517</v>
      </c>
      <c r="C75" s="1068"/>
      <c r="D75" s="1068"/>
      <c r="E75" s="1061"/>
      <c r="F75" s="257"/>
      <c r="G75" s="257"/>
      <c r="H75" s="247"/>
      <c r="I75" s="256"/>
      <c r="J75" s="256"/>
      <c r="K75" s="256"/>
      <c r="L75" s="256"/>
      <c r="M75" s="256"/>
      <c r="N75" s="256"/>
      <c r="O75" s="256"/>
      <c r="P75" s="256"/>
      <c r="Q75" s="256"/>
      <c r="R75" s="256"/>
      <c r="S75" s="256"/>
      <c r="T75" s="256"/>
      <c r="U75" s="256"/>
      <c r="V75" s="256"/>
      <c r="W75" s="256"/>
      <c r="X75" s="256"/>
      <c r="Y75" s="256"/>
      <c r="Z75" s="256"/>
      <c r="AA75" s="256"/>
      <c r="AB75" s="256"/>
      <c r="AC75" s="256"/>
      <c r="AD75" s="256"/>
      <c r="AE75" s="1062"/>
      <c r="AF75" s="1062"/>
      <c r="AG75" s="1062"/>
    </row>
    <row r="76" spans="1:33" x14ac:dyDescent="0.25">
      <c r="A76" s="1050" t="s">
        <v>531</v>
      </c>
      <c r="B76" s="1051" t="s">
        <v>518</v>
      </c>
      <c r="C76" s="1068"/>
      <c r="D76" s="1068"/>
      <c r="E76" s="1061"/>
      <c r="F76" s="257"/>
      <c r="G76" s="257"/>
      <c r="H76" s="257"/>
      <c r="I76" s="247"/>
      <c r="J76" s="256"/>
      <c r="K76" s="256"/>
      <c r="L76" s="256"/>
      <c r="M76" s="256"/>
      <c r="N76" s="256"/>
      <c r="O76" s="256"/>
      <c r="P76" s="256"/>
      <c r="Q76" s="256"/>
      <c r="R76" s="256"/>
      <c r="S76" s="256"/>
      <c r="T76" s="256"/>
      <c r="U76" s="256"/>
      <c r="V76" s="256"/>
      <c r="W76" s="256"/>
      <c r="X76" s="256"/>
      <c r="Y76" s="256"/>
      <c r="Z76" s="256"/>
      <c r="AA76" s="256"/>
      <c r="AB76" s="256"/>
      <c r="AC76" s="256"/>
      <c r="AD76" s="256"/>
      <c r="AE76" s="1062"/>
      <c r="AF76" s="1062"/>
      <c r="AG76" s="1062"/>
    </row>
    <row r="77" spans="1:33" x14ac:dyDescent="0.25">
      <c r="A77" s="1050" t="s">
        <v>531</v>
      </c>
      <c r="B77" s="1051" t="s">
        <v>519</v>
      </c>
      <c r="C77" s="1068"/>
      <c r="D77" s="1068"/>
      <c r="E77" s="1061"/>
      <c r="F77" s="257"/>
      <c r="G77" s="257"/>
      <c r="H77" s="257"/>
      <c r="I77" s="257"/>
      <c r="J77" s="247"/>
      <c r="K77" s="256"/>
      <c r="L77" s="256"/>
      <c r="M77" s="256"/>
      <c r="N77" s="256"/>
      <c r="O77" s="256"/>
      <c r="P77" s="256"/>
      <c r="Q77" s="256"/>
      <c r="R77" s="256"/>
      <c r="S77" s="256"/>
      <c r="T77" s="256"/>
      <c r="U77" s="256"/>
      <c r="V77" s="256"/>
      <c r="W77" s="256"/>
      <c r="X77" s="256"/>
      <c r="Y77" s="256"/>
      <c r="Z77" s="256"/>
      <c r="AA77" s="256"/>
      <c r="AB77" s="256"/>
      <c r="AC77" s="256"/>
      <c r="AD77" s="256"/>
      <c r="AE77" s="1062"/>
      <c r="AF77" s="1062"/>
      <c r="AG77" s="1062"/>
    </row>
    <row r="78" spans="1:33" x14ac:dyDescent="0.25">
      <c r="A78" s="1050" t="s">
        <v>531</v>
      </c>
      <c r="B78" s="1051" t="s">
        <v>520</v>
      </c>
      <c r="C78" s="1068"/>
      <c r="D78" s="1068"/>
      <c r="E78" s="1061"/>
      <c r="F78" s="257"/>
      <c r="G78" s="257"/>
      <c r="H78" s="257"/>
      <c r="I78" s="257"/>
      <c r="J78" s="257"/>
      <c r="K78" s="247"/>
      <c r="L78" s="256"/>
      <c r="M78" s="256"/>
      <c r="N78" s="256"/>
      <c r="O78" s="256"/>
      <c r="P78" s="256"/>
      <c r="Q78" s="256"/>
      <c r="R78" s="256"/>
      <c r="S78" s="256"/>
      <c r="T78" s="256"/>
      <c r="U78" s="256"/>
      <c r="V78" s="256"/>
      <c r="W78" s="256"/>
      <c r="X78" s="256"/>
      <c r="Y78" s="256"/>
      <c r="Z78" s="256"/>
      <c r="AA78" s="256"/>
      <c r="AB78" s="256"/>
      <c r="AC78" s="256"/>
      <c r="AD78" s="256"/>
      <c r="AE78" s="1062"/>
      <c r="AF78" s="1062"/>
      <c r="AG78" s="1062"/>
    </row>
    <row r="79" spans="1:33" x14ac:dyDescent="0.25">
      <c r="A79" s="1050" t="s">
        <v>531</v>
      </c>
      <c r="B79" s="1051" t="s">
        <v>521</v>
      </c>
      <c r="C79" s="1068"/>
      <c r="D79" s="1068"/>
      <c r="E79" s="1061"/>
      <c r="F79" s="257"/>
      <c r="G79" s="257"/>
      <c r="H79" s="257"/>
      <c r="I79" s="257"/>
      <c r="J79" s="257"/>
      <c r="K79" s="257"/>
      <c r="L79" s="247"/>
      <c r="M79" s="256"/>
      <c r="N79" s="256"/>
      <c r="O79" s="256"/>
      <c r="P79" s="256"/>
      <c r="Q79" s="256"/>
      <c r="R79" s="256"/>
      <c r="S79" s="256"/>
      <c r="T79" s="256"/>
      <c r="U79" s="256"/>
      <c r="V79" s="256"/>
      <c r="W79" s="256"/>
      <c r="X79" s="256"/>
      <c r="Y79" s="256"/>
      <c r="Z79" s="256"/>
      <c r="AA79" s="256"/>
      <c r="AB79" s="256"/>
      <c r="AC79" s="256"/>
      <c r="AD79" s="256"/>
      <c r="AE79" s="1062"/>
      <c r="AF79" s="1062"/>
      <c r="AG79" s="1062"/>
    </row>
    <row r="80" spans="1:33" x14ac:dyDescent="0.25">
      <c r="A80" s="1050" t="s">
        <v>531</v>
      </c>
      <c r="B80" s="1051" t="s">
        <v>522</v>
      </c>
      <c r="C80" s="1068"/>
      <c r="D80" s="1068"/>
      <c r="E80" s="1061"/>
      <c r="F80" s="257"/>
      <c r="G80" s="257"/>
      <c r="H80" s="257"/>
      <c r="I80" s="257"/>
      <c r="J80" s="257"/>
      <c r="K80" s="257"/>
      <c r="L80" s="257"/>
      <c r="M80" s="247"/>
      <c r="N80" s="256"/>
      <c r="O80" s="256"/>
      <c r="P80" s="256"/>
      <c r="Q80" s="256"/>
      <c r="R80" s="256"/>
      <c r="S80" s="256"/>
      <c r="T80" s="256"/>
      <c r="U80" s="256"/>
      <c r="V80" s="256"/>
      <c r="W80" s="256"/>
      <c r="X80" s="256"/>
      <c r="Y80" s="256"/>
      <c r="Z80" s="256"/>
      <c r="AA80" s="256"/>
      <c r="AB80" s="256"/>
      <c r="AC80" s="256"/>
      <c r="AD80" s="256"/>
      <c r="AE80" s="1062"/>
      <c r="AF80" s="1062"/>
      <c r="AG80" s="1062"/>
    </row>
    <row r="81" spans="1:33" x14ac:dyDescent="0.25">
      <c r="A81" s="1050" t="s">
        <v>531</v>
      </c>
      <c r="B81" s="1051" t="s">
        <v>523</v>
      </c>
      <c r="C81" s="1068"/>
      <c r="D81" s="1068"/>
      <c r="E81" s="1061"/>
      <c r="F81" s="257"/>
      <c r="G81" s="257"/>
      <c r="H81" s="257"/>
      <c r="I81" s="257"/>
      <c r="J81" s="257"/>
      <c r="K81" s="257"/>
      <c r="L81" s="257"/>
      <c r="M81" s="257"/>
      <c r="N81" s="247"/>
      <c r="O81" s="256"/>
      <c r="P81" s="256"/>
      <c r="Q81" s="256"/>
      <c r="R81" s="256"/>
      <c r="S81" s="256"/>
      <c r="T81" s="256"/>
      <c r="U81" s="256"/>
      <c r="V81" s="256"/>
      <c r="W81" s="256"/>
      <c r="X81" s="256"/>
      <c r="Y81" s="256"/>
      <c r="Z81" s="256"/>
      <c r="AA81" s="256"/>
      <c r="AB81" s="256"/>
      <c r="AC81" s="256"/>
      <c r="AD81" s="256"/>
      <c r="AE81" s="1062"/>
      <c r="AF81" s="1062"/>
      <c r="AG81" s="1062"/>
    </row>
    <row r="82" spans="1:33" x14ac:dyDescent="0.25">
      <c r="A82" s="1050" t="s">
        <v>531</v>
      </c>
      <c r="B82" s="1051" t="s">
        <v>524</v>
      </c>
      <c r="C82" s="245"/>
      <c r="D82" s="1050"/>
      <c r="E82" s="1061"/>
      <c r="F82" s="257"/>
      <c r="G82" s="257"/>
      <c r="H82" s="257"/>
      <c r="I82" s="257"/>
      <c r="J82" s="257"/>
      <c r="K82" s="257"/>
      <c r="L82" s="257"/>
      <c r="M82" s="257"/>
      <c r="N82" s="257"/>
      <c r="O82" s="247"/>
      <c r="P82" s="256"/>
      <c r="Q82" s="256"/>
      <c r="R82" s="256"/>
      <c r="S82" s="256"/>
      <c r="T82" s="256"/>
      <c r="U82" s="256"/>
      <c r="V82" s="256"/>
      <c r="W82" s="256"/>
      <c r="X82" s="256"/>
      <c r="Y82" s="256"/>
      <c r="Z82" s="256"/>
      <c r="AA82" s="256"/>
      <c r="AB82" s="256"/>
      <c r="AC82" s="256"/>
      <c r="AD82" s="256"/>
      <c r="AE82" s="1062"/>
      <c r="AF82" s="1062"/>
      <c r="AG82" s="1062"/>
    </row>
    <row r="83" spans="1:33" x14ac:dyDescent="0.25">
      <c r="A83" s="1050" t="s">
        <v>531</v>
      </c>
      <c r="B83" s="1051" t="s">
        <v>525</v>
      </c>
      <c r="C83" s="245"/>
      <c r="D83" s="1050"/>
      <c r="E83" s="1061"/>
      <c r="F83" s="257"/>
      <c r="G83" s="257"/>
      <c r="H83" s="257"/>
      <c r="I83" s="257"/>
      <c r="J83" s="257"/>
      <c r="K83" s="257"/>
      <c r="L83" s="257"/>
      <c r="M83" s="257"/>
      <c r="N83" s="257"/>
      <c r="O83" s="257"/>
      <c r="P83" s="247"/>
      <c r="Q83" s="256"/>
      <c r="R83" s="256"/>
      <c r="S83" s="256"/>
      <c r="T83" s="256"/>
      <c r="U83" s="256"/>
      <c r="V83" s="256"/>
      <c r="W83" s="256"/>
      <c r="X83" s="256"/>
      <c r="Y83" s="256"/>
      <c r="Z83" s="256"/>
      <c r="AA83" s="256"/>
      <c r="AB83" s="256"/>
      <c r="AC83" s="256"/>
      <c r="AD83" s="256"/>
      <c r="AE83" s="1062"/>
      <c r="AF83" s="1062"/>
      <c r="AG83" s="1062"/>
    </row>
    <row r="84" spans="1:33" x14ac:dyDescent="0.25">
      <c r="A84" s="1050" t="s">
        <v>531</v>
      </c>
      <c r="B84" s="1051" t="s">
        <v>526</v>
      </c>
      <c r="C84" s="245"/>
      <c r="D84" s="245"/>
      <c r="E84" s="1061"/>
      <c r="F84" s="257"/>
      <c r="G84" s="257"/>
      <c r="H84" s="257"/>
      <c r="I84" s="257"/>
      <c r="J84" s="257"/>
      <c r="K84" s="257"/>
      <c r="L84" s="257"/>
      <c r="M84" s="257"/>
      <c r="N84" s="257"/>
      <c r="O84" s="257"/>
      <c r="P84" s="257"/>
      <c r="Q84" s="247"/>
      <c r="R84" s="256"/>
      <c r="S84" s="256"/>
      <c r="T84" s="256"/>
      <c r="U84" s="256"/>
      <c r="V84" s="256"/>
      <c r="W84" s="256"/>
      <c r="X84" s="256"/>
      <c r="Y84" s="256"/>
      <c r="Z84" s="256"/>
      <c r="AA84" s="256"/>
      <c r="AB84" s="256"/>
      <c r="AC84" s="256"/>
      <c r="AD84" s="256"/>
      <c r="AE84" s="1062"/>
      <c r="AF84" s="1062"/>
      <c r="AG84" s="1062"/>
    </row>
    <row r="85" spans="1:33" x14ac:dyDescent="0.25">
      <c r="A85" s="1050" t="s">
        <v>531</v>
      </c>
      <c r="B85" s="1051" t="s">
        <v>527</v>
      </c>
      <c r="C85" s="245"/>
      <c r="D85" s="245"/>
      <c r="E85" s="1061"/>
      <c r="F85" s="257"/>
      <c r="G85" s="257"/>
      <c r="H85" s="257"/>
      <c r="I85" s="257"/>
      <c r="J85" s="257"/>
      <c r="K85" s="257"/>
      <c r="L85" s="257"/>
      <c r="M85" s="257"/>
      <c r="N85" s="257"/>
      <c r="O85" s="257"/>
      <c r="P85" s="257"/>
      <c r="Q85" s="257"/>
      <c r="R85" s="247"/>
      <c r="S85" s="256"/>
      <c r="T85" s="256"/>
      <c r="U85" s="256"/>
      <c r="V85" s="256"/>
      <c r="W85" s="256"/>
      <c r="X85" s="256"/>
      <c r="Y85" s="256"/>
      <c r="Z85" s="256"/>
      <c r="AA85" s="256"/>
      <c r="AB85" s="256"/>
      <c r="AC85" s="256"/>
      <c r="AD85" s="256"/>
      <c r="AE85" s="1062"/>
      <c r="AF85" s="1062"/>
      <c r="AG85" s="1062"/>
    </row>
    <row r="86" spans="1:33" x14ac:dyDescent="0.25">
      <c r="A86" s="1050" t="s">
        <v>531</v>
      </c>
      <c r="B86" s="1051" t="s">
        <v>528</v>
      </c>
      <c r="C86" s="245"/>
      <c r="D86" s="245"/>
      <c r="E86" s="1061"/>
      <c r="F86" s="257"/>
      <c r="G86" s="257"/>
      <c r="H86" s="257"/>
      <c r="I86" s="257"/>
      <c r="J86" s="257"/>
      <c r="K86" s="257"/>
      <c r="L86" s="257"/>
      <c r="M86" s="257"/>
      <c r="N86" s="257"/>
      <c r="O86" s="257"/>
      <c r="P86" s="257"/>
      <c r="Q86" s="257"/>
      <c r="R86" s="257"/>
      <c r="S86" s="247"/>
      <c r="T86" s="256"/>
      <c r="U86" s="256"/>
      <c r="V86" s="256"/>
      <c r="W86" s="256"/>
      <c r="X86" s="256"/>
      <c r="Y86" s="256"/>
      <c r="Z86" s="256"/>
      <c r="AA86" s="256"/>
      <c r="AB86" s="256"/>
      <c r="AC86" s="256"/>
      <c r="AD86" s="256"/>
      <c r="AE86" s="1062"/>
      <c r="AF86" s="1062"/>
      <c r="AG86" s="1062"/>
    </row>
    <row r="87" spans="1:33" x14ac:dyDescent="0.25">
      <c r="A87" s="1050" t="s">
        <v>531</v>
      </c>
      <c r="B87" s="1051" t="s">
        <v>532</v>
      </c>
      <c r="C87" s="245"/>
      <c r="D87" s="245"/>
      <c r="E87" s="1064"/>
      <c r="F87" s="257"/>
      <c r="G87" s="257"/>
      <c r="H87" s="257"/>
      <c r="I87" s="257"/>
      <c r="J87" s="257"/>
      <c r="K87" s="257"/>
      <c r="L87" s="257"/>
      <c r="M87" s="257"/>
      <c r="N87" s="257"/>
      <c r="O87" s="257"/>
      <c r="P87" s="257"/>
      <c r="Q87" s="257"/>
      <c r="R87" s="257"/>
      <c r="S87" s="257"/>
      <c r="T87" s="247"/>
      <c r="U87" s="256"/>
      <c r="V87" s="256"/>
      <c r="W87" s="256"/>
      <c r="X87" s="256"/>
      <c r="Y87" s="256"/>
      <c r="Z87" s="256"/>
      <c r="AA87" s="256"/>
      <c r="AB87" s="256"/>
      <c r="AC87" s="256"/>
      <c r="AD87" s="256"/>
      <c r="AE87" s="1062"/>
      <c r="AF87" s="1062"/>
      <c r="AG87" s="1062"/>
    </row>
    <row r="88" spans="1:33" x14ac:dyDescent="0.25">
      <c r="A88" s="1050" t="s">
        <v>531</v>
      </c>
      <c r="B88" s="1051" t="s">
        <v>533</v>
      </c>
      <c r="C88" s="245"/>
      <c r="D88" s="245"/>
      <c r="E88" s="1064"/>
      <c r="F88" s="257"/>
      <c r="G88" s="257"/>
      <c r="H88" s="257"/>
      <c r="I88" s="257"/>
      <c r="J88" s="257"/>
      <c r="K88" s="257"/>
      <c r="L88" s="257"/>
      <c r="M88" s="257"/>
      <c r="N88" s="257"/>
      <c r="O88" s="257"/>
      <c r="P88" s="257"/>
      <c r="Q88" s="257"/>
      <c r="R88" s="257"/>
      <c r="S88" s="257"/>
      <c r="T88" s="257"/>
      <c r="U88" s="247"/>
      <c r="V88" s="256"/>
      <c r="W88" s="256"/>
      <c r="X88" s="256"/>
      <c r="Y88" s="256"/>
      <c r="Z88" s="256"/>
      <c r="AA88" s="256"/>
      <c r="AB88" s="256"/>
      <c r="AC88" s="256"/>
      <c r="AD88" s="256"/>
      <c r="AE88" s="1062"/>
      <c r="AF88" s="1062"/>
      <c r="AG88" s="1062"/>
    </row>
    <row r="89" spans="1:33" x14ac:dyDescent="0.25">
      <c r="A89" s="1050" t="s">
        <v>531</v>
      </c>
      <c r="B89" s="1051" t="s">
        <v>534</v>
      </c>
      <c r="C89" s="245"/>
      <c r="D89" s="245"/>
      <c r="E89" s="1064"/>
      <c r="F89" s="257"/>
      <c r="G89" s="257"/>
      <c r="H89" s="257"/>
      <c r="I89" s="257"/>
      <c r="J89" s="257"/>
      <c r="K89" s="257"/>
      <c r="L89" s="257"/>
      <c r="M89" s="257"/>
      <c r="N89" s="257"/>
      <c r="O89" s="257"/>
      <c r="P89" s="257"/>
      <c r="Q89" s="257"/>
      <c r="R89" s="257"/>
      <c r="S89" s="257"/>
      <c r="T89" s="257"/>
      <c r="U89" s="257"/>
      <c r="V89" s="247"/>
      <c r="W89" s="256"/>
      <c r="X89" s="256"/>
      <c r="Y89" s="256"/>
      <c r="Z89" s="256"/>
      <c r="AA89" s="256"/>
      <c r="AB89" s="256"/>
      <c r="AC89" s="256"/>
      <c r="AD89" s="256"/>
      <c r="AE89" s="1062"/>
      <c r="AF89" s="1062"/>
      <c r="AG89" s="1062"/>
    </row>
    <row r="90" spans="1:33" x14ac:dyDescent="0.25">
      <c r="A90" s="1050" t="s">
        <v>531</v>
      </c>
      <c r="B90" s="1051" t="s">
        <v>544</v>
      </c>
      <c r="C90" s="245"/>
      <c r="D90" s="245"/>
      <c r="E90" s="1064"/>
      <c r="F90" s="257"/>
      <c r="G90" s="257"/>
      <c r="H90" s="257"/>
      <c r="I90" s="257"/>
      <c r="J90" s="257"/>
      <c r="K90" s="257"/>
      <c r="L90" s="257"/>
      <c r="M90" s="257"/>
      <c r="N90" s="257"/>
      <c r="O90" s="257"/>
      <c r="P90" s="257"/>
      <c r="Q90" s="257"/>
      <c r="R90" s="257"/>
      <c r="S90" s="257"/>
      <c r="T90" s="257"/>
      <c r="U90" s="257"/>
      <c r="V90" s="257"/>
      <c r="W90" s="247"/>
      <c r="X90" s="256"/>
      <c r="Y90" s="256"/>
      <c r="Z90" s="256"/>
      <c r="AA90" s="256"/>
      <c r="AB90" s="256"/>
      <c r="AC90" s="256"/>
      <c r="AD90" s="256"/>
      <c r="AE90" s="1062"/>
      <c r="AF90" s="1062"/>
      <c r="AG90" s="1062"/>
    </row>
    <row r="91" spans="1:33" x14ac:dyDescent="0.25">
      <c r="A91" s="1050" t="s">
        <v>531</v>
      </c>
      <c r="B91" s="1051" t="s">
        <v>545</v>
      </c>
      <c r="C91" s="245"/>
      <c r="D91" s="245"/>
      <c r="E91" s="1064"/>
      <c r="F91" s="257"/>
      <c r="G91" s="257"/>
      <c r="H91" s="257"/>
      <c r="I91" s="257"/>
      <c r="J91" s="257"/>
      <c r="K91" s="257"/>
      <c r="L91" s="257"/>
      <c r="M91" s="257"/>
      <c r="N91" s="257"/>
      <c r="O91" s="257"/>
      <c r="P91" s="257"/>
      <c r="Q91" s="257"/>
      <c r="R91" s="257"/>
      <c r="S91" s="257"/>
      <c r="T91" s="257"/>
      <c r="U91" s="257"/>
      <c r="V91" s="257"/>
      <c r="W91" s="257"/>
      <c r="X91" s="247"/>
      <c r="Y91" s="256"/>
      <c r="Z91" s="256"/>
      <c r="AA91" s="256"/>
      <c r="AB91" s="256"/>
      <c r="AC91" s="256"/>
      <c r="AD91" s="256"/>
      <c r="AE91" s="1062"/>
      <c r="AF91" s="1062"/>
      <c r="AG91" s="1062"/>
    </row>
    <row r="92" spans="1:33" x14ac:dyDescent="0.25">
      <c r="A92" s="1050" t="s">
        <v>531</v>
      </c>
      <c r="B92" s="1051" t="s">
        <v>546</v>
      </c>
      <c r="C92" s="245"/>
      <c r="D92" s="245"/>
      <c r="E92" s="1064"/>
      <c r="F92" s="257"/>
      <c r="G92" s="257"/>
      <c r="H92" s="257"/>
      <c r="I92" s="257"/>
      <c r="J92" s="257"/>
      <c r="K92" s="257"/>
      <c r="L92" s="257"/>
      <c r="M92" s="257"/>
      <c r="N92" s="257"/>
      <c r="O92" s="257"/>
      <c r="P92" s="257"/>
      <c r="Q92" s="257"/>
      <c r="R92" s="257"/>
      <c r="S92" s="257"/>
      <c r="T92" s="257"/>
      <c r="U92" s="257"/>
      <c r="V92" s="257"/>
      <c r="W92" s="257"/>
      <c r="X92" s="257"/>
      <c r="Y92" s="247"/>
      <c r="Z92" s="256"/>
      <c r="AA92" s="256"/>
      <c r="AB92" s="256"/>
      <c r="AC92" s="256"/>
      <c r="AD92" s="256"/>
      <c r="AE92" s="1062"/>
      <c r="AF92" s="1062"/>
      <c r="AG92" s="1062"/>
    </row>
    <row r="93" spans="1:33" x14ac:dyDescent="0.25">
      <c r="A93" s="1050" t="s">
        <v>531</v>
      </c>
      <c r="B93" s="1051" t="s">
        <v>1445</v>
      </c>
      <c r="C93" s="245"/>
      <c r="D93" s="245"/>
      <c r="E93" s="1064"/>
      <c r="F93" s="257"/>
      <c r="G93" s="257"/>
      <c r="H93" s="257"/>
      <c r="I93" s="257"/>
      <c r="J93" s="257"/>
      <c r="K93" s="257"/>
      <c r="L93" s="257"/>
      <c r="M93" s="257"/>
      <c r="N93" s="257"/>
      <c r="O93" s="257"/>
      <c r="P93" s="257"/>
      <c r="Q93" s="257"/>
      <c r="R93" s="257"/>
      <c r="S93" s="257"/>
      <c r="T93" s="257"/>
      <c r="U93" s="257"/>
      <c r="V93" s="257"/>
      <c r="W93" s="257"/>
      <c r="X93" s="257"/>
      <c r="Y93" s="257"/>
      <c r="Z93" s="247"/>
      <c r="AA93" s="256"/>
      <c r="AB93" s="256"/>
      <c r="AC93" s="256"/>
      <c r="AD93" s="256"/>
      <c r="AE93" s="245"/>
      <c r="AF93" s="245"/>
      <c r="AG93" s="1062"/>
    </row>
    <row r="94" spans="1:33" x14ac:dyDescent="0.25">
      <c r="A94" s="1050" t="s">
        <v>531</v>
      </c>
      <c r="B94" s="1051" t="s">
        <v>1446</v>
      </c>
      <c r="C94" s="245"/>
      <c r="D94" s="245"/>
      <c r="E94" s="1064"/>
      <c r="F94" s="257"/>
      <c r="G94" s="257"/>
      <c r="H94" s="257"/>
      <c r="I94" s="257"/>
      <c r="J94" s="257"/>
      <c r="K94" s="257"/>
      <c r="L94" s="257"/>
      <c r="M94" s="257"/>
      <c r="N94" s="257"/>
      <c r="O94" s="257"/>
      <c r="P94" s="257"/>
      <c r="Q94" s="257"/>
      <c r="R94" s="257"/>
      <c r="S94" s="257"/>
      <c r="T94" s="257"/>
      <c r="U94" s="257"/>
      <c r="V94" s="257"/>
      <c r="W94" s="257"/>
      <c r="X94" s="257"/>
      <c r="Y94" s="257"/>
      <c r="Z94" s="257"/>
      <c r="AA94" s="247"/>
      <c r="AB94" s="256"/>
      <c r="AC94" s="256"/>
      <c r="AD94" s="256"/>
      <c r="AE94" s="245"/>
      <c r="AF94" s="245"/>
      <c r="AG94" s="1062"/>
    </row>
    <row r="95" spans="1:33" x14ac:dyDescent="0.25">
      <c r="A95" s="1050" t="s">
        <v>531</v>
      </c>
      <c r="B95" s="1051" t="s">
        <v>1447</v>
      </c>
      <c r="C95" s="245"/>
      <c r="D95" s="245"/>
      <c r="E95" s="1064"/>
      <c r="F95" s="257"/>
      <c r="G95" s="257"/>
      <c r="H95" s="257"/>
      <c r="I95" s="257"/>
      <c r="J95" s="257"/>
      <c r="K95" s="257"/>
      <c r="L95" s="257"/>
      <c r="M95" s="257"/>
      <c r="N95" s="257"/>
      <c r="O95" s="257"/>
      <c r="P95" s="257"/>
      <c r="Q95" s="257"/>
      <c r="R95" s="257"/>
      <c r="S95" s="257"/>
      <c r="T95" s="257"/>
      <c r="U95" s="257"/>
      <c r="V95" s="257"/>
      <c r="W95" s="257"/>
      <c r="X95" s="257"/>
      <c r="Y95" s="257"/>
      <c r="Z95" s="257"/>
      <c r="AA95" s="257"/>
      <c r="AB95" s="247"/>
      <c r="AC95" s="256"/>
      <c r="AD95" s="256"/>
      <c r="AE95" s="245"/>
      <c r="AF95" s="245"/>
      <c r="AG95" s="1062"/>
    </row>
    <row r="96" spans="1:33" x14ac:dyDescent="0.25">
      <c r="A96" s="1050" t="s">
        <v>531</v>
      </c>
      <c r="B96" s="1051" t="s">
        <v>1448</v>
      </c>
      <c r="C96" s="245"/>
      <c r="D96" s="245"/>
      <c r="E96" s="1064"/>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47"/>
      <c r="AD96" s="256"/>
      <c r="AE96" s="245"/>
      <c r="AF96" s="245"/>
      <c r="AG96" s="1062"/>
    </row>
    <row r="97" spans="1:33" x14ac:dyDescent="0.25">
      <c r="A97" s="1050" t="s">
        <v>531</v>
      </c>
      <c r="B97" s="1051" t="s">
        <v>1449</v>
      </c>
      <c r="C97" s="245"/>
      <c r="D97" s="245"/>
      <c r="E97" s="1064"/>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47"/>
      <c r="AE97" s="245"/>
      <c r="AF97" s="245"/>
      <c r="AG97" s="1062"/>
    </row>
    <row r="98" spans="1:33" ht="13" x14ac:dyDescent="0.3">
      <c r="A98" s="1054"/>
      <c r="B98" s="1055" t="s">
        <v>271</v>
      </c>
      <c r="C98" s="246"/>
      <c r="D98" s="246"/>
      <c r="E98" s="248"/>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row>
    <row r="102" spans="1:33" ht="13" x14ac:dyDescent="0.3">
      <c r="B102" s="1045" t="s">
        <v>539</v>
      </c>
      <c r="F102" s="1046" t="s">
        <v>10</v>
      </c>
    </row>
    <row r="103" spans="1:33" ht="26.15" customHeight="1" x14ac:dyDescent="0.35">
      <c r="A103" s="1047"/>
      <c r="B103" s="1060" t="s">
        <v>413</v>
      </c>
      <c r="C103" s="1962" t="s">
        <v>513</v>
      </c>
      <c r="D103" s="1962" t="s">
        <v>514</v>
      </c>
      <c r="E103" s="1962" t="s">
        <v>584</v>
      </c>
      <c r="F103" s="1964" t="s">
        <v>585</v>
      </c>
      <c r="G103" s="1965"/>
      <c r="H103" s="1965"/>
      <c r="I103" s="1965"/>
      <c r="J103" s="1965"/>
      <c r="K103" s="1965"/>
      <c r="L103" s="1965"/>
      <c r="M103" s="1965"/>
      <c r="N103" s="1965"/>
      <c r="O103" s="1965"/>
      <c r="P103" s="1965"/>
      <c r="Q103" s="1965"/>
      <c r="R103" s="1965"/>
      <c r="S103" s="1965"/>
      <c r="T103" s="1965"/>
      <c r="U103" s="1965"/>
      <c r="V103" s="1965"/>
      <c r="W103" s="1965"/>
      <c r="X103" s="1965"/>
      <c r="Y103" s="1965"/>
      <c r="Z103" s="1965"/>
      <c r="AA103" s="1965"/>
      <c r="AB103" s="1965"/>
      <c r="AC103" s="1965"/>
      <c r="AD103" s="1966"/>
      <c r="AE103" s="1048" t="s">
        <v>536</v>
      </c>
      <c r="AF103" s="1048" t="s">
        <v>529</v>
      </c>
      <c r="AG103" s="1048" t="s">
        <v>537</v>
      </c>
    </row>
    <row r="104" spans="1:33" ht="12.9" customHeight="1" x14ac:dyDescent="0.25">
      <c r="A104" s="1047"/>
      <c r="B104" s="1060"/>
      <c r="C104" s="1963"/>
      <c r="D104" s="1963"/>
      <c r="E104" s="1963"/>
      <c r="F104" s="1049" t="s">
        <v>515</v>
      </c>
      <c r="G104" s="1049" t="s">
        <v>516</v>
      </c>
      <c r="H104" s="1049" t="s">
        <v>517</v>
      </c>
      <c r="I104" s="1049" t="s">
        <v>518</v>
      </c>
      <c r="J104" s="1049" t="s">
        <v>519</v>
      </c>
      <c r="K104" s="1049" t="s">
        <v>520</v>
      </c>
      <c r="L104" s="1049" t="s">
        <v>521</v>
      </c>
      <c r="M104" s="1049" t="s">
        <v>522</v>
      </c>
      <c r="N104" s="1049" t="s">
        <v>523</v>
      </c>
      <c r="O104" s="1049" t="s">
        <v>524</v>
      </c>
      <c r="P104" s="1049" t="s">
        <v>525</v>
      </c>
      <c r="Q104" s="1049" t="s">
        <v>526</v>
      </c>
      <c r="R104" s="1049" t="s">
        <v>527</v>
      </c>
      <c r="S104" s="1049" t="s">
        <v>528</v>
      </c>
      <c r="T104" s="1049" t="s">
        <v>325</v>
      </c>
      <c r="U104" s="1049" t="s">
        <v>504</v>
      </c>
      <c r="V104" s="1049" t="s">
        <v>505</v>
      </c>
      <c r="W104" s="1049" t="s">
        <v>506</v>
      </c>
      <c r="X104" s="1049" t="s">
        <v>507</v>
      </c>
      <c r="Y104" s="1049" t="s">
        <v>508</v>
      </c>
      <c r="Z104" s="1049" t="s">
        <v>969</v>
      </c>
      <c r="AA104" s="1049" t="s">
        <v>970</v>
      </c>
      <c r="AB104" s="1049" t="s">
        <v>971</v>
      </c>
      <c r="AC104" s="1049" t="s">
        <v>972</v>
      </c>
      <c r="AD104" s="1049" t="s">
        <v>973</v>
      </c>
      <c r="AE104" s="1048"/>
      <c r="AF104" s="1048"/>
      <c r="AG104" s="1048"/>
    </row>
    <row r="105" spans="1:33" x14ac:dyDescent="0.25">
      <c r="A105" s="1050" t="s">
        <v>530</v>
      </c>
      <c r="B105" s="1051">
        <v>2005</v>
      </c>
      <c r="C105" s="1050"/>
      <c r="D105" s="1050"/>
      <c r="E105" s="1061"/>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1062"/>
      <c r="AF105" s="1062"/>
      <c r="AG105" s="1062"/>
    </row>
    <row r="106" spans="1:33" x14ac:dyDescent="0.25">
      <c r="A106" s="1050" t="s">
        <v>531</v>
      </c>
      <c r="B106" s="1051" t="s">
        <v>515</v>
      </c>
      <c r="C106" s="1050"/>
      <c r="D106" s="1050"/>
      <c r="E106" s="1061"/>
      <c r="F106" s="247"/>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1062"/>
      <c r="AF106" s="1062"/>
      <c r="AG106" s="1062"/>
    </row>
    <row r="107" spans="1:33" x14ac:dyDescent="0.25">
      <c r="A107" s="1050" t="s">
        <v>531</v>
      </c>
      <c r="B107" s="1051" t="s">
        <v>516</v>
      </c>
      <c r="C107" s="1050"/>
      <c r="D107" s="1050"/>
      <c r="E107" s="1061"/>
      <c r="F107" s="257"/>
      <c r="G107" s="247"/>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1062"/>
      <c r="AF107" s="1062"/>
      <c r="AG107" s="1062"/>
    </row>
    <row r="108" spans="1:33" x14ac:dyDescent="0.25">
      <c r="A108" s="1050" t="s">
        <v>531</v>
      </c>
      <c r="B108" s="1051" t="s">
        <v>517</v>
      </c>
      <c r="C108" s="1050"/>
      <c r="D108" s="1050"/>
      <c r="E108" s="1061"/>
      <c r="F108" s="257"/>
      <c r="G108" s="257"/>
      <c r="H108" s="247"/>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1062"/>
      <c r="AF108" s="1062"/>
      <c r="AG108" s="1062"/>
    </row>
    <row r="109" spans="1:33" x14ac:dyDescent="0.25">
      <c r="A109" s="1050" t="s">
        <v>531</v>
      </c>
      <c r="B109" s="1051" t="s">
        <v>518</v>
      </c>
      <c r="C109" s="1050"/>
      <c r="D109" s="1050"/>
      <c r="E109" s="1061"/>
      <c r="F109" s="257"/>
      <c r="G109" s="257"/>
      <c r="H109" s="257"/>
      <c r="I109" s="247"/>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1062"/>
      <c r="AF109" s="1062"/>
      <c r="AG109" s="1062"/>
    </row>
    <row r="110" spans="1:33" x14ac:dyDescent="0.25">
      <c r="A110" s="1050" t="s">
        <v>531</v>
      </c>
      <c r="B110" s="1051" t="s">
        <v>519</v>
      </c>
      <c r="C110" s="1050"/>
      <c r="D110" s="1050"/>
      <c r="E110" s="1061"/>
      <c r="F110" s="257"/>
      <c r="G110" s="257"/>
      <c r="H110" s="257"/>
      <c r="I110" s="257"/>
      <c r="J110" s="247"/>
      <c r="K110" s="256"/>
      <c r="L110" s="256"/>
      <c r="M110" s="256"/>
      <c r="N110" s="256"/>
      <c r="O110" s="256"/>
      <c r="P110" s="256"/>
      <c r="Q110" s="256"/>
      <c r="R110" s="256"/>
      <c r="S110" s="256"/>
      <c r="T110" s="256"/>
      <c r="U110" s="256"/>
      <c r="V110" s="256"/>
      <c r="W110" s="256"/>
      <c r="X110" s="256"/>
      <c r="Y110" s="256"/>
      <c r="Z110" s="256"/>
      <c r="AA110" s="256"/>
      <c r="AB110" s="256"/>
      <c r="AC110" s="256"/>
      <c r="AD110" s="256"/>
      <c r="AE110" s="1062"/>
      <c r="AF110" s="1062"/>
      <c r="AG110" s="1062"/>
    </row>
    <row r="111" spans="1:33" x14ac:dyDescent="0.25">
      <c r="A111" s="1050" t="s">
        <v>531</v>
      </c>
      <c r="B111" s="1051" t="s">
        <v>520</v>
      </c>
      <c r="C111" s="1050"/>
      <c r="D111" s="1050"/>
      <c r="E111" s="1061"/>
      <c r="F111" s="257"/>
      <c r="G111" s="257"/>
      <c r="H111" s="257"/>
      <c r="I111" s="257"/>
      <c r="J111" s="257"/>
      <c r="K111" s="247"/>
      <c r="L111" s="256"/>
      <c r="M111" s="256"/>
      <c r="N111" s="256"/>
      <c r="O111" s="256"/>
      <c r="P111" s="256"/>
      <c r="Q111" s="256"/>
      <c r="R111" s="256"/>
      <c r="S111" s="256"/>
      <c r="T111" s="256"/>
      <c r="U111" s="256"/>
      <c r="V111" s="256"/>
      <c r="W111" s="256"/>
      <c r="X111" s="256"/>
      <c r="Y111" s="256"/>
      <c r="Z111" s="256"/>
      <c r="AA111" s="256"/>
      <c r="AB111" s="256"/>
      <c r="AC111" s="256"/>
      <c r="AD111" s="256"/>
      <c r="AE111" s="1062"/>
      <c r="AF111" s="1062"/>
      <c r="AG111" s="1062"/>
    </row>
    <row r="112" spans="1:33" x14ac:dyDescent="0.25">
      <c r="A112" s="1050" t="s">
        <v>531</v>
      </c>
      <c r="B112" s="1051" t="s">
        <v>521</v>
      </c>
      <c r="C112" s="1050"/>
      <c r="D112" s="1050"/>
      <c r="E112" s="1061"/>
      <c r="F112" s="257"/>
      <c r="G112" s="257"/>
      <c r="H112" s="257"/>
      <c r="I112" s="257"/>
      <c r="J112" s="257"/>
      <c r="K112" s="257"/>
      <c r="L112" s="247"/>
      <c r="M112" s="256"/>
      <c r="N112" s="256"/>
      <c r="O112" s="256"/>
      <c r="P112" s="256"/>
      <c r="Q112" s="256"/>
      <c r="R112" s="256"/>
      <c r="S112" s="256"/>
      <c r="T112" s="256"/>
      <c r="U112" s="256"/>
      <c r="V112" s="256"/>
      <c r="W112" s="256"/>
      <c r="X112" s="256"/>
      <c r="Y112" s="256"/>
      <c r="Z112" s="256"/>
      <c r="AA112" s="256"/>
      <c r="AB112" s="256"/>
      <c r="AC112" s="256"/>
      <c r="AD112" s="256"/>
      <c r="AE112" s="1062"/>
      <c r="AF112" s="1062"/>
      <c r="AG112" s="1062"/>
    </row>
    <row r="113" spans="1:33" x14ac:dyDescent="0.25">
      <c r="A113" s="1050" t="s">
        <v>531</v>
      </c>
      <c r="B113" s="1051" t="s">
        <v>522</v>
      </c>
      <c r="C113" s="1050"/>
      <c r="D113" s="1050"/>
      <c r="E113" s="1061"/>
      <c r="F113" s="257"/>
      <c r="G113" s="257"/>
      <c r="H113" s="257"/>
      <c r="I113" s="257"/>
      <c r="J113" s="257"/>
      <c r="K113" s="257"/>
      <c r="L113" s="257"/>
      <c r="M113" s="247"/>
      <c r="N113" s="256"/>
      <c r="O113" s="256"/>
      <c r="P113" s="256"/>
      <c r="Q113" s="256"/>
      <c r="R113" s="256"/>
      <c r="S113" s="256"/>
      <c r="T113" s="256"/>
      <c r="U113" s="256"/>
      <c r="V113" s="256"/>
      <c r="W113" s="256"/>
      <c r="X113" s="256"/>
      <c r="Y113" s="256"/>
      <c r="Z113" s="256"/>
      <c r="AA113" s="256"/>
      <c r="AB113" s="256"/>
      <c r="AC113" s="256"/>
      <c r="AD113" s="256"/>
      <c r="AE113" s="1062"/>
      <c r="AF113" s="1062"/>
      <c r="AG113" s="1062"/>
    </row>
    <row r="114" spans="1:33" x14ac:dyDescent="0.25">
      <c r="A114" s="1050" t="s">
        <v>531</v>
      </c>
      <c r="B114" s="1051" t="s">
        <v>523</v>
      </c>
      <c r="C114" s="1050"/>
      <c r="D114" s="1050"/>
      <c r="E114" s="1061"/>
      <c r="F114" s="257"/>
      <c r="G114" s="257"/>
      <c r="H114" s="257"/>
      <c r="I114" s="257"/>
      <c r="J114" s="257"/>
      <c r="K114" s="257"/>
      <c r="L114" s="257"/>
      <c r="M114" s="257"/>
      <c r="N114" s="247"/>
      <c r="O114" s="256"/>
      <c r="P114" s="256"/>
      <c r="Q114" s="256"/>
      <c r="R114" s="256"/>
      <c r="S114" s="256"/>
      <c r="T114" s="256"/>
      <c r="U114" s="256"/>
      <c r="V114" s="256"/>
      <c r="W114" s="256"/>
      <c r="X114" s="256"/>
      <c r="Y114" s="256"/>
      <c r="Z114" s="256"/>
      <c r="AA114" s="256"/>
      <c r="AB114" s="256"/>
      <c r="AC114" s="256"/>
      <c r="AD114" s="256"/>
      <c r="AE114" s="1062"/>
      <c r="AF114" s="1062"/>
      <c r="AG114" s="1062"/>
    </row>
    <row r="115" spans="1:33" x14ac:dyDescent="0.25">
      <c r="A115" s="1050" t="s">
        <v>531</v>
      </c>
      <c r="B115" s="1051" t="s">
        <v>524</v>
      </c>
      <c r="C115" s="245"/>
      <c r="D115" s="1050"/>
      <c r="E115" s="1061"/>
      <c r="F115" s="257"/>
      <c r="G115" s="257"/>
      <c r="H115" s="257"/>
      <c r="I115" s="257"/>
      <c r="J115" s="257"/>
      <c r="K115" s="257"/>
      <c r="L115" s="257"/>
      <c r="M115" s="257"/>
      <c r="N115" s="257"/>
      <c r="O115" s="247"/>
      <c r="P115" s="256"/>
      <c r="Q115" s="256"/>
      <c r="R115" s="256"/>
      <c r="S115" s="256"/>
      <c r="T115" s="256"/>
      <c r="U115" s="256"/>
      <c r="V115" s="256"/>
      <c r="W115" s="256"/>
      <c r="X115" s="256"/>
      <c r="Y115" s="256"/>
      <c r="Z115" s="256"/>
      <c r="AA115" s="256"/>
      <c r="AB115" s="256"/>
      <c r="AC115" s="256"/>
      <c r="AD115" s="256"/>
      <c r="AE115" s="1062"/>
      <c r="AF115" s="1062"/>
      <c r="AG115" s="1062"/>
    </row>
    <row r="116" spans="1:33" x14ac:dyDescent="0.25">
      <c r="A116" s="1050" t="s">
        <v>531</v>
      </c>
      <c r="B116" s="1051" t="s">
        <v>525</v>
      </c>
      <c r="C116" s="245"/>
      <c r="D116" s="1050"/>
      <c r="E116" s="1061"/>
      <c r="F116" s="257"/>
      <c r="G116" s="257"/>
      <c r="H116" s="257"/>
      <c r="I116" s="257"/>
      <c r="J116" s="257"/>
      <c r="K116" s="257"/>
      <c r="L116" s="257"/>
      <c r="M116" s="257"/>
      <c r="N116" s="257"/>
      <c r="O116" s="257"/>
      <c r="P116" s="247"/>
      <c r="Q116" s="256"/>
      <c r="R116" s="256"/>
      <c r="S116" s="256"/>
      <c r="T116" s="256"/>
      <c r="U116" s="256"/>
      <c r="V116" s="256"/>
      <c r="W116" s="256"/>
      <c r="X116" s="256"/>
      <c r="Y116" s="256"/>
      <c r="Z116" s="256"/>
      <c r="AA116" s="256"/>
      <c r="AB116" s="256"/>
      <c r="AC116" s="256"/>
      <c r="AD116" s="256"/>
      <c r="AE116" s="1062"/>
      <c r="AF116" s="1062"/>
      <c r="AG116" s="1062"/>
    </row>
    <row r="117" spans="1:33" x14ac:dyDescent="0.25">
      <c r="A117" s="1050" t="s">
        <v>531</v>
      </c>
      <c r="B117" s="1051" t="s">
        <v>526</v>
      </c>
      <c r="C117" s="245"/>
      <c r="D117" s="245"/>
      <c r="E117" s="1061"/>
      <c r="F117" s="257"/>
      <c r="G117" s="257"/>
      <c r="H117" s="257"/>
      <c r="I117" s="257"/>
      <c r="J117" s="257"/>
      <c r="K117" s="257"/>
      <c r="L117" s="257"/>
      <c r="M117" s="257"/>
      <c r="N117" s="257"/>
      <c r="O117" s="257"/>
      <c r="P117" s="257"/>
      <c r="Q117" s="247"/>
      <c r="R117" s="256"/>
      <c r="S117" s="256"/>
      <c r="T117" s="256"/>
      <c r="U117" s="256"/>
      <c r="V117" s="256"/>
      <c r="W117" s="256"/>
      <c r="X117" s="256"/>
      <c r="Y117" s="256"/>
      <c r="Z117" s="256"/>
      <c r="AA117" s="256"/>
      <c r="AB117" s="256"/>
      <c r="AC117" s="256"/>
      <c r="AD117" s="256"/>
      <c r="AE117" s="1062"/>
      <c r="AF117" s="1062"/>
      <c r="AG117" s="1062"/>
    </row>
    <row r="118" spans="1:33" x14ac:dyDescent="0.25">
      <c r="A118" s="1050" t="s">
        <v>531</v>
      </c>
      <c r="B118" s="1051" t="s">
        <v>527</v>
      </c>
      <c r="C118" s="245"/>
      <c r="D118" s="245"/>
      <c r="E118" s="1061"/>
      <c r="F118" s="257"/>
      <c r="G118" s="257"/>
      <c r="H118" s="257"/>
      <c r="I118" s="257"/>
      <c r="J118" s="257"/>
      <c r="K118" s="257"/>
      <c r="L118" s="257"/>
      <c r="M118" s="257"/>
      <c r="N118" s="257"/>
      <c r="O118" s="257"/>
      <c r="P118" s="257"/>
      <c r="Q118" s="257"/>
      <c r="R118" s="247"/>
      <c r="S118" s="256"/>
      <c r="T118" s="256"/>
      <c r="U118" s="256"/>
      <c r="V118" s="256"/>
      <c r="W118" s="256"/>
      <c r="X118" s="256"/>
      <c r="Y118" s="256"/>
      <c r="Z118" s="256"/>
      <c r="AA118" s="256"/>
      <c r="AB118" s="256"/>
      <c r="AC118" s="256"/>
      <c r="AD118" s="256"/>
      <c r="AE118" s="1062"/>
      <c r="AF118" s="1062"/>
      <c r="AG118" s="1062"/>
    </row>
    <row r="119" spans="1:33" x14ac:dyDescent="0.25">
      <c r="A119" s="1050" t="s">
        <v>531</v>
      </c>
      <c r="B119" s="1051" t="s">
        <v>528</v>
      </c>
      <c r="C119" s="245"/>
      <c r="D119" s="245"/>
      <c r="E119" s="1061"/>
      <c r="F119" s="257"/>
      <c r="G119" s="257"/>
      <c r="H119" s="257"/>
      <c r="I119" s="257"/>
      <c r="J119" s="257"/>
      <c r="K119" s="257"/>
      <c r="L119" s="257"/>
      <c r="M119" s="257"/>
      <c r="N119" s="257"/>
      <c r="O119" s="257"/>
      <c r="P119" s="257"/>
      <c r="Q119" s="257"/>
      <c r="R119" s="257"/>
      <c r="S119" s="247"/>
      <c r="T119" s="256"/>
      <c r="U119" s="256"/>
      <c r="V119" s="256"/>
      <c r="W119" s="256"/>
      <c r="X119" s="256"/>
      <c r="Y119" s="256"/>
      <c r="Z119" s="256"/>
      <c r="AA119" s="256"/>
      <c r="AB119" s="256"/>
      <c r="AC119" s="256"/>
      <c r="AD119" s="256"/>
      <c r="AE119" s="1062"/>
      <c r="AF119" s="1062"/>
      <c r="AG119" s="1062"/>
    </row>
    <row r="120" spans="1:33" x14ac:dyDescent="0.25">
      <c r="A120" s="1050" t="s">
        <v>531</v>
      </c>
      <c r="B120" s="1051" t="s">
        <v>532</v>
      </c>
      <c r="C120" s="245"/>
      <c r="D120" s="245"/>
      <c r="E120" s="1064"/>
      <c r="F120" s="257"/>
      <c r="G120" s="257"/>
      <c r="H120" s="257"/>
      <c r="I120" s="257"/>
      <c r="J120" s="257"/>
      <c r="K120" s="257"/>
      <c r="L120" s="257"/>
      <c r="M120" s="257"/>
      <c r="N120" s="257"/>
      <c r="O120" s="257"/>
      <c r="P120" s="257"/>
      <c r="Q120" s="257"/>
      <c r="R120" s="257"/>
      <c r="S120" s="257"/>
      <c r="T120" s="247"/>
      <c r="U120" s="256"/>
      <c r="V120" s="256"/>
      <c r="W120" s="256"/>
      <c r="X120" s="256"/>
      <c r="Y120" s="256"/>
      <c r="Z120" s="256"/>
      <c r="AA120" s="256"/>
      <c r="AB120" s="256"/>
      <c r="AC120" s="256"/>
      <c r="AD120" s="256"/>
      <c r="AE120" s="1062"/>
      <c r="AF120" s="1062"/>
      <c r="AG120" s="1062"/>
    </row>
    <row r="121" spans="1:33" x14ac:dyDescent="0.25">
      <c r="A121" s="1050" t="s">
        <v>531</v>
      </c>
      <c r="B121" s="1051" t="s">
        <v>533</v>
      </c>
      <c r="C121" s="245"/>
      <c r="D121" s="245"/>
      <c r="E121" s="1064"/>
      <c r="F121" s="257"/>
      <c r="G121" s="257"/>
      <c r="H121" s="257"/>
      <c r="I121" s="257"/>
      <c r="J121" s="257"/>
      <c r="K121" s="257"/>
      <c r="L121" s="257"/>
      <c r="M121" s="257"/>
      <c r="N121" s="257"/>
      <c r="O121" s="257"/>
      <c r="P121" s="257"/>
      <c r="Q121" s="257"/>
      <c r="R121" s="257"/>
      <c r="S121" s="257"/>
      <c r="T121" s="257"/>
      <c r="U121" s="247"/>
      <c r="V121" s="256"/>
      <c r="W121" s="256"/>
      <c r="X121" s="256"/>
      <c r="Y121" s="256"/>
      <c r="Z121" s="256"/>
      <c r="AA121" s="256"/>
      <c r="AB121" s="256"/>
      <c r="AC121" s="256"/>
      <c r="AD121" s="256"/>
      <c r="AE121" s="1062"/>
      <c r="AF121" s="1062"/>
      <c r="AG121" s="1062"/>
    </row>
    <row r="122" spans="1:33" x14ac:dyDescent="0.25">
      <c r="A122" s="1050" t="s">
        <v>531</v>
      </c>
      <c r="B122" s="1051" t="s">
        <v>534</v>
      </c>
      <c r="C122" s="245"/>
      <c r="D122" s="245"/>
      <c r="E122" s="1064"/>
      <c r="F122" s="257"/>
      <c r="G122" s="257"/>
      <c r="H122" s="257"/>
      <c r="I122" s="257"/>
      <c r="J122" s="257"/>
      <c r="K122" s="257"/>
      <c r="L122" s="257"/>
      <c r="M122" s="257"/>
      <c r="N122" s="257"/>
      <c r="O122" s="257"/>
      <c r="P122" s="257"/>
      <c r="Q122" s="257"/>
      <c r="R122" s="257"/>
      <c r="S122" s="257"/>
      <c r="T122" s="257"/>
      <c r="U122" s="257"/>
      <c r="V122" s="247"/>
      <c r="W122" s="256"/>
      <c r="X122" s="256"/>
      <c r="Y122" s="256"/>
      <c r="Z122" s="256"/>
      <c r="AA122" s="256"/>
      <c r="AB122" s="256"/>
      <c r="AC122" s="256"/>
      <c r="AD122" s="256"/>
      <c r="AE122" s="1062"/>
      <c r="AF122" s="1062"/>
      <c r="AG122" s="1062"/>
    </row>
    <row r="123" spans="1:33" x14ac:dyDescent="0.25">
      <c r="A123" s="1050" t="s">
        <v>531</v>
      </c>
      <c r="B123" s="1051" t="s">
        <v>544</v>
      </c>
      <c r="C123" s="245"/>
      <c r="D123" s="245"/>
      <c r="E123" s="1064"/>
      <c r="F123" s="257"/>
      <c r="G123" s="257"/>
      <c r="H123" s="257"/>
      <c r="I123" s="257"/>
      <c r="J123" s="257"/>
      <c r="K123" s="257"/>
      <c r="L123" s="257"/>
      <c r="M123" s="257"/>
      <c r="N123" s="257"/>
      <c r="O123" s="257"/>
      <c r="P123" s="257"/>
      <c r="Q123" s="257"/>
      <c r="R123" s="257"/>
      <c r="S123" s="257"/>
      <c r="T123" s="257"/>
      <c r="U123" s="257"/>
      <c r="V123" s="257"/>
      <c r="W123" s="247"/>
      <c r="X123" s="256"/>
      <c r="Y123" s="256"/>
      <c r="Z123" s="256"/>
      <c r="AA123" s="256"/>
      <c r="AB123" s="256"/>
      <c r="AC123" s="256"/>
      <c r="AD123" s="256"/>
      <c r="AE123" s="1062"/>
      <c r="AF123" s="1062"/>
      <c r="AG123" s="1062"/>
    </row>
    <row r="124" spans="1:33" x14ac:dyDescent="0.25">
      <c r="A124" s="1050" t="s">
        <v>531</v>
      </c>
      <c r="B124" s="1051" t="s">
        <v>545</v>
      </c>
      <c r="C124" s="245"/>
      <c r="D124" s="245"/>
      <c r="E124" s="1064"/>
      <c r="F124" s="257"/>
      <c r="G124" s="257"/>
      <c r="H124" s="257"/>
      <c r="I124" s="257"/>
      <c r="J124" s="257"/>
      <c r="K124" s="257"/>
      <c r="L124" s="257"/>
      <c r="M124" s="257"/>
      <c r="N124" s="257"/>
      <c r="O124" s="257"/>
      <c r="P124" s="257"/>
      <c r="Q124" s="257"/>
      <c r="R124" s="257"/>
      <c r="S124" s="257"/>
      <c r="T124" s="257"/>
      <c r="U124" s="257"/>
      <c r="V124" s="257"/>
      <c r="W124" s="257"/>
      <c r="X124" s="247"/>
      <c r="Y124" s="256"/>
      <c r="Z124" s="256"/>
      <c r="AA124" s="256"/>
      <c r="AB124" s="256"/>
      <c r="AC124" s="256"/>
      <c r="AD124" s="256"/>
      <c r="AE124" s="1062"/>
      <c r="AF124" s="1062"/>
      <c r="AG124" s="1062"/>
    </row>
    <row r="125" spans="1:33" x14ac:dyDescent="0.25">
      <c r="A125" s="1050" t="s">
        <v>531</v>
      </c>
      <c r="B125" s="1051" t="s">
        <v>546</v>
      </c>
      <c r="C125" s="245"/>
      <c r="D125" s="245"/>
      <c r="E125" s="1064"/>
      <c r="F125" s="257"/>
      <c r="G125" s="257"/>
      <c r="H125" s="257"/>
      <c r="I125" s="257"/>
      <c r="J125" s="257"/>
      <c r="K125" s="257"/>
      <c r="L125" s="257"/>
      <c r="M125" s="257"/>
      <c r="N125" s="257"/>
      <c r="O125" s="257"/>
      <c r="P125" s="257"/>
      <c r="Q125" s="257"/>
      <c r="R125" s="257"/>
      <c r="S125" s="257"/>
      <c r="T125" s="257"/>
      <c r="U125" s="257"/>
      <c r="V125" s="257"/>
      <c r="W125" s="257"/>
      <c r="X125" s="257"/>
      <c r="Y125" s="247"/>
      <c r="Z125" s="256"/>
      <c r="AA125" s="256"/>
      <c r="AB125" s="256"/>
      <c r="AC125" s="256"/>
      <c r="AD125" s="256"/>
      <c r="AE125" s="1062"/>
      <c r="AF125" s="1062"/>
      <c r="AG125" s="1062"/>
    </row>
    <row r="126" spans="1:33" x14ac:dyDescent="0.25">
      <c r="A126" s="1050" t="s">
        <v>531</v>
      </c>
      <c r="B126" s="1051" t="s">
        <v>1445</v>
      </c>
      <c r="C126" s="245"/>
      <c r="D126" s="245"/>
      <c r="E126" s="1064"/>
      <c r="F126" s="257"/>
      <c r="G126" s="257"/>
      <c r="H126" s="257"/>
      <c r="I126" s="257"/>
      <c r="J126" s="257"/>
      <c r="K126" s="257"/>
      <c r="L126" s="257"/>
      <c r="M126" s="257"/>
      <c r="N126" s="257"/>
      <c r="O126" s="257"/>
      <c r="P126" s="257"/>
      <c r="Q126" s="257"/>
      <c r="R126" s="257"/>
      <c r="S126" s="257"/>
      <c r="T126" s="257"/>
      <c r="U126" s="257"/>
      <c r="V126" s="257"/>
      <c r="W126" s="257"/>
      <c r="X126" s="257"/>
      <c r="Y126" s="257"/>
      <c r="Z126" s="247"/>
      <c r="AA126" s="256"/>
      <c r="AB126" s="256"/>
      <c r="AC126" s="256"/>
      <c r="AD126" s="256"/>
      <c r="AE126" s="245"/>
      <c r="AF126" s="245"/>
      <c r="AG126" s="1062"/>
    </row>
    <row r="127" spans="1:33" x14ac:dyDescent="0.25">
      <c r="A127" s="1050" t="s">
        <v>531</v>
      </c>
      <c r="B127" s="1051" t="s">
        <v>1446</v>
      </c>
      <c r="C127" s="245"/>
      <c r="D127" s="245"/>
      <c r="E127" s="1064"/>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47"/>
      <c r="AB127" s="256"/>
      <c r="AC127" s="256"/>
      <c r="AD127" s="256"/>
      <c r="AE127" s="245"/>
      <c r="AF127" s="245"/>
      <c r="AG127" s="1062"/>
    </row>
    <row r="128" spans="1:33" x14ac:dyDescent="0.25">
      <c r="A128" s="1050" t="s">
        <v>531</v>
      </c>
      <c r="B128" s="1051" t="s">
        <v>1447</v>
      </c>
      <c r="C128" s="245"/>
      <c r="D128" s="245"/>
      <c r="E128" s="1064"/>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47"/>
      <c r="AC128" s="256"/>
      <c r="AD128" s="256"/>
      <c r="AE128" s="245"/>
      <c r="AF128" s="245"/>
      <c r="AG128" s="1062"/>
    </row>
    <row r="129" spans="1:33" x14ac:dyDescent="0.25">
      <c r="A129" s="1050" t="s">
        <v>531</v>
      </c>
      <c r="B129" s="1051" t="s">
        <v>1448</v>
      </c>
      <c r="C129" s="245"/>
      <c r="D129" s="245"/>
      <c r="E129" s="1064"/>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47"/>
      <c r="AD129" s="256"/>
      <c r="AE129" s="245"/>
      <c r="AF129" s="245"/>
      <c r="AG129" s="1062"/>
    </row>
    <row r="130" spans="1:33" x14ac:dyDescent="0.25">
      <c r="A130" s="1050" t="s">
        <v>531</v>
      </c>
      <c r="B130" s="1051" t="s">
        <v>1449</v>
      </c>
      <c r="C130" s="245"/>
      <c r="D130" s="245"/>
      <c r="E130" s="1064"/>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47"/>
      <c r="AE130" s="245"/>
      <c r="AF130" s="245"/>
      <c r="AG130" s="1062"/>
    </row>
    <row r="131" spans="1:33" ht="13" x14ac:dyDescent="0.3">
      <c r="A131" s="1054"/>
      <c r="B131" s="1055" t="s">
        <v>271</v>
      </c>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row>
    <row r="132" spans="1:33" x14ac:dyDescent="0.25">
      <c r="C132" s="1066"/>
    </row>
    <row r="134" spans="1:33" x14ac:dyDescent="0.25">
      <c r="F134" s="1056"/>
    </row>
    <row r="135" spans="1:33" ht="13" x14ac:dyDescent="0.3">
      <c r="B135" s="1045" t="s">
        <v>540</v>
      </c>
      <c r="F135" s="1046" t="s">
        <v>10</v>
      </c>
    </row>
    <row r="136" spans="1:33" ht="26.15" customHeight="1" x14ac:dyDescent="0.35">
      <c r="A136" s="1047"/>
      <c r="B136" s="1060" t="s">
        <v>413</v>
      </c>
      <c r="C136" s="1962" t="s">
        <v>513</v>
      </c>
      <c r="D136" s="1962" t="s">
        <v>514</v>
      </c>
      <c r="E136" s="1962" t="s">
        <v>584</v>
      </c>
      <c r="F136" s="1964" t="s">
        <v>585</v>
      </c>
      <c r="G136" s="1965"/>
      <c r="H136" s="1965"/>
      <c r="I136" s="1965"/>
      <c r="J136" s="1965"/>
      <c r="K136" s="1965"/>
      <c r="L136" s="1965"/>
      <c r="M136" s="1965"/>
      <c r="N136" s="1965"/>
      <c r="O136" s="1965"/>
      <c r="P136" s="1965"/>
      <c r="Q136" s="1965"/>
      <c r="R136" s="1965"/>
      <c r="S136" s="1965"/>
      <c r="T136" s="1965"/>
      <c r="U136" s="1965"/>
      <c r="V136" s="1965"/>
      <c r="W136" s="1965"/>
      <c r="X136" s="1965"/>
      <c r="Y136" s="1965"/>
      <c r="Z136" s="1965"/>
      <c r="AA136" s="1965"/>
      <c r="AB136" s="1965"/>
      <c r="AC136" s="1965"/>
      <c r="AD136" s="1966"/>
      <c r="AE136" s="1048" t="s">
        <v>536</v>
      </c>
      <c r="AF136" s="1048" t="s">
        <v>529</v>
      </c>
      <c r="AG136" s="1048" t="s">
        <v>537</v>
      </c>
    </row>
    <row r="137" spans="1:33" ht="12.9" customHeight="1" x14ac:dyDescent="0.25">
      <c r="A137" s="1047"/>
      <c r="B137" s="1060"/>
      <c r="C137" s="1963"/>
      <c r="D137" s="1963"/>
      <c r="E137" s="1963"/>
      <c r="F137" s="1049" t="s">
        <v>515</v>
      </c>
      <c r="G137" s="1049" t="s">
        <v>516</v>
      </c>
      <c r="H137" s="1049" t="s">
        <v>517</v>
      </c>
      <c r="I137" s="1049" t="s">
        <v>518</v>
      </c>
      <c r="J137" s="1049" t="s">
        <v>519</v>
      </c>
      <c r="K137" s="1049" t="s">
        <v>520</v>
      </c>
      <c r="L137" s="1049" t="s">
        <v>521</v>
      </c>
      <c r="M137" s="1049" t="s">
        <v>522</v>
      </c>
      <c r="N137" s="1049" t="s">
        <v>523</v>
      </c>
      <c r="O137" s="1049" t="s">
        <v>524</v>
      </c>
      <c r="P137" s="1049" t="s">
        <v>525</v>
      </c>
      <c r="Q137" s="1049" t="s">
        <v>526</v>
      </c>
      <c r="R137" s="1049" t="s">
        <v>527</v>
      </c>
      <c r="S137" s="1049" t="s">
        <v>528</v>
      </c>
      <c r="T137" s="1049" t="s">
        <v>325</v>
      </c>
      <c r="U137" s="1049" t="s">
        <v>504</v>
      </c>
      <c r="V137" s="1049" t="s">
        <v>505</v>
      </c>
      <c r="W137" s="1049" t="s">
        <v>506</v>
      </c>
      <c r="X137" s="1049" t="s">
        <v>507</v>
      </c>
      <c r="Y137" s="1049" t="s">
        <v>508</v>
      </c>
      <c r="Z137" s="1049" t="s">
        <v>969</v>
      </c>
      <c r="AA137" s="1049" t="s">
        <v>970</v>
      </c>
      <c r="AB137" s="1049" t="s">
        <v>971</v>
      </c>
      <c r="AC137" s="1049" t="s">
        <v>972</v>
      </c>
      <c r="AD137" s="1049" t="s">
        <v>973</v>
      </c>
      <c r="AE137" s="1048"/>
      <c r="AF137" s="1048"/>
      <c r="AG137" s="1048"/>
    </row>
    <row r="138" spans="1:33" x14ac:dyDescent="0.25">
      <c r="A138" s="1050" t="s">
        <v>530</v>
      </c>
      <c r="B138" s="1051">
        <v>2005</v>
      </c>
      <c r="C138" s="1050"/>
      <c r="D138" s="1050"/>
      <c r="E138" s="1061"/>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1062"/>
      <c r="AF138" s="1062"/>
      <c r="AG138" s="1062"/>
    </row>
    <row r="139" spans="1:33" x14ac:dyDescent="0.25">
      <c r="A139" s="1050" t="s">
        <v>531</v>
      </c>
      <c r="B139" s="1051" t="s">
        <v>515</v>
      </c>
      <c r="C139" s="1050"/>
      <c r="D139" s="1050"/>
      <c r="E139" s="1061"/>
      <c r="F139" s="247"/>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1062"/>
      <c r="AF139" s="1062"/>
      <c r="AG139" s="1062"/>
    </row>
    <row r="140" spans="1:33" x14ac:dyDescent="0.25">
      <c r="A140" s="1050" t="s">
        <v>531</v>
      </c>
      <c r="B140" s="1051" t="s">
        <v>516</v>
      </c>
      <c r="C140" s="1050"/>
      <c r="D140" s="1050"/>
      <c r="E140" s="1061"/>
      <c r="F140" s="257"/>
      <c r="G140" s="247"/>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1062"/>
      <c r="AF140" s="1062"/>
      <c r="AG140" s="1062"/>
    </row>
    <row r="141" spans="1:33" x14ac:dyDescent="0.25">
      <c r="A141" s="1050" t="s">
        <v>531</v>
      </c>
      <c r="B141" s="1051" t="s">
        <v>517</v>
      </c>
      <c r="C141" s="1050"/>
      <c r="D141" s="1050"/>
      <c r="E141" s="1061"/>
      <c r="F141" s="257"/>
      <c r="G141" s="257"/>
      <c r="H141" s="247"/>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1062"/>
      <c r="AF141" s="1062"/>
      <c r="AG141" s="1062"/>
    </row>
    <row r="142" spans="1:33" x14ac:dyDescent="0.25">
      <c r="A142" s="1050" t="s">
        <v>531</v>
      </c>
      <c r="B142" s="1051" t="s">
        <v>518</v>
      </c>
      <c r="C142" s="1050"/>
      <c r="D142" s="1050"/>
      <c r="E142" s="1061"/>
      <c r="F142" s="257"/>
      <c r="G142" s="257"/>
      <c r="H142" s="257"/>
      <c r="I142" s="247"/>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1062"/>
      <c r="AF142" s="1062"/>
      <c r="AG142" s="1062"/>
    </row>
    <row r="143" spans="1:33" x14ac:dyDescent="0.25">
      <c r="A143" s="1050" t="s">
        <v>531</v>
      </c>
      <c r="B143" s="1051" t="s">
        <v>519</v>
      </c>
      <c r="C143" s="1050"/>
      <c r="D143" s="1050"/>
      <c r="E143" s="1061"/>
      <c r="F143" s="257"/>
      <c r="G143" s="257"/>
      <c r="H143" s="257"/>
      <c r="I143" s="257"/>
      <c r="J143" s="247"/>
      <c r="K143" s="256"/>
      <c r="L143" s="256"/>
      <c r="M143" s="256"/>
      <c r="N143" s="256"/>
      <c r="O143" s="256"/>
      <c r="P143" s="256"/>
      <c r="Q143" s="256"/>
      <c r="R143" s="256"/>
      <c r="S143" s="256"/>
      <c r="T143" s="256"/>
      <c r="U143" s="256"/>
      <c r="V143" s="256"/>
      <c r="W143" s="256"/>
      <c r="X143" s="256"/>
      <c r="Y143" s="256"/>
      <c r="Z143" s="256"/>
      <c r="AA143" s="256"/>
      <c r="AB143" s="256"/>
      <c r="AC143" s="256"/>
      <c r="AD143" s="256"/>
      <c r="AE143" s="1062"/>
      <c r="AF143" s="1062"/>
      <c r="AG143" s="1062"/>
    </row>
    <row r="144" spans="1:33" x14ac:dyDescent="0.25">
      <c r="A144" s="1050" t="s">
        <v>531</v>
      </c>
      <c r="B144" s="1051" t="s">
        <v>520</v>
      </c>
      <c r="C144" s="1050"/>
      <c r="D144" s="1050"/>
      <c r="E144" s="1061"/>
      <c r="F144" s="257"/>
      <c r="G144" s="257"/>
      <c r="H144" s="257"/>
      <c r="I144" s="257"/>
      <c r="J144" s="257"/>
      <c r="K144" s="247"/>
      <c r="L144" s="256"/>
      <c r="M144" s="256"/>
      <c r="N144" s="256"/>
      <c r="O144" s="256"/>
      <c r="P144" s="256"/>
      <c r="Q144" s="256"/>
      <c r="R144" s="256"/>
      <c r="S144" s="256"/>
      <c r="T144" s="256"/>
      <c r="U144" s="256"/>
      <c r="V144" s="256"/>
      <c r="W144" s="256"/>
      <c r="X144" s="256"/>
      <c r="Y144" s="256"/>
      <c r="Z144" s="256"/>
      <c r="AA144" s="256"/>
      <c r="AB144" s="256"/>
      <c r="AC144" s="256"/>
      <c r="AD144" s="256"/>
      <c r="AE144" s="1062"/>
      <c r="AF144" s="1062"/>
      <c r="AG144" s="1062"/>
    </row>
    <row r="145" spans="1:33" x14ac:dyDescent="0.25">
      <c r="A145" s="1050" t="s">
        <v>531</v>
      </c>
      <c r="B145" s="1051" t="s">
        <v>521</v>
      </c>
      <c r="C145" s="1050"/>
      <c r="D145" s="1050"/>
      <c r="E145" s="1061"/>
      <c r="F145" s="257"/>
      <c r="G145" s="257"/>
      <c r="H145" s="257"/>
      <c r="I145" s="257"/>
      <c r="J145" s="257"/>
      <c r="K145" s="257"/>
      <c r="L145" s="247"/>
      <c r="M145" s="256"/>
      <c r="N145" s="256"/>
      <c r="O145" s="256"/>
      <c r="P145" s="256"/>
      <c r="Q145" s="256"/>
      <c r="R145" s="256"/>
      <c r="S145" s="256"/>
      <c r="T145" s="256"/>
      <c r="U145" s="256"/>
      <c r="V145" s="256"/>
      <c r="W145" s="256"/>
      <c r="X145" s="256"/>
      <c r="Y145" s="256"/>
      <c r="Z145" s="256"/>
      <c r="AA145" s="256"/>
      <c r="AB145" s="256"/>
      <c r="AC145" s="256"/>
      <c r="AD145" s="256"/>
      <c r="AE145" s="1062"/>
      <c r="AF145" s="1062"/>
      <c r="AG145" s="1062"/>
    </row>
    <row r="146" spans="1:33" x14ac:dyDescent="0.25">
      <c r="A146" s="1050" t="s">
        <v>531</v>
      </c>
      <c r="B146" s="1051" t="s">
        <v>522</v>
      </c>
      <c r="C146" s="1050"/>
      <c r="D146" s="1050"/>
      <c r="E146" s="1061"/>
      <c r="F146" s="257"/>
      <c r="G146" s="257"/>
      <c r="H146" s="257"/>
      <c r="I146" s="257"/>
      <c r="J146" s="257"/>
      <c r="K146" s="257"/>
      <c r="L146" s="257"/>
      <c r="M146" s="247"/>
      <c r="N146" s="256"/>
      <c r="O146" s="256"/>
      <c r="P146" s="256"/>
      <c r="Q146" s="256"/>
      <c r="R146" s="256"/>
      <c r="S146" s="256"/>
      <c r="T146" s="256"/>
      <c r="U146" s="256"/>
      <c r="V146" s="256"/>
      <c r="W146" s="256"/>
      <c r="X146" s="256"/>
      <c r="Y146" s="256"/>
      <c r="Z146" s="256"/>
      <c r="AA146" s="256"/>
      <c r="AB146" s="256"/>
      <c r="AC146" s="256"/>
      <c r="AD146" s="256"/>
      <c r="AE146" s="1062"/>
      <c r="AF146" s="1062"/>
      <c r="AG146" s="1062"/>
    </row>
    <row r="147" spans="1:33" x14ac:dyDescent="0.25">
      <c r="A147" s="1050" t="s">
        <v>531</v>
      </c>
      <c r="B147" s="1051" t="s">
        <v>523</v>
      </c>
      <c r="C147" s="1050"/>
      <c r="D147" s="1050"/>
      <c r="E147" s="1061"/>
      <c r="F147" s="257"/>
      <c r="G147" s="257"/>
      <c r="H147" s="257"/>
      <c r="I147" s="257"/>
      <c r="J147" s="257"/>
      <c r="K147" s="257"/>
      <c r="L147" s="257"/>
      <c r="M147" s="257"/>
      <c r="N147" s="247"/>
      <c r="O147" s="256"/>
      <c r="P147" s="256"/>
      <c r="Q147" s="256"/>
      <c r="R147" s="256"/>
      <c r="S147" s="256"/>
      <c r="T147" s="256"/>
      <c r="U147" s="256"/>
      <c r="V147" s="256"/>
      <c r="W147" s="256"/>
      <c r="X147" s="256"/>
      <c r="Y147" s="256"/>
      <c r="Z147" s="256"/>
      <c r="AA147" s="256"/>
      <c r="AB147" s="256"/>
      <c r="AC147" s="256"/>
      <c r="AD147" s="256"/>
      <c r="AE147" s="1062"/>
      <c r="AF147" s="1062"/>
      <c r="AG147" s="1062"/>
    </row>
    <row r="148" spans="1:33" x14ac:dyDescent="0.25">
      <c r="A148" s="1050" t="s">
        <v>531</v>
      </c>
      <c r="B148" s="1051" t="s">
        <v>524</v>
      </c>
      <c r="C148" s="245"/>
      <c r="D148" s="1050"/>
      <c r="E148" s="1061"/>
      <c r="F148" s="257"/>
      <c r="G148" s="257"/>
      <c r="H148" s="257"/>
      <c r="I148" s="257"/>
      <c r="J148" s="257"/>
      <c r="K148" s="257"/>
      <c r="L148" s="257"/>
      <c r="M148" s="257"/>
      <c r="N148" s="257"/>
      <c r="O148" s="247"/>
      <c r="P148" s="256"/>
      <c r="Q148" s="256"/>
      <c r="R148" s="256"/>
      <c r="S148" s="256"/>
      <c r="T148" s="256"/>
      <c r="U148" s="256"/>
      <c r="V148" s="256"/>
      <c r="W148" s="256"/>
      <c r="X148" s="256"/>
      <c r="Y148" s="256"/>
      <c r="Z148" s="256"/>
      <c r="AA148" s="256"/>
      <c r="AB148" s="256"/>
      <c r="AC148" s="256"/>
      <c r="AD148" s="256"/>
      <c r="AE148" s="1062"/>
      <c r="AF148" s="1062"/>
      <c r="AG148" s="1062"/>
    </row>
    <row r="149" spans="1:33" x14ac:dyDescent="0.25">
      <c r="A149" s="1050" t="s">
        <v>531</v>
      </c>
      <c r="B149" s="1051" t="s">
        <v>525</v>
      </c>
      <c r="C149" s="245"/>
      <c r="D149" s="1050"/>
      <c r="E149" s="1061"/>
      <c r="F149" s="257"/>
      <c r="G149" s="257"/>
      <c r="H149" s="257"/>
      <c r="I149" s="257"/>
      <c r="J149" s="257"/>
      <c r="K149" s="257"/>
      <c r="L149" s="257"/>
      <c r="M149" s="257"/>
      <c r="N149" s="257"/>
      <c r="O149" s="257"/>
      <c r="P149" s="247"/>
      <c r="Q149" s="256"/>
      <c r="R149" s="256"/>
      <c r="S149" s="256"/>
      <c r="T149" s="256"/>
      <c r="U149" s="256"/>
      <c r="V149" s="256"/>
      <c r="W149" s="256"/>
      <c r="X149" s="256"/>
      <c r="Y149" s="256"/>
      <c r="Z149" s="256"/>
      <c r="AA149" s="256"/>
      <c r="AB149" s="256"/>
      <c r="AC149" s="256"/>
      <c r="AD149" s="256"/>
      <c r="AE149" s="1062"/>
      <c r="AF149" s="1062"/>
      <c r="AG149" s="1062"/>
    </row>
    <row r="150" spans="1:33" x14ac:dyDescent="0.25">
      <c r="A150" s="1050" t="s">
        <v>531</v>
      </c>
      <c r="B150" s="1051" t="s">
        <v>526</v>
      </c>
      <c r="C150" s="245"/>
      <c r="D150" s="245"/>
      <c r="E150" s="1061"/>
      <c r="F150" s="257"/>
      <c r="G150" s="257"/>
      <c r="H150" s="257"/>
      <c r="I150" s="257"/>
      <c r="J150" s="257"/>
      <c r="K150" s="257"/>
      <c r="L150" s="257"/>
      <c r="M150" s="257"/>
      <c r="N150" s="257"/>
      <c r="O150" s="257"/>
      <c r="P150" s="257"/>
      <c r="Q150" s="247"/>
      <c r="R150" s="256"/>
      <c r="S150" s="256"/>
      <c r="T150" s="256"/>
      <c r="U150" s="256"/>
      <c r="V150" s="256"/>
      <c r="W150" s="256"/>
      <c r="X150" s="256"/>
      <c r="Y150" s="256"/>
      <c r="Z150" s="256"/>
      <c r="AA150" s="256"/>
      <c r="AB150" s="256"/>
      <c r="AC150" s="256"/>
      <c r="AD150" s="256"/>
      <c r="AE150" s="1062"/>
      <c r="AF150" s="1062"/>
      <c r="AG150" s="1062"/>
    </row>
    <row r="151" spans="1:33" x14ac:dyDescent="0.25">
      <c r="A151" s="1050" t="s">
        <v>531</v>
      </c>
      <c r="B151" s="1051" t="s">
        <v>527</v>
      </c>
      <c r="C151" s="245"/>
      <c r="D151" s="245"/>
      <c r="E151" s="1061"/>
      <c r="F151" s="257"/>
      <c r="G151" s="257"/>
      <c r="H151" s="257"/>
      <c r="I151" s="257"/>
      <c r="J151" s="257"/>
      <c r="K151" s="257"/>
      <c r="L151" s="257"/>
      <c r="M151" s="257"/>
      <c r="N151" s="257"/>
      <c r="O151" s="257"/>
      <c r="P151" s="257"/>
      <c r="Q151" s="257"/>
      <c r="R151" s="247"/>
      <c r="S151" s="256"/>
      <c r="T151" s="256"/>
      <c r="U151" s="256"/>
      <c r="V151" s="256"/>
      <c r="W151" s="256"/>
      <c r="X151" s="256"/>
      <c r="Y151" s="256"/>
      <c r="Z151" s="256"/>
      <c r="AA151" s="256"/>
      <c r="AB151" s="256"/>
      <c r="AC151" s="256"/>
      <c r="AD151" s="256"/>
      <c r="AE151" s="1062"/>
      <c r="AF151" s="1062"/>
      <c r="AG151" s="1062"/>
    </row>
    <row r="152" spans="1:33" x14ac:dyDescent="0.25">
      <c r="A152" s="1050" t="s">
        <v>531</v>
      </c>
      <c r="B152" s="1051" t="s">
        <v>528</v>
      </c>
      <c r="C152" s="245"/>
      <c r="D152" s="245"/>
      <c r="E152" s="1061"/>
      <c r="F152" s="257"/>
      <c r="G152" s="257"/>
      <c r="H152" s="257"/>
      <c r="I152" s="257"/>
      <c r="J152" s="257"/>
      <c r="K152" s="257"/>
      <c r="L152" s="257"/>
      <c r="M152" s="257"/>
      <c r="N152" s="257"/>
      <c r="O152" s="257"/>
      <c r="P152" s="257"/>
      <c r="Q152" s="257"/>
      <c r="R152" s="257"/>
      <c r="S152" s="247"/>
      <c r="T152" s="256"/>
      <c r="U152" s="256"/>
      <c r="V152" s="256"/>
      <c r="W152" s="256"/>
      <c r="X152" s="256"/>
      <c r="Y152" s="256"/>
      <c r="Z152" s="256"/>
      <c r="AA152" s="256"/>
      <c r="AB152" s="256"/>
      <c r="AC152" s="256"/>
      <c r="AD152" s="256"/>
      <c r="AE152" s="1062"/>
      <c r="AF152" s="1062"/>
      <c r="AG152" s="1062"/>
    </row>
    <row r="153" spans="1:33" x14ac:dyDescent="0.25">
      <c r="A153" s="1050" t="s">
        <v>531</v>
      </c>
      <c r="B153" s="1051" t="s">
        <v>532</v>
      </c>
      <c r="C153" s="245"/>
      <c r="D153" s="245"/>
      <c r="E153" s="1064"/>
      <c r="F153" s="257"/>
      <c r="G153" s="257"/>
      <c r="H153" s="257"/>
      <c r="I153" s="257"/>
      <c r="J153" s="257"/>
      <c r="K153" s="257"/>
      <c r="L153" s="257"/>
      <c r="M153" s="257"/>
      <c r="N153" s="257"/>
      <c r="O153" s="257"/>
      <c r="P153" s="257"/>
      <c r="Q153" s="257"/>
      <c r="R153" s="257"/>
      <c r="S153" s="257"/>
      <c r="T153" s="247"/>
      <c r="U153" s="256"/>
      <c r="V153" s="256"/>
      <c r="W153" s="256"/>
      <c r="X153" s="256"/>
      <c r="Y153" s="256"/>
      <c r="Z153" s="256"/>
      <c r="AA153" s="256"/>
      <c r="AB153" s="256"/>
      <c r="AC153" s="256"/>
      <c r="AD153" s="256"/>
      <c r="AE153" s="1062"/>
      <c r="AF153" s="1062"/>
      <c r="AG153" s="1062"/>
    </row>
    <row r="154" spans="1:33" x14ac:dyDescent="0.25">
      <c r="A154" s="1050" t="s">
        <v>531</v>
      </c>
      <c r="B154" s="1051" t="s">
        <v>533</v>
      </c>
      <c r="C154" s="245"/>
      <c r="D154" s="245"/>
      <c r="E154" s="1064"/>
      <c r="F154" s="257"/>
      <c r="G154" s="257"/>
      <c r="H154" s="257"/>
      <c r="I154" s="257"/>
      <c r="J154" s="257"/>
      <c r="K154" s="257"/>
      <c r="L154" s="257"/>
      <c r="M154" s="257"/>
      <c r="N154" s="257"/>
      <c r="O154" s="257"/>
      <c r="P154" s="257"/>
      <c r="Q154" s="257"/>
      <c r="R154" s="257"/>
      <c r="S154" s="257"/>
      <c r="T154" s="257"/>
      <c r="U154" s="247"/>
      <c r="V154" s="256"/>
      <c r="W154" s="256"/>
      <c r="X154" s="256"/>
      <c r="Y154" s="256"/>
      <c r="Z154" s="256"/>
      <c r="AA154" s="256"/>
      <c r="AB154" s="256"/>
      <c r="AC154" s="256"/>
      <c r="AD154" s="256"/>
      <c r="AE154" s="1062"/>
      <c r="AF154" s="1062"/>
      <c r="AG154" s="1062"/>
    </row>
    <row r="155" spans="1:33" x14ac:dyDescent="0.25">
      <c r="A155" s="1050" t="s">
        <v>531</v>
      </c>
      <c r="B155" s="1051" t="s">
        <v>534</v>
      </c>
      <c r="C155" s="245"/>
      <c r="D155" s="245"/>
      <c r="E155" s="1064"/>
      <c r="F155" s="257"/>
      <c r="G155" s="257"/>
      <c r="H155" s="257"/>
      <c r="I155" s="257"/>
      <c r="J155" s="257"/>
      <c r="K155" s="257"/>
      <c r="L155" s="257"/>
      <c r="M155" s="257"/>
      <c r="N155" s="257"/>
      <c r="O155" s="257"/>
      <c r="P155" s="257"/>
      <c r="Q155" s="257"/>
      <c r="R155" s="257"/>
      <c r="S155" s="257"/>
      <c r="T155" s="257"/>
      <c r="U155" s="257"/>
      <c r="V155" s="247"/>
      <c r="W155" s="256"/>
      <c r="X155" s="256"/>
      <c r="Y155" s="256"/>
      <c r="Z155" s="256"/>
      <c r="AA155" s="256"/>
      <c r="AB155" s="256"/>
      <c r="AC155" s="256"/>
      <c r="AD155" s="256"/>
      <c r="AE155" s="1062"/>
      <c r="AF155" s="1062"/>
      <c r="AG155" s="1062"/>
    </row>
    <row r="156" spans="1:33" x14ac:dyDescent="0.25">
      <c r="A156" s="1050" t="s">
        <v>531</v>
      </c>
      <c r="B156" s="1051" t="s">
        <v>544</v>
      </c>
      <c r="C156" s="245"/>
      <c r="D156" s="245"/>
      <c r="E156" s="1064"/>
      <c r="F156" s="257"/>
      <c r="G156" s="257"/>
      <c r="H156" s="257"/>
      <c r="I156" s="257"/>
      <c r="J156" s="257"/>
      <c r="K156" s="257"/>
      <c r="L156" s="257"/>
      <c r="M156" s="257"/>
      <c r="N156" s="257"/>
      <c r="O156" s="257"/>
      <c r="P156" s="257"/>
      <c r="Q156" s="257"/>
      <c r="R156" s="257"/>
      <c r="S156" s="257"/>
      <c r="T156" s="257"/>
      <c r="U156" s="257"/>
      <c r="V156" s="257"/>
      <c r="W156" s="247"/>
      <c r="X156" s="256"/>
      <c r="Y156" s="256"/>
      <c r="Z156" s="256"/>
      <c r="AA156" s="256"/>
      <c r="AB156" s="256"/>
      <c r="AC156" s="256"/>
      <c r="AD156" s="256"/>
      <c r="AE156" s="1062"/>
      <c r="AF156" s="1062"/>
      <c r="AG156" s="1062"/>
    </row>
    <row r="157" spans="1:33" x14ac:dyDescent="0.25">
      <c r="A157" s="1050" t="s">
        <v>531</v>
      </c>
      <c r="B157" s="1051" t="s">
        <v>545</v>
      </c>
      <c r="C157" s="245"/>
      <c r="D157" s="245"/>
      <c r="E157" s="1064"/>
      <c r="F157" s="257"/>
      <c r="G157" s="257"/>
      <c r="H157" s="257"/>
      <c r="I157" s="257"/>
      <c r="J157" s="257"/>
      <c r="K157" s="257"/>
      <c r="L157" s="257"/>
      <c r="M157" s="257"/>
      <c r="N157" s="257"/>
      <c r="O157" s="257"/>
      <c r="P157" s="257"/>
      <c r="Q157" s="257"/>
      <c r="R157" s="257"/>
      <c r="S157" s="257"/>
      <c r="T157" s="257"/>
      <c r="U157" s="257"/>
      <c r="V157" s="257"/>
      <c r="W157" s="257"/>
      <c r="X157" s="247"/>
      <c r="Y157" s="256"/>
      <c r="Z157" s="256"/>
      <c r="AA157" s="256"/>
      <c r="AB157" s="256"/>
      <c r="AC157" s="256"/>
      <c r="AD157" s="256"/>
      <c r="AE157" s="1062"/>
      <c r="AF157" s="1062"/>
      <c r="AG157" s="1062"/>
    </row>
    <row r="158" spans="1:33" x14ac:dyDescent="0.25">
      <c r="A158" s="1050" t="s">
        <v>531</v>
      </c>
      <c r="B158" s="1051" t="s">
        <v>546</v>
      </c>
      <c r="C158" s="245"/>
      <c r="D158" s="245"/>
      <c r="E158" s="1064"/>
      <c r="F158" s="257"/>
      <c r="G158" s="257"/>
      <c r="H158" s="257"/>
      <c r="I158" s="257"/>
      <c r="J158" s="257"/>
      <c r="K158" s="257"/>
      <c r="L158" s="257"/>
      <c r="M158" s="257"/>
      <c r="N158" s="257"/>
      <c r="O158" s="257"/>
      <c r="P158" s="257"/>
      <c r="Q158" s="257"/>
      <c r="R158" s="257"/>
      <c r="S158" s="257"/>
      <c r="T158" s="257"/>
      <c r="U158" s="257"/>
      <c r="V158" s="257"/>
      <c r="W158" s="257"/>
      <c r="X158" s="257"/>
      <c r="Y158" s="247"/>
      <c r="Z158" s="256"/>
      <c r="AA158" s="256"/>
      <c r="AB158" s="256"/>
      <c r="AC158" s="256"/>
      <c r="AD158" s="256"/>
      <c r="AE158" s="1062"/>
      <c r="AF158" s="1062"/>
      <c r="AG158" s="1062"/>
    </row>
    <row r="159" spans="1:33" x14ac:dyDescent="0.25">
      <c r="A159" s="1050" t="s">
        <v>531</v>
      </c>
      <c r="B159" s="1051" t="s">
        <v>1445</v>
      </c>
      <c r="C159" s="245"/>
      <c r="D159" s="245"/>
      <c r="E159" s="1064"/>
      <c r="F159" s="257"/>
      <c r="G159" s="257"/>
      <c r="H159" s="257"/>
      <c r="I159" s="257"/>
      <c r="J159" s="257"/>
      <c r="K159" s="257"/>
      <c r="L159" s="257"/>
      <c r="M159" s="257"/>
      <c r="N159" s="257"/>
      <c r="O159" s="257"/>
      <c r="P159" s="257"/>
      <c r="Q159" s="257"/>
      <c r="R159" s="257"/>
      <c r="S159" s="257"/>
      <c r="T159" s="257"/>
      <c r="U159" s="257"/>
      <c r="V159" s="257"/>
      <c r="W159" s="257"/>
      <c r="X159" s="257"/>
      <c r="Y159" s="257"/>
      <c r="Z159" s="247"/>
      <c r="AA159" s="256"/>
      <c r="AB159" s="256"/>
      <c r="AC159" s="256"/>
      <c r="AD159" s="256"/>
      <c r="AE159" s="245"/>
      <c r="AF159" s="245"/>
      <c r="AG159" s="1062"/>
    </row>
    <row r="160" spans="1:33" x14ac:dyDescent="0.25">
      <c r="A160" s="1050" t="s">
        <v>531</v>
      </c>
      <c r="B160" s="1051" t="s">
        <v>1446</v>
      </c>
      <c r="C160" s="245"/>
      <c r="D160" s="245"/>
      <c r="E160" s="1064"/>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47"/>
      <c r="AB160" s="256"/>
      <c r="AC160" s="256"/>
      <c r="AD160" s="256"/>
      <c r="AE160" s="245"/>
      <c r="AF160" s="245"/>
      <c r="AG160" s="1062"/>
    </row>
    <row r="161" spans="1:33" x14ac:dyDescent="0.25">
      <c r="A161" s="1050" t="s">
        <v>531</v>
      </c>
      <c r="B161" s="1051" t="s">
        <v>1447</v>
      </c>
      <c r="C161" s="245"/>
      <c r="D161" s="245"/>
      <c r="E161" s="1064"/>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47"/>
      <c r="AC161" s="256"/>
      <c r="AD161" s="256"/>
      <c r="AE161" s="245"/>
      <c r="AF161" s="245"/>
      <c r="AG161" s="1062"/>
    </row>
    <row r="162" spans="1:33" x14ac:dyDescent="0.25">
      <c r="A162" s="1050" t="s">
        <v>531</v>
      </c>
      <c r="B162" s="1051" t="s">
        <v>1448</v>
      </c>
      <c r="C162" s="245"/>
      <c r="D162" s="245"/>
      <c r="E162" s="1064"/>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47"/>
      <c r="AD162" s="256"/>
      <c r="AE162" s="245"/>
      <c r="AF162" s="245"/>
      <c r="AG162" s="1062"/>
    </row>
    <row r="163" spans="1:33" x14ac:dyDescent="0.25">
      <c r="A163" s="1050" t="s">
        <v>531</v>
      </c>
      <c r="B163" s="1051" t="s">
        <v>1449</v>
      </c>
      <c r="C163" s="245"/>
      <c r="D163" s="245"/>
      <c r="E163" s="1064"/>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47"/>
      <c r="AE163" s="245"/>
      <c r="AF163" s="245"/>
      <c r="AG163" s="1062"/>
    </row>
    <row r="164" spans="1:33" ht="13" x14ac:dyDescent="0.3">
      <c r="A164" s="1054"/>
      <c r="B164" s="1055" t="s">
        <v>271</v>
      </c>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row>
    <row r="165" spans="1:33" x14ac:dyDescent="0.25">
      <c r="C165" s="1066"/>
    </row>
    <row r="168" spans="1:33" ht="13" x14ac:dyDescent="0.3">
      <c r="B168" s="1045" t="s">
        <v>541</v>
      </c>
      <c r="F168" s="1046" t="s">
        <v>10</v>
      </c>
    </row>
    <row r="169" spans="1:33" ht="26.15" customHeight="1" x14ac:dyDescent="0.35">
      <c r="A169" s="1047"/>
      <c r="B169" s="1060" t="s">
        <v>413</v>
      </c>
      <c r="C169" s="1962" t="s">
        <v>513</v>
      </c>
      <c r="D169" s="1962" t="s">
        <v>514</v>
      </c>
      <c r="E169" s="1962" t="s">
        <v>584</v>
      </c>
      <c r="F169" s="1964" t="s">
        <v>585</v>
      </c>
      <c r="G169" s="1965"/>
      <c r="H169" s="1965"/>
      <c r="I169" s="1965"/>
      <c r="J169" s="1965"/>
      <c r="K169" s="1965"/>
      <c r="L169" s="1965"/>
      <c r="M169" s="1965"/>
      <c r="N169" s="1965"/>
      <c r="O169" s="1965"/>
      <c r="P169" s="1965"/>
      <c r="Q169" s="1965"/>
      <c r="R169" s="1965"/>
      <c r="S169" s="1965"/>
      <c r="T169" s="1965"/>
      <c r="U169" s="1965"/>
      <c r="V169" s="1965"/>
      <c r="W169" s="1965"/>
      <c r="X169" s="1965"/>
      <c r="Y169" s="1965"/>
      <c r="Z169" s="1965"/>
      <c r="AA169" s="1965"/>
      <c r="AB169" s="1965"/>
      <c r="AC169" s="1965"/>
      <c r="AD169" s="1966"/>
      <c r="AE169" s="1048" t="s">
        <v>536</v>
      </c>
      <c r="AF169" s="1048" t="s">
        <v>529</v>
      </c>
      <c r="AG169" s="1048" t="s">
        <v>537</v>
      </c>
    </row>
    <row r="170" spans="1:33" ht="12.9" customHeight="1" x14ac:dyDescent="0.25">
      <c r="A170" s="1047"/>
      <c r="B170" s="1060"/>
      <c r="C170" s="1963"/>
      <c r="D170" s="1963"/>
      <c r="E170" s="1963"/>
      <c r="F170" s="1049" t="s">
        <v>515</v>
      </c>
      <c r="G170" s="1049" t="s">
        <v>516</v>
      </c>
      <c r="H170" s="1049" t="s">
        <v>517</v>
      </c>
      <c r="I170" s="1049" t="s">
        <v>518</v>
      </c>
      <c r="J170" s="1049" t="s">
        <v>519</v>
      </c>
      <c r="K170" s="1049" t="s">
        <v>520</v>
      </c>
      <c r="L170" s="1049" t="s">
        <v>521</v>
      </c>
      <c r="M170" s="1049" t="s">
        <v>522</v>
      </c>
      <c r="N170" s="1049" t="s">
        <v>523</v>
      </c>
      <c r="O170" s="1049" t="s">
        <v>524</v>
      </c>
      <c r="P170" s="1049" t="s">
        <v>525</v>
      </c>
      <c r="Q170" s="1049" t="s">
        <v>526</v>
      </c>
      <c r="R170" s="1049" t="s">
        <v>527</v>
      </c>
      <c r="S170" s="1049" t="s">
        <v>528</v>
      </c>
      <c r="T170" s="1049" t="s">
        <v>325</v>
      </c>
      <c r="U170" s="1049" t="s">
        <v>504</v>
      </c>
      <c r="V170" s="1049" t="s">
        <v>505</v>
      </c>
      <c r="W170" s="1049" t="s">
        <v>506</v>
      </c>
      <c r="X170" s="1049" t="s">
        <v>507</v>
      </c>
      <c r="Y170" s="1049" t="s">
        <v>508</v>
      </c>
      <c r="Z170" s="1049" t="s">
        <v>969</v>
      </c>
      <c r="AA170" s="1049" t="s">
        <v>970</v>
      </c>
      <c r="AB170" s="1049" t="s">
        <v>971</v>
      </c>
      <c r="AC170" s="1049" t="s">
        <v>972</v>
      </c>
      <c r="AD170" s="1049" t="s">
        <v>973</v>
      </c>
      <c r="AE170" s="1048"/>
      <c r="AF170" s="1048"/>
      <c r="AG170" s="1048"/>
    </row>
    <row r="171" spans="1:33" x14ac:dyDescent="0.25">
      <c r="A171" s="1050" t="s">
        <v>530</v>
      </c>
      <c r="B171" s="1051">
        <v>2005</v>
      </c>
      <c r="C171" s="1050"/>
      <c r="D171" s="1050"/>
      <c r="E171" s="1061"/>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1062"/>
      <c r="AF171" s="1062"/>
      <c r="AG171" s="1062"/>
    </row>
    <row r="172" spans="1:33" x14ac:dyDescent="0.25">
      <c r="A172" s="1050" t="s">
        <v>531</v>
      </c>
      <c r="B172" s="1051" t="s">
        <v>515</v>
      </c>
      <c r="C172" s="1050"/>
      <c r="D172" s="1050"/>
      <c r="E172" s="1061"/>
      <c r="F172" s="247"/>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1062"/>
      <c r="AF172" s="1062"/>
      <c r="AG172" s="1062"/>
    </row>
    <row r="173" spans="1:33" x14ac:dyDescent="0.25">
      <c r="A173" s="1050" t="s">
        <v>531</v>
      </c>
      <c r="B173" s="1051" t="s">
        <v>516</v>
      </c>
      <c r="C173" s="1050"/>
      <c r="D173" s="1050"/>
      <c r="E173" s="1061"/>
      <c r="F173" s="257"/>
      <c r="G173" s="247"/>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1062"/>
      <c r="AF173" s="1062"/>
      <c r="AG173" s="1062"/>
    </row>
    <row r="174" spans="1:33" x14ac:dyDescent="0.25">
      <c r="A174" s="1050" t="s">
        <v>531</v>
      </c>
      <c r="B174" s="1051" t="s">
        <v>517</v>
      </c>
      <c r="C174" s="1050"/>
      <c r="D174" s="1050"/>
      <c r="E174" s="1061"/>
      <c r="F174" s="257"/>
      <c r="G174" s="257"/>
      <c r="H174" s="247"/>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1062"/>
      <c r="AF174" s="1062"/>
      <c r="AG174" s="1062"/>
    </row>
    <row r="175" spans="1:33" x14ac:dyDescent="0.25">
      <c r="A175" s="1050" t="s">
        <v>531</v>
      </c>
      <c r="B175" s="1051" t="s">
        <v>518</v>
      </c>
      <c r="C175" s="1050"/>
      <c r="D175" s="1050"/>
      <c r="E175" s="1061"/>
      <c r="F175" s="257"/>
      <c r="G175" s="257"/>
      <c r="H175" s="257"/>
      <c r="I175" s="247"/>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1062"/>
      <c r="AF175" s="1062"/>
      <c r="AG175" s="1062"/>
    </row>
    <row r="176" spans="1:33" x14ac:dyDescent="0.25">
      <c r="A176" s="1050" t="s">
        <v>531</v>
      </c>
      <c r="B176" s="1051" t="s">
        <v>519</v>
      </c>
      <c r="C176" s="1050"/>
      <c r="D176" s="1050"/>
      <c r="E176" s="1061"/>
      <c r="F176" s="257"/>
      <c r="G176" s="257"/>
      <c r="H176" s="257"/>
      <c r="I176" s="257"/>
      <c r="J176" s="247"/>
      <c r="K176" s="256"/>
      <c r="L176" s="256"/>
      <c r="M176" s="256"/>
      <c r="N176" s="256"/>
      <c r="O176" s="256"/>
      <c r="P176" s="256"/>
      <c r="Q176" s="256"/>
      <c r="R176" s="256"/>
      <c r="S176" s="256"/>
      <c r="T176" s="256"/>
      <c r="U176" s="256"/>
      <c r="V176" s="256"/>
      <c r="W176" s="256"/>
      <c r="X176" s="256"/>
      <c r="Y176" s="256"/>
      <c r="Z176" s="256"/>
      <c r="AA176" s="256"/>
      <c r="AB176" s="256"/>
      <c r="AC176" s="256"/>
      <c r="AD176" s="256"/>
      <c r="AE176" s="1062"/>
      <c r="AF176" s="1062"/>
      <c r="AG176" s="1062"/>
    </row>
    <row r="177" spans="1:33" x14ac:dyDescent="0.25">
      <c r="A177" s="1050" t="s">
        <v>531</v>
      </c>
      <c r="B177" s="1051" t="s">
        <v>520</v>
      </c>
      <c r="C177" s="1050"/>
      <c r="D177" s="1050"/>
      <c r="E177" s="1061"/>
      <c r="F177" s="257"/>
      <c r="G177" s="257"/>
      <c r="H177" s="257"/>
      <c r="I177" s="257"/>
      <c r="J177" s="257"/>
      <c r="K177" s="247"/>
      <c r="L177" s="256"/>
      <c r="M177" s="256"/>
      <c r="N177" s="256"/>
      <c r="O177" s="256"/>
      <c r="P177" s="256"/>
      <c r="Q177" s="256"/>
      <c r="R177" s="256"/>
      <c r="S177" s="256"/>
      <c r="T177" s="256"/>
      <c r="U177" s="256"/>
      <c r="V177" s="256"/>
      <c r="W177" s="256"/>
      <c r="X177" s="256"/>
      <c r="Y177" s="256"/>
      <c r="Z177" s="256"/>
      <c r="AA177" s="256"/>
      <c r="AB177" s="256"/>
      <c r="AC177" s="256"/>
      <c r="AD177" s="256"/>
      <c r="AE177" s="1062"/>
      <c r="AF177" s="1062"/>
      <c r="AG177" s="1062"/>
    </row>
    <row r="178" spans="1:33" x14ac:dyDescent="0.25">
      <c r="A178" s="1050" t="s">
        <v>531</v>
      </c>
      <c r="B178" s="1051" t="s">
        <v>521</v>
      </c>
      <c r="C178" s="1050"/>
      <c r="D178" s="1050"/>
      <c r="E178" s="1061"/>
      <c r="F178" s="257"/>
      <c r="G178" s="257"/>
      <c r="H178" s="257"/>
      <c r="I178" s="257"/>
      <c r="J178" s="257"/>
      <c r="K178" s="257"/>
      <c r="L178" s="247"/>
      <c r="M178" s="256"/>
      <c r="N178" s="256"/>
      <c r="O178" s="256"/>
      <c r="P178" s="256"/>
      <c r="Q178" s="256"/>
      <c r="R178" s="256"/>
      <c r="S178" s="256"/>
      <c r="T178" s="256"/>
      <c r="U178" s="256"/>
      <c r="V178" s="256"/>
      <c r="W178" s="256"/>
      <c r="X178" s="256"/>
      <c r="Y178" s="256"/>
      <c r="Z178" s="256"/>
      <c r="AA178" s="256"/>
      <c r="AB178" s="256"/>
      <c r="AC178" s="256"/>
      <c r="AD178" s="256"/>
      <c r="AE178" s="1062"/>
      <c r="AF178" s="1062"/>
      <c r="AG178" s="1062"/>
    </row>
    <row r="179" spans="1:33" x14ac:dyDescent="0.25">
      <c r="A179" s="1050" t="s">
        <v>531</v>
      </c>
      <c r="B179" s="1051" t="s">
        <v>522</v>
      </c>
      <c r="C179" s="1050"/>
      <c r="D179" s="1050"/>
      <c r="E179" s="1061"/>
      <c r="F179" s="257"/>
      <c r="G179" s="257"/>
      <c r="H179" s="257"/>
      <c r="I179" s="257"/>
      <c r="J179" s="257"/>
      <c r="K179" s="257"/>
      <c r="L179" s="257"/>
      <c r="M179" s="247"/>
      <c r="N179" s="256"/>
      <c r="O179" s="256"/>
      <c r="P179" s="256"/>
      <c r="Q179" s="256"/>
      <c r="R179" s="256"/>
      <c r="S179" s="256"/>
      <c r="T179" s="256"/>
      <c r="U179" s="256"/>
      <c r="V179" s="256"/>
      <c r="W179" s="256"/>
      <c r="X179" s="256"/>
      <c r="Y179" s="256"/>
      <c r="Z179" s="256"/>
      <c r="AA179" s="256"/>
      <c r="AB179" s="256"/>
      <c r="AC179" s="256"/>
      <c r="AD179" s="256"/>
      <c r="AE179" s="1062"/>
      <c r="AF179" s="1062"/>
      <c r="AG179" s="1062"/>
    </row>
    <row r="180" spans="1:33" x14ac:dyDescent="0.25">
      <c r="A180" s="1050" t="s">
        <v>531</v>
      </c>
      <c r="B180" s="1051" t="s">
        <v>523</v>
      </c>
      <c r="C180" s="1050"/>
      <c r="D180" s="1050"/>
      <c r="E180" s="1061"/>
      <c r="F180" s="257"/>
      <c r="G180" s="257"/>
      <c r="H180" s="257"/>
      <c r="I180" s="257"/>
      <c r="J180" s="257"/>
      <c r="K180" s="257"/>
      <c r="L180" s="257"/>
      <c r="M180" s="257"/>
      <c r="N180" s="247"/>
      <c r="O180" s="256"/>
      <c r="P180" s="256"/>
      <c r="Q180" s="256"/>
      <c r="R180" s="256"/>
      <c r="S180" s="256"/>
      <c r="T180" s="256"/>
      <c r="U180" s="256"/>
      <c r="V180" s="256"/>
      <c r="W180" s="256"/>
      <c r="X180" s="256"/>
      <c r="Y180" s="256"/>
      <c r="Z180" s="256"/>
      <c r="AA180" s="256"/>
      <c r="AB180" s="256"/>
      <c r="AC180" s="256"/>
      <c r="AD180" s="256"/>
      <c r="AE180" s="1062"/>
      <c r="AF180" s="1062"/>
      <c r="AG180" s="1062"/>
    </row>
    <row r="181" spans="1:33" x14ac:dyDescent="0.25">
      <c r="A181" s="1050" t="s">
        <v>531</v>
      </c>
      <c r="B181" s="1051" t="s">
        <v>524</v>
      </c>
      <c r="C181" s="245"/>
      <c r="D181" s="1050"/>
      <c r="E181" s="1061"/>
      <c r="F181" s="257"/>
      <c r="G181" s="257"/>
      <c r="H181" s="257"/>
      <c r="I181" s="257"/>
      <c r="J181" s="257"/>
      <c r="K181" s="257"/>
      <c r="L181" s="257"/>
      <c r="M181" s="257"/>
      <c r="N181" s="257"/>
      <c r="O181" s="247"/>
      <c r="P181" s="256"/>
      <c r="Q181" s="256"/>
      <c r="R181" s="256"/>
      <c r="S181" s="256"/>
      <c r="T181" s="256"/>
      <c r="U181" s="256"/>
      <c r="V181" s="256"/>
      <c r="W181" s="256"/>
      <c r="X181" s="256"/>
      <c r="Y181" s="256"/>
      <c r="Z181" s="256"/>
      <c r="AA181" s="256"/>
      <c r="AB181" s="256"/>
      <c r="AC181" s="256"/>
      <c r="AD181" s="256"/>
      <c r="AE181" s="1062"/>
      <c r="AF181" s="1062"/>
      <c r="AG181" s="1062"/>
    </row>
    <row r="182" spans="1:33" x14ac:dyDescent="0.25">
      <c r="A182" s="1050" t="s">
        <v>531</v>
      </c>
      <c r="B182" s="1051" t="s">
        <v>525</v>
      </c>
      <c r="C182" s="245"/>
      <c r="D182" s="1050"/>
      <c r="E182" s="1061"/>
      <c r="F182" s="257"/>
      <c r="G182" s="257"/>
      <c r="H182" s="257"/>
      <c r="I182" s="257"/>
      <c r="J182" s="257"/>
      <c r="K182" s="257"/>
      <c r="L182" s="257"/>
      <c r="M182" s="257"/>
      <c r="N182" s="257"/>
      <c r="O182" s="257"/>
      <c r="P182" s="247"/>
      <c r="Q182" s="256"/>
      <c r="R182" s="256"/>
      <c r="S182" s="256"/>
      <c r="T182" s="256"/>
      <c r="U182" s="256"/>
      <c r="V182" s="256"/>
      <c r="W182" s="256"/>
      <c r="X182" s="256"/>
      <c r="Y182" s="256"/>
      <c r="Z182" s="256"/>
      <c r="AA182" s="256"/>
      <c r="AB182" s="256"/>
      <c r="AC182" s="256"/>
      <c r="AD182" s="256"/>
      <c r="AE182" s="1062"/>
      <c r="AF182" s="1062"/>
      <c r="AG182" s="1062"/>
    </row>
    <row r="183" spans="1:33" x14ac:dyDescent="0.25">
      <c r="A183" s="1050" t="s">
        <v>531</v>
      </c>
      <c r="B183" s="1051" t="s">
        <v>526</v>
      </c>
      <c r="C183" s="245"/>
      <c r="D183" s="245"/>
      <c r="E183" s="1061"/>
      <c r="F183" s="257"/>
      <c r="G183" s="257"/>
      <c r="H183" s="257"/>
      <c r="I183" s="257"/>
      <c r="J183" s="257"/>
      <c r="K183" s="257"/>
      <c r="L183" s="257"/>
      <c r="M183" s="257"/>
      <c r="N183" s="257"/>
      <c r="O183" s="257"/>
      <c r="P183" s="257"/>
      <c r="Q183" s="247"/>
      <c r="R183" s="256"/>
      <c r="S183" s="256"/>
      <c r="T183" s="256"/>
      <c r="U183" s="256"/>
      <c r="V183" s="256"/>
      <c r="W183" s="256"/>
      <c r="X183" s="256"/>
      <c r="Y183" s="256"/>
      <c r="Z183" s="256"/>
      <c r="AA183" s="256"/>
      <c r="AB183" s="256"/>
      <c r="AC183" s="256"/>
      <c r="AD183" s="256"/>
      <c r="AE183" s="1062"/>
      <c r="AF183" s="1062"/>
      <c r="AG183" s="1062"/>
    </row>
    <row r="184" spans="1:33" x14ac:dyDescent="0.25">
      <c r="A184" s="1050" t="s">
        <v>531</v>
      </c>
      <c r="B184" s="1051" t="s">
        <v>527</v>
      </c>
      <c r="C184" s="245"/>
      <c r="D184" s="245"/>
      <c r="E184" s="1061"/>
      <c r="F184" s="257"/>
      <c r="G184" s="257"/>
      <c r="H184" s="257"/>
      <c r="I184" s="257"/>
      <c r="J184" s="257"/>
      <c r="K184" s="257"/>
      <c r="L184" s="257"/>
      <c r="M184" s="257"/>
      <c r="N184" s="257"/>
      <c r="O184" s="257"/>
      <c r="P184" s="257"/>
      <c r="Q184" s="257"/>
      <c r="R184" s="247"/>
      <c r="S184" s="256"/>
      <c r="T184" s="256"/>
      <c r="U184" s="256"/>
      <c r="V184" s="256"/>
      <c r="W184" s="256"/>
      <c r="X184" s="256"/>
      <c r="Y184" s="256"/>
      <c r="Z184" s="256"/>
      <c r="AA184" s="256"/>
      <c r="AB184" s="256"/>
      <c r="AC184" s="256"/>
      <c r="AD184" s="256"/>
      <c r="AE184" s="1062"/>
      <c r="AF184" s="1062"/>
      <c r="AG184" s="1062"/>
    </row>
    <row r="185" spans="1:33" x14ac:dyDescent="0.25">
      <c r="A185" s="1050" t="s">
        <v>531</v>
      </c>
      <c r="B185" s="1051" t="s">
        <v>528</v>
      </c>
      <c r="C185" s="245"/>
      <c r="D185" s="245"/>
      <c r="E185" s="1061"/>
      <c r="F185" s="257"/>
      <c r="G185" s="257"/>
      <c r="H185" s="257"/>
      <c r="I185" s="257"/>
      <c r="J185" s="257"/>
      <c r="K185" s="257"/>
      <c r="L185" s="257"/>
      <c r="M185" s="257"/>
      <c r="N185" s="257"/>
      <c r="O185" s="257"/>
      <c r="P185" s="257"/>
      <c r="Q185" s="257"/>
      <c r="R185" s="257"/>
      <c r="S185" s="247"/>
      <c r="T185" s="256"/>
      <c r="U185" s="256"/>
      <c r="V185" s="256"/>
      <c r="W185" s="256"/>
      <c r="X185" s="256"/>
      <c r="Y185" s="256"/>
      <c r="Z185" s="256"/>
      <c r="AA185" s="256"/>
      <c r="AB185" s="256"/>
      <c r="AC185" s="256"/>
      <c r="AD185" s="256"/>
      <c r="AE185" s="1062"/>
      <c r="AF185" s="1062"/>
      <c r="AG185" s="1062"/>
    </row>
    <row r="186" spans="1:33" x14ac:dyDescent="0.25">
      <c r="A186" s="1050" t="s">
        <v>531</v>
      </c>
      <c r="B186" s="1051" t="s">
        <v>532</v>
      </c>
      <c r="C186" s="1063"/>
      <c r="D186" s="245"/>
      <c r="E186" s="1061"/>
      <c r="F186" s="257"/>
      <c r="G186" s="257"/>
      <c r="H186" s="257"/>
      <c r="I186" s="257"/>
      <c r="J186" s="257"/>
      <c r="K186" s="257"/>
      <c r="L186" s="257"/>
      <c r="M186" s="257"/>
      <c r="N186" s="257"/>
      <c r="O186" s="257"/>
      <c r="P186" s="257"/>
      <c r="Q186" s="257"/>
      <c r="R186" s="257"/>
      <c r="S186" s="257"/>
      <c r="T186" s="247"/>
      <c r="U186" s="256"/>
      <c r="V186" s="256"/>
      <c r="W186" s="256"/>
      <c r="X186" s="256"/>
      <c r="Y186" s="256"/>
      <c r="Z186" s="256"/>
      <c r="AA186" s="256"/>
      <c r="AB186" s="256"/>
      <c r="AC186" s="256"/>
      <c r="AD186" s="256"/>
      <c r="AE186" s="1062"/>
      <c r="AF186" s="1062"/>
      <c r="AG186" s="1062"/>
    </row>
    <row r="187" spans="1:33" x14ac:dyDescent="0.25">
      <c r="A187" s="1050" t="s">
        <v>531</v>
      </c>
      <c r="B187" s="1051" t="s">
        <v>533</v>
      </c>
      <c r="C187" s="245"/>
      <c r="D187" s="245"/>
      <c r="E187" s="1061"/>
      <c r="F187" s="257"/>
      <c r="G187" s="257"/>
      <c r="H187" s="257"/>
      <c r="I187" s="257"/>
      <c r="J187" s="257"/>
      <c r="K187" s="257"/>
      <c r="L187" s="257"/>
      <c r="M187" s="257"/>
      <c r="N187" s="257"/>
      <c r="O187" s="257"/>
      <c r="P187" s="257"/>
      <c r="Q187" s="257"/>
      <c r="R187" s="257"/>
      <c r="S187" s="257"/>
      <c r="T187" s="257"/>
      <c r="U187" s="247"/>
      <c r="V187" s="256"/>
      <c r="W187" s="256"/>
      <c r="X187" s="256"/>
      <c r="Y187" s="256"/>
      <c r="Z187" s="256"/>
      <c r="AA187" s="256"/>
      <c r="AB187" s="256"/>
      <c r="AC187" s="256"/>
      <c r="AD187" s="256"/>
      <c r="AE187" s="1062"/>
      <c r="AF187" s="1062"/>
      <c r="AG187" s="1062"/>
    </row>
    <row r="188" spans="1:33" x14ac:dyDescent="0.25">
      <c r="A188" s="1050" t="s">
        <v>531</v>
      </c>
      <c r="B188" s="1051" t="s">
        <v>534</v>
      </c>
      <c r="C188" s="245"/>
      <c r="D188" s="245"/>
      <c r="E188" s="1061"/>
      <c r="F188" s="257"/>
      <c r="G188" s="257"/>
      <c r="H188" s="257"/>
      <c r="I188" s="257"/>
      <c r="J188" s="257"/>
      <c r="K188" s="257"/>
      <c r="L188" s="257"/>
      <c r="M188" s="257"/>
      <c r="N188" s="257"/>
      <c r="O188" s="257"/>
      <c r="P188" s="257"/>
      <c r="Q188" s="257"/>
      <c r="R188" s="257"/>
      <c r="S188" s="257"/>
      <c r="T188" s="257"/>
      <c r="U188" s="257"/>
      <c r="V188" s="247"/>
      <c r="W188" s="256"/>
      <c r="X188" s="256"/>
      <c r="Y188" s="256"/>
      <c r="Z188" s="256"/>
      <c r="AA188" s="256"/>
      <c r="AB188" s="256"/>
      <c r="AC188" s="256"/>
      <c r="AD188" s="256"/>
      <c r="AE188" s="1062"/>
      <c r="AF188" s="1062"/>
      <c r="AG188" s="1062"/>
    </row>
    <row r="189" spans="1:33" x14ac:dyDescent="0.25">
      <c r="A189" s="1050" t="s">
        <v>531</v>
      </c>
      <c r="B189" s="1051" t="s">
        <v>544</v>
      </c>
      <c r="C189" s="245"/>
      <c r="D189" s="245"/>
      <c r="E189" s="1061"/>
      <c r="F189" s="257"/>
      <c r="G189" s="257"/>
      <c r="H189" s="257"/>
      <c r="I189" s="257"/>
      <c r="J189" s="257"/>
      <c r="K189" s="257"/>
      <c r="L189" s="257"/>
      <c r="M189" s="257"/>
      <c r="N189" s="257"/>
      <c r="O189" s="257"/>
      <c r="P189" s="257"/>
      <c r="Q189" s="257"/>
      <c r="R189" s="257"/>
      <c r="S189" s="257"/>
      <c r="T189" s="257"/>
      <c r="U189" s="257"/>
      <c r="V189" s="257"/>
      <c r="W189" s="247"/>
      <c r="X189" s="256"/>
      <c r="Y189" s="256"/>
      <c r="Z189" s="256"/>
      <c r="AA189" s="256"/>
      <c r="AB189" s="256"/>
      <c r="AC189" s="256"/>
      <c r="AD189" s="256"/>
      <c r="AE189" s="1062"/>
      <c r="AF189" s="1062"/>
      <c r="AG189" s="1062"/>
    </row>
    <row r="190" spans="1:33" x14ac:dyDescent="0.25">
      <c r="A190" s="1050" t="s">
        <v>531</v>
      </c>
      <c r="B190" s="1051" t="s">
        <v>545</v>
      </c>
      <c r="C190" s="245"/>
      <c r="D190" s="245"/>
      <c r="E190" s="1061"/>
      <c r="F190" s="257"/>
      <c r="G190" s="257"/>
      <c r="H190" s="257"/>
      <c r="I190" s="257"/>
      <c r="J190" s="257"/>
      <c r="K190" s="257"/>
      <c r="L190" s="257"/>
      <c r="M190" s="257"/>
      <c r="N190" s="257"/>
      <c r="O190" s="257"/>
      <c r="P190" s="257"/>
      <c r="Q190" s="257"/>
      <c r="R190" s="257"/>
      <c r="S190" s="257"/>
      <c r="T190" s="257"/>
      <c r="U190" s="257"/>
      <c r="V190" s="257"/>
      <c r="W190" s="257"/>
      <c r="X190" s="247"/>
      <c r="Y190" s="256"/>
      <c r="Z190" s="256"/>
      <c r="AA190" s="256"/>
      <c r="AB190" s="256"/>
      <c r="AC190" s="256"/>
      <c r="AD190" s="256"/>
      <c r="AE190" s="1062"/>
      <c r="AF190" s="1062"/>
      <c r="AG190" s="1062"/>
    </row>
    <row r="191" spans="1:33" x14ac:dyDescent="0.25">
      <c r="A191" s="1050" t="s">
        <v>531</v>
      </c>
      <c r="B191" s="1051" t="s">
        <v>546</v>
      </c>
      <c r="C191" s="245"/>
      <c r="D191" s="245"/>
      <c r="E191" s="1061"/>
      <c r="F191" s="257"/>
      <c r="G191" s="257"/>
      <c r="H191" s="257"/>
      <c r="I191" s="257"/>
      <c r="J191" s="257"/>
      <c r="K191" s="257"/>
      <c r="L191" s="257"/>
      <c r="M191" s="257"/>
      <c r="N191" s="257"/>
      <c r="O191" s="257"/>
      <c r="P191" s="257"/>
      <c r="Q191" s="257"/>
      <c r="R191" s="257"/>
      <c r="S191" s="257"/>
      <c r="T191" s="257"/>
      <c r="U191" s="257"/>
      <c r="V191" s="257"/>
      <c r="W191" s="257"/>
      <c r="X191" s="257"/>
      <c r="Y191" s="247"/>
      <c r="Z191" s="256"/>
      <c r="AA191" s="256"/>
      <c r="AB191" s="256"/>
      <c r="AC191" s="256"/>
      <c r="AD191" s="256"/>
      <c r="AE191" s="1062"/>
      <c r="AF191" s="1062"/>
      <c r="AG191" s="1062"/>
    </row>
    <row r="192" spans="1:33" x14ac:dyDescent="0.25">
      <c r="A192" s="1050" t="s">
        <v>531</v>
      </c>
      <c r="B192" s="1051" t="s">
        <v>1445</v>
      </c>
      <c r="C192" s="245"/>
      <c r="D192" s="245"/>
      <c r="E192" s="1064"/>
      <c r="F192" s="257"/>
      <c r="G192" s="257"/>
      <c r="H192" s="257"/>
      <c r="I192" s="257"/>
      <c r="J192" s="257"/>
      <c r="K192" s="257"/>
      <c r="L192" s="257"/>
      <c r="M192" s="257"/>
      <c r="N192" s="257"/>
      <c r="O192" s="257"/>
      <c r="P192" s="257"/>
      <c r="Q192" s="257"/>
      <c r="R192" s="257"/>
      <c r="S192" s="257"/>
      <c r="T192" s="257"/>
      <c r="U192" s="257"/>
      <c r="V192" s="257"/>
      <c r="W192" s="257"/>
      <c r="X192" s="257"/>
      <c r="Y192" s="257"/>
      <c r="Z192" s="247"/>
      <c r="AA192" s="256"/>
      <c r="AB192" s="256"/>
      <c r="AC192" s="256"/>
      <c r="AD192" s="256"/>
      <c r="AE192" s="245"/>
      <c r="AF192" s="245"/>
      <c r="AG192" s="1062"/>
    </row>
    <row r="193" spans="1:33" x14ac:dyDescent="0.25">
      <c r="A193" s="1050" t="s">
        <v>531</v>
      </c>
      <c r="B193" s="1051" t="s">
        <v>1446</v>
      </c>
      <c r="C193" s="245"/>
      <c r="D193" s="245"/>
      <c r="E193" s="1064"/>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47"/>
      <c r="AB193" s="256"/>
      <c r="AC193" s="256"/>
      <c r="AD193" s="256"/>
      <c r="AE193" s="245"/>
      <c r="AF193" s="245"/>
      <c r="AG193" s="1062"/>
    </row>
    <row r="194" spans="1:33" x14ac:dyDescent="0.25">
      <c r="A194" s="1050" t="s">
        <v>531</v>
      </c>
      <c r="B194" s="1051" t="s">
        <v>1447</v>
      </c>
      <c r="C194" s="245"/>
      <c r="D194" s="245"/>
      <c r="E194" s="1064"/>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47"/>
      <c r="AC194" s="256"/>
      <c r="AD194" s="256"/>
      <c r="AE194" s="245"/>
      <c r="AF194" s="245"/>
      <c r="AG194" s="1062"/>
    </row>
    <row r="195" spans="1:33" x14ac:dyDescent="0.25">
      <c r="A195" s="1050" t="s">
        <v>531</v>
      </c>
      <c r="B195" s="1051" t="s">
        <v>1448</v>
      </c>
      <c r="C195" s="245"/>
      <c r="D195" s="245"/>
      <c r="E195" s="1064"/>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47"/>
      <c r="AD195" s="256"/>
      <c r="AE195" s="245"/>
      <c r="AF195" s="245"/>
      <c r="AG195" s="1062"/>
    </row>
    <row r="196" spans="1:33" x14ac:dyDescent="0.25">
      <c r="A196" s="1050" t="s">
        <v>531</v>
      </c>
      <c r="B196" s="1051" t="s">
        <v>1449</v>
      </c>
      <c r="C196" s="245"/>
      <c r="D196" s="245"/>
      <c r="E196" s="1064"/>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47"/>
      <c r="AE196" s="245"/>
      <c r="AF196" s="245"/>
      <c r="AG196" s="1062"/>
    </row>
    <row r="197" spans="1:33" ht="13" x14ac:dyDescent="0.3">
      <c r="A197" s="1054" t="s">
        <v>368</v>
      </c>
      <c r="B197" s="1055" t="s">
        <v>271</v>
      </c>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row>
    <row r="198" spans="1:33" x14ac:dyDescent="0.25">
      <c r="C198" s="1066"/>
    </row>
    <row r="199" spans="1:33" x14ac:dyDescent="0.25">
      <c r="C199" s="1056"/>
    </row>
    <row r="201" spans="1:33" ht="13" x14ac:dyDescent="0.3">
      <c r="B201" s="1045" t="s">
        <v>542</v>
      </c>
      <c r="F201" s="1046" t="s">
        <v>10</v>
      </c>
    </row>
    <row r="202" spans="1:33" ht="26.15" customHeight="1" x14ac:dyDescent="0.35">
      <c r="A202" s="1047"/>
      <c r="B202" s="1060" t="s">
        <v>413</v>
      </c>
      <c r="C202" s="1962" t="s">
        <v>513</v>
      </c>
      <c r="D202" s="1962" t="s">
        <v>514</v>
      </c>
      <c r="E202" s="1962" t="s">
        <v>584</v>
      </c>
      <c r="F202" s="1964" t="s">
        <v>585</v>
      </c>
      <c r="G202" s="1965"/>
      <c r="H202" s="1965"/>
      <c r="I202" s="1965"/>
      <c r="J202" s="1965"/>
      <c r="K202" s="1965"/>
      <c r="L202" s="1965"/>
      <c r="M202" s="1965"/>
      <c r="N202" s="1965"/>
      <c r="O202" s="1965"/>
      <c r="P202" s="1965"/>
      <c r="Q202" s="1965"/>
      <c r="R202" s="1965"/>
      <c r="S202" s="1965"/>
      <c r="T202" s="1965"/>
      <c r="U202" s="1965"/>
      <c r="V202" s="1965"/>
      <c r="W202" s="1965"/>
      <c r="X202" s="1965"/>
      <c r="Y202" s="1965"/>
      <c r="Z202" s="1965"/>
      <c r="AA202" s="1965"/>
      <c r="AB202" s="1965"/>
      <c r="AC202" s="1965"/>
      <c r="AD202" s="1966"/>
      <c r="AE202" s="1048" t="s">
        <v>536</v>
      </c>
      <c r="AF202" s="1048" t="s">
        <v>529</v>
      </c>
      <c r="AG202" s="1048" t="s">
        <v>537</v>
      </c>
    </row>
    <row r="203" spans="1:33" ht="12.9" customHeight="1" x14ac:dyDescent="0.25">
      <c r="A203" s="1047"/>
      <c r="B203" s="1060"/>
      <c r="C203" s="1963"/>
      <c r="D203" s="1963"/>
      <c r="E203" s="1963"/>
      <c r="F203" s="1049" t="s">
        <v>515</v>
      </c>
      <c r="G203" s="1049" t="s">
        <v>516</v>
      </c>
      <c r="H203" s="1049" t="s">
        <v>517</v>
      </c>
      <c r="I203" s="1049" t="s">
        <v>518</v>
      </c>
      <c r="J203" s="1049" t="s">
        <v>519</v>
      </c>
      <c r="K203" s="1049" t="s">
        <v>520</v>
      </c>
      <c r="L203" s="1049" t="s">
        <v>521</v>
      </c>
      <c r="M203" s="1049" t="s">
        <v>522</v>
      </c>
      <c r="N203" s="1049" t="s">
        <v>523</v>
      </c>
      <c r="O203" s="1049" t="s">
        <v>524</v>
      </c>
      <c r="P203" s="1049" t="s">
        <v>525</v>
      </c>
      <c r="Q203" s="1049" t="s">
        <v>526</v>
      </c>
      <c r="R203" s="1049" t="s">
        <v>527</v>
      </c>
      <c r="S203" s="1049" t="s">
        <v>528</v>
      </c>
      <c r="T203" s="1049" t="s">
        <v>325</v>
      </c>
      <c r="U203" s="1049" t="s">
        <v>504</v>
      </c>
      <c r="V203" s="1049" t="s">
        <v>505</v>
      </c>
      <c r="W203" s="1049" t="s">
        <v>506</v>
      </c>
      <c r="X203" s="1049" t="s">
        <v>507</v>
      </c>
      <c r="Y203" s="1049" t="s">
        <v>508</v>
      </c>
      <c r="Z203" s="1049" t="s">
        <v>969</v>
      </c>
      <c r="AA203" s="1049" t="s">
        <v>970</v>
      </c>
      <c r="AB203" s="1049" t="s">
        <v>971</v>
      </c>
      <c r="AC203" s="1049" t="s">
        <v>972</v>
      </c>
      <c r="AD203" s="1049" t="s">
        <v>973</v>
      </c>
      <c r="AE203" s="1048"/>
      <c r="AF203" s="1048"/>
      <c r="AG203" s="1048"/>
    </row>
    <row r="204" spans="1:33" x14ac:dyDescent="0.25">
      <c r="A204" s="1050" t="s">
        <v>530</v>
      </c>
      <c r="B204" s="1051">
        <v>2005</v>
      </c>
      <c r="C204" s="1050"/>
      <c r="D204" s="1050"/>
      <c r="E204" s="1061"/>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1062"/>
      <c r="AF204" s="1062"/>
      <c r="AG204" s="1062"/>
    </row>
    <row r="205" spans="1:33" x14ac:dyDescent="0.25">
      <c r="A205" s="1050" t="s">
        <v>531</v>
      </c>
      <c r="B205" s="1051" t="s">
        <v>515</v>
      </c>
      <c r="C205" s="1050"/>
      <c r="D205" s="1050"/>
      <c r="E205" s="1061"/>
      <c r="F205" s="247"/>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1062"/>
      <c r="AF205" s="1062"/>
      <c r="AG205" s="1062"/>
    </row>
    <row r="206" spans="1:33" x14ac:dyDescent="0.25">
      <c r="A206" s="1050" t="s">
        <v>531</v>
      </c>
      <c r="B206" s="1051" t="s">
        <v>516</v>
      </c>
      <c r="C206" s="1050"/>
      <c r="D206" s="1050"/>
      <c r="E206" s="1061"/>
      <c r="F206" s="257"/>
      <c r="G206" s="247"/>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1062"/>
      <c r="AF206" s="1062"/>
      <c r="AG206" s="1062"/>
    </row>
    <row r="207" spans="1:33" x14ac:dyDescent="0.25">
      <c r="A207" s="1050" t="s">
        <v>531</v>
      </c>
      <c r="B207" s="1051" t="s">
        <v>517</v>
      </c>
      <c r="C207" s="1050"/>
      <c r="D207" s="1050"/>
      <c r="E207" s="1061"/>
      <c r="F207" s="257"/>
      <c r="G207" s="257"/>
      <c r="H207" s="247"/>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1062"/>
      <c r="AF207" s="1062"/>
      <c r="AG207" s="1062"/>
    </row>
    <row r="208" spans="1:33" x14ac:dyDescent="0.25">
      <c r="A208" s="1050" t="s">
        <v>531</v>
      </c>
      <c r="B208" s="1051" t="s">
        <v>518</v>
      </c>
      <c r="C208" s="1050"/>
      <c r="D208" s="1050"/>
      <c r="E208" s="1061"/>
      <c r="F208" s="257"/>
      <c r="G208" s="257"/>
      <c r="H208" s="257"/>
      <c r="I208" s="247"/>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1062"/>
      <c r="AF208" s="1062"/>
      <c r="AG208" s="1062"/>
    </row>
    <row r="209" spans="1:33" x14ac:dyDescent="0.25">
      <c r="A209" s="1050" t="s">
        <v>531</v>
      </c>
      <c r="B209" s="1051" t="s">
        <v>519</v>
      </c>
      <c r="C209" s="1050"/>
      <c r="D209" s="1050"/>
      <c r="E209" s="1061"/>
      <c r="F209" s="257"/>
      <c r="G209" s="257"/>
      <c r="H209" s="257"/>
      <c r="I209" s="257"/>
      <c r="J209" s="247"/>
      <c r="K209" s="256"/>
      <c r="L209" s="256"/>
      <c r="M209" s="256"/>
      <c r="N209" s="256"/>
      <c r="O209" s="256"/>
      <c r="P209" s="256"/>
      <c r="Q209" s="256"/>
      <c r="R209" s="256"/>
      <c r="S209" s="256"/>
      <c r="T209" s="256"/>
      <c r="U209" s="256"/>
      <c r="V209" s="256"/>
      <c r="W209" s="256"/>
      <c r="X209" s="256"/>
      <c r="Y209" s="256"/>
      <c r="Z209" s="256"/>
      <c r="AA209" s="256"/>
      <c r="AB209" s="256"/>
      <c r="AC209" s="256"/>
      <c r="AD209" s="256"/>
      <c r="AE209" s="1062"/>
      <c r="AF209" s="1062"/>
      <c r="AG209" s="1062"/>
    </row>
    <row r="210" spans="1:33" x14ac:dyDescent="0.25">
      <c r="A210" s="1050" t="s">
        <v>531</v>
      </c>
      <c r="B210" s="1051" t="s">
        <v>520</v>
      </c>
      <c r="C210" s="1050"/>
      <c r="D210" s="1050"/>
      <c r="E210" s="1061"/>
      <c r="F210" s="257"/>
      <c r="G210" s="257"/>
      <c r="H210" s="257"/>
      <c r="I210" s="257"/>
      <c r="J210" s="257"/>
      <c r="K210" s="247"/>
      <c r="L210" s="256"/>
      <c r="M210" s="256"/>
      <c r="N210" s="256"/>
      <c r="O210" s="256"/>
      <c r="P210" s="256"/>
      <c r="Q210" s="256"/>
      <c r="R210" s="256"/>
      <c r="S210" s="256"/>
      <c r="T210" s="256"/>
      <c r="U210" s="256"/>
      <c r="V210" s="256"/>
      <c r="W210" s="256"/>
      <c r="X210" s="256"/>
      <c r="Y210" s="256"/>
      <c r="Z210" s="256"/>
      <c r="AA210" s="256"/>
      <c r="AB210" s="256"/>
      <c r="AC210" s="256"/>
      <c r="AD210" s="256"/>
      <c r="AE210" s="1062"/>
      <c r="AF210" s="1062"/>
      <c r="AG210" s="1062"/>
    </row>
    <row r="211" spans="1:33" x14ac:dyDescent="0.25">
      <c r="A211" s="1050" t="s">
        <v>531</v>
      </c>
      <c r="B211" s="1051" t="s">
        <v>521</v>
      </c>
      <c r="C211" s="1050"/>
      <c r="D211" s="1050"/>
      <c r="E211" s="1061"/>
      <c r="F211" s="257"/>
      <c r="G211" s="257"/>
      <c r="H211" s="257"/>
      <c r="I211" s="257"/>
      <c r="J211" s="257"/>
      <c r="K211" s="257"/>
      <c r="L211" s="247"/>
      <c r="M211" s="256"/>
      <c r="N211" s="256"/>
      <c r="O211" s="256"/>
      <c r="P211" s="256"/>
      <c r="Q211" s="256"/>
      <c r="R211" s="256"/>
      <c r="S211" s="256"/>
      <c r="T211" s="256"/>
      <c r="U211" s="256"/>
      <c r="V211" s="256"/>
      <c r="W211" s="256"/>
      <c r="X211" s="256"/>
      <c r="Y211" s="256"/>
      <c r="Z211" s="256"/>
      <c r="AA211" s="256"/>
      <c r="AB211" s="256"/>
      <c r="AC211" s="256"/>
      <c r="AD211" s="256"/>
      <c r="AE211" s="1062"/>
      <c r="AF211" s="1062"/>
      <c r="AG211" s="1062"/>
    </row>
    <row r="212" spans="1:33" x14ac:dyDescent="0.25">
      <c r="A212" s="1050" t="s">
        <v>531</v>
      </c>
      <c r="B212" s="1051" t="s">
        <v>522</v>
      </c>
      <c r="C212" s="1050"/>
      <c r="D212" s="1050"/>
      <c r="E212" s="1061"/>
      <c r="F212" s="257"/>
      <c r="G212" s="257"/>
      <c r="H212" s="257"/>
      <c r="I212" s="257"/>
      <c r="J212" s="257"/>
      <c r="K212" s="257"/>
      <c r="L212" s="257"/>
      <c r="M212" s="247"/>
      <c r="N212" s="256"/>
      <c r="O212" s="256"/>
      <c r="P212" s="256"/>
      <c r="Q212" s="256"/>
      <c r="R212" s="256"/>
      <c r="S212" s="256"/>
      <c r="T212" s="256"/>
      <c r="U212" s="256"/>
      <c r="V212" s="256"/>
      <c r="W212" s="256"/>
      <c r="X212" s="256"/>
      <c r="Y212" s="256"/>
      <c r="Z212" s="256"/>
      <c r="AA212" s="256"/>
      <c r="AB212" s="256"/>
      <c r="AC212" s="256"/>
      <c r="AD212" s="256"/>
      <c r="AE212" s="1062"/>
      <c r="AF212" s="1062"/>
      <c r="AG212" s="1062"/>
    </row>
    <row r="213" spans="1:33" x14ac:dyDescent="0.25">
      <c r="A213" s="1050" t="s">
        <v>531</v>
      </c>
      <c r="B213" s="1051" t="s">
        <v>523</v>
      </c>
      <c r="C213" s="1050"/>
      <c r="D213" s="1050"/>
      <c r="E213" s="1061"/>
      <c r="F213" s="257"/>
      <c r="G213" s="257"/>
      <c r="H213" s="257"/>
      <c r="I213" s="257"/>
      <c r="J213" s="257"/>
      <c r="K213" s="257"/>
      <c r="L213" s="257"/>
      <c r="M213" s="257"/>
      <c r="N213" s="247"/>
      <c r="O213" s="256"/>
      <c r="P213" s="256"/>
      <c r="Q213" s="256"/>
      <c r="R213" s="256"/>
      <c r="S213" s="256"/>
      <c r="T213" s="256"/>
      <c r="U213" s="256"/>
      <c r="V213" s="256"/>
      <c r="W213" s="256"/>
      <c r="X213" s="256"/>
      <c r="Y213" s="256"/>
      <c r="Z213" s="256"/>
      <c r="AA213" s="256"/>
      <c r="AB213" s="256"/>
      <c r="AC213" s="256"/>
      <c r="AD213" s="256"/>
      <c r="AE213" s="1062"/>
      <c r="AF213" s="1062"/>
      <c r="AG213" s="1062"/>
    </row>
    <row r="214" spans="1:33" x14ac:dyDescent="0.25">
      <c r="A214" s="1050" t="s">
        <v>531</v>
      </c>
      <c r="B214" s="1051" t="s">
        <v>524</v>
      </c>
      <c r="C214" s="245"/>
      <c r="D214" s="1050"/>
      <c r="E214" s="1061"/>
      <c r="F214" s="257"/>
      <c r="G214" s="257"/>
      <c r="H214" s="257"/>
      <c r="I214" s="257"/>
      <c r="J214" s="257"/>
      <c r="K214" s="257"/>
      <c r="L214" s="257"/>
      <c r="M214" s="257"/>
      <c r="N214" s="257"/>
      <c r="O214" s="247"/>
      <c r="P214" s="256"/>
      <c r="Q214" s="256"/>
      <c r="R214" s="256"/>
      <c r="S214" s="256"/>
      <c r="T214" s="256"/>
      <c r="U214" s="256"/>
      <c r="V214" s="256"/>
      <c r="W214" s="256"/>
      <c r="X214" s="256"/>
      <c r="Y214" s="256"/>
      <c r="Z214" s="256"/>
      <c r="AA214" s="256"/>
      <c r="AB214" s="256"/>
      <c r="AC214" s="256"/>
      <c r="AD214" s="256"/>
      <c r="AE214" s="1062"/>
      <c r="AF214" s="1062"/>
      <c r="AG214" s="1062"/>
    </row>
    <row r="215" spans="1:33" x14ac:dyDescent="0.25">
      <c r="A215" s="1050" t="s">
        <v>531</v>
      </c>
      <c r="B215" s="1051" t="s">
        <v>525</v>
      </c>
      <c r="C215" s="245"/>
      <c r="D215" s="1050"/>
      <c r="E215" s="1061"/>
      <c r="F215" s="257"/>
      <c r="G215" s="257"/>
      <c r="H215" s="257"/>
      <c r="I215" s="257"/>
      <c r="J215" s="257"/>
      <c r="K215" s="257"/>
      <c r="L215" s="257"/>
      <c r="M215" s="257"/>
      <c r="N215" s="257"/>
      <c r="O215" s="257"/>
      <c r="P215" s="247"/>
      <c r="Q215" s="256"/>
      <c r="R215" s="256"/>
      <c r="S215" s="256"/>
      <c r="T215" s="256"/>
      <c r="U215" s="256"/>
      <c r="V215" s="256"/>
      <c r="W215" s="256"/>
      <c r="X215" s="256"/>
      <c r="Y215" s="256"/>
      <c r="Z215" s="256"/>
      <c r="AA215" s="256"/>
      <c r="AB215" s="256"/>
      <c r="AC215" s="256"/>
      <c r="AD215" s="256"/>
      <c r="AE215" s="1062"/>
      <c r="AF215" s="1062"/>
      <c r="AG215" s="1062"/>
    </row>
    <row r="216" spans="1:33" x14ac:dyDescent="0.25">
      <c r="A216" s="1050" t="s">
        <v>531</v>
      </c>
      <c r="B216" s="1051" t="s">
        <v>526</v>
      </c>
      <c r="C216" s="245"/>
      <c r="D216" s="245"/>
      <c r="E216" s="1061"/>
      <c r="F216" s="257"/>
      <c r="G216" s="257"/>
      <c r="H216" s="257"/>
      <c r="I216" s="257"/>
      <c r="J216" s="257"/>
      <c r="K216" s="257"/>
      <c r="L216" s="257"/>
      <c r="M216" s="257"/>
      <c r="N216" s="257"/>
      <c r="O216" s="257"/>
      <c r="P216" s="257"/>
      <c r="Q216" s="247"/>
      <c r="R216" s="256"/>
      <c r="S216" s="256"/>
      <c r="T216" s="256"/>
      <c r="U216" s="256"/>
      <c r="V216" s="256"/>
      <c r="W216" s="256"/>
      <c r="X216" s="256"/>
      <c r="Y216" s="256"/>
      <c r="Z216" s="256"/>
      <c r="AA216" s="256"/>
      <c r="AB216" s="256"/>
      <c r="AC216" s="256"/>
      <c r="AD216" s="256"/>
      <c r="AE216" s="1062"/>
      <c r="AF216" s="1062"/>
      <c r="AG216" s="1062"/>
    </row>
    <row r="217" spans="1:33" x14ac:dyDescent="0.25">
      <c r="A217" s="1050" t="s">
        <v>531</v>
      </c>
      <c r="B217" s="1051" t="s">
        <v>527</v>
      </c>
      <c r="C217" s="245"/>
      <c r="D217" s="245"/>
      <c r="E217" s="1061"/>
      <c r="F217" s="257"/>
      <c r="G217" s="257"/>
      <c r="H217" s="257"/>
      <c r="I217" s="257"/>
      <c r="J217" s="257"/>
      <c r="K217" s="257"/>
      <c r="L217" s="257"/>
      <c r="M217" s="257"/>
      <c r="N217" s="257"/>
      <c r="O217" s="257"/>
      <c r="P217" s="257"/>
      <c r="Q217" s="257"/>
      <c r="R217" s="247"/>
      <c r="S217" s="256"/>
      <c r="T217" s="256"/>
      <c r="U217" s="256"/>
      <c r="V217" s="256"/>
      <c r="W217" s="256"/>
      <c r="X217" s="256"/>
      <c r="Y217" s="256"/>
      <c r="Z217" s="256"/>
      <c r="AA217" s="256"/>
      <c r="AB217" s="256"/>
      <c r="AC217" s="256"/>
      <c r="AD217" s="256"/>
      <c r="AE217" s="1062"/>
      <c r="AF217" s="1062"/>
      <c r="AG217" s="1062"/>
    </row>
    <row r="218" spans="1:33" x14ac:dyDescent="0.25">
      <c r="A218" s="1050" t="s">
        <v>531</v>
      </c>
      <c r="B218" s="1051" t="s">
        <v>528</v>
      </c>
      <c r="C218" s="245"/>
      <c r="D218" s="245"/>
      <c r="E218" s="1061"/>
      <c r="F218" s="257"/>
      <c r="G218" s="257"/>
      <c r="H218" s="257"/>
      <c r="I218" s="257"/>
      <c r="J218" s="257"/>
      <c r="K218" s="257"/>
      <c r="L218" s="257"/>
      <c r="M218" s="257"/>
      <c r="N218" s="257"/>
      <c r="O218" s="257"/>
      <c r="P218" s="257"/>
      <c r="Q218" s="257"/>
      <c r="R218" s="257"/>
      <c r="S218" s="247"/>
      <c r="T218" s="256"/>
      <c r="U218" s="256"/>
      <c r="V218" s="256"/>
      <c r="W218" s="256"/>
      <c r="X218" s="256"/>
      <c r="Y218" s="256"/>
      <c r="Z218" s="256"/>
      <c r="AA218" s="256"/>
      <c r="AB218" s="256"/>
      <c r="AC218" s="256"/>
      <c r="AD218" s="256"/>
      <c r="AE218" s="1062"/>
      <c r="AF218" s="1062"/>
      <c r="AG218" s="1062"/>
    </row>
    <row r="219" spans="1:33" x14ac:dyDescent="0.25">
      <c r="A219" s="1050" t="s">
        <v>531</v>
      </c>
      <c r="B219" s="1051" t="s">
        <v>532</v>
      </c>
      <c r="C219" s="245"/>
      <c r="D219" s="245"/>
      <c r="E219" s="1064"/>
      <c r="F219" s="257"/>
      <c r="G219" s="257"/>
      <c r="H219" s="257"/>
      <c r="I219" s="257"/>
      <c r="J219" s="257"/>
      <c r="K219" s="257"/>
      <c r="L219" s="257"/>
      <c r="M219" s="257"/>
      <c r="N219" s="257"/>
      <c r="O219" s="257"/>
      <c r="P219" s="257"/>
      <c r="Q219" s="257"/>
      <c r="R219" s="257"/>
      <c r="S219" s="257"/>
      <c r="T219" s="247"/>
      <c r="U219" s="256"/>
      <c r="V219" s="256"/>
      <c r="W219" s="256"/>
      <c r="X219" s="256"/>
      <c r="Y219" s="256"/>
      <c r="Z219" s="256"/>
      <c r="AA219" s="256"/>
      <c r="AB219" s="256"/>
      <c r="AC219" s="256"/>
      <c r="AD219" s="256"/>
      <c r="AE219" s="1062"/>
      <c r="AF219" s="1062"/>
      <c r="AG219" s="1062"/>
    </row>
    <row r="220" spans="1:33" x14ac:dyDescent="0.25">
      <c r="A220" s="1050" t="s">
        <v>531</v>
      </c>
      <c r="B220" s="1051" t="s">
        <v>533</v>
      </c>
      <c r="C220" s="245"/>
      <c r="D220" s="245"/>
      <c r="E220" s="1064"/>
      <c r="F220" s="257"/>
      <c r="G220" s="257"/>
      <c r="H220" s="257"/>
      <c r="I220" s="257"/>
      <c r="J220" s="257"/>
      <c r="K220" s="257"/>
      <c r="L220" s="257"/>
      <c r="M220" s="257"/>
      <c r="N220" s="257"/>
      <c r="O220" s="257"/>
      <c r="P220" s="257"/>
      <c r="Q220" s="257"/>
      <c r="R220" s="257"/>
      <c r="S220" s="257"/>
      <c r="T220" s="257"/>
      <c r="U220" s="247"/>
      <c r="V220" s="256"/>
      <c r="W220" s="256"/>
      <c r="X220" s="256"/>
      <c r="Y220" s="256"/>
      <c r="Z220" s="256"/>
      <c r="AA220" s="256"/>
      <c r="AB220" s="256"/>
      <c r="AC220" s="256"/>
      <c r="AD220" s="256"/>
      <c r="AE220" s="1062"/>
      <c r="AF220" s="1062"/>
      <c r="AG220" s="1062"/>
    </row>
    <row r="221" spans="1:33" x14ac:dyDescent="0.25">
      <c r="A221" s="1050" t="s">
        <v>531</v>
      </c>
      <c r="B221" s="1051" t="s">
        <v>534</v>
      </c>
      <c r="C221" s="245"/>
      <c r="D221" s="245"/>
      <c r="E221" s="1064"/>
      <c r="F221" s="257"/>
      <c r="G221" s="257"/>
      <c r="H221" s="257"/>
      <c r="I221" s="257"/>
      <c r="J221" s="257"/>
      <c r="K221" s="257"/>
      <c r="L221" s="257"/>
      <c r="M221" s="257"/>
      <c r="N221" s="257"/>
      <c r="O221" s="257"/>
      <c r="P221" s="257"/>
      <c r="Q221" s="257"/>
      <c r="R221" s="257"/>
      <c r="S221" s="257"/>
      <c r="T221" s="257"/>
      <c r="U221" s="257"/>
      <c r="V221" s="247"/>
      <c r="W221" s="256"/>
      <c r="X221" s="256"/>
      <c r="Y221" s="256"/>
      <c r="Z221" s="256"/>
      <c r="AA221" s="256"/>
      <c r="AB221" s="256"/>
      <c r="AC221" s="256"/>
      <c r="AD221" s="256"/>
      <c r="AE221" s="1062"/>
      <c r="AF221" s="1062"/>
      <c r="AG221" s="1062"/>
    </row>
    <row r="222" spans="1:33" x14ac:dyDescent="0.25">
      <c r="A222" s="1050" t="s">
        <v>531</v>
      </c>
      <c r="B222" s="1051" t="s">
        <v>544</v>
      </c>
      <c r="C222" s="245"/>
      <c r="D222" s="245"/>
      <c r="E222" s="1064"/>
      <c r="F222" s="257"/>
      <c r="G222" s="257"/>
      <c r="H222" s="257"/>
      <c r="I222" s="257"/>
      <c r="J222" s="257"/>
      <c r="K222" s="257"/>
      <c r="L222" s="257"/>
      <c r="M222" s="257"/>
      <c r="N222" s="257"/>
      <c r="O222" s="257"/>
      <c r="P222" s="257"/>
      <c r="Q222" s="257"/>
      <c r="R222" s="257"/>
      <c r="S222" s="257"/>
      <c r="T222" s="257"/>
      <c r="U222" s="257"/>
      <c r="V222" s="257"/>
      <c r="W222" s="247"/>
      <c r="X222" s="256"/>
      <c r="Y222" s="256"/>
      <c r="Z222" s="256"/>
      <c r="AA222" s="256"/>
      <c r="AB222" s="256"/>
      <c r="AC222" s="256"/>
      <c r="AD222" s="256"/>
      <c r="AE222" s="1062"/>
      <c r="AF222" s="1062"/>
      <c r="AG222" s="1062"/>
    </row>
    <row r="223" spans="1:33" x14ac:dyDescent="0.25">
      <c r="A223" s="1050" t="s">
        <v>531</v>
      </c>
      <c r="B223" s="1051" t="s">
        <v>545</v>
      </c>
      <c r="C223" s="245"/>
      <c r="D223" s="245"/>
      <c r="E223" s="1064"/>
      <c r="F223" s="257"/>
      <c r="G223" s="257"/>
      <c r="H223" s="257"/>
      <c r="I223" s="257"/>
      <c r="J223" s="257"/>
      <c r="K223" s="257"/>
      <c r="L223" s="257"/>
      <c r="M223" s="257"/>
      <c r="N223" s="257"/>
      <c r="O223" s="257"/>
      <c r="P223" s="257"/>
      <c r="Q223" s="257"/>
      <c r="R223" s="257"/>
      <c r="S223" s="257"/>
      <c r="T223" s="257"/>
      <c r="U223" s="257"/>
      <c r="V223" s="257"/>
      <c r="W223" s="257"/>
      <c r="X223" s="247"/>
      <c r="Y223" s="256"/>
      <c r="Z223" s="256"/>
      <c r="AA223" s="256"/>
      <c r="AB223" s="256"/>
      <c r="AC223" s="256"/>
      <c r="AD223" s="256"/>
      <c r="AE223" s="1062"/>
      <c r="AF223" s="1062"/>
      <c r="AG223" s="1062"/>
    </row>
    <row r="224" spans="1:33" x14ac:dyDescent="0.25">
      <c r="A224" s="1050" t="s">
        <v>531</v>
      </c>
      <c r="B224" s="1051" t="s">
        <v>546</v>
      </c>
      <c r="C224" s="245"/>
      <c r="D224" s="245"/>
      <c r="E224" s="1064"/>
      <c r="F224" s="257"/>
      <c r="G224" s="257"/>
      <c r="H224" s="257"/>
      <c r="I224" s="257"/>
      <c r="J224" s="257"/>
      <c r="K224" s="257"/>
      <c r="L224" s="257"/>
      <c r="M224" s="257"/>
      <c r="N224" s="257"/>
      <c r="O224" s="257"/>
      <c r="P224" s="257"/>
      <c r="Q224" s="257"/>
      <c r="R224" s="257"/>
      <c r="S224" s="257"/>
      <c r="T224" s="257"/>
      <c r="U224" s="257"/>
      <c r="V224" s="257"/>
      <c r="W224" s="257"/>
      <c r="X224" s="257"/>
      <c r="Y224" s="247"/>
      <c r="Z224" s="1062"/>
      <c r="AA224" s="1062"/>
      <c r="AB224" s="1062"/>
      <c r="AC224" s="1062"/>
      <c r="AD224" s="1062"/>
      <c r="AE224" s="1062"/>
      <c r="AF224" s="1062"/>
      <c r="AG224" s="1062"/>
    </row>
    <row r="225" spans="1:33" x14ac:dyDescent="0.25">
      <c r="A225" s="1050" t="s">
        <v>531</v>
      </c>
      <c r="B225" s="1051" t="s">
        <v>1445</v>
      </c>
      <c r="C225" s="245"/>
      <c r="D225" s="245"/>
      <c r="E225" s="1064"/>
      <c r="F225" s="257"/>
      <c r="G225" s="257"/>
      <c r="H225" s="257"/>
      <c r="I225" s="257"/>
      <c r="J225" s="257"/>
      <c r="K225" s="257"/>
      <c r="L225" s="257"/>
      <c r="M225" s="257"/>
      <c r="N225" s="257"/>
      <c r="O225" s="257"/>
      <c r="P225" s="257"/>
      <c r="Q225" s="257"/>
      <c r="R225" s="257"/>
      <c r="S225" s="257"/>
      <c r="T225" s="257"/>
      <c r="U225" s="257"/>
      <c r="V225" s="257"/>
      <c r="W225" s="257"/>
      <c r="X225" s="257"/>
      <c r="Y225" s="257"/>
      <c r="Z225" s="247"/>
      <c r="AA225" s="256"/>
      <c r="AB225" s="256"/>
      <c r="AC225" s="256"/>
      <c r="AD225" s="256"/>
      <c r="AE225" s="245"/>
      <c r="AF225" s="245"/>
      <c r="AG225" s="1062"/>
    </row>
    <row r="226" spans="1:33" x14ac:dyDescent="0.25">
      <c r="A226" s="1050" t="s">
        <v>531</v>
      </c>
      <c r="B226" s="1051" t="s">
        <v>1446</v>
      </c>
      <c r="C226" s="245"/>
      <c r="D226" s="245"/>
      <c r="E226" s="1064"/>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47"/>
      <c r="AB226" s="256"/>
      <c r="AC226" s="256"/>
      <c r="AD226" s="256"/>
      <c r="AE226" s="245"/>
      <c r="AF226" s="245"/>
      <c r="AG226" s="1062"/>
    </row>
    <row r="227" spans="1:33" x14ac:dyDescent="0.25">
      <c r="A227" s="1050" t="s">
        <v>531</v>
      </c>
      <c r="B227" s="1051" t="s">
        <v>1447</v>
      </c>
      <c r="C227" s="245"/>
      <c r="D227" s="245"/>
      <c r="E227" s="1064"/>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47"/>
      <c r="AC227" s="256"/>
      <c r="AD227" s="256"/>
      <c r="AE227" s="245"/>
      <c r="AF227" s="245"/>
      <c r="AG227" s="1062"/>
    </row>
    <row r="228" spans="1:33" x14ac:dyDescent="0.25">
      <c r="A228" s="1050" t="s">
        <v>531</v>
      </c>
      <c r="B228" s="1051" t="s">
        <v>1448</v>
      </c>
      <c r="C228" s="245"/>
      <c r="D228" s="245"/>
      <c r="E228" s="1064"/>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47"/>
      <c r="AD228" s="256"/>
      <c r="AE228" s="245"/>
      <c r="AF228" s="245"/>
      <c r="AG228" s="1062"/>
    </row>
    <row r="229" spans="1:33" x14ac:dyDescent="0.25">
      <c r="A229" s="1050" t="s">
        <v>531</v>
      </c>
      <c r="B229" s="1051" t="s">
        <v>1449</v>
      </c>
      <c r="C229" s="245"/>
      <c r="D229" s="245"/>
      <c r="E229" s="1064"/>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47"/>
      <c r="AE229" s="245"/>
      <c r="AF229" s="245"/>
      <c r="AG229" s="1062"/>
    </row>
    <row r="230" spans="1:33" ht="13" x14ac:dyDescent="0.3">
      <c r="A230" s="1054"/>
      <c r="B230" s="1055" t="s">
        <v>271</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row>
    <row r="231" spans="1:33" x14ac:dyDescent="0.25">
      <c r="C231" s="1066"/>
    </row>
    <row r="234" spans="1:33" ht="13" x14ac:dyDescent="0.3">
      <c r="B234" s="1045" t="s">
        <v>543</v>
      </c>
      <c r="F234" s="1046" t="s">
        <v>10</v>
      </c>
    </row>
    <row r="235" spans="1:33" ht="26.15" customHeight="1" x14ac:dyDescent="0.35">
      <c r="A235" s="1047"/>
      <c r="B235" s="1060" t="s">
        <v>413</v>
      </c>
      <c r="C235" s="1962" t="s">
        <v>513</v>
      </c>
      <c r="D235" s="1962" t="s">
        <v>514</v>
      </c>
      <c r="E235" s="1962" t="s">
        <v>584</v>
      </c>
      <c r="F235" s="1964" t="s">
        <v>585</v>
      </c>
      <c r="G235" s="1965"/>
      <c r="H235" s="1965"/>
      <c r="I235" s="1965"/>
      <c r="J235" s="1965"/>
      <c r="K235" s="1965"/>
      <c r="L235" s="1965"/>
      <c r="M235" s="1965"/>
      <c r="N235" s="1965"/>
      <c r="O235" s="1965"/>
      <c r="P235" s="1965"/>
      <c r="Q235" s="1965"/>
      <c r="R235" s="1965"/>
      <c r="S235" s="1965"/>
      <c r="T235" s="1965"/>
      <c r="U235" s="1965"/>
      <c r="V235" s="1965"/>
      <c r="W235" s="1965"/>
      <c r="X235" s="1965"/>
      <c r="Y235" s="1965"/>
      <c r="Z235" s="1965"/>
      <c r="AA235" s="1965"/>
      <c r="AB235" s="1965"/>
      <c r="AC235" s="1965"/>
      <c r="AD235" s="1966"/>
      <c r="AE235" s="1048" t="s">
        <v>536</v>
      </c>
      <c r="AF235" s="1048" t="s">
        <v>529</v>
      </c>
      <c r="AG235" s="1048" t="s">
        <v>537</v>
      </c>
    </row>
    <row r="236" spans="1:33" ht="12.9" customHeight="1" x14ac:dyDescent="0.25">
      <c r="A236" s="1047"/>
      <c r="B236" s="1060"/>
      <c r="C236" s="1963"/>
      <c r="D236" s="1963"/>
      <c r="E236" s="1963"/>
      <c r="F236" s="1049" t="s">
        <v>515</v>
      </c>
      <c r="G236" s="1049" t="s">
        <v>516</v>
      </c>
      <c r="H236" s="1049" t="s">
        <v>517</v>
      </c>
      <c r="I236" s="1049" t="s">
        <v>518</v>
      </c>
      <c r="J236" s="1049" t="s">
        <v>519</v>
      </c>
      <c r="K236" s="1049" t="s">
        <v>520</v>
      </c>
      <c r="L236" s="1049" t="s">
        <v>521</v>
      </c>
      <c r="M236" s="1049" t="s">
        <v>522</v>
      </c>
      <c r="N236" s="1049" t="s">
        <v>523</v>
      </c>
      <c r="O236" s="1049" t="s">
        <v>524</v>
      </c>
      <c r="P236" s="1049" t="s">
        <v>525</v>
      </c>
      <c r="Q236" s="1049" t="s">
        <v>526</v>
      </c>
      <c r="R236" s="1049" t="s">
        <v>527</v>
      </c>
      <c r="S236" s="1049" t="s">
        <v>528</v>
      </c>
      <c r="T236" s="1049" t="s">
        <v>325</v>
      </c>
      <c r="U236" s="1049" t="s">
        <v>504</v>
      </c>
      <c r="V236" s="1049" t="s">
        <v>505</v>
      </c>
      <c r="W236" s="1049" t="s">
        <v>506</v>
      </c>
      <c r="X236" s="1049" t="s">
        <v>507</v>
      </c>
      <c r="Y236" s="1049" t="s">
        <v>508</v>
      </c>
      <c r="Z236" s="1049" t="s">
        <v>969</v>
      </c>
      <c r="AA236" s="1049" t="s">
        <v>970</v>
      </c>
      <c r="AB236" s="1049" t="s">
        <v>971</v>
      </c>
      <c r="AC236" s="1049" t="s">
        <v>972</v>
      </c>
      <c r="AD236" s="1049" t="s">
        <v>973</v>
      </c>
      <c r="AE236" s="1048"/>
      <c r="AF236" s="1048"/>
      <c r="AG236" s="1048"/>
    </row>
    <row r="237" spans="1:33" x14ac:dyDescent="0.25">
      <c r="A237" s="1050" t="s">
        <v>530</v>
      </c>
      <c r="B237" s="1051">
        <v>2005</v>
      </c>
      <c r="C237" s="1050"/>
      <c r="D237" s="1050"/>
      <c r="E237" s="1061"/>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1062"/>
      <c r="AF237" s="1062"/>
      <c r="AG237" s="1062"/>
    </row>
    <row r="238" spans="1:33" x14ac:dyDescent="0.25">
      <c r="A238" s="1050" t="s">
        <v>531</v>
      </c>
      <c r="B238" s="1051" t="s">
        <v>515</v>
      </c>
      <c r="C238" s="1050"/>
      <c r="D238" s="1050"/>
      <c r="E238" s="1061"/>
      <c r="F238" s="247"/>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1062"/>
      <c r="AF238" s="1062"/>
      <c r="AG238" s="1062"/>
    </row>
    <row r="239" spans="1:33" x14ac:dyDescent="0.25">
      <c r="A239" s="1050" t="s">
        <v>531</v>
      </c>
      <c r="B239" s="1051" t="s">
        <v>516</v>
      </c>
      <c r="C239" s="1050"/>
      <c r="D239" s="1050"/>
      <c r="E239" s="1061"/>
      <c r="F239" s="257"/>
      <c r="G239" s="247"/>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1062"/>
      <c r="AF239" s="1062"/>
      <c r="AG239" s="1062"/>
    </row>
    <row r="240" spans="1:33" x14ac:dyDescent="0.25">
      <c r="A240" s="1050" t="s">
        <v>531</v>
      </c>
      <c r="B240" s="1051" t="s">
        <v>517</v>
      </c>
      <c r="C240" s="1050"/>
      <c r="D240" s="1050"/>
      <c r="E240" s="1061"/>
      <c r="F240" s="257"/>
      <c r="G240" s="257"/>
      <c r="H240" s="247"/>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1062"/>
      <c r="AF240" s="1062"/>
      <c r="AG240" s="1062"/>
    </row>
    <row r="241" spans="1:33" x14ac:dyDescent="0.25">
      <c r="A241" s="1050" t="s">
        <v>531</v>
      </c>
      <c r="B241" s="1051" t="s">
        <v>518</v>
      </c>
      <c r="C241" s="1050"/>
      <c r="D241" s="1050"/>
      <c r="E241" s="1061"/>
      <c r="F241" s="257"/>
      <c r="G241" s="257"/>
      <c r="H241" s="257"/>
      <c r="I241" s="247"/>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1062"/>
      <c r="AF241" s="1062"/>
      <c r="AG241" s="1062"/>
    </row>
    <row r="242" spans="1:33" x14ac:dyDescent="0.25">
      <c r="A242" s="1050" t="s">
        <v>531</v>
      </c>
      <c r="B242" s="1051" t="s">
        <v>519</v>
      </c>
      <c r="C242" s="1050"/>
      <c r="D242" s="1050"/>
      <c r="E242" s="1061"/>
      <c r="F242" s="257"/>
      <c r="G242" s="257"/>
      <c r="H242" s="257"/>
      <c r="I242" s="257"/>
      <c r="J242" s="247"/>
      <c r="K242" s="256"/>
      <c r="L242" s="256"/>
      <c r="M242" s="256"/>
      <c r="N242" s="256"/>
      <c r="O242" s="256"/>
      <c r="P242" s="256"/>
      <c r="Q242" s="256"/>
      <c r="R242" s="256"/>
      <c r="S242" s="256"/>
      <c r="T242" s="256"/>
      <c r="U242" s="256"/>
      <c r="V242" s="256"/>
      <c r="W242" s="256"/>
      <c r="X242" s="256"/>
      <c r="Y242" s="256"/>
      <c r="Z242" s="256"/>
      <c r="AA242" s="256"/>
      <c r="AB242" s="256"/>
      <c r="AC242" s="256"/>
      <c r="AD242" s="256"/>
      <c r="AE242" s="1062"/>
      <c r="AF242" s="1062"/>
      <c r="AG242" s="1062"/>
    </row>
    <row r="243" spans="1:33" x14ac:dyDescent="0.25">
      <c r="A243" s="1050" t="s">
        <v>531</v>
      </c>
      <c r="B243" s="1051" t="s">
        <v>520</v>
      </c>
      <c r="C243" s="1050"/>
      <c r="D243" s="1050"/>
      <c r="E243" s="1061"/>
      <c r="F243" s="257"/>
      <c r="G243" s="257"/>
      <c r="H243" s="257"/>
      <c r="I243" s="257"/>
      <c r="J243" s="257"/>
      <c r="K243" s="247"/>
      <c r="L243" s="256"/>
      <c r="M243" s="256"/>
      <c r="N243" s="256"/>
      <c r="O243" s="256"/>
      <c r="P243" s="256"/>
      <c r="Q243" s="256"/>
      <c r="R243" s="256"/>
      <c r="S243" s="256"/>
      <c r="T243" s="256"/>
      <c r="U243" s="256"/>
      <c r="V243" s="256"/>
      <c r="W243" s="256"/>
      <c r="X243" s="256"/>
      <c r="Y243" s="256"/>
      <c r="Z243" s="256"/>
      <c r="AA243" s="256"/>
      <c r="AB243" s="256"/>
      <c r="AC243" s="256"/>
      <c r="AD243" s="256"/>
      <c r="AE243" s="1062"/>
      <c r="AF243" s="1062"/>
      <c r="AG243" s="1062"/>
    </row>
    <row r="244" spans="1:33" x14ac:dyDescent="0.25">
      <c r="A244" s="1050" t="s">
        <v>531</v>
      </c>
      <c r="B244" s="1051" t="s">
        <v>521</v>
      </c>
      <c r="C244" s="1050"/>
      <c r="D244" s="1050"/>
      <c r="E244" s="1061"/>
      <c r="F244" s="257"/>
      <c r="G244" s="257"/>
      <c r="H244" s="257"/>
      <c r="I244" s="257"/>
      <c r="J244" s="257"/>
      <c r="K244" s="257"/>
      <c r="L244" s="247"/>
      <c r="M244" s="256"/>
      <c r="N244" s="256"/>
      <c r="O244" s="256"/>
      <c r="P244" s="256"/>
      <c r="Q244" s="256"/>
      <c r="R244" s="256"/>
      <c r="S244" s="256"/>
      <c r="T244" s="256"/>
      <c r="U244" s="256"/>
      <c r="V244" s="256"/>
      <c r="W244" s="256"/>
      <c r="X244" s="256"/>
      <c r="Y244" s="256"/>
      <c r="Z244" s="256"/>
      <c r="AA244" s="256"/>
      <c r="AB244" s="256"/>
      <c r="AC244" s="256"/>
      <c r="AD244" s="256"/>
      <c r="AE244" s="1062"/>
      <c r="AF244" s="1062"/>
      <c r="AG244" s="1062"/>
    </row>
    <row r="245" spans="1:33" x14ac:dyDescent="0.25">
      <c r="A245" s="1050" t="s">
        <v>531</v>
      </c>
      <c r="B245" s="1051" t="s">
        <v>522</v>
      </c>
      <c r="C245" s="1050"/>
      <c r="D245" s="1050"/>
      <c r="E245" s="1061"/>
      <c r="F245" s="257"/>
      <c r="G245" s="257"/>
      <c r="H245" s="257"/>
      <c r="I245" s="257"/>
      <c r="J245" s="257"/>
      <c r="K245" s="257"/>
      <c r="L245" s="257"/>
      <c r="M245" s="247"/>
      <c r="N245" s="256"/>
      <c r="O245" s="256"/>
      <c r="P245" s="256"/>
      <c r="Q245" s="256"/>
      <c r="R245" s="256"/>
      <c r="S245" s="256"/>
      <c r="T245" s="256"/>
      <c r="U245" s="256"/>
      <c r="V245" s="256"/>
      <c r="W245" s="256"/>
      <c r="X245" s="256"/>
      <c r="Y245" s="256"/>
      <c r="Z245" s="256"/>
      <c r="AA245" s="256"/>
      <c r="AB245" s="256"/>
      <c r="AC245" s="256"/>
      <c r="AD245" s="256"/>
      <c r="AE245" s="1062"/>
      <c r="AF245" s="1062"/>
      <c r="AG245" s="1062"/>
    </row>
    <row r="246" spans="1:33" x14ac:dyDescent="0.25">
      <c r="A246" s="1050" t="s">
        <v>531</v>
      </c>
      <c r="B246" s="1051" t="s">
        <v>523</v>
      </c>
      <c r="C246" s="1050"/>
      <c r="D246" s="1050"/>
      <c r="E246" s="1061"/>
      <c r="F246" s="257"/>
      <c r="G246" s="257"/>
      <c r="H246" s="257"/>
      <c r="I246" s="257"/>
      <c r="J246" s="257"/>
      <c r="K246" s="257"/>
      <c r="L246" s="257"/>
      <c r="M246" s="257"/>
      <c r="N246" s="247"/>
      <c r="O246" s="256"/>
      <c r="P246" s="256"/>
      <c r="Q246" s="256"/>
      <c r="R246" s="256"/>
      <c r="S246" s="256"/>
      <c r="T246" s="256"/>
      <c r="U246" s="256"/>
      <c r="V246" s="256"/>
      <c r="W246" s="256"/>
      <c r="X246" s="256"/>
      <c r="Y246" s="256"/>
      <c r="Z246" s="256"/>
      <c r="AA246" s="256"/>
      <c r="AB246" s="256"/>
      <c r="AC246" s="256"/>
      <c r="AD246" s="256"/>
      <c r="AE246" s="1062"/>
      <c r="AF246" s="1062"/>
      <c r="AG246" s="1062"/>
    </row>
    <row r="247" spans="1:33" x14ac:dyDescent="0.25">
      <c r="A247" s="1050" t="s">
        <v>531</v>
      </c>
      <c r="B247" s="1051" t="s">
        <v>524</v>
      </c>
      <c r="C247" s="245"/>
      <c r="D247" s="1050"/>
      <c r="E247" s="1061"/>
      <c r="F247" s="257"/>
      <c r="G247" s="257"/>
      <c r="H247" s="257"/>
      <c r="I247" s="257"/>
      <c r="J247" s="257"/>
      <c r="K247" s="257"/>
      <c r="L247" s="257"/>
      <c r="M247" s="257"/>
      <c r="N247" s="257"/>
      <c r="O247" s="247"/>
      <c r="P247" s="256"/>
      <c r="Q247" s="256"/>
      <c r="R247" s="256"/>
      <c r="S247" s="256"/>
      <c r="T247" s="256"/>
      <c r="U247" s="256"/>
      <c r="V247" s="256"/>
      <c r="W247" s="256"/>
      <c r="X247" s="256"/>
      <c r="Y247" s="256"/>
      <c r="Z247" s="256"/>
      <c r="AA247" s="256"/>
      <c r="AB247" s="256"/>
      <c r="AC247" s="256"/>
      <c r="AD247" s="256"/>
      <c r="AE247" s="1062"/>
      <c r="AF247" s="1062"/>
      <c r="AG247" s="1062"/>
    </row>
    <row r="248" spans="1:33" x14ac:dyDescent="0.25">
      <c r="A248" s="1050" t="s">
        <v>531</v>
      </c>
      <c r="B248" s="1051" t="s">
        <v>525</v>
      </c>
      <c r="C248" s="245"/>
      <c r="D248" s="1050"/>
      <c r="E248" s="1061"/>
      <c r="F248" s="257"/>
      <c r="G248" s="257"/>
      <c r="H248" s="257"/>
      <c r="I248" s="257"/>
      <c r="J248" s="257"/>
      <c r="K248" s="257"/>
      <c r="L248" s="257"/>
      <c r="M248" s="257"/>
      <c r="N248" s="257"/>
      <c r="O248" s="257"/>
      <c r="P248" s="247"/>
      <c r="Q248" s="256"/>
      <c r="R248" s="256"/>
      <c r="S248" s="256"/>
      <c r="T248" s="256"/>
      <c r="U248" s="256"/>
      <c r="V248" s="256"/>
      <c r="W248" s="256"/>
      <c r="X248" s="256"/>
      <c r="Y248" s="256"/>
      <c r="Z248" s="256"/>
      <c r="AA248" s="256"/>
      <c r="AB248" s="256"/>
      <c r="AC248" s="256"/>
      <c r="AD248" s="256"/>
      <c r="AE248" s="1062"/>
      <c r="AF248" s="1062"/>
      <c r="AG248" s="1062"/>
    </row>
    <row r="249" spans="1:33" x14ac:dyDescent="0.25">
      <c r="A249" s="1050" t="s">
        <v>531</v>
      </c>
      <c r="B249" s="1051" t="s">
        <v>526</v>
      </c>
      <c r="C249" s="245"/>
      <c r="D249" s="245"/>
      <c r="E249" s="1061"/>
      <c r="F249" s="257"/>
      <c r="G249" s="257"/>
      <c r="H249" s="257"/>
      <c r="I249" s="257"/>
      <c r="J249" s="257"/>
      <c r="K249" s="257"/>
      <c r="L249" s="257"/>
      <c r="M249" s="257"/>
      <c r="N249" s="257"/>
      <c r="O249" s="257"/>
      <c r="P249" s="257"/>
      <c r="Q249" s="247"/>
      <c r="R249" s="256"/>
      <c r="S249" s="256"/>
      <c r="T249" s="256"/>
      <c r="U249" s="256"/>
      <c r="V249" s="256"/>
      <c r="W249" s="256"/>
      <c r="X249" s="256"/>
      <c r="Y249" s="256"/>
      <c r="Z249" s="256"/>
      <c r="AA249" s="256"/>
      <c r="AB249" s="256"/>
      <c r="AC249" s="256"/>
      <c r="AD249" s="256"/>
      <c r="AE249" s="1062"/>
      <c r="AF249" s="1062"/>
      <c r="AG249" s="1062"/>
    </row>
    <row r="250" spans="1:33" x14ac:dyDescent="0.25">
      <c r="A250" s="1050" t="s">
        <v>531</v>
      </c>
      <c r="B250" s="1051" t="s">
        <v>527</v>
      </c>
      <c r="C250" s="245"/>
      <c r="D250" s="245"/>
      <c r="E250" s="1061"/>
      <c r="F250" s="257"/>
      <c r="G250" s="257"/>
      <c r="H250" s="257"/>
      <c r="I250" s="257"/>
      <c r="J250" s="257"/>
      <c r="K250" s="257"/>
      <c r="L250" s="257"/>
      <c r="M250" s="257"/>
      <c r="N250" s="257"/>
      <c r="O250" s="257"/>
      <c r="P250" s="257"/>
      <c r="Q250" s="257"/>
      <c r="R250" s="247"/>
      <c r="S250" s="256"/>
      <c r="T250" s="256"/>
      <c r="U250" s="256"/>
      <c r="V250" s="256"/>
      <c r="W250" s="256"/>
      <c r="X250" s="256"/>
      <c r="Y250" s="256"/>
      <c r="Z250" s="256"/>
      <c r="AA250" s="256"/>
      <c r="AB250" s="256"/>
      <c r="AC250" s="256"/>
      <c r="AD250" s="256"/>
      <c r="AE250" s="1062"/>
      <c r="AF250" s="1062"/>
      <c r="AG250" s="1062"/>
    </row>
    <row r="251" spans="1:33" x14ac:dyDescent="0.25">
      <c r="A251" s="1050" t="s">
        <v>531</v>
      </c>
      <c r="B251" s="1051" t="s">
        <v>528</v>
      </c>
      <c r="C251" s="245"/>
      <c r="D251" s="245"/>
      <c r="E251" s="1061"/>
      <c r="F251" s="257"/>
      <c r="G251" s="257"/>
      <c r="H251" s="257"/>
      <c r="I251" s="257"/>
      <c r="J251" s="257"/>
      <c r="K251" s="257"/>
      <c r="L251" s="257"/>
      <c r="M251" s="257"/>
      <c r="N251" s="257"/>
      <c r="O251" s="257"/>
      <c r="P251" s="257"/>
      <c r="Q251" s="257"/>
      <c r="R251" s="257"/>
      <c r="S251" s="247"/>
      <c r="T251" s="256"/>
      <c r="U251" s="256"/>
      <c r="V251" s="256"/>
      <c r="W251" s="256"/>
      <c r="X251" s="256"/>
      <c r="Y251" s="256"/>
      <c r="Z251" s="256"/>
      <c r="AA251" s="256"/>
      <c r="AB251" s="256"/>
      <c r="AC251" s="256"/>
      <c r="AD251" s="256"/>
      <c r="AE251" s="1062"/>
      <c r="AF251" s="1062"/>
      <c r="AG251" s="1062"/>
    </row>
    <row r="252" spans="1:33" x14ac:dyDescent="0.25">
      <c r="A252" s="1050" t="s">
        <v>531</v>
      </c>
      <c r="B252" s="1051" t="s">
        <v>532</v>
      </c>
      <c r="C252" s="245"/>
      <c r="D252" s="245"/>
      <c r="E252" s="1064"/>
      <c r="F252" s="257"/>
      <c r="G252" s="257"/>
      <c r="H252" s="257"/>
      <c r="I252" s="257"/>
      <c r="J252" s="257"/>
      <c r="K252" s="257"/>
      <c r="L252" s="257"/>
      <c r="M252" s="257"/>
      <c r="N252" s="257"/>
      <c r="O252" s="257"/>
      <c r="P252" s="257"/>
      <c r="Q252" s="257"/>
      <c r="R252" s="257"/>
      <c r="S252" s="257"/>
      <c r="T252" s="247"/>
      <c r="U252" s="256"/>
      <c r="V252" s="256"/>
      <c r="W252" s="256"/>
      <c r="X252" s="256"/>
      <c r="Y252" s="256"/>
      <c r="Z252" s="256"/>
      <c r="AA252" s="256"/>
      <c r="AB252" s="256"/>
      <c r="AC252" s="256"/>
      <c r="AD252" s="256"/>
      <c r="AE252" s="1062"/>
      <c r="AF252" s="1062"/>
      <c r="AG252" s="1062"/>
    </row>
    <row r="253" spans="1:33" x14ac:dyDescent="0.25">
      <c r="A253" s="1050" t="s">
        <v>531</v>
      </c>
      <c r="B253" s="1051" t="s">
        <v>533</v>
      </c>
      <c r="C253" s="245"/>
      <c r="D253" s="245"/>
      <c r="E253" s="1064"/>
      <c r="F253" s="257"/>
      <c r="G253" s="257"/>
      <c r="H253" s="257"/>
      <c r="I253" s="257"/>
      <c r="J253" s="257"/>
      <c r="K253" s="257"/>
      <c r="L253" s="257"/>
      <c r="M253" s="257"/>
      <c r="N253" s="257"/>
      <c r="O253" s="257"/>
      <c r="P253" s="257"/>
      <c r="Q253" s="257"/>
      <c r="R253" s="257"/>
      <c r="S253" s="257"/>
      <c r="T253" s="257"/>
      <c r="U253" s="247"/>
      <c r="V253" s="256"/>
      <c r="W253" s="256"/>
      <c r="X253" s="256"/>
      <c r="Y253" s="256"/>
      <c r="Z253" s="256"/>
      <c r="AA253" s="256"/>
      <c r="AB253" s="256"/>
      <c r="AC253" s="256"/>
      <c r="AD253" s="256"/>
      <c r="AE253" s="1062"/>
      <c r="AF253" s="1062"/>
      <c r="AG253" s="1062"/>
    </row>
    <row r="254" spans="1:33" x14ac:dyDescent="0.25">
      <c r="A254" s="1050" t="s">
        <v>531</v>
      </c>
      <c r="B254" s="1051" t="s">
        <v>534</v>
      </c>
      <c r="C254" s="245"/>
      <c r="D254" s="245"/>
      <c r="E254" s="1064"/>
      <c r="F254" s="257"/>
      <c r="G254" s="257"/>
      <c r="H254" s="257"/>
      <c r="I254" s="257"/>
      <c r="J254" s="257"/>
      <c r="K254" s="257"/>
      <c r="L254" s="257"/>
      <c r="M254" s="257"/>
      <c r="N254" s="257"/>
      <c r="O254" s="257"/>
      <c r="P254" s="257"/>
      <c r="Q254" s="257"/>
      <c r="R254" s="257"/>
      <c r="S254" s="257"/>
      <c r="T254" s="257"/>
      <c r="U254" s="257"/>
      <c r="V254" s="247"/>
      <c r="W254" s="256"/>
      <c r="X254" s="256"/>
      <c r="Y254" s="256"/>
      <c r="Z254" s="256"/>
      <c r="AA254" s="256"/>
      <c r="AB254" s="256"/>
      <c r="AC254" s="256"/>
      <c r="AD254" s="256"/>
      <c r="AE254" s="1062"/>
      <c r="AF254" s="1062"/>
      <c r="AG254" s="1062"/>
    </row>
    <row r="255" spans="1:33" x14ac:dyDescent="0.25">
      <c r="A255" s="1050" t="s">
        <v>531</v>
      </c>
      <c r="B255" s="1051" t="s">
        <v>544</v>
      </c>
      <c r="C255" s="245"/>
      <c r="D255" s="245"/>
      <c r="E255" s="1064"/>
      <c r="F255" s="257"/>
      <c r="G255" s="257"/>
      <c r="H255" s="257"/>
      <c r="I255" s="257"/>
      <c r="J255" s="257"/>
      <c r="K255" s="257"/>
      <c r="L255" s="257"/>
      <c r="M255" s="257"/>
      <c r="N255" s="257"/>
      <c r="O255" s="257"/>
      <c r="P255" s="257"/>
      <c r="Q255" s="257"/>
      <c r="R255" s="257"/>
      <c r="S255" s="257"/>
      <c r="T255" s="257"/>
      <c r="U255" s="257"/>
      <c r="V255" s="257"/>
      <c r="W255" s="247"/>
      <c r="X255" s="256"/>
      <c r="Y255" s="256"/>
      <c r="Z255" s="256"/>
      <c r="AA255" s="256"/>
      <c r="AB255" s="256"/>
      <c r="AC255" s="256"/>
      <c r="AD255" s="256"/>
      <c r="AE255" s="1062"/>
      <c r="AF255" s="1062"/>
      <c r="AG255" s="1062"/>
    </row>
    <row r="256" spans="1:33" x14ac:dyDescent="0.25">
      <c r="A256" s="1050" t="s">
        <v>531</v>
      </c>
      <c r="B256" s="1051" t="s">
        <v>545</v>
      </c>
      <c r="C256" s="245"/>
      <c r="D256" s="245"/>
      <c r="E256" s="1064"/>
      <c r="F256" s="257"/>
      <c r="G256" s="257"/>
      <c r="H256" s="257"/>
      <c r="I256" s="257"/>
      <c r="J256" s="257"/>
      <c r="K256" s="257"/>
      <c r="L256" s="257"/>
      <c r="M256" s="257"/>
      <c r="N256" s="257"/>
      <c r="O256" s="257"/>
      <c r="P256" s="257"/>
      <c r="Q256" s="257"/>
      <c r="R256" s="257"/>
      <c r="S256" s="257"/>
      <c r="T256" s="257"/>
      <c r="U256" s="257"/>
      <c r="V256" s="257"/>
      <c r="W256" s="257"/>
      <c r="X256" s="247"/>
      <c r="Y256" s="256"/>
      <c r="Z256" s="256"/>
      <c r="AA256" s="256"/>
      <c r="AB256" s="256"/>
      <c r="AC256" s="256"/>
      <c r="AD256" s="256"/>
      <c r="AE256" s="1062"/>
      <c r="AF256" s="1062"/>
      <c r="AG256" s="1062"/>
    </row>
    <row r="257" spans="1:33" x14ac:dyDescent="0.25">
      <c r="A257" s="1050" t="s">
        <v>531</v>
      </c>
      <c r="B257" s="1051" t="s">
        <v>546</v>
      </c>
      <c r="C257" s="245"/>
      <c r="D257" s="245"/>
      <c r="E257" s="1064"/>
      <c r="F257" s="257"/>
      <c r="G257" s="257"/>
      <c r="H257" s="257"/>
      <c r="I257" s="257"/>
      <c r="J257" s="257"/>
      <c r="K257" s="257"/>
      <c r="L257" s="257"/>
      <c r="M257" s="257"/>
      <c r="N257" s="257"/>
      <c r="O257" s="257"/>
      <c r="P257" s="257"/>
      <c r="Q257" s="257"/>
      <c r="R257" s="257"/>
      <c r="S257" s="257"/>
      <c r="T257" s="257"/>
      <c r="U257" s="257"/>
      <c r="V257" s="257"/>
      <c r="W257" s="257"/>
      <c r="X257" s="257"/>
      <c r="Y257" s="247"/>
      <c r="Z257" s="1062"/>
      <c r="AA257" s="1062"/>
      <c r="AB257" s="1062"/>
      <c r="AC257" s="1062"/>
      <c r="AD257" s="1062"/>
      <c r="AE257" s="1062"/>
      <c r="AF257" s="1062"/>
      <c r="AG257" s="1062"/>
    </row>
    <row r="258" spans="1:33" x14ac:dyDescent="0.25">
      <c r="A258" s="1050" t="s">
        <v>531</v>
      </c>
      <c r="B258" s="1051" t="s">
        <v>1445</v>
      </c>
      <c r="C258" s="245"/>
      <c r="D258" s="245"/>
      <c r="E258" s="1064"/>
      <c r="F258" s="257"/>
      <c r="G258" s="257"/>
      <c r="H258" s="257"/>
      <c r="I258" s="257"/>
      <c r="J258" s="257"/>
      <c r="K258" s="257"/>
      <c r="L258" s="257"/>
      <c r="M258" s="257"/>
      <c r="N258" s="257"/>
      <c r="O258" s="257"/>
      <c r="P258" s="257"/>
      <c r="Q258" s="257"/>
      <c r="R258" s="257"/>
      <c r="S258" s="257"/>
      <c r="T258" s="257"/>
      <c r="U258" s="257"/>
      <c r="V258" s="257"/>
      <c r="W258" s="257"/>
      <c r="X258" s="257"/>
      <c r="Y258" s="257"/>
      <c r="Z258" s="247"/>
      <c r="AA258" s="256"/>
      <c r="AB258" s="256"/>
      <c r="AC258" s="256"/>
      <c r="AD258" s="256"/>
      <c r="AE258" s="245"/>
      <c r="AF258" s="245"/>
      <c r="AG258" s="1062"/>
    </row>
    <row r="259" spans="1:33" x14ac:dyDescent="0.25">
      <c r="A259" s="1050" t="s">
        <v>531</v>
      </c>
      <c r="B259" s="1051" t="s">
        <v>1446</v>
      </c>
      <c r="C259" s="245"/>
      <c r="D259" s="245"/>
      <c r="E259" s="1064"/>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47"/>
      <c r="AB259" s="256"/>
      <c r="AC259" s="256"/>
      <c r="AD259" s="256"/>
      <c r="AE259" s="245"/>
      <c r="AF259" s="245"/>
      <c r="AG259" s="1062"/>
    </row>
    <row r="260" spans="1:33" x14ac:dyDescent="0.25">
      <c r="A260" s="1050" t="s">
        <v>531</v>
      </c>
      <c r="B260" s="1051" t="s">
        <v>1447</v>
      </c>
      <c r="C260" s="245"/>
      <c r="D260" s="245"/>
      <c r="E260" s="1064"/>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47"/>
      <c r="AC260" s="256"/>
      <c r="AD260" s="256"/>
      <c r="AE260" s="245"/>
      <c r="AF260" s="245"/>
      <c r="AG260" s="1062"/>
    </row>
    <row r="261" spans="1:33" x14ac:dyDescent="0.25">
      <c r="A261" s="1050" t="s">
        <v>531</v>
      </c>
      <c r="B261" s="1051" t="s">
        <v>1448</v>
      </c>
      <c r="C261" s="245"/>
      <c r="D261" s="245"/>
      <c r="E261" s="1064"/>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47"/>
      <c r="AD261" s="256"/>
      <c r="AE261" s="245"/>
      <c r="AF261" s="245"/>
      <c r="AG261" s="1062"/>
    </row>
    <row r="262" spans="1:33" x14ac:dyDescent="0.25">
      <c r="A262" s="1050" t="s">
        <v>531</v>
      </c>
      <c r="B262" s="1051" t="s">
        <v>1449</v>
      </c>
      <c r="C262" s="245"/>
      <c r="D262" s="245"/>
      <c r="E262" s="1064"/>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47"/>
      <c r="AE262" s="245"/>
      <c r="AF262" s="245"/>
      <c r="AG262" s="1062"/>
    </row>
    <row r="263" spans="1:33" ht="13" x14ac:dyDescent="0.3">
      <c r="A263" s="1054"/>
      <c r="B263" s="1055" t="s">
        <v>271</v>
      </c>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row>
    <row r="264" spans="1:33" x14ac:dyDescent="0.25">
      <c r="C264" s="1066"/>
    </row>
    <row r="267" spans="1:33" ht="13" x14ac:dyDescent="0.3">
      <c r="B267" s="1045" t="s">
        <v>261</v>
      </c>
      <c r="F267" s="1046" t="s">
        <v>10</v>
      </c>
    </row>
    <row r="268" spans="1:33" ht="26.15" customHeight="1" x14ac:dyDescent="0.35">
      <c r="A268" s="1047"/>
      <c r="B268" s="1060" t="s">
        <v>413</v>
      </c>
      <c r="C268" s="1962" t="s">
        <v>513</v>
      </c>
      <c r="D268" s="1962" t="s">
        <v>514</v>
      </c>
      <c r="E268" s="1962" t="s">
        <v>584</v>
      </c>
      <c r="F268" s="1964" t="s">
        <v>585</v>
      </c>
      <c r="G268" s="1965"/>
      <c r="H268" s="1965"/>
      <c r="I268" s="1965"/>
      <c r="J268" s="1965"/>
      <c r="K268" s="1965"/>
      <c r="L268" s="1965"/>
      <c r="M268" s="1965"/>
      <c r="N268" s="1965"/>
      <c r="O268" s="1965"/>
      <c r="P268" s="1965"/>
      <c r="Q268" s="1965"/>
      <c r="R268" s="1965"/>
      <c r="S268" s="1965"/>
      <c r="T268" s="1965"/>
      <c r="U268" s="1965"/>
      <c r="V268" s="1965"/>
      <c r="W268" s="1965"/>
      <c r="X268" s="1965"/>
      <c r="Y268" s="1965"/>
      <c r="Z268" s="1965"/>
      <c r="AA268" s="1965"/>
      <c r="AB268" s="1965"/>
      <c r="AC268" s="1965"/>
      <c r="AD268" s="1966"/>
      <c r="AE268" s="1048" t="s">
        <v>536</v>
      </c>
      <c r="AF268" s="1048" t="s">
        <v>529</v>
      </c>
      <c r="AG268" s="1048" t="s">
        <v>537</v>
      </c>
    </row>
    <row r="269" spans="1:33" ht="12.9" customHeight="1" x14ac:dyDescent="0.25">
      <c r="A269" s="1047"/>
      <c r="B269" s="1060"/>
      <c r="C269" s="1963"/>
      <c r="D269" s="1963"/>
      <c r="E269" s="1963"/>
      <c r="F269" s="1049" t="s">
        <v>515</v>
      </c>
      <c r="G269" s="1049" t="s">
        <v>516</v>
      </c>
      <c r="H269" s="1049" t="s">
        <v>517</v>
      </c>
      <c r="I269" s="1049" t="s">
        <v>518</v>
      </c>
      <c r="J269" s="1049" t="s">
        <v>519</v>
      </c>
      <c r="K269" s="1049" t="s">
        <v>520</v>
      </c>
      <c r="L269" s="1049" t="s">
        <v>521</v>
      </c>
      <c r="M269" s="1049" t="s">
        <v>522</v>
      </c>
      <c r="N269" s="1049" t="s">
        <v>523</v>
      </c>
      <c r="O269" s="1049" t="s">
        <v>524</v>
      </c>
      <c r="P269" s="1049" t="s">
        <v>525</v>
      </c>
      <c r="Q269" s="1049" t="s">
        <v>526</v>
      </c>
      <c r="R269" s="1049" t="s">
        <v>527</v>
      </c>
      <c r="S269" s="1049" t="s">
        <v>528</v>
      </c>
      <c r="T269" s="1049" t="s">
        <v>325</v>
      </c>
      <c r="U269" s="1049" t="s">
        <v>504</v>
      </c>
      <c r="V269" s="1049" t="s">
        <v>505</v>
      </c>
      <c r="W269" s="1049" t="s">
        <v>506</v>
      </c>
      <c r="X269" s="1049" t="s">
        <v>507</v>
      </c>
      <c r="Y269" s="1049" t="s">
        <v>508</v>
      </c>
      <c r="Z269" s="1049" t="s">
        <v>969</v>
      </c>
      <c r="AA269" s="1049" t="s">
        <v>970</v>
      </c>
      <c r="AB269" s="1049" t="s">
        <v>971</v>
      </c>
      <c r="AC269" s="1049" t="s">
        <v>972</v>
      </c>
      <c r="AD269" s="1049" t="s">
        <v>973</v>
      </c>
      <c r="AE269" s="1048"/>
      <c r="AF269" s="1048"/>
      <c r="AG269" s="1048"/>
    </row>
    <row r="270" spans="1:33" x14ac:dyDescent="0.25">
      <c r="A270" s="1050" t="s">
        <v>530</v>
      </c>
      <c r="B270" s="1051">
        <v>2005</v>
      </c>
      <c r="C270" s="1050"/>
      <c r="D270" s="1050"/>
      <c r="E270" s="1061"/>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1062"/>
      <c r="AF270" s="1062"/>
      <c r="AG270" s="1062"/>
    </row>
    <row r="271" spans="1:33" x14ac:dyDescent="0.25">
      <c r="A271" s="1050" t="s">
        <v>531</v>
      </c>
      <c r="B271" s="1051" t="s">
        <v>515</v>
      </c>
      <c r="C271" s="1050"/>
      <c r="D271" s="1050"/>
      <c r="E271" s="1061"/>
      <c r="F271" s="247"/>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1062"/>
      <c r="AF271" s="1062"/>
      <c r="AG271" s="1062"/>
    </row>
    <row r="272" spans="1:33" x14ac:dyDescent="0.25">
      <c r="A272" s="1050" t="s">
        <v>531</v>
      </c>
      <c r="B272" s="1051" t="s">
        <v>516</v>
      </c>
      <c r="C272" s="1050"/>
      <c r="D272" s="1050"/>
      <c r="E272" s="1061"/>
      <c r="F272" s="257"/>
      <c r="G272" s="247"/>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1062"/>
      <c r="AF272" s="1062"/>
      <c r="AG272" s="1062"/>
    </row>
    <row r="273" spans="1:33" x14ac:dyDescent="0.25">
      <c r="A273" s="1050" t="s">
        <v>531</v>
      </c>
      <c r="B273" s="1051" t="s">
        <v>517</v>
      </c>
      <c r="C273" s="1050"/>
      <c r="D273" s="1050"/>
      <c r="E273" s="1061"/>
      <c r="F273" s="257"/>
      <c r="G273" s="257"/>
      <c r="H273" s="247"/>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1062"/>
      <c r="AF273" s="1062"/>
      <c r="AG273" s="1062"/>
    </row>
    <row r="274" spans="1:33" x14ac:dyDescent="0.25">
      <c r="A274" s="1050" t="s">
        <v>531</v>
      </c>
      <c r="B274" s="1051" t="s">
        <v>518</v>
      </c>
      <c r="C274" s="1050"/>
      <c r="D274" s="1050"/>
      <c r="E274" s="1061"/>
      <c r="F274" s="257"/>
      <c r="G274" s="257"/>
      <c r="H274" s="257"/>
      <c r="I274" s="247"/>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1062"/>
      <c r="AF274" s="1062"/>
      <c r="AG274" s="1062"/>
    </row>
    <row r="275" spans="1:33" x14ac:dyDescent="0.25">
      <c r="A275" s="1050" t="s">
        <v>531</v>
      </c>
      <c r="B275" s="1051" t="s">
        <v>519</v>
      </c>
      <c r="C275" s="1050"/>
      <c r="D275" s="1050"/>
      <c r="E275" s="1061"/>
      <c r="F275" s="257"/>
      <c r="G275" s="257"/>
      <c r="H275" s="257"/>
      <c r="I275" s="257"/>
      <c r="J275" s="247"/>
      <c r="K275" s="256"/>
      <c r="L275" s="256"/>
      <c r="M275" s="256"/>
      <c r="N275" s="256"/>
      <c r="O275" s="256"/>
      <c r="P275" s="256"/>
      <c r="Q275" s="256"/>
      <c r="R275" s="256"/>
      <c r="S275" s="256"/>
      <c r="T275" s="256"/>
      <c r="U275" s="256"/>
      <c r="V275" s="256"/>
      <c r="W275" s="256"/>
      <c r="X275" s="256"/>
      <c r="Y275" s="256"/>
      <c r="Z275" s="256"/>
      <c r="AA275" s="256"/>
      <c r="AB275" s="256"/>
      <c r="AC275" s="256"/>
      <c r="AD275" s="256"/>
      <c r="AE275" s="1062"/>
      <c r="AF275" s="1062"/>
      <c r="AG275" s="1062"/>
    </row>
    <row r="276" spans="1:33" x14ac:dyDescent="0.25">
      <c r="A276" s="1050" t="s">
        <v>531</v>
      </c>
      <c r="B276" s="1051" t="s">
        <v>520</v>
      </c>
      <c r="C276" s="1050"/>
      <c r="D276" s="1050"/>
      <c r="E276" s="1061"/>
      <c r="F276" s="257"/>
      <c r="G276" s="257"/>
      <c r="H276" s="257"/>
      <c r="I276" s="257"/>
      <c r="J276" s="257"/>
      <c r="K276" s="247"/>
      <c r="L276" s="256"/>
      <c r="M276" s="256"/>
      <c r="N276" s="256"/>
      <c r="O276" s="256"/>
      <c r="P276" s="256"/>
      <c r="Q276" s="256"/>
      <c r="R276" s="256"/>
      <c r="S276" s="256"/>
      <c r="T276" s="256"/>
      <c r="U276" s="256"/>
      <c r="V276" s="256"/>
      <c r="W276" s="256"/>
      <c r="X276" s="256"/>
      <c r="Y276" s="256"/>
      <c r="Z276" s="256"/>
      <c r="AA276" s="256"/>
      <c r="AB276" s="256"/>
      <c r="AC276" s="256"/>
      <c r="AD276" s="256"/>
      <c r="AE276" s="1062"/>
      <c r="AF276" s="1062"/>
      <c r="AG276" s="1062"/>
    </row>
    <row r="277" spans="1:33" x14ac:dyDescent="0.25">
      <c r="A277" s="1050" t="s">
        <v>531</v>
      </c>
      <c r="B277" s="1051" t="s">
        <v>521</v>
      </c>
      <c r="C277" s="1050"/>
      <c r="D277" s="1050"/>
      <c r="E277" s="1061"/>
      <c r="F277" s="257"/>
      <c r="G277" s="257"/>
      <c r="H277" s="257"/>
      <c r="I277" s="257"/>
      <c r="J277" s="257"/>
      <c r="K277" s="257"/>
      <c r="L277" s="247"/>
      <c r="M277" s="256"/>
      <c r="N277" s="256"/>
      <c r="O277" s="256"/>
      <c r="P277" s="256"/>
      <c r="Q277" s="256"/>
      <c r="R277" s="256"/>
      <c r="S277" s="256"/>
      <c r="T277" s="256"/>
      <c r="U277" s="256"/>
      <c r="V277" s="256"/>
      <c r="W277" s="256"/>
      <c r="X277" s="256"/>
      <c r="Y277" s="256"/>
      <c r="Z277" s="256"/>
      <c r="AA277" s="256"/>
      <c r="AB277" s="256"/>
      <c r="AC277" s="256"/>
      <c r="AD277" s="256"/>
      <c r="AE277" s="1062"/>
      <c r="AF277" s="1062"/>
      <c r="AG277" s="1062"/>
    </row>
    <row r="278" spans="1:33" x14ac:dyDescent="0.25">
      <c r="A278" s="1050" t="s">
        <v>531</v>
      </c>
      <c r="B278" s="1051" t="s">
        <v>522</v>
      </c>
      <c r="C278" s="1050"/>
      <c r="D278" s="1050"/>
      <c r="E278" s="1061"/>
      <c r="F278" s="257"/>
      <c r="G278" s="257"/>
      <c r="H278" s="257"/>
      <c r="I278" s="257"/>
      <c r="J278" s="257"/>
      <c r="K278" s="257"/>
      <c r="L278" s="257"/>
      <c r="M278" s="247"/>
      <c r="N278" s="256"/>
      <c r="O278" s="256"/>
      <c r="P278" s="256"/>
      <c r="Q278" s="256"/>
      <c r="R278" s="256"/>
      <c r="S278" s="256"/>
      <c r="T278" s="256"/>
      <c r="U278" s="256"/>
      <c r="V278" s="256"/>
      <c r="W278" s="256"/>
      <c r="X278" s="256"/>
      <c r="Y278" s="256"/>
      <c r="Z278" s="256"/>
      <c r="AA278" s="256"/>
      <c r="AB278" s="256"/>
      <c r="AC278" s="256"/>
      <c r="AD278" s="256"/>
      <c r="AE278" s="1062"/>
      <c r="AF278" s="1062"/>
      <c r="AG278" s="1062"/>
    </row>
    <row r="279" spans="1:33" x14ac:dyDescent="0.25">
      <c r="A279" s="1050" t="s">
        <v>531</v>
      </c>
      <c r="B279" s="1051" t="s">
        <v>523</v>
      </c>
      <c r="C279" s="1050"/>
      <c r="D279" s="1050"/>
      <c r="E279" s="1061"/>
      <c r="F279" s="257"/>
      <c r="G279" s="257"/>
      <c r="H279" s="257"/>
      <c r="I279" s="257"/>
      <c r="J279" s="257"/>
      <c r="K279" s="257"/>
      <c r="L279" s="257"/>
      <c r="M279" s="257"/>
      <c r="N279" s="247"/>
      <c r="O279" s="256"/>
      <c r="P279" s="256"/>
      <c r="Q279" s="256"/>
      <c r="R279" s="256"/>
      <c r="S279" s="256"/>
      <c r="T279" s="256"/>
      <c r="U279" s="256"/>
      <c r="V279" s="256"/>
      <c r="W279" s="256"/>
      <c r="X279" s="256"/>
      <c r="Y279" s="256"/>
      <c r="Z279" s="256"/>
      <c r="AA279" s="256"/>
      <c r="AB279" s="256"/>
      <c r="AC279" s="256"/>
      <c r="AD279" s="256"/>
      <c r="AE279" s="1062"/>
      <c r="AF279" s="1062"/>
      <c r="AG279" s="1062"/>
    </row>
    <row r="280" spans="1:33" x14ac:dyDescent="0.25">
      <c r="A280" s="1050" t="s">
        <v>531</v>
      </c>
      <c r="B280" s="1051" t="s">
        <v>524</v>
      </c>
      <c r="C280" s="245"/>
      <c r="D280" s="1050"/>
      <c r="E280" s="1061"/>
      <c r="F280" s="257"/>
      <c r="G280" s="257"/>
      <c r="H280" s="257"/>
      <c r="I280" s="257"/>
      <c r="J280" s="257"/>
      <c r="K280" s="257"/>
      <c r="L280" s="257"/>
      <c r="M280" s="257"/>
      <c r="N280" s="257"/>
      <c r="O280" s="247"/>
      <c r="P280" s="256"/>
      <c r="Q280" s="256"/>
      <c r="R280" s="256"/>
      <c r="S280" s="256"/>
      <c r="T280" s="256"/>
      <c r="U280" s="256"/>
      <c r="V280" s="256"/>
      <c r="W280" s="256"/>
      <c r="X280" s="256"/>
      <c r="Y280" s="256"/>
      <c r="Z280" s="256"/>
      <c r="AA280" s="256"/>
      <c r="AB280" s="256"/>
      <c r="AC280" s="256"/>
      <c r="AD280" s="256"/>
      <c r="AE280" s="1062"/>
      <c r="AF280" s="1062"/>
      <c r="AG280" s="1062"/>
    </row>
    <row r="281" spans="1:33" x14ac:dyDescent="0.25">
      <c r="A281" s="1050" t="s">
        <v>531</v>
      </c>
      <c r="B281" s="1051" t="s">
        <v>525</v>
      </c>
      <c r="C281" s="245"/>
      <c r="D281" s="1050"/>
      <c r="E281" s="1061"/>
      <c r="F281" s="257"/>
      <c r="G281" s="257"/>
      <c r="H281" s="257"/>
      <c r="I281" s="257"/>
      <c r="J281" s="257"/>
      <c r="K281" s="257"/>
      <c r="L281" s="257"/>
      <c r="M281" s="257"/>
      <c r="N281" s="257"/>
      <c r="O281" s="257"/>
      <c r="P281" s="247"/>
      <c r="Q281" s="256"/>
      <c r="R281" s="256"/>
      <c r="S281" s="256"/>
      <c r="T281" s="256"/>
      <c r="U281" s="256"/>
      <c r="V281" s="256"/>
      <c r="W281" s="256"/>
      <c r="X281" s="256"/>
      <c r="Y281" s="256"/>
      <c r="Z281" s="256"/>
      <c r="AA281" s="256"/>
      <c r="AB281" s="256"/>
      <c r="AC281" s="256"/>
      <c r="AD281" s="256"/>
      <c r="AE281" s="1062"/>
      <c r="AF281" s="1062"/>
      <c r="AG281" s="1062"/>
    </row>
    <row r="282" spans="1:33" x14ac:dyDescent="0.25">
      <c r="A282" s="1050" t="s">
        <v>531</v>
      </c>
      <c r="B282" s="1051" t="s">
        <v>526</v>
      </c>
      <c r="C282" s="245"/>
      <c r="D282" s="245"/>
      <c r="E282" s="1061"/>
      <c r="F282" s="257"/>
      <c r="G282" s="257"/>
      <c r="H282" s="257"/>
      <c r="I282" s="257"/>
      <c r="J282" s="257"/>
      <c r="K282" s="257"/>
      <c r="L282" s="257"/>
      <c r="M282" s="257"/>
      <c r="N282" s="257"/>
      <c r="O282" s="257"/>
      <c r="P282" s="257"/>
      <c r="Q282" s="247"/>
      <c r="R282" s="256"/>
      <c r="S282" s="256"/>
      <c r="T282" s="256"/>
      <c r="U282" s="256"/>
      <c r="V282" s="256"/>
      <c r="W282" s="256"/>
      <c r="X282" s="256"/>
      <c r="Y282" s="256"/>
      <c r="Z282" s="256"/>
      <c r="AA282" s="256"/>
      <c r="AB282" s="256"/>
      <c r="AC282" s="256"/>
      <c r="AD282" s="256"/>
      <c r="AE282" s="1062"/>
      <c r="AF282" s="1062"/>
      <c r="AG282" s="1062"/>
    </row>
    <row r="283" spans="1:33" x14ac:dyDescent="0.25">
      <c r="A283" s="1050" t="s">
        <v>531</v>
      </c>
      <c r="B283" s="1051" t="s">
        <v>527</v>
      </c>
      <c r="C283" s="245"/>
      <c r="D283" s="245"/>
      <c r="E283" s="1061"/>
      <c r="F283" s="257"/>
      <c r="G283" s="257"/>
      <c r="H283" s="257"/>
      <c r="I283" s="257"/>
      <c r="J283" s="257"/>
      <c r="K283" s="257"/>
      <c r="L283" s="257"/>
      <c r="M283" s="257"/>
      <c r="N283" s="257"/>
      <c r="O283" s="257"/>
      <c r="P283" s="257"/>
      <c r="Q283" s="257"/>
      <c r="R283" s="247"/>
      <c r="S283" s="256"/>
      <c r="T283" s="256"/>
      <c r="U283" s="256"/>
      <c r="V283" s="256"/>
      <c r="W283" s="256"/>
      <c r="X283" s="256"/>
      <c r="Y283" s="256"/>
      <c r="Z283" s="256"/>
      <c r="AA283" s="256"/>
      <c r="AB283" s="256"/>
      <c r="AC283" s="256"/>
      <c r="AD283" s="256"/>
      <c r="AE283" s="1062"/>
      <c r="AF283" s="1062"/>
      <c r="AG283" s="1062"/>
    </row>
    <row r="284" spans="1:33" x14ac:dyDescent="0.25">
      <c r="A284" s="1050" t="s">
        <v>531</v>
      </c>
      <c r="B284" s="1051" t="s">
        <v>528</v>
      </c>
      <c r="C284" s="245"/>
      <c r="D284" s="245"/>
      <c r="E284" s="1061"/>
      <c r="F284" s="257"/>
      <c r="G284" s="257"/>
      <c r="H284" s="257"/>
      <c r="I284" s="257"/>
      <c r="J284" s="257"/>
      <c r="K284" s="257"/>
      <c r="L284" s="257"/>
      <c r="M284" s="257"/>
      <c r="N284" s="257"/>
      <c r="O284" s="257"/>
      <c r="P284" s="257"/>
      <c r="Q284" s="257"/>
      <c r="R284" s="257"/>
      <c r="S284" s="247"/>
      <c r="T284" s="256"/>
      <c r="U284" s="256"/>
      <c r="V284" s="256"/>
      <c r="W284" s="256"/>
      <c r="X284" s="256"/>
      <c r="Y284" s="256"/>
      <c r="Z284" s="256"/>
      <c r="AA284" s="256"/>
      <c r="AB284" s="256"/>
      <c r="AC284" s="256"/>
      <c r="AD284" s="256"/>
      <c r="AE284" s="1062"/>
      <c r="AF284" s="1062"/>
      <c r="AG284" s="1062"/>
    </row>
    <row r="285" spans="1:33" x14ac:dyDescent="0.25">
      <c r="A285" s="1050" t="s">
        <v>531</v>
      </c>
      <c r="B285" s="1051" t="s">
        <v>532</v>
      </c>
      <c r="C285" s="245"/>
      <c r="D285" s="245"/>
      <c r="E285" s="1064"/>
      <c r="F285" s="257"/>
      <c r="G285" s="257"/>
      <c r="H285" s="257"/>
      <c r="I285" s="257"/>
      <c r="J285" s="257"/>
      <c r="K285" s="257"/>
      <c r="L285" s="257"/>
      <c r="M285" s="257"/>
      <c r="N285" s="257"/>
      <c r="O285" s="257"/>
      <c r="P285" s="257"/>
      <c r="Q285" s="257"/>
      <c r="R285" s="257"/>
      <c r="S285" s="257"/>
      <c r="T285" s="247"/>
      <c r="U285" s="256"/>
      <c r="V285" s="256"/>
      <c r="W285" s="256"/>
      <c r="X285" s="256"/>
      <c r="Y285" s="256"/>
      <c r="Z285" s="256"/>
      <c r="AA285" s="256"/>
      <c r="AB285" s="256"/>
      <c r="AC285" s="256"/>
      <c r="AD285" s="256"/>
      <c r="AE285" s="1062"/>
      <c r="AF285" s="1062"/>
      <c r="AG285" s="1062"/>
    </row>
    <row r="286" spans="1:33" x14ac:dyDescent="0.25">
      <c r="A286" s="1050" t="s">
        <v>531</v>
      </c>
      <c r="B286" s="1051" t="s">
        <v>533</v>
      </c>
      <c r="C286" s="245"/>
      <c r="D286" s="245"/>
      <c r="E286" s="1064"/>
      <c r="F286" s="257"/>
      <c r="G286" s="257"/>
      <c r="H286" s="257"/>
      <c r="I286" s="257"/>
      <c r="J286" s="257"/>
      <c r="K286" s="257"/>
      <c r="L286" s="257"/>
      <c r="M286" s="257"/>
      <c r="N286" s="257"/>
      <c r="O286" s="257"/>
      <c r="P286" s="257"/>
      <c r="Q286" s="257"/>
      <c r="R286" s="257"/>
      <c r="S286" s="257"/>
      <c r="T286" s="257"/>
      <c r="U286" s="247"/>
      <c r="V286" s="256"/>
      <c r="W286" s="256"/>
      <c r="X286" s="256"/>
      <c r="Y286" s="256"/>
      <c r="Z286" s="256"/>
      <c r="AA286" s="256"/>
      <c r="AB286" s="256"/>
      <c r="AC286" s="256"/>
      <c r="AD286" s="256"/>
      <c r="AE286" s="1062"/>
      <c r="AF286" s="1062"/>
      <c r="AG286" s="1062"/>
    </row>
    <row r="287" spans="1:33" x14ac:dyDescent="0.25">
      <c r="A287" s="1050" t="s">
        <v>531</v>
      </c>
      <c r="B287" s="1051" t="s">
        <v>534</v>
      </c>
      <c r="C287" s="245"/>
      <c r="D287" s="245"/>
      <c r="E287" s="1064"/>
      <c r="F287" s="257"/>
      <c r="G287" s="257"/>
      <c r="H287" s="257"/>
      <c r="I287" s="257"/>
      <c r="J287" s="257"/>
      <c r="K287" s="257"/>
      <c r="L287" s="257"/>
      <c r="M287" s="257"/>
      <c r="N287" s="257"/>
      <c r="O287" s="257"/>
      <c r="P287" s="257"/>
      <c r="Q287" s="257"/>
      <c r="R287" s="257"/>
      <c r="S287" s="257"/>
      <c r="T287" s="257"/>
      <c r="U287" s="257"/>
      <c r="V287" s="247"/>
      <c r="W287" s="256"/>
      <c r="X287" s="256"/>
      <c r="Y287" s="256"/>
      <c r="Z287" s="256"/>
      <c r="AA287" s="256"/>
      <c r="AB287" s="256"/>
      <c r="AC287" s="256"/>
      <c r="AD287" s="256"/>
      <c r="AE287" s="1062"/>
      <c r="AF287" s="1062"/>
      <c r="AG287" s="1062"/>
    </row>
    <row r="288" spans="1:33" x14ac:dyDescent="0.25">
      <c r="A288" s="1050" t="s">
        <v>531</v>
      </c>
      <c r="B288" s="1051" t="s">
        <v>544</v>
      </c>
      <c r="C288" s="245"/>
      <c r="D288" s="245"/>
      <c r="E288" s="1064"/>
      <c r="F288" s="257"/>
      <c r="G288" s="257"/>
      <c r="H288" s="257"/>
      <c r="I288" s="257"/>
      <c r="J288" s="257"/>
      <c r="K288" s="257"/>
      <c r="L288" s="257"/>
      <c r="M288" s="257"/>
      <c r="N288" s="257"/>
      <c r="O288" s="257"/>
      <c r="P288" s="257"/>
      <c r="Q288" s="257"/>
      <c r="R288" s="257"/>
      <c r="S288" s="257"/>
      <c r="T288" s="257"/>
      <c r="U288" s="257"/>
      <c r="V288" s="257"/>
      <c r="W288" s="247"/>
      <c r="X288" s="256"/>
      <c r="Y288" s="256"/>
      <c r="Z288" s="256"/>
      <c r="AA288" s="256"/>
      <c r="AB288" s="256"/>
      <c r="AC288" s="256"/>
      <c r="AD288" s="256"/>
      <c r="AE288" s="1062"/>
      <c r="AF288" s="1062"/>
      <c r="AG288" s="1062"/>
    </row>
    <row r="289" spans="1:33" x14ac:dyDescent="0.25">
      <c r="A289" s="1050" t="s">
        <v>531</v>
      </c>
      <c r="B289" s="1051" t="s">
        <v>545</v>
      </c>
      <c r="C289" s="245"/>
      <c r="D289" s="245"/>
      <c r="E289" s="1064"/>
      <c r="F289" s="257"/>
      <c r="G289" s="257"/>
      <c r="H289" s="257"/>
      <c r="I289" s="257"/>
      <c r="J289" s="257"/>
      <c r="K289" s="257"/>
      <c r="L289" s="257"/>
      <c r="M289" s="257"/>
      <c r="N289" s="257"/>
      <c r="O289" s="257"/>
      <c r="P289" s="257"/>
      <c r="Q289" s="257"/>
      <c r="R289" s="257"/>
      <c r="S289" s="257"/>
      <c r="T289" s="257"/>
      <c r="U289" s="257"/>
      <c r="V289" s="257"/>
      <c r="W289" s="257"/>
      <c r="X289" s="247"/>
      <c r="Y289" s="256"/>
      <c r="Z289" s="256"/>
      <c r="AA289" s="256"/>
      <c r="AB289" s="256"/>
      <c r="AC289" s="256"/>
      <c r="AD289" s="256"/>
      <c r="AE289" s="1062"/>
      <c r="AF289" s="1062"/>
      <c r="AG289" s="1062"/>
    </row>
    <row r="290" spans="1:33" x14ac:dyDescent="0.25">
      <c r="A290" s="1050" t="s">
        <v>531</v>
      </c>
      <c r="B290" s="1051" t="s">
        <v>546</v>
      </c>
      <c r="C290" s="245"/>
      <c r="D290" s="245"/>
      <c r="E290" s="1064"/>
      <c r="F290" s="257"/>
      <c r="G290" s="257"/>
      <c r="H290" s="257"/>
      <c r="I290" s="257"/>
      <c r="J290" s="257"/>
      <c r="K290" s="257"/>
      <c r="L290" s="257"/>
      <c r="M290" s="257"/>
      <c r="N290" s="257"/>
      <c r="O290" s="257"/>
      <c r="P290" s="257"/>
      <c r="Q290" s="257"/>
      <c r="R290" s="257"/>
      <c r="S290" s="257"/>
      <c r="T290" s="257"/>
      <c r="U290" s="257"/>
      <c r="V290" s="257"/>
      <c r="W290" s="257"/>
      <c r="X290" s="257"/>
      <c r="Y290" s="247"/>
      <c r="Z290" s="1062"/>
      <c r="AA290" s="1062"/>
      <c r="AB290" s="1062"/>
      <c r="AC290" s="1062"/>
      <c r="AD290" s="1062"/>
      <c r="AE290" s="1062"/>
      <c r="AF290" s="1062"/>
      <c r="AG290" s="1062"/>
    </row>
    <row r="291" spans="1:33" x14ac:dyDescent="0.25">
      <c r="A291" s="1050" t="s">
        <v>531</v>
      </c>
      <c r="B291" s="1051" t="s">
        <v>1445</v>
      </c>
      <c r="C291" s="245"/>
      <c r="D291" s="245"/>
      <c r="E291" s="1064"/>
      <c r="F291" s="257"/>
      <c r="G291" s="257"/>
      <c r="H291" s="257"/>
      <c r="I291" s="257"/>
      <c r="J291" s="257"/>
      <c r="K291" s="257"/>
      <c r="L291" s="257"/>
      <c r="M291" s="257"/>
      <c r="N291" s="257"/>
      <c r="O291" s="257"/>
      <c r="P291" s="257"/>
      <c r="Q291" s="257"/>
      <c r="R291" s="257"/>
      <c r="S291" s="257"/>
      <c r="T291" s="257"/>
      <c r="U291" s="257"/>
      <c r="V291" s="257"/>
      <c r="W291" s="257"/>
      <c r="X291" s="257"/>
      <c r="Y291" s="257"/>
      <c r="Z291" s="247"/>
      <c r="AA291" s="256"/>
      <c r="AB291" s="256"/>
      <c r="AC291" s="256"/>
      <c r="AD291" s="256"/>
      <c r="AE291" s="245"/>
      <c r="AF291" s="245"/>
      <c r="AG291" s="1062"/>
    </row>
    <row r="292" spans="1:33" x14ac:dyDescent="0.25">
      <c r="A292" s="1050" t="s">
        <v>531</v>
      </c>
      <c r="B292" s="1051" t="s">
        <v>1446</v>
      </c>
      <c r="C292" s="245"/>
      <c r="D292" s="245"/>
      <c r="E292" s="1064"/>
      <c r="F292" s="257"/>
      <c r="G292" s="257"/>
      <c r="H292" s="257"/>
      <c r="I292" s="257"/>
      <c r="J292" s="257"/>
      <c r="K292" s="257"/>
      <c r="L292" s="257"/>
      <c r="M292" s="257"/>
      <c r="N292" s="257"/>
      <c r="O292" s="257"/>
      <c r="P292" s="257"/>
      <c r="Q292" s="257"/>
      <c r="R292" s="257"/>
      <c r="S292" s="257"/>
      <c r="T292" s="257"/>
      <c r="U292" s="257"/>
      <c r="V292" s="257"/>
      <c r="W292" s="257"/>
      <c r="X292" s="257"/>
      <c r="Y292" s="257"/>
      <c r="Z292" s="257"/>
      <c r="AA292" s="247"/>
      <c r="AB292" s="256"/>
      <c r="AC292" s="256"/>
      <c r="AD292" s="256"/>
      <c r="AE292" s="245"/>
      <c r="AF292" s="245"/>
      <c r="AG292" s="1062"/>
    </row>
    <row r="293" spans="1:33" x14ac:dyDescent="0.25">
      <c r="A293" s="1050" t="s">
        <v>531</v>
      </c>
      <c r="B293" s="1051" t="s">
        <v>1447</v>
      </c>
      <c r="C293" s="245"/>
      <c r="D293" s="245"/>
      <c r="E293" s="1064"/>
      <c r="F293" s="257"/>
      <c r="G293" s="257"/>
      <c r="H293" s="257"/>
      <c r="I293" s="257"/>
      <c r="J293" s="257"/>
      <c r="K293" s="257"/>
      <c r="L293" s="257"/>
      <c r="M293" s="257"/>
      <c r="N293" s="257"/>
      <c r="O293" s="257"/>
      <c r="P293" s="257"/>
      <c r="Q293" s="257"/>
      <c r="R293" s="257"/>
      <c r="S293" s="257"/>
      <c r="T293" s="257"/>
      <c r="U293" s="257"/>
      <c r="V293" s="257"/>
      <c r="W293" s="257"/>
      <c r="X293" s="257"/>
      <c r="Y293" s="257"/>
      <c r="Z293" s="257"/>
      <c r="AA293" s="257"/>
      <c r="AB293" s="247"/>
      <c r="AC293" s="256"/>
      <c r="AD293" s="256"/>
      <c r="AE293" s="245"/>
      <c r="AF293" s="245"/>
      <c r="AG293" s="1062"/>
    </row>
    <row r="294" spans="1:33" x14ac:dyDescent="0.25">
      <c r="A294" s="1050" t="s">
        <v>531</v>
      </c>
      <c r="B294" s="1051" t="s">
        <v>1448</v>
      </c>
      <c r="C294" s="245"/>
      <c r="D294" s="245"/>
      <c r="E294" s="1064"/>
      <c r="F294" s="257"/>
      <c r="G294" s="257"/>
      <c r="H294" s="257"/>
      <c r="I294" s="257"/>
      <c r="J294" s="257"/>
      <c r="K294" s="257"/>
      <c r="L294" s="257"/>
      <c r="M294" s="257"/>
      <c r="N294" s="257"/>
      <c r="O294" s="257"/>
      <c r="P294" s="257"/>
      <c r="Q294" s="257"/>
      <c r="R294" s="257"/>
      <c r="S294" s="257"/>
      <c r="T294" s="257"/>
      <c r="U294" s="257"/>
      <c r="V294" s="257"/>
      <c r="W294" s="257"/>
      <c r="X294" s="257"/>
      <c r="Y294" s="257"/>
      <c r="Z294" s="257"/>
      <c r="AA294" s="257"/>
      <c r="AB294" s="257"/>
      <c r="AC294" s="247"/>
      <c r="AD294" s="256"/>
      <c r="AE294" s="245"/>
      <c r="AF294" s="245"/>
      <c r="AG294" s="1062"/>
    </row>
    <row r="295" spans="1:33" x14ac:dyDescent="0.25">
      <c r="A295" s="1050" t="s">
        <v>531</v>
      </c>
      <c r="B295" s="1051" t="s">
        <v>1449</v>
      </c>
      <c r="C295" s="245"/>
      <c r="D295" s="245"/>
      <c r="E295" s="1064"/>
      <c r="F295" s="257"/>
      <c r="G295" s="257"/>
      <c r="H295" s="257"/>
      <c r="I295" s="257"/>
      <c r="J295" s="257"/>
      <c r="K295" s="257"/>
      <c r="L295" s="257"/>
      <c r="M295" s="257"/>
      <c r="N295" s="257"/>
      <c r="O295" s="257"/>
      <c r="P295" s="257"/>
      <c r="Q295" s="257"/>
      <c r="R295" s="257"/>
      <c r="S295" s="257"/>
      <c r="T295" s="257"/>
      <c r="U295" s="257"/>
      <c r="V295" s="257"/>
      <c r="W295" s="257"/>
      <c r="X295" s="257"/>
      <c r="Y295" s="257"/>
      <c r="Z295" s="257"/>
      <c r="AA295" s="257"/>
      <c r="AB295" s="257"/>
      <c r="AC295" s="257"/>
      <c r="AD295" s="247"/>
      <c r="AE295" s="245"/>
      <c r="AF295" s="245"/>
      <c r="AG295" s="1062"/>
    </row>
    <row r="296" spans="1:33" ht="13" x14ac:dyDescent="0.3">
      <c r="A296" s="1054"/>
      <c r="B296" s="1055" t="s">
        <v>271</v>
      </c>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row>
    <row r="297" spans="1:33" x14ac:dyDescent="0.25">
      <c r="C297" s="1066"/>
    </row>
    <row r="300" spans="1:33" ht="13" x14ac:dyDescent="0.3">
      <c r="B300" s="1045" t="s">
        <v>271</v>
      </c>
      <c r="F300" s="1046" t="s">
        <v>10</v>
      </c>
    </row>
    <row r="301" spans="1:33" ht="26.15" customHeight="1" x14ac:dyDescent="0.35">
      <c r="A301" s="1047"/>
      <c r="B301" s="1060" t="s">
        <v>413</v>
      </c>
      <c r="C301" s="1962" t="s">
        <v>513</v>
      </c>
      <c r="D301" s="1962" t="s">
        <v>514</v>
      </c>
      <c r="E301" s="1962" t="s">
        <v>584</v>
      </c>
      <c r="F301" s="1964" t="s">
        <v>585</v>
      </c>
      <c r="G301" s="1965"/>
      <c r="H301" s="1965"/>
      <c r="I301" s="1965"/>
      <c r="J301" s="1965"/>
      <c r="K301" s="1965"/>
      <c r="L301" s="1965"/>
      <c r="M301" s="1965"/>
      <c r="N301" s="1965"/>
      <c r="O301" s="1965"/>
      <c r="P301" s="1965"/>
      <c r="Q301" s="1965"/>
      <c r="R301" s="1965"/>
      <c r="S301" s="1965"/>
      <c r="T301" s="1965"/>
      <c r="U301" s="1965"/>
      <c r="V301" s="1965"/>
      <c r="W301" s="1965"/>
      <c r="X301" s="1965"/>
      <c r="Y301" s="1965"/>
      <c r="Z301" s="1965"/>
      <c r="AA301" s="1965"/>
      <c r="AB301" s="1965"/>
      <c r="AC301" s="1965"/>
      <c r="AD301" s="1966"/>
      <c r="AE301" s="1048" t="s">
        <v>536</v>
      </c>
      <c r="AF301" s="1048" t="s">
        <v>529</v>
      </c>
      <c r="AG301" s="1048" t="s">
        <v>537</v>
      </c>
    </row>
    <row r="302" spans="1:33" ht="12.9" customHeight="1" x14ac:dyDescent="0.25">
      <c r="A302" s="1047"/>
      <c r="B302" s="1060"/>
      <c r="C302" s="1963"/>
      <c r="D302" s="1963"/>
      <c r="E302" s="1963"/>
      <c r="F302" s="1049" t="s">
        <v>515</v>
      </c>
      <c r="G302" s="1049" t="s">
        <v>516</v>
      </c>
      <c r="H302" s="1049" t="s">
        <v>517</v>
      </c>
      <c r="I302" s="1049" t="s">
        <v>518</v>
      </c>
      <c r="J302" s="1049" t="s">
        <v>519</v>
      </c>
      <c r="K302" s="1049" t="s">
        <v>520</v>
      </c>
      <c r="L302" s="1049" t="s">
        <v>521</v>
      </c>
      <c r="M302" s="1049" t="s">
        <v>522</v>
      </c>
      <c r="N302" s="1049" t="s">
        <v>523</v>
      </c>
      <c r="O302" s="1049" t="s">
        <v>524</v>
      </c>
      <c r="P302" s="1049" t="s">
        <v>525</v>
      </c>
      <c r="Q302" s="1049" t="s">
        <v>526</v>
      </c>
      <c r="R302" s="1049" t="s">
        <v>527</v>
      </c>
      <c r="S302" s="1049" t="s">
        <v>528</v>
      </c>
      <c r="T302" s="1049" t="s">
        <v>325</v>
      </c>
      <c r="U302" s="1049" t="s">
        <v>504</v>
      </c>
      <c r="V302" s="1049" t="s">
        <v>505</v>
      </c>
      <c r="W302" s="1049" t="s">
        <v>506</v>
      </c>
      <c r="X302" s="1049" t="s">
        <v>507</v>
      </c>
      <c r="Y302" s="1049" t="s">
        <v>508</v>
      </c>
      <c r="Z302" s="1049" t="s">
        <v>969</v>
      </c>
      <c r="AA302" s="1049" t="s">
        <v>970</v>
      </c>
      <c r="AB302" s="1049" t="s">
        <v>971</v>
      </c>
      <c r="AC302" s="1049" t="s">
        <v>972</v>
      </c>
      <c r="AD302" s="1049" t="s">
        <v>973</v>
      </c>
      <c r="AE302" s="1048"/>
      <c r="AF302" s="1048"/>
      <c r="AG302" s="1048"/>
    </row>
    <row r="303" spans="1:33" x14ac:dyDescent="0.25">
      <c r="A303" s="1050" t="s">
        <v>530</v>
      </c>
      <c r="B303" s="1051">
        <v>2005</v>
      </c>
      <c r="C303" s="1069"/>
      <c r="D303" s="1069"/>
      <c r="E303" s="1061"/>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1062"/>
      <c r="AF303" s="1062"/>
      <c r="AG303" s="1062"/>
    </row>
    <row r="304" spans="1:33" x14ac:dyDescent="0.25">
      <c r="A304" s="1050" t="s">
        <v>531</v>
      </c>
      <c r="B304" s="1051" t="s">
        <v>515</v>
      </c>
      <c r="C304" s="1069"/>
      <c r="D304" s="1069"/>
      <c r="E304" s="1061"/>
      <c r="F304" s="247"/>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1062"/>
      <c r="AF304" s="1062"/>
      <c r="AG304" s="1062"/>
    </row>
    <row r="305" spans="1:33" x14ac:dyDescent="0.25">
      <c r="A305" s="1050" t="s">
        <v>531</v>
      </c>
      <c r="B305" s="1051" t="s">
        <v>516</v>
      </c>
      <c r="C305" s="1069"/>
      <c r="D305" s="1069"/>
      <c r="E305" s="1061"/>
      <c r="F305" s="257"/>
      <c r="G305" s="247"/>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1062"/>
      <c r="AF305" s="1062"/>
      <c r="AG305" s="1062"/>
    </row>
    <row r="306" spans="1:33" x14ac:dyDescent="0.25">
      <c r="A306" s="1050" t="s">
        <v>531</v>
      </c>
      <c r="B306" s="1051" t="s">
        <v>517</v>
      </c>
      <c r="C306" s="1069"/>
      <c r="D306" s="1069"/>
      <c r="E306" s="1061"/>
      <c r="F306" s="257"/>
      <c r="G306" s="257"/>
      <c r="H306" s="247"/>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1062"/>
      <c r="AF306" s="1062"/>
      <c r="AG306" s="1062"/>
    </row>
    <row r="307" spans="1:33" x14ac:dyDescent="0.25">
      <c r="A307" s="1050" t="s">
        <v>531</v>
      </c>
      <c r="B307" s="1051" t="s">
        <v>518</v>
      </c>
      <c r="C307" s="1069"/>
      <c r="D307" s="1069"/>
      <c r="E307" s="1061"/>
      <c r="F307" s="257"/>
      <c r="G307" s="257"/>
      <c r="H307" s="257"/>
      <c r="I307" s="247"/>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1062"/>
      <c r="AF307" s="1062"/>
      <c r="AG307" s="1062"/>
    </row>
    <row r="308" spans="1:33" x14ac:dyDescent="0.25">
      <c r="A308" s="1050" t="s">
        <v>531</v>
      </c>
      <c r="B308" s="1051" t="s">
        <v>519</v>
      </c>
      <c r="C308" s="1069"/>
      <c r="D308" s="1069"/>
      <c r="E308" s="1061"/>
      <c r="F308" s="257"/>
      <c r="G308" s="257"/>
      <c r="H308" s="257"/>
      <c r="I308" s="257"/>
      <c r="J308" s="247"/>
      <c r="K308" s="256"/>
      <c r="L308" s="256"/>
      <c r="M308" s="256"/>
      <c r="N308" s="256"/>
      <c r="O308" s="256"/>
      <c r="P308" s="256"/>
      <c r="Q308" s="256"/>
      <c r="R308" s="256"/>
      <c r="S308" s="256"/>
      <c r="T308" s="256"/>
      <c r="U308" s="256"/>
      <c r="V308" s="256"/>
      <c r="W308" s="256"/>
      <c r="X308" s="256"/>
      <c r="Y308" s="256"/>
      <c r="Z308" s="256"/>
      <c r="AA308" s="256"/>
      <c r="AB308" s="256"/>
      <c r="AC308" s="256"/>
      <c r="AD308" s="256"/>
      <c r="AE308" s="1062"/>
      <c r="AF308" s="1062"/>
      <c r="AG308" s="1062"/>
    </row>
    <row r="309" spans="1:33" x14ac:dyDescent="0.25">
      <c r="A309" s="1050" t="s">
        <v>531</v>
      </c>
      <c r="B309" s="1051" t="s">
        <v>520</v>
      </c>
      <c r="C309" s="1069"/>
      <c r="D309" s="1069"/>
      <c r="E309" s="1061"/>
      <c r="F309" s="257"/>
      <c r="G309" s="257"/>
      <c r="H309" s="257"/>
      <c r="I309" s="257"/>
      <c r="J309" s="257"/>
      <c r="K309" s="247"/>
      <c r="L309" s="256"/>
      <c r="M309" s="256"/>
      <c r="N309" s="256"/>
      <c r="O309" s="256"/>
      <c r="P309" s="256"/>
      <c r="Q309" s="256"/>
      <c r="R309" s="256"/>
      <c r="S309" s="256"/>
      <c r="T309" s="256"/>
      <c r="U309" s="256"/>
      <c r="V309" s="256"/>
      <c r="W309" s="256"/>
      <c r="X309" s="256"/>
      <c r="Y309" s="256"/>
      <c r="Z309" s="256"/>
      <c r="AA309" s="256"/>
      <c r="AB309" s="256"/>
      <c r="AC309" s="256"/>
      <c r="AD309" s="256"/>
      <c r="AE309" s="1062"/>
      <c r="AF309" s="1062"/>
      <c r="AG309" s="1062"/>
    </row>
    <row r="310" spans="1:33" x14ac:dyDescent="0.25">
      <c r="A310" s="1050" t="s">
        <v>531</v>
      </c>
      <c r="B310" s="1051" t="s">
        <v>521</v>
      </c>
      <c r="C310" s="1069"/>
      <c r="D310" s="1069"/>
      <c r="E310" s="1061"/>
      <c r="F310" s="257"/>
      <c r="G310" s="257"/>
      <c r="H310" s="257"/>
      <c r="I310" s="257"/>
      <c r="J310" s="257"/>
      <c r="K310" s="257"/>
      <c r="L310" s="247"/>
      <c r="M310" s="256"/>
      <c r="N310" s="256"/>
      <c r="O310" s="256"/>
      <c r="P310" s="256"/>
      <c r="Q310" s="256"/>
      <c r="R310" s="256"/>
      <c r="S310" s="256"/>
      <c r="T310" s="256"/>
      <c r="U310" s="256"/>
      <c r="V310" s="256"/>
      <c r="W310" s="256"/>
      <c r="X310" s="256"/>
      <c r="Y310" s="256"/>
      <c r="Z310" s="256"/>
      <c r="AA310" s="256"/>
      <c r="AB310" s="256"/>
      <c r="AC310" s="256"/>
      <c r="AD310" s="256"/>
      <c r="AE310" s="1062"/>
      <c r="AF310" s="1062"/>
      <c r="AG310" s="1062"/>
    </row>
    <row r="311" spans="1:33" x14ac:dyDescent="0.25">
      <c r="A311" s="1050" t="s">
        <v>531</v>
      </c>
      <c r="B311" s="1051" t="s">
        <v>522</v>
      </c>
      <c r="C311" s="1069"/>
      <c r="D311" s="1069"/>
      <c r="E311" s="1061"/>
      <c r="F311" s="257"/>
      <c r="G311" s="257"/>
      <c r="H311" s="257"/>
      <c r="I311" s="257"/>
      <c r="J311" s="257"/>
      <c r="K311" s="257"/>
      <c r="L311" s="257"/>
      <c r="M311" s="247"/>
      <c r="N311" s="256"/>
      <c r="O311" s="256"/>
      <c r="P311" s="256"/>
      <c r="Q311" s="256"/>
      <c r="R311" s="256"/>
      <c r="S311" s="256"/>
      <c r="T311" s="256"/>
      <c r="U311" s="256"/>
      <c r="V311" s="256"/>
      <c r="W311" s="256"/>
      <c r="X311" s="256"/>
      <c r="Y311" s="256"/>
      <c r="Z311" s="256"/>
      <c r="AA311" s="256"/>
      <c r="AB311" s="256"/>
      <c r="AC311" s="256"/>
      <c r="AD311" s="256"/>
      <c r="AE311" s="1062"/>
      <c r="AF311" s="1062"/>
      <c r="AG311" s="1062"/>
    </row>
    <row r="312" spans="1:33" x14ac:dyDescent="0.25">
      <c r="A312" s="1050" t="s">
        <v>531</v>
      </c>
      <c r="B312" s="1051" t="s">
        <v>523</v>
      </c>
      <c r="C312" s="1069"/>
      <c r="D312" s="1069"/>
      <c r="E312" s="1061"/>
      <c r="F312" s="257"/>
      <c r="G312" s="257"/>
      <c r="H312" s="257"/>
      <c r="I312" s="257"/>
      <c r="J312" s="257"/>
      <c r="K312" s="257"/>
      <c r="L312" s="257"/>
      <c r="M312" s="257"/>
      <c r="N312" s="247"/>
      <c r="O312" s="256"/>
      <c r="P312" s="256"/>
      <c r="Q312" s="256"/>
      <c r="R312" s="256"/>
      <c r="S312" s="256"/>
      <c r="T312" s="256"/>
      <c r="U312" s="256"/>
      <c r="V312" s="256"/>
      <c r="W312" s="256"/>
      <c r="X312" s="256"/>
      <c r="Y312" s="256"/>
      <c r="Z312" s="256"/>
      <c r="AA312" s="256"/>
      <c r="AB312" s="256"/>
      <c r="AC312" s="256"/>
      <c r="AD312" s="256"/>
      <c r="AE312" s="1062"/>
      <c r="AF312" s="1062"/>
      <c r="AG312" s="1062"/>
    </row>
    <row r="313" spans="1:33" x14ac:dyDescent="0.25">
      <c r="A313" s="1050" t="s">
        <v>531</v>
      </c>
      <c r="B313" s="1051" t="s">
        <v>524</v>
      </c>
      <c r="C313" s="1069"/>
      <c r="D313" s="1069"/>
      <c r="E313" s="1061"/>
      <c r="F313" s="257"/>
      <c r="G313" s="257"/>
      <c r="H313" s="257"/>
      <c r="I313" s="257"/>
      <c r="J313" s="257"/>
      <c r="K313" s="257"/>
      <c r="L313" s="257"/>
      <c r="M313" s="257"/>
      <c r="N313" s="257"/>
      <c r="O313" s="247"/>
      <c r="P313" s="256"/>
      <c r="Q313" s="256"/>
      <c r="R313" s="256"/>
      <c r="S313" s="256"/>
      <c r="T313" s="256"/>
      <c r="U313" s="256"/>
      <c r="V313" s="256"/>
      <c r="W313" s="256"/>
      <c r="X313" s="256"/>
      <c r="Y313" s="256"/>
      <c r="Z313" s="256"/>
      <c r="AA313" s="256"/>
      <c r="AB313" s="256"/>
      <c r="AC313" s="256"/>
      <c r="AD313" s="256"/>
      <c r="AE313" s="1062"/>
      <c r="AF313" s="1062"/>
      <c r="AG313" s="1062"/>
    </row>
    <row r="314" spans="1:33" x14ac:dyDescent="0.25">
      <c r="A314" s="1050" t="s">
        <v>531</v>
      </c>
      <c r="B314" s="1051" t="s">
        <v>525</v>
      </c>
      <c r="C314" s="1069"/>
      <c r="D314" s="1069"/>
      <c r="E314" s="1061"/>
      <c r="F314" s="257"/>
      <c r="G314" s="257"/>
      <c r="H314" s="257"/>
      <c r="I314" s="257"/>
      <c r="J314" s="257"/>
      <c r="K314" s="257"/>
      <c r="L314" s="257"/>
      <c r="M314" s="257"/>
      <c r="N314" s="257"/>
      <c r="O314" s="257"/>
      <c r="P314" s="247"/>
      <c r="Q314" s="256"/>
      <c r="R314" s="256"/>
      <c r="S314" s="256"/>
      <c r="T314" s="256"/>
      <c r="U314" s="256"/>
      <c r="V314" s="256"/>
      <c r="W314" s="256"/>
      <c r="X314" s="256"/>
      <c r="Y314" s="256"/>
      <c r="Z314" s="256"/>
      <c r="AA314" s="256"/>
      <c r="AB314" s="256"/>
      <c r="AC314" s="256"/>
      <c r="AD314" s="256"/>
      <c r="AE314" s="1062"/>
      <c r="AF314" s="1062"/>
      <c r="AG314" s="1062"/>
    </row>
    <row r="315" spans="1:33" x14ac:dyDescent="0.25">
      <c r="A315" s="1050" t="s">
        <v>531</v>
      </c>
      <c r="B315" s="1051" t="s">
        <v>526</v>
      </c>
      <c r="C315" s="1069"/>
      <c r="D315" s="1069"/>
      <c r="E315" s="1061"/>
      <c r="F315" s="257"/>
      <c r="G315" s="257"/>
      <c r="H315" s="257"/>
      <c r="I315" s="257"/>
      <c r="J315" s="257"/>
      <c r="K315" s="257"/>
      <c r="L315" s="257"/>
      <c r="M315" s="257"/>
      <c r="N315" s="257"/>
      <c r="O315" s="257"/>
      <c r="P315" s="257"/>
      <c r="Q315" s="247"/>
      <c r="R315" s="256"/>
      <c r="S315" s="256"/>
      <c r="T315" s="256"/>
      <c r="U315" s="256"/>
      <c r="V315" s="256"/>
      <c r="W315" s="256"/>
      <c r="X315" s="256"/>
      <c r="Y315" s="256"/>
      <c r="Z315" s="256"/>
      <c r="AA315" s="256"/>
      <c r="AB315" s="256"/>
      <c r="AC315" s="256"/>
      <c r="AD315" s="256"/>
      <c r="AE315" s="1062"/>
      <c r="AF315" s="1062"/>
      <c r="AG315" s="1062"/>
    </row>
    <row r="316" spans="1:33" x14ac:dyDescent="0.25">
      <c r="A316" s="1050" t="s">
        <v>531</v>
      </c>
      <c r="B316" s="1051" t="s">
        <v>527</v>
      </c>
      <c r="C316" s="1069"/>
      <c r="D316" s="1069"/>
      <c r="E316" s="1061"/>
      <c r="F316" s="257"/>
      <c r="G316" s="257"/>
      <c r="H316" s="257"/>
      <c r="I316" s="257"/>
      <c r="J316" s="257"/>
      <c r="K316" s="257"/>
      <c r="L316" s="257"/>
      <c r="M316" s="257"/>
      <c r="N316" s="257"/>
      <c r="O316" s="257"/>
      <c r="P316" s="257"/>
      <c r="Q316" s="257"/>
      <c r="R316" s="247"/>
      <c r="S316" s="256"/>
      <c r="T316" s="256"/>
      <c r="U316" s="256"/>
      <c r="V316" s="256"/>
      <c r="W316" s="256"/>
      <c r="X316" s="256"/>
      <c r="Y316" s="256"/>
      <c r="Z316" s="256"/>
      <c r="AA316" s="256"/>
      <c r="AB316" s="256"/>
      <c r="AC316" s="256"/>
      <c r="AD316" s="256"/>
      <c r="AE316" s="1062"/>
      <c r="AF316" s="1062"/>
      <c r="AG316" s="1062"/>
    </row>
    <row r="317" spans="1:33" x14ac:dyDescent="0.25">
      <c r="A317" s="1050" t="s">
        <v>531</v>
      </c>
      <c r="B317" s="1051" t="s">
        <v>528</v>
      </c>
      <c r="C317" s="1069"/>
      <c r="D317" s="1069"/>
      <c r="E317" s="1061"/>
      <c r="F317" s="257"/>
      <c r="G317" s="257"/>
      <c r="H317" s="257"/>
      <c r="I317" s="257"/>
      <c r="J317" s="257"/>
      <c r="K317" s="257"/>
      <c r="L317" s="257"/>
      <c r="M317" s="257"/>
      <c r="N317" s="257"/>
      <c r="O317" s="257"/>
      <c r="P317" s="257"/>
      <c r="Q317" s="257"/>
      <c r="R317" s="257"/>
      <c r="S317" s="247"/>
      <c r="T317" s="256"/>
      <c r="U317" s="256"/>
      <c r="V317" s="256"/>
      <c r="W317" s="256"/>
      <c r="X317" s="256"/>
      <c r="Y317" s="256"/>
      <c r="Z317" s="256"/>
      <c r="AA317" s="256"/>
      <c r="AB317" s="256"/>
      <c r="AC317" s="256"/>
      <c r="AD317" s="256"/>
      <c r="AE317" s="1062"/>
      <c r="AF317" s="1062"/>
      <c r="AG317" s="1062"/>
    </row>
    <row r="318" spans="1:33" x14ac:dyDescent="0.25">
      <c r="A318" s="1050" t="s">
        <v>531</v>
      </c>
      <c r="B318" s="1051" t="s">
        <v>532</v>
      </c>
      <c r="C318" s="1069"/>
      <c r="D318" s="1069"/>
      <c r="E318" s="1061"/>
      <c r="F318" s="257"/>
      <c r="G318" s="257"/>
      <c r="H318" s="257"/>
      <c r="I318" s="257"/>
      <c r="J318" s="257"/>
      <c r="K318" s="257"/>
      <c r="L318" s="257"/>
      <c r="M318" s="257"/>
      <c r="N318" s="257"/>
      <c r="O318" s="257"/>
      <c r="P318" s="257"/>
      <c r="Q318" s="257"/>
      <c r="R318" s="257"/>
      <c r="S318" s="257"/>
      <c r="T318" s="247"/>
      <c r="U318" s="256"/>
      <c r="V318" s="256"/>
      <c r="W318" s="256"/>
      <c r="X318" s="256"/>
      <c r="Y318" s="256"/>
      <c r="Z318" s="256"/>
      <c r="AA318" s="256"/>
      <c r="AB318" s="256"/>
      <c r="AC318" s="256"/>
      <c r="AD318" s="256"/>
      <c r="AE318" s="1062"/>
      <c r="AF318" s="1062"/>
      <c r="AG318" s="1062"/>
    </row>
    <row r="319" spans="1:33" x14ac:dyDescent="0.25">
      <c r="A319" s="1050" t="s">
        <v>531</v>
      </c>
      <c r="B319" s="1051" t="s">
        <v>533</v>
      </c>
      <c r="C319" s="1069"/>
      <c r="D319" s="1069"/>
      <c r="E319" s="1061"/>
      <c r="F319" s="257"/>
      <c r="G319" s="257"/>
      <c r="H319" s="257"/>
      <c r="I319" s="257"/>
      <c r="J319" s="257"/>
      <c r="K319" s="257"/>
      <c r="L319" s="257"/>
      <c r="M319" s="257"/>
      <c r="N319" s="257"/>
      <c r="O319" s="257"/>
      <c r="P319" s="257"/>
      <c r="Q319" s="257"/>
      <c r="R319" s="257"/>
      <c r="S319" s="257"/>
      <c r="T319" s="257"/>
      <c r="U319" s="247"/>
      <c r="V319" s="256"/>
      <c r="W319" s="256"/>
      <c r="X319" s="256"/>
      <c r="Y319" s="256"/>
      <c r="Z319" s="256"/>
      <c r="AA319" s="256"/>
      <c r="AB319" s="256"/>
      <c r="AC319" s="256"/>
      <c r="AD319" s="256"/>
      <c r="AE319" s="1062"/>
      <c r="AF319" s="1062"/>
      <c r="AG319" s="1062"/>
    </row>
    <row r="320" spans="1:33" x14ac:dyDescent="0.25">
      <c r="A320" s="1050" t="s">
        <v>531</v>
      </c>
      <c r="B320" s="1051" t="s">
        <v>534</v>
      </c>
      <c r="C320" s="1069"/>
      <c r="D320" s="1069"/>
      <c r="E320" s="1061"/>
      <c r="F320" s="257"/>
      <c r="G320" s="257"/>
      <c r="H320" s="257"/>
      <c r="I320" s="257"/>
      <c r="J320" s="257"/>
      <c r="K320" s="257"/>
      <c r="L320" s="257"/>
      <c r="M320" s="257"/>
      <c r="N320" s="257"/>
      <c r="O320" s="257"/>
      <c r="P320" s="257"/>
      <c r="Q320" s="257"/>
      <c r="R320" s="257"/>
      <c r="S320" s="257"/>
      <c r="T320" s="257"/>
      <c r="U320" s="257"/>
      <c r="V320" s="247"/>
      <c r="W320" s="256"/>
      <c r="X320" s="256"/>
      <c r="Y320" s="256"/>
      <c r="Z320" s="256"/>
      <c r="AA320" s="256"/>
      <c r="AB320" s="256"/>
      <c r="AC320" s="256"/>
      <c r="AD320" s="256"/>
      <c r="AE320" s="1062"/>
      <c r="AF320" s="1062"/>
      <c r="AG320" s="1062"/>
    </row>
    <row r="321" spans="1:33" x14ac:dyDescent="0.25">
      <c r="A321" s="1050" t="s">
        <v>531</v>
      </c>
      <c r="B321" s="1051" t="s">
        <v>544</v>
      </c>
      <c r="C321" s="1069"/>
      <c r="D321" s="1069"/>
      <c r="E321" s="1061"/>
      <c r="F321" s="257"/>
      <c r="G321" s="257"/>
      <c r="H321" s="257"/>
      <c r="I321" s="257"/>
      <c r="J321" s="257"/>
      <c r="K321" s="257"/>
      <c r="L321" s="257"/>
      <c r="M321" s="257"/>
      <c r="N321" s="257"/>
      <c r="O321" s="257"/>
      <c r="P321" s="257"/>
      <c r="Q321" s="257"/>
      <c r="R321" s="257"/>
      <c r="S321" s="257"/>
      <c r="T321" s="257"/>
      <c r="U321" s="257"/>
      <c r="V321" s="257"/>
      <c r="W321" s="247"/>
      <c r="X321" s="256"/>
      <c r="Y321" s="256"/>
      <c r="Z321" s="256"/>
      <c r="AA321" s="256"/>
      <c r="AB321" s="256"/>
      <c r="AC321" s="256"/>
      <c r="AD321" s="256"/>
      <c r="AE321" s="1062"/>
      <c r="AF321" s="1062"/>
      <c r="AG321" s="1062"/>
    </row>
    <row r="322" spans="1:33" x14ac:dyDescent="0.25">
      <c r="A322" s="1050" t="s">
        <v>531</v>
      </c>
      <c r="B322" s="1051" t="s">
        <v>545</v>
      </c>
      <c r="C322" s="1069"/>
      <c r="D322" s="1069"/>
      <c r="E322" s="1061"/>
      <c r="F322" s="257"/>
      <c r="G322" s="257"/>
      <c r="H322" s="257"/>
      <c r="I322" s="257"/>
      <c r="J322" s="257"/>
      <c r="K322" s="257"/>
      <c r="L322" s="257"/>
      <c r="M322" s="257"/>
      <c r="N322" s="257"/>
      <c r="O322" s="257"/>
      <c r="P322" s="257"/>
      <c r="Q322" s="257"/>
      <c r="R322" s="257"/>
      <c r="S322" s="257"/>
      <c r="T322" s="257"/>
      <c r="U322" s="257"/>
      <c r="V322" s="257"/>
      <c r="W322" s="257"/>
      <c r="X322" s="247"/>
      <c r="Y322" s="256"/>
      <c r="Z322" s="256"/>
      <c r="AA322" s="256"/>
      <c r="AB322" s="256"/>
      <c r="AC322" s="256"/>
      <c r="AD322" s="256"/>
      <c r="AE322" s="1062"/>
      <c r="AF322" s="1062"/>
      <c r="AG322" s="1062"/>
    </row>
    <row r="323" spans="1:33" x14ac:dyDescent="0.25">
      <c r="A323" s="1050" t="s">
        <v>531</v>
      </c>
      <c r="B323" s="1051" t="s">
        <v>546</v>
      </c>
      <c r="C323" s="1069"/>
      <c r="D323" s="1069"/>
      <c r="E323" s="1061"/>
      <c r="F323" s="257"/>
      <c r="G323" s="257"/>
      <c r="H323" s="257"/>
      <c r="I323" s="257"/>
      <c r="J323" s="257"/>
      <c r="K323" s="257"/>
      <c r="L323" s="257"/>
      <c r="M323" s="257"/>
      <c r="N323" s="257"/>
      <c r="O323" s="257"/>
      <c r="P323" s="257"/>
      <c r="Q323" s="257"/>
      <c r="R323" s="257"/>
      <c r="S323" s="257"/>
      <c r="T323" s="257"/>
      <c r="U323" s="257"/>
      <c r="V323" s="257"/>
      <c r="W323" s="257"/>
      <c r="X323" s="257"/>
      <c r="Y323" s="247"/>
      <c r="Z323" s="1062"/>
      <c r="AA323" s="1062"/>
      <c r="AB323" s="1062"/>
      <c r="AC323" s="1062"/>
      <c r="AD323" s="1062"/>
      <c r="AE323" s="1062"/>
      <c r="AF323" s="1062"/>
      <c r="AG323" s="1062"/>
    </row>
    <row r="324" spans="1:33" x14ac:dyDescent="0.25">
      <c r="A324" s="1050" t="s">
        <v>531</v>
      </c>
      <c r="B324" s="1051" t="s">
        <v>1445</v>
      </c>
      <c r="C324" s="245"/>
      <c r="D324" s="245"/>
      <c r="E324" s="1064"/>
      <c r="F324" s="257"/>
      <c r="G324" s="257"/>
      <c r="H324" s="257"/>
      <c r="I324" s="257"/>
      <c r="J324" s="257"/>
      <c r="K324" s="257"/>
      <c r="L324" s="257"/>
      <c r="M324" s="257"/>
      <c r="N324" s="257"/>
      <c r="O324" s="257"/>
      <c r="P324" s="257"/>
      <c r="Q324" s="257"/>
      <c r="R324" s="257"/>
      <c r="S324" s="257"/>
      <c r="T324" s="257"/>
      <c r="U324" s="257"/>
      <c r="V324" s="257"/>
      <c r="W324" s="257"/>
      <c r="X324" s="257"/>
      <c r="Y324" s="257"/>
      <c r="Z324" s="247"/>
      <c r="AA324" s="256"/>
      <c r="AB324" s="256"/>
      <c r="AC324" s="256"/>
      <c r="AD324" s="256"/>
      <c r="AE324" s="245"/>
      <c r="AF324" s="245"/>
      <c r="AG324" s="1062"/>
    </row>
    <row r="325" spans="1:33" x14ac:dyDescent="0.25">
      <c r="A325" s="1050" t="s">
        <v>531</v>
      </c>
      <c r="B325" s="1051" t="s">
        <v>1446</v>
      </c>
      <c r="C325" s="245"/>
      <c r="D325" s="245"/>
      <c r="E325" s="1064"/>
      <c r="F325" s="257"/>
      <c r="G325" s="257"/>
      <c r="H325" s="257"/>
      <c r="I325" s="257"/>
      <c r="J325" s="257"/>
      <c r="K325" s="257"/>
      <c r="L325" s="257"/>
      <c r="M325" s="257"/>
      <c r="N325" s="257"/>
      <c r="O325" s="257"/>
      <c r="P325" s="257"/>
      <c r="Q325" s="257"/>
      <c r="R325" s="257"/>
      <c r="S325" s="257"/>
      <c r="T325" s="257"/>
      <c r="U325" s="257"/>
      <c r="V325" s="257"/>
      <c r="W325" s="257"/>
      <c r="X325" s="257"/>
      <c r="Y325" s="257"/>
      <c r="Z325" s="257"/>
      <c r="AA325" s="247"/>
      <c r="AB325" s="256"/>
      <c r="AC325" s="256"/>
      <c r="AD325" s="256"/>
      <c r="AE325" s="245"/>
      <c r="AF325" s="245"/>
      <c r="AG325" s="1062"/>
    </row>
    <row r="326" spans="1:33" x14ac:dyDescent="0.25">
      <c r="A326" s="1050" t="s">
        <v>531</v>
      </c>
      <c r="B326" s="1051" t="s">
        <v>1447</v>
      </c>
      <c r="C326" s="245"/>
      <c r="D326" s="245"/>
      <c r="E326" s="1064"/>
      <c r="F326" s="257"/>
      <c r="G326" s="257"/>
      <c r="H326" s="257"/>
      <c r="I326" s="257"/>
      <c r="J326" s="257"/>
      <c r="K326" s="257"/>
      <c r="L326" s="257"/>
      <c r="M326" s="257"/>
      <c r="N326" s="257"/>
      <c r="O326" s="257"/>
      <c r="P326" s="257"/>
      <c r="Q326" s="257"/>
      <c r="R326" s="257"/>
      <c r="S326" s="257"/>
      <c r="T326" s="257"/>
      <c r="U326" s="257"/>
      <c r="V326" s="257"/>
      <c r="W326" s="257"/>
      <c r="X326" s="257"/>
      <c r="Y326" s="257"/>
      <c r="Z326" s="257"/>
      <c r="AA326" s="257"/>
      <c r="AB326" s="247"/>
      <c r="AC326" s="256"/>
      <c r="AD326" s="256"/>
      <c r="AE326" s="245"/>
      <c r="AF326" s="245"/>
      <c r="AG326" s="1062"/>
    </row>
    <row r="327" spans="1:33" x14ac:dyDescent="0.25">
      <c r="A327" s="1050" t="s">
        <v>531</v>
      </c>
      <c r="B327" s="1051" t="s">
        <v>1448</v>
      </c>
      <c r="C327" s="245"/>
      <c r="D327" s="245"/>
      <c r="E327" s="1064"/>
      <c r="F327" s="257"/>
      <c r="G327" s="257"/>
      <c r="H327" s="257"/>
      <c r="I327" s="257"/>
      <c r="J327" s="257"/>
      <c r="K327" s="257"/>
      <c r="L327" s="257"/>
      <c r="M327" s="257"/>
      <c r="N327" s="257"/>
      <c r="O327" s="257"/>
      <c r="P327" s="257"/>
      <c r="Q327" s="257"/>
      <c r="R327" s="257"/>
      <c r="S327" s="257"/>
      <c r="T327" s="257"/>
      <c r="U327" s="257"/>
      <c r="V327" s="257"/>
      <c r="W327" s="257"/>
      <c r="X327" s="257"/>
      <c r="Y327" s="257"/>
      <c r="Z327" s="257"/>
      <c r="AA327" s="257"/>
      <c r="AB327" s="257"/>
      <c r="AC327" s="247"/>
      <c r="AD327" s="256"/>
      <c r="AE327" s="245"/>
      <c r="AF327" s="245"/>
      <c r="AG327" s="1062"/>
    </row>
    <row r="328" spans="1:33" x14ac:dyDescent="0.25">
      <c r="A328" s="1050" t="s">
        <v>531</v>
      </c>
      <c r="B328" s="1051" t="s">
        <v>1449</v>
      </c>
      <c r="C328" s="245"/>
      <c r="D328" s="245"/>
      <c r="E328" s="1064"/>
      <c r="F328" s="257"/>
      <c r="G328" s="257"/>
      <c r="H328" s="257"/>
      <c r="I328" s="257"/>
      <c r="J328" s="257"/>
      <c r="K328" s="257"/>
      <c r="L328" s="257"/>
      <c r="M328" s="257"/>
      <c r="N328" s="257"/>
      <c r="O328" s="257"/>
      <c r="P328" s="257"/>
      <c r="Q328" s="257"/>
      <c r="R328" s="257"/>
      <c r="S328" s="257"/>
      <c r="T328" s="257"/>
      <c r="U328" s="257"/>
      <c r="V328" s="257"/>
      <c r="W328" s="257"/>
      <c r="X328" s="257"/>
      <c r="Y328" s="257"/>
      <c r="Z328" s="257"/>
      <c r="AA328" s="257"/>
      <c r="AB328" s="257"/>
      <c r="AC328" s="257"/>
      <c r="AD328" s="247"/>
      <c r="AE328" s="245"/>
      <c r="AF328" s="245"/>
      <c r="AG328" s="1062"/>
    </row>
    <row r="329" spans="1:33" ht="13" x14ac:dyDescent="0.3">
      <c r="A329" s="1054"/>
      <c r="B329" s="1055" t="s">
        <v>271</v>
      </c>
      <c r="C329" s="246"/>
      <c r="D329" s="246"/>
      <c r="E329" s="246"/>
      <c r="F329" s="246"/>
      <c r="G329" s="246"/>
      <c r="H329" s="246"/>
      <c r="I329" s="246"/>
      <c r="J329" s="246"/>
      <c r="K329" s="246"/>
      <c r="L329" s="246"/>
      <c r="M329" s="246"/>
      <c r="N329" s="246"/>
      <c r="O329" s="246"/>
      <c r="P329" s="246"/>
      <c r="Q329" s="246"/>
      <c r="R329" s="246"/>
      <c r="S329" s="246"/>
      <c r="T329" s="246"/>
      <c r="U329" s="246"/>
      <c r="V329" s="246"/>
      <c r="W329" s="246"/>
      <c r="X329" s="246"/>
      <c r="Y329" s="246"/>
      <c r="Z329" s="246"/>
      <c r="AA329" s="246"/>
      <c r="AB329" s="246"/>
      <c r="AC329" s="246"/>
      <c r="AD329" s="246"/>
      <c r="AE329" s="246"/>
      <c r="AF329" s="246"/>
      <c r="AG329" s="246"/>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4"/>
  <dimension ref="B2:O405"/>
  <sheetViews>
    <sheetView showGridLines="0" zoomScale="50" zoomScaleNormal="50" workbookViewId="0">
      <selection activeCell="B2" sqref="B2:O2"/>
    </sheetView>
  </sheetViews>
  <sheetFormatPr defaultColWidth="9.36328125" defaultRowHeight="14" x14ac:dyDescent="0.3"/>
  <cols>
    <col min="1" max="1" width="9.36328125" style="251"/>
    <col min="2" max="2" width="7.453125" style="251" bestFit="1" customWidth="1"/>
    <col min="3" max="3" width="32" style="251" bestFit="1" customWidth="1"/>
    <col min="4" max="4" width="8.6328125" style="251" customWidth="1"/>
    <col min="5" max="5" width="18.36328125" style="251" customWidth="1"/>
    <col min="6" max="6" width="13.6328125" style="251" bestFit="1" customWidth="1"/>
    <col min="7" max="8" width="19.36328125" style="251" customWidth="1"/>
    <col min="9" max="9" width="21.54296875" style="251" customWidth="1"/>
    <col min="10" max="10" width="13.54296875" style="251" customWidth="1"/>
    <col min="11" max="11" width="18.36328125" style="251" customWidth="1"/>
    <col min="12" max="12" width="20" style="251" customWidth="1"/>
    <col min="13" max="13" width="18.453125" style="251" customWidth="1"/>
    <col min="14" max="14" width="17.6328125" style="251" customWidth="1"/>
    <col min="15" max="15" width="17.36328125" style="251" customWidth="1"/>
    <col min="16" max="16384" width="9.36328125" style="251"/>
  </cols>
  <sheetData>
    <row r="2" spans="2:15" x14ac:dyDescent="0.3">
      <c r="B2" s="1657" t="str">
        <f>Index!B2</f>
        <v xml:space="preserve">      Maharashtra State Power Generation Company Ltd.</v>
      </c>
      <c r="C2" s="1657"/>
      <c r="D2" s="1657"/>
      <c r="E2" s="1657"/>
      <c r="F2" s="1657"/>
      <c r="G2" s="1657"/>
      <c r="H2" s="1657"/>
      <c r="I2" s="1657"/>
      <c r="J2" s="1657"/>
      <c r="K2" s="1657"/>
      <c r="L2" s="1657"/>
      <c r="M2" s="1657"/>
      <c r="N2" s="1657"/>
      <c r="O2" s="1657"/>
    </row>
    <row r="3" spans="2:15" x14ac:dyDescent="0.3">
      <c r="B3" s="1657" t="str">
        <f>Index!B3</f>
        <v>MYT Petition Formats for Chandrapur Unit 3-7</v>
      </c>
      <c r="C3" s="1657"/>
      <c r="D3" s="1657"/>
      <c r="E3" s="1657"/>
      <c r="F3" s="1657"/>
      <c r="G3" s="1657"/>
      <c r="H3" s="1657"/>
      <c r="I3" s="1657"/>
      <c r="J3" s="1657"/>
      <c r="K3" s="1657"/>
      <c r="L3" s="1657"/>
      <c r="M3" s="1657"/>
      <c r="N3" s="1657"/>
      <c r="O3" s="1657"/>
    </row>
    <row r="4" spans="2:15" x14ac:dyDescent="0.3">
      <c r="B4" s="1869" t="s">
        <v>732</v>
      </c>
      <c r="C4" s="1869"/>
      <c r="D4" s="1869"/>
      <c r="E4" s="1869"/>
      <c r="F4" s="1869"/>
      <c r="G4" s="1869"/>
      <c r="H4" s="1869"/>
      <c r="I4" s="1869"/>
      <c r="J4" s="1869"/>
      <c r="K4" s="1869"/>
      <c r="L4" s="1869"/>
      <c r="M4" s="1869"/>
      <c r="N4" s="1869"/>
      <c r="O4" s="1869"/>
    </row>
    <row r="5" spans="2:15" x14ac:dyDescent="0.3">
      <c r="B5" s="14"/>
      <c r="C5" s="14"/>
      <c r="D5" s="14"/>
      <c r="E5" s="14"/>
      <c r="F5" s="14"/>
      <c r="G5" s="14"/>
      <c r="H5" s="14"/>
      <c r="I5" s="14"/>
      <c r="J5" s="14"/>
      <c r="K5" s="14"/>
      <c r="L5" s="14"/>
    </row>
    <row r="6" spans="2:15" x14ac:dyDescent="0.3">
      <c r="B6" s="1967" t="s">
        <v>734</v>
      </c>
      <c r="C6" s="1967"/>
      <c r="D6" s="252"/>
      <c r="E6" s="14"/>
      <c r="F6" s="14"/>
      <c r="G6" s="14"/>
      <c r="H6" s="14"/>
      <c r="I6" s="14"/>
      <c r="J6" s="14"/>
      <c r="K6" s="14"/>
      <c r="L6" s="14"/>
    </row>
    <row r="8" spans="2:15" ht="79.25" customHeight="1" x14ac:dyDescent="0.3">
      <c r="B8" s="1659" t="s">
        <v>340</v>
      </c>
      <c r="C8" s="1659" t="s">
        <v>557</v>
      </c>
      <c r="D8" s="1659" t="s">
        <v>568</v>
      </c>
      <c r="E8" s="255" t="s">
        <v>637</v>
      </c>
      <c r="F8" s="1652" t="s">
        <v>558</v>
      </c>
      <c r="G8" s="1652"/>
      <c r="H8" s="1652"/>
      <c r="I8" s="1652"/>
      <c r="J8" s="1652"/>
      <c r="K8" s="1652" t="s">
        <v>562</v>
      </c>
      <c r="L8" s="1652"/>
      <c r="M8" s="1652"/>
      <c r="N8" s="1652" t="s">
        <v>566</v>
      </c>
      <c r="O8" s="1652" t="s">
        <v>567</v>
      </c>
    </row>
    <row r="9" spans="2:15" ht="42.75" customHeight="1" x14ac:dyDescent="0.3">
      <c r="B9" s="1702"/>
      <c r="C9" s="1702"/>
      <c r="D9" s="1702"/>
      <c r="E9" s="230" t="s">
        <v>639</v>
      </c>
      <c r="F9" s="229" t="s">
        <v>564</v>
      </c>
      <c r="G9" s="229" t="s">
        <v>559</v>
      </c>
      <c r="H9" s="253" t="s">
        <v>641</v>
      </c>
      <c r="I9" s="230" t="s">
        <v>560</v>
      </c>
      <c r="J9" s="230" t="s">
        <v>561</v>
      </c>
      <c r="K9" s="230" t="s">
        <v>563</v>
      </c>
      <c r="L9" s="230" t="s">
        <v>565</v>
      </c>
      <c r="M9" s="230" t="s">
        <v>640</v>
      </c>
      <c r="N9" s="1652"/>
      <c r="O9" s="1652"/>
    </row>
    <row r="10" spans="2:15" x14ac:dyDescent="0.3">
      <c r="B10" s="1968">
        <f>B9+1</f>
        <v>1</v>
      </c>
      <c r="C10" s="1971"/>
      <c r="D10" s="125" t="s">
        <v>279</v>
      </c>
      <c r="E10" s="1974" t="s">
        <v>770</v>
      </c>
      <c r="F10" s="1975"/>
      <c r="G10" s="1975"/>
      <c r="H10" s="1975"/>
      <c r="I10" s="1975"/>
      <c r="J10" s="1975"/>
      <c r="K10" s="1975"/>
      <c r="L10" s="1975"/>
      <c r="M10" s="1975"/>
      <c r="N10" s="1975"/>
      <c r="O10" s="1976"/>
    </row>
    <row r="11" spans="2:15" x14ac:dyDescent="0.3">
      <c r="B11" s="1969"/>
      <c r="C11" s="1972"/>
      <c r="D11" s="125" t="s">
        <v>280</v>
      </c>
      <c r="E11" s="1977"/>
      <c r="F11" s="1978"/>
      <c r="G11" s="1978"/>
      <c r="H11" s="1978"/>
      <c r="I11" s="1978"/>
      <c r="J11" s="1978"/>
      <c r="K11" s="1978"/>
      <c r="L11" s="1978"/>
      <c r="M11" s="1978"/>
      <c r="N11" s="1978"/>
      <c r="O11" s="1979"/>
    </row>
    <row r="12" spans="2:15" x14ac:dyDescent="0.3">
      <c r="B12" s="1969"/>
      <c r="C12" s="1972"/>
      <c r="D12" s="125" t="s">
        <v>281</v>
      </c>
      <c r="E12" s="1977"/>
      <c r="F12" s="1978"/>
      <c r="G12" s="1978"/>
      <c r="H12" s="1978"/>
      <c r="I12" s="1978"/>
      <c r="J12" s="1978"/>
      <c r="K12" s="1978"/>
      <c r="L12" s="1978"/>
      <c r="M12" s="1978"/>
      <c r="N12" s="1978"/>
      <c r="O12" s="1979"/>
    </row>
    <row r="13" spans="2:15" x14ac:dyDescent="0.3">
      <c r="B13" s="1969"/>
      <c r="C13" s="1972"/>
      <c r="D13" s="125" t="s">
        <v>569</v>
      </c>
      <c r="E13" s="1977"/>
      <c r="F13" s="1978"/>
      <c r="G13" s="1978"/>
      <c r="H13" s="1978"/>
      <c r="I13" s="1978"/>
      <c r="J13" s="1978"/>
      <c r="K13" s="1978"/>
      <c r="L13" s="1978"/>
      <c r="M13" s="1978"/>
      <c r="N13" s="1978"/>
      <c r="O13" s="1979"/>
    </row>
    <row r="14" spans="2:15" x14ac:dyDescent="0.3">
      <c r="B14" s="1969"/>
      <c r="C14" s="1972"/>
      <c r="D14" s="125" t="s">
        <v>283</v>
      </c>
      <c r="E14" s="1977"/>
      <c r="F14" s="1978"/>
      <c r="G14" s="1978"/>
      <c r="H14" s="1978"/>
      <c r="I14" s="1978"/>
      <c r="J14" s="1978"/>
      <c r="K14" s="1978"/>
      <c r="L14" s="1978"/>
      <c r="M14" s="1978"/>
      <c r="N14" s="1978"/>
      <c r="O14" s="1979"/>
    </row>
    <row r="15" spans="2:15" x14ac:dyDescent="0.3">
      <c r="B15" s="1969"/>
      <c r="C15" s="1972"/>
      <c r="D15" s="125" t="s">
        <v>284</v>
      </c>
      <c r="E15" s="1977"/>
      <c r="F15" s="1978"/>
      <c r="G15" s="1978"/>
      <c r="H15" s="1978"/>
      <c r="I15" s="1978"/>
      <c r="J15" s="1978"/>
      <c r="K15" s="1978"/>
      <c r="L15" s="1978"/>
      <c r="M15" s="1978"/>
      <c r="N15" s="1978"/>
      <c r="O15" s="1979"/>
    </row>
    <row r="16" spans="2:15" x14ac:dyDescent="0.3">
      <c r="B16" s="1969"/>
      <c r="C16" s="1972"/>
      <c r="D16" s="125" t="s">
        <v>285</v>
      </c>
      <c r="E16" s="1977"/>
      <c r="F16" s="1978"/>
      <c r="G16" s="1978"/>
      <c r="H16" s="1978"/>
      <c r="I16" s="1978"/>
      <c r="J16" s="1978"/>
      <c r="K16" s="1978"/>
      <c r="L16" s="1978"/>
      <c r="M16" s="1978"/>
      <c r="N16" s="1978"/>
      <c r="O16" s="1979"/>
    </row>
    <row r="17" spans="2:15" x14ac:dyDescent="0.3">
      <c r="B17" s="1969"/>
      <c r="C17" s="1972"/>
      <c r="D17" s="125" t="s">
        <v>570</v>
      </c>
      <c r="E17" s="1977"/>
      <c r="F17" s="1978"/>
      <c r="G17" s="1978"/>
      <c r="H17" s="1978"/>
      <c r="I17" s="1978"/>
      <c r="J17" s="1978"/>
      <c r="K17" s="1978"/>
      <c r="L17" s="1978"/>
      <c r="M17" s="1978"/>
      <c r="N17" s="1978"/>
      <c r="O17" s="1979"/>
    </row>
    <row r="18" spans="2:15" x14ac:dyDescent="0.3">
      <c r="B18" s="1969"/>
      <c r="C18" s="1972"/>
      <c r="D18" s="125" t="s">
        <v>287</v>
      </c>
      <c r="E18" s="1977"/>
      <c r="F18" s="1978"/>
      <c r="G18" s="1978"/>
      <c r="H18" s="1978"/>
      <c r="I18" s="1978"/>
      <c r="J18" s="1978"/>
      <c r="K18" s="1978"/>
      <c r="L18" s="1978"/>
      <c r="M18" s="1978"/>
      <c r="N18" s="1978"/>
      <c r="O18" s="1979"/>
    </row>
    <row r="19" spans="2:15" x14ac:dyDescent="0.3">
      <c r="B19" s="1969"/>
      <c r="C19" s="1972"/>
      <c r="D19" s="125" t="s">
        <v>288</v>
      </c>
      <c r="E19" s="1977"/>
      <c r="F19" s="1978"/>
      <c r="G19" s="1978"/>
      <c r="H19" s="1978"/>
      <c r="I19" s="1978"/>
      <c r="J19" s="1978"/>
      <c r="K19" s="1978"/>
      <c r="L19" s="1978"/>
      <c r="M19" s="1978"/>
      <c r="N19" s="1978"/>
      <c r="O19" s="1979"/>
    </row>
    <row r="20" spans="2:15" x14ac:dyDescent="0.3">
      <c r="B20" s="1969"/>
      <c r="C20" s="1972"/>
      <c r="D20" s="125" t="s">
        <v>289</v>
      </c>
      <c r="E20" s="1977"/>
      <c r="F20" s="1978"/>
      <c r="G20" s="1978"/>
      <c r="H20" s="1978"/>
      <c r="I20" s="1978"/>
      <c r="J20" s="1978"/>
      <c r="K20" s="1978"/>
      <c r="L20" s="1978"/>
      <c r="M20" s="1978"/>
      <c r="N20" s="1978"/>
      <c r="O20" s="1979"/>
    </row>
    <row r="21" spans="2:15" x14ac:dyDescent="0.3">
      <c r="B21" s="1970"/>
      <c r="C21" s="1973"/>
      <c r="D21" s="125" t="s">
        <v>290</v>
      </c>
      <c r="E21" s="1977"/>
      <c r="F21" s="1978"/>
      <c r="G21" s="1978"/>
      <c r="H21" s="1978"/>
      <c r="I21" s="1978"/>
      <c r="J21" s="1978"/>
      <c r="K21" s="1978"/>
      <c r="L21" s="1978"/>
      <c r="M21" s="1978"/>
      <c r="N21" s="1978"/>
      <c r="O21" s="1979"/>
    </row>
    <row r="22" spans="2:15" x14ac:dyDescent="0.3">
      <c r="B22" s="1968">
        <f>B10+1</f>
        <v>2</v>
      </c>
      <c r="C22" s="1971"/>
      <c r="D22" s="125" t="s">
        <v>279</v>
      </c>
      <c r="E22" s="1977"/>
      <c r="F22" s="1978"/>
      <c r="G22" s="1978"/>
      <c r="H22" s="1978"/>
      <c r="I22" s="1978"/>
      <c r="J22" s="1978"/>
      <c r="K22" s="1978"/>
      <c r="L22" s="1978"/>
      <c r="M22" s="1978"/>
      <c r="N22" s="1978"/>
      <c r="O22" s="1979"/>
    </row>
    <row r="23" spans="2:15" x14ac:dyDescent="0.3">
      <c r="B23" s="1969"/>
      <c r="C23" s="1972"/>
      <c r="D23" s="125" t="s">
        <v>280</v>
      </c>
      <c r="E23" s="1977"/>
      <c r="F23" s="1978"/>
      <c r="G23" s="1978"/>
      <c r="H23" s="1978"/>
      <c r="I23" s="1978"/>
      <c r="J23" s="1978"/>
      <c r="K23" s="1978"/>
      <c r="L23" s="1978"/>
      <c r="M23" s="1978"/>
      <c r="N23" s="1978"/>
      <c r="O23" s="1979"/>
    </row>
    <row r="24" spans="2:15" x14ac:dyDescent="0.3">
      <c r="B24" s="1969"/>
      <c r="C24" s="1972"/>
      <c r="D24" s="125" t="s">
        <v>281</v>
      </c>
      <c r="E24" s="1977"/>
      <c r="F24" s="1978"/>
      <c r="G24" s="1978"/>
      <c r="H24" s="1978"/>
      <c r="I24" s="1978"/>
      <c r="J24" s="1978"/>
      <c r="K24" s="1978"/>
      <c r="L24" s="1978"/>
      <c r="M24" s="1978"/>
      <c r="N24" s="1978"/>
      <c r="O24" s="1979"/>
    </row>
    <row r="25" spans="2:15" x14ac:dyDescent="0.3">
      <c r="B25" s="1969"/>
      <c r="C25" s="1972"/>
      <c r="D25" s="125" t="s">
        <v>569</v>
      </c>
      <c r="E25" s="1977"/>
      <c r="F25" s="1978"/>
      <c r="G25" s="1978"/>
      <c r="H25" s="1978"/>
      <c r="I25" s="1978"/>
      <c r="J25" s="1978"/>
      <c r="K25" s="1978"/>
      <c r="L25" s="1978"/>
      <c r="M25" s="1978"/>
      <c r="N25" s="1978"/>
      <c r="O25" s="1979"/>
    </row>
    <row r="26" spans="2:15" x14ac:dyDescent="0.3">
      <c r="B26" s="1969"/>
      <c r="C26" s="1972"/>
      <c r="D26" s="125" t="s">
        <v>283</v>
      </c>
      <c r="E26" s="1977"/>
      <c r="F26" s="1978"/>
      <c r="G26" s="1978"/>
      <c r="H26" s="1978"/>
      <c r="I26" s="1978"/>
      <c r="J26" s="1978"/>
      <c r="K26" s="1978"/>
      <c r="L26" s="1978"/>
      <c r="M26" s="1978"/>
      <c r="N26" s="1978"/>
      <c r="O26" s="1979"/>
    </row>
    <row r="27" spans="2:15" x14ac:dyDescent="0.3">
      <c r="B27" s="1969"/>
      <c r="C27" s="1972"/>
      <c r="D27" s="125" t="s">
        <v>284</v>
      </c>
      <c r="E27" s="1977"/>
      <c r="F27" s="1978"/>
      <c r="G27" s="1978"/>
      <c r="H27" s="1978"/>
      <c r="I27" s="1978"/>
      <c r="J27" s="1978"/>
      <c r="K27" s="1978"/>
      <c r="L27" s="1978"/>
      <c r="M27" s="1978"/>
      <c r="N27" s="1978"/>
      <c r="O27" s="1979"/>
    </row>
    <row r="28" spans="2:15" x14ac:dyDescent="0.3">
      <c r="B28" s="1969"/>
      <c r="C28" s="1972"/>
      <c r="D28" s="125" t="s">
        <v>285</v>
      </c>
      <c r="E28" s="1977"/>
      <c r="F28" s="1978"/>
      <c r="G28" s="1978"/>
      <c r="H28" s="1978"/>
      <c r="I28" s="1978"/>
      <c r="J28" s="1978"/>
      <c r="K28" s="1978"/>
      <c r="L28" s="1978"/>
      <c r="M28" s="1978"/>
      <c r="N28" s="1978"/>
      <c r="O28" s="1979"/>
    </row>
    <row r="29" spans="2:15" x14ac:dyDescent="0.3">
      <c r="B29" s="1969"/>
      <c r="C29" s="1972"/>
      <c r="D29" s="125" t="s">
        <v>570</v>
      </c>
      <c r="E29" s="1977"/>
      <c r="F29" s="1978"/>
      <c r="G29" s="1978"/>
      <c r="H29" s="1978"/>
      <c r="I29" s="1978"/>
      <c r="J29" s="1978"/>
      <c r="K29" s="1978"/>
      <c r="L29" s="1978"/>
      <c r="M29" s="1978"/>
      <c r="N29" s="1978"/>
      <c r="O29" s="1979"/>
    </row>
    <row r="30" spans="2:15" x14ac:dyDescent="0.3">
      <c r="B30" s="1969"/>
      <c r="C30" s="1972"/>
      <c r="D30" s="125" t="s">
        <v>287</v>
      </c>
      <c r="E30" s="1977"/>
      <c r="F30" s="1978"/>
      <c r="G30" s="1978"/>
      <c r="H30" s="1978"/>
      <c r="I30" s="1978"/>
      <c r="J30" s="1978"/>
      <c r="K30" s="1978"/>
      <c r="L30" s="1978"/>
      <c r="M30" s="1978"/>
      <c r="N30" s="1978"/>
      <c r="O30" s="1979"/>
    </row>
    <row r="31" spans="2:15" x14ac:dyDescent="0.3">
      <c r="B31" s="1969"/>
      <c r="C31" s="1972"/>
      <c r="D31" s="125" t="s">
        <v>288</v>
      </c>
      <c r="E31" s="1977"/>
      <c r="F31" s="1978"/>
      <c r="G31" s="1978"/>
      <c r="H31" s="1978"/>
      <c r="I31" s="1978"/>
      <c r="J31" s="1978"/>
      <c r="K31" s="1978"/>
      <c r="L31" s="1978"/>
      <c r="M31" s="1978"/>
      <c r="N31" s="1978"/>
      <c r="O31" s="1979"/>
    </row>
    <row r="32" spans="2:15" x14ac:dyDescent="0.3">
      <c r="B32" s="1969"/>
      <c r="C32" s="1972"/>
      <c r="D32" s="125" t="s">
        <v>289</v>
      </c>
      <c r="E32" s="1977"/>
      <c r="F32" s="1978"/>
      <c r="G32" s="1978"/>
      <c r="H32" s="1978"/>
      <c r="I32" s="1978"/>
      <c r="J32" s="1978"/>
      <c r="K32" s="1978"/>
      <c r="L32" s="1978"/>
      <c r="M32" s="1978"/>
      <c r="N32" s="1978"/>
      <c r="O32" s="1979"/>
    </row>
    <row r="33" spans="2:15" x14ac:dyDescent="0.3">
      <c r="B33" s="1970"/>
      <c r="C33" s="1973"/>
      <c r="D33" s="125" t="s">
        <v>290</v>
      </c>
      <c r="E33" s="1977"/>
      <c r="F33" s="1978"/>
      <c r="G33" s="1978"/>
      <c r="H33" s="1978"/>
      <c r="I33" s="1978"/>
      <c r="J33" s="1978"/>
      <c r="K33" s="1978"/>
      <c r="L33" s="1978"/>
      <c r="M33" s="1978"/>
      <c r="N33" s="1978"/>
      <c r="O33" s="1979"/>
    </row>
    <row r="34" spans="2:15" x14ac:dyDescent="0.3">
      <c r="B34" s="99">
        <v>3</v>
      </c>
      <c r="C34" s="124"/>
      <c r="D34" s="124"/>
      <c r="E34" s="1977"/>
      <c r="F34" s="1978"/>
      <c r="G34" s="1978"/>
      <c r="H34" s="1978"/>
      <c r="I34" s="1978"/>
      <c r="J34" s="1978"/>
      <c r="K34" s="1978"/>
      <c r="L34" s="1978"/>
      <c r="M34" s="1978"/>
      <c r="N34" s="1978"/>
      <c r="O34" s="1979"/>
    </row>
    <row r="35" spans="2:15" x14ac:dyDescent="0.3">
      <c r="B35" s="99" t="s">
        <v>475</v>
      </c>
      <c r="C35" s="126"/>
      <c r="D35" s="126"/>
      <c r="E35" s="1980"/>
      <c r="F35" s="1981"/>
      <c r="G35" s="1981"/>
      <c r="H35" s="1981"/>
      <c r="I35" s="1981"/>
      <c r="J35" s="1981"/>
      <c r="K35" s="1981"/>
      <c r="L35" s="1981"/>
      <c r="M35" s="1981"/>
      <c r="N35" s="1981"/>
      <c r="O35" s="1982"/>
    </row>
    <row r="37" spans="2:15" x14ac:dyDescent="0.3">
      <c r="B37" s="1967" t="s">
        <v>1022</v>
      </c>
      <c r="C37" s="1967"/>
      <c r="D37" s="300"/>
      <c r="E37" s="14"/>
      <c r="F37" s="14"/>
      <c r="G37" s="14"/>
      <c r="H37" s="14"/>
      <c r="I37" s="14"/>
      <c r="J37" s="14"/>
      <c r="K37" s="14"/>
      <c r="L37" s="14"/>
    </row>
    <row r="39" spans="2:15" ht="79.25" customHeight="1" x14ac:dyDescent="0.3">
      <c r="B39" s="1659" t="s">
        <v>340</v>
      </c>
      <c r="C39" s="1659" t="s">
        <v>557</v>
      </c>
      <c r="D39" s="1659" t="s">
        <v>568</v>
      </c>
      <c r="E39" s="293" t="s">
        <v>637</v>
      </c>
      <c r="F39" s="1652" t="s">
        <v>558</v>
      </c>
      <c r="G39" s="1652"/>
      <c r="H39" s="1652"/>
      <c r="I39" s="1652"/>
      <c r="J39" s="1652"/>
      <c r="K39" s="1652" t="s">
        <v>562</v>
      </c>
      <c r="L39" s="1652"/>
      <c r="M39" s="1652"/>
      <c r="N39" s="1652" t="s">
        <v>737</v>
      </c>
      <c r="O39" s="1652" t="s">
        <v>567</v>
      </c>
    </row>
    <row r="40" spans="2:15" ht="42.75" customHeight="1" x14ac:dyDescent="0.3">
      <c r="B40" s="1702"/>
      <c r="C40" s="1702"/>
      <c r="D40" s="1702"/>
      <c r="E40" s="292" t="s">
        <v>639</v>
      </c>
      <c r="F40" s="290" t="s">
        <v>564</v>
      </c>
      <c r="G40" s="290" t="s">
        <v>559</v>
      </c>
      <c r="H40" s="290" t="s">
        <v>641</v>
      </c>
      <c r="I40" s="292" t="s">
        <v>679</v>
      </c>
      <c r="J40" s="292" t="s">
        <v>735</v>
      </c>
      <c r="K40" s="292" t="s">
        <v>563</v>
      </c>
      <c r="L40" s="292" t="s">
        <v>736</v>
      </c>
      <c r="M40" s="292" t="s">
        <v>640</v>
      </c>
      <c r="N40" s="1652"/>
      <c r="O40" s="1652"/>
    </row>
    <row r="41" spans="2:15" x14ac:dyDescent="0.3">
      <c r="B41" s="1968">
        <f>B40+1</f>
        <v>1</v>
      </c>
      <c r="C41" s="1971"/>
      <c r="D41" s="125" t="s">
        <v>279</v>
      </c>
      <c r="E41" s="1974" t="s">
        <v>770</v>
      </c>
      <c r="F41" s="1975"/>
      <c r="G41" s="1975"/>
      <c r="H41" s="1975"/>
      <c r="I41" s="1975"/>
      <c r="J41" s="1975"/>
      <c r="K41" s="1975"/>
      <c r="L41" s="1975"/>
      <c r="M41" s="1975"/>
      <c r="N41" s="1975"/>
      <c r="O41" s="1976"/>
    </row>
    <row r="42" spans="2:15" x14ac:dyDescent="0.3">
      <c r="B42" s="1969"/>
      <c r="C42" s="1972"/>
      <c r="D42" s="125" t="s">
        <v>280</v>
      </c>
      <c r="E42" s="1977"/>
      <c r="F42" s="1978"/>
      <c r="G42" s="1978"/>
      <c r="H42" s="1978"/>
      <c r="I42" s="1978"/>
      <c r="J42" s="1978"/>
      <c r="K42" s="1978"/>
      <c r="L42" s="1978"/>
      <c r="M42" s="1978"/>
      <c r="N42" s="1978"/>
      <c r="O42" s="1979"/>
    </row>
    <row r="43" spans="2:15" x14ac:dyDescent="0.3">
      <c r="B43" s="1969"/>
      <c r="C43" s="1972"/>
      <c r="D43" s="125" t="s">
        <v>281</v>
      </c>
      <c r="E43" s="1977"/>
      <c r="F43" s="1978"/>
      <c r="G43" s="1978"/>
      <c r="H43" s="1978"/>
      <c r="I43" s="1978"/>
      <c r="J43" s="1978"/>
      <c r="K43" s="1978"/>
      <c r="L43" s="1978"/>
      <c r="M43" s="1978"/>
      <c r="N43" s="1978"/>
      <c r="O43" s="1979"/>
    </row>
    <row r="44" spans="2:15" x14ac:dyDescent="0.3">
      <c r="B44" s="1969"/>
      <c r="C44" s="1972"/>
      <c r="D44" s="125" t="s">
        <v>569</v>
      </c>
      <c r="E44" s="1977"/>
      <c r="F44" s="1978"/>
      <c r="G44" s="1978"/>
      <c r="H44" s="1978"/>
      <c r="I44" s="1978"/>
      <c r="J44" s="1978"/>
      <c r="K44" s="1978"/>
      <c r="L44" s="1978"/>
      <c r="M44" s="1978"/>
      <c r="N44" s="1978"/>
      <c r="O44" s="1979"/>
    </row>
    <row r="45" spans="2:15" x14ac:dyDescent="0.3">
      <c r="B45" s="1969"/>
      <c r="C45" s="1972"/>
      <c r="D45" s="125" t="s">
        <v>283</v>
      </c>
      <c r="E45" s="1977"/>
      <c r="F45" s="1978"/>
      <c r="G45" s="1978"/>
      <c r="H45" s="1978"/>
      <c r="I45" s="1978"/>
      <c r="J45" s="1978"/>
      <c r="K45" s="1978"/>
      <c r="L45" s="1978"/>
      <c r="M45" s="1978"/>
      <c r="N45" s="1978"/>
      <c r="O45" s="1979"/>
    </row>
    <row r="46" spans="2:15" x14ac:dyDescent="0.3">
      <c r="B46" s="1969"/>
      <c r="C46" s="1972"/>
      <c r="D46" s="125" t="s">
        <v>284</v>
      </c>
      <c r="E46" s="1977"/>
      <c r="F46" s="1978"/>
      <c r="G46" s="1978"/>
      <c r="H46" s="1978"/>
      <c r="I46" s="1978"/>
      <c r="J46" s="1978"/>
      <c r="K46" s="1978"/>
      <c r="L46" s="1978"/>
      <c r="M46" s="1978"/>
      <c r="N46" s="1978"/>
      <c r="O46" s="1979"/>
    </row>
    <row r="47" spans="2:15" x14ac:dyDescent="0.3">
      <c r="B47" s="1969"/>
      <c r="C47" s="1972"/>
      <c r="D47" s="125" t="s">
        <v>285</v>
      </c>
      <c r="E47" s="1977"/>
      <c r="F47" s="1978"/>
      <c r="G47" s="1978"/>
      <c r="H47" s="1978"/>
      <c r="I47" s="1978"/>
      <c r="J47" s="1978"/>
      <c r="K47" s="1978"/>
      <c r="L47" s="1978"/>
      <c r="M47" s="1978"/>
      <c r="N47" s="1978"/>
      <c r="O47" s="1979"/>
    </row>
    <row r="48" spans="2:15" x14ac:dyDescent="0.3">
      <c r="B48" s="1969"/>
      <c r="C48" s="1972"/>
      <c r="D48" s="125" t="s">
        <v>570</v>
      </c>
      <c r="E48" s="1977"/>
      <c r="F48" s="1978"/>
      <c r="G48" s="1978"/>
      <c r="H48" s="1978"/>
      <c r="I48" s="1978"/>
      <c r="J48" s="1978"/>
      <c r="K48" s="1978"/>
      <c r="L48" s="1978"/>
      <c r="M48" s="1978"/>
      <c r="N48" s="1978"/>
      <c r="O48" s="1979"/>
    </row>
    <row r="49" spans="2:15" x14ac:dyDescent="0.3">
      <c r="B49" s="1969"/>
      <c r="C49" s="1972"/>
      <c r="D49" s="125" t="s">
        <v>287</v>
      </c>
      <c r="E49" s="1977"/>
      <c r="F49" s="1978"/>
      <c r="G49" s="1978"/>
      <c r="H49" s="1978"/>
      <c r="I49" s="1978"/>
      <c r="J49" s="1978"/>
      <c r="K49" s="1978"/>
      <c r="L49" s="1978"/>
      <c r="M49" s="1978"/>
      <c r="N49" s="1978"/>
      <c r="O49" s="1979"/>
    </row>
    <row r="50" spans="2:15" x14ac:dyDescent="0.3">
      <c r="B50" s="1969"/>
      <c r="C50" s="1972"/>
      <c r="D50" s="125" t="s">
        <v>288</v>
      </c>
      <c r="E50" s="1977"/>
      <c r="F50" s="1978"/>
      <c r="G50" s="1978"/>
      <c r="H50" s="1978"/>
      <c r="I50" s="1978"/>
      <c r="J50" s="1978"/>
      <c r="K50" s="1978"/>
      <c r="L50" s="1978"/>
      <c r="M50" s="1978"/>
      <c r="N50" s="1978"/>
      <c r="O50" s="1979"/>
    </row>
    <row r="51" spans="2:15" x14ac:dyDescent="0.3">
      <c r="B51" s="1969"/>
      <c r="C51" s="1972"/>
      <c r="D51" s="125" t="s">
        <v>289</v>
      </c>
      <c r="E51" s="1977"/>
      <c r="F51" s="1978"/>
      <c r="G51" s="1978"/>
      <c r="H51" s="1978"/>
      <c r="I51" s="1978"/>
      <c r="J51" s="1978"/>
      <c r="K51" s="1978"/>
      <c r="L51" s="1978"/>
      <c r="M51" s="1978"/>
      <c r="N51" s="1978"/>
      <c r="O51" s="1979"/>
    </row>
    <row r="52" spans="2:15" x14ac:dyDescent="0.3">
      <c r="B52" s="1970"/>
      <c r="C52" s="1973"/>
      <c r="D52" s="125" t="s">
        <v>290</v>
      </c>
      <c r="E52" s="1977"/>
      <c r="F52" s="1978"/>
      <c r="G52" s="1978"/>
      <c r="H52" s="1978"/>
      <c r="I52" s="1978"/>
      <c r="J52" s="1978"/>
      <c r="K52" s="1978"/>
      <c r="L52" s="1978"/>
      <c r="M52" s="1978"/>
      <c r="N52" s="1978"/>
      <c r="O52" s="1979"/>
    </row>
    <row r="53" spans="2:15" x14ac:dyDescent="0.3">
      <c r="B53" s="1968">
        <f>B41+1</f>
        <v>2</v>
      </c>
      <c r="C53" s="1971"/>
      <c r="D53" s="125" t="s">
        <v>279</v>
      </c>
      <c r="E53" s="1977"/>
      <c r="F53" s="1978"/>
      <c r="G53" s="1978"/>
      <c r="H53" s="1978"/>
      <c r="I53" s="1978"/>
      <c r="J53" s="1978"/>
      <c r="K53" s="1978"/>
      <c r="L53" s="1978"/>
      <c r="M53" s="1978"/>
      <c r="N53" s="1978"/>
      <c r="O53" s="1979"/>
    </row>
    <row r="54" spans="2:15" x14ac:dyDescent="0.3">
      <c r="B54" s="1969"/>
      <c r="C54" s="1972"/>
      <c r="D54" s="125" t="s">
        <v>280</v>
      </c>
      <c r="E54" s="1977"/>
      <c r="F54" s="1978"/>
      <c r="G54" s="1978"/>
      <c r="H54" s="1978"/>
      <c r="I54" s="1978"/>
      <c r="J54" s="1978"/>
      <c r="K54" s="1978"/>
      <c r="L54" s="1978"/>
      <c r="M54" s="1978"/>
      <c r="N54" s="1978"/>
      <c r="O54" s="1979"/>
    </row>
    <row r="55" spans="2:15" x14ac:dyDescent="0.3">
      <c r="B55" s="1969"/>
      <c r="C55" s="1972"/>
      <c r="D55" s="125" t="s">
        <v>281</v>
      </c>
      <c r="E55" s="1977"/>
      <c r="F55" s="1978"/>
      <c r="G55" s="1978"/>
      <c r="H55" s="1978"/>
      <c r="I55" s="1978"/>
      <c r="J55" s="1978"/>
      <c r="K55" s="1978"/>
      <c r="L55" s="1978"/>
      <c r="M55" s="1978"/>
      <c r="N55" s="1978"/>
      <c r="O55" s="1979"/>
    </row>
    <row r="56" spans="2:15" x14ac:dyDescent="0.3">
      <c r="B56" s="1969"/>
      <c r="C56" s="1972"/>
      <c r="D56" s="125" t="s">
        <v>569</v>
      </c>
      <c r="E56" s="1977"/>
      <c r="F56" s="1978"/>
      <c r="G56" s="1978"/>
      <c r="H56" s="1978"/>
      <c r="I56" s="1978"/>
      <c r="J56" s="1978"/>
      <c r="K56" s="1978"/>
      <c r="L56" s="1978"/>
      <c r="M56" s="1978"/>
      <c r="N56" s="1978"/>
      <c r="O56" s="1979"/>
    </row>
    <row r="57" spans="2:15" x14ac:dyDescent="0.3">
      <c r="B57" s="1969"/>
      <c r="C57" s="1972"/>
      <c r="D57" s="125" t="s">
        <v>283</v>
      </c>
      <c r="E57" s="1977"/>
      <c r="F57" s="1978"/>
      <c r="G57" s="1978"/>
      <c r="H57" s="1978"/>
      <c r="I57" s="1978"/>
      <c r="J57" s="1978"/>
      <c r="K57" s="1978"/>
      <c r="L57" s="1978"/>
      <c r="M57" s="1978"/>
      <c r="N57" s="1978"/>
      <c r="O57" s="1979"/>
    </row>
    <row r="58" spans="2:15" x14ac:dyDescent="0.3">
      <c r="B58" s="1969"/>
      <c r="C58" s="1972"/>
      <c r="D58" s="125" t="s">
        <v>284</v>
      </c>
      <c r="E58" s="1977"/>
      <c r="F58" s="1978"/>
      <c r="G58" s="1978"/>
      <c r="H58" s="1978"/>
      <c r="I58" s="1978"/>
      <c r="J58" s="1978"/>
      <c r="K58" s="1978"/>
      <c r="L58" s="1978"/>
      <c r="M58" s="1978"/>
      <c r="N58" s="1978"/>
      <c r="O58" s="1979"/>
    </row>
    <row r="59" spans="2:15" x14ac:dyDescent="0.3">
      <c r="B59" s="1969"/>
      <c r="C59" s="1972"/>
      <c r="D59" s="125" t="s">
        <v>285</v>
      </c>
      <c r="E59" s="1977"/>
      <c r="F59" s="1978"/>
      <c r="G59" s="1978"/>
      <c r="H59" s="1978"/>
      <c r="I59" s="1978"/>
      <c r="J59" s="1978"/>
      <c r="K59" s="1978"/>
      <c r="L59" s="1978"/>
      <c r="M59" s="1978"/>
      <c r="N59" s="1978"/>
      <c r="O59" s="1979"/>
    </row>
    <row r="60" spans="2:15" x14ac:dyDescent="0.3">
      <c r="B60" s="1969"/>
      <c r="C60" s="1972"/>
      <c r="D60" s="125" t="s">
        <v>570</v>
      </c>
      <c r="E60" s="1977"/>
      <c r="F60" s="1978"/>
      <c r="G60" s="1978"/>
      <c r="H60" s="1978"/>
      <c r="I60" s="1978"/>
      <c r="J60" s="1978"/>
      <c r="K60" s="1978"/>
      <c r="L60" s="1978"/>
      <c r="M60" s="1978"/>
      <c r="N60" s="1978"/>
      <c r="O60" s="1979"/>
    </row>
    <row r="61" spans="2:15" x14ac:dyDescent="0.3">
      <c r="B61" s="1969"/>
      <c r="C61" s="1972"/>
      <c r="D61" s="125" t="s">
        <v>287</v>
      </c>
      <c r="E61" s="1977"/>
      <c r="F61" s="1978"/>
      <c r="G61" s="1978"/>
      <c r="H61" s="1978"/>
      <c r="I61" s="1978"/>
      <c r="J61" s="1978"/>
      <c r="K61" s="1978"/>
      <c r="L61" s="1978"/>
      <c r="M61" s="1978"/>
      <c r="N61" s="1978"/>
      <c r="O61" s="1979"/>
    </row>
    <row r="62" spans="2:15" x14ac:dyDescent="0.3">
      <c r="B62" s="1969"/>
      <c r="C62" s="1972"/>
      <c r="D62" s="125" t="s">
        <v>288</v>
      </c>
      <c r="E62" s="1977"/>
      <c r="F62" s="1978"/>
      <c r="G62" s="1978"/>
      <c r="H62" s="1978"/>
      <c r="I62" s="1978"/>
      <c r="J62" s="1978"/>
      <c r="K62" s="1978"/>
      <c r="L62" s="1978"/>
      <c r="M62" s="1978"/>
      <c r="N62" s="1978"/>
      <c r="O62" s="1979"/>
    </row>
    <row r="63" spans="2:15" x14ac:dyDescent="0.3">
      <c r="B63" s="1969"/>
      <c r="C63" s="1972"/>
      <c r="D63" s="125" t="s">
        <v>289</v>
      </c>
      <c r="E63" s="1977"/>
      <c r="F63" s="1978"/>
      <c r="G63" s="1978"/>
      <c r="H63" s="1978"/>
      <c r="I63" s="1978"/>
      <c r="J63" s="1978"/>
      <c r="K63" s="1978"/>
      <c r="L63" s="1978"/>
      <c r="M63" s="1978"/>
      <c r="N63" s="1978"/>
      <c r="O63" s="1979"/>
    </row>
    <row r="64" spans="2:15" x14ac:dyDescent="0.3">
      <c r="B64" s="1970"/>
      <c r="C64" s="1973"/>
      <c r="D64" s="125" t="s">
        <v>290</v>
      </c>
      <c r="E64" s="1977"/>
      <c r="F64" s="1978"/>
      <c r="G64" s="1978"/>
      <c r="H64" s="1978"/>
      <c r="I64" s="1978"/>
      <c r="J64" s="1978"/>
      <c r="K64" s="1978"/>
      <c r="L64" s="1978"/>
      <c r="M64" s="1978"/>
      <c r="N64" s="1978"/>
      <c r="O64" s="1979"/>
    </row>
    <row r="65" spans="2:15" x14ac:dyDescent="0.3">
      <c r="B65" s="99">
        <v>3</v>
      </c>
      <c r="C65" s="124"/>
      <c r="D65" s="124"/>
      <c r="E65" s="1977"/>
      <c r="F65" s="1978"/>
      <c r="G65" s="1978"/>
      <c r="H65" s="1978"/>
      <c r="I65" s="1978"/>
      <c r="J65" s="1978"/>
      <c r="K65" s="1978"/>
      <c r="L65" s="1978"/>
      <c r="M65" s="1978"/>
      <c r="N65" s="1978"/>
      <c r="O65" s="1979"/>
    </row>
    <row r="66" spans="2:15" x14ac:dyDescent="0.3">
      <c r="B66" s="99" t="s">
        <v>475</v>
      </c>
      <c r="C66" s="126"/>
      <c r="D66" s="126"/>
      <c r="E66" s="1980"/>
      <c r="F66" s="1981"/>
      <c r="G66" s="1981"/>
      <c r="H66" s="1981"/>
      <c r="I66" s="1981"/>
      <c r="J66" s="1981"/>
      <c r="K66" s="1981"/>
      <c r="L66" s="1981"/>
      <c r="M66" s="1981"/>
      <c r="N66" s="1981"/>
      <c r="O66" s="1982"/>
    </row>
    <row r="68" spans="2:15" x14ac:dyDescent="0.3">
      <c r="B68" s="251" t="s">
        <v>733</v>
      </c>
    </row>
    <row r="70" spans="2:15" x14ac:dyDescent="0.3">
      <c r="B70" s="1967" t="s">
        <v>1023</v>
      </c>
      <c r="C70" s="1967"/>
      <c r="D70" s="252"/>
      <c r="E70" s="14"/>
      <c r="F70" s="14"/>
      <c r="G70" s="14"/>
      <c r="H70" s="14"/>
      <c r="I70" s="14"/>
      <c r="J70" s="14"/>
      <c r="K70" s="14"/>
      <c r="L70" s="14"/>
    </row>
    <row r="72" spans="2:15" ht="56" x14ac:dyDescent="0.3">
      <c r="B72" s="1659" t="s">
        <v>340</v>
      </c>
      <c r="C72" s="1659" t="s">
        <v>557</v>
      </c>
      <c r="D72" s="1659" t="s">
        <v>568</v>
      </c>
      <c r="E72" s="255" t="s">
        <v>637</v>
      </c>
      <c r="F72" s="1652" t="s">
        <v>558</v>
      </c>
      <c r="G72" s="1652"/>
      <c r="H72" s="1652"/>
      <c r="I72" s="1652"/>
      <c r="J72" s="1652"/>
      <c r="K72" s="1652" t="s">
        <v>562</v>
      </c>
      <c r="L72" s="1652"/>
      <c r="M72" s="1652"/>
      <c r="N72" s="1652" t="s">
        <v>566</v>
      </c>
      <c r="O72" s="1652" t="s">
        <v>567</v>
      </c>
    </row>
    <row r="73" spans="2:15" ht="28" x14ac:dyDescent="0.3">
      <c r="B73" s="1702"/>
      <c r="C73" s="1702"/>
      <c r="D73" s="1702"/>
      <c r="E73" s="254" t="s">
        <v>639</v>
      </c>
      <c r="F73" s="253" t="s">
        <v>564</v>
      </c>
      <c r="G73" s="253" t="s">
        <v>559</v>
      </c>
      <c r="H73" s="253" t="s">
        <v>641</v>
      </c>
      <c r="I73" s="254" t="s">
        <v>560</v>
      </c>
      <c r="J73" s="254" t="s">
        <v>561</v>
      </c>
      <c r="K73" s="254" t="s">
        <v>563</v>
      </c>
      <c r="L73" s="254" t="s">
        <v>565</v>
      </c>
      <c r="M73" s="254" t="s">
        <v>640</v>
      </c>
      <c r="N73" s="1652"/>
      <c r="O73" s="1652"/>
    </row>
    <row r="74" spans="2:15" x14ac:dyDescent="0.3">
      <c r="B74" s="1968">
        <f>B73+1</f>
        <v>1</v>
      </c>
      <c r="C74" s="1971"/>
      <c r="D74" s="125" t="s">
        <v>279</v>
      </c>
      <c r="E74" s="1974" t="s">
        <v>770</v>
      </c>
      <c r="F74" s="1975"/>
      <c r="G74" s="1975"/>
      <c r="H74" s="1975"/>
      <c r="I74" s="1975"/>
      <c r="J74" s="1975"/>
      <c r="K74" s="1975"/>
      <c r="L74" s="1975"/>
      <c r="M74" s="1975"/>
      <c r="N74" s="1975"/>
      <c r="O74" s="1976"/>
    </row>
    <row r="75" spans="2:15" x14ac:dyDescent="0.3">
      <c r="B75" s="1969"/>
      <c r="C75" s="1972"/>
      <c r="D75" s="125" t="s">
        <v>280</v>
      </c>
      <c r="E75" s="1977"/>
      <c r="F75" s="1978"/>
      <c r="G75" s="1978"/>
      <c r="H75" s="1978"/>
      <c r="I75" s="1978"/>
      <c r="J75" s="1978"/>
      <c r="K75" s="1978"/>
      <c r="L75" s="1978"/>
      <c r="M75" s="1978"/>
      <c r="N75" s="1978"/>
      <c r="O75" s="1979"/>
    </row>
    <row r="76" spans="2:15" x14ac:dyDescent="0.3">
      <c r="B76" s="1969"/>
      <c r="C76" s="1972"/>
      <c r="D76" s="125" t="s">
        <v>281</v>
      </c>
      <c r="E76" s="1977"/>
      <c r="F76" s="1978"/>
      <c r="G76" s="1978"/>
      <c r="H76" s="1978"/>
      <c r="I76" s="1978"/>
      <c r="J76" s="1978"/>
      <c r="K76" s="1978"/>
      <c r="L76" s="1978"/>
      <c r="M76" s="1978"/>
      <c r="N76" s="1978"/>
      <c r="O76" s="1979"/>
    </row>
    <row r="77" spans="2:15" x14ac:dyDescent="0.3">
      <c r="B77" s="1969"/>
      <c r="C77" s="1972"/>
      <c r="D77" s="125" t="s">
        <v>569</v>
      </c>
      <c r="E77" s="1977"/>
      <c r="F77" s="1978"/>
      <c r="G77" s="1978"/>
      <c r="H77" s="1978"/>
      <c r="I77" s="1978"/>
      <c r="J77" s="1978"/>
      <c r="K77" s="1978"/>
      <c r="L77" s="1978"/>
      <c r="M77" s="1978"/>
      <c r="N77" s="1978"/>
      <c r="O77" s="1979"/>
    </row>
    <row r="78" spans="2:15" x14ac:dyDescent="0.3">
      <c r="B78" s="1969"/>
      <c r="C78" s="1972"/>
      <c r="D78" s="125" t="s">
        <v>283</v>
      </c>
      <c r="E78" s="1977"/>
      <c r="F78" s="1978"/>
      <c r="G78" s="1978"/>
      <c r="H78" s="1978"/>
      <c r="I78" s="1978"/>
      <c r="J78" s="1978"/>
      <c r="K78" s="1978"/>
      <c r="L78" s="1978"/>
      <c r="M78" s="1978"/>
      <c r="N78" s="1978"/>
      <c r="O78" s="1979"/>
    </row>
    <row r="79" spans="2:15" x14ac:dyDescent="0.3">
      <c r="B79" s="1969"/>
      <c r="C79" s="1972"/>
      <c r="D79" s="125" t="s">
        <v>284</v>
      </c>
      <c r="E79" s="1977"/>
      <c r="F79" s="1978"/>
      <c r="G79" s="1978"/>
      <c r="H79" s="1978"/>
      <c r="I79" s="1978"/>
      <c r="J79" s="1978"/>
      <c r="K79" s="1978"/>
      <c r="L79" s="1978"/>
      <c r="M79" s="1978"/>
      <c r="N79" s="1978"/>
      <c r="O79" s="1979"/>
    </row>
    <row r="80" spans="2:15" x14ac:dyDescent="0.3">
      <c r="B80" s="1969"/>
      <c r="C80" s="1972"/>
      <c r="D80" s="125" t="s">
        <v>285</v>
      </c>
      <c r="E80" s="1977"/>
      <c r="F80" s="1978"/>
      <c r="G80" s="1978"/>
      <c r="H80" s="1978"/>
      <c r="I80" s="1978"/>
      <c r="J80" s="1978"/>
      <c r="K80" s="1978"/>
      <c r="L80" s="1978"/>
      <c r="M80" s="1978"/>
      <c r="N80" s="1978"/>
      <c r="O80" s="1979"/>
    </row>
    <row r="81" spans="2:15" x14ac:dyDescent="0.3">
      <c r="B81" s="1969"/>
      <c r="C81" s="1972"/>
      <c r="D81" s="125" t="s">
        <v>570</v>
      </c>
      <c r="E81" s="1977"/>
      <c r="F81" s="1978"/>
      <c r="G81" s="1978"/>
      <c r="H81" s="1978"/>
      <c r="I81" s="1978"/>
      <c r="J81" s="1978"/>
      <c r="K81" s="1978"/>
      <c r="L81" s="1978"/>
      <c r="M81" s="1978"/>
      <c r="N81" s="1978"/>
      <c r="O81" s="1979"/>
    </row>
    <row r="82" spans="2:15" x14ac:dyDescent="0.3">
      <c r="B82" s="1969"/>
      <c r="C82" s="1972"/>
      <c r="D82" s="125" t="s">
        <v>287</v>
      </c>
      <c r="E82" s="1977"/>
      <c r="F82" s="1978"/>
      <c r="G82" s="1978"/>
      <c r="H82" s="1978"/>
      <c r="I82" s="1978"/>
      <c r="J82" s="1978"/>
      <c r="K82" s="1978"/>
      <c r="L82" s="1978"/>
      <c r="M82" s="1978"/>
      <c r="N82" s="1978"/>
      <c r="O82" s="1979"/>
    </row>
    <row r="83" spans="2:15" x14ac:dyDescent="0.3">
      <c r="B83" s="1969"/>
      <c r="C83" s="1972"/>
      <c r="D83" s="125" t="s">
        <v>288</v>
      </c>
      <c r="E83" s="1977"/>
      <c r="F83" s="1978"/>
      <c r="G83" s="1978"/>
      <c r="H83" s="1978"/>
      <c r="I83" s="1978"/>
      <c r="J83" s="1978"/>
      <c r="K83" s="1978"/>
      <c r="L83" s="1978"/>
      <c r="M83" s="1978"/>
      <c r="N83" s="1978"/>
      <c r="O83" s="1979"/>
    </row>
    <row r="84" spans="2:15" x14ac:dyDescent="0.3">
      <c r="B84" s="1969"/>
      <c r="C84" s="1972"/>
      <c r="D84" s="125" t="s">
        <v>289</v>
      </c>
      <c r="E84" s="1977"/>
      <c r="F84" s="1978"/>
      <c r="G84" s="1978"/>
      <c r="H84" s="1978"/>
      <c r="I84" s="1978"/>
      <c r="J84" s="1978"/>
      <c r="K84" s="1978"/>
      <c r="L84" s="1978"/>
      <c r="M84" s="1978"/>
      <c r="N84" s="1978"/>
      <c r="O84" s="1979"/>
    </row>
    <row r="85" spans="2:15" x14ac:dyDescent="0.3">
      <c r="B85" s="1970"/>
      <c r="C85" s="1973"/>
      <c r="D85" s="125" t="s">
        <v>290</v>
      </c>
      <c r="E85" s="1977"/>
      <c r="F85" s="1978"/>
      <c r="G85" s="1978"/>
      <c r="H85" s="1978"/>
      <c r="I85" s="1978"/>
      <c r="J85" s="1978"/>
      <c r="K85" s="1978"/>
      <c r="L85" s="1978"/>
      <c r="M85" s="1978"/>
      <c r="N85" s="1978"/>
      <c r="O85" s="1979"/>
    </row>
    <row r="86" spans="2:15" x14ac:dyDescent="0.3">
      <c r="B86" s="1968">
        <f>B74+1</f>
        <v>2</v>
      </c>
      <c r="C86" s="1971"/>
      <c r="D86" s="125" t="s">
        <v>279</v>
      </c>
      <c r="E86" s="1977"/>
      <c r="F86" s="1978"/>
      <c r="G86" s="1978"/>
      <c r="H86" s="1978"/>
      <c r="I86" s="1978"/>
      <c r="J86" s="1978"/>
      <c r="K86" s="1978"/>
      <c r="L86" s="1978"/>
      <c r="M86" s="1978"/>
      <c r="N86" s="1978"/>
      <c r="O86" s="1979"/>
    </row>
    <row r="87" spans="2:15" x14ac:dyDescent="0.3">
      <c r="B87" s="1969"/>
      <c r="C87" s="1972"/>
      <c r="D87" s="125" t="s">
        <v>280</v>
      </c>
      <c r="E87" s="1977"/>
      <c r="F87" s="1978"/>
      <c r="G87" s="1978"/>
      <c r="H87" s="1978"/>
      <c r="I87" s="1978"/>
      <c r="J87" s="1978"/>
      <c r="K87" s="1978"/>
      <c r="L87" s="1978"/>
      <c r="M87" s="1978"/>
      <c r="N87" s="1978"/>
      <c r="O87" s="1979"/>
    </row>
    <row r="88" spans="2:15" x14ac:dyDescent="0.3">
      <c r="B88" s="1969"/>
      <c r="C88" s="1972"/>
      <c r="D88" s="125" t="s">
        <v>281</v>
      </c>
      <c r="E88" s="1977"/>
      <c r="F88" s="1978"/>
      <c r="G88" s="1978"/>
      <c r="H88" s="1978"/>
      <c r="I88" s="1978"/>
      <c r="J88" s="1978"/>
      <c r="K88" s="1978"/>
      <c r="L88" s="1978"/>
      <c r="M88" s="1978"/>
      <c r="N88" s="1978"/>
      <c r="O88" s="1979"/>
    </row>
    <row r="89" spans="2:15" x14ac:dyDescent="0.3">
      <c r="B89" s="1969"/>
      <c r="C89" s="1972"/>
      <c r="D89" s="125" t="s">
        <v>569</v>
      </c>
      <c r="E89" s="1977"/>
      <c r="F89" s="1978"/>
      <c r="G89" s="1978"/>
      <c r="H89" s="1978"/>
      <c r="I89" s="1978"/>
      <c r="J89" s="1978"/>
      <c r="K89" s="1978"/>
      <c r="L89" s="1978"/>
      <c r="M89" s="1978"/>
      <c r="N89" s="1978"/>
      <c r="O89" s="1979"/>
    </row>
    <row r="90" spans="2:15" x14ac:dyDescent="0.3">
      <c r="B90" s="1969"/>
      <c r="C90" s="1972"/>
      <c r="D90" s="125" t="s">
        <v>283</v>
      </c>
      <c r="E90" s="1977"/>
      <c r="F90" s="1978"/>
      <c r="G90" s="1978"/>
      <c r="H90" s="1978"/>
      <c r="I90" s="1978"/>
      <c r="J90" s="1978"/>
      <c r="K90" s="1978"/>
      <c r="L90" s="1978"/>
      <c r="M90" s="1978"/>
      <c r="N90" s="1978"/>
      <c r="O90" s="1979"/>
    </row>
    <row r="91" spans="2:15" x14ac:dyDescent="0.3">
      <c r="B91" s="1969"/>
      <c r="C91" s="1972"/>
      <c r="D91" s="125" t="s">
        <v>284</v>
      </c>
      <c r="E91" s="1977"/>
      <c r="F91" s="1978"/>
      <c r="G91" s="1978"/>
      <c r="H91" s="1978"/>
      <c r="I91" s="1978"/>
      <c r="J91" s="1978"/>
      <c r="K91" s="1978"/>
      <c r="L91" s="1978"/>
      <c r="M91" s="1978"/>
      <c r="N91" s="1978"/>
      <c r="O91" s="1979"/>
    </row>
    <row r="92" spans="2:15" x14ac:dyDescent="0.3">
      <c r="B92" s="1969"/>
      <c r="C92" s="1972"/>
      <c r="D92" s="125" t="s">
        <v>285</v>
      </c>
      <c r="E92" s="1977"/>
      <c r="F92" s="1978"/>
      <c r="G92" s="1978"/>
      <c r="H92" s="1978"/>
      <c r="I92" s="1978"/>
      <c r="J92" s="1978"/>
      <c r="K92" s="1978"/>
      <c r="L92" s="1978"/>
      <c r="M92" s="1978"/>
      <c r="N92" s="1978"/>
      <c r="O92" s="1979"/>
    </row>
    <row r="93" spans="2:15" x14ac:dyDescent="0.3">
      <c r="B93" s="1969"/>
      <c r="C93" s="1972"/>
      <c r="D93" s="125" t="s">
        <v>570</v>
      </c>
      <c r="E93" s="1977"/>
      <c r="F93" s="1978"/>
      <c r="G93" s="1978"/>
      <c r="H93" s="1978"/>
      <c r="I93" s="1978"/>
      <c r="J93" s="1978"/>
      <c r="K93" s="1978"/>
      <c r="L93" s="1978"/>
      <c r="M93" s="1978"/>
      <c r="N93" s="1978"/>
      <c r="O93" s="1979"/>
    </row>
    <row r="94" spans="2:15" x14ac:dyDescent="0.3">
      <c r="B94" s="1969"/>
      <c r="C94" s="1972"/>
      <c r="D94" s="125" t="s">
        <v>287</v>
      </c>
      <c r="E94" s="1977"/>
      <c r="F94" s="1978"/>
      <c r="G94" s="1978"/>
      <c r="H94" s="1978"/>
      <c r="I94" s="1978"/>
      <c r="J94" s="1978"/>
      <c r="K94" s="1978"/>
      <c r="L94" s="1978"/>
      <c r="M94" s="1978"/>
      <c r="N94" s="1978"/>
      <c r="O94" s="1979"/>
    </row>
    <row r="95" spans="2:15" x14ac:dyDescent="0.3">
      <c r="B95" s="1969"/>
      <c r="C95" s="1972"/>
      <c r="D95" s="125" t="s">
        <v>288</v>
      </c>
      <c r="E95" s="1977"/>
      <c r="F95" s="1978"/>
      <c r="G95" s="1978"/>
      <c r="H95" s="1978"/>
      <c r="I95" s="1978"/>
      <c r="J95" s="1978"/>
      <c r="K95" s="1978"/>
      <c r="L95" s="1978"/>
      <c r="M95" s="1978"/>
      <c r="N95" s="1978"/>
      <c r="O95" s="1979"/>
    </row>
    <row r="96" spans="2:15" x14ac:dyDescent="0.3">
      <c r="B96" s="1969"/>
      <c r="C96" s="1972"/>
      <c r="D96" s="125" t="s">
        <v>289</v>
      </c>
      <c r="E96" s="1977"/>
      <c r="F96" s="1978"/>
      <c r="G96" s="1978"/>
      <c r="H96" s="1978"/>
      <c r="I96" s="1978"/>
      <c r="J96" s="1978"/>
      <c r="K96" s="1978"/>
      <c r="L96" s="1978"/>
      <c r="M96" s="1978"/>
      <c r="N96" s="1978"/>
      <c r="O96" s="1979"/>
    </row>
    <row r="97" spans="2:15" x14ac:dyDescent="0.3">
      <c r="B97" s="1970"/>
      <c r="C97" s="1973"/>
      <c r="D97" s="125" t="s">
        <v>290</v>
      </c>
      <c r="E97" s="1977"/>
      <c r="F97" s="1978"/>
      <c r="G97" s="1978"/>
      <c r="H97" s="1978"/>
      <c r="I97" s="1978"/>
      <c r="J97" s="1978"/>
      <c r="K97" s="1978"/>
      <c r="L97" s="1978"/>
      <c r="M97" s="1978"/>
      <c r="N97" s="1978"/>
      <c r="O97" s="1979"/>
    </row>
    <row r="98" spans="2:15" x14ac:dyDescent="0.3">
      <c r="B98" s="99">
        <v>3</v>
      </c>
      <c r="C98" s="124"/>
      <c r="D98" s="124"/>
      <c r="E98" s="1977"/>
      <c r="F98" s="1978"/>
      <c r="G98" s="1978"/>
      <c r="H98" s="1978"/>
      <c r="I98" s="1978"/>
      <c r="J98" s="1978"/>
      <c r="K98" s="1978"/>
      <c r="L98" s="1978"/>
      <c r="M98" s="1978"/>
      <c r="N98" s="1978"/>
      <c r="O98" s="1979"/>
    </row>
    <row r="99" spans="2:15" x14ac:dyDescent="0.3">
      <c r="B99" s="99" t="s">
        <v>475</v>
      </c>
      <c r="C99" s="126"/>
      <c r="D99" s="126"/>
      <c r="E99" s="1980"/>
      <c r="F99" s="1981"/>
      <c r="G99" s="1981"/>
      <c r="H99" s="1981"/>
      <c r="I99" s="1981"/>
      <c r="J99" s="1981"/>
      <c r="K99" s="1981"/>
      <c r="L99" s="1981"/>
      <c r="M99" s="1981"/>
      <c r="N99" s="1981"/>
      <c r="O99" s="1982"/>
    </row>
    <row r="101" spans="2:15" x14ac:dyDescent="0.3">
      <c r="B101" s="1967" t="s">
        <v>1024</v>
      </c>
      <c r="C101" s="1967"/>
      <c r="D101" s="300"/>
      <c r="E101" s="14"/>
      <c r="F101" s="14"/>
      <c r="G101" s="14"/>
      <c r="H101" s="14"/>
      <c r="I101" s="14"/>
      <c r="J101" s="14"/>
      <c r="K101" s="14"/>
      <c r="L101" s="14"/>
    </row>
    <row r="103" spans="2:15" ht="56" x14ac:dyDescent="0.3">
      <c r="B103" s="1659" t="s">
        <v>340</v>
      </c>
      <c r="C103" s="1659" t="s">
        <v>557</v>
      </c>
      <c r="D103" s="1659" t="s">
        <v>568</v>
      </c>
      <c r="E103" s="293" t="s">
        <v>637</v>
      </c>
      <c r="F103" s="1652" t="s">
        <v>558</v>
      </c>
      <c r="G103" s="1652"/>
      <c r="H103" s="1652"/>
      <c r="I103" s="1652"/>
      <c r="J103" s="1652"/>
      <c r="K103" s="1652" t="s">
        <v>562</v>
      </c>
      <c r="L103" s="1652"/>
      <c r="M103" s="1652"/>
      <c r="N103" s="1652" t="s">
        <v>737</v>
      </c>
      <c r="O103" s="1652" t="s">
        <v>567</v>
      </c>
    </row>
    <row r="104" spans="2:15" ht="28" x14ac:dyDescent="0.3">
      <c r="B104" s="1702"/>
      <c r="C104" s="1702"/>
      <c r="D104" s="1702"/>
      <c r="E104" s="292" t="s">
        <v>639</v>
      </c>
      <c r="F104" s="290" t="s">
        <v>564</v>
      </c>
      <c r="G104" s="290" t="s">
        <v>559</v>
      </c>
      <c r="H104" s="290" t="s">
        <v>641</v>
      </c>
      <c r="I104" s="292" t="s">
        <v>679</v>
      </c>
      <c r="J104" s="292" t="s">
        <v>735</v>
      </c>
      <c r="K104" s="292" t="s">
        <v>563</v>
      </c>
      <c r="L104" s="292" t="s">
        <v>736</v>
      </c>
      <c r="M104" s="292" t="s">
        <v>640</v>
      </c>
      <c r="N104" s="1652"/>
      <c r="O104" s="1652"/>
    </row>
    <row r="105" spans="2:15" x14ac:dyDescent="0.3">
      <c r="B105" s="1968">
        <f>B104+1</f>
        <v>1</v>
      </c>
      <c r="C105" s="1971"/>
      <c r="D105" s="125" t="s">
        <v>279</v>
      </c>
      <c r="E105" s="1974" t="s">
        <v>770</v>
      </c>
      <c r="F105" s="1975"/>
      <c r="G105" s="1975"/>
      <c r="H105" s="1975"/>
      <c r="I105" s="1975"/>
      <c r="J105" s="1975"/>
      <c r="K105" s="1975"/>
      <c r="L105" s="1975"/>
      <c r="M105" s="1975"/>
      <c r="N105" s="1975"/>
      <c r="O105" s="1976"/>
    </row>
    <row r="106" spans="2:15" x14ac:dyDescent="0.3">
      <c r="B106" s="1969"/>
      <c r="C106" s="1972"/>
      <c r="D106" s="125" t="s">
        <v>280</v>
      </c>
      <c r="E106" s="1977"/>
      <c r="F106" s="1978"/>
      <c r="G106" s="1978"/>
      <c r="H106" s="1978"/>
      <c r="I106" s="1978"/>
      <c r="J106" s="1978"/>
      <c r="K106" s="1978"/>
      <c r="L106" s="1978"/>
      <c r="M106" s="1978"/>
      <c r="N106" s="1978"/>
      <c r="O106" s="1979"/>
    </row>
    <row r="107" spans="2:15" x14ac:dyDescent="0.3">
      <c r="B107" s="1969"/>
      <c r="C107" s="1972"/>
      <c r="D107" s="125" t="s">
        <v>281</v>
      </c>
      <c r="E107" s="1977"/>
      <c r="F107" s="1978"/>
      <c r="G107" s="1978"/>
      <c r="H107" s="1978"/>
      <c r="I107" s="1978"/>
      <c r="J107" s="1978"/>
      <c r="K107" s="1978"/>
      <c r="L107" s="1978"/>
      <c r="M107" s="1978"/>
      <c r="N107" s="1978"/>
      <c r="O107" s="1979"/>
    </row>
    <row r="108" spans="2:15" x14ac:dyDescent="0.3">
      <c r="B108" s="1969"/>
      <c r="C108" s="1972"/>
      <c r="D108" s="125" t="s">
        <v>569</v>
      </c>
      <c r="E108" s="1977"/>
      <c r="F108" s="1978"/>
      <c r="G108" s="1978"/>
      <c r="H108" s="1978"/>
      <c r="I108" s="1978"/>
      <c r="J108" s="1978"/>
      <c r="K108" s="1978"/>
      <c r="L108" s="1978"/>
      <c r="M108" s="1978"/>
      <c r="N108" s="1978"/>
      <c r="O108" s="1979"/>
    </row>
    <row r="109" spans="2:15" x14ac:dyDescent="0.3">
      <c r="B109" s="1969"/>
      <c r="C109" s="1972"/>
      <c r="D109" s="125" t="s">
        <v>283</v>
      </c>
      <c r="E109" s="1977"/>
      <c r="F109" s="1978"/>
      <c r="G109" s="1978"/>
      <c r="H109" s="1978"/>
      <c r="I109" s="1978"/>
      <c r="J109" s="1978"/>
      <c r="K109" s="1978"/>
      <c r="L109" s="1978"/>
      <c r="M109" s="1978"/>
      <c r="N109" s="1978"/>
      <c r="O109" s="1979"/>
    </row>
    <row r="110" spans="2:15" x14ac:dyDescent="0.3">
      <c r="B110" s="1969"/>
      <c r="C110" s="1972"/>
      <c r="D110" s="125" t="s">
        <v>284</v>
      </c>
      <c r="E110" s="1977"/>
      <c r="F110" s="1978"/>
      <c r="G110" s="1978"/>
      <c r="H110" s="1978"/>
      <c r="I110" s="1978"/>
      <c r="J110" s="1978"/>
      <c r="K110" s="1978"/>
      <c r="L110" s="1978"/>
      <c r="M110" s="1978"/>
      <c r="N110" s="1978"/>
      <c r="O110" s="1979"/>
    </row>
    <row r="111" spans="2:15" x14ac:dyDescent="0.3">
      <c r="B111" s="1969"/>
      <c r="C111" s="1972"/>
      <c r="D111" s="125" t="s">
        <v>285</v>
      </c>
      <c r="E111" s="1977"/>
      <c r="F111" s="1978"/>
      <c r="G111" s="1978"/>
      <c r="H111" s="1978"/>
      <c r="I111" s="1978"/>
      <c r="J111" s="1978"/>
      <c r="K111" s="1978"/>
      <c r="L111" s="1978"/>
      <c r="M111" s="1978"/>
      <c r="N111" s="1978"/>
      <c r="O111" s="1979"/>
    </row>
    <row r="112" spans="2:15" x14ac:dyDescent="0.3">
      <c r="B112" s="1969"/>
      <c r="C112" s="1972"/>
      <c r="D112" s="125" t="s">
        <v>570</v>
      </c>
      <c r="E112" s="1977"/>
      <c r="F112" s="1978"/>
      <c r="G112" s="1978"/>
      <c r="H112" s="1978"/>
      <c r="I112" s="1978"/>
      <c r="J112" s="1978"/>
      <c r="K112" s="1978"/>
      <c r="L112" s="1978"/>
      <c r="M112" s="1978"/>
      <c r="N112" s="1978"/>
      <c r="O112" s="1979"/>
    </row>
    <row r="113" spans="2:15" x14ac:dyDescent="0.3">
      <c r="B113" s="1969"/>
      <c r="C113" s="1972"/>
      <c r="D113" s="125" t="s">
        <v>287</v>
      </c>
      <c r="E113" s="1977"/>
      <c r="F113" s="1978"/>
      <c r="G113" s="1978"/>
      <c r="H113" s="1978"/>
      <c r="I113" s="1978"/>
      <c r="J113" s="1978"/>
      <c r="K113" s="1978"/>
      <c r="L113" s="1978"/>
      <c r="M113" s="1978"/>
      <c r="N113" s="1978"/>
      <c r="O113" s="1979"/>
    </row>
    <row r="114" spans="2:15" x14ac:dyDescent="0.3">
      <c r="B114" s="1969"/>
      <c r="C114" s="1972"/>
      <c r="D114" s="125" t="s">
        <v>288</v>
      </c>
      <c r="E114" s="1977"/>
      <c r="F114" s="1978"/>
      <c r="G114" s="1978"/>
      <c r="H114" s="1978"/>
      <c r="I114" s="1978"/>
      <c r="J114" s="1978"/>
      <c r="K114" s="1978"/>
      <c r="L114" s="1978"/>
      <c r="M114" s="1978"/>
      <c r="N114" s="1978"/>
      <c r="O114" s="1979"/>
    </row>
    <row r="115" spans="2:15" x14ac:dyDescent="0.3">
      <c r="B115" s="1969"/>
      <c r="C115" s="1972"/>
      <c r="D115" s="125" t="s">
        <v>289</v>
      </c>
      <c r="E115" s="1977"/>
      <c r="F115" s="1978"/>
      <c r="G115" s="1978"/>
      <c r="H115" s="1978"/>
      <c r="I115" s="1978"/>
      <c r="J115" s="1978"/>
      <c r="K115" s="1978"/>
      <c r="L115" s="1978"/>
      <c r="M115" s="1978"/>
      <c r="N115" s="1978"/>
      <c r="O115" s="1979"/>
    </row>
    <row r="116" spans="2:15" x14ac:dyDescent="0.3">
      <c r="B116" s="1970"/>
      <c r="C116" s="1973"/>
      <c r="D116" s="125" t="s">
        <v>290</v>
      </c>
      <c r="E116" s="1977"/>
      <c r="F116" s="1978"/>
      <c r="G116" s="1978"/>
      <c r="H116" s="1978"/>
      <c r="I116" s="1978"/>
      <c r="J116" s="1978"/>
      <c r="K116" s="1978"/>
      <c r="L116" s="1978"/>
      <c r="M116" s="1978"/>
      <c r="N116" s="1978"/>
      <c r="O116" s="1979"/>
    </row>
    <row r="117" spans="2:15" x14ac:dyDescent="0.3">
      <c r="B117" s="1968">
        <f>B105+1</f>
        <v>2</v>
      </c>
      <c r="C117" s="1971"/>
      <c r="D117" s="125" t="s">
        <v>279</v>
      </c>
      <c r="E117" s="1977"/>
      <c r="F117" s="1978"/>
      <c r="G117" s="1978"/>
      <c r="H117" s="1978"/>
      <c r="I117" s="1978"/>
      <c r="J117" s="1978"/>
      <c r="K117" s="1978"/>
      <c r="L117" s="1978"/>
      <c r="M117" s="1978"/>
      <c r="N117" s="1978"/>
      <c r="O117" s="1979"/>
    </row>
    <row r="118" spans="2:15" x14ac:dyDescent="0.3">
      <c r="B118" s="1969"/>
      <c r="C118" s="1972"/>
      <c r="D118" s="125" t="s">
        <v>280</v>
      </c>
      <c r="E118" s="1977"/>
      <c r="F118" s="1978"/>
      <c r="G118" s="1978"/>
      <c r="H118" s="1978"/>
      <c r="I118" s="1978"/>
      <c r="J118" s="1978"/>
      <c r="K118" s="1978"/>
      <c r="L118" s="1978"/>
      <c r="M118" s="1978"/>
      <c r="N118" s="1978"/>
      <c r="O118" s="1979"/>
    </row>
    <row r="119" spans="2:15" x14ac:dyDescent="0.3">
      <c r="B119" s="1969"/>
      <c r="C119" s="1972"/>
      <c r="D119" s="125" t="s">
        <v>281</v>
      </c>
      <c r="E119" s="1977"/>
      <c r="F119" s="1978"/>
      <c r="G119" s="1978"/>
      <c r="H119" s="1978"/>
      <c r="I119" s="1978"/>
      <c r="J119" s="1978"/>
      <c r="K119" s="1978"/>
      <c r="L119" s="1978"/>
      <c r="M119" s="1978"/>
      <c r="N119" s="1978"/>
      <c r="O119" s="1979"/>
    </row>
    <row r="120" spans="2:15" x14ac:dyDescent="0.3">
      <c r="B120" s="1969"/>
      <c r="C120" s="1972"/>
      <c r="D120" s="125" t="s">
        <v>569</v>
      </c>
      <c r="E120" s="1977"/>
      <c r="F120" s="1978"/>
      <c r="G120" s="1978"/>
      <c r="H120" s="1978"/>
      <c r="I120" s="1978"/>
      <c r="J120" s="1978"/>
      <c r="K120" s="1978"/>
      <c r="L120" s="1978"/>
      <c r="M120" s="1978"/>
      <c r="N120" s="1978"/>
      <c r="O120" s="1979"/>
    </row>
    <row r="121" spans="2:15" x14ac:dyDescent="0.3">
      <c r="B121" s="1969"/>
      <c r="C121" s="1972"/>
      <c r="D121" s="125" t="s">
        <v>283</v>
      </c>
      <c r="E121" s="1977"/>
      <c r="F121" s="1978"/>
      <c r="G121" s="1978"/>
      <c r="H121" s="1978"/>
      <c r="I121" s="1978"/>
      <c r="J121" s="1978"/>
      <c r="K121" s="1978"/>
      <c r="L121" s="1978"/>
      <c r="M121" s="1978"/>
      <c r="N121" s="1978"/>
      <c r="O121" s="1979"/>
    </row>
    <row r="122" spans="2:15" x14ac:dyDescent="0.3">
      <c r="B122" s="1969"/>
      <c r="C122" s="1972"/>
      <c r="D122" s="125" t="s">
        <v>284</v>
      </c>
      <c r="E122" s="1977"/>
      <c r="F122" s="1978"/>
      <c r="G122" s="1978"/>
      <c r="H122" s="1978"/>
      <c r="I122" s="1978"/>
      <c r="J122" s="1978"/>
      <c r="K122" s="1978"/>
      <c r="L122" s="1978"/>
      <c r="M122" s="1978"/>
      <c r="N122" s="1978"/>
      <c r="O122" s="1979"/>
    </row>
    <row r="123" spans="2:15" x14ac:dyDescent="0.3">
      <c r="B123" s="1969"/>
      <c r="C123" s="1972"/>
      <c r="D123" s="125" t="s">
        <v>285</v>
      </c>
      <c r="E123" s="1977"/>
      <c r="F123" s="1978"/>
      <c r="G123" s="1978"/>
      <c r="H123" s="1978"/>
      <c r="I123" s="1978"/>
      <c r="J123" s="1978"/>
      <c r="K123" s="1978"/>
      <c r="L123" s="1978"/>
      <c r="M123" s="1978"/>
      <c r="N123" s="1978"/>
      <c r="O123" s="1979"/>
    </row>
    <row r="124" spans="2:15" x14ac:dyDescent="0.3">
      <c r="B124" s="1969"/>
      <c r="C124" s="1972"/>
      <c r="D124" s="125" t="s">
        <v>570</v>
      </c>
      <c r="E124" s="1977"/>
      <c r="F124" s="1978"/>
      <c r="G124" s="1978"/>
      <c r="H124" s="1978"/>
      <c r="I124" s="1978"/>
      <c r="J124" s="1978"/>
      <c r="K124" s="1978"/>
      <c r="L124" s="1978"/>
      <c r="M124" s="1978"/>
      <c r="N124" s="1978"/>
      <c r="O124" s="1979"/>
    </row>
    <row r="125" spans="2:15" x14ac:dyDescent="0.3">
      <c r="B125" s="1969"/>
      <c r="C125" s="1972"/>
      <c r="D125" s="125" t="s">
        <v>287</v>
      </c>
      <c r="E125" s="1977"/>
      <c r="F125" s="1978"/>
      <c r="G125" s="1978"/>
      <c r="H125" s="1978"/>
      <c r="I125" s="1978"/>
      <c r="J125" s="1978"/>
      <c r="K125" s="1978"/>
      <c r="L125" s="1978"/>
      <c r="M125" s="1978"/>
      <c r="N125" s="1978"/>
      <c r="O125" s="1979"/>
    </row>
    <row r="126" spans="2:15" x14ac:dyDescent="0.3">
      <c r="B126" s="1969"/>
      <c r="C126" s="1972"/>
      <c r="D126" s="125" t="s">
        <v>288</v>
      </c>
      <c r="E126" s="1977"/>
      <c r="F126" s="1978"/>
      <c r="G126" s="1978"/>
      <c r="H126" s="1978"/>
      <c r="I126" s="1978"/>
      <c r="J126" s="1978"/>
      <c r="K126" s="1978"/>
      <c r="L126" s="1978"/>
      <c r="M126" s="1978"/>
      <c r="N126" s="1978"/>
      <c r="O126" s="1979"/>
    </row>
    <row r="127" spans="2:15" x14ac:dyDescent="0.3">
      <c r="B127" s="1969"/>
      <c r="C127" s="1972"/>
      <c r="D127" s="125" t="s">
        <v>289</v>
      </c>
      <c r="E127" s="1977"/>
      <c r="F127" s="1978"/>
      <c r="G127" s="1978"/>
      <c r="H127" s="1978"/>
      <c r="I127" s="1978"/>
      <c r="J127" s="1978"/>
      <c r="K127" s="1978"/>
      <c r="L127" s="1978"/>
      <c r="M127" s="1978"/>
      <c r="N127" s="1978"/>
      <c r="O127" s="1979"/>
    </row>
    <row r="128" spans="2:15" x14ac:dyDescent="0.3">
      <c r="B128" s="1970"/>
      <c r="C128" s="1973"/>
      <c r="D128" s="125" t="s">
        <v>290</v>
      </c>
      <c r="E128" s="1977"/>
      <c r="F128" s="1978"/>
      <c r="G128" s="1978"/>
      <c r="H128" s="1978"/>
      <c r="I128" s="1978"/>
      <c r="J128" s="1978"/>
      <c r="K128" s="1978"/>
      <c r="L128" s="1978"/>
      <c r="M128" s="1978"/>
      <c r="N128" s="1978"/>
      <c r="O128" s="1979"/>
    </row>
    <row r="129" spans="2:15" x14ac:dyDescent="0.3">
      <c r="B129" s="99">
        <v>3</v>
      </c>
      <c r="C129" s="124"/>
      <c r="D129" s="124"/>
      <c r="E129" s="1977"/>
      <c r="F129" s="1978"/>
      <c r="G129" s="1978"/>
      <c r="H129" s="1978"/>
      <c r="I129" s="1978"/>
      <c r="J129" s="1978"/>
      <c r="K129" s="1978"/>
      <c r="L129" s="1978"/>
      <c r="M129" s="1978"/>
      <c r="N129" s="1978"/>
      <c r="O129" s="1979"/>
    </row>
    <row r="130" spans="2:15" x14ac:dyDescent="0.3">
      <c r="B130" s="99" t="s">
        <v>475</v>
      </c>
      <c r="C130" s="126"/>
      <c r="D130" s="126"/>
      <c r="E130" s="1980"/>
      <c r="F130" s="1981"/>
      <c r="G130" s="1981"/>
      <c r="H130" s="1981"/>
      <c r="I130" s="1981"/>
      <c r="J130" s="1981"/>
      <c r="K130" s="1981"/>
      <c r="L130" s="1981"/>
      <c r="M130" s="1981"/>
      <c r="N130" s="1981"/>
      <c r="O130" s="1982"/>
    </row>
    <row r="132" spans="2:15" x14ac:dyDescent="0.3">
      <c r="B132" s="251" t="s">
        <v>733</v>
      </c>
    </row>
    <row r="135" spans="2:15" x14ac:dyDescent="0.3">
      <c r="B135" s="1967" t="s">
        <v>1025</v>
      </c>
      <c r="C135" s="1967"/>
      <c r="D135" s="252"/>
      <c r="E135" s="14"/>
      <c r="F135" s="14"/>
      <c r="G135" s="14"/>
      <c r="H135" s="14"/>
      <c r="I135" s="14"/>
      <c r="J135" s="14"/>
      <c r="K135" s="14"/>
      <c r="L135" s="14"/>
    </row>
    <row r="137" spans="2:15" ht="56" x14ac:dyDescent="0.3">
      <c r="B137" s="1659" t="s">
        <v>340</v>
      </c>
      <c r="C137" s="1659" t="s">
        <v>557</v>
      </c>
      <c r="D137" s="1659" t="s">
        <v>568</v>
      </c>
      <c r="E137" s="255" t="s">
        <v>637</v>
      </c>
      <c r="F137" s="1652" t="s">
        <v>558</v>
      </c>
      <c r="G137" s="1652"/>
      <c r="H137" s="1652"/>
      <c r="I137" s="1652"/>
      <c r="J137" s="1652"/>
      <c r="K137" s="1652" t="s">
        <v>562</v>
      </c>
      <c r="L137" s="1652"/>
      <c r="M137" s="1652"/>
      <c r="N137" s="1652" t="s">
        <v>566</v>
      </c>
      <c r="O137" s="1652" t="s">
        <v>567</v>
      </c>
    </row>
    <row r="138" spans="2:15" ht="28" x14ac:dyDescent="0.3">
      <c r="B138" s="1702"/>
      <c r="C138" s="1702"/>
      <c r="D138" s="1702"/>
      <c r="E138" s="254" t="s">
        <v>639</v>
      </c>
      <c r="F138" s="253" t="s">
        <v>564</v>
      </c>
      <c r="G138" s="253" t="s">
        <v>559</v>
      </c>
      <c r="H138" s="253" t="s">
        <v>641</v>
      </c>
      <c r="I138" s="254" t="s">
        <v>560</v>
      </c>
      <c r="J138" s="254" t="s">
        <v>561</v>
      </c>
      <c r="K138" s="254" t="s">
        <v>563</v>
      </c>
      <c r="L138" s="254" t="s">
        <v>565</v>
      </c>
      <c r="M138" s="254" t="s">
        <v>640</v>
      </c>
      <c r="N138" s="1652"/>
      <c r="O138" s="1652"/>
    </row>
    <row r="139" spans="2:15" x14ac:dyDescent="0.3">
      <c r="B139" s="1968">
        <f>B138+1</f>
        <v>1</v>
      </c>
      <c r="C139" s="1971"/>
      <c r="D139" s="125" t="s">
        <v>279</v>
      </c>
      <c r="E139" s="1974" t="s">
        <v>770</v>
      </c>
      <c r="F139" s="1975"/>
      <c r="G139" s="1975"/>
      <c r="H139" s="1975"/>
      <c r="I139" s="1975"/>
      <c r="J139" s="1975"/>
      <c r="K139" s="1975"/>
      <c r="L139" s="1975"/>
      <c r="M139" s="1975"/>
      <c r="N139" s="1975"/>
      <c r="O139" s="1976"/>
    </row>
    <row r="140" spans="2:15" x14ac:dyDescent="0.3">
      <c r="B140" s="1969"/>
      <c r="C140" s="1972"/>
      <c r="D140" s="125" t="s">
        <v>280</v>
      </c>
      <c r="E140" s="1977"/>
      <c r="F140" s="1978"/>
      <c r="G140" s="1978"/>
      <c r="H140" s="1978"/>
      <c r="I140" s="1978"/>
      <c r="J140" s="1978"/>
      <c r="K140" s="1978"/>
      <c r="L140" s="1978"/>
      <c r="M140" s="1978"/>
      <c r="N140" s="1978"/>
      <c r="O140" s="1979"/>
    </row>
    <row r="141" spans="2:15" x14ac:dyDescent="0.3">
      <c r="B141" s="1969"/>
      <c r="C141" s="1972"/>
      <c r="D141" s="125" t="s">
        <v>281</v>
      </c>
      <c r="E141" s="1977"/>
      <c r="F141" s="1978"/>
      <c r="G141" s="1978"/>
      <c r="H141" s="1978"/>
      <c r="I141" s="1978"/>
      <c r="J141" s="1978"/>
      <c r="K141" s="1978"/>
      <c r="L141" s="1978"/>
      <c r="M141" s="1978"/>
      <c r="N141" s="1978"/>
      <c r="O141" s="1979"/>
    </row>
    <row r="142" spans="2:15" x14ac:dyDescent="0.3">
      <c r="B142" s="1969"/>
      <c r="C142" s="1972"/>
      <c r="D142" s="125" t="s">
        <v>569</v>
      </c>
      <c r="E142" s="1977"/>
      <c r="F142" s="1978"/>
      <c r="G142" s="1978"/>
      <c r="H142" s="1978"/>
      <c r="I142" s="1978"/>
      <c r="J142" s="1978"/>
      <c r="K142" s="1978"/>
      <c r="L142" s="1978"/>
      <c r="M142" s="1978"/>
      <c r="N142" s="1978"/>
      <c r="O142" s="1979"/>
    </row>
    <row r="143" spans="2:15" x14ac:dyDescent="0.3">
      <c r="B143" s="1969"/>
      <c r="C143" s="1972"/>
      <c r="D143" s="125" t="s">
        <v>283</v>
      </c>
      <c r="E143" s="1977"/>
      <c r="F143" s="1978"/>
      <c r="G143" s="1978"/>
      <c r="H143" s="1978"/>
      <c r="I143" s="1978"/>
      <c r="J143" s="1978"/>
      <c r="K143" s="1978"/>
      <c r="L143" s="1978"/>
      <c r="M143" s="1978"/>
      <c r="N143" s="1978"/>
      <c r="O143" s="1979"/>
    </row>
    <row r="144" spans="2:15" x14ac:dyDescent="0.3">
      <c r="B144" s="1969"/>
      <c r="C144" s="1972"/>
      <c r="D144" s="125" t="s">
        <v>284</v>
      </c>
      <c r="E144" s="1977"/>
      <c r="F144" s="1978"/>
      <c r="G144" s="1978"/>
      <c r="H144" s="1978"/>
      <c r="I144" s="1978"/>
      <c r="J144" s="1978"/>
      <c r="K144" s="1978"/>
      <c r="L144" s="1978"/>
      <c r="M144" s="1978"/>
      <c r="N144" s="1978"/>
      <c r="O144" s="1979"/>
    </row>
    <row r="145" spans="2:15" x14ac:dyDescent="0.3">
      <c r="B145" s="1969"/>
      <c r="C145" s="1972"/>
      <c r="D145" s="125" t="s">
        <v>285</v>
      </c>
      <c r="E145" s="1977"/>
      <c r="F145" s="1978"/>
      <c r="G145" s="1978"/>
      <c r="H145" s="1978"/>
      <c r="I145" s="1978"/>
      <c r="J145" s="1978"/>
      <c r="K145" s="1978"/>
      <c r="L145" s="1978"/>
      <c r="M145" s="1978"/>
      <c r="N145" s="1978"/>
      <c r="O145" s="1979"/>
    </row>
    <row r="146" spans="2:15" x14ac:dyDescent="0.3">
      <c r="B146" s="1969"/>
      <c r="C146" s="1972"/>
      <c r="D146" s="125" t="s">
        <v>570</v>
      </c>
      <c r="E146" s="1977"/>
      <c r="F146" s="1978"/>
      <c r="G146" s="1978"/>
      <c r="H146" s="1978"/>
      <c r="I146" s="1978"/>
      <c r="J146" s="1978"/>
      <c r="K146" s="1978"/>
      <c r="L146" s="1978"/>
      <c r="M146" s="1978"/>
      <c r="N146" s="1978"/>
      <c r="O146" s="1979"/>
    </row>
    <row r="147" spans="2:15" x14ac:dyDescent="0.3">
      <c r="B147" s="1969"/>
      <c r="C147" s="1972"/>
      <c r="D147" s="125" t="s">
        <v>287</v>
      </c>
      <c r="E147" s="1977"/>
      <c r="F147" s="1978"/>
      <c r="G147" s="1978"/>
      <c r="H147" s="1978"/>
      <c r="I147" s="1978"/>
      <c r="J147" s="1978"/>
      <c r="K147" s="1978"/>
      <c r="L147" s="1978"/>
      <c r="M147" s="1978"/>
      <c r="N147" s="1978"/>
      <c r="O147" s="1979"/>
    </row>
    <row r="148" spans="2:15" x14ac:dyDescent="0.3">
      <c r="B148" s="1969"/>
      <c r="C148" s="1972"/>
      <c r="D148" s="125" t="s">
        <v>288</v>
      </c>
      <c r="E148" s="1977"/>
      <c r="F148" s="1978"/>
      <c r="G148" s="1978"/>
      <c r="H148" s="1978"/>
      <c r="I148" s="1978"/>
      <c r="J148" s="1978"/>
      <c r="K148" s="1978"/>
      <c r="L148" s="1978"/>
      <c r="M148" s="1978"/>
      <c r="N148" s="1978"/>
      <c r="O148" s="1979"/>
    </row>
    <row r="149" spans="2:15" x14ac:dyDescent="0.3">
      <c r="B149" s="1969"/>
      <c r="C149" s="1972"/>
      <c r="D149" s="125" t="s">
        <v>289</v>
      </c>
      <c r="E149" s="1977"/>
      <c r="F149" s="1978"/>
      <c r="G149" s="1978"/>
      <c r="H149" s="1978"/>
      <c r="I149" s="1978"/>
      <c r="J149" s="1978"/>
      <c r="K149" s="1978"/>
      <c r="L149" s="1978"/>
      <c r="M149" s="1978"/>
      <c r="N149" s="1978"/>
      <c r="O149" s="1979"/>
    </row>
    <row r="150" spans="2:15" x14ac:dyDescent="0.3">
      <c r="B150" s="1970"/>
      <c r="C150" s="1973"/>
      <c r="D150" s="125" t="s">
        <v>290</v>
      </c>
      <c r="E150" s="1977"/>
      <c r="F150" s="1978"/>
      <c r="G150" s="1978"/>
      <c r="H150" s="1978"/>
      <c r="I150" s="1978"/>
      <c r="J150" s="1978"/>
      <c r="K150" s="1978"/>
      <c r="L150" s="1978"/>
      <c r="M150" s="1978"/>
      <c r="N150" s="1978"/>
      <c r="O150" s="1979"/>
    </row>
    <row r="151" spans="2:15" x14ac:dyDescent="0.3">
      <c r="B151" s="1968">
        <f>B139+1</f>
        <v>2</v>
      </c>
      <c r="C151" s="1971"/>
      <c r="D151" s="125" t="s">
        <v>279</v>
      </c>
      <c r="E151" s="1977"/>
      <c r="F151" s="1978"/>
      <c r="G151" s="1978"/>
      <c r="H151" s="1978"/>
      <c r="I151" s="1978"/>
      <c r="J151" s="1978"/>
      <c r="K151" s="1978"/>
      <c r="L151" s="1978"/>
      <c r="M151" s="1978"/>
      <c r="N151" s="1978"/>
      <c r="O151" s="1979"/>
    </row>
    <row r="152" spans="2:15" x14ac:dyDescent="0.3">
      <c r="B152" s="1969"/>
      <c r="C152" s="1972"/>
      <c r="D152" s="125" t="s">
        <v>280</v>
      </c>
      <c r="E152" s="1977"/>
      <c r="F152" s="1978"/>
      <c r="G152" s="1978"/>
      <c r="H152" s="1978"/>
      <c r="I152" s="1978"/>
      <c r="J152" s="1978"/>
      <c r="K152" s="1978"/>
      <c r="L152" s="1978"/>
      <c r="M152" s="1978"/>
      <c r="N152" s="1978"/>
      <c r="O152" s="1979"/>
    </row>
    <row r="153" spans="2:15" x14ac:dyDescent="0.3">
      <c r="B153" s="1969"/>
      <c r="C153" s="1972"/>
      <c r="D153" s="125" t="s">
        <v>281</v>
      </c>
      <c r="E153" s="1977"/>
      <c r="F153" s="1978"/>
      <c r="G153" s="1978"/>
      <c r="H153" s="1978"/>
      <c r="I153" s="1978"/>
      <c r="J153" s="1978"/>
      <c r="K153" s="1978"/>
      <c r="L153" s="1978"/>
      <c r="M153" s="1978"/>
      <c r="N153" s="1978"/>
      <c r="O153" s="1979"/>
    </row>
    <row r="154" spans="2:15" x14ac:dyDescent="0.3">
      <c r="B154" s="1969"/>
      <c r="C154" s="1972"/>
      <c r="D154" s="125" t="s">
        <v>569</v>
      </c>
      <c r="E154" s="1977"/>
      <c r="F154" s="1978"/>
      <c r="G154" s="1978"/>
      <c r="H154" s="1978"/>
      <c r="I154" s="1978"/>
      <c r="J154" s="1978"/>
      <c r="K154" s="1978"/>
      <c r="L154" s="1978"/>
      <c r="M154" s="1978"/>
      <c r="N154" s="1978"/>
      <c r="O154" s="1979"/>
    </row>
    <row r="155" spans="2:15" x14ac:dyDescent="0.3">
      <c r="B155" s="1969"/>
      <c r="C155" s="1972"/>
      <c r="D155" s="125" t="s">
        <v>283</v>
      </c>
      <c r="E155" s="1977"/>
      <c r="F155" s="1978"/>
      <c r="G155" s="1978"/>
      <c r="H155" s="1978"/>
      <c r="I155" s="1978"/>
      <c r="J155" s="1978"/>
      <c r="K155" s="1978"/>
      <c r="L155" s="1978"/>
      <c r="M155" s="1978"/>
      <c r="N155" s="1978"/>
      <c r="O155" s="1979"/>
    </row>
    <row r="156" spans="2:15" x14ac:dyDescent="0.3">
      <c r="B156" s="1969"/>
      <c r="C156" s="1972"/>
      <c r="D156" s="125" t="s">
        <v>284</v>
      </c>
      <c r="E156" s="1977"/>
      <c r="F156" s="1978"/>
      <c r="G156" s="1978"/>
      <c r="H156" s="1978"/>
      <c r="I156" s="1978"/>
      <c r="J156" s="1978"/>
      <c r="K156" s="1978"/>
      <c r="L156" s="1978"/>
      <c r="M156" s="1978"/>
      <c r="N156" s="1978"/>
      <c r="O156" s="1979"/>
    </row>
    <row r="157" spans="2:15" x14ac:dyDescent="0.3">
      <c r="B157" s="1969"/>
      <c r="C157" s="1972"/>
      <c r="D157" s="125" t="s">
        <v>285</v>
      </c>
      <c r="E157" s="1977"/>
      <c r="F157" s="1978"/>
      <c r="G157" s="1978"/>
      <c r="H157" s="1978"/>
      <c r="I157" s="1978"/>
      <c r="J157" s="1978"/>
      <c r="K157" s="1978"/>
      <c r="L157" s="1978"/>
      <c r="M157" s="1978"/>
      <c r="N157" s="1978"/>
      <c r="O157" s="1979"/>
    </row>
    <row r="158" spans="2:15" x14ac:dyDescent="0.3">
      <c r="B158" s="1969"/>
      <c r="C158" s="1972"/>
      <c r="D158" s="125" t="s">
        <v>570</v>
      </c>
      <c r="E158" s="1977"/>
      <c r="F158" s="1978"/>
      <c r="G158" s="1978"/>
      <c r="H158" s="1978"/>
      <c r="I158" s="1978"/>
      <c r="J158" s="1978"/>
      <c r="K158" s="1978"/>
      <c r="L158" s="1978"/>
      <c r="M158" s="1978"/>
      <c r="N158" s="1978"/>
      <c r="O158" s="1979"/>
    </row>
    <row r="159" spans="2:15" x14ac:dyDescent="0.3">
      <c r="B159" s="1969"/>
      <c r="C159" s="1972"/>
      <c r="D159" s="125" t="s">
        <v>287</v>
      </c>
      <c r="E159" s="1977"/>
      <c r="F159" s="1978"/>
      <c r="G159" s="1978"/>
      <c r="H159" s="1978"/>
      <c r="I159" s="1978"/>
      <c r="J159" s="1978"/>
      <c r="K159" s="1978"/>
      <c r="L159" s="1978"/>
      <c r="M159" s="1978"/>
      <c r="N159" s="1978"/>
      <c r="O159" s="1979"/>
    </row>
    <row r="160" spans="2:15" x14ac:dyDescent="0.3">
      <c r="B160" s="1969"/>
      <c r="C160" s="1972"/>
      <c r="D160" s="125" t="s">
        <v>288</v>
      </c>
      <c r="E160" s="1977"/>
      <c r="F160" s="1978"/>
      <c r="G160" s="1978"/>
      <c r="H160" s="1978"/>
      <c r="I160" s="1978"/>
      <c r="J160" s="1978"/>
      <c r="K160" s="1978"/>
      <c r="L160" s="1978"/>
      <c r="M160" s="1978"/>
      <c r="N160" s="1978"/>
      <c r="O160" s="1979"/>
    </row>
    <row r="161" spans="2:15" x14ac:dyDescent="0.3">
      <c r="B161" s="1969"/>
      <c r="C161" s="1972"/>
      <c r="D161" s="125" t="s">
        <v>289</v>
      </c>
      <c r="E161" s="1977"/>
      <c r="F161" s="1978"/>
      <c r="G161" s="1978"/>
      <c r="H161" s="1978"/>
      <c r="I161" s="1978"/>
      <c r="J161" s="1978"/>
      <c r="K161" s="1978"/>
      <c r="L161" s="1978"/>
      <c r="M161" s="1978"/>
      <c r="N161" s="1978"/>
      <c r="O161" s="1979"/>
    </row>
    <row r="162" spans="2:15" x14ac:dyDescent="0.3">
      <c r="B162" s="1970"/>
      <c r="C162" s="1973"/>
      <c r="D162" s="125" t="s">
        <v>290</v>
      </c>
      <c r="E162" s="1977"/>
      <c r="F162" s="1978"/>
      <c r="G162" s="1978"/>
      <c r="H162" s="1978"/>
      <c r="I162" s="1978"/>
      <c r="J162" s="1978"/>
      <c r="K162" s="1978"/>
      <c r="L162" s="1978"/>
      <c r="M162" s="1978"/>
      <c r="N162" s="1978"/>
      <c r="O162" s="1979"/>
    </row>
    <row r="163" spans="2:15" x14ac:dyDescent="0.3">
      <c r="B163" s="99">
        <v>3</v>
      </c>
      <c r="C163" s="124"/>
      <c r="D163" s="124"/>
      <c r="E163" s="1977"/>
      <c r="F163" s="1978"/>
      <c r="G163" s="1978"/>
      <c r="H163" s="1978"/>
      <c r="I163" s="1978"/>
      <c r="J163" s="1978"/>
      <c r="K163" s="1978"/>
      <c r="L163" s="1978"/>
      <c r="M163" s="1978"/>
      <c r="N163" s="1978"/>
      <c r="O163" s="1979"/>
    </row>
    <row r="164" spans="2:15" x14ac:dyDescent="0.3">
      <c r="B164" s="99" t="s">
        <v>475</v>
      </c>
      <c r="C164" s="126"/>
      <c r="D164" s="126"/>
      <c r="E164" s="1980"/>
      <c r="F164" s="1981"/>
      <c r="G164" s="1981"/>
      <c r="H164" s="1981"/>
      <c r="I164" s="1981"/>
      <c r="J164" s="1981"/>
      <c r="K164" s="1981"/>
      <c r="L164" s="1981"/>
      <c r="M164" s="1981"/>
      <c r="N164" s="1981"/>
      <c r="O164" s="1982"/>
    </row>
    <row r="166" spans="2:15" x14ac:dyDescent="0.3">
      <c r="B166" s="1967" t="s">
        <v>1026</v>
      </c>
      <c r="C166" s="1967"/>
      <c r="D166" s="300"/>
      <c r="E166" s="14"/>
      <c r="F166" s="14"/>
      <c r="G166" s="14"/>
      <c r="H166" s="14"/>
      <c r="I166" s="14"/>
      <c r="J166" s="14"/>
      <c r="K166" s="14"/>
      <c r="L166" s="14"/>
    </row>
    <row r="168" spans="2:15" ht="56" x14ac:dyDescent="0.3">
      <c r="B168" s="1659" t="s">
        <v>340</v>
      </c>
      <c r="C168" s="1659" t="s">
        <v>557</v>
      </c>
      <c r="D168" s="1659" t="s">
        <v>568</v>
      </c>
      <c r="E168" s="293" t="s">
        <v>637</v>
      </c>
      <c r="F168" s="1652" t="s">
        <v>558</v>
      </c>
      <c r="G168" s="1652"/>
      <c r="H168" s="1652"/>
      <c r="I168" s="1652"/>
      <c r="J168" s="1652"/>
      <c r="K168" s="1652" t="s">
        <v>562</v>
      </c>
      <c r="L168" s="1652"/>
      <c r="M168" s="1652"/>
      <c r="N168" s="1652" t="s">
        <v>737</v>
      </c>
      <c r="O168" s="1652" t="s">
        <v>567</v>
      </c>
    </row>
    <row r="169" spans="2:15" ht="28" x14ac:dyDescent="0.3">
      <c r="B169" s="1702"/>
      <c r="C169" s="1702"/>
      <c r="D169" s="1702"/>
      <c r="E169" s="292" t="s">
        <v>639</v>
      </c>
      <c r="F169" s="290" t="s">
        <v>564</v>
      </c>
      <c r="G169" s="290" t="s">
        <v>559</v>
      </c>
      <c r="H169" s="290" t="s">
        <v>641</v>
      </c>
      <c r="I169" s="292" t="s">
        <v>679</v>
      </c>
      <c r="J169" s="292" t="s">
        <v>735</v>
      </c>
      <c r="K169" s="292" t="s">
        <v>563</v>
      </c>
      <c r="L169" s="292" t="s">
        <v>736</v>
      </c>
      <c r="M169" s="292" t="s">
        <v>640</v>
      </c>
      <c r="N169" s="1652"/>
      <c r="O169" s="1652"/>
    </row>
    <row r="170" spans="2:15" x14ac:dyDescent="0.3">
      <c r="B170" s="1968">
        <f>B169+1</f>
        <v>1</v>
      </c>
      <c r="C170" s="1971"/>
      <c r="D170" s="125" t="s">
        <v>279</v>
      </c>
      <c r="E170" s="1983" t="s">
        <v>770</v>
      </c>
      <c r="F170" s="1984"/>
      <c r="G170" s="1984"/>
      <c r="H170" s="1984"/>
      <c r="I170" s="1984"/>
      <c r="J170" s="1984"/>
      <c r="K170" s="1984"/>
      <c r="L170" s="1984"/>
      <c r="M170" s="1984"/>
      <c r="N170" s="1984"/>
      <c r="O170" s="1985"/>
    </row>
    <row r="171" spans="2:15" x14ac:dyDescent="0.3">
      <c r="B171" s="1969"/>
      <c r="C171" s="1972"/>
      <c r="D171" s="125" t="s">
        <v>280</v>
      </c>
      <c r="E171" s="1986"/>
      <c r="F171" s="1987"/>
      <c r="G171" s="1987"/>
      <c r="H171" s="1987"/>
      <c r="I171" s="1987"/>
      <c r="J171" s="1987"/>
      <c r="K171" s="1987"/>
      <c r="L171" s="1987"/>
      <c r="M171" s="1987"/>
      <c r="N171" s="1987"/>
      <c r="O171" s="1988"/>
    </row>
    <row r="172" spans="2:15" x14ac:dyDescent="0.3">
      <c r="B172" s="1969"/>
      <c r="C172" s="1972"/>
      <c r="D172" s="125" t="s">
        <v>281</v>
      </c>
      <c r="E172" s="1986"/>
      <c r="F172" s="1987"/>
      <c r="G172" s="1987"/>
      <c r="H172" s="1987"/>
      <c r="I172" s="1987"/>
      <c r="J172" s="1987"/>
      <c r="K172" s="1987"/>
      <c r="L172" s="1987"/>
      <c r="M172" s="1987"/>
      <c r="N172" s="1987"/>
      <c r="O172" s="1988"/>
    </row>
    <row r="173" spans="2:15" x14ac:dyDescent="0.3">
      <c r="B173" s="1969"/>
      <c r="C173" s="1972"/>
      <c r="D173" s="125" t="s">
        <v>569</v>
      </c>
      <c r="E173" s="1986"/>
      <c r="F173" s="1987"/>
      <c r="G173" s="1987"/>
      <c r="H173" s="1987"/>
      <c r="I173" s="1987"/>
      <c r="J173" s="1987"/>
      <c r="K173" s="1987"/>
      <c r="L173" s="1987"/>
      <c r="M173" s="1987"/>
      <c r="N173" s="1987"/>
      <c r="O173" s="1988"/>
    </row>
    <row r="174" spans="2:15" x14ac:dyDescent="0.3">
      <c r="B174" s="1969"/>
      <c r="C174" s="1972"/>
      <c r="D174" s="125" t="s">
        <v>283</v>
      </c>
      <c r="E174" s="1986"/>
      <c r="F174" s="1987"/>
      <c r="G174" s="1987"/>
      <c r="H174" s="1987"/>
      <c r="I174" s="1987"/>
      <c r="J174" s="1987"/>
      <c r="K174" s="1987"/>
      <c r="L174" s="1987"/>
      <c r="M174" s="1987"/>
      <c r="N174" s="1987"/>
      <c r="O174" s="1988"/>
    </row>
    <row r="175" spans="2:15" x14ac:dyDescent="0.3">
      <c r="B175" s="1969"/>
      <c r="C175" s="1972"/>
      <c r="D175" s="125" t="s">
        <v>284</v>
      </c>
      <c r="E175" s="1986"/>
      <c r="F175" s="1987"/>
      <c r="G175" s="1987"/>
      <c r="H175" s="1987"/>
      <c r="I175" s="1987"/>
      <c r="J175" s="1987"/>
      <c r="K175" s="1987"/>
      <c r="L175" s="1987"/>
      <c r="M175" s="1987"/>
      <c r="N175" s="1987"/>
      <c r="O175" s="1988"/>
    </row>
    <row r="176" spans="2:15" x14ac:dyDescent="0.3">
      <c r="B176" s="1968">
        <f>B170+1</f>
        <v>2</v>
      </c>
      <c r="C176" s="1971"/>
      <c r="D176" s="125" t="s">
        <v>279</v>
      </c>
      <c r="E176" s="1986"/>
      <c r="F176" s="1987"/>
      <c r="G176" s="1987"/>
      <c r="H176" s="1987"/>
      <c r="I176" s="1987"/>
      <c r="J176" s="1987"/>
      <c r="K176" s="1987"/>
      <c r="L176" s="1987"/>
      <c r="M176" s="1987"/>
      <c r="N176" s="1987"/>
      <c r="O176" s="1988"/>
    </row>
    <row r="177" spans="2:15" x14ac:dyDescent="0.3">
      <c r="B177" s="1969"/>
      <c r="C177" s="1972"/>
      <c r="D177" s="125" t="s">
        <v>280</v>
      </c>
      <c r="E177" s="1986"/>
      <c r="F177" s="1987"/>
      <c r="G177" s="1987"/>
      <c r="H177" s="1987"/>
      <c r="I177" s="1987"/>
      <c r="J177" s="1987"/>
      <c r="K177" s="1987"/>
      <c r="L177" s="1987"/>
      <c r="M177" s="1987"/>
      <c r="N177" s="1987"/>
      <c r="O177" s="1988"/>
    </row>
    <row r="178" spans="2:15" x14ac:dyDescent="0.3">
      <c r="B178" s="1969"/>
      <c r="C178" s="1972"/>
      <c r="D178" s="125" t="s">
        <v>281</v>
      </c>
      <c r="E178" s="1986"/>
      <c r="F178" s="1987"/>
      <c r="G178" s="1987"/>
      <c r="H178" s="1987"/>
      <c r="I178" s="1987"/>
      <c r="J178" s="1987"/>
      <c r="K178" s="1987"/>
      <c r="L178" s="1987"/>
      <c r="M178" s="1987"/>
      <c r="N178" s="1987"/>
      <c r="O178" s="1988"/>
    </row>
    <row r="179" spans="2:15" x14ac:dyDescent="0.3">
      <c r="B179" s="1969"/>
      <c r="C179" s="1972"/>
      <c r="D179" s="125" t="s">
        <v>569</v>
      </c>
      <c r="E179" s="1986"/>
      <c r="F179" s="1987"/>
      <c r="G179" s="1987"/>
      <c r="H179" s="1987"/>
      <c r="I179" s="1987"/>
      <c r="J179" s="1987"/>
      <c r="K179" s="1987"/>
      <c r="L179" s="1987"/>
      <c r="M179" s="1987"/>
      <c r="N179" s="1987"/>
      <c r="O179" s="1988"/>
    </row>
    <row r="180" spans="2:15" x14ac:dyDescent="0.3">
      <c r="B180" s="1969"/>
      <c r="C180" s="1972"/>
      <c r="D180" s="125" t="s">
        <v>283</v>
      </c>
      <c r="E180" s="1986"/>
      <c r="F180" s="1987"/>
      <c r="G180" s="1987"/>
      <c r="H180" s="1987"/>
      <c r="I180" s="1987"/>
      <c r="J180" s="1987"/>
      <c r="K180" s="1987"/>
      <c r="L180" s="1987"/>
      <c r="M180" s="1987"/>
      <c r="N180" s="1987"/>
      <c r="O180" s="1988"/>
    </row>
    <row r="181" spans="2:15" x14ac:dyDescent="0.3">
      <c r="B181" s="1969"/>
      <c r="C181" s="1972"/>
      <c r="D181" s="125" t="s">
        <v>284</v>
      </c>
      <c r="E181" s="1986"/>
      <c r="F181" s="1987"/>
      <c r="G181" s="1987"/>
      <c r="H181" s="1987"/>
      <c r="I181" s="1987"/>
      <c r="J181" s="1987"/>
      <c r="K181" s="1987"/>
      <c r="L181" s="1987"/>
      <c r="M181" s="1987"/>
      <c r="N181" s="1987"/>
      <c r="O181" s="1988"/>
    </row>
    <row r="182" spans="2:15" x14ac:dyDescent="0.3">
      <c r="B182" s="99">
        <v>3</v>
      </c>
      <c r="C182" s="124"/>
      <c r="D182" s="124"/>
      <c r="E182" s="1986"/>
      <c r="F182" s="1987"/>
      <c r="G182" s="1987"/>
      <c r="H182" s="1987"/>
      <c r="I182" s="1987"/>
      <c r="J182" s="1987"/>
      <c r="K182" s="1987"/>
      <c r="L182" s="1987"/>
      <c r="M182" s="1987"/>
      <c r="N182" s="1987"/>
      <c r="O182" s="1988"/>
    </row>
    <row r="183" spans="2:15" x14ac:dyDescent="0.3">
      <c r="B183" s="99" t="s">
        <v>475</v>
      </c>
      <c r="C183" s="126"/>
      <c r="D183" s="126"/>
      <c r="E183" s="1989"/>
      <c r="F183" s="1990"/>
      <c r="G183" s="1990"/>
      <c r="H183" s="1990"/>
      <c r="I183" s="1990"/>
      <c r="J183" s="1990"/>
      <c r="K183" s="1990"/>
      <c r="L183" s="1990"/>
      <c r="M183" s="1990"/>
      <c r="N183" s="1990"/>
      <c r="O183" s="1991"/>
    </row>
    <row r="186" spans="2:15" x14ac:dyDescent="0.3">
      <c r="B186" s="1967" t="s">
        <v>1027</v>
      </c>
      <c r="C186" s="1967"/>
      <c r="D186" s="300"/>
      <c r="E186" s="14"/>
      <c r="F186" s="14"/>
      <c r="G186" s="14"/>
      <c r="H186" s="14"/>
      <c r="I186" s="14"/>
      <c r="J186" s="14"/>
      <c r="K186" s="14"/>
      <c r="L186" s="14"/>
    </row>
    <row r="188" spans="2:15" ht="56" x14ac:dyDescent="0.3">
      <c r="B188" s="1659" t="s">
        <v>340</v>
      </c>
      <c r="C188" s="1659" t="s">
        <v>557</v>
      </c>
      <c r="D188" s="1659" t="s">
        <v>568</v>
      </c>
      <c r="E188" s="293" t="s">
        <v>637</v>
      </c>
      <c r="F188" s="1652" t="s">
        <v>558</v>
      </c>
      <c r="G188" s="1652"/>
      <c r="H188" s="1652"/>
      <c r="I188" s="1652"/>
      <c r="J188" s="1652"/>
      <c r="K188" s="1652" t="s">
        <v>562</v>
      </c>
      <c r="L188" s="1652"/>
      <c r="M188" s="1652"/>
      <c r="N188" s="1652" t="s">
        <v>566</v>
      </c>
      <c r="O188" s="1652" t="s">
        <v>567</v>
      </c>
    </row>
    <row r="189" spans="2:15" ht="28" x14ac:dyDescent="0.3">
      <c r="B189" s="1702"/>
      <c r="C189" s="1702"/>
      <c r="D189" s="1702"/>
      <c r="E189" s="292" t="s">
        <v>639</v>
      </c>
      <c r="F189" s="290" t="s">
        <v>564</v>
      </c>
      <c r="G189" s="290" t="s">
        <v>559</v>
      </c>
      <c r="H189" s="290" t="s">
        <v>641</v>
      </c>
      <c r="I189" s="292" t="s">
        <v>560</v>
      </c>
      <c r="J189" s="292" t="s">
        <v>561</v>
      </c>
      <c r="K189" s="292" t="s">
        <v>563</v>
      </c>
      <c r="L189" s="292" t="s">
        <v>565</v>
      </c>
      <c r="M189" s="292" t="s">
        <v>640</v>
      </c>
      <c r="N189" s="1652"/>
      <c r="O189" s="1652"/>
    </row>
    <row r="190" spans="2:15" x14ac:dyDescent="0.3">
      <c r="B190" s="1968">
        <f>B189+1</f>
        <v>1</v>
      </c>
      <c r="C190" s="1971"/>
      <c r="D190" s="125" t="s">
        <v>279</v>
      </c>
      <c r="E190" s="1974" t="s">
        <v>770</v>
      </c>
      <c r="F190" s="1975"/>
      <c r="G190" s="1975"/>
      <c r="H190" s="1975"/>
      <c r="I190" s="1975"/>
      <c r="J190" s="1975"/>
      <c r="K190" s="1975"/>
      <c r="L190" s="1975"/>
      <c r="M190" s="1975"/>
      <c r="N190" s="1975"/>
      <c r="O190" s="1976"/>
    </row>
    <row r="191" spans="2:15" x14ac:dyDescent="0.3">
      <c r="B191" s="1969"/>
      <c r="C191" s="1972"/>
      <c r="D191" s="125" t="s">
        <v>280</v>
      </c>
      <c r="E191" s="1977"/>
      <c r="F191" s="1978"/>
      <c r="G191" s="1978"/>
      <c r="H191" s="1978"/>
      <c r="I191" s="1978"/>
      <c r="J191" s="1978"/>
      <c r="K191" s="1978"/>
      <c r="L191" s="1978"/>
      <c r="M191" s="1978"/>
      <c r="N191" s="1978"/>
      <c r="O191" s="1979"/>
    </row>
    <row r="192" spans="2:15" x14ac:dyDescent="0.3">
      <c r="B192" s="1969"/>
      <c r="C192" s="1972"/>
      <c r="D192" s="125" t="s">
        <v>281</v>
      </c>
      <c r="E192" s="1977"/>
      <c r="F192" s="1978"/>
      <c r="G192" s="1978"/>
      <c r="H192" s="1978"/>
      <c r="I192" s="1978"/>
      <c r="J192" s="1978"/>
      <c r="K192" s="1978"/>
      <c r="L192" s="1978"/>
      <c r="M192" s="1978"/>
      <c r="N192" s="1978"/>
      <c r="O192" s="1979"/>
    </row>
    <row r="193" spans="2:15" x14ac:dyDescent="0.3">
      <c r="B193" s="1969"/>
      <c r="C193" s="1972"/>
      <c r="D193" s="125" t="s">
        <v>569</v>
      </c>
      <c r="E193" s="1977"/>
      <c r="F193" s="1978"/>
      <c r="G193" s="1978"/>
      <c r="H193" s="1978"/>
      <c r="I193" s="1978"/>
      <c r="J193" s="1978"/>
      <c r="K193" s="1978"/>
      <c r="L193" s="1978"/>
      <c r="M193" s="1978"/>
      <c r="N193" s="1978"/>
      <c r="O193" s="1979"/>
    </row>
    <row r="194" spans="2:15" x14ac:dyDescent="0.3">
      <c r="B194" s="1969"/>
      <c r="C194" s="1972"/>
      <c r="D194" s="125" t="s">
        <v>283</v>
      </c>
      <c r="E194" s="1977"/>
      <c r="F194" s="1978"/>
      <c r="G194" s="1978"/>
      <c r="H194" s="1978"/>
      <c r="I194" s="1978"/>
      <c r="J194" s="1978"/>
      <c r="K194" s="1978"/>
      <c r="L194" s="1978"/>
      <c r="M194" s="1978"/>
      <c r="N194" s="1978"/>
      <c r="O194" s="1979"/>
    </row>
    <row r="195" spans="2:15" x14ac:dyDescent="0.3">
      <c r="B195" s="1969"/>
      <c r="C195" s="1972"/>
      <c r="D195" s="125" t="s">
        <v>284</v>
      </c>
      <c r="E195" s="1977"/>
      <c r="F195" s="1978"/>
      <c r="G195" s="1978"/>
      <c r="H195" s="1978"/>
      <c r="I195" s="1978"/>
      <c r="J195" s="1978"/>
      <c r="K195" s="1978"/>
      <c r="L195" s="1978"/>
      <c r="M195" s="1978"/>
      <c r="N195" s="1978"/>
      <c r="O195" s="1979"/>
    </row>
    <row r="196" spans="2:15" x14ac:dyDescent="0.3">
      <c r="B196" s="1969"/>
      <c r="C196" s="1972"/>
      <c r="D196" s="125" t="s">
        <v>285</v>
      </c>
      <c r="E196" s="1977"/>
      <c r="F196" s="1978"/>
      <c r="G196" s="1978"/>
      <c r="H196" s="1978"/>
      <c r="I196" s="1978"/>
      <c r="J196" s="1978"/>
      <c r="K196" s="1978"/>
      <c r="L196" s="1978"/>
      <c r="M196" s="1978"/>
      <c r="N196" s="1978"/>
      <c r="O196" s="1979"/>
    </row>
    <row r="197" spans="2:15" x14ac:dyDescent="0.3">
      <c r="B197" s="1969"/>
      <c r="C197" s="1972"/>
      <c r="D197" s="125" t="s">
        <v>570</v>
      </c>
      <c r="E197" s="1977"/>
      <c r="F197" s="1978"/>
      <c r="G197" s="1978"/>
      <c r="H197" s="1978"/>
      <c r="I197" s="1978"/>
      <c r="J197" s="1978"/>
      <c r="K197" s="1978"/>
      <c r="L197" s="1978"/>
      <c r="M197" s="1978"/>
      <c r="N197" s="1978"/>
      <c r="O197" s="1979"/>
    </row>
    <row r="198" spans="2:15" x14ac:dyDescent="0.3">
      <c r="B198" s="1969"/>
      <c r="C198" s="1972"/>
      <c r="D198" s="125" t="s">
        <v>287</v>
      </c>
      <c r="E198" s="1977"/>
      <c r="F198" s="1978"/>
      <c r="G198" s="1978"/>
      <c r="H198" s="1978"/>
      <c r="I198" s="1978"/>
      <c r="J198" s="1978"/>
      <c r="K198" s="1978"/>
      <c r="L198" s="1978"/>
      <c r="M198" s="1978"/>
      <c r="N198" s="1978"/>
      <c r="O198" s="1979"/>
    </row>
    <row r="199" spans="2:15" x14ac:dyDescent="0.3">
      <c r="B199" s="1969"/>
      <c r="C199" s="1972"/>
      <c r="D199" s="125" t="s">
        <v>288</v>
      </c>
      <c r="E199" s="1977"/>
      <c r="F199" s="1978"/>
      <c r="G199" s="1978"/>
      <c r="H199" s="1978"/>
      <c r="I199" s="1978"/>
      <c r="J199" s="1978"/>
      <c r="K199" s="1978"/>
      <c r="L199" s="1978"/>
      <c r="M199" s="1978"/>
      <c r="N199" s="1978"/>
      <c r="O199" s="1979"/>
    </row>
    <row r="200" spans="2:15" x14ac:dyDescent="0.3">
      <c r="B200" s="1969"/>
      <c r="C200" s="1972"/>
      <c r="D200" s="125" t="s">
        <v>289</v>
      </c>
      <c r="E200" s="1977"/>
      <c r="F200" s="1978"/>
      <c r="G200" s="1978"/>
      <c r="H200" s="1978"/>
      <c r="I200" s="1978"/>
      <c r="J200" s="1978"/>
      <c r="K200" s="1978"/>
      <c r="L200" s="1978"/>
      <c r="M200" s="1978"/>
      <c r="N200" s="1978"/>
      <c r="O200" s="1979"/>
    </row>
    <row r="201" spans="2:15" x14ac:dyDescent="0.3">
      <c r="B201" s="1970"/>
      <c r="C201" s="1973"/>
      <c r="D201" s="125" t="s">
        <v>290</v>
      </c>
      <c r="E201" s="1977"/>
      <c r="F201" s="1978"/>
      <c r="G201" s="1978"/>
      <c r="H201" s="1978"/>
      <c r="I201" s="1978"/>
      <c r="J201" s="1978"/>
      <c r="K201" s="1978"/>
      <c r="L201" s="1978"/>
      <c r="M201" s="1978"/>
      <c r="N201" s="1978"/>
      <c r="O201" s="1979"/>
    </row>
    <row r="202" spans="2:15" x14ac:dyDescent="0.3">
      <c r="B202" s="1968">
        <f>B190+1</f>
        <v>2</v>
      </c>
      <c r="C202" s="1971"/>
      <c r="D202" s="125" t="s">
        <v>279</v>
      </c>
      <c r="E202" s="1977"/>
      <c r="F202" s="1978"/>
      <c r="G202" s="1978"/>
      <c r="H202" s="1978"/>
      <c r="I202" s="1978"/>
      <c r="J202" s="1978"/>
      <c r="K202" s="1978"/>
      <c r="L202" s="1978"/>
      <c r="M202" s="1978"/>
      <c r="N202" s="1978"/>
      <c r="O202" s="1979"/>
    </row>
    <row r="203" spans="2:15" x14ac:dyDescent="0.3">
      <c r="B203" s="1969"/>
      <c r="C203" s="1972"/>
      <c r="D203" s="125" t="s">
        <v>280</v>
      </c>
      <c r="E203" s="1977"/>
      <c r="F203" s="1978"/>
      <c r="G203" s="1978"/>
      <c r="H203" s="1978"/>
      <c r="I203" s="1978"/>
      <c r="J203" s="1978"/>
      <c r="K203" s="1978"/>
      <c r="L203" s="1978"/>
      <c r="M203" s="1978"/>
      <c r="N203" s="1978"/>
      <c r="O203" s="1979"/>
    </row>
    <row r="204" spans="2:15" x14ac:dyDescent="0.3">
      <c r="B204" s="1969"/>
      <c r="C204" s="1972"/>
      <c r="D204" s="125" t="s">
        <v>281</v>
      </c>
      <c r="E204" s="1977"/>
      <c r="F204" s="1978"/>
      <c r="G204" s="1978"/>
      <c r="H204" s="1978"/>
      <c r="I204" s="1978"/>
      <c r="J204" s="1978"/>
      <c r="K204" s="1978"/>
      <c r="L204" s="1978"/>
      <c r="M204" s="1978"/>
      <c r="N204" s="1978"/>
      <c r="O204" s="1979"/>
    </row>
    <row r="205" spans="2:15" x14ac:dyDescent="0.3">
      <c r="B205" s="1969"/>
      <c r="C205" s="1972"/>
      <c r="D205" s="125" t="s">
        <v>569</v>
      </c>
      <c r="E205" s="1977"/>
      <c r="F205" s="1978"/>
      <c r="G205" s="1978"/>
      <c r="H205" s="1978"/>
      <c r="I205" s="1978"/>
      <c r="J205" s="1978"/>
      <c r="K205" s="1978"/>
      <c r="L205" s="1978"/>
      <c r="M205" s="1978"/>
      <c r="N205" s="1978"/>
      <c r="O205" s="1979"/>
    </row>
    <row r="206" spans="2:15" x14ac:dyDescent="0.3">
      <c r="B206" s="1969"/>
      <c r="C206" s="1972"/>
      <c r="D206" s="125" t="s">
        <v>283</v>
      </c>
      <c r="E206" s="1977"/>
      <c r="F206" s="1978"/>
      <c r="G206" s="1978"/>
      <c r="H206" s="1978"/>
      <c r="I206" s="1978"/>
      <c r="J206" s="1978"/>
      <c r="K206" s="1978"/>
      <c r="L206" s="1978"/>
      <c r="M206" s="1978"/>
      <c r="N206" s="1978"/>
      <c r="O206" s="1979"/>
    </row>
    <row r="207" spans="2:15" x14ac:dyDescent="0.3">
      <c r="B207" s="1969"/>
      <c r="C207" s="1972"/>
      <c r="D207" s="125" t="s">
        <v>284</v>
      </c>
      <c r="E207" s="1977"/>
      <c r="F207" s="1978"/>
      <c r="G207" s="1978"/>
      <c r="H207" s="1978"/>
      <c r="I207" s="1978"/>
      <c r="J207" s="1978"/>
      <c r="K207" s="1978"/>
      <c r="L207" s="1978"/>
      <c r="M207" s="1978"/>
      <c r="N207" s="1978"/>
      <c r="O207" s="1979"/>
    </row>
    <row r="208" spans="2:15" x14ac:dyDescent="0.3">
      <c r="B208" s="1969"/>
      <c r="C208" s="1972"/>
      <c r="D208" s="125" t="s">
        <v>285</v>
      </c>
      <c r="E208" s="1977"/>
      <c r="F208" s="1978"/>
      <c r="G208" s="1978"/>
      <c r="H208" s="1978"/>
      <c r="I208" s="1978"/>
      <c r="J208" s="1978"/>
      <c r="K208" s="1978"/>
      <c r="L208" s="1978"/>
      <c r="M208" s="1978"/>
      <c r="N208" s="1978"/>
      <c r="O208" s="1979"/>
    </row>
    <row r="209" spans="2:15" x14ac:dyDescent="0.3">
      <c r="B209" s="1969"/>
      <c r="C209" s="1972"/>
      <c r="D209" s="125" t="s">
        <v>570</v>
      </c>
      <c r="E209" s="1977"/>
      <c r="F209" s="1978"/>
      <c r="G209" s="1978"/>
      <c r="H209" s="1978"/>
      <c r="I209" s="1978"/>
      <c r="J209" s="1978"/>
      <c r="K209" s="1978"/>
      <c r="L209" s="1978"/>
      <c r="M209" s="1978"/>
      <c r="N209" s="1978"/>
      <c r="O209" s="1979"/>
    </row>
    <row r="210" spans="2:15" x14ac:dyDescent="0.3">
      <c r="B210" s="1969"/>
      <c r="C210" s="1972"/>
      <c r="D210" s="125" t="s">
        <v>287</v>
      </c>
      <c r="E210" s="1977"/>
      <c r="F210" s="1978"/>
      <c r="G210" s="1978"/>
      <c r="H210" s="1978"/>
      <c r="I210" s="1978"/>
      <c r="J210" s="1978"/>
      <c r="K210" s="1978"/>
      <c r="L210" s="1978"/>
      <c r="M210" s="1978"/>
      <c r="N210" s="1978"/>
      <c r="O210" s="1979"/>
    </row>
    <row r="211" spans="2:15" x14ac:dyDescent="0.3">
      <c r="B211" s="1969"/>
      <c r="C211" s="1972"/>
      <c r="D211" s="125" t="s">
        <v>288</v>
      </c>
      <c r="E211" s="1977"/>
      <c r="F211" s="1978"/>
      <c r="G211" s="1978"/>
      <c r="H211" s="1978"/>
      <c r="I211" s="1978"/>
      <c r="J211" s="1978"/>
      <c r="K211" s="1978"/>
      <c r="L211" s="1978"/>
      <c r="M211" s="1978"/>
      <c r="N211" s="1978"/>
      <c r="O211" s="1979"/>
    </row>
    <row r="212" spans="2:15" x14ac:dyDescent="0.3">
      <c r="B212" s="1969"/>
      <c r="C212" s="1972"/>
      <c r="D212" s="125" t="s">
        <v>289</v>
      </c>
      <c r="E212" s="1977"/>
      <c r="F212" s="1978"/>
      <c r="G212" s="1978"/>
      <c r="H212" s="1978"/>
      <c r="I212" s="1978"/>
      <c r="J212" s="1978"/>
      <c r="K212" s="1978"/>
      <c r="L212" s="1978"/>
      <c r="M212" s="1978"/>
      <c r="N212" s="1978"/>
      <c r="O212" s="1979"/>
    </row>
    <row r="213" spans="2:15" x14ac:dyDescent="0.3">
      <c r="B213" s="1970"/>
      <c r="C213" s="1973"/>
      <c r="D213" s="125" t="s">
        <v>290</v>
      </c>
      <c r="E213" s="1977"/>
      <c r="F213" s="1978"/>
      <c r="G213" s="1978"/>
      <c r="H213" s="1978"/>
      <c r="I213" s="1978"/>
      <c r="J213" s="1978"/>
      <c r="K213" s="1978"/>
      <c r="L213" s="1978"/>
      <c r="M213" s="1978"/>
      <c r="N213" s="1978"/>
      <c r="O213" s="1979"/>
    </row>
    <row r="214" spans="2:15" x14ac:dyDescent="0.3">
      <c r="B214" s="99">
        <v>3</v>
      </c>
      <c r="C214" s="124"/>
      <c r="D214" s="124"/>
      <c r="E214" s="1977"/>
      <c r="F214" s="1978"/>
      <c r="G214" s="1978"/>
      <c r="H214" s="1978"/>
      <c r="I214" s="1978"/>
      <c r="J214" s="1978"/>
      <c r="K214" s="1978"/>
      <c r="L214" s="1978"/>
      <c r="M214" s="1978"/>
      <c r="N214" s="1978"/>
      <c r="O214" s="1979"/>
    </row>
    <row r="215" spans="2:15" x14ac:dyDescent="0.3">
      <c r="B215" s="99" t="s">
        <v>475</v>
      </c>
      <c r="C215" s="126"/>
      <c r="D215" s="126"/>
      <c r="E215" s="1980"/>
      <c r="F215" s="1981"/>
      <c r="G215" s="1981"/>
      <c r="H215" s="1981"/>
      <c r="I215" s="1981"/>
      <c r="J215" s="1981"/>
      <c r="K215" s="1981"/>
      <c r="L215" s="1981"/>
      <c r="M215" s="1981"/>
      <c r="N215" s="1981"/>
      <c r="O215" s="1982"/>
    </row>
    <row r="217" spans="2:15" x14ac:dyDescent="0.3">
      <c r="B217" s="251" t="s">
        <v>571</v>
      </c>
    </row>
    <row r="218" spans="2:15" x14ac:dyDescent="0.3">
      <c r="B218" s="251" t="s">
        <v>636</v>
      </c>
    </row>
    <row r="219" spans="2:15" x14ac:dyDescent="0.3">
      <c r="B219" s="251" t="s">
        <v>572</v>
      </c>
    </row>
    <row r="220" spans="2:15" x14ac:dyDescent="0.3">
      <c r="B220" s="251" t="s">
        <v>638</v>
      </c>
    </row>
    <row r="222" spans="2:15" x14ac:dyDescent="0.3">
      <c r="B222" s="1967" t="s">
        <v>1028</v>
      </c>
      <c r="C222" s="1967"/>
      <c r="D222" s="300"/>
      <c r="E222" s="14"/>
      <c r="F222" s="14"/>
      <c r="G222" s="14"/>
      <c r="H222" s="14"/>
      <c r="I222" s="14"/>
      <c r="J222" s="14"/>
      <c r="K222" s="14"/>
      <c r="L222" s="14"/>
    </row>
    <row r="224" spans="2:15" ht="57" customHeight="1" x14ac:dyDescent="0.3">
      <c r="B224" s="1659" t="s">
        <v>340</v>
      </c>
      <c r="C224" s="1659" t="s">
        <v>557</v>
      </c>
      <c r="D224" s="1659" t="s">
        <v>568</v>
      </c>
      <c r="E224" s="293" t="s">
        <v>637</v>
      </c>
      <c r="F224" s="1654" t="s">
        <v>558</v>
      </c>
      <c r="G224" s="1655"/>
      <c r="H224" s="1655"/>
      <c r="I224" s="1655"/>
      <c r="J224" s="1656"/>
      <c r="K224" s="1654" t="s">
        <v>562</v>
      </c>
      <c r="L224" s="1655"/>
      <c r="M224" s="1656"/>
      <c r="N224" s="1659" t="s">
        <v>566</v>
      </c>
      <c r="O224" s="1659" t="s">
        <v>567</v>
      </c>
    </row>
    <row r="225" spans="2:15" ht="28" x14ac:dyDescent="0.3">
      <c r="B225" s="1702"/>
      <c r="C225" s="1702"/>
      <c r="D225" s="1702"/>
      <c r="E225" s="292" t="s">
        <v>639</v>
      </c>
      <c r="F225" s="290" t="s">
        <v>564</v>
      </c>
      <c r="G225" s="290" t="s">
        <v>559</v>
      </c>
      <c r="H225" s="290" t="s">
        <v>641</v>
      </c>
      <c r="I225" s="292" t="s">
        <v>560</v>
      </c>
      <c r="J225" s="292" t="s">
        <v>561</v>
      </c>
      <c r="K225" s="292" t="s">
        <v>563</v>
      </c>
      <c r="L225" s="292" t="s">
        <v>565</v>
      </c>
      <c r="M225" s="292" t="s">
        <v>640</v>
      </c>
      <c r="N225" s="1702"/>
      <c r="O225" s="1702"/>
    </row>
    <row r="226" spans="2:15" x14ac:dyDescent="0.3">
      <c r="B226" s="1968">
        <f>B225+1</f>
        <v>1</v>
      </c>
      <c r="C226" s="1971"/>
      <c r="D226" s="125" t="s">
        <v>279</v>
      </c>
      <c r="E226" s="1974" t="s">
        <v>770</v>
      </c>
      <c r="F226" s="1975"/>
      <c r="G226" s="1975"/>
      <c r="H226" s="1975"/>
      <c r="I226" s="1975"/>
      <c r="J226" s="1975"/>
      <c r="K226" s="1975"/>
      <c r="L226" s="1975"/>
      <c r="M226" s="1975"/>
      <c r="N226" s="1975"/>
      <c r="O226" s="1976"/>
    </row>
    <row r="227" spans="2:15" x14ac:dyDescent="0.3">
      <c r="B227" s="1969"/>
      <c r="C227" s="1972"/>
      <c r="D227" s="125" t="s">
        <v>280</v>
      </c>
      <c r="E227" s="1977"/>
      <c r="F227" s="1978"/>
      <c r="G227" s="1978"/>
      <c r="H227" s="1978"/>
      <c r="I227" s="1978"/>
      <c r="J227" s="1978"/>
      <c r="K227" s="1978"/>
      <c r="L227" s="1978"/>
      <c r="M227" s="1978"/>
      <c r="N227" s="1978"/>
      <c r="O227" s="1979"/>
    </row>
    <row r="228" spans="2:15" x14ac:dyDescent="0.3">
      <c r="B228" s="1969"/>
      <c r="C228" s="1972"/>
      <c r="D228" s="125" t="s">
        <v>281</v>
      </c>
      <c r="E228" s="1977"/>
      <c r="F228" s="1978"/>
      <c r="G228" s="1978"/>
      <c r="H228" s="1978"/>
      <c r="I228" s="1978"/>
      <c r="J228" s="1978"/>
      <c r="K228" s="1978"/>
      <c r="L228" s="1978"/>
      <c r="M228" s="1978"/>
      <c r="N228" s="1978"/>
      <c r="O228" s="1979"/>
    </row>
    <row r="229" spans="2:15" x14ac:dyDescent="0.3">
      <c r="B229" s="1969"/>
      <c r="C229" s="1972"/>
      <c r="D229" s="125" t="s">
        <v>569</v>
      </c>
      <c r="E229" s="1977"/>
      <c r="F229" s="1978"/>
      <c r="G229" s="1978"/>
      <c r="H229" s="1978"/>
      <c r="I229" s="1978"/>
      <c r="J229" s="1978"/>
      <c r="K229" s="1978"/>
      <c r="L229" s="1978"/>
      <c r="M229" s="1978"/>
      <c r="N229" s="1978"/>
      <c r="O229" s="1979"/>
    </row>
    <row r="230" spans="2:15" x14ac:dyDescent="0.3">
      <c r="B230" s="1969"/>
      <c r="C230" s="1972"/>
      <c r="D230" s="125" t="s">
        <v>283</v>
      </c>
      <c r="E230" s="1977"/>
      <c r="F230" s="1978"/>
      <c r="G230" s="1978"/>
      <c r="H230" s="1978"/>
      <c r="I230" s="1978"/>
      <c r="J230" s="1978"/>
      <c r="K230" s="1978"/>
      <c r="L230" s="1978"/>
      <c r="M230" s="1978"/>
      <c r="N230" s="1978"/>
      <c r="O230" s="1979"/>
    </row>
    <row r="231" spans="2:15" x14ac:dyDescent="0.3">
      <c r="B231" s="1969"/>
      <c r="C231" s="1972"/>
      <c r="D231" s="125" t="s">
        <v>284</v>
      </c>
      <c r="E231" s="1977"/>
      <c r="F231" s="1978"/>
      <c r="G231" s="1978"/>
      <c r="H231" s="1978"/>
      <c r="I231" s="1978"/>
      <c r="J231" s="1978"/>
      <c r="K231" s="1978"/>
      <c r="L231" s="1978"/>
      <c r="M231" s="1978"/>
      <c r="N231" s="1978"/>
      <c r="O231" s="1979"/>
    </row>
    <row r="232" spans="2:15" x14ac:dyDescent="0.3">
      <c r="B232" s="1969"/>
      <c r="C232" s="1972"/>
      <c r="D232" s="125" t="s">
        <v>285</v>
      </c>
      <c r="E232" s="1977"/>
      <c r="F232" s="1978"/>
      <c r="G232" s="1978"/>
      <c r="H232" s="1978"/>
      <c r="I232" s="1978"/>
      <c r="J232" s="1978"/>
      <c r="K232" s="1978"/>
      <c r="L232" s="1978"/>
      <c r="M232" s="1978"/>
      <c r="N232" s="1978"/>
      <c r="O232" s="1979"/>
    </row>
    <row r="233" spans="2:15" x14ac:dyDescent="0.3">
      <c r="B233" s="1969"/>
      <c r="C233" s="1972"/>
      <c r="D233" s="125" t="s">
        <v>570</v>
      </c>
      <c r="E233" s="1977"/>
      <c r="F233" s="1978"/>
      <c r="G233" s="1978"/>
      <c r="H233" s="1978"/>
      <c r="I233" s="1978"/>
      <c r="J233" s="1978"/>
      <c r="K233" s="1978"/>
      <c r="L233" s="1978"/>
      <c r="M233" s="1978"/>
      <c r="N233" s="1978"/>
      <c r="O233" s="1979"/>
    </row>
    <row r="234" spans="2:15" x14ac:dyDescent="0.3">
      <c r="B234" s="1969"/>
      <c r="C234" s="1972"/>
      <c r="D234" s="125" t="s">
        <v>287</v>
      </c>
      <c r="E234" s="1977"/>
      <c r="F234" s="1978"/>
      <c r="G234" s="1978"/>
      <c r="H234" s="1978"/>
      <c r="I234" s="1978"/>
      <c r="J234" s="1978"/>
      <c r="K234" s="1978"/>
      <c r="L234" s="1978"/>
      <c r="M234" s="1978"/>
      <c r="N234" s="1978"/>
      <c r="O234" s="1979"/>
    </row>
    <row r="235" spans="2:15" x14ac:dyDescent="0.3">
      <c r="B235" s="1969"/>
      <c r="C235" s="1972"/>
      <c r="D235" s="125" t="s">
        <v>288</v>
      </c>
      <c r="E235" s="1977"/>
      <c r="F235" s="1978"/>
      <c r="G235" s="1978"/>
      <c r="H235" s="1978"/>
      <c r="I235" s="1978"/>
      <c r="J235" s="1978"/>
      <c r="K235" s="1978"/>
      <c r="L235" s="1978"/>
      <c r="M235" s="1978"/>
      <c r="N235" s="1978"/>
      <c r="O235" s="1979"/>
    </row>
    <row r="236" spans="2:15" x14ac:dyDescent="0.3">
      <c r="B236" s="1969"/>
      <c r="C236" s="1972"/>
      <c r="D236" s="125" t="s">
        <v>289</v>
      </c>
      <c r="E236" s="1977"/>
      <c r="F236" s="1978"/>
      <c r="G236" s="1978"/>
      <c r="H236" s="1978"/>
      <c r="I236" s="1978"/>
      <c r="J236" s="1978"/>
      <c r="K236" s="1978"/>
      <c r="L236" s="1978"/>
      <c r="M236" s="1978"/>
      <c r="N236" s="1978"/>
      <c r="O236" s="1979"/>
    </row>
    <row r="237" spans="2:15" x14ac:dyDescent="0.3">
      <c r="B237" s="1970"/>
      <c r="C237" s="1973"/>
      <c r="D237" s="125" t="s">
        <v>290</v>
      </c>
      <c r="E237" s="1977"/>
      <c r="F237" s="1978"/>
      <c r="G237" s="1978"/>
      <c r="H237" s="1978"/>
      <c r="I237" s="1978"/>
      <c r="J237" s="1978"/>
      <c r="K237" s="1978"/>
      <c r="L237" s="1978"/>
      <c r="M237" s="1978"/>
      <c r="N237" s="1978"/>
      <c r="O237" s="1979"/>
    </row>
    <row r="238" spans="2:15" x14ac:dyDescent="0.3">
      <c r="B238" s="1968">
        <f>B226+1</f>
        <v>2</v>
      </c>
      <c r="C238" s="1971"/>
      <c r="D238" s="125" t="s">
        <v>279</v>
      </c>
      <c r="E238" s="1977"/>
      <c r="F238" s="1978"/>
      <c r="G238" s="1978"/>
      <c r="H238" s="1978"/>
      <c r="I238" s="1978"/>
      <c r="J238" s="1978"/>
      <c r="K238" s="1978"/>
      <c r="L238" s="1978"/>
      <c r="M238" s="1978"/>
      <c r="N238" s="1978"/>
      <c r="O238" s="1979"/>
    </row>
    <row r="239" spans="2:15" x14ac:dyDescent="0.3">
      <c r="B239" s="1969"/>
      <c r="C239" s="1972"/>
      <c r="D239" s="125" t="s">
        <v>280</v>
      </c>
      <c r="E239" s="1977"/>
      <c r="F239" s="1978"/>
      <c r="G239" s="1978"/>
      <c r="H239" s="1978"/>
      <c r="I239" s="1978"/>
      <c r="J239" s="1978"/>
      <c r="K239" s="1978"/>
      <c r="L239" s="1978"/>
      <c r="M239" s="1978"/>
      <c r="N239" s="1978"/>
      <c r="O239" s="1979"/>
    </row>
    <row r="240" spans="2:15" x14ac:dyDescent="0.3">
      <c r="B240" s="1969"/>
      <c r="C240" s="1972"/>
      <c r="D240" s="125" t="s">
        <v>281</v>
      </c>
      <c r="E240" s="1977"/>
      <c r="F240" s="1978"/>
      <c r="G240" s="1978"/>
      <c r="H240" s="1978"/>
      <c r="I240" s="1978"/>
      <c r="J240" s="1978"/>
      <c r="K240" s="1978"/>
      <c r="L240" s="1978"/>
      <c r="M240" s="1978"/>
      <c r="N240" s="1978"/>
      <c r="O240" s="1979"/>
    </row>
    <row r="241" spans="2:15" x14ac:dyDescent="0.3">
      <c r="B241" s="1969"/>
      <c r="C241" s="1972"/>
      <c r="D241" s="125" t="s">
        <v>569</v>
      </c>
      <c r="E241" s="1977"/>
      <c r="F241" s="1978"/>
      <c r="G241" s="1978"/>
      <c r="H241" s="1978"/>
      <c r="I241" s="1978"/>
      <c r="J241" s="1978"/>
      <c r="K241" s="1978"/>
      <c r="L241" s="1978"/>
      <c r="M241" s="1978"/>
      <c r="N241" s="1978"/>
      <c r="O241" s="1979"/>
    </row>
    <row r="242" spans="2:15" x14ac:dyDescent="0.3">
      <c r="B242" s="1969"/>
      <c r="C242" s="1972"/>
      <c r="D242" s="125" t="s">
        <v>283</v>
      </c>
      <c r="E242" s="1977"/>
      <c r="F242" s="1978"/>
      <c r="G242" s="1978"/>
      <c r="H242" s="1978"/>
      <c r="I242" s="1978"/>
      <c r="J242" s="1978"/>
      <c r="K242" s="1978"/>
      <c r="L242" s="1978"/>
      <c r="M242" s="1978"/>
      <c r="N242" s="1978"/>
      <c r="O242" s="1979"/>
    </row>
    <row r="243" spans="2:15" x14ac:dyDescent="0.3">
      <c r="B243" s="1969"/>
      <c r="C243" s="1972"/>
      <c r="D243" s="125" t="s">
        <v>284</v>
      </c>
      <c r="E243" s="1977"/>
      <c r="F243" s="1978"/>
      <c r="G243" s="1978"/>
      <c r="H243" s="1978"/>
      <c r="I243" s="1978"/>
      <c r="J243" s="1978"/>
      <c r="K243" s="1978"/>
      <c r="L243" s="1978"/>
      <c r="M243" s="1978"/>
      <c r="N243" s="1978"/>
      <c r="O243" s="1979"/>
    </row>
    <row r="244" spans="2:15" x14ac:dyDescent="0.3">
      <c r="B244" s="1969"/>
      <c r="C244" s="1972"/>
      <c r="D244" s="125" t="s">
        <v>285</v>
      </c>
      <c r="E244" s="1977"/>
      <c r="F244" s="1978"/>
      <c r="G244" s="1978"/>
      <c r="H244" s="1978"/>
      <c r="I244" s="1978"/>
      <c r="J244" s="1978"/>
      <c r="K244" s="1978"/>
      <c r="L244" s="1978"/>
      <c r="M244" s="1978"/>
      <c r="N244" s="1978"/>
      <c r="O244" s="1979"/>
    </row>
    <row r="245" spans="2:15" x14ac:dyDescent="0.3">
      <c r="B245" s="1969"/>
      <c r="C245" s="1972"/>
      <c r="D245" s="125" t="s">
        <v>570</v>
      </c>
      <c r="E245" s="1977"/>
      <c r="F245" s="1978"/>
      <c r="G245" s="1978"/>
      <c r="H245" s="1978"/>
      <c r="I245" s="1978"/>
      <c r="J245" s="1978"/>
      <c r="K245" s="1978"/>
      <c r="L245" s="1978"/>
      <c r="M245" s="1978"/>
      <c r="N245" s="1978"/>
      <c r="O245" s="1979"/>
    </row>
    <row r="246" spans="2:15" x14ac:dyDescent="0.3">
      <c r="B246" s="1969"/>
      <c r="C246" s="1972"/>
      <c r="D246" s="125" t="s">
        <v>287</v>
      </c>
      <c r="E246" s="1977"/>
      <c r="F246" s="1978"/>
      <c r="G246" s="1978"/>
      <c r="H246" s="1978"/>
      <c r="I246" s="1978"/>
      <c r="J246" s="1978"/>
      <c r="K246" s="1978"/>
      <c r="L246" s="1978"/>
      <c r="M246" s="1978"/>
      <c r="N246" s="1978"/>
      <c r="O246" s="1979"/>
    </row>
    <row r="247" spans="2:15" x14ac:dyDescent="0.3">
      <c r="B247" s="1969"/>
      <c r="C247" s="1972"/>
      <c r="D247" s="125" t="s">
        <v>288</v>
      </c>
      <c r="E247" s="1977"/>
      <c r="F247" s="1978"/>
      <c r="G247" s="1978"/>
      <c r="H247" s="1978"/>
      <c r="I247" s="1978"/>
      <c r="J247" s="1978"/>
      <c r="K247" s="1978"/>
      <c r="L247" s="1978"/>
      <c r="M247" s="1978"/>
      <c r="N247" s="1978"/>
      <c r="O247" s="1979"/>
    </row>
    <row r="248" spans="2:15" x14ac:dyDescent="0.3">
      <c r="B248" s="1969"/>
      <c r="C248" s="1972"/>
      <c r="D248" s="125" t="s">
        <v>289</v>
      </c>
      <c r="E248" s="1977"/>
      <c r="F248" s="1978"/>
      <c r="G248" s="1978"/>
      <c r="H248" s="1978"/>
      <c r="I248" s="1978"/>
      <c r="J248" s="1978"/>
      <c r="K248" s="1978"/>
      <c r="L248" s="1978"/>
      <c r="M248" s="1978"/>
      <c r="N248" s="1978"/>
      <c r="O248" s="1979"/>
    </row>
    <row r="249" spans="2:15" x14ac:dyDescent="0.3">
      <c r="B249" s="1970"/>
      <c r="C249" s="1973"/>
      <c r="D249" s="125" t="s">
        <v>290</v>
      </c>
      <c r="E249" s="1977"/>
      <c r="F249" s="1978"/>
      <c r="G249" s="1978"/>
      <c r="H249" s="1978"/>
      <c r="I249" s="1978"/>
      <c r="J249" s="1978"/>
      <c r="K249" s="1978"/>
      <c r="L249" s="1978"/>
      <c r="M249" s="1978"/>
      <c r="N249" s="1978"/>
      <c r="O249" s="1979"/>
    </row>
    <row r="250" spans="2:15" x14ac:dyDescent="0.3">
      <c r="B250" s="99">
        <v>3</v>
      </c>
      <c r="C250" s="124"/>
      <c r="D250" s="124"/>
      <c r="E250" s="1977"/>
      <c r="F250" s="1978"/>
      <c r="G250" s="1978"/>
      <c r="H250" s="1978"/>
      <c r="I250" s="1978"/>
      <c r="J250" s="1978"/>
      <c r="K250" s="1978"/>
      <c r="L250" s="1978"/>
      <c r="M250" s="1978"/>
      <c r="N250" s="1978"/>
      <c r="O250" s="1979"/>
    </row>
    <row r="251" spans="2:15" x14ac:dyDescent="0.3">
      <c r="B251" s="99" t="s">
        <v>475</v>
      </c>
      <c r="C251" s="126"/>
      <c r="D251" s="126"/>
      <c r="E251" s="1980"/>
      <c r="F251" s="1981"/>
      <c r="G251" s="1981"/>
      <c r="H251" s="1981"/>
      <c r="I251" s="1981"/>
      <c r="J251" s="1981"/>
      <c r="K251" s="1981"/>
      <c r="L251" s="1981"/>
      <c r="M251" s="1981"/>
      <c r="N251" s="1981"/>
      <c r="O251" s="1982"/>
    </row>
    <row r="253" spans="2:15" x14ac:dyDescent="0.3">
      <c r="B253" s="251" t="s">
        <v>571</v>
      </c>
    </row>
    <row r="254" spans="2:15" x14ac:dyDescent="0.3">
      <c r="B254" s="251" t="s">
        <v>636</v>
      </c>
    </row>
    <row r="255" spans="2:15" x14ac:dyDescent="0.3">
      <c r="B255" s="251" t="s">
        <v>572</v>
      </c>
    </row>
    <row r="256" spans="2:15" x14ac:dyDescent="0.3">
      <c r="B256" s="251" t="s">
        <v>638</v>
      </c>
    </row>
    <row r="258" spans="2:15" x14ac:dyDescent="0.3">
      <c r="B258" s="1967" t="s">
        <v>1029</v>
      </c>
      <c r="C258" s="1967"/>
      <c r="D258" s="252"/>
      <c r="E258" s="14"/>
      <c r="F258" s="14"/>
      <c r="G258" s="14"/>
      <c r="H258" s="14"/>
      <c r="I258" s="14"/>
      <c r="J258" s="14"/>
      <c r="K258" s="14"/>
      <c r="L258" s="14"/>
    </row>
    <row r="260" spans="2:15" ht="56" x14ac:dyDescent="0.3">
      <c r="B260" s="1659" t="s">
        <v>340</v>
      </c>
      <c r="C260" s="1659" t="s">
        <v>557</v>
      </c>
      <c r="D260" s="1659" t="s">
        <v>568</v>
      </c>
      <c r="E260" s="255" t="s">
        <v>637</v>
      </c>
      <c r="F260" s="1652" t="s">
        <v>558</v>
      </c>
      <c r="G260" s="1652"/>
      <c r="H260" s="1652"/>
      <c r="I260" s="1652"/>
      <c r="J260" s="1652"/>
      <c r="K260" s="1652" t="s">
        <v>562</v>
      </c>
      <c r="L260" s="1652"/>
      <c r="M260" s="1652"/>
      <c r="N260" s="1652" t="s">
        <v>566</v>
      </c>
      <c r="O260" s="1652" t="s">
        <v>567</v>
      </c>
    </row>
    <row r="261" spans="2:15" ht="28" x14ac:dyDescent="0.3">
      <c r="B261" s="1702"/>
      <c r="C261" s="1702"/>
      <c r="D261" s="1702"/>
      <c r="E261" s="254" t="s">
        <v>639</v>
      </c>
      <c r="F261" s="253" t="s">
        <v>564</v>
      </c>
      <c r="G261" s="253" t="s">
        <v>559</v>
      </c>
      <c r="H261" s="253" t="s">
        <v>641</v>
      </c>
      <c r="I261" s="254" t="s">
        <v>560</v>
      </c>
      <c r="J261" s="254" t="s">
        <v>561</v>
      </c>
      <c r="K261" s="254" t="s">
        <v>563</v>
      </c>
      <c r="L261" s="254" t="s">
        <v>565</v>
      </c>
      <c r="M261" s="254" t="s">
        <v>640</v>
      </c>
      <c r="N261" s="1652"/>
      <c r="O261" s="1652"/>
    </row>
    <row r="262" spans="2:15" x14ac:dyDescent="0.3">
      <c r="B262" s="1968">
        <f>B261+1</f>
        <v>1</v>
      </c>
      <c r="C262" s="1971"/>
      <c r="D262" s="125" t="s">
        <v>279</v>
      </c>
      <c r="E262" s="1974" t="s">
        <v>770</v>
      </c>
      <c r="F262" s="1975"/>
      <c r="G262" s="1975"/>
      <c r="H262" s="1975"/>
      <c r="I262" s="1975"/>
      <c r="J262" s="1975"/>
      <c r="K262" s="1975"/>
      <c r="L262" s="1975"/>
      <c r="M262" s="1975"/>
      <c r="N262" s="1975"/>
      <c r="O262" s="1976"/>
    </row>
    <row r="263" spans="2:15" x14ac:dyDescent="0.3">
      <c r="B263" s="1969"/>
      <c r="C263" s="1972"/>
      <c r="D263" s="125" t="s">
        <v>280</v>
      </c>
      <c r="E263" s="1977"/>
      <c r="F263" s="1978"/>
      <c r="G263" s="1978"/>
      <c r="H263" s="1978"/>
      <c r="I263" s="1978"/>
      <c r="J263" s="1978"/>
      <c r="K263" s="1978"/>
      <c r="L263" s="1978"/>
      <c r="M263" s="1978"/>
      <c r="N263" s="1978"/>
      <c r="O263" s="1979"/>
    </row>
    <row r="264" spans="2:15" x14ac:dyDescent="0.3">
      <c r="B264" s="1969"/>
      <c r="C264" s="1972"/>
      <c r="D264" s="125" t="s">
        <v>281</v>
      </c>
      <c r="E264" s="1977"/>
      <c r="F264" s="1978"/>
      <c r="G264" s="1978"/>
      <c r="H264" s="1978"/>
      <c r="I264" s="1978"/>
      <c r="J264" s="1978"/>
      <c r="K264" s="1978"/>
      <c r="L264" s="1978"/>
      <c r="M264" s="1978"/>
      <c r="N264" s="1978"/>
      <c r="O264" s="1979"/>
    </row>
    <row r="265" spans="2:15" x14ac:dyDescent="0.3">
      <c r="B265" s="1969"/>
      <c r="C265" s="1972"/>
      <c r="D265" s="125" t="s">
        <v>569</v>
      </c>
      <c r="E265" s="1977"/>
      <c r="F265" s="1978"/>
      <c r="G265" s="1978"/>
      <c r="H265" s="1978"/>
      <c r="I265" s="1978"/>
      <c r="J265" s="1978"/>
      <c r="K265" s="1978"/>
      <c r="L265" s="1978"/>
      <c r="M265" s="1978"/>
      <c r="N265" s="1978"/>
      <c r="O265" s="1979"/>
    </row>
    <row r="266" spans="2:15" x14ac:dyDescent="0.3">
      <c r="B266" s="1969"/>
      <c r="C266" s="1972"/>
      <c r="D266" s="125" t="s">
        <v>283</v>
      </c>
      <c r="E266" s="1977"/>
      <c r="F266" s="1978"/>
      <c r="G266" s="1978"/>
      <c r="H266" s="1978"/>
      <c r="I266" s="1978"/>
      <c r="J266" s="1978"/>
      <c r="K266" s="1978"/>
      <c r="L266" s="1978"/>
      <c r="M266" s="1978"/>
      <c r="N266" s="1978"/>
      <c r="O266" s="1979"/>
    </row>
    <row r="267" spans="2:15" x14ac:dyDescent="0.3">
      <c r="B267" s="1969"/>
      <c r="C267" s="1972"/>
      <c r="D267" s="125" t="s">
        <v>284</v>
      </c>
      <c r="E267" s="1977"/>
      <c r="F267" s="1978"/>
      <c r="G267" s="1978"/>
      <c r="H267" s="1978"/>
      <c r="I267" s="1978"/>
      <c r="J267" s="1978"/>
      <c r="K267" s="1978"/>
      <c r="L267" s="1978"/>
      <c r="M267" s="1978"/>
      <c r="N267" s="1978"/>
      <c r="O267" s="1979"/>
    </row>
    <row r="268" spans="2:15" x14ac:dyDescent="0.3">
      <c r="B268" s="1969"/>
      <c r="C268" s="1972"/>
      <c r="D268" s="125" t="s">
        <v>285</v>
      </c>
      <c r="E268" s="1977"/>
      <c r="F268" s="1978"/>
      <c r="G268" s="1978"/>
      <c r="H268" s="1978"/>
      <c r="I268" s="1978"/>
      <c r="J268" s="1978"/>
      <c r="K268" s="1978"/>
      <c r="L268" s="1978"/>
      <c r="M268" s="1978"/>
      <c r="N268" s="1978"/>
      <c r="O268" s="1979"/>
    </row>
    <row r="269" spans="2:15" x14ac:dyDescent="0.3">
      <c r="B269" s="1969"/>
      <c r="C269" s="1972"/>
      <c r="D269" s="125" t="s">
        <v>570</v>
      </c>
      <c r="E269" s="1977"/>
      <c r="F269" s="1978"/>
      <c r="G269" s="1978"/>
      <c r="H269" s="1978"/>
      <c r="I269" s="1978"/>
      <c r="J269" s="1978"/>
      <c r="K269" s="1978"/>
      <c r="L269" s="1978"/>
      <c r="M269" s="1978"/>
      <c r="N269" s="1978"/>
      <c r="O269" s="1979"/>
    </row>
    <row r="270" spans="2:15" x14ac:dyDescent="0.3">
      <c r="B270" s="1969"/>
      <c r="C270" s="1972"/>
      <c r="D270" s="125" t="s">
        <v>287</v>
      </c>
      <c r="E270" s="1977"/>
      <c r="F270" s="1978"/>
      <c r="G270" s="1978"/>
      <c r="H270" s="1978"/>
      <c r="I270" s="1978"/>
      <c r="J270" s="1978"/>
      <c r="K270" s="1978"/>
      <c r="L270" s="1978"/>
      <c r="M270" s="1978"/>
      <c r="N270" s="1978"/>
      <c r="O270" s="1979"/>
    </row>
    <row r="271" spans="2:15" x14ac:dyDescent="0.3">
      <c r="B271" s="1969"/>
      <c r="C271" s="1972"/>
      <c r="D271" s="125" t="s">
        <v>288</v>
      </c>
      <c r="E271" s="1977"/>
      <c r="F271" s="1978"/>
      <c r="G271" s="1978"/>
      <c r="H271" s="1978"/>
      <c r="I271" s="1978"/>
      <c r="J271" s="1978"/>
      <c r="K271" s="1978"/>
      <c r="L271" s="1978"/>
      <c r="M271" s="1978"/>
      <c r="N271" s="1978"/>
      <c r="O271" s="1979"/>
    </row>
    <row r="272" spans="2:15" x14ac:dyDescent="0.3">
      <c r="B272" s="1969"/>
      <c r="C272" s="1972"/>
      <c r="D272" s="125" t="s">
        <v>289</v>
      </c>
      <c r="E272" s="1977"/>
      <c r="F272" s="1978"/>
      <c r="G272" s="1978"/>
      <c r="H272" s="1978"/>
      <c r="I272" s="1978"/>
      <c r="J272" s="1978"/>
      <c r="K272" s="1978"/>
      <c r="L272" s="1978"/>
      <c r="M272" s="1978"/>
      <c r="N272" s="1978"/>
      <c r="O272" s="1979"/>
    </row>
    <row r="273" spans="2:15" x14ac:dyDescent="0.3">
      <c r="B273" s="1970"/>
      <c r="C273" s="1973"/>
      <c r="D273" s="125" t="s">
        <v>290</v>
      </c>
      <c r="E273" s="1977"/>
      <c r="F273" s="1978"/>
      <c r="G273" s="1978"/>
      <c r="H273" s="1978"/>
      <c r="I273" s="1978"/>
      <c r="J273" s="1978"/>
      <c r="K273" s="1978"/>
      <c r="L273" s="1978"/>
      <c r="M273" s="1978"/>
      <c r="N273" s="1978"/>
      <c r="O273" s="1979"/>
    </row>
    <row r="274" spans="2:15" x14ac:dyDescent="0.3">
      <c r="B274" s="1968">
        <f>B262+1</f>
        <v>2</v>
      </c>
      <c r="C274" s="1971"/>
      <c r="D274" s="125" t="s">
        <v>279</v>
      </c>
      <c r="E274" s="1977"/>
      <c r="F274" s="1978"/>
      <c r="G274" s="1978"/>
      <c r="H274" s="1978"/>
      <c r="I274" s="1978"/>
      <c r="J274" s="1978"/>
      <c r="K274" s="1978"/>
      <c r="L274" s="1978"/>
      <c r="M274" s="1978"/>
      <c r="N274" s="1978"/>
      <c r="O274" s="1979"/>
    </row>
    <row r="275" spans="2:15" x14ac:dyDescent="0.3">
      <c r="B275" s="1969"/>
      <c r="C275" s="1972"/>
      <c r="D275" s="125" t="s">
        <v>280</v>
      </c>
      <c r="E275" s="1977"/>
      <c r="F275" s="1978"/>
      <c r="G275" s="1978"/>
      <c r="H275" s="1978"/>
      <c r="I275" s="1978"/>
      <c r="J275" s="1978"/>
      <c r="K275" s="1978"/>
      <c r="L275" s="1978"/>
      <c r="M275" s="1978"/>
      <c r="N275" s="1978"/>
      <c r="O275" s="1979"/>
    </row>
    <row r="276" spans="2:15" x14ac:dyDescent="0.3">
      <c r="B276" s="1969"/>
      <c r="C276" s="1972"/>
      <c r="D276" s="125" t="s">
        <v>281</v>
      </c>
      <c r="E276" s="1977"/>
      <c r="F276" s="1978"/>
      <c r="G276" s="1978"/>
      <c r="H276" s="1978"/>
      <c r="I276" s="1978"/>
      <c r="J276" s="1978"/>
      <c r="K276" s="1978"/>
      <c r="L276" s="1978"/>
      <c r="M276" s="1978"/>
      <c r="N276" s="1978"/>
      <c r="O276" s="1979"/>
    </row>
    <row r="277" spans="2:15" x14ac:dyDescent="0.3">
      <c r="B277" s="1969"/>
      <c r="C277" s="1972"/>
      <c r="D277" s="125" t="s">
        <v>569</v>
      </c>
      <c r="E277" s="1977"/>
      <c r="F277" s="1978"/>
      <c r="G277" s="1978"/>
      <c r="H277" s="1978"/>
      <c r="I277" s="1978"/>
      <c r="J277" s="1978"/>
      <c r="K277" s="1978"/>
      <c r="L277" s="1978"/>
      <c r="M277" s="1978"/>
      <c r="N277" s="1978"/>
      <c r="O277" s="1979"/>
    </row>
    <row r="278" spans="2:15" x14ac:dyDescent="0.3">
      <c r="B278" s="1969"/>
      <c r="C278" s="1972"/>
      <c r="D278" s="125" t="s">
        <v>283</v>
      </c>
      <c r="E278" s="1977"/>
      <c r="F278" s="1978"/>
      <c r="G278" s="1978"/>
      <c r="H278" s="1978"/>
      <c r="I278" s="1978"/>
      <c r="J278" s="1978"/>
      <c r="K278" s="1978"/>
      <c r="L278" s="1978"/>
      <c r="M278" s="1978"/>
      <c r="N278" s="1978"/>
      <c r="O278" s="1979"/>
    </row>
    <row r="279" spans="2:15" x14ac:dyDescent="0.3">
      <c r="B279" s="1969"/>
      <c r="C279" s="1972"/>
      <c r="D279" s="125" t="s">
        <v>284</v>
      </c>
      <c r="E279" s="1977"/>
      <c r="F279" s="1978"/>
      <c r="G279" s="1978"/>
      <c r="H279" s="1978"/>
      <c r="I279" s="1978"/>
      <c r="J279" s="1978"/>
      <c r="K279" s="1978"/>
      <c r="L279" s="1978"/>
      <c r="M279" s="1978"/>
      <c r="N279" s="1978"/>
      <c r="O279" s="1979"/>
    </row>
    <row r="280" spans="2:15" x14ac:dyDescent="0.3">
      <c r="B280" s="1969"/>
      <c r="C280" s="1972"/>
      <c r="D280" s="125" t="s">
        <v>285</v>
      </c>
      <c r="E280" s="1977"/>
      <c r="F280" s="1978"/>
      <c r="G280" s="1978"/>
      <c r="H280" s="1978"/>
      <c r="I280" s="1978"/>
      <c r="J280" s="1978"/>
      <c r="K280" s="1978"/>
      <c r="L280" s="1978"/>
      <c r="M280" s="1978"/>
      <c r="N280" s="1978"/>
      <c r="O280" s="1979"/>
    </row>
    <row r="281" spans="2:15" x14ac:dyDescent="0.3">
      <c r="B281" s="1969"/>
      <c r="C281" s="1972"/>
      <c r="D281" s="125" t="s">
        <v>570</v>
      </c>
      <c r="E281" s="1977"/>
      <c r="F281" s="1978"/>
      <c r="G281" s="1978"/>
      <c r="H281" s="1978"/>
      <c r="I281" s="1978"/>
      <c r="J281" s="1978"/>
      <c r="K281" s="1978"/>
      <c r="L281" s="1978"/>
      <c r="M281" s="1978"/>
      <c r="N281" s="1978"/>
      <c r="O281" s="1979"/>
    </row>
    <row r="282" spans="2:15" x14ac:dyDescent="0.3">
      <c r="B282" s="1969"/>
      <c r="C282" s="1972"/>
      <c r="D282" s="125" t="s">
        <v>287</v>
      </c>
      <c r="E282" s="1977"/>
      <c r="F282" s="1978"/>
      <c r="G282" s="1978"/>
      <c r="H282" s="1978"/>
      <c r="I282" s="1978"/>
      <c r="J282" s="1978"/>
      <c r="K282" s="1978"/>
      <c r="L282" s="1978"/>
      <c r="M282" s="1978"/>
      <c r="N282" s="1978"/>
      <c r="O282" s="1979"/>
    </row>
    <row r="283" spans="2:15" x14ac:dyDescent="0.3">
      <c r="B283" s="1969"/>
      <c r="C283" s="1972"/>
      <c r="D283" s="125" t="s">
        <v>288</v>
      </c>
      <c r="E283" s="1977"/>
      <c r="F283" s="1978"/>
      <c r="G283" s="1978"/>
      <c r="H283" s="1978"/>
      <c r="I283" s="1978"/>
      <c r="J283" s="1978"/>
      <c r="K283" s="1978"/>
      <c r="L283" s="1978"/>
      <c r="M283" s="1978"/>
      <c r="N283" s="1978"/>
      <c r="O283" s="1979"/>
    </row>
    <row r="284" spans="2:15" x14ac:dyDescent="0.3">
      <c r="B284" s="1969"/>
      <c r="C284" s="1972"/>
      <c r="D284" s="125" t="s">
        <v>289</v>
      </c>
      <c r="E284" s="1977"/>
      <c r="F284" s="1978"/>
      <c r="G284" s="1978"/>
      <c r="H284" s="1978"/>
      <c r="I284" s="1978"/>
      <c r="J284" s="1978"/>
      <c r="K284" s="1978"/>
      <c r="L284" s="1978"/>
      <c r="M284" s="1978"/>
      <c r="N284" s="1978"/>
      <c r="O284" s="1979"/>
    </row>
    <row r="285" spans="2:15" x14ac:dyDescent="0.3">
      <c r="B285" s="1970"/>
      <c r="C285" s="1973"/>
      <c r="D285" s="125" t="s">
        <v>290</v>
      </c>
      <c r="E285" s="1977"/>
      <c r="F285" s="1978"/>
      <c r="G285" s="1978"/>
      <c r="H285" s="1978"/>
      <c r="I285" s="1978"/>
      <c r="J285" s="1978"/>
      <c r="K285" s="1978"/>
      <c r="L285" s="1978"/>
      <c r="M285" s="1978"/>
      <c r="N285" s="1978"/>
      <c r="O285" s="1979"/>
    </row>
    <row r="286" spans="2:15" x14ac:dyDescent="0.3">
      <c r="B286" s="99">
        <v>3</v>
      </c>
      <c r="C286" s="124"/>
      <c r="D286" s="124"/>
      <c r="E286" s="1977"/>
      <c r="F286" s="1978"/>
      <c r="G286" s="1978"/>
      <c r="H286" s="1978"/>
      <c r="I286" s="1978"/>
      <c r="J286" s="1978"/>
      <c r="K286" s="1978"/>
      <c r="L286" s="1978"/>
      <c r="M286" s="1978"/>
      <c r="N286" s="1978"/>
      <c r="O286" s="1979"/>
    </row>
    <row r="287" spans="2:15" x14ac:dyDescent="0.3">
      <c r="B287" s="99" t="s">
        <v>475</v>
      </c>
      <c r="C287" s="126"/>
      <c r="D287" s="126"/>
      <c r="E287" s="1980"/>
      <c r="F287" s="1981"/>
      <c r="G287" s="1981"/>
      <c r="H287" s="1981"/>
      <c r="I287" s="1981"/>
      <c r="J287" s="1981"/>
      <c r="K287" s="1981"/>
      <c r="L287" s="1981"/>
      <c r="M287" s="1981"/>
      <c r="N287" s="1981"/>
      <c r="O287" s="1982"/>
    </row>
    <row r="289" spans="2:15" x14ac:dyDescent="0.3">
      <c r="B289" s="251" t="s">
        <v>571</v>
      </c>
    </row>
    <row r="290" spans="2:15" x14ac:dyDescent="0.3">
      <c r="B290" s="251" t="s">
        <v>636</v>
      </c>
    </row>
    <row r="291" spans="2:15" x14ac:dyDescent="0.3">
      <c r="B291" s="251" t="s">
        <v>572</v>
      </c>
    </row>
    <row r="292" spans="2:15" x14ac:dyDescent="0.3">
      <c r="B292" s="251" t="s">
        <v>638</v>
      </c>
    </row>
    <row r="295" spans="2:15" x14ac:dyDescent="0.3">
      <c r="B295" s="1967" t="s">
        <v>1030</v>
      </c>
      <c r="C295" s="1967"/>
      <c r="D295" s="743"/>
      <c r="E295" s="14"/>
      <c r="F295" s="14"/>
      <c r="G295" s="14"/>
      <c r="H295" s="14"/>
      <c r="I295" s="14"/>
      <c r="J295" s="14"/>
      <c r="K295" s="14"/>
      <c r="L295" s="14"/>
    </row>
    <row r="297" spans="2:15" ht="56" x14ac:dyDescent="0.3">
      <c r="B297" s="1659" t="s">
        <v>340</v>
      </c>
      <c r="C297" s="1659" t="s">
        <v>557</v>
      </c>
      <c r="D297" s="1659" t="s">
        <v>568</v>
      </c>
      <c r="E297" s="736" t="s">
        <v>637</v>
      </c>
      <c r="F297" s="1652" t="s">
        <v>558</v>
      </c>
      <c r="G297" s="1652"/>
      <c r="H297" s="1652"/>
      <c r="I297" s="1652"/>
      <c r="J297" s="1652"/>
      <c r="K297" s="1652" t="s">
        <v>562</v>
      </c>
      <c r="L297" s="1652"/>
      <c r="M297" s="1652"/>
      <c r="N297" s="1652" t="s">
        <v>566</v>
      </c>
      <c r="O297" s="1652" t="s">
        <v>567</v>
      </c>
    </row>
    <row r="298" spans="2:15" ht="28" x14ac:dyDescent="0.3">
      <c r="B298" s="1702"/>
      <c r="C298" s="1702"/>
      <c r="D298" s="1702"/>
      <c r="E298" s="737" t="s">
        <v>639</v>
      </c>
      <c r="F298" s="734" t="s">
        <v>564</v>
      </c>
      <c r="G298" s="734" t="s">
        <v>559</v>
      </c>
      <c r="H298" s="734" t="s">
        <v>641</v>
      </c>
      <c r="I298" s="737" t="s">
        <v>560</v>
      </c>
      <c r="J298" s="737" t="s">
        <v>561</v>
      </c>
      <c r="K298" s="737" t="s">
        <v>563</v>
      </c>
      <c r="L298" s="737" t="s">
        <v>565</v>
      </c>
      <c r="M298" s="737" t="s">
        <v>640</v>
      </c>
      <c r="N298" s="1652"/>
      <c r="O298" s="1652"/>
    </row>
    <row r="299" spans="2:15" x14ac:dyDescent="0.3">
      <c r="B299" s="1968">
        <f>B298+1</f>
        <v>1</v>
      </c>
      <c r="C299" s="1971"/>
      <c r="D299" s="125" t="s">
        <v>279</v>
      </c>
      <c r="E299" s="1974" t="s">
        <v>770</v>
      </c>
      <c r="F299" s="1975"/>
      <c r="G299" s="1975"/>
      <c r="H299" s="1975"/>
      <c r="I299" s="1975"/>
      <c r="J299" s="1975"/>
      <c r="K299" s="1975"/>
      <c r="L299" s="1975"/>
      <c r="M299" s="1975"/>
      <c r="N299" s="1975"/>
      <c r="O299" s="1976"/>
    </row>
    <row r="300" spans="2:15" x14ac:dyDescent="0.3">
      <c r="B300" s="1969"/>
      <c r="C300" s="1972"/>
      <c r="D300" s="125" t="s">
        <v>280</v>
      </c>
      <c r="E300" s="1977"/>
      <c r="F300" s="1978"/>
      <c r="G300" s="1978"/>
      <c r="H300" s="1978"/>
      <c r="I300" s="1978"/>
      <c r="J300" s="1978"/>
      <c r="K300" s="1978"/>
      <c r="L300" s="1978"/>
      <c r="M300" s="1978"/>
      <c r="N300" s="1978"/>
      <c r="O300" s="1979"/>
    </row>
    <row r="301" spans="2:15" x14ac:dyDescent="0.3">
      <c r="B301" s="1969"/>
      <c r="C301" s="1972"/>
      <c r="D301" s="125" t="s">
        <v>281</v>
      </c>
      <c r="E301" s="1977"/>
      <c r="F301" s="1978"/>
      <c r="G301" s="1978"/>
      <c r="H301" s="1978"/>
      <c r="I301" s="1978"/>
      <c r="J301" s="1978"/>
      <c r="K301" s="1978"/>
      <c r="L301" s="1978"/>
      <c r="M301" s="1978"/>
      <c r="N301" s="1978"/>
      <c r="O301" s="1979"/>
    </row>
    <row r="302" spans="2:15" x14ac:dyDescent="0.3">
      <c r="B302" s="1969"/>
      <c r="C302" s="1972"/>
      <c r="D302" s="125" t="s">
        <v>569</v>
      </c>
      <c r="E302" s="1977"/>
      <c r="F302" s="1978"/>
      <c r="G302" s="1978"/>
      <c r="H302" s="1978"/>
      <c r="I302" s="1978"/>
      <c r="J302" s="1978"/>
      <c r="K302" s="1978"/>
      <c r="L302" s="1978"/>
      <c r="M302" s="1978"/>
      <c r="N302" s="1978"/>
      <c r="O302" s="1979"/>
    </row>
    <row r="303" spans="2:15" x14ac:dyDescent="0.3">
      <c r="B303" s="1969"/>
      <c r="C303" s="1972"/>
      <c r="D303" s="125" t="s">
        <v>283</v>
      </c>
      <c r="E303" s="1977"/>
      <c r="F303" s="1978"/>
      <c r="G303" s="1978"/>
      <c r="H303" s="1978"/>
      <c r="I303" s="1978"/>
      <c r="J303" s="1978"/>
      <c r="K303" s="1978"/>
      <c r="L303" s="1978"/>
      <c r="M303" s="1978"/>
      <c r="N303" s="1978"/>
      <c r="O303" s="1979"/>
    </row>
    <row r="304" spans="2:15" x14ac:dyDescent="0.3">
      <c r="B304" s="1969"/>
      <c r="C304" s="1972"/>
      <c r="D304" s="125" t="s">
        <v>284</v>
      </c>
      <c r="E304" s="1977"/>
      <c r="F304" s="1978"/>
      <c r="G304" s="1978"/>
      <c r="H304" s="1978"/>
      <c r="I304" s="1978"/>
      <c r="J304" s="1978"/>
      <c r="K304" s="1978"/>
      <c r="L304" s="1978"/>
      <c r="M304" s="1978"/>
      <c r="N304" s="1978"/>
      <c r="O304" s="1979"/>
    </row>
    <row r="305" spans="2:15" x14ac:dyDescent="0.3">
      <c r="B305" s="1969"/>
      <c r="C305" s="1972"/>
      <c r="D305" s="125" t="s">
        <v>285</v>
      </c>
      <c r="E305" s="1977"/>
      <c r="F305" s="1978"/>
      <c r="G305" s="1978"/>
      <c r="H305" s="1978"/>
      <c r="I305" s="1978"/>
      <c r="J305" s="1978"/>
      <c r="K305" s="1978"/>
      <c r="L305" s="1978"/>
      <c r="M305" s="1978"/>
      <c r="N305" s="1978"/>
      <c r="O305" s="1979"/>
    </row>
    <row r="306" spans="2:15" x14ac:dyDescent="0.3">
      <c r="B306" s="1969"/>
      <c r="C306" s="1972"/>
      <c r="D306" s="125" t="s">
        <v>570</v>
      </c>
      <c r="E306" s="1977"/>
      <c r="F306" s="1978"/>
      <c r="G306" s="1978"/>
      <c r="H306" s="1978"/>
      <c r="I306" s="1978"/>
      <c r="J306" s="1978"/>
      <c r="K306" s="1978"/>
      <c r="L306" s="1978"/>
      <c r="M306" s="1978"/>
      <c r="N306" s="1978"/>
      <c r="O306" s="1979"/>
    </row>
    <row r="307" spans="2:15" x14ac:dyDescent="0.3">
      <c r="B307" s="1969"/>
      <c r="C307" s="1972"/>
      <c r="D307" s="125" t="s">
        <v>287</v>
      </c>
      <c r="E307" s="1977"/>
      <c r="F307" s="1978"/>
      <c r="G307" s="1978"/>
      <c r="H307" s="1978"/>
      <c r="I307" s="1978"/>
      <c r="J307" s="1978"/>
      <c r="K307" s="1978"/>
      <c r="L307" s="1978"/>
      <c r="M307" s="1978"/>
      <c r="N307" s="1978"/>
      <c r="O307" s="1979"/>
    </row>
    <row r="308" spans="2:15" x14ac:dyDescent="0.3">
      <c r="B308" s="1969"/>
      <c r="C308" s="1972"/>
      <c r="D308" s="125" t="s">
        <v>288</v>
      </c>
      <c r="E308" s="1977"/>
      <c r="F308" s="1978"/>
      <c r="G308" s="1978"/>
      <c r="H308" s="1978"/>
      <c r="I308" s="1978"/>
      <c r="J308" s="1978"/>
      <c r="K308" s="1978"/>
      <c r="L308" s="1978"/>
      <c r="M308" s="1978"/>
      <c r="N308" s="1978"/>
      <c r="O308" s="1979"/>
    </row>
    <row r="309" spans="2:15" x14ac:dyDescent="0.3">
      <c r="B309" s="1969"/>
      <c r="C309" s="1972"/>
      <c r="D309" s="125" t="s">
        <v>289</v>
      </c>
      <c r="E309" s="1977"/>
      <c r="F309" s="1978"/>
      <c r="G309" s="1978"/>
      <c r="H309" s="1978"/>
      <c r="I309" s="1978"/>
      <c r="J309" s="1978"/>
      <c r="K309" s="1978"/>
      <c r="L309" s="1978"/>
      <c r="M309" s="1978"/>
      <c r="N309" s="1978"/>
      <c r="O309" s="1979"/>
    </row>
    <row r="310" spans="2:15" x14ac:dyDescent="0.3">
      <c r="B310" s="1970"/>
      <c r="C310" s="1973"/>
      <c r="D310" s="125" t="s">
        <v>290</v>
      </c>
      <c r="E310" s="1977"/>
      <c r="F310" s="1978"/>
      <c r="G310" s="1978"/>
      <c r="H310" s="1978"/>
      <c r="I310" s="1978"/>
      <c r="J310" s="1978"/>
      <c r="K310" s="1978"/>
      <c r="L310" s="1978"/>
      <c r="M310" s="1978"/>
      <c r="N310" s="1978"/>
      <c r="O310" s="1979"/>
    </row>
    <row r="311" spans="2:15" x14ac:dyDescent="0.3">
      <c r="B311" s="1968">
        <f>B299+1</f>
        <v>2</v>
      </c>
      <c r="C311" s="1971"/>
      <c r="D311" s="125" t="s">
        <v>279</v>
      </c>
      <c r="E311" s="1977"/>
      <c r="F311" s="1978"/>
      <c r="G311" s="1978"/>
      <c r="H311" s="1978"/>
      <c r="I311" s="1978"/>
      <c r="J311" s="1978"/>
      <c r="K311" s="1978"/>
      <c r="L311" s="1978"/>
      <c r="M311" s="1978"/>
      <c r="N311" s="1978"/>
      <c r="O311" s="1979"/>
    </row>
    <row r="312" spans="2:15" x14ac:dyDescent="0.3">
      <c r="B312" s="1969"/>
      <c r="C312" s="1972"/>
      <c r="D312" s="125" t="s">
        <v>280</v>
      </c>
      <c r="E312" s="1977"/>
      <c r="F312" s="1978"/>
      <c r="G312" s="1978"/>
      <c r="H312" s="1978"/>
      <c r="I312" s="1978"/>
      <c r="J312" s="1978"/>
      <c r="K312" s="1978"/>
      <c r="L312" s="1978"/>
      <c r="M312" s="1978"/>
      <c r="N312" s="1978"/>
      <c r="O312" s="1979"/>
    </row>
    <row r="313" spans="2:15" x14ac:dyDescent="0.3">
      <c r="B313" s="1969"/>
      <c r="C313" s="1972"/>
      <c r="D313" s="125" t="s">
        <v>281</v>
      </c>
      <c r="E313" s="1977"/>
      <c r="F313" s="1978"/>
      <c r="G313" s="1978"/>
      <c r="H313" s="1978"/>
      <c r="I313" s="1978"/>
      <c r="J313" s="1978"/>
      <c r="K313" s="1978"/>
      <c r="L313" s="1978"/>
      <c r="M313" s="1978"/>
      <c r="N313" s="1978"/>
      <c r="O313" s="1979"/>
    </row>
    <row r="314" spans="2:15" x14ac:dyDescent="0.3">
      <c r="B314" s="1969"/>
      <c r="C314" s="1972"/>
      <c r="D314" s="125" t="s">
        <v>569</v>
      </c>
      <c r="E314" s="1977"/>
      <c r="F314" s="1978"/>
      <c r="G314" s="1978"/>
      <c r="H314" s="1978"/>
      <c r="I314" s="1978"/>
      <c r="J314" s="1978"/>
      <c r="K314" s="1978"/>
      <c r="L314" s="1978"/>
      <c r="M314" s="1978"/>
      <c r="N314" s="1978"/>
      <c r="O314" s="1979"/>
    </row>
    <row r="315" spans="2:15" x14ac:dyDescent="0.3">
      <c r="B315" s="1969"/>
      <c r="C315" s="1972"/>
      <c r="D315" s="125" t="s">
        <v>283</v>
      </c>
      <c r="E315" s="1977"/>
      <c r="F315" s="1978"/>
      <c r="G315" s="1978"/>
      <c r="H315" s="1978"/>
      <c r="I315" s="1978"/>
      <c r="J315" s="1978"/>
      <c r="K315" s="1978"/>
      <c r="L315" s="1978"/>
      <c r="M315" s="1978"/>
      <c r="N315" s="1978"/>
      <c r="O315" s="1979"/>
    </row>
    <row r="316" spans="2:15" x14ac:dyDescent="0.3">
      <c r="B316" s="1969"/>
      <c r="C316" s="1972"/>
      <c r="D316" s="125" t="s">
        <v>284</v>
      </c>
      <c r="E316" s="1977"/>
      <c r="F316" s="1978"/>
      <c r="G316" s="1978"/>
      <c r="H316" s="1978"/>
      <c r="I316" s="1978"/>
      <c r="J316" s="1978"/>
      <c r="K316" s="1978"/>
      <c r="L316" s="1978"/>
      <c r="M316" s="1978"/>
      <c r="N316" s="1978"/>
      <c r="O316" s="1979"/>
    </row>
    <row r="317" spans="2:15" x14ac:dyDescent="0.3">
      <c r="B317" s="1969"/>
      <c r="C317" s="1972"/>
      <c r="D317" s="125" t="s">
        <v>285</v>
      </c>
      <c r="E317" s="1977"/>
      <c r="F317" s="1978"/>
      <c r="G317" s="1978"/>
      <c r="H317" s="1978"/>
      <c r="I317" s="1978"/>
      <c r="J317" s="1978"/>
      <c r="K317" s="1978"/>
      <c r="L317" s="1978"/>
      <c r="M317" s="1978"/>
      <c r="N317" s="1978"/>
      <c r="O317" s="1979"/>
    </row>
    <row r="318" spans="2:15" x14ac:dyDescent="0.3">
      <c r="B318" s="1969"/>
      <c r="C318" s="1972"/>
      <c r="D318" s="125" t="s">
        <v>570</v>
      </c>
      <c r="E318" s="1977"/>
      <c r="F318" s="1978"/>
      <c r="G318" s="1978"/>
      <c r="H318" s="1978"/>
      <c r="I318" s="1978"/>
      <c r="J318" s="1978"/>
      <c r="K318" s="1978"/>
      <c r="L318" s="1978"/>
      <c r="M318" s="1978"/>
      <c r="N318" s="1978"/>
      <c r="O318" s="1979"/>
    </row>
    <row r="319" spans="2:15" x14ac:dyDescent="0.3">
      <c r="B319" s="1969"/>
      <c r="C319" s="1972"/>
      <c r="D319" s="125" t="s">
        <v>287</v>
      </c>
      <c r="E319" s="1977"/>
      <c r="F319" s="1978"/>
      <c r="G319" s="1978"/>
      <c r="H319" s="1978"/>
      <c r="I319" s="1978"/>
      <c r="J319" s="1978"/>
      <c r="K319" s="1978"/>
      <c r="L319" s="1978"/>
      <c r="M319" s="1978"/>
      <c r="N319" s="1978"/>
      <c r="O319" s="1979"/>
    </row>
    <row r="320" spans="2:15" x14ac:dyDescent="0.3">
      <c r="B320" s="1969"/>
      <c r="C320" s="1972"/>
      <c r="D320" s="125" t="s">
        <v>288</v>
      </c>
      <c r="E320" s="1977"/>
      <c r="F320" s="1978"/>
      <c r="G320" s="1978"/>
      <c r="H320" s="1978"/>
      <c r="I320" s="1978"/>
      <c r="J320" s="1978"/>
      <c r="K320" s="1978"/>
      <c r="L320" s="1978"/>
      <c r="M320" s="1978"/>
      <c r="N320" s="1978"/>
      <c r="O320" s="1979"/>
    </row>
    <row r="321" spans="2:15" x14ac:dyDescent="0.3">
      <c r="B321" s="1969"/>
      <c r="C321" s="1972"/>
      <c r="D321" s="125" t="s">
        <v>289</v>
      </c>
      <c r="E321" s="1977"/>
      <c r="F321" s="1978"/>
      <c r="G321" s="1978"/>
      <c r="H321" s="1978"/>
      <c r="I321" s="1978"/>
      <c r="J321" s="1978"/>
      <c r="K321" s="1978"/>
      <c r="L321" s="1978"/>
      <c r="M321" s="1978"/>
      <c r="N321" s="1978"/>
      <c r="O321" s="1979"/>
    </row>
    <row r="322" spans="2:15" x14ac:dyDescent="0.3">
      <c r="B322" s="1970"/>
      <c r="C322" s="1973"/>
      <c r="D322" s="125" t="s">
        <v>290</v>
      </c>
      <c r="E322" s="1977"/>
      <c r="F322" s="1978"/>
      <c r="G322" s="1978"/>
      <c r="H322" s="1978"/>
      <c r="I322" s="1978"/>
      <c r="J322" s="1978"/>
      <c r="K322" s="1978"/>
      <c r="L322" s="1978"/>
      <c r="M322" s="1978"/>
      <c r="N322" s="1978"/>
      <c r="O322" s="1979"/>
    </row>
    <row r="323" spans="2:15" x14ac:dyDescent="0.3">
      <c r="B323" s="99">
        <v>3</v>
      </c>
      <c r="C323" s="124"/>
      <c r="D323" s="124"/>
      <c r="E323" s="1977"/>
      <c r="F323" s="1978"/>
      <c r="G323" s="1978"/>
      <c r="H323" s="1978"/>
      <c r="I323" s="1978"/>
      <c r="J323" s="1978"/>
      <c r="K323" s="1978"/>
      <c r="L323" s="1978"/>
      <c r="M323" s="1978"/>
      <c r="N323" s="1978"/>
      <c r="O323" s="1979"/>
    </row>
    <row r="324" spans="2:15" x14ac:dyDescent="0.3">
      <c r="B324" s="99" t="s">
        <v>475</v>
      </c>
      <c r="C324" s="126"/>
      <c r="D324" s="126"/>
      <c r="E324" s="1980"/>
      <c r="F324" s="1981"/>
      <c r="G324" s="1981"/>
      <c r="H324" s="1981"/>
      <c r="I324" s="1981"/>
      <c r="J324" s="1981"/>
      <c r="K324" s="1981"/>
      <c r="L324" s="1981"/>
      <c r="M324" s="1981"/>
      <c r="N324" s="1981"/>
      <c r="O324" s="1982"/>
    </row>
    <row r="326" spans="2:15" x14ac:dyDescent="0.3">
      <c r="B326" s="251" t="s">
        <v>571</v>
      </c>
    </row>
    <row r="327" spans="2:15" x14ac:dyDescent="0.3">
      <c r="B327" s="251" t="s">
        <v>636</v>
      </c>
    </row>
    <row r="328" spans="2:15" x14ac:dyDescent="0.3">
      <c r="B328" s="251" t="s">
        <v>572</v>
      </c>
    </row>
    <row r="329" spans="2:15" x14ac:dyDescent="0.3">
      <c r="B329" s="251" t="s">
        <v>638</v>
      </c>
    </row>
    <row r="333" spans="2:15" x14ac:dyDescent="0.3">
      <c r="B333" s="1967" t="s">
        <v>1031</v>
      </c>
      <c r="C333" s="1967"/>
      <c r="D333" s="743"/>
      <c r="E333" s="14"/>
      <c r="F333" s="14"/>
      <c r="G333" s="14"/>
      <c r="H333" s="14"/>
      <c r="I333" s="14"/>
      <c r="J333" s="14"/>
      <c r="K333" s="14"/>
      <c r="L333" s="14"/>
    </row>
    <row r="335" spans="2:15" ht="56" x14ac:dyDescent="0.3">
      <c r="B335" s="1659" t="s">
        <v>340</v>
      </c>
      <c r="C335" s="1659" t="s">
        <v>557</v>
      </c>
      <c r="D335" s="1659" t="s">
        <v>568</v>
      </c>
      <c r="E335" s="736" t="s">
        <v>637</v>
      </c>
      <c r="F335" s="1652" t="s">
        <v>558</v>
      </c>
      <c r="G335" s="1652"/>
      <c r="H335" s="1652"/>
      <c r="I335" s="1652"/>
      <c r="J335" s="1652"/>
      <c r="K335" s="1652" t="s">
        <v>562</v>
      </c>
      <c r="L335" s="1652"/>
      <c r="M335" s="1652"/>
      <c r="N335" s="1652" t="s">
        <v>566</v>
      </c>
      <c r="O335" s="1652" t="s">
        <v>567</v>
      </c>
    </row>
    <row r="336" spans="2:15" ht="28" x14ac:dyDescent="0.3">
      <c r="B336" s="1702"/>
      <c r="C336" s="1702"/>
      <c r="D336" s="1702"/>
      <c r="E336" s="737" t="s">
        <v>639</v>
      </c>
      <c r="F336" s="734" t="s">
        <v>564</v>
      </c>
      <c r="G336" s="734" t="s">
        <v>559</v>
      </c>
      <c r="H336" s="734" t="s">
        <v>641</v>
      </c>
      <c r="I336" s="737" t="s">
        <v>560</v>
      </c>
      <c r="J336" s="737" t="s">
        <v>561</v>
      </c>
      <c r="K336" s="737" t="s">
        <v>563</v>
      </c>
      <c r="L336" s="737" t="s">
        <v>565</v>
      </c>
      <c r="M336" s="737" t="s">
        <v>640</v>
      </c>
      <c r="N336" s="1652"/>
      <c r="O336" s="1652"/>
    </row>
    <row r="337" spans="2:15" x14ac:dyDescent="0.3">
      <c r="B337" s="1968">
        <f>B336+1</f>
        <v>1</v>
      </c>
      <c r="C337" s="1971"/>
      <c r="D337" s="125" t="s">
        <v>279</v>
      </c>
      <c r="E337" s="1974" t="s">
        <v>770</v>
      </c>
      <c r="F337" s="1975"/>
      <c r="G337" s="1975"/>
      <c r="H337" s="1975"/>
      <c r="I337" s="1975"/>
      <c r="J337" s="1975"/>
      <c r="K337" s="1975"/>
      <c r="L337" s="1975"/>
      <c r="M337" s="1975"/>
      <c r="N337" s="1975"/>
      <c r="O337" s="1976"/>
    </row>
    <row r="338" spans="2:15" x14ac:dyDescent="0.3">
      <c r="B338" s="1969"/>
      <c r="C338" s="1972"/>
      <c r="D338" s="125" t="s">
        <v>280</v>
      </c>
      <c r="E338" s="1977"/>
      <c r="F338" s="1978"/>
      <c r="G338" s="1978"/>
      <c r="H338" s="1978"/>
      <c r="I338" s="1978"/>
      <c r="J338" s="1978"/>
      <c r="K338" s="1978"/>
      <c r="L338" s="1978"/>
      <c r="M338" s="1978"/>
      <c r="N338" s="1978"/>
      <c r="O338" s="1979"/>
    </row>
    <row r="339" spans="2:15" x14ac:dyDescent="0.3">
      <c r="B339" s="1969"/>
      <c r="C339" s="1972"/>
      <c r="D339" s="125" t="s">
        <v>281</v>
      </c>
      <c r="E339" s="1977"/>
      <c r="F339" s="1978"/>
      <c r="G339" s="1978"/>
      <c r="H339" s="1978"/>
      <c r="I339" s="1978"/>
      <c r="J339" s="1978"/>
      <c r="K339" s="1978"/>
      <c r="L339" s="1978"/>
      <c r="M339" s="1978"/>
      <c r="N339" s="1978"/>
      <c r="O339" s="1979"/>
    </row>
    <row r="340" spans="2:15" x14ac:dyDescent="0.3">
      <c r="B340" s="1969"/>
      <c r="C340" s="1972"/>
      <c r="D340" s="125" t="s">
        <v>569</v>
      </c>
      <c r="E340" s="1977"/>
      <c r="F340" s="1978"/>
      <c r="G340" s="1978"/>
      <c r="H340" s="1978"/>
      <c r="I340" s="1978"/>
      <c r="J340" s="1978"/>
      <c r="K340" s="1978"/>
      <c r="L340" s="1978"/>
      <c r="M340" s="1978"/>
      <c r="N340" s="1978"/>
      <c r="O340" s="1979"/>
    </row>
    <row r="341" spans="2:15" x14ac:dyDescent="0.3">
      <c r="B341" s="1969"/>
      <c r="C341" s="1972"/>
      <c r="D341" s="125" t="s">
        <v>283</v>
      </c>
      <c r="E341" s="1977"/>
      <c r="F341" s="1978"/>
      <c r="G341" s="1978"/>
      <c r="H341" s="1978"/>
      <c r="I341" s="1978"/>
      <c r="J341" s="1978"/>
      <c r="K341" s="1978"/>
      <c r="L341" s="1978"/>
      <c r="M341" s="1978"/>
      <c r="N341" s="1978"/>
      <c r="O341" s="1979"/>
    </row>
    <row r="342" spans="2:15" x14ac:dyDescent="0.3">
      <c r="B342" s="1969"/>
      <c r="C342" s="1972"/>
      <c r="D342" s="125" t="s">
        <v>284</v>
      </c>
      <c r="E342" s="1977"/>
      <c r="F342" s="1978"/>
      <c r="G342" s="1978"/>
      <c r="H342" s="1978"/>
      <c r="I342" s="1978"/>
      <c r="J342" s="1978"/>
      <c r="K342" s="1978"/>
      <c r="L342" s="1978"/>
      <c r="M342" s="1978"/>
      <c r="N342" s="1978"/>
      <c r="O342" s="1979"/>
    </row>
    <row r="343" spans="2:15" x14ac:dyDescent="0.3">
      <c r="B343" s="1969"/>
      <c r="C343" s="1972"/>
      <c r="D343" s="125" t="s">
        <v>285</v>
      </c>
      <c r="E343" s="1977"/>
      <c r="F343" s="1978"/>
      <c r="G343" s="1978"/>
      <c r="H343" s="1978"/>
      <c r="I343" s="1978"/>
      <c r="J343" s="1978"/>
      <c r="K343" s="1978"/>
      <c r="L343" s="1978"/>
      <c r="M343" s="1978"/>
      <c r="N343" s="1978"/>
      <c r="O343" s="1979"/>
    </row>
    <row r="344" spans="2:15" x14ac:dyDescent="0.3">
      <c r="B344" s="1969"/>
      <c r="C344" s="1972"/>
      <c r="D344" s="125" t="s">
        <v>570</v>
      </c>
      <c r="E344" s="1977"/>
      <c r="F344" s="1978"/>
      <c r="G344" s="1978"/>
      <c r="H344" s="1978"/>
      <c r="I344" s="1978"/>
      <c r="J344" s="1978"/>
      <c r="K344" s="1978"/>
      <c r="L344" s="1978"/>
      <c r="M344" s="1978"/>
      <c r="N344" s="1978"/>
      <c r="O344" s="1979"/>
    </row>
    <row r="345" spans="2:15" x14ac:dyDescent="0.3">
      <c r="B345" s="1969"/>
      <c r="C345" s="1972"/>
      <c r="D345" s="125" t="s">
        <v>287</v>
      </c>
      <c r="E345" s="1977"/>
      <c r="F345" s="1978"/>
      <c r="G345" s="1978"/>
      <c r="H345" s="1978"/>
      <c r="I345" s="1978"/>
      <c r="J345" s="1978"/>
      <c r="K345" s="1978"/>
      <c r="L345" s="1978"/>
      <c r="M345" s="1978"/>
      <c r="N345" s="1978"/>
      <c r="O345" s="1979"/>
    </row>
    <row r="346" spans="2:15" x14ac:dyDescent="0.3">
      <c r="B346" s="1969"/>
      <c r="C346" s="1972"/>
      <c r="D346" s="125" t="s">
        <v>288</v>
      </c>
      <c r="E346" s="1977"/>
      <c r="F346" s="1978"/>
      <c r="G346" s="1978"/>
      <c r="H346" s="1978"/>
      <c r="I346" s="1978"/>
      <c r="J346" s="1978"/>
      <c r="K346" s="1978"/>
      <c r="L346" s="1978"/>
      <c r="M346" s="1978"/>
      <c r="N346" s="1978"/>
      <c r="O346" s="1979"/>
    </row>
    <row r="347" spans="2:15" x14ac:dyDescent="0.3">
      <c r="B347" s="1969"/>
      <c r="C347" s="1972"/>
      <c r="D347" s="125" t="s">
        <v>289</v>
      </c>
      <c r="E347" s="1977"/>
      <c r="F347" s="1978"/>
      <c r="G347" s="1978"/>
      <c r="H347" s="1978"/>
      <c r="I347" s="1978"/>
      <c r="J347" s="1978"/>
      <c r="K347" s="1978"/>
      <c r="L347" s="1978"/>
      <c r="M347" s="1978"/>
      <c r="N347" s="1978"/>
      <c r="O347" s="1979"/>
    </row>
    <row r="348" spans="2:15" x14ac:dyDescent="0.3">
      <c r="B348" s="1970"/>
      <c r="C348" s="1973"/>
      <c r="D348" s="125" t="s">
        <v>290</v>
      </c>
      <c r="E348" s="1977"/>
      <c r="F348" s="1978"/>
      <c r="G348" s="1978"/>
      <c r="H348" s="1978"/>
      <c r="I348" s="1978"/>
      <c r="J348" s="1978"/>
      <c r="K348" s="1978"/>
      <c r="L348" s="1978"/>
      <c r="M348" s="1978"/>
      <c r="N348" s="1978"/>
      <c r="O348" s="1979"/>
    </row>
    <row r="349" spans="2:15" x14ac:dyDescent="0.3">
      <c r="B349" s="1968">
        <f>B337+1</f>
        <v>2</v>
      </c>
      <c r="C349" s="1971"/>
      <c r="D349" s="125" t="s">
        <v>279</v>
      </c>
      <c r="E349" s="1977"/>
      <c r="F349" s="1978"/>
      <c r="G349" s="1978"/>
      <c r="H349" s="1978"/>
      <c r="I349" s="1978"/>
      <c r="J349" s="1978"/>
      <c r="K349" s="1978"/>
      <c r="L349" s="1978"/>
      <c r="M349" s="1978"/>
      <c r="N349" s="1978"/>
      <c r="O349" s="1979"/>
    </row>
    <row r="350" spans="2:15" x14ac:dyDescent="0.3">
      <c r="B350" s="1969"/>
      <c r="C350" s="1972"/>
      <c r="D350" s="125" t="s">
        <v>280</v>
      </c>
      <c r="E350" s="1977"/>
      <c r="F350" s="1978"/>
      <c r="G350" s="1978"/>
      <c r="H350" s="1978"/>
      <c r="I350" s="1978"/>
      <c r="J350" s="1978"/>
      <c r="K350" s="1978"/>
      <c r="L350" s="1978"/>
      <c r="M350" s="1978"/>
      <c r="N350" s="1978"/>
      <c r="O350" s="1979"/>
    </row>
    <row r="351" spans="2:15" x14ac:dyDescent="0.3">
      <c r="B351" s="1969"/>
      <c r="C351" s="1972"/>
      <c r="D351" s="125" t="s">
        <v>281</v>
      </c>
      <c r="E351" s="1977"/>
      <c r="F351" s="1978"/>
      <c r="G351" s="1978"/>
      <c r="H351" s="1978"/>
      <c r="I351" s="1978"/>
      <c r="J351" s="1978"/>
      <c r="K351" s="1978"/>
      <c r="L351" s="1978"/>
      <c r="M351" s="1978"/>
      <c r="N351" s="1978"/>
      <c r="O351" s="1979"/>
    </row>
    <row r="352" spans="2:15" x14ac:dyDescent="0.3">
      <c r="B352" s="1969"/>
      <c r="C352" s="1972"/>
      <c r="D352" s="125" t="s">
        <v>569</v>
      </c>
      <c r="E352" s="1977"/>
      <c r="F352" s="1978"/>
      <c r="G352" s="1978"/>
      <c r="H352" s="1978"/>
      <c r="I352" s="1978"/>
      <c r="J352" s="1978"/>
      <c r="K352" s="1978"/>
      <c r="L352" s="1978"/>
      <c r="M352" s="1978"/>
      <c r="N352" s="1978"/>
      <c r="O352" s="1979"/>
    </row>
    <row r="353" spans="2:15" x14ac:dyDescent="0.3">
      <c r="B353" s="1969"/>
      <c r="C353" s="1972"/>
      <c r="D353" s="125" t="s">
        <v>283</v>
      </c>
      <c r="E353" s="1977"/>
      <c r="F353" s="1978"/>
      <c r="G353" s="1978"/>
      <c r="H353" s="1978"/>
      <c r="I353" s="1978"/>
      <c r="J353" s="1978"/>
      <c r="K353" s="1978"/>
      <c r="L353" s="1978"/>
      <c r="M353" s="1978"/>
      <c r="N353" s="1978"/>
      <c r="O353" s="1979"/>
    </row>
    <row r="354" spans="2:15" x14ac:dyDescent="0.3">
      <c r="B354" s="1969"/>
      <c r="C354" s="1972"/>
      <c r="D354" s="125" t="s">
        <v>284</v>
      </c>
      <c r="E354" s="1977"/>
      <c r="F354" s="1978"/>
      <c r="G354" s="1978"/>
      <c r="H354" s="1978"/>
      <c r="I354" s="1978"/>
      <c r="J354" s="1978"/>
      <c r="K354" s="1978"/>
      <c r="L354" s="1978"/>
      <c r="M354" s="1978"/>
      <c r="N354" s="1978"/>
      <c r="O354" s="1979"/>
    </row>
    <row r="355" spans="2:15" x14ac:dyDescent="0.3">
      <c r="B355" s="1969"/>
      <c r="C355" s="1972"/>
      <c r="D355" s="125" t="s">
        <v>285</v>
      </c>
      <c r="E355" s="1977"/>
      <c r="F355" s="1978"/>
      <c r="G355" s="1978"/>
      <c r="H355" s="1978"/>
      <c r="I355" s="1978"/>
      <c r="J355" s="1978"/>
      <c r="K355" s="1978"/>
      <c r="L355" s="1978"/>
      <c r="M355" s="1978"/>
      <c r="N355" s="1978"/>
      <c r="O355" s="1979"/>
    </row>
    <row r="356" spans="2:15" x14ac:dyDescent="0.3">
      <c r="B356" s="1969"/>
      <c r="C356" s="1972"/>
      <c r="D356" s="125" t="s">
        <v>570</v>
      </c>
      <c r="E356" s="1977"/>
      <c r="F356" s="1978"/>
      <c r="G356" s="1978"/>
      <c r="H356" s="1978"/>
      <c r="I356" s="1978"/>
      <c r="J356" s="1978"/>
      <c r="K356" s="1978"/>
      <c r="L356" s="1978"/>
      <c r="M356" s="1978"/>
      <c r="N356" s="1978"/>
      <c r="O356" s="1979"/>
    </row>
    <row r="357" spans="2:15" x14ac:dyDescent="0.3">
      <c r="B357" s="1969"/>
      <c r="C357" s="1972"/>
      <c r="D357" s="125" t="s">
        <v>287</v>
      </c>
      <c r="E357" s="1977"/>
      <c r="F357" s="1978"/>
      <c r="G357" s="1978"/>
      <c r="H357" s="1978"/>
      <c r="I357" s="1978"/>
      <c r="J357" s="1978"/>
      <c r="K357" s="1978"/>
      <c r="L357" s="1978"/>
      <c r="M357" s="1978"/>
      <c r="N357" s="1978"/>
      <c r="O357" s="1979"/>
    </row>
    <row r="358" spans="2:15" x14ac:dyDescent="0.3">
      <c r="B358" s="1969"/>
      <c r="C358" s="1972"/>
      <c r="D358" s="125" t="s">
        <v>288</v>
      </c>
      <c r="E358" s="1977"/>
      <c r="F358" s="1978"/>
      <c r="G358" s="1978"/>
      <c r="H358" s="1978"/>
      <c r="I358" s="1978"/>
      <c r="J358" s="1978"/>
      <c r="K358" s="1978"/>
      <c r="L358" s="1978"/>
      <c r="M358" s="1978"/>
      <c r="N358" s="1978"/>
      <c r="O358" s="1979"/>
    </row>
    <row r="359" spans="2:15" x14ac:dyDescent="0.3">
      <c r="B359" s="1969"/>
      <c r="C359" s="1972"/>
      <c r="D359" s="125" t="s">
        <v>289</v>
      </c>
      <c r="E359" s="1977"/>
      <c r="F359" s="1978"/>
      <c r="G359" s="1978"/>
      <c r="H359" s="1978"/>
      <c r="I359" s="1978"/>
      <c r="J359" s="1978"/>
      <c r="K359" s="1978"/>
      <c r="L359" s="1978"/>
      <c r="M359" s="1978"/>
      <c r="N359" s="1978"/>
      <c r="O359" s="1979"/>
    </row>
    <row r="360" spans="2:15" x14ac:dyDescent="0.3">
      <c r="B360" s="1970"/>
      <c r="C360" s="1973"/>
      <c r="D360" s="125" t="s">
        <v>290</v>
      </c>
      <c r="E360" s="1977"/>
      <c r="F360" s="1978"/>
      <c r="G360" s="1978"/>
      <c r="H360" s="1978"/>
      <c r="I360" s="1978"/>
      <c r="J360" s="1978"/>
      <c r="K360" s="1978"/>
      <c r="L360" s="1978"/>
      <c r="M360" s="1978"/>
      <c r="N360" s="1978"/>
      <c r="O360" s="1979"/>
    </row>
    <row r="361" spans="2:15" x14ac:dyDescent="0.3">
      <c r="B361" s="99">
        <v>3</v>
      </c>
      <c r="C361" s="124"/>
      <c r="D361" s="124"/>
      <c r="E361" s="1977"/>
      <c r="F361" s="1978"/>
      <c r="G361" s="1978"/>
      <c r="H361" s="1978"/>
      <c r="I361" s="1978"/>
      <c r="J361" s="1978"/>
      <c r="K361" s="1978"/>
      <c r="L361" s="1978"/>
      <c r="M361" s="1978"/>
      <c r="N361" s="1978"/>
      <c r="O361" s="1979"/>
    </row>
    <row r="362" spans="2:15" x14ac:dyDescent="0.3">
      <c r="B362" s="99" t="s">
        <v>475</v>
      </c>
      <c r="C362" s="126"/>
      <c r="D362" s="126"/>
      <c r="E362" s="1980"/>
      <c r="F362" s="1981"/>
      <c r="G362" s="1981"/>
      <c r="H362" s="1981"/>
      <c r="I362" s="1981"/>
      <c r="J362" s="1981"/>
      <c r="K362" s="1981"/>
      <c r="L362" s="1981"/>
      <c r="M362" s="1981"/>
      <c r="N362" s="1981"/>
      <c r="O362" s="1982"/>
    </row>
    <row r="364" spans="2:15" x14ac:dyDescent="0.3">
      <c r="B364" s="251" t="s">
        <v>571</v>
      </c>
    </row>
    <row r="365" spans="2:15" x14ac:dyDescent="0.3">
      <c r="B365" s="251" t="s">
        <v>636</v>
      </c>
    </row>
    <row r="366" spans="2:15" x14ac:dyDescent="0.3">
      <c r="B366" s="251" t="s">
        <v>572</v>
      </c>
    </row>
    <row r="367" spans="2:15" x14ac:dyDescent="0.3">
      <c r="B367" s="251" t="s">
        <v>638</v>
      </c>
    </row>
    <row r="371" spans="2:15" x14ac:dyDescent="0.3">
      <c r="B371" s="1967" t="s">
        <v>1032</v>
      </c>
      <c r="C371" s="1967"/>
      <c r="D371" s="743"/>
      <c r="E371" s="14"/>
      <c r="F371" s="14"/>
      <c r="G371" s="14"/>
      <c r="H371" s="14"/>
      <c r="I371" s="14"/>
      <c r="J371" s="14"/>
      <c r="K371" s="14"/>
      <c r="L371" s="14"/>
    </row>
    <row r="373" spans="2:15" ht="56" x14ac:dyDescent="0.3">
      <c r="B373" s="1659" t="s">
        <v>340</v>
      </c>
      <c r="C373" s="1659" t="s">
        <v>557</v>
      </c>
      <c r="D373" s="1659" t="s">
        <v>568</v>
      </c>
      <c r="E373" s="736" t="s">
        <v>637</v>
      </c>
      <c r="F373" s="1652" t="s">
        <v>558</v>
      </c>
      <c r="G373" s="1652"/>
      <c r="H373" s="1652"/>
      <c r="I373" s="1652"/>
      <c r="J373" s="1652"/>
      <c r="K373" s="1652" t="s">
        <v>562</v>
      </c>
      <c r="L373" s="1652"/>
      <c r="M373" s="1652"/>
      <c r="N373" s="1652" t="s">
        <v>566</v>
      </c>
      <c r="O373" s="1652" t="s">
        <v>567</v>
      </c>
    </row>
    <row r="374" spans="2:15" ht="28" x14ac:dyDescent="0.3">
      <c r="B374" s="1702"/>
      <c r="C374" s="1702"/>
      <c r="D374" s="1702"/>
      <c r="E374" s="737" t="s">
        <v>639</v>
      </c>
      <c r="F374" s="734" t="s">
        <v>564</v>
      </c>
      <c r="G374" s="734" t="s">
        <v>559</v>
      </c>
      <c r="H374" s="734" t="s">
        <v>641</v>
      </c>
      <c r="I374" s="737" t="s">
        <v>560</v>
      </c>
      <c r="J374" s="737" t="s">
        <v>561</v>
      </c>
      <c r="K374" s="737" t="s">
        <v>563</v>
      </c>
      <c r="L374" s="737" t="s">
        <v>565</v>
      </c>
      <c r="M374" s="737" t="s">
        <v>640</v>
      </c>
      <c r="N374" s="1652"/>
      <c r="O374" s="1652"/>
    </row>
    <row r="375" spans="2:15" x14ac:dyDescent="0.3">
      <c r="B375" s="1968">
        <f>B374+1</f>
        <v>1</v>
      </c>
      <c r="C375" s="1971"/>
      <c r="D375" s="125" t="s">
        <v>279</v>
      </c>
      <c r="E375" s="1974" t="s">
        <v>770</v>
      </c>
      <c r="F375" s="1975"/>
      <c r="G375" s="1975"/>
      <c r="H375" s="1975"/>
      <c r="I375" s="1975"/>
      <c r="J375" s="1975"/>
      <c r="K375" s="1975"/>
      <c r="L375" s="1975"/>
      <c r="M375" s="1975"/>
      <c r="N375" s="1975"/>
      <c r="O375" s="1976"/>
    </row>
    <row r="376" spans="2:15" x14ac:dyDescent="0.3">
      <c r="B376" s="1969"/>
      <c r="C376" s="1972"/>
      <c r="D376" s="125" t="s">
        <v>280</v>
      </c>
      <c r="E376" s="1977"/>
      <c r="F376" s="1978"/>
      <c r="G376" s="1978"/>
      <c r="H376" s="1978"/>
      <c r="I376" s="1978"/>
      <c r="J376" s="1978"/>
      <c r="K376" s="1978"/>
      <c r="L376" s="1978"/>
      <c r="M376" s="1978"/>
      <c r="N376" s="1978"/>
      <c r="O376" s="1979"/>
    </row>
    <row r="377" spans="2:15" x14ac:dyDescent="0.3">
      <c r="B377" s="1969"/>
      <c r="C377" s="1972"/>
      <c r="D377" s="125" t="s">
        <v>281</v>
      </c>
      <c r="E377" s="1977"/>
      <c r="F377" s="1978"/>
      <c r="G377" s="1978"/>
      <c r="H377" s="1978"/>
      <c r="I377" s="1978"/>
      <c r="J377" s="1978"/>
      <c r="K377" s="1978"/>
      <c r="L377" s="1978"/>
      <c r="M377" s="1978"/>
      <c r="N377" s="1978"/>
      <c r="O377" s="1979"/>
    </row>
    <row r="378" spans="2:15" x14ac:dyDescent="0.3">
      <c r="B378" s="1969"/>
      <c r="C378" s="1972"/>
      <c r="D378" s="125" t="s">
        <v>569</v>
      </c>
      <c r="E378" s="1977"/>
      <c r="F378" s="1978"/>
      <c r="G378" s="1978"/>
      <c r="H378" s="1978"/>
      <c r="I378" s="1978"/>
      <c r="J378" s="1978"/>
      <c r="K378" s="1978"/>
      <c r="L378" s="1978"/>
      <c r="M378" s="1978"/>
      <c r="N378" s="1978"/>
      <c r="O378" s="1979"/>
    </row>
    <row r="379" spans="2:15" x14ac:dyDescent="0.3">
      <c r="B379" s="1969"/>
      <c r="C379" s="1972"/>
      <c r="D379" s="125" t="s">
        <v>283</v>
      </c>
      <c r="E379" s="1977"/>
      <c r="F379" s="1978"/>
      <c r="G379" s="1978"/>
      <c r="H379" s="1978"/>
      <c r="I379" s="1978"/>
      <c r="J379" s="1978"/>
      <c r="K379" s="1978"/>
      <c r="L379" s="1978"/>
      <c r="M379" s="1978"/>
      <c r="N379" s="1978"/>
      <c r="O379" s="1979"/>
    </row>
    <row r="380" spans="2:15" x14ac:dyDescent="0.3">
      <c r="B380" s="1969"/>
      <c r="C380" s="1972"/>
      <c r="D380" s="125" t="s">
        <v>284</v>
      </c>
      <c r="E380" s="1977"/>
      <c r="F380" s="1978"/>
      <c r="G380" s="1978"/>
      <c r="H380" s="1978"/>
      <c r="I380" s="1978"/>
      <c r="J380" s="1978"/>
      <c r="K380" s="1978"/>
      <c r="L380" s="1978"/>
      <c r="M380" s="1978"/>
      <c r="N380" s="1978"/>
      <c r="O380" s="1979"/>
    </row>
    <row r="381" spans="2:15" x14ac:dyDescent="0.3">
      <c r="B381" s="1969"/>
      <c r="C381" s="1972"/>
      <c r="D381" s="125" t="s">
        <v>285</v>
      </c>
      <c r="E381" s="1977"/>
      <c r="F381" s="1978"/>
      <c r="G381" s="1978"/>
      <c r="H381" s="1978"/>
      <c r="I381" s="1978"/>
      <c r="J381" s="1978"/>
      <c r="K381" s="1978"/>
      <c r="L381" s="1978"/>
      <c r="M381" s="1978"/>
      <c r="N381" s="1978"/>
      <c r="O381" s="1979"/>
    </row>
    <row r="382" spans="2:15" x14ac:dyDescent="0.3">
      <c r="B382" s="1969"/>
      <c r="C382" s="1972"/>
      <c r="D382" s="125" t="s">
        <v>570</v>
      </c>
      <c r="E382" s="1977"/>
      <c r="F382" s="1978"/>
      <c r="G382" s="1978"/>
      <c r="H382" s="1978"/>
      <c r="I382" s="1978"/>
      <c r="J382" s="1978"/>
      <c r="K382" s="1978"/>
      <c r="L382" s="1978"/>
      <c r="M382" s="1978"/>
      <c r="N382" s="1978"/>
      <c r="O382" s="1979"/>
    </row>
    <row r="383" spans="2:15" x14ac:dyDescent="0.3">
      <c r="B383" s="1969"/>
      <c r="C383" s="1972"/>
      <c r="D383" s="125" t="s">
        <v>287</v>
      </c>
      <c r="E383" s="1977"/>
      <c r="F383" s="1978"/>
      <c r="G383" s="1978"/>
      <c r="H383" s="1978"/>
      <c r="I383" s="1978"/>
      <c r="J383" s="1978"/>
      <c r="K383" s="1978"/>
      <c r="L383" s="1978"/>
      <c r="M383" s="1978"/>
      <c r="N383" s="1978"/>
      <c r="O383" s="1979"/>
    </row>
    <row r="384" spans="2:15" x14ac:dyDescent="0.3">
      <c r="B384" s="1969"/>
      <c r="C384" s="1972"/>
      <c r="D384" s="125" t="s">
        <v>288</v>
      </c>
      <c r="E384" s="1977"/>
      <c r="F384" s="1978"/>
      <c r="G384" s="1978"/>
      <c r="H384" s="1978"/>
      <c r="I384" s="1978"/>
      <c r="J384" s="1978"/>
      <c r="K384" s="1978"/>
      <c r="L384" s="1978"/>
      <c r="M384" s="1978"/>
      <c r="N384" s="1978"/>
      <c r="O384" s="1979"/>
    </row>
    <row r="385" spans="2:15" x14ac:dyDescent="0.3">
      <c r="B385" s="1969"/>
      <c r="C385" s="1972"/>
      <c r="D385" s="125" t="s">
        <v>289</v>
      </c>
      <c r="E385" s="1977"/>
      <c r="F385" s="1978"/>
      <c r="G385" s="1978"/>
      <c r="H385" s="1978"/>
      <c r="I385" s="1978"/>
      <c r="J385" s="1978"/>
      <c r="K385" s="1978"/>
      <c r="L385" s="1978"/>
      <c r="M385" s="1978"/>
      <c r="N385" s="1978"/>
      <c r="O385" s="1979"/>
    </row>
    <row r="386" spans="2:15" x14ac:dyDescent="0.3">
      <c r="B386" s="1970"/>
      <c r="C386" s="1973"/>
      <c r="D386" s="125" t="s">
        <v>290</v>
      </c>
      <c r="E386" s="1977"/>
      <c r="F386" s="1978"/>
      <c r="G386" s="1978"/>
      <c r="H386" s="1978"/>
      <c r="I386" s="1978"/>
      <c r="J386" s="1978"/>
      <c r="K386" s="1978"/>
      <c r="L386" s="1978"/>
      <c r="M386" s="1978"/>
      <c r="N386" s="1978"/>
      <c r="O386" s="1979"/>
    </row>
    <row r="387" spans="2:15" x14ac:dyDescent="0.3">
      <c r="B387" s="1968">
        <f>B375+1</f>
        <v>2</v>
      </c>
      <c r="C387" s="1971"/>
      <c r="D387" s="125" t="s">
        <v>279</v>
      </c>
      <c r="E387" s="1977"/>
      <c r="F387" s="1978"/>
      <c r="G387" s="1978"/>
      <c r="H387" s="1978"/>
      <c r="I387" s="1978"/>
      <c r="J387" s="1978"/>
      <c r="K387" s="1978"/>
      <c r="L387" s="1978"/>
      <c r="M387" s="1978"/>
      <c r="N387" s="1978"/>
      <c r="O387" s="1979"/>
    </row>
    <row r="388" spans="2:15" x14ac:dyDescent="0.3">
      <c r="B388" s="1969"/>
      <c r="C388" s="1972"/>
      <c r="D388" s="125" t="s">
        <v>280</v>
      </c>
      <c r="E388" s="1977"/>
      <c r="F388" s="1978"/>
      <c r="G388" s="1978"/>
      <c r="H388" s="1978"/>
      <c r="I388" s="1978"/>
      <c r="J388" s="1978"/>
      <c r="K388" s="1978"/>
      <c r="L388" s="1978"/>
      <c r="M388" s="1978"/>
      <c r="N388" s="1978"/>
      <c r="O388" s="1979"/>
    </row>
    <row r="389" spans="2:15" x14ac:dyDescent="0.3">
      <c r="B389" s="1969"/>
      <c r="C389" s="1972"/>
      <c r="D389" s="125" t="s">
        <v>281</v>
      </c>
      <c r="E389" s="1977"/>
      <c r="F389" s="1978"/>
      <c r="G389" s="1978"/>
      <c r="H389" s="1978"/>
      <c r="I389" s="1978"/>
      <c r="J389" s="1978"/>
      <c r="K389" s="1978"/>
      <c r="L389" s="1978"/>
      <c r="M389" s="1978"/>
      <c r="N389" s="1978"/>
      <c r="O389" s="1979"/>
    </row>
    <row r="390" spans="2:15" x14ac:dyDescent="0.3">
      <c r="B390" s="1969"/>
      <c r="C390" s="1972"/>
      <c r="D390" s="125" t="s">
        <v>569</v>
      </c>
      <c r="E390" s="1977"/>
      <c r="F390" s="1978"/>
      <c r="G390" s="1978"/>
      <c r="H390" s="1978"/>
      <c r="I390" s="1978"/>
      <c r="J390" s="1978"/>
      <c r="K390" s="1978"/>
      <c r="L390" s="1978"/>
      <c r="M390" s="1978"/>
      <c r="N390" s="1978"/>
      <c r="O390" s="1979"/>
    </row>
    <row r="391" spans="2:15" x14ac:dyDescent="0.3">
      <c r="B391" s="1969"/>
      <c r="C391" s="1972"/>
      <c r="D391" s="125" t="s">
        <v>283</v>
      </c>
      <c r="E391" s="1977"/>
      <c r="F391" s="1978"/>
      <c r="G391" s="1978"/>
      <c r="H391" s="1978"/>
      <c r="I391" s="1978"/>
      <c r="J391" s="1978"/>
      <c r="K391" s="1978"/>
      <c r="L391" s="1978"/>
      <c r="M391" s="1978"/>
      <c r="N391" s="1978"/>
      <c r="O391" s="1979"/>
    </row>
    <row r="392" spans="2:15" x14ac:dyDescent="0.3">
      <c r="B392" s="1969"/>
      <c r="C392" s="1972"/>
      <c r="D392" s="125" t="s">
        <v>284</v>
      </c>
      <c r="E392" s="1977"/>
      <c r="F392" s="1978"/>
      <c r="G392" s="1978"/>
      <c r="H392" s="1978"/>
      <c r="I392" s="1978"/>
      <c r="J392" s="1978"/>
      <c r="K392" s="1978"/>
      <c r="L392" s="1978"/>
      <c r="M392" s="1978"/>
      <c r="N392" s="1978"/>
      <c r="O392" s="1979"/>
    </row>
    <row r="393" spans="2:15" x14ac:dyDescent="0.3">
      <c r="B393" s="1969"/>
      <c r="C393" s="1972"/>
      <c r="D393" s="125" t="s">
        <v>285</v>
      </c>
      <c r="E393" s="1977"/>
      <c r="F393" s="1978"/>
      <c r="G393" s="1978"/>
      <c r="H393" s="1978"/>
      <c r="I393" s="1978"/>
      <c r="J393" s="1978"/>
      <c r="K393" s="1978"/>
      <c r="L393" s="1978"/>
      <c r="M393" s="1978"/>
      <c r="N393" s="1978"/>
      <c r="O393" s="1979"/>
    </row>
    <row r="394" spans="2:15" x14ac:dyDescent="0.3">
      <c r="B394" s="1969"/>
      <c r="C394" s="1972"/>
      <c r="D394" s="125" t="s">
        <v>570</v>
      </c>
      <c r="E394" s="1977"/>
      <c r="F394" s="1978"/>
      <c r="G394" s="1978"/>
      <c r="H394" s="1978"/>
      <c r="I394" s="1978"/>
      <c r="J394" s="1978"/>
      <c r="K394" s="1978"/>
      <c r="L394" s="1978"/>
      <c r="M394" s="1978"/>
      <c r="N394" s="1978"/>
      <c r="O394" s="1979"/>
    </row>
    <row r="395" spans="2:15" x14ac:dyDescent="0.3">
      <c r="B395" s="1969"/>
      <c r="C395" s="1972"/>
      <c r="D395" s="125" t="s">
        <v>287</v>
      </c>
      <c r="E395" s="1977"/>
      <c r="F395" s="1978"/>
      <c r="G395" s="1978"/>
      <c r="H395" s="1978"/>
      <c r="I395" s="1978"/>
      <c r="J395" s="1978"/>
      <c r="K395" s="1978"/>
      <c r="L395" s="1978"/>
      <c r="M395" s="1978"/>
      <c r="N395" s="1978"/>
      <c r="O395" s="1979"/>
    </row>
    <row r="396" spans="2:15" x14ac:dyDescent="0.3">
      <c r="B396" s="1969"/>
      <c r="C396" s="1972"/>
      <c r="D396" s="125" t="s">
        <v>288</v>
      </c>
      <c r="E396" s="1977"/>
      <c r="F396" s="1978"/>
      <c r="G396" s="1978"/>
      <c r="H396" s="1978"/>
      <c r="I396" s="1978"/>
      <c r="J396" s="1978"/>
      <c r="K396" s="1978"/>
      <c r="L396" s="1978"/>
      <c r="M396" s="1978"/>
      <c r="N396" s="1978"/>
      <c r="O396" s="1979"/>
    </row>
    <row r="397" spans="2:15" x14ac:dyDescent="0.3">
      <c r="B397" s="1969"/>
      <c r="C397" s="1972"/>
      <c r="D397" s="125" t="s">
        <v>289</v>
      </c>
      <c r="E397" s="1977"/>
      <c r="F397" s="1978"/>
      <c r="G397" s="1978"/>
      <c r="H397" s="1978"/>
      <c r="I397" s="1978"/>
      <c r="J397" s="1978"/>
      <c r="K397" s="1978"/>
      <c r="L397" s="1978"/>
      <c r="M397" s="1978"/>
      <c r="N397" s="1978"/>
      <c r="O397" s="1979"/>
    </row>
    <row r="398" spans="2:15" x14ac:dyDescent="0.3">
      <c r="B398" s="1970"/>
      <c r="C398" s="1973"/>
      <c r="D398" s="125" t="s">
        <v>290</v>
      </c>
      <c r="E398" s="1977"/>
      <c r="F398" s="1978"/>
      <c r="G398" s="1978"/>
      <c r="H398" s="1978"/>
      <c r="I398" s="1978"/>
      <c r="J398" s="1978"/>
      <c r="K398" s="1978"/>
      <c r="L398" s="1978"/>
      <c r="M398" s="1978"/>
      <c r="N398" s="1978"/>
      <c r="O398" s="1979"/>
    </row>
    <row r="399" spans="2:15" x14ac:dyDescent="0.3">
      <c r="B399" s="99">
        <v>3</v>
      </c>
      <c r="C399" s="124"/>
      <c r="D399" s="124"/>
      <c r="E399" s="1977"/>
      <c r="F399" s="1978"/>
      <c r="G399" s="1978"/>
      <c r="H399" s="1978"/>
      <c r="I399" s="1978"/>
      <c r="J399" s="1978"/>
      <c r="K399" s="1978"/>
      <c r="L399" s="1978"/>
      <c r="M399" s="1978"/>
      <c r="N399" s="1978"/>
      <c r="O399" s="1979"/>
    </row>
    <row r="400" spans="2:15" x14ac:dyDescent="0.3">
      <c r="B400" s="99" t="s">
        <v>475</v>
      </c>
      <c r="C400" s="126"/>
      <c r="D400" s="126"/>
      <c r="E400" s="1980"/>
      <c r="F400" s="1981"/>
      <c r="G400" s="1981"/>
      <c r="H400" s="1981"/>
      <c r="I400" s="1981"/>
      <c r="J400" s="1981"/>
      <c r="K400" s="1981"/>
      <c r="L400" s="1981"/>
      <c r="M400" s="1981"/>
      <c r="N400" s="1981"/>
      <c r="O400" s="1982"/>
    </row>
    <row r="402" spans="2:2" x14ac:dyDescent="0.3">
      <c r="B402" s="251" t="s">
        <v>571</v>
      </c>
    </row>
    <row r="403" spans="2:2" x14ac:dyDescent="0.3">
      <c r="B403" s="251" t="s">
        <v>636</v>
      </c>
    </row>
    <row r="404" spans="2:2" x14ac:dyDescent="0.3">
      <c r="B404" s="251" t="s">
        <v>572</v>
      </c>
    </row>
    <row r="405" spans="2:2" x14ac:dyDescent="0.3">
      <c r="B405" s="251" t="s">
        <v>638</v>
      </c>
    </row>
  </sheetData>
  <mergeCells count="15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pageSetUpPr fitToPage="1"/>
  </sheetPr>
  <dimension ref="B2:U69"/>
  <sheetViews>
    <sheetView showGridLines="0" view="pageBreakPreview" zoomScale="75" zoomScaleNormal="75" zoomScaleSheetLayoutView="75" workbookViewId="0">
      <selection activeCell="E2" sqref="E2"/>
    </sheetView>
  </sheetViews>
  <sheetFormatPr defaultColWidth="9.36328125" defaultRowHeight="14" x14ac:dyDescent="0.25"/>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x14ac:dyDescent="0.25">
      <c r="C2" s="22"/>
      <c r="D2" s="22"/>
      <c r="E2" s="15" t="str">
        <f>Index!B2</f>
        <v xml:space="preserve">      Maharashtra State Power Generation Company Ltd.</v>
      </c>
      <c r="F2" s="22"/>
      <c r="G2" s="22"/>
      <c r="H2" s="22"/>
      <c r="I2" s="22"/>
    </row>
    <row r="3" spans="2:14" s="1" customFormat="1" x14ac:dyDescent="0.3">
      <c r="C3" s="282"/>
      <c r="D3" s="282"/>
      <c r="E3" s="15" t="str">
        <f>Index!B3</f>
        <v>MYT Petition Formats for Chandrapur Unit 3-7</v>
      </c>
      <c r="F3" s="282"/>
      <c r="G3" s="282"/>
      <c r="H3" s="282"/>
      <c r="I3" s="282"/>
      <c r="J3" s="129"/>
      <c r="K3" s="129"/>
      <c r="L3" s="129"/>
      <c r="M3" s="129"/>
    </row>
    <row r="4" spans="2:14" s="1" customFormat="1" x14ac:dyDescent="0.3">
      <c r="C4" s="44"/>
      <c r="D4" s="44"/>
      <c r="E4" s="130" t="s">
        <v>731</v>
      </c>
      <c r="F4" s="44"/>
      <c r="G4" s="44"/>
      <c r="H4" s="44"/>
      <c r="I4" s="44"/>
      <c r="J4" s="44"/>
      <c r="K4" s="44"/>
      <c r="L4" s="44"/>
      <c r="M4" s="44"/>
      <c r="N4" s="44"/>
    </row>
    <row r="5" spans="2:14" s="1" customFormat="1" x14ac:dyDescent="0.3">
      <c r="B5" s="130"/>
      <c r="C5" s="130"/>
      <c r="D5" s="130"/>
      <c r="E5" s="130"/>
      <c r="F5" s="130"/>
      <c r="G5" s="130"/>
      <c r="H5" s="130"/>
      <c r="I5" s="130"/>
      <c r="J5" s="44"/>
      <c r="K5" s="44"/>
      <c r="L5" s="44"/>
      <c r="M5" s="44"/>
      <c r="N5" s="44"/>
    </row>
    <row r="6" spans="2:14" s="1" customFormat="1" x14ac:dyDescent="0.3">
      <c r="B6" s="281" t="s">
        <v>986</v>
      </c>
      <c r="C6" s="280"/>
      <c r="D6" s="280"/>
      <c r="E6" s="280"/>
      <c r="F6" s="280"/>
      <c r="G6" s="280"/>
      <c r="H6" s="280"/>
      <c r="I6" s="270"/>
      <c r="J6" s="270"/>
      <c r="K6" s="44"/>
      <c r="L6" s="44"/>
      <c r="M6" s="44"/>
      <c r="N6" s="44"/>
    </row>
    <row r="7" spans="2:14" s="1" customFormat="1" x14ac:dyDescent="0.3">
      <c r="B7" s="281"/>
      <c r="C7" s="280"/>
      <c r="D7" s="280"/>
      <c r="E7" s="280"/>
      <c r="F7" s="280"/>
      <c r="G7" s="280"/>
      <c r="H7" s="280"/>
      <c r="I7" s="270"/>
      <c r="J7" s="270"/>
      <c r="K7" s="44"/>
      <c r="L7" s="44"/>
      <c r="M7" s="44"/>
      <c r="N7" s="44"/>
    </row>
    <row r="8" spans="2:14" s="1" customFormat="1" x14ac:dyDescent="0.3">
      <c r="B8" s="274" t="s">
        <v>627</v>
      </c>
      <c r="C8" s="280"/>
      <c r="D8" s="280"/>
      <c r="E8" s="280"/>
      <c r="F8" s="280"/>
      <c r="G8" s="280"/>
      <c r="H8" s="280"/>
      <c r="I8" s="270"/>
      <c r="J8" s="270"/>
      <c r="K8" s="44"/>
      <c r="L8" s="44"/>
      <c r="M8" s="44"/>
      <c r="N8" s="44"/>
    </row>
    <row r="9" spans="2:14" s="1" customFormat="1" x14ac:dyDescent="0.3">
      <c r="B9" s="270"/>
      <c r="C9" s="270"/>
      <c r="D9" s="270"/>
      <c r="E9" s="270"/>
      <c r="F9" s="270"/>
      <c r="G9" s="270"/>
      <c r="H9" s="270"/>
      <c r="I9" s="270"/>
      <c r="J9" s="270"/>
      <c r="K9" s="44"/>
      <c r="L9" s="44"/>
      <c r="M9" s="44"/>
      <c r="N9" s="44"/>
    </row>
    <row r="10" spans="2:14" s="1" customFormat="1" x14ac:dyDescent="0.3">
      <c r="B10" s="1992" t="s">
        <v>37</v>
      </c>
      <c r="C10" s="1994" t="s">
        <v>625</v>
      </c>
      <c r="D10" s="1995"/>
      <c r="E10" s="1996"/>
      <c r="F10" s="1994" t="s">
        <v>624</v>
      </c>
      <c r="G10" s="1995"/>
      <c r="H10" s="1996"/>
      <c r="I10" s="1997" t="s">
        <v>623</v>
      </c>
      <c r="J10" s="1997" t="s">
        <v>622</v>
      </c>
      <c r="K10" s="44"/>
      <c r="L10" s="44"/>
      <c r="M10" s="44"/>
      <c r="N10" s="44"/>
    </row>
    <row r="11" spans="2:14" s="1" customFormat="1" ht="28" x14ac:dyDescent="0.3">
      <c r="B11" s="1993"/>
      <c r="C11" s="279" t="s">
        <v>621</v>
      </c>
      <c r="D11" s="279" t="s">
        <v>618</v>
      </c>
      <c r="E11" s="279" t="s">
        <v>620</v>
      </c>
      <c r="F11" s="279" t="s">
        <v>619</v>
      </c>
      <c r="G11" s="279" t="s">
        <v>618</v>
      </c>
      <c r="H11" s="278" t="s">
        <v>617</v>
      </c>
      <c r="I11" s="1997"/>
      <c r="J11" s="1997"/>
      <c r="K11" s="44"/>
      <c r="L11" s="44"/>
      <c r="M11" s="44"/>
      <c r="N11" s="44"/>
    </row>
    <row r="12" spans="2:14" s="1" customFormat="1" x14ac:dyDescent="0.3">
      <c r="B12" s="277"/>
      <c r="C12" s="276"/>
      <c r="D12" s="276"/>
      <c r="E12" s="276"/>
      <c r="F12" s="276"/>
      <c r="G12" s="276"/>
      <c r="H12" s="275"/>
      <c r="I12" s="275"/>
      <c r="J12" s="275"/>
      <c r="K12" s="44"/>
      <c r="L12" s="44"/>
      <c r="M12" s="44"/>
      <c r="N12" s="44"/>
    </row>
    <row r="13" spans="2:14" s="1" customFormat="1" x14ac:dyDescent="0.3">
      <c r="B13" s="273" t="s">
        <v>616</v>
      </c>
      <c r="C13" s="272"/>
      <c r="D13" s="272"/>
      <c r="E13" s="272"/>
      <c r="F13" s="272"/>
      <c r="G13" s="272"/>
      <c r="H13" s="272"/>
      <c r="I13" s="271"/>
      <c r="J13" s="271"/>
      <c r="K13" s="44"/>
      <c r="L13" s="44"/>
      <c r="M13" s="44"/>
      <c r="N13" s="44"/>
    </row>
    <row r="14" spans="2:14" s="1" customFormat="1" x14ac:dyDescent="0.3">
      <c r="B14" s="273"/>
      <c r="C14" s="272"/>
      <c r="D14" s="272"/>
      <c r="E14" s="272"/>
      <c r="F14" s="272"/>
      <c r="G14" s="272"/>
      <c r="H14" s="272"/>
      <c r="I14" s="271"/>
      <c r="J14" s="271"/>
      <c r="K14" s="44"/>
      <c r="L14" s="44"/>
      <c r="M14" s="44"/>
      <c r="N14" s="44"/>
    </row>
    <row r="15" spans="2:14" s="1" customFormat="1" x14ac:dyDescent="0.3">
      <c r="B15" s="271" t="s">
        <v>615</v>
      </c>
      <c r="C15" s="272"/>
      <c r="D15" s="272"/>
      <c r="E15" s="272"/>
      <c r="F15" s="272"/>
      <c r="G15" s="272"/>
      <c r="H15" s="272"/>
      <c r="I15" s="271"/>
      <c r="J15" s="271"/>
      <c r="K15" s="44"/>
      <c r="L15" s="44"/>
      <c r="M15" s="44"/>
      <c r="N15" s="44"/>
    </row>
    <row r="16" spans="2:14" s="1" customFormat="1" x14ac:dyDescent="0.3">
      <c r="B16" s="271" t="s">
        <v>614</v>
      </c>
      <c r="C16" s="272"/>
      <c r="D16" s="272"/>
      <c r="E16" s="272"/>
      <c r="F16" s="272"/>
      <c r="G16" s="272"/>
      <c r="H16" s="272"/>
      <c r="I16" s="271"/>
      <c r="J16" s="271"/>
      <c r="K16" s="44"/>
      <c r="L16" s="44"/>
      <c r="M16" s="44"/>
      <c r="N16" s="44"/>
    </row>
    <row r="17" spans="2:14" s="1" customFormat="1" x14ac:dyDescent="0.3">
      <c r="B17" s="271" t="s">
        <v>613</v>
      </c>
      <c r="C17" s="272"/>
      <c r="D17" s="272"/>
      <c r="E17" s="272"/>
      <c r="F17" s="272"/>
      <c r="G17" s="272"/>
      <c r="H17" s="272"/>
      <c r="I17" s="271"/>
      <c r="J17" s="271"/>
      <c r="K17" s="44"/>
      <c r="L17" s="44"/>
      <c r="M17" s="44"/>
      <c r="N17" s="44"/>
    </row>
    <row r="18" spans="2:14" s="1" customFormat="1" x14ac:dyDescent="0.3">
      <c r="B18" s="271" t="s">
        <v>608</v>
      </c>
      <c r="C18" s="272"/>
      <c r="D18" s="272"/>
      <c r="E18" s="272"/>
      <c r="F18" s="272"/>
      <c r="G18" s="272"/>
      <c r="H18" s="272"/>
      <c r="I18" s="271"/>
      <c r="J18" s="271"/>
      <c r="K18" s="44"/>
      <c r="L18" s="44"/>
      <c r="M18" s="44"/>
      <c r="N18" s="44"/>
    </row>
    <row r="19" spans="2:14" s="1" customFormat="1" x14ac:dyDescent="0.3">
      <c r="B19" s="273" t="s">
        <v>271</v>
      </c>
      <c r="C19" s="272"/>
      <c r="D19" s="272"/>
      <c r="E19" s="272"/>
      <c r="F19" s="272"/>
      <c r="G19" s="272"/>
      <c r="H19" s="272"/>
      <c r="I19" s="271"/>
      <c r="J19" s="271"/>
      <c r="K19" s="44"/>
      <c r="L19" s="44"/>
      <c r="M19" s="44"/>
      <c r="N19" s="44"/>
    </row>
    <row r="20" spans="2:14" s="1" customFormat="1" x14ac:dyDescent="0.3">
      <c r="B20" s="273"/>
      <c r="C20" s="272"/>
      <c r="D20" s="272"/>
      <c r="E20" s="272"/>
      <c r="F20" s="272"/>
      <c r="G20" s="272"/>
      <c r="H20" s="272"/>
      <c r="I20" s="271"/>
      <c r="J20" s="271"/>
      <c r="K20" s="44"/>
      <c r="L20" s="44"/>
      <c r="M20" s="44"/>
      <c r="N20" s="44"/>
    </row>
    <row r="21" spans="2:14" s="1" customFormat="1" x14ac:dyDescent="0.3">
      <c r="B21" s="273"/>
      <c r="C21" s="272"/>
      <c r="D21" s="272"/>
      <c r="E21" s="272"/>
      <c r="F21" s="272"/>
      <c r="G21" s="272"/>
      <c r="H21" s="272"/>
      <c r="I21" s="271"/>
      <c r="J21" s="271"/>
      <c r="K21" s="44"/>
      <c r="L21" s="44"/>
      <c r="M21" s="44"/>
      <c r="N21" s="44"/>
    </row>
    <row r="22" spans="2:14" s="1" customFormat="1" x14ac:dyDescent="0.3">
      <c r="B22" s="273" t="s">
        <v>612</v>
      </c>
      <c r="C22" s="272"/>
      <c r="D22" s="272"/>
      <c r="E22" s="272"/>
      <c r="F22" s="272"/>
      <c r="G22" s="272"/>
      <c r="H22" s="272"/>
      <c r="I22" s="271"/>
      <c r="J22" s="271"/>
      <c r="K22" s="44"/>
      <c r="L22" s="44"/>
      <c r="M22" s="44"/>
      <c r="N22" s="44"/>
    </row>
    <row r="23" spans="2:14" s="1" customFormat="1" x14ac:dyDescent="0.3">
      <c r="B23" s="271"/>
      <c r="C23" s="272"/>
      <c r="D23" s="272"/>
      <c r="E23" s="272"/>
      <c r="F23" s="272"/>
      <c r="G23" s="272"/>
      <c r="H23" s="272"/>
      <c r="I23" s="271"/>
      <c r="J23" s="271"/>
      <c r="K23" s="44"/>
      <c r="L23" s="44"/>
      <c r="M23" s="44"/>
      <c r="N23" s="44"/>
    </row>
    <row r="24" spans="2:14" s="1" customFormat="1" x14ac:dyDescent="0.3">
      <c r="B24" s="271" t="s">
        <v>611</v>
      </c>
      <c r="C24" s="272"/>
      <c r="D24" s="272"/>
      <c r="E24" s="272"/>
      <c r="F24" s="272"/>
      <c r="G24" s="272"/>
      <c r="H24" s="272"/>
      <c r="I24" s="271"/>
      <c r="J24" s="271"/>
      <c r="K24" s="44"/>
      <c r="L24" s="44"/>
      <c r="M24" s="44"/>
      <c r="N24" s="44"/>
    </row>
    <row r="25" spans="2:14" s="1" customFormat="1" x14ac:dyDescent="0.3">
      <c r="B25" s="271" t="s">
        <v>610</v>
      </c>
      <c r="C25" s="272"/>
      <c r="D25" s="272"/>
      <c r="E25" s="272"/>
      <c r="F25" s="272"/>
      <c r="G25" s="272"/>
      <c r="H25" s="272"/>
      <c r="I25" s="271"/>
      <c r="J25" s="271"/>
      <c r="K25" s="44"/>
      <c r="L25" s="44"/>
      <c r="M25" s="44"/>
      <c r="N25" s="44"/>
    </row>
    <row r="26" spans="2:14" s="1" customFormat="1" x14ac:dyDescent="0.3">
      <c r="B26" s="271" t="s">
        <v>609</v>
      </c>
      <c r="C26" s="272"/>
      <c r="D26" s="272"/>
      <c r="E26" s="272"/>
      <c r="F26" s="272"/>
      <c r="G26" s="272"/>
      <c r="H26" s="272"/>
      <c r="I26" s="271"/>
      <c r="J26" s="271"/>
      <c r="K26" s="44"/>
      <c r="L26" s="44"/>
      <c r="M26" s="44"/>
      <c r="N26" s="44"/>
    </row>
    <row r="27" spans="2:14" s="1" customFormat="1" x14ac:dyDescent="0.3">
      <c r="B27" s="271" t="s">
        <v>608</v>
      </c>
      <c r="C27" s="272"/>
      <c r="D27" s="272"/>
      <c r="E27" s="272"/>
      <c r="F27" s="272"/>
      <c r="G27" s="272"/>
      <c r="H27" s="272"/>
      <c r="I27" s="271"/>
      <c r="J27" s="271"/>
      <c r="K27" s="44"/>
      <c r="L27" s="44"/>
      <c r="M27" s="44"/>
      <c r="N27" s="44"/>
    </row>
    <row r="28" spans="2:14" s="1" customFormat="1" x14ac:dyDescent="0.3">
      <c r="B28" s="273" t="s">
        <v>271</v>
      </c>
      <c r="C28" s="272"/>
      <c r="D28" s="272"/>
      <c r="E28" s="272"/>
      <c r="F28" s="272"/>
      <c r="G28" s="272"/>
      <c r="H28" s="272"/>
      <c r="I28" s="271"/>
      <c r="J28" s="271"/>
      <c r="K28" s="44"/>
      <c r="L28" s="44"/>
      <c r="M28" s="44"/>
      <c r="N28" s="44"/>
    </row>
    <row r="29" spans="2:14" s="1" customFormat="1" x14ac:dyDescent="0.3">
      <c r="B29" s="273"/>
      <c r="C29" s="272"/>
      <c r="D29" s="272"/>
      <c r="E29" s="272"/>
      <c r="F29" s="272"/>
      <c r="G29" s="272"/>
      <c r="H29" s="272"/>
      <c r="I29" s="271"/>
      <c r="J29" s="271"/>
      <c r="K29" s="44"/>
      <c r="L29" s="44"/>
      <c r="M29" s="44"/>
      <c r="N29" s="44"/>
    </row>
    <row r="30" spans="2:14" s="1" customFormat="1" x14ac:dyDescent="0.3">
      <c r="B30" s="273" t="s">
        <v>628</v>
      </c>
      <c r="C30" s="272"/>
      <c r="D30" s="272"/>
      <c r="E30" s="272"/>
      <c r="F30" s="272"/>
      <c r="G30" s="272"/>
      <c r="H30" s="272"/>
      <c r="I30" s="271"/>
      <c r="J30" s="271"/>
      <c r="K30" s="44"/>
      <c r="L30" s="44"/>
      <c r="M30" s="44"/>
      <c r="N30" s="44"/>
    </row>
    <row r="31" spans="2:14" s="1" customFormat="1" x14ac:dyDescent="0.3">
      <c r="B31" s="271"/>
      <c r="C31" s="272"/>
      <c r="D31" s="272"/>
      <c r="E31" s="272"/>
      <c r="F31" s="272"/>
      <c r="G31" s="272"/>
      <c r="H31" s="272"/>
      <c r="I31" s="271"/>
      <c r="J31" s="271"/>
      <c r="K31" s="44"/>
      <c r="L31" s="44"/>
      <c r="M31" s="44"/>
      <c r="N31" s="44"/>
    </row>
    <row r="32" spans="2:14" s="1" customFormat="1" x14ac:dyDescent="0.3">
      <c r="B32" s="271" t="s">
        <v>629</v>
      </c>
      <c r="C32" s="272"/>
      <c r="D32" s="272"/>
      <c r="E32" s="272"/>
      <c r="F32" s="272"/>
      <c r="G32" s="272"/>
      <c r="H32" s="272"/>
      <c r="I32" s="271"/>
      <c r="J32" s="271"/>
      <c r="K32" s="44"/>
      <c r="L32" s="44"/>
      <c r="M32" s="44"/>
      <c r="N32" s="44"/>
    </row>
    <row r="33" spans="2:21" s="1" customFormat="1" x14ac:dyDescent="0.3">
      <c r="B33" s="271" t="s">
        <v>630</v>
      </c>
      <c r="C33" s="272"/>
      <c r="D33" s="272"/>
      <c r="E33" s="272"/>
      <c r="F33" s="272"/>
      <c r="G33" s="272"/>
      <c r="H33" s="272"/>
      <c r="I33" s="271"/>
      <c r="J33" s="271"/>
      <c r="K33" s="44"/>
      <c r="L33" s="44"/>
      <c r="M33" s="44"/>
      <c r="N33" s="44"/>
    </row>
    <row r="34" spans="2:21" s="1" customFormat="1" x14ac:dyDescent="0.3">
      <c r="B34" s="271" t="s">
        <v>631</v>
      </c>
      <c r="C34" s="272"/>
      <c r="D34" s="272"/>
      <c r="E34" s="272"/>
      <c r="F34" s="272"/>
      <c r="G34" s="272"/>
      <c r="H34" s="272"/>
      <c r="I34" s="271"/>
      <c r="J34" s="271"/>
      <c r="K34" s="44"/>
      <c r="L34" s="44"/>
      <c r="M34" s="44"/>
      <c r="N34" s="44"/>
    </row>
    <row r="35" spans="2:21" s="1" customFormat="1" x14ac:dyDescent="0.3">
      <c r="B35" s="271" t="s">
        <v>608</v>
      </c>
      <c r="C35" s="272"/>
      <c r="D35" s="272"/>
      <c r="E35" s="272"/>
      <c r="F35" s="272"/>
      <c r="G35" s="272"/>
      <c r="H35" s="272"/>
      <c r="I35" s="271"/>
      <c r="J35" s="271"/>
      <c r="K35" s="44"/>
      <c r="L35" s="44"/>
      <c r="M35" s="44"/>
      <c r="N35" s="44"/>
    </row>
    <row r="36" spans="2:21" s="1" customFormat="1" x14ac:dyDescent="0.3">
      <c r="B36" s="273" t="s">
        <v>271</v>
      </c>
      <c r="C36" s="272"/>
      <c r="D36" s="272"/>
      <c r="E36" s="272"/>
      <c r="F36" s="272"/>
      <c r="G36" s="272"/>
      <c r="H36" s="272"/>
      <c r="I36" s="271"/>
      <c r="J36" s="271"/>
      <c r="K36" s="44"/>
      <c r="L36" s="44"/>
      <c r="M36" s="44"/>
      <c r="N36" s="44"/>
    </row>
    <row r="37" spans="2:21" s="1" customFormat="1" x14ac:dyDescent="0.3">
      <c r="B37" s="274"/>
      <c r="C37" s="280"/>
      <c r="D37" s="280"/>
      <c r="E37" s="280"/>
      <c r="F37" s="280"/>
      <c r="G37" s="280"/>
      <c r="H37" s="280"/>
      <c r="I37" s="270"/>
      <c r="J37" s="270"/>
      <c r="K37" s="44"/>
      <c r="L37" s="44"/>
      <c r="M37" s="44"/>
      <c r="N37" s="44"/>
    </row>
    <row r="38" spans="2:21" s="1" customFormat="1" x14ac:dyDescent="0.3">
      <c r="B38" s="130"/>
      <c r="C38" s="130"/>
      <c r="D38" s="130"/>
      <c r="E38" s="130"/>
      <c r="F38" s="130"/>
      <c r="G38" s="130"/>
      <c r="H38" s="130"/>
      <c r="I38" s="130"/>
      <c r="J38" s="44"/>
      <c r="K38" s="44"/>
      <c r="L38" s="44"/>
      <c r="M38" s="44"/>
      <c r="N38" s="44"/>
    </row>
    <row r="39" spans="2:21" s="270" customFormat="1" x14ac:dyDescent="0.25">
      <c r="B39" s="281" t="s">
        <v>987</v>
      </c>
      <c r="C39" s="280"/>
      <c r="D39" s="280"/>
      <c r="E39" s="280"/>
      <c r="F39" s="280"/>
      <c r="G39" s="280"/>
      <c r="H39" s="280"/>
    </row>
    <row r="40" spans="2:21" s="270" customFormat="1" x14ac:dyDescent="0.25">
      <c r="B40" s="281"/>
      <c r="C40" s="280"/>
      <c r="D40" s="280"/>
      <c r="E40" s="280"/>
      <c r="F40" s="280"/>
      <c r="G40" s="280"/>
      <c r="H40" s="280"/>
    </row>
    <row r="41" spans="2:21" s="270" customFormat="1" x14ac:dyDescent="0.25">
      <c r="B41" s="274" t="s">
        <v>627</v>
      </c>
      <c r="C41" s="280"/>
      <c r="D41" s="280"/>
      <c r="E41" s="280"/>
      <c r="F41" s="280"/>
      <c r="G41" s="280"/>
      <c r="H41" s="280"/>
    </row>
    <row r="42" spans="2:21" s="270" customFormat="1" x14ac:dyDescent="0.25"/>
    <row r="43" spans="2:21" s="270" customFormat="1" x14ac:dyDescent="0.25">
      <c r="B43" s="1992" t="s">
        <v>37</v>
      </c>
      <c r="C43" s="1994" t="s">
        <v>625</v>
      </c>
      <c r="D43" s="1995"/>
      <c r="E43" s="1996"/>
      <c r="F43" s="1994" t="s">
        <v>624</v>
      </c>
      <c r="G43" s="1995"/>
      <c r="H43" s="1996"/>
      <c r="I43" s="1997" t="s">
        <v>623</v>
      </c>
      <c r="J43" s="1997" t="s">
        <v>622</v>
      </c>
    </row>
    <row r="44" spans="2:21" s="270" customFormat="1" ht="28" x14ac:dyDescent="0.25">
      <c r="B44" s="1993"/>
      <c r="C44" s="279" t="s">
        <v>621</v>
      </c>
      <c r="D44" s="279" t="s">
        <v>618</v>
      </c>
      <c r="E44" s="279" t="s">
        <v>620</v>
      </c>
      <c r="F44" s="279" t="s">
        <v>619</v>
      </c>
      <c r="G44" s="279" t="s">
        <v>618</v>
      </c>
      <c r="H44" s="278" t="s">
        <v>617</v>
      </c>
      <c r="I44" s="1997"/>
      <c r="J44" s="1997"/>
    </row>
    <row r="45" spans="2:21" s="270" customFormat="1" x14ac:dyDescent="0.25">
      <c r="B45" s="277"/>
      <c r="C45" s="276"/>
      <c r="D45" s="276"/>
      <c r="E45" s="276"/>
      <c r="F45" s="276"/>
      <c r="G45" s="276"/>
      <c r="H45" s="275"/>
      <c r="I45" s="275"/>
      <c r="J45" s="275"/>
    </row>
    <row r="46" spans="2:21" s="274" customFormat="1" x14ac:dyDescent="0.25">
      <c r="B46" s="273" t="s">
        <v>616</v>
      </c>
      <c r="C46" s="272"/>
      <c r="D46" s="272"/>
      <c r="E46" s="272"/>
      <c r="F46" s="272"/>
      <c r="G46" s="272"/>
      <c r="H46" s="272"/>
      <c r="I46" s="271"/>
      <c r="J46" s="271"/>
      <c r="K46" s="270"/>
      <c r="L46" s="270"/>
      <c r="M46" s="270"/>
      <c r="N46" s="270"/>
      <c r="O46" s="270"/>
      <c r="P46" s="270"/>
      <c r="Q46" s="270"/>
      <c r="R46" s="270"/>
      <c r="S46" s="270"/>
      <c r="T46" s="270"/>
      <c r="U46" s="270"/>
    </row>
    <row r="47" spans="2:21" s="274" customFormat="1" x14ac:dyDescent="0.25">
      <c r="B47" s="273"/>
      <c r="C47" s="272"/>
      <c r="D47" s="272"/>
      <c r="E47" s="272"/>
      <c r="F47" s="272"/>
      <c r="G47" s="272"/>
      <c r="H47" s="272"/>
      <c r="I47" s="271"/>
      <c r="J47" s="271"/>
      <c r="K47" s="270"/>
      <c r="L47" s="270"/>
      <c r="M47" s="270"/>
      <c r="N47" s="270"/>
      <c r="O47" s="270"/>
      <c r="P47" s="270"/>
      <c r="Q47" s="270"/>
      <c r="R47" s="270"/>
      <c r="S47" s="270"/>
      <c r="T47" s="270"/>
      <c r="U47" s="270"/>
    </row>
    <row r="48" spans="2:21" s="274" customFormat="1" x14ac:dyDescent="0.25">
      <c r="B48" s="271" t="s">
        <v>615</v>
      </c>
      <c r="C48" s="272"/>
      <c r="D48" s="272"/>
      <c r="E48" s="272"/>
      <c r="F48" s="272"/>
      <c r="G48" s="272"/>
      <c r="H48" s="272"/>
      <c r="I48" s="271"/>
      <c r="J48" s="271"/>
      <c r="K48" s="270"/>
      <c r="L48" s="270"/>
      <c r="M48" s="270"/>
      <c r="N48" s="270"/>
      <c r="O48" s="270"/>
      <c r="P48" s="270"/>
      <c r="Q48" s="270"/>
      <c r="R48" s="270"/>
      <c r="S48" s="270"/>
      <c r="T48" s="270"/>
      <c r="U48" s="270"/>
    </row>
    <row r="49" spans="2:21" s="274" customFormat="1" x14ac:dyDescent="0.25">
      <c r="B49" s="271" t="s">
        <v>614</v>
      </c>
      <c r="C49" s="272"/>
      <c r="D49" s="272"/>
      <c r="E49" s="272"/>
      <c r="F49" s="272"/>
      <c r="G49" s="272"/>
      <c r="H49" s="272"/>
      <c r="I49" s="271"/>
      <c r="J49" s="271"/>
      <c r="K49" s="270"/>
      <c r="L49" s="270"/>
      <c r="M49" s="270"/>
      <c r="N49" s="270"/>
      <c r="O49" s="270"/>
      <c r="P49" s="270"/>
      <c r="Q49" s="270"/>
      <c r="R49" s="270"/>
      <c r="S49" s="270"/>
      <c r="T49" s="270"/>
      <c r="U49" s="270"/>
    </row>
    <row r="50" spans="2:21" s="274" customFormat="1" x14ac:dyDescent="0.25">
      <c r="B50" s="271" t="s">
        <v>613</v>
      </c>
      <c r="C50" s="272"/>
      <c r="D50" s="272"/>
      <c r="E50" s="272"/>
      <c r="F50" s="272"/>
      <c r="G50" s="272"/>
      <c r="H50" s="272"/>
      <c r="I50" s="271"/>
      <c r="J50" s="271"/>
      <c r="K50" s="270"/>
      <c r="L50" s="270"/>
      <c r="M50" s="270"/>
      <c r="N50" s="270"/>
      <c r="O50" s="270"/>
      <c r="P50" s="270"/>
      <c r="Q50" s="270"/>
      <c r="R50" s="270"/>
      <c r="S50" s="270"/>
      <c r="T50" s="270"/>
      <c r="U50" s="270"/>
    </row>
    <row r="51" spans="2:21" s="274" customFormat="1" x14ac:dyDescent="0.25">
      <c r="B51" s="271" t="s">
        <v>608</v>
      </c>
      <c r="C51" s="272"/>
      <c r="D51" s="272"/>
      <c r="E51" s="272"/>
      <c r="F51" s="272"/>
      <c r="G51" s="272"/>
      <c r="H51" s="272"/>
      <c r="I51" s="271"/>
      <c r="J51" s="271"/>
      <c r="K51" s="270"/>
      <c r="L51" s="270"/>
      <c r="M51" s="270"/>
      <c r="N51" s="270"/>
      <c r="O51" s="270"/>
      <c r="P51" s="270"/>
      <c r="Q51" s="270"/>
      <c r="R51" s="270"/>
      <c r="S51" s="270"/>
      <c r="T51" s="270"/>
      <c r="U51" s="270"/>
    </row>
    <row r="52" spans="2:21" s="270" customFormat="1" x14ac:dyDescent="0.25">
      <c r="B52" s="273" t="s">
        <v>271</v>
      </c>
      <c r="C52" s="272"/>
      <c r="D52" s="272"/>
      <c r="E52" s="272"/>
      <c r="F52" s="272"/>
      <c r="G52" s="272"/>
      <c r="H52" s="272"/>
      <c r="I52" s="271"/>
      <c r="J52" s="271"/>
    </row>
    <row r="53" spans="2:21" s="270" customFormat="1" x14ac:dyDescent="0.25">
      <c r="B53" s="273"/>
      <c r="C53" s="272"/>
      <c r="D53" s="272"/>
      <c r="E53" s="272"/>
      <c r="F53" s="272"/>
      <c r="G53" s="272"/>
      <c r="H53" s="272"/>
      <c r="I53" s="271"/>
      <c r="J53" s="271"/>
    </row>
    <row r="54" spans="2:21" s="270" customFormat="1" x14ac:dyDescent="0.25">
      <c r="B54" s="273"/>
      <c r="C54" s="272"/>
      <c r="D54" s="272"/>
      <c r="E54" s="272"/>
      <c r="F54" s="272"/>
      <c r="G54" s="272"/>
      <c r="H54" s="272"/>
      <c r="I54" s="271"/>
      <c r="J54" s="271"/>
    </row>
    <row r="55" spans="2:21" s="274" customFormat="1" x14ac:dyDescent="0.25">
      <c r="B55" s="273" t="s">
        <v>612</v>
      </c>
      <c r="C55" s="272"/>
      <c r="D55" s="272"/>
      <c r="E55" s="272"/>
      <c r="F55" s="272"/>
      <c r="G55" s="272"/>
      <c r="H55" s="272"/>
      <c r="I55" s="271"/>
      <c r="J55" s="271"/>
      <c r="K55" s="270"/>
      <c r="L55" s="270"/>
      <c r="M55" s="270"/>
      <c r="N55" s="270"/>
      <c r="O55" s="270"/>
      <c r="P55" s="270"/>
      <c r="Q55" s="270"/>
      <c r="R55" s="270"/>
      <c r="S55" s="270"/>
      <c r="T55" s="270"/>
      <c r="U55" s="270"/>
    </row>
    <row r="56" spans="2:21" s="270" customFormat="1" x14ac:dyDescent="0.25">
      <c r="B56" s="271"/>
      <c r="C56" s="272"/>
      <c r="D56" s="272"/>
      <c r="E56" s="272"/>
      <c r="F56" s="272"/>
      <c r="G56" s="272"/>
      <c r="H56" s="272"/>
      <c r="I56" s="271"/>
      <c r="J56" s="271"/>
    </row>
    <row r="57" spans="2:21" s="270" customFormat="1" x14ac:dyDescent="0.25">
      <c r="B57" s="271" t="s">
        <v>611</v>
      </c>
      <c r="C57" s="272"/>
      <c r="D57" s="272"/>
      <c r="E57" s="272"/>
      <c r="F57" s="272"/>
      <c r="G57" s="272"/>
      <c r="H57" s="272"/>
      <c r="I57" s="271"/>
      <c r="J57" s="271"/>
    </row>
    <row r="58" spans="2:21" s="270" customFormat="1" x14ac:dyDescent="0.25">
      <c r="B58" s="271" t="s">
        <v>610</v>
      </c>
      <c r="C58" s="272"/>
      <c r="D58" s="272"/>
      <c r="E58" s="272"/>
      <c r="F58" s="272"/>
      <c r="G58" s="272"/>
      <c r="H58" s="272"/>
      <c r="I58" s="271"/>
      <c r="J58" s="271"/>
    </row>
    <row r="59" spans="2:21" s="270" customFormat="1" x14ac:dyDescent="0.25">
      <c r="B59" s="271" t="s">
        <v>609</v>
      </c>
      <c r="C59" s="272"/>
      <c r="D59" s="272"/>
      <c r="E59" s="272"/>
      <c r="F59" s="272"/>
      <c r="G59" s="272"/>
      <c r="H59" s="272"/>
      <c r="I59" s="271"/>
      <c r="J59" s="271"/>
    </row>
    <row r="60" spans="2:21" s="270" customFormat="1" x14ac:dyDescent="0.25">
      <c r="B60" s="271" t="s">
        <v>608</v>
      </c>
      <c r="C60" s="272"/>
      <c r="D60" s="272"/>
      <c r="E60" s="272"/>
      <c r="F60" s="272"/>
      <c r="G60" s="272"/>
      <c r="H60" s="272"/>
      <c r="I60" s="271"/>
      <c r="J60" s="271"/>
    </row>
    <row r="61" spans="2:21" s="270" customFormat="1" x14ac:dyDescent="0.25">
      <c r="B61" s="273" t="s">
        <v>271</v>
      </c>
      <c r="C61" s="272"/>
      <c r="D61" s="272"/>
      <c r="E61" s="272"/>
      <c r="F61" s="272"/>
      <c r="G61" s="272"/>
      <c r="H61" s="272"/>
      <c r="I61" s="271"/>
      <c r="J61" s="271"/>
    </row>
    <row r="62" spans="2:21" s="270" customFormat="1" x14ac:dyDescent="0.25">
      <c r="B62" s="273"/>
      <c r="C62" s="272"/>
      <c r="D62" s="272"/>
      <c r="E62" s="272"/>
      <c r="F62" s="272"/>
      <c r="G62" s="272"/>
      <c r="H62" s="272"/>
      <c r="I62" s="271"/>
      <c r="J62" s="271"/>
    </row>
    <row r="63" spans="2:21" s="270" customFormat="1" x14ac:dyDescent="0.25">
      <c r="B63" s="273" t="s">
        <v>628</v>
      </c>
      <c r="C63" s="272"/>
      <c r="D63" s="272"/>
      <c r="E63" s="272"/>
      <c r="F63" s="272"/>
      <c r="G63" s="272"/>
      <c r="H63" s="272"/>
      <c r="I63" s="271"/>
      <c r="J63" s="271"/>
    </row>
    <row r="64" spans="2:21" x14ac:dyDescent="0.25">
      <c r="B64" s="271"/>
      <c r="C64" s="272"/>
      <c r="D64" s="272"/>
      <c r="E64" s="272"/>
      <c r="F64" s="272"/>
      <c r="G64" s="272"/>
      <c r="H64" s="272"/>
      <c r="I64" s="271"/>
      <c r="J64" s="271"/>
    </row>
    <row r="65" spans="2:10" x14ac:dyDescent="0.25">
      <c r="B65" s="271" t="s">
        <v>629</v>
      </c>
      <c r="C65" s="272"/>
      <c r="D65" s="272"/>
      <c r="E65" s="272"/>
      <c r="F65" s="272"/>
      <c r="G65" s="272"/>
      <c r="H65" s="272"/>
      <c r="I65" s="271"/>
      <c r="J65" s="271"/>
    </row>
    <row r="66" spans="2:10" x14ac:dyDescent="0.25">
      <c r="B66" s="271" t="s">
        <v>630</v>
      </c>
      <c r="C66" s="272"/>
      <c r="D66" s="272"/>
      <c r="E66" s="272"/>
      <c r="F66" s="272"/>
      <c r="G66" s="272"/>
      <c r="H66" s="272"/>
      <c r="I66" s="271"/>
      <c r="J66" s="271"/>
    </row>
    <row r="67" spans="2:10" x14ac:dyDescent="0.25">
      <c r="B67" s="271" t="s">
        <v>631</v>
      </c>
      <c r="C67" s="272"/>
      <c r="D67" s="272"/>
      <c r="E67" s="272"/>
      <c r="F67" s="272"/>
      <c r="G67" s="272"/>
      <c r="H67" s="272"/>
      <c r="I67" s="271"/>
      <c r="J67" s="271"/>
    </row>
    <row r="68" spans="2:10" ht="14.4" customHeight="1" x14ac:dyDescent="0.25">
      <c r="B68" s="271" t="s">
        <v>608</v>
      </c>
      <c r="C68" s="272"/>
      <c r="D68" s="272"/>
      <c r="E68" s="272"/>
      <c r="F68" s="272"/>
      <c r="G68" s="272"/>
      <c r="H68" s="272"/>
      <c r="I68" s="271"/>
      <c r="J68" s="271"/>
    </row>
    <row r="69" spans="2:10" x14ac:dyDescent="0.25">
      <c r="B69" s="273" t="s">
        <v>271</v>
      </c>
      <c r="C69" s="272"/>
      <c r="D69" s="272"/>
      <c r="E69" s="272"/>
      <c r="F69" s="272"/>
      <c r="G69" s="272"/>
      <c r="H69" s="272"/>
      <c r="I69" s="271"/>
      <c r="J69" s="271"/>
    </row>
  </sheetData>
  <mergeCells count="10">
    <mergeCell ref="B10:B11"/>
    <mergeCell ref="C10:E10"/>
    <mergeCell ref="F10:H10"/>
    <mergeCell ref="I10:I11"/>
    <mergeCell ref="J10:J11"/>
    <mergeCell ref="B43:B44"/>
    <mergeCell ref="C43:E43"/>
    <mergeCell ref="F43:H43"/>
    <mergeCell ref="I43:I44"/>
    <mergeCell ref="J43:J44"/>
  </mergeCells>
  <pageMargins left="0.75" right="0.75" top="1" bottom="1" header="0.5" footer="0.5"/>
  <pageSetup paperSize="9" scale="4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L29"/>
  <sheetViews>
    <sheetView showGridLines="0" view="pageBreakPreview" zoomScale="70" zoomScaleNormal="75" zoomScaleSheetLayoutView="70" workbookViewId="0">
      <selection activeCell="B5" sqref="B5:L5"/>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657" t="str">
        <f>Index!B2</f>
        <v xml:space="preserve">      Maharashtra State Power Generation Company Ltd.</v>
      </c>
      <c r="C2" s="1657"/>
      <c r="D2" s="1657"/>
      <c r="E2" s="1998"/>
      <c r="F2" s="1998"/>
      <c r="G2" s="1998"/>
      <c r="H2" s="1998"/>
      <c r="I2" s="1998"/>
      <c r="J2" s="1998"/>
      <c r="K2" s="1998"/>
      <c r="L2" s="1998"/>
    </row>
    <row r="3" spans="2:12" ht="14.15" customHeight="1" x14ac:dyDescent="0.3">
      <c r="B3" s="1939" t="s">
        <v>1450</v>
      </c>
      <c r="C3" s="1939"/>
      <c r="D3" s="1939"/>
      <c r="E3" s="1998"/>
      <c r="F3" s="1998"/>
      <c r="G3" s="1998"/>
      <c r="H3" s="1998"/>
      <c r="I3" s="1998"/>
      <c r="J3" s="1998"/>
      <c r="K3" s="1998"/>
      <c r="L3" s="1998"/>
    </row>
    <row r="4" spans="2:12" ht="14.15" customHeight="1" x14ac:dyDescent="0.3">
      <c r="B4" s="1939" t="s">
        <v>1451</v>
      </c>
      <c r="C4" s="1939"/>
      <c r="D4" s="1939"/>
      <c r="E4" s="1998"/>
      <c r="F4" s="1998"/>
      <c r="G4" s="1998"/>
      <c r="H4" s="1998"/>
      <c r="I4" s="1998"/>
      <c r="J4" s="1998"/>
      <c r="K4" s="1998"/>
      <c r="L4" s="1998"/>
    </row>
    <row r="5" spans="2:12" ht="14.15" customHeight="1" x14ac:dyDescent="0.3">
      <c r="B5" s="1657" t="str">
        <f>Index!B3</f>
        <v>MYT Petition Formats for Chandrapur Unit 3-7</v>
      </c>
      <c r="C5" s="1657"/>
      <c r="D5" s="1657"/>
      <c r="E5" s="1998"/>
      <c r="F5" s="1998"/>
      <c r="G5" s="1998"/>
      <c r="H5" s="1998"/>
      <c r="I5" s="1998"/>
      <c r="J5" s="1998"/>
      <c r="K5" s="1998"/>
      <c r="L5" s="1998"/>
    </row>
    <row r="6" spans="2:12" x14ac:dyDescent="0.3">
      <c r="B6" s="1072"/>
      <c r="C6" s="1072"/>
      <c r="D6" s="1072"/>
      <c r="E6" s="1075"/>
      <c r="F6" s="1075"/>
      <c r="G6" s="1075"/>
    </row>
    <row r="7" spans="2:12" ht="14.15" customHeight="1" x14ac:dyDescent="0.3">
      <c r="B7" s="1699" t="s">
        <v>340</v>
      </c>
      <c r="C7" s="1699" t="s">
        <v>1452</v>
      </c>
      <c r="D7" s="1705" t="s">
        <v>1453</v>
      </c>
      <c r="E7" s="1701" t="s">
        <v>1454</v>
      </c>
      <c r="F7" s="1707" t="s">
        <v>1455</v>
      </c>
      <c r="G7" s="1705" t="s">
        <v>1456</v>
      </c>
      <c r="H7" s="1652" t="s">
        <v>1457</v>
      </c>
      <c r="I7" s="1652"/>
      <c r="J7" s="1652"/>
      <c r="K7" s="1652"/>
      <c r="L7" s="1652"/>
    </row>
    <row r="8" spans="2:12" s="129" customFormat="1" ht="44.25" customHeight="1" x14ac:dyDescent="0.25">
      <c r="B8" s="1699"/>
      <c r="C8" s="1699"/>
      <c r="D8" s="2000"/>
      <c r="E8" s="1701"/>
      <c r="F8" s="2002"/>
      <c r="G8" s="2002"/>
      <c r="H8" s="1071" t="s">
        <v>969</v>
      </c>
      <c r="I8" s="1070" t="s">
        <v>970</v>
      </c>
      <c r="J8" s="1070" t="s">
        <v>971</v>
      </c>
      <c r="K8" s="1070" t="s">
        <v>972</v>
      </c>
      <c r="L8" s="1070" t="s">
        <v>973</v>
      </c>
    </row>
    <row r="9" spans="2:12" s="129" customFormat="1" ht="14.15" customHeight="1" x14ac:dyDescent="0.25">
      <c r="B9" s="1999"/>
      <c r="C9" s="1999"/>
      <c r="D9" s="1706"/>
      <c r="E9" s="2001"/>
      <c r="F9" s="1708"/>
      <c r="G9" s="1708"/>
      <c r="H9" s="1071" t="s">
        <v>21</v>
      </c>
      <c r="I9" s="1070" t="s">
        <v>21</v>
      </c>
      <c r="J9" s="1070" t="s">
        <v>21</v>
      </c>
      <c r="K9" s="1070" t="s">
        <v>21</v>
      </c>
      <c r="L9" s="1070" t="s">
        <v>21</v>
      </c>
    </row>
    <row r="10" spans="2:12" s="129" customFormat="1" x14ac:dyDescent="0.25">
      <c r="B10" s="1076"/>
      <c r="C10" s="1076"/>
      <c r="D10" s="1076"/>
      <c r="E10" s="1077"/>
      <c r="F10" s="1077"/>
      <c r="G10" s="1077"/>
      <c r="H10" s="39"/>
      <c r="I10" s="39"/>
      <c r="J10" s="39"/>
      <c r="K10" s="39"/>
      <c r="L10" s="39"/>
    </row>
    <row r="11" spans="2:12" s="44" customFormat="1" x14ac:dyDescent="0.3">
      <c r="B11" s="137">
        <v>1</v>
      </c>
      <c r="C11" s="137" t="s">
        <v>1458</v>
      </c>
      <c r="D11" s="137"/>
      <c r="E11" s="9"/>
      <c r="F11" s="9"/>
      <c r="G11" s="9"/>
      <c r="H11" s="39"/>
      <c r="I11" s="39"/>
      <c r="J11" s="39"/>
      <c r="K11" s="39"/>
      <c r="L11" s="39"/>
    </row>
    <row r="12" spans="2:12" s="44" customFormat="1" x14ac:dyDescent="0.3">
      <c r="B12" s="1078"/>
      <c r="C12" s="1079" t="s">
        <v>1459</v>
      </c>
      <c r="D12" s="1079"/>
      <c r="E12" s="449"/>
      <c r="F12" s="449"/>
      <c r="G12" s="449"/>
      <c r="H12" s="1080"/>
      <c r="I12" s="1080"/>
      <c r="J12" s="1080"/>
      <c r="K12" s="1080"/>
      <c r="L12" s="1080"/>
    </row>
    <row r="13" spans="2:12" s="44" customFormat="1" x14ac:dyDescent="0.3">
      <c r="B13" s="40"/>
      <c r="C13" s="1081" t="s">
        <v>1460</v>
      </c>
      <c r="D13" s="1081"/>
      <c r="E13" s="1082"/>
      <c r="F13" s="1082"/>
      <c r="G13" s="1082"/>
      <c r="H13" s="39"/>
      <c r="I13" s="39"/>
      <c r="J13" s="39"/>
      <c r="K13" s="39"/>
      <c r="L13" s="39"/>
    </row>
    <row r="14" spans="2:12" s="44" customFormat="1" x14ac:dyDescent="0.3">
      <c r="B14" s="1083"/>
      <c r="C14" s="1083"/>
      <c r="D14" s="1083"/>
      <c r="E14" s="449"/>
      <c r="F14" s="449"/>
      <c r="G14" s="449"/>
      <c r="H14" s="40"/>
      <c r="I14" s="40"/>
      <c r="J14" s="40"/>
      <c r="K14" s="40"/>
      <c r="L14" s="40"/>
    </row>
    <row r="15" spans="2:12" s="44" customFormat="1" x14ac:dyDescent="0.3">
      <c r="B15" s="137">
        <f>B12+1</f>
        <v>1</v>
      </c>
      <c r="C15" s="137"/>
      <c r="D15" s="137"/>
      <c r="E15" s="449"/>
      <c r="F15" s="449"/>
      <c r="G15" s="449"/>
      <c r="H15" s="40"/>
      <c r="I15" s="40"/>
      <c r="J15" s="40"/>
      <c r="K15" s="40"/>
      <c r="L15" s="40"/>
    </row>
    <row r="16" spans="2:12" s="44" customFormat="1" x14ac:dyDescent="0.3">
      <c r="B16" s="137"/>
      <c r="C16" s="137"/>
      <c r="D16" s="137"/>
      <c r="E16" s="449"/>
      <c r="F16" s="449"/>
      <c r="G16" s="449"/>
      <c r="H16" s="40"/>
      <c r="I16" s="40"/>
      <c r="J16" s="40"/>
      <c r="K16" s="40"/>
      <c r="L16" s="40"/>
    </row>
    <row r="17" spans="2:12" s="44" customFormat="1" x14ac:dyDescent="0.3">
      <c r="B17" s="137"/>
      <c r="C17" s="137"/>
      <c r="D17" s="137"/>
      <c r="E17" s="1084"/>
      <c r="F17" s="1084"/>
      <c r="G17" s="1084"/>
      <c r="H17" s="40"/>
      <c r="I17" s="40"/>
      <c r="J17" s="40"/>
      <c r="K17" s="40"/>
      <c r="L17" s="40"/>
    </row>
    <row r="18" spans="2:12" s="44" customFormat="1" x14ac:dyDescent="0.3">
      <c r="B18" s="137"/>
      <c r="C18" s="137"/>
      <c r="D18" s="137"/>
      <c r="E18" s="1084"/>
      <c r="F18" s="1084"/>
      <c r="G18" s="1084"/>
      <c r="H18" s="40"/>
      <c r="I18" s="40"/>
      <c r="J18" s="40"/>
      <c r="K18" s="40"/>
      <c r="L18" s="40"/>
    </row>
    <row r="19" spans="2:12" s="44" customFormat="1" x14ac:dyDescent="0.3">
      <c r="B19" s="137"/>
      <c r="C19" s="137"/>
      <c r="D19" s="137"/>
      <c r="E19" s="1084"/>
      <c r="F19" s="1084"/>
      <c r="G19" s="1084"/>
      <c r="H19" s="40"/>
      <c r="I19" s="40"/>
      <c r="J19" s="40"/>
      <c r="K19" s="40"/>
      <c r="L19" s="40"/>
    </row>
    <row r="20" spans="2:12" s="44" customFormat="1" x14ac:dyDescent="0.3">
      <c r="B20" s="137"/>
      <c r="C20" s="137"/>
      <c r="D20" s="137"/>
      <c r="E20" s="1085"/>
      <c r="F20" s="1085"/>
      <c r="G20" s="1085"/>
      <c r="H20" s="40"/>
      <c r="I20" s="40"/>
      <c r="J20" s="40"/>
      <c r="K20" s="40"/>
      <c r="L20" s="40"/>
    </row>
    <row r="21" spans="2:12" s="44" customFormat="1" x14ac:dyDescent="0.3">
      <c r="B21" s="137"/>
      <c r="C21" s="137"/>
      <c r="D21" s="137"/>
      <c r="E21" s="1084"/>
      <c r="F21" s="1084"/>
      <c r="G21" s="1084"/>
      <c r="H21" s="40"/>
      <c r="I21" s="40"/>
      <c r="J21" s="40"/>
      <c r="K21" s="40"/>
      <c r="L21" s="40"/>
    </row>
    <row r="22" spans="2:12" x14ac:dyDescent="0.3">
      <c r="E22" s="129"/>
      <c r="F22" s="129"/>
      <c r="G22" s="129"/>
      <c r="H22" s="44"/>
      <c r="I22" s="44"/>
      <c r="J22" s="44"/>
      <c r="K22" s="44"/>
      <c r="L22" s="44"/>
    </row>
    <row r="23" spans="2:12" x14ac:dyDescent="0.3">
      <c r="B23" s="1086"/>
      <c r="C23" s="1086"/>
      <c r="D23" s="1086"/>
      <c r="E23" s="1087"/>
      <c r="F23" s="1087"/>
      <c r="G23" s="1087"/>
      <c r="H23" s="44"/>
      <c r="I23" s="44"/>
      <c r="J23" s="44"/>
      <c r="K23" s="44"/>
      <c r="L23" s="44"/>
    </row>
    <row r="24" spans="2:12" x14ac:dyDescent="0.3">
      <c r="C24" s="44" t="s">
        <v>144</v>
      </c>
      <c r="D24" s="883" t="s">
        <v>1461</v>
      </c>
      <c r="H24" s="44"/>
      <c r="I24" s="44"/>
      <c r="J24" s="44"/>
      <c r="K24" s="44"/>
      <c r="L24" s="44"/>
    </row>
    <row r="25" spans="2:12" ht="18" customHeight="1" x14ac:dyDescent="0.3">
      <c r="E25" s="1088"/>
      <c r="F25" s="1088"/>
      <c r="G25" s="1088"/>
    </row>
    <row r="26" spans="2:12" x14ac:dyDescent="0.3">
      <c r="B26" s="1087"/>
      <c r="C26" s="1087"/>
      <c r="D26" s="1087"/>
      <c r="E26" s="1087"/>
      <c r="F26" s="1087"/>
      <c r="G26" s="1087"/>
    </row>
    <row r="27" spans="2:12" x14ac:dyDescent="0.3">
      <c r="B27" s="1087"/>
      <c r="C27" s="1087"/>
      <c r="D27" s="1087"/>
      <c r="E27" s="1087"/>
      <c r="F27" s="1087"/>
      <c r="G27" s="1087"/>
    </row>
    <row r="28" spans="2:12" x14ac:dyDescent="0.3">
      <c r="B28" s="1087"/>
      <c r="C28" s="1087"/>
      <c r="D28" s="1087"/>
      <c r="E28" s="1087"/>
      <c r="F28" s="1087"/>
      <c r="G28" s="1087"/>
    </row>
    <row r="29" spans="2:12" ht="29.4" customHeight="1" x14ac:dyDescent="0.3">
      <c r="B29" s="1087"/>
      <c r="C29" s="1089"/>
      <c r="D29" s="1087"/>
      <c r="E29" s="1087"/>
      <c r="F29" s="1087"/>
      <c r="G29" s="1087"/>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H29"/>
  <sheetViews>
    <sheetView workbookViewId="0">
      <selection activeCell="B3" sqref="B3:H3"/>
    </sheetView>
  </sheetViews>
  <sheetFormatPr defaultRowHeight="12.5" x14ac:dyDescent="0.25"/>
  <cols>
    <col min="3" max="3" width="36.36328125" customWidth="1"/>
    <col min="5" max="7" width="12.08984375" customWidth="1"/>
  </cols>
  <sheetData>
    <row r="2" spans="1:8" ht="14" x14ac:dyDescent="0.3">
      <c r="A2" s="1"/>
      <c r="B2" s="1939" t="str">
        <f>Index!B2</f>
        <v xml:space="preserve">      Maharashtra State Power Generation Company Ltd.</v>
      </c>
      <c r="C2" s="1998"/>
      <c r="D2" s="1998"/>
      <c r="E2" s="1998"/>
      <c r="F2" s="1998"/>
      <c r="G2" s="1998"/>
      <c r="H2" s="1998"/>
    </row>
    <row r="3" spans="1:8" ht="14" x14ac:dyDescent="0.3">
      <c r="A3" s="1"/>
      <c r="B3" s="1939" t="s">
        <v>1462</v>
      </c>
      <c r="C3" s="1998"/>
      <c r="D3" s="1998"/>
      <c r="E3" s="1998"/>
      <c r="F3" s="1998"/>
      <c r="G3" s="1998"/>
      <c r="H3" s="1998"/>
    </row>
    <row r="4" spans="1:8" ht="14" x14ac:dyDescent="0.25">
      <c r="A4" s="14"/>
      <c r="B4" s="1657" t="str">
        <f>Index!B3</f>
        <v>MYT Petition Formats for Chandrapur Unit 3-7</v>
      </c>
      <c r="C4" s="1998"/>
      <c r="D4" s="1998"/>
      <c r="E4" s="1998"/>
      <c r="F4" s="1998"/>
      <c r="G4" s="1998"/>
      <c r="H4" s="1998"/>
    </row>
    <row r="5" spans="1:8" ht="14" x14ac:dyDescent="0.3">
      <c r="A5" s="14"/>
      <c r="B5" s="14"/>
      <c r="C5" s="8"/>
      <c r="D5" s="1090"/>
      <c r="E5" s="1090"/>
      <c r="F5" s="1090"/>
      <c r="G5" s="16"/>
      <c r="H5" s="14"/>
    </row>
    <row r="6" spans="1:8" ht="14" x14ac:dyDescent="0.3">
      <c r="A6" s="1"/>
      <c r="B6" s="1073" t="s">
        <v>340</v>
      </c>
      <c r="C6" s="1074" t="s">
        <v>37</v>
      </c>
      <c r="D6" s="1074" t="s">
        <v>94</v>
      </c>
      <c r="E6" s="1073" t="s">
        <v>506</v>
      </c>
      <c r="F6" s="1073" t="s">
        <v>507</v>
      </c>
      <c r="G6" s="1073" t="s">
        <v>508</v>
      </c>
      <c r="H6" s="1073" t="s">
        <v>27</v>
      </c>
    </row>
    <row r="7" spans="1:8" ht="14" x14ac:dyDescent="0.25">
      <c r="A7" s="129"/>
      <c r="B7" s="39"/>
      <c r="C7" s="143"/>
      <c r="D7" s="145"/>
      <c r="E7" s="145"/>
      <c r="F7" s="145"/>
      <c r="G7" s="37"/>
      <c r="H7" s="37"/>
    </row>
    <row r="8" spans="1:8" ht="14" x14ac:dyDescent="0.25">
      <c r="A8" s="129"/>
      <c r="B8" s="145">
        <v>1</v>
      </c>
      <c r="C8" s="146" t="s">
        <v>1463</v>
      </c>
      <c r="D8" s="145" t="s">
        <v>97</v>
      </c>
      <c r="E8" s="145"/>
      <c r="F8" s="145"/>
      <c r="G8" s="1091"/>
      <c r="H8" s="37"/>
    </row>
    <row r="9" spans="1:8" ht="14" x14ac:dyDescent="0.3">
      <c r="B9" s="1092">
        <f>B8+1</f>
        <v>2</v>
      </c>
      <c r="C9" s="146" t="s">
        <v>1464</v>
      </c>
      <c r="D9" s="1092" t="s">
        <v>99</v>
      </c>
      <c r="E9" s="1093"/>
      <c r="F9" s="1093"/>
      <c r="G9" s="1093"/>
      <c r="H9" s="1093"/>
    </row>
    <row r="10" spans="1:8" ht="14" x14ac:dyDescent="0.3">
      <c r="B10" s="1092">
        <f t="shared" ref="B10:B20" si="0">B9+1</f>
        <v>3</v>
      </c>
      <c r="C10" s="146" t="s">
        <v>1465</v>
      </c>
      <c r="D10" s="1092" t="s">
        <v>99</v>
      </c>
      <c r="E10" s="1093"/>
      <c r="F10" s="1093"/>
      <c r="G10" s="1093"/>
      <c r="H10" s="1093"/>
    </row>
    <row r="11" spans="1:8" ht="14" x14ac:dyDescent="0.3">
      <c r="B11" s="1092">
        <f t="shared" si="0"/>
        <v>4</v>
      </c>
      <c r="C11" s="146" t="s">
        <v>1466</v>
      </c>
      <c r="D11" s="1092" t="s">
        <v>99</v>
      </c>
      <c r="E11" s="1093"/>
      <c r="F11" s="1093"/>
      <c r="G11" s="1093"/>
      <c r="H11" s="1093"/>
    </row>
    <row r="12" spans="1:8" ht="14" x14ac:dyDescent="0.3">
      <c r="B12" s="1092">
        <f t="shared" si="0"/>
        <v>5</v>
      </c>
      <c r="C12" s="146" t="s">
        <v>1467</v>
      </c>
      <c r="D12" s="1094" t="s">
        <v>101</v>
      </c>
      <c r="E12" s="1093"/>
      <c r="F12" s="1093"/>
      <c r="G12" s="1093"/>
      <c r="H12" s="1093"/>
    </row>
    <row r="13" spans="1:8" ht="28" x14ac:dyDescent="0.3">
      <c r="B13" s="1092">
        <f t="shared" si="0"/>
        <v>6</v>
      </c>
      <c r="C13" s="146" t="s">
        <v>1468</v>
      </c>
      <c r="D13" s="1094" t="s">
        <v>101</v>
      </c>
      <c r="E13" s="1093"/>
      <c r="F13" s="1093"/>
      <c r="G13" s="1093"/>
      <c r="H13" s="1093"/>
    </row>
    <row r="14" spans="1:8" ht="14" x14ac:dyDescent="0.3">
      <c r="B14" s="1092">
        <f t="shared" si="0"/>
        <v>7</v>
      </c>
      <c r="C14" s="146" t="s">
        <v>1469</v>
      </c>
      <c r="D14" s="1094" t="s">
        <v>101</v>
      </c>
      <c r="E14" s="1093"/>
      <c r="F14" s="1093"/>
      <c r="G14" s="1093"/>
      <c r="H14" s="1093"/>
    </row>
    <row r="15" spans="1:8" ht="14" x14ac:dyDescent="0.3">
      <c r="B15" s="1092">
        <f t="shared" si="0"/>
        <v>8</v>
      </c>
      <c r="C15" s="146" t="s">
        <v>1470</v>
      </c>
      <c r="D15" s="1094" t="s">
        <v>101</v>
      </c>
      <c r="E15" s="1093"/>
      <c r="F15" s="1093"/>
      <c r="G15" s="1093"/>
      <c r="H15" s="1093"/>
    </row>
    <row r="16" spans="1:8" ht="14" x14ac:dyDescent="0.3">
      <c r="B16" s="1092">
        <f t="shared" si="0"/>
        <v>9</v>
      </c>
      <c r="C16" s="146" t="s">
        <v>1471</v>
      </c>
      <c r="D16" s="1094" t="s">
        <v>101</v>
      </c>
      <c r="E16" s="1093"/>
      <c r="F16" s="1093"/>
      <c r="G16" s="1093"/>
      <c r="H16" s="1093"/>
    </row>
    <row r="17" spans="2:8" ht="14" x14ac:dyDescent="0.3">
      <c r="B17" s="1092">
        <f t="shared" si="0"/>
        <v>10</v>
      </c>
      <c r="C17" s="146" t="s">
        <v>1472</v>
      </c>
      <c r="D17" s="1094" t="s">
        <v>101</v>
      </c>
      <c r="E17" s="1093"/>
      <c r="F17" s="1093"/>
      <c r="G17" s="1093"/>
      <c r="H17" s="1093"/>
    </row>
    <row r="18" spans="2:8" ht="14" x14ac:dyDescent="0.3">
      <c r="B18" s="1092">
        <f t="shared" si="0"/>
        <v>11</v>
      </c>
      <c r="C18" s="146" t="s">
        <v>1473</v>
      </c>
      <c r="D18" s="1094" t="s">
        <v>1474</v>
      </c>
      <c r="E18" s="1093"/>
      <c r="F18" s="1093"/>
      <c r="G18" s="1093"/>
      <c r="H18" s="1093"/>
    </row>
    <row r="19" spans="2:8" ht="14" x14ac:dyDescent="0.3">
      <c r="B19" s="1092">
        <f t="shared" si="0"/>
        <v>12</v>
      </c>
      <c r="C19" s="146" t="s">
        <v>1475</v>
      </c>
      <c r="D19" s="1094" t="s">
        <v>1474</v>
      </c>
      <c r="E19" s="1093"/>
      <c r="F19" s="1093"/>
      <c r="G19" s="1093"/>
      <c r="H19" s="1093"/>
    </row>
    <row r="20" spans="2:8" s="1098" customFormat="1" ht="14" x14ac:dyDescent="0.3">
      <c r="B20" s="1095">
        <f t="shared" si="0"/>
        <v>13</v>
      </c>
      <c r="C20" s="1096" t="s">
        <v>1476</v>
      </c>
      <c r="D20" s="1095" t="s">
        <v>135</v>
      </c>
      <c r="E20" s="1097"/>
      <c r="F20" s="1097"/>
      <c r="G20" s="1097"/>
      <c r="H20" s="1097"/>
    </row>
    <row r="29" spans="2:8" ht="29.4" customHeight="1" x14ac:dyDescent="0.25">
      <c r="C29" s="1099"/>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36</vt:i4>
      </vt:variant>
    </vt:vector>
  </HeadingPairs>
  <TitlesOfParts>
    <vt:vector size="86"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(E)</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 14.7</vt:lpstr>
      <vt:lpstr>F14.8</vt:lpstr>
      <vt:lpstr>F14.9</vt:lpstr>
      <vt:lpstr>F15</vt:lpstr>
      <vt:lpstr>F16</vt:lpstr>
      <vt:lpstr>F17</vt:lpstr>
      <vt:lpstr>F18</vt:lpstr>
      <vt:lpstr>F19</vt:lpstr>
      <vt:lpstr>'F1'!Print_Area</vt:lpstr>
      <vt:lpstr>F1.1!Print_Area</vt:lpstr>
      <vt:lpstr>'F11'!Print_Area</vt:lpstr>
      <vt:lpstr>F14.4!Print_Area</vt:lpstr>
      <vt:lpstr>F14.6!Print_Area</vt:lpstr>
      <vt:lpstr>'F17'!Print_Area</vt:lpstr>
      <vt:lpstr>'F18'!Print_Area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(E)'!Print_Area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2024-09-05T06:02:33Z</cp:lastPrinted>
  <dcterms:created xsi:type="dcterms:W3CDTF">2004-07-28T05:30:50Z</dcterms:created>
  <dcterms:modified xsi:type="dcterms:W3CDTF">2024-12-06T05:36:14Z</dcterms:modified>
</cp:coreProperties>
</file>